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08" windowWidth="15192" windowHeight="7932" tabRatio="859" firstSheet="13" activeTab="21"/>
  </bookViews>
  <sheets>
    <sheet name="Summary" sheetId="14" r:id="rId1"/>
    <sheet name="Summary (Weather Normalized)" sheetId="46" r:id="rId2"/>
    <sheet name="Load&amp;CustConnGrowth" sheetId="48" state="hidden" r:id="rId3"/>
    <sheet name="Model # One" sheetId="40" r:id="rId4"/>
    <sheet name="Model # Two" sheetId="38" r:id="rId5"/>
    <sheet name="HDD-CDD" sheetId="30" r:id="rId6"/>
    <sheet name="Reg.Model (HDDCDD20)" sheetId="39" r:id="rId7"/>
    <sheet name="Rate Class Energy Model" sheetId="12" r:id="rId8"/>
    <sheet name="Rate Class Customer Model" sheetId="10" r:id="rId9"/>
    <sheet name="WH MRK PART." sheetId="25" r:id="rId10"/>
    <sheet name="Emb. Dist. Forecast" sheetId="43" r:id="rId11"/>
    <sheet name="Dist. Gen. Forecast" sheetId="44" r:id="rId12"/>
    <sheet name="Rate Class Load Model" sheetId="11" r:id="rId13"/>
    <sheet name="Hist. kW for Emb. Dist." sheetId="45" r:id="rId14"/>
    <sheet name="Purchased kWh" sheetId="6" r:id="rId15"/>
    <sheet name="Customer" sheetId="27" r:id="rId16"/>
    <sheet name="WeatherNorm. Data" sheetId="47" r:id="rId17"/>
    <sheet name="Month &amp; Hour Data" sheetId="5" state="hidden" r:id="rId18"/>
    <sheet name="GDP" sheetId="4" r:id="rId19"/>
    <sheet name="Population" sheetId="3" r:id="rId20"/>
    <sheet name="2010 to 2013 Actual kWh" sheetId="36" state="hidden" r:id="rId21"/>
    <sheet name="Summary of Rates" sheetId="49" r:id="rId22"/>
    <sheet name="kWh" sheetId="9" state="hidden" r:id="rId23"/>
    <sheet name="KW" sheetId="8" state="hidden" r:id="rId24"/>
  </sheets>
  <externalReferences>
    <externalReference r:id="rId25"/>
  </externalReferences>
  <definedNames>
    <definedName name="_xlnm._FilterDatabase" localSheetId="9" hidden="1">'WH MRK PART.'!$A$3:$K$3</definedName>
    <definedName name="_Order1" hidden="1">255</definedName>
    <definedName name="_Sort" hidden="1">[1]Sheet1!$G$40:$K$40</definedName>
    <definedName name="_xlnm.Print_Area" localSheetId="20">'2010 to 2013 Actual kWh'!$A$2:$K$51</definedName>
    <definedName name="_xlnm.Print_Area" localSheetId="15">Customer!$A$2:$R$158</definedName>
    <definedName name="_xlnm.Print_Area" localSheetId="11">'Dist. Gen. Forecast'!$K$3:$Z$18</definedName>
    <definedName name="_xlnm.Print_Area" localSheetId="10">'Emb. Dist. Forecast'!$L$2:$P$17</definedName>
    <definedName name="_xlnm.Print_Area" localSheetId="5">'HDD-CDD'!$A$1:$M$34</definedName>
    <definedName name="_xlnm.Print_Area" localSheetId="13">'Hist. kW for Emb. Dist.'!$A$1:$D$62</definedName>
    <definedName name="_xlnm.Print_Area" localSheetId="23">KW!$A$2:$BP$18</definedName>
    <definedName name="_xlnm.Print_Area" localSheetId="22">kWh!$A$1:$CX$80</definedName>
    <definedName name="_xlnm.Print_Area" localSheetId="3">'Model # One'!$A$1:$N$197</definedName>
    <definedName name="_xlnm.Print_Area" localSheetId="4">'Model # Two'!$A$2:$L$194</definedName>
    <definedName name="_xlnm.Print_Area" localSheetId="17">'Month &amp; Hour Data'!$A$1:$H$146</definedName>
    <definedName name="_xlnm.Print_Area" localSheetId="19">Population!$B$1:$AG$25</definedName>
    <definedName name="_xlnm.Print_Area" localSheetId="14">'Purchased kWh'!$B$1:$S$147</definedName>
    <definedName name="_xlnm.Print_Area" localSheetId="8">'Rate Class Customer Model'!$A$1:$K$47</definedName>
    <definedName name="_xlnm.Print_Area" localSheetId="7">'Rate Class Energy Model'!$B$1:$S$101</definedName>
    <definedName name="_xlnm.Print_Area" localSheetId="12">'Rate Class Load Model'!$A$1:$G$42</definedName>
    <definedName name="_xlnm.Print_Area" localSheetId="6">'Reg.Model (HDDCDD20)'!$A$2:$L$196</definedName>
    <definedName name="_xlnm.Print_Area" localSheetId="0">Summary!$A$1:$Q$190</definedName>
    <definedName name="_xlnm.Print_Area" localSheetId="1">'Summary (Weather Normalized)'!$A$1:$Q$195</definedName>
    <definedName name="_xlnm.Print_Area" localSheetId="21">'Summary of Rates'!$A$1:$J$38</definedName>
    <definedName name="_xlnm.Print_Area" localSheetId="16">'WeatherNorm. Data'!$A$1:$M$78</definedName>
    <definedName name="_xlnm.Print_Area" localSheetId="9">'WH MRK PART.'!$A$1:$K$72</definedName>
    <definedName name="_xlnm.Print_Titles" localSheetId="15">Customer!$1:$2</definedName>
    <definedName name="_xlnm.Print_Titles" localSheetId="23">KW!$A:$A</definedName>
    <definedName name="_xlnm.Print_Titles" localSheetId="22">kWh!$A:$B</definedName>
    <definedName name="_xlnm.Print_Titles" localSheetId="3">'Model # One'!$1:$2</definedName>
    <definedName name="_xlnm.Print_Titles" localSheetId="4">'Model # Two'!$1:$2</definedName>
    <definedName name="_xlnm.Print_Titles" localSheetId="17">'Month &amp; Hour Data'!$1:$1</definedName>
    <definedName name="_xlnm.Print_Titles" localSheetId="7">'Rate Class Energy Model'!$1:$2</definedName>
    <definedName name="_xlnm.Print_Titles" localSheetId="6">'Reg.Model (HDDCDD20)'!$1:$2</definedName>
    <definedName name="_xlnm.Print_Titles" localSheetId="0">Summary!$A:$Q,Summary!$1:$4</definedName>
    <definedName name="_xlnm.Print_Titles" localSheetId="1">'Summary (Weather Normalized)'!$1:$4</definedName>
    <definedName name="_xlnm.Print_Titles" localSheetId="16">'WeatherNorm. Data'!$1:$2</definedName>
    <definedName name="solver_adj" localSheetId="0" hidden="1">'Rate Class Energy Model'!$I$57:$O$57</definedName>
    <definedName name="solver_adj" localSheetId="1" hidden="1">'Rate Class Energy Model'!$I$57:$O$57</definedName>
    <definedName name="solver_cvg" localSheetId="0" hidden="1">0.0001</definedName>
    <definedName name="solver_cvg" localSheetId="1" hidden="1">0.0001</definedName>
    <definedName name="solver_drv" localSheetId="0" hidden="1">1</definedName>
    <definedName name="solver_drv" localSheetId="1" hidden="1">1</definedName>
    <definedName name="solver_est" localSheetId="0" hidden="1">1</definedName>
    <definedName name="solver_est" localSheetId="1" hidden="1">1</definedName>
    <definedName name="solver_itr" localSheetId="0" hidden="1">1000</definedName>
    <definedName name="solver_itr" localSheetId="1" hidden="1">1000</definedName>
    <definedName name="solver_lhs1" localSheetId="0" hidden="1">Summary!#REF!</definedName>
    <definedName name="solver_lhs1" localSheetId="1" hidden="1">'Summary (Weather Normalized)'!#REF!</definedName>
    <definedName name="solver_lhs2" localSheetId="0" hidden="1">Summary!$O$43</definedName>
    <definedName name="solver_lhs2" localSheetId="1" hidden="1">'Summary (Weather Normalized)'!$O$43</definedName>
    <definedName name="solver_lhs3" localSheetId="0" hidden="1">Summary!$O$56</definedName>
    <definedName name="solver_lhs3" localSheetId="1" hidden="1">'Summary (Weather Normalized)'!$O$56</definedName>
    <definedName name="solver_lhs4" localSheetId="0" hidden="1">Summary!#REF!</definedName>
    <definedName name="solver_lhs4" localSheetId="1" hidden="1">'Summary (Weather Normalized)'!#REF!</definedName>
    <definedName name="solver_lhs5" localSheetId="0" hidden="1">Summary!#REF!</definedName>
    <definedName name="solver_lhs5" localSheetId="1" hidden="1">'Summary (Weather Normalized)'!#REF!</definedName>
    <definedName name="solver_lhs6" localSheetId="0" hidden="1">Summary!#REF!</definedName>
    <definedName name="solver_lhs6" localSheetId="1" hidden="1">'Summary (Weather Normalized)'!#REF!</definedName>
    <definedName name="solver_lhs7" localSheetId="0" hidden="1">Summary!#REF!</definedName>
    <definedName name="solver_lhs7" localSheetId="1" hidden="1">'Summary (Weather Normalized)'!#REF!</definedName>
    <definedName name="solver_lhs8" localSheetId="0" hidden="1">Summary!#REF!</definedName>
    <definedName name="solver_lhs8" localSheetId="1" hidden="1">'Summary (Weather Normalized)'!#REF!</definedName>
    <definedName name="solver_lin" localSheetId="0" hidden="1">2</definedName>
    <definedName name="solver_lin" localSheetId="1" hidden="1">2</definedName>
    <definedName name="solver_neg" localSheetId="0" hidden="1">2</definedName>
    <definedName name="solver_neg" localSheetId="1" hidden="1">2</definedName>
    <definedName name="solver_num" localSheetId="0" hidden="1">6</definedName>
    <definedName name="solver_num" localSheetId="1" hidden="1">6</definedName>
    <definedName name="solver_nwt" localSheetId="0" hidden="1">1</definedName>
    <definedName name="solver_nwt" localSheetId="1" hidden="1">1</definedName>
    <definedName name="solver_opt" localSheetId="0" hidden="1">Summary!#REF!</definedName>
    <definedName name="solver_opt" localSheetId="1" hidden="1">'Summary (Weather Normalized)'!#REF!</definedName>
    <definedName name="solver_pre" localSheetId="0" hidden="1">0.000001</definedName>
    <definedName name="solver_pre" localSheetId="1" hidden="1">0.000001</definedName>
    <definedName name="solver_rel1" localSheetId="0" hidden="1">2</definedName>
    <definedName name="solver_rel1" localSheetId="1" hidden="1">2</definedName>
    <definedName name="solver_rel2" localSheetId="0" hidden="1">2</definedName>
    <definedName name="solver_rel2" localSheetId="1" hidden="1">2</definedName>
    <definedName name="solver_rel3" localSheetId="0" hidden="1">2</definedName>
    <definedName name="solver_rel3" localSheetId="1" hidden="1">2</definedName>
    <definedName name="solver_rel4" localSheetId="0" hidden="1">2</definedName>
    <definedName name="solver_rel4" localSheetId="1" hidden="1">2</definedName>
    <definedName name="solver_rel5" localSheetId="0" hidden="1">2</definedName>
    <definedName name="solver_rel5" localSheetId="1" hidden="1">2</definedName>
    <definedName name="solver_rel6" localSheetId="0" hidden="1">2</definedName>
    <definedName name="solver_rel6" localSheetId="1" hidden="1">2</definedName>
    <definedName name="solver_rel7" localSheetId="0" hidden="1">2</definedName>
    <definedName name="solver_rel7" localSheetId="1" hidden="1">2</definedName>
    <definedName name="solver_rel8" localSheetId="0" hidden="1">2</definedName>
    <definedName name="solver_rel8" localSheetId="1" hidden="1">2</definedName>
    <definedName name="solver_rhs1" localSheetId="0" hidden="1">Summary!#REF!</definedName>
    <definedName name="solver_rhs1" localSheetId="1" hidden="1">'Summary (Weather Normalized)'!#REF!</definedName>
    <definedName name="solver_rhs2" localSheetId="0" hidden="1">Summary!#REF!</definedName>
    <definedName name="solver_rhs2" localSheetId="1" hidden="1">'Summary (Weather Normalized)'!#REF!</definedName>
    <definedName name="solver_rhs3" localSheetId="0" hidden="1">Summary!#REF!</definedName>
    <definedName name="solver_rhs3" localSheetId="1" hidden="1">'Summary (Weather Normalized)'!#REF!</definedName>
    <definedName name="solver_rhs4" localSheetId="0" hidden="1">Summary!#REF!</definedName>
    <definedName name="solver_rhs4" localSheetId="1" hidden="1">'Summary (Weather Normalized)'!#REF!</definedName>
    <definedName name="solver_rhs5" localSheetId="0" hidden="1">Summary!#REF!</definedName>
    <definedName name="solver_rhs5" localSheetId="1" hidden="1">'Summary (Weather Normalized)'!#REF!</definedName>
    <definedName name="solver_rhs6" localSheetId="0" hidden="1">Summary!#REF!</definedName>
    <definedName name="solver_rhs6" localSheetId="1" hidden="1">'Summary (Weather Normalized)'!#REF!</definedName>
    <definedName name="solver_rhs7" localSheetId="0" hidden="1">1.25%</definedName>
    <definedName name="solver_rhs7" localSheetId="1" hidden="1">1.25%</definedName>
    <definedName name="solver_rhs8" localSheetId="0" hidden="1">2%</definedName>
    <definedName name="solver_rhs8" localSheetId="1" hidden="1">2%</definedName>
    <definedName name="solver_scl" localSheetId="0" hidden="1">2</definedName>
    <definedName name="solver_scl" localSheetId="1" hidden="1">2</definedName>
    <definedName name="solver_sho" localSheetId="0" hidden="1">2</definedName>
    <definedName name="solver_sho" localSheetId="1" hidden="1">2</definedName>
    <definedName name="solver_tim" localSheetId="0" hidden="1">100</definedName>
    <definedName name="solver_tim" localSheetId="1" hidden="1">100</definedName>
    <definedName name="solver_tol" localSheetId="0" hidden="1">0.05</definedName>
    <definedName name="solver_tol" localSheetId="1" hidden="1">0.05</definedName>
    <definedName name="solver_typ" localSheetId="0" hidden="1">3</definedName>
    <definedName name="solver_typ" localSheetId="1" hidden="1">3</definedName>
    <definedName name="solver_val" localSheetId="0" hidden="1">0.02</definedName>
    <definedName name="solver_val" localSheetId="1" hidden="1">0.02</definedName>
  </definedNames>
  <calcPr calcId="125725" iterate="1"/>
</workbook>
</file>

<file path=xl/calcChain.xml><?xml version="1.0" encoding="utf-8"?>
<calcChain xmlns="http://schemas.openxmlformats.org/spreadsheetml/2006/main">
  <c r="Q30" i="4"/>
  <c r="D19" i="49" l="1"/>
  <c r="C19"/>
  <c r="C17"/>
  <c r="D15"/>
  <c r="C15"/>
  <c r="C13"/>
  <c r="D11"/>
  <c r="C11"/>
  <c r="C9"/>
  <c r="C8"/>
  <c r="C6"/>
  <c r="C4"/>
  <c r="K189" i="46" l="1"/>
  <c r="K188"/>
  <c r="K187"/>
  <c r="K186"/>
  <c r="K168"/>
  <c r="K167"/>
  <c r="K165"/>
  <c r="K164"/>
  <c r="K163"/>
  <c r="K162"/>
  <c r="K161"/>
  <c r="K166" s="1"/>
  <c r="K160"/>
  <c r="K159"/>
  <c r="K138"/>
  <c r="K133"/>
  <c r="K113"/>
  <c r="K120" s="1"/>
  <c r="K188" i="14" l="1"/>
  <c r="K189"/>
  <c r="K187"/>
  <c r="K186"/>
  <c r="K151"/>
  <c r="K148"/>
  <c r="K113"/>
  <c r="K120" s="1"/>
  <c r="K166"/>
  <c r="K167"/>
  <c r="K168"/>
  <c r="K165"/>
  <c r="K164"/>
  <c r="K163"/>
  <c r="K162"/>
  <c r="K161"/>
  <c r="K160"/>
  <c r="K159"/>
  <c r="K138"/>
  <c r="K133"/>
  <c r="P5" i="6" l="1"/>
  <c r="H68" i="25"/>
  <c r="G68"/>
  <c r="I68" s="1"/>
  <c r="H67"/>
  <c r="G67"/>
  <c r="I67" s="1"/>
  <c r="H66"/>
  <c r="G66"/>
  <c r="I66" s="1"/>
  <c r="E67"/>
  <c r="E68"/>
  <c r="D66"/>
  <c r="D67"/>
  <c r="D68"/>
  <c r="C68"/>
  <c r="C67"/>
  <c r="E66"/>
  <c r="C66"/>
  <c r="B68"/>
  <c r="B69" s="1"/>
  <c r="B70" s="1"/>
  <c r="B67"/>
  <c r="P87" i="12"/>
  <c r="R87"/>
  <c r="R88"/>
  <c r="B88"/>
  <c r="B87"/>
  <c r="D18" i="30"/>
  <c r="C18"/>
  <c r="H18"/>
  <c r="G18"/>
  <c r="G17"/>
  <c r="O145" i="46" l="1"/>
  <c r="I145"/>
  <c r="E45" i="14" l="1"/>
  <c r="O129" i="46"/>
  <c r="O131" s="1"/>
  <c r="N129"/>
  <c r="N131" s="1"/>
  <c r="M129"/>
  <c r="J129"/>
  <c r="I129"/>
  <c r="I131" s="1"/>
  <c r="O109"/>
  <c r="I109"/>
  <c r="I116" s="1"/>
  <c r="O91"/>
  <c r="N91"/>
  <c r="M91"/>
  <c r="J91"/>
  <c r="I91"/>
  <c r="O75"/>
  <c r="N75"/>
  <c r="M75"/>
  <c r="K80" s="1"/>
  <c r="K85" s="1"/>
  <c r="J75"/>
  <c r="I75"/>
  <c r="O59"/>
  <c r="I59"/>
  <c r="I64" s="1"/>
  <c r="O47"/>
  <c r="I47"/>
  <c r="O36"/>
  <c r="I36"/>
  <c r="I26"/>
  <c r="O26"/>
  <c r="K76" i="47"/>
  <c r="J76"/>
  <c r="G76"/>
  <c r="F76"/>
  <c r="C76"/>
  <c r="K75"/>
  <c r="N145" i="46" s="1"/>
  <c r="N16" s="1"/>
  <c r="N9" s="1"/>
  <c r="G75" i="47"/>
  <c r="C75"/>
  <c r="N26" i="46" s="1"/>
  <c r="K74" i="47"/>
  <c r="M145" i="46" s="1"/>
  <c r="J74" i="47"/>
  <c r="G74"/>
  <c r="F74"/>
  <c r="M59" i="46" s="1"/>
  <c r="K64" s="1"/>
  <c r="K69" s="1"/>
  <c r="C74" i="47"/>
  <c r="K73"/>
  <c r="J145" i="46" s="1"/>
  <c r="J146" s="1"/>
  <c r="G73" i="47"/>
  <c r="C73"/>
  <c r="J26" i="46" s="1"/>
  <c r="A73" i="47"/>
  <c r="A74" s="1"/>
  <c r="A75" s="1"/>
  <c r="A76" s="1"/>
  <c r="K72"/>
  <c r="J72"/>
  <c r="G72"/>
  <c r="F72"/>
  <c r="C72"/>
  <c r="L69"/>
  <c r="L76" s="1"/>
  <c r="K69"/>
  <c r="J69"/>
  <c r="I69"/>
  <c r="I76" s="1"/>
  <c r="H69"/>
  <c r="H76" s="1"/>
  <c r="G69"/>
  <c r="F69"/>
  <c r="E69"/>
  <c r="E76" s="1"/>
  <c r="D69"/>
  <c r="D76" s="1"/>
  <c r="C69"/>
  <c r="L68"/>
  <c r="L75" s="1"/>
  <c r="K68"/>
  <c r="J68"/>
  <c r="J75" s="1"/>
  <c r="I68"/>
  <c r="I75" s="1"/>
  <c r="N109" i="46" s="1"/>
  <c r="H68" i="47"/>
  <c r="H75" s="1"/>
  <c r="G68"/>
  <c r="F68"/>
  <c r="F75" s="1"/>
  <c r="N59" i="46" s="1"/>
  <c r="E68" i="47"/>
  <c r="E75" s="1"/>
  <c r="N47" i="46" s="1"/>
  <c r="D68" i="47"/>
  <c r="D75" s="1"/>
  <c r="N36" i="46" s="1"/>
  <c r="C68" i="47"/>
  <c r="L67"/>
  <c r="L74" s="1"/>
  <c r="K67"/>
  <c r="J67"/>
  <c r="I67"/>
  <c r="I74" s="1"/>
  <c r="M109" i="46" s="1"/>
  <c r="K116" s="1"/>
  <c r="K123" s="1"/>
  <c r="H67" i="47"/>
  <c r="H74" s="1"/>
  <c r="G67"/>
  <c r="F67"/>
  <c r="E67"/>
  <c r="E74" s="1"/>
  <c r="M47" i="46" s="1"/>
  <c r="K51" s="1"/>
  <c r="K55" s="1"/>
  <c r="D67" i="47"/>
  <c r="D74" s="1"/>
  <c r="M36" i="46" s="1"/>
  <c r="C67" i="47"/>
  <c r="L66"/>
  <c r="L73" s="1"/>
  <c r="K66"/>
  <c r="J66"/>
  <c r="J73" s="1"/>
  <c r="I66"/>
  <c r="I73" s="1"/>
  <c r="J109" i="46" s="1"/>
  <c r="H66" i="47"/>
  <c r="H73" s="1"/>
  <c r="G66"/>
  <c r="F66"/>
  <c r="F73" s="1"/>
  <c r="J59" i="46" s="1"/>
  <c r="E66" i="47"/>
  <c r="E73" s="1"/>
  <c r="J47" i="46" s="1"/>
  <c r="D66" i="47"/>
  <c r="D73" s="1"/>
  <c r="J36" i="46" s="1"/>
  <c r="C66" i="47"/>
  <c r="B66"/>
  <c r="B67" s="1"/>
  <c r="B68" s="1"/>
  <c r="B69" s="1"/>
  <c r="L65"/>
  <c r="L72" s="1"/>
  <c r="K65"/>
  <c r="J65"/>
  <c r="I65"/>
  <c r="I72" s="1"/>
  <c r="H65"/>
  <c r="H72" s="1"/>
  <c r="G65"/>
  <c r="F65"/>
  <c r="E65"/>
  <c r="E72" s="1"/>
  <c r="D65"/>
  <c r="D72" s="1"/>
  <c r="C65"/>
  <c r="M62"/>
  <c r="M61"/>
  <c r="M60"/>
  <c r="M59"/>
  <c r="M58"/>
  <c r="M57"/>
  <c r="M56"/>
  <c r="M55"/>
  <c r="M54"/>
  <c r="M53"/>
  <c r="M52"/>
  <c r="M51"/>
  <c r="M69" s="1"/>
  <c r="M50"/>
  <c r="M49"/>
  <c r="M48"/>
  <c r="M47"/>
  <c r="M46"/>
  <c r="M45"/>
  <c r="M44"/>
  <c r="M43"/>
  <c r="M42"/>
  <c r="M41"/>
  <c r="M40"/>
  <c r="M39"/>
  <c r="M68" s="1"/>
  <c r="M38"/>
  <c r="M37"/>
  <c r="M36"/>
  <c r="M35"/>
  <c r="M34"/>
  <c r="M33"/>
  <c r="M32"/>
  <c r="M31"/>
  <c r="M30"/>
  <c r="M29"/>
  <c r="M28"/>
  <c r="M27"/>
  <c r="M67" s="1"/>
  <c r="M26"/>
  <c r="M25"/>
  <c r="M24"/>
  <c r="M23"/>
  <c r="M22"/>
  <c r="M21"/>
  <c r="M20"/>
  <c r="M19"/>
  <c r="M18"/>
  <c r="M17"/>
  <c r="M16"/>
  <c r="M15"/>
  <c r="M66" s="1"/>
  <c r="M14"/>
  <c r="M13"/>
  <c r="M12"/>
  <c r="M11"/>
  <c r="M10"/>
  <c r="M9"/>
  <c r="M8"/>
  <c r="M7"/>
  <c r="M6"/>
  <c r="M5"/>
  <c r="M4"/>
  <c r="M3"/>
  <c r="M65" s="1"/>
  <c r="L183" i="46"/>
  <c r="L182"/>
  <c r="L181"/>
  <c r="L180"/>
  <c r="I178"/>
  <c r="I183" s="1"/>
  <c r="J177"/>
  <c r="J182" s="1"/>
  <c r="I177"/>
  <c r="I182" s="1"/>
  <c r="J176"/>
  <c r="J181" s="1"/>
  <c r="I176"/>
  <c r="I181" s="1"/>
  <c r="J175"/>
  <c r="J180" s="1"/>
  <c r="I175"/>
  <c r="I180" s="1"/>
  <c r="J174"/>
  <c r="L184" s="1"/>
  <c r="I174"/>
  <c r="I179" s="1"/>
  <c r="I184" s="1"/>
  <c r="J173"/>
  <c r="I173"/>
  <c r="K177"/>
  <c r="K182" s="1"/>
  <c r="K176"/>
  <c r="K181" s="1"/>
  <c r="K175"/>
  <c r="K180" s="1"/>
  <c r="Q166"/>
  <c r="N166"/>
  <c r="M166"/>
  <c r="L166"/>
  <c r="Q165"/>
  <c r="N165"/>
  <c r="M165"/>
  <c r="L165"/>
  <c r="Q164"/>
  <c r="L164"/>
  <c r="I164"/>
  <c r="Q162"/>
  <c r="Q167" s="1"/>
  <c r="P162"/>
  <c r="P167" s="1"/>
  <c r="J162"/>
  <c r="J167" s="1"/>
  <c r="Q161"/>
  <c r="P161"/>
  <c r="P166" s="1"/>
  <c r="O161"/>
  <c r="O166" s="1"/>
  <c r="N161"/>
  <c r="M161"/>
  <c r="J161"/>
  <c r="J166" s="1"/>
  <c r="I161"/>
  <c r="I166" s="1"/>
  <c r="Q160"/>
  <c r="P160"/>
  <c r="P165" s="1"/>
  <c r="O160"/>
  <c r="O165" s="1"/>
  <c r="N160"/>
  <c r="M160"/>
  <c r="J160"/>
  <c r="J165" s="1"/>
  <c r="I160"/>
  <c r="I165" s="1"/>
  <c r="Q159"/>
  <c r="P159"/>
  <c r="P164" s="1"/>
  <c r="O159"/>
  <c r="O164" s="1"/>
  <c r="N159"/>
  <c r="N164" s="1"/>
  <c r="J159"/>
  <c r="J164" s="1"/>
  <c r="I159"/>
  <c r="Q158"/>
  <c r="Q163" s="1"/>
  <c r="Q168" s="1"/>
  <c r="P158"/>
  <c r="P163" s="1"/>
  <c r="P168" s="1"/>
  <c r="O158"/>
  <c r="O163" s="1"/>
  <c r="O168" s="1"/>
  <c r="N158"/>
  <c r="M158"/>
  <c r="J158"/>
  <c r="L168" s="1"/>
  <c r="I158"/>
  <c r="I163" s="1"/>
  <c r="I168" s="1"/>
  <c r="Q157"/>
  <c r="P157"/>
  <c r="O157"/>
  <c r="O162" s="1"/>
  <c r="O167" s="1"/>
  <c r="N157"/>
  <c r="N162" s="1"/>
  <c r="N167" s="1"/>
  <c r="M157"/>
  <c r="J157"/>
  <c r="L167" s="1"/>
  <c r="I157"/>
  <c r="I162" s="1"/>
  <c r="I167" s="1"/>
  <c r="M159"/>
  <c r="M164" s="1"/>
  <c r="I148"/>
  <c r="I151" s="1"/>
  <c r="J147"/>
  <c r="J150" s="1"/>
  <c r="I147"/>
  <c r="I150" s="1"/>
  <c r="L146"/>
  <c r="I146"/>
  <c r="I149" s="1"/>
  <c r="I152" s="1"/>
  <c r="O144"/>
  <c r="O147" s="1"/>
  <c r="O150" s="1"/>
  <c r="N144"/>
  <c r="M144"/>
  <c r="M147" s="1"/>
  <c r="M150" s="1"/>
  <c r="P133"/>
  <c r="P138" s="1"/>
  <c r="O133"/>
  <c r="O138" s="1"/>
  <c r="N133"/>
  <c r="N138" s="1"/>
  <c r="M133"/>
  <c r="M138" s="1"/>
  <c r="J133"/>
  <c r="J138" s="1"/>
  <c r="I133"/>
  <c r="P132"/>
  <c r="P131"/>
  <c r="Q130"/>
  <c r="Q132" s="1"/>
  <c r="Q137" s="1"/>
  <c r="Q142" s="1"/>
  <c r="Q129"/>
  <c r="Q131" s="1"/>
  <c r="L131"/>
  <c r="Q133"/>
  <c r="Q138" s="1"/>
  <c r="Q113"/>
  <c r="Q120" s="1"/>
  <c r="P113"/>
  <c r="P120" s="1"/>
  <c r="O113"/>
  <c r="O120" s="1"/>
  <c r="N113"/>
  <c r="N120" s="1"/>
  <c r="M113"/>
  <c r="M120" s="1"/>
  <c r="J113"/>
  <c r="J120" s="1"/>
  <c r="I113"/>
  <c r="O107"/>
  <c r="N107"/>
  <c r="M107"/>
  <c r="K114" s="1"/>
  <c r="K121" s="1"/>
  <c r="J107"/>
  <c r="I107"/>
  <c r="I114" s="1"/>
  <c r="Q45"/>
  <c r="P45"/>
  <c r="P49" s="1"/>
  <c r="P53" s="1"/>
  <c r="O45"/>
  <c r="N45"/>
  <c r="M45"/>
  <c r="J45"/>
  <c r="I45"/>
  <c r="O16"/>
  <c r="O9" s="1"/>
  <c r="Q15"/>
  <c r="P15"/>
  <c r="O15"/>
  <c r="N15"/>
  <c r="M15"/>
  <c r="M8" s="1"/>
  <c r="L15"/>
  <c r="J15"/>
  <c r="J8" s="1"/>
  <c r="L14"/>
  <c r="N13"/>
  <c r="N7" s="1"/>
  <c r="M13"/>
  <c r="M7" s="1"/>
  <c r="J9"/>
  <c r="I9"/>
  <c r="N8"/>
  <c r="I8"/>
  <c r="J7"/>
  <c r="I7"/>
  <c r="M131" l="1"/>
  <c r="K134"/>
  <c r="K139" s="1"/>
  <c r="K42"/>
  <c r="K39"/>
  <c r="O146"/>
  <c r="O49"/>
  <c r="O53" s="1"/>
  <c r="N114"/>
  <c r="N121" s="1"/>
  <c r="K150"/>
  <c r="K147"/>
  <c r="M148"/>
  <c r="M151" s="1"/>
  <c r="K151"/>
  <c r="K148"/>
  <c r="K49"/>
  <c r="K53" s="1"/>
  <c r="Q49"/>
  <c r="Q53" s="1"/>
  <c r="Q135"/>
  <c r="Q140" s="1"/>
  <c r="M146"/>
  <c r="O148"/>
  <c r="O151" s="1"/>
  <c r="K96"/>
  <c r="K101" s="1"/>
  <c r="L37"/>
  <c r="N175"/>
  <c r="N180" s="1"/>
  <c r="P176"/>
  <c r="P181" s="1"/>
  <c r="L94"/>
  <c r="I29"/>
  <c r="M16"/>
  <c r="M9" s="1"/>
  <c r="I49"/>
  <c r="N49"/>
  <c r="N53" s="1"/>
  <c r="J114"/>
  <c r="J121" s="1"/>
  <c r="O114"/>
  <c r="O121" s="1"/>
  <c r="J148"/>
  <c r="J151" s="1"/>
  <c r="L77"/>
  <c r="Q134"/>
  <c r="Q139" s="1"/>
  <c r="I96"/>
  <c r="L17"/>
  <c r="M114"/>
  <c r="M121" s="1"/>
  <c r="M49"/>
  <c r="M53" s="1"/>
  <c r="P177"/>
  <c r="P182" s="1"/>
  <c r="L187"/>
  <c r="Q176"/>
  <c r="Q181" s="1"/>
  <c r="O174"/>
  <c r="L112"/>
  <c r="M175"/>
  <c r="M180" s="1"/>
  <c r="L174"/>
  <c r="N174"/>
  <c r="O176"/>
  <c r="O181" s="1"/>
  <c r="M174"/>
  <c r="K179" s="1"/>
  <c r="K184" s="1"/>
  <c r="Q174"/>
  <c r="P173"/>
  <c r="N173"/>
  <c r="O173"/>
  <c r="N177"/>
  <c r="N182" s="1"/>
  <c r="L132"/>
  <c r="L189"/>
  <c r="O175"/>
  <c r="O180" s="1"/>
  <c r="M173"/>
  <c r="K178" s="1"/>
  <c r="K183" s="1"/>
  <c r="Q173"/>
  <c r="Q178" s="1"/>
  <c r="Q183" s="1"/>
  <c r="O177"/>
  <c r="O182" s="1"/>
  <c r="M51"/>
  <c r="M55" s="1"/>
  <c r="M39"/>
  <c r="M42" s="1"/>
  <c r="M74" i="47"/>
  <c r="M76"/>
  <c r="M26" i="46"/>
  <c r="O51"/>
  <c r="O55" s="1"/>
  <c r="J149"/>
  <c r="J152" s="1"/>
  <c r="L27"/>
  <c r="L61"/>
  <c r="M80"/>
  <c r="M85" s="1"/>
  <c r="L62"/>
  <c r="L93"/>
  <c r="O136"/>
  <c r="O141" s="1"/>
  <c r="O134"/>
  <c r="O139" s="1"/>
  <c r="J134"/>
  <c r="J139" s="1"/>
  <c r="I134"/>
  <c r="N116"/>
  <c r="N123" s="1"/>
  <c r="O116"/>
  <c r="O123" s="1"/>
  <c r="M116"/>
  <c r="M123" s="1"/>
  <c r="J116"/>
  <c r="J123" s="1"/>
  <c r="O96"/>
  <c r="O101" s="1"/>
  <c r="N96"/>
  <c r="N101" s="1"/>
  <c r="J96"/>
  <c r="J101" s="1"/>
  <c r="O80"/>
  <c r="O85" s="1"/>
  <c r="N64"/>
  <c r="N69" s="1"/>
  <c r="O64"/>
  <c r="O69" s="1"/>
  <c r="J64"/>
  <c r="J69" s="1"/>
  <c r="N39"/>
  <c r="N42" s="1"/>
  <c r="J39"/>
  <c r="J42" s="1"/>
  <c r="I188"/>
  <c r="J29"/>
  <c r="J32" s="1"/>
  <c r="O29"/>
  <c r="O32" s="1"/>
  <c r="N29"/>
  <c r="N32" s="1"/>
  <c r="M72" i="47"/>
  <c r="M73"/>
  <c r="M75"/>
  <c r="J178" i="46"/>
  <c r="J183" s="1"/>
  <c r="N147"/>
  <c r="N150" s="1"/>
  <c r="N146"/>
  <c r="N149" s="1"/>
  <c r="N152" s="1"/>
  <c r="O8"/>
  <c r="N134"/>
  <c r="N139" s="1"/>
  <c r="I39"/>
  <c r="O39"/>
  <c r="O42" s="1"/>
  <c r="M64"/>
  <c r="M69" s="1"/>
  <c r="L78"/>
  <c r="J80"/>
  <c r="J85" s="1"/>
  <c r="M96"/>
  <c r="M101" s="1"/>
  <c r="J131"/>
  <c r="J136" s="1"/>
  <c r="J141" s="1"/>
  <c r="M134"/>
  <c r="M139" s="1"/>
  <c r="P136"/>
  <c r="P141" s="1"/>
  <c r="M149"/>
  <c r="M152" s="1"/>
  <c r="N148"/>
  <c r="N151" s="1"/>
  <c r="L157"/>
  <c r="M162" s="1"/>
  <c r="M167" s="1"/>
  <c r="L158"/>
  <c r="M163" s="1"/>
  <c r="M168" s="1"/>
  <c r="N163"/>
  <c r="N168" s="1"/>
  <c r="P174"/>
  <c r="P179" s="1"/>
  <c r="P184" s="1"/>
  <c r="P175"/>
  <c r="P180" s="1"/>
  <c r="M176"/>
  <c r="M181" s="1"/>
  <c r="J188"/>
  <c r="N51"/>
  <c r="N55" s="1"/>
  <c r="J49"/>
  <c r="J53" s="1"/>
  <c r="J51"/>
  <c r="J55" s="1"/>
  <c r="O188"/>
  <c r="L48"/>
  <c r="I51"/>
  <c r="N136"/>
  <c r="N141" s="1"/>
  <c r="P134"/>
  <c r="P139" s="1"/>
  <c r="L173"/>
  <c r="Q175"/>
  <c r="Q180" s="1"/>
  <c r="N176"/>
  <c r="N181" s="1"/>
  <c r="N188"/>
  <c r="N80"/>
  <c r="N85" s="1"/>
  <c r="I80"/>
  <c r="L186"/>
  <c r="L188"/>
  <c r="L111"/>
  <c r="Q136"/>
  <c r="Q141" s="1"/>
  <c r="J179"/>
  <c r="J184" s="1"/>
  <c r="J163"/>
  <c r="J168" s="1"/>
  <c r="M177"/>
  <c r="M182" s="1"/>
  <c r="Q177"/>
  <c r="Q182" s="1"/>
  <c r="K141" l="1"/>
  <c r="K136"/>
  <c r="M136"/>
  <c r="M141" s="1"/>
  <c r="K29"/>
  <c r="K32"/>
  <c r="K149"/>
  <c r="K152"/>
  <c r="M29"/>
  <c r="M32" s="1"/>
  <c r="M188"/>
  <c r="O179"/>
  <c r="O184" s="1"/>
  <c r="M179"/>
  <c r="M184" s="1"/>
  <c r="N179"/>
  <c r="N184" s="1"/>
  <c r="P178"/>
  <c r="P183" s="1"/>
  <c r="M178"/>
  <c r="M183" s="1"/>
  <c r="N178"/>
  <c r="N183" s="1"/>
  <c r="O178"/>
  <c r="O183" s="1"/>
  <c r="O149"/>
  <c r="O152" s="1"/>
  <c r="Q179"/>
  <c r="Q184" s="1"/>
  <c r="L14" i="14" l="1"/>
  <c r="Q45"/>
  <c r="P45"/>
  <c r="O45"/>
  <c r="N45"/>
  <c r="M45"/>
  <c r="K49" s="1"/>
  <c r="K53" s="1"/>
  <c r="J45"/>
  <c r="I45"/>
  <c r="H45"/>
  <c r="G45"/>
  <c r="F45"/>
  <c r="M49" l="1"/>
  <c r="M53" s="1"/>
  <c r="J147"/>
  <c r="J150" s="1"/>
  <c r="J148"/>
  <c r="J151" s="1"/>
  <c r="I148"/>
  <c r="I151" s="1"/>
  <c r="I147"/>
  <c r="I150" s="1"/>
  <c r="I146"/>
  <c r="I149" s="1"/>
  <c r="I152" s="1"/>
  <c r="I164"/>
  <c r="I178"/>
  <c r="I183" s="1"/>
  <c r="I182"/>
  <c r="I174"/>
  <c r="I179" s="1"/>
  <c r="I184" s="1"/>
  <c r="I173"/>
  <c r="K176"/>
  <c r="K181" s="1"/>
  <c r="K175"/>
  <c r="K180" s="1"/>
  <c r="P175"/>
  <c r="P180" s="1"/>
  <c r="J174"/>
  <c r="J179" s="1"/>
  <c r="J184" s="1"/>
  <c r="J173"/>
  <c r="L182"/>
  <c r="L181"/>
  <c r="L180"/>
  <c r="J177"/>
  <c r="J182" s="1"/>
  <c r="I177"/>
  <c r="J176"/>
  <c r="J181" s="1"/>
  <c r="I176"/>
  <c r="I181" s="1"/>
  <c r="J175"/>
  <c r="J180" s="1"/>
  <c r="I175"/>
  <c r="I180" s="1"/>
  <c r="L164"/>
  <c r="L165"/>
  <c r="L166"/>
  <c r="L158"/>
  <c r="J146"/>
  <c r="J149" s="1"/>
  <c r="J152" s="1"/>
  <c r="Q161"/>
  <c r="Q166" s="1"/>
  <c r="P161"/>
  <c r="P166" s="1"/>
  <c r="O161"/>
  <c r="O166" s="1"/>
  <c r="N161"/>
  <c r="N166" s="1"/>
  <c r="M161"/>
  <c r="M166" s="1"/>
  <c r="J161"/>
  <c r="J166" s="1"/>
  <c r="I161"/>
  <c r="I166" s="1"/>
  <c r="Q160"/>
  <c r="Q165" s="1"/>
  <c r="P160"/>
  <c r="P165" s="1"/>
  <c r="O160"/>
  <c r="O165" s="1"/>
  <c r="N160"/>
  <c r="N165" s="1"/>
  <c r="M160"/>
  <c r="M165" s="1"/>
  <c r="J160"/>
  <c r="J165" s="1"/>
  <c r="I160"/>
  <c r="I165" s="1"/>
  <c r="Q159"/>
  <c r="Q164" s="1"/>
  <c r="P159"/>
  <c r="P164" s="1"/>
  <c r="O159"/>
  <c r="O164" s="1"/>
  <c r="N159"/>
  <c r="N164" s="1"/>
  <c r="J159"/>
  <c r="J164" s="1"/>
  <c r="I159"/>
  <c r="Q158"/>
  <c r="P158"/>
  <c r="P163" s="1"/>
  <c r="P168" s="1"/>
  <c r="O158"/>
  <c r="N158"/>
  <c r="M158"/>
  <c r="J158"/>
  <c r="J163" s="1"/>
  <c r="J168" s="1"/>
  <c r="I158"/>
  <c r="I163" s="1"/>
  <c r="I168" s="1"/>
  <c r="J178" s="1"/>
  <c r="J183" s="1"/>
  <c r="Q157"/>
  <c r="P157"/>
  <c r="O157"/>
  <c r="O162" s="1"/>
  <c r="O167" s="1"/>
  <c r="N157"/>
  <c r="M157"/>
  <c r="J157"/>
  <c r="L167" s="1"/>
  <c r="I157"/>
  <c r="I162" s="1"/>
  <c r="I167" s="1"/>
  <c r="L146"/>
  <c r="O148"/>
  <c r="O151" s="1"/>
  <c r="P133"/>
  <c r="P138" s="1"/>
  <c r="N133"/>
  <c r="N138" s="1"/>
  <c r="M133"/>
  <c r="M138" s="1"/>
  <c r="I133"/>
  <c r="L15"/>
  <c r="L132"/>
  <c r="P131"/>
  <c r="P132"/>
  <c r="J133"/>
  <c r="J138" s="1"/>
  <c r="O133"/>
  <c r="O138" s="1"/>
  <c r="E113"/>
  <c r="E120" s="1"/>
  <c r="F113"/>
  <c r="F120" s="1"/>
  <c r="G113"/>
  <c r="G120" s="1"/>
  <c r="H113"/>
  <c r="H120" s="1"/>
  <c r="I113"/>
  <c r="I120" s="1"/>
  <c r="J113"/>
  <c r="J120" s="1"/>
  <c r="M113"/>
  <c r="M120" s="1"/>
  <c r="N113"/>
  <c r="N120" s="1"/>
  <c r="O113"/>
  <c r="O120" s="1"/>
  <c r="P113"/>
  <c r="P120" s="1"/>
  <c r="Q113"/>
  <c r="Q120" s="1"/>
  <c r="D113"/>
  <c r="D120" s="1"/>
  <c r="O107"/>
  <c r="N107"/>
  <c r="M107"/>
  <c r="K114" s="1"/>
  <c r="K121" s="1"/>
  <c r="J107"/>
  <c r="I107"/>
  <c r="H107"/>
  <c r="G107"/>
  <c r="F107"/>
  <c r="E107"/>
  <c r="D107"/>
  <c r="C107"/>
  <c r="L187"/>
  <c r="C8" i="48" s="1"/>
  <c r="E49" i="14"/>
  <c r="E53" s="1"/>
  <c r="F49"/>
  <c r="F53" s="1"/>
  <c r="G49"/>
  <c r="G53" s="1"/>
  <c r="H49"/>
  <c r="H53" s="1"/>
  <c r="I49"/>
  <c r="I53" s="1"/>
  <c r="J49"/>
  <c r="J53" s="1"/>
  <c r="N49"/>
  <c r="N53" s="1"/>
  <c r="O49"/>
  <c r="O53" s="1"/>
  <c r="P49"/>
  <c r="P53" s="1"/>
  <c r="Q49"/>
  <c r="Q53" s="1"/>
  <c r="D49"/>
  <c r="D53" s="1"/>
  <c r="K177" l="1"/>
  <c r="K182" s="1"/>
  <c r="P174"/>
  <c r="Q176"/>
  <c r="Q181" s="1"/>
  <c r="L189"/>
  <c r="N176"/>
  <c r="N181" s="1"/>
  <c r="O177"/>
  <c r="O182" s="1"/>
  <c r="L188"/>
  <c r="C6" i="48" s="1"/>
  <c r="M174" i="14"/>
  <c r="K179" s="1"/>
  <c r="K184" s="1"/>
  <c r="N177"/>
  <c r="N182" s="1"/>
  <c r="O176"/>
  <c r="O181" s="1"/>
  <c r="L186"/>
  <c r="C7" i="48" s="1"/>
  <c r="Q173" i="14"/>
  <c r="Q177"/>
  <c r="Q182" s="1"/>
  <c r="P177"/>
  <c r="P182" s="1"/>
  <c r="M173"/>
  <c r="K178" s="1"/>
  <c r="K183" s="1"/>
  <c r="L173"/>
  <c r="P173"/>
  <c r="M177"/>
  <c r="M182" s="1"/>
  <c r="P176"/>
  <c r="P181" s="1"/>
  <c r="N173"/>
  <c r="M176"/>
  <c r="M181" s="1"/>
  <c r="Q175"/>
  <c r="Q180" s="1"/>
  <c r="Q174"/>
  <c r="N175"/>
  <c r="N180" s="1"/>
  <c r="N174"/>
  <c r="O173"/>
  <c r="O174"/>
  <c r="O175"/>
  <c r="O180" s="1"/>
  <c r="L174"/>
  <c r="M175"/>
  <c r="M180" s="1"/>
  <c r="L184"/>
  <c r="L183"/>
  <c r="O163"/>
  <c r="O168" s="1"/>
  <c r="L157"/>
  <c r="M162" s="1"/>
  <c r="M167" s="1"/>
  <c r="L168"/>
  <c r="J162"/>
  <c r="J167" s="1"/>
  <c r="M159"/>
  <c r="M164" s="1"/>
  <c r="M163"/>
  <c r="M168" s="1"/>
  <c r="P162"/>
  <c r="P167" s="1"/>
  <c r="Q163"/>
  <c r="Q168" s="1"/>
  <c r="N163"/>
  <c r="N168" s="1"/>
  <c r="N162"/>
  <c r="N167" s="1"/>
  <c r="Q162"/>
  <c r="Q167" s="1"/>
  <c r="E114"/>
  <c r="E121" s="1"/>
  <c r="I114"/>
  <c r="I121" s="1"/>
  <c r="L111"/>
  <c r="O114"/>
  <c r="O121" s="1"/>
  <c r="L131"/>
  <c r="F114"/>
  <c r="F121" s="1"/>
  <c r="J114"/>
  <c r="J121" s="1"/>
  <c r="G114"/>
  <c r="G121" s="1"/>
  <c r="D114"/>
  <c r="D121" s="1"/>
  <c r="M114"/>
  <c r="M121" s="1"/>
  <c r="H114"/>
  <c r="H121" s="1"/>
  <c r="N114"/>
  <c r="N121" s="1"/>
  <c r="L112"/>
  <c r="L93"/>
  <c r="L94"/>
  <c r="L77"/>
  <c r="L61"/>
  <c r="L62"/>
  <c r="L78"/>
  <c r="L48"/>
  <c r="L37"/>
  <c r="L17"/>
  <c r="M179" l="1"/>
  <c r="M184" s="1"/>
  <c r="N179"/>
  <c r="N184" s="1"/>
  <c r="Q178"/>
  <c r="Q183" s="1"/>
  <c r="O179"/>
  <c r="O184" s="1"/>
  <c r="Q179"/>
  <c r="Q184" s="1"/>
  <c r="N178"/>
  <c r="N183" s="1"/>
  <c r="O178"/>
  <c r="O183" s="1"/>
  <c r="M178"/>
  <c r="M183" s="1"/>
  <c r="P178"/>
  <c r="P183" s="1"/>
  <c r="P179"/>
  <c r="P184" s="1"/>
  <c r="L27" l="1"/>
  <c r="R6" i="44" l="1"/>
  <c r="R7" s="1"/>
  <c r="R8" s="1"/>
  <c r="R9" s="1"/>
  <c r="R10" s="1"/>
  <c r="R11" s="1"/>
  <c r="R12" s="1"/>
  <c r="R13" s="1"/>
  <c r="R14" s="1"/>
  <c r="R15" s="1"/>
  <c r="R16" s="1"/>
  <c r="V6"/>
  <c r="V7"/>
  <c r="V8"/>
  <c r="V9"/>
  <c r="V10"/>
  <c r="V11"/>
  <c r="V12"/>
  <c r="V13"/>
  <c r="V14"/>
  <c r="V15"/>
  <c r="V16"/>
  <c r="V5"/>
  <c r="O6"/>
  <c r="O7"/>
  <c r="O8"/>
  <c r="O9"/>
  <c r="O10"/>
  <c r="O11"/>
  <c r="O12"/>
  <c r="O13"/>
  <c r="O14"/>
  <c r="O15"/>
  <c r="O16"/>
  <c r="O5"/>
  <c r="N4" i="43"/>
  <c r="Q132" i="27"/>
  <c r="Q133"/>
  <c r="Q148" s="1"/>
  <c r="Q134"/>
  <c r="Q149" s="1"/>
  <c r="Q135"/>
  <c r="Q150" s="1"/>
  <c r="Q136"/>
  <c r="Q151" s="1"/>
  <c r="Q137"/>
  <c r="Q152" s="1"/>
  <c r="Q138"/>
  <c r="Q153" s="1"/>
  <c r="Q139"/>
  <c r="Q154" s="1"/>
  <c r="Q140"/>
  <c r="Q155" s="1"/>
  <c r="Q141"/>
  <c r="Q156" s="1"/>
  <c r="Q142"/>
  <c r="Q157" s="1"/>
  <c r="Q158" l="1"/>
  <c r="N4" i="12" l="1"/>
  <c r="N5"/>
  <c r="N6"/>
  <c r="N7"/>
  <c r="N8"/>
  <c r="N9"/>
  <c r="N10"/>
  <c r="N11"/>
  <c r="N13"/>
  <c r="N14"/>
  <c r="J3" i="40"/>
  <c r="M3" i="27"/>
  <c r="M70" i="12"/>
  <c r="L70"/>
  <c r="J70"/>
  <c r="I70"/>
  <c r="H70"/>
  <c r="M69"/>
  <c r="L69"/>
  <c r="J69"/>
  <c r="I69"/>
  <c r="H69" s="1"/>
  <c r="I12" i="25"/>
  <c r="I11"/>
  <c r="I10"/>
  <c r="I9"/>
  <c r="I8"/>
  <c r="I19"/>
  <c r="I28"/>
  <c r="M144" i="14"/>
  <c r="N144"/>
  <c r="O144"/>
  <c r="F12" i="10"/>
  <c r="I58" i="46" s="1"/>
  <c r="H6" i="30"/>
  <c r="H7"/>
  <c r="H8"/>
  <c r="H9"/>
  <c r="H10"/>
  <c r="H11"/>
  <c r="H12"/>
  <c r="H13"/>
  <c r="H14"/>
  <c r="H15"/>
  <c r="H16"/>
  <c r="H17"/>
  <c r="G16"/>
  <c r="G15"/>
  <c r="G14"/>
  <c r="G13"/>
  <c r="G12"/>
  <c r="G11"/>
  <c r="G10"/>
  <c r="G9"/>
  <c r="G8"/>
  <c r="G7"/>
  <c r="G6"/>
  <c r="K6"/>
  <c r="C6"/>
  <c r="D123" i="39"/>
  <c r="D135" s="1"/>
  <c r="J122" i="40"/>
  <c r="J94"/>
  <c r="J95"/>
  <c r="J96"/>
  <c r="J97"/>
  <c r="J98"/>
  <c r="J81"/>
  <c r="J82"/>
  <c r="J83"/>
  <c r="J84"/>
  <c r="J85"/>
  <c r="J86"/>
  <c r="J87"/>
  <c r="J88"/>
  <c r="J89"/>
  <c r="J90"/>
  <c r="J91"/>
  <c r="J92"/>
  <c r="J93"/>
  <c r="J71"/>
  <c r="J72"/>
  <c r="J73"/>
  <c r="J74"/>
  <c r="J75"/>
  <c r="J76"/>
  <c r="J77"/>
  <c r="J78"/>
  <c r="J79"/>
  <c r="J80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16"/>
  <c r="J17"/>
  <c r="J18"/>
  <c r="J19"/>
  <c r="J20"/>
  <c r="J21"/>
  <c r="J22"/>
  <c r="J23"/>
  <c r="J24"/>
  <c r="J25"/>
  <c r="J26"/>
  <c r="J27"/>
  <c r="J28"/>
  <c r="J29"/>
  <c r="J30"/>
  <c r="J31"/>
  <c r="J5"/>
  <c r="J6"/>
  <c r="J7"/>
  <c r="J8"/>
  <c r="J9"/>
  <c r="J10"/>
  <c r="J11"/>
  <c r="J12"/>
  <c r="J13"/>
  <c r="J14"/>
  <c r="J15"/>
  <c r="J4"/>
  <c r="D6" i="30"/>
  <c r="D17"/>
  <c r="C17"/>
  <c r="P82" i="12"/>
  <c r="I40" i="36"/>
  <c r="I41"/>
  <c r="I42"/>
  <c r="I43"/>
  <c r="J43" s="1"/>
  <c r="F18" i="6" s="1"/>
  <c r="C114" i="38" s="1"/>
  <c r="I44" i="36"/>
  <c r="I45"/>
  <c r="I46"/>
  <c r="I47"/>
  <c r="J47" s="1"/>
  <c r="J18" i="6" s="1"/>
  <c r="C118" i="38" s="1"/>
  <c r="CU32" i="9"/>
  <c r="CU31"/>
  <c r="CU30"/>
  <c r="CU29"/>
  <c r="CU28"/>
  <c r="CU27"/>
  <c r="CU26"/>
  <c r="CU25"/>
  <c r="CU24"/>
  <c r="CU23"/>
  <c r="CU22"/>
  <c r="CU21"/>
  <c r="G7" i="14"/>
  <c r="H7"/>
  <c r="I7"/>
  <c r="J7"/>
  <c r="G8"/>
  <c r="H8"/>
  <c r="I8"/>
  <c r="G9"/>
  <c r="H9"/>
  <c r="I9"/>
  <c r="J9"/>
  <c r="F7"/>
  <c r="F9"/>
  <c r="F8"/>
  <c r="K135" i="27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34"/>
  <c r="K136"/>
  <c r="K137"/>
  <c r="K138" s="1"/>
  <c r="K139" s="1"/>
  <c r="K140" s="1"/>
  <c r="K141" s="1"/>
  <c r="K142" s="1"/>
  <c r="K143" s="1"/>
  <c r="K144" s="1"/>
  <c r="K145" s="1"/>
  <c r="K146" s="1"/>
  <c r="K147" s="1"/>
  <c r="K148" s="1"/>
  <c r="K149" s="1"/>
  <c r="K150" s="1"/>
  <c r="K151" s="1"/>
  <c r="K152" s="1"/>
  <c r="K153" s="1"/>
  <c r="K154" s="1"/>
  <c r="K155" s="1"/>
  <c r="K156" s="1"/>
  <c r="K157" s="1"/>
  <c r="K158" s="1"/>
  <c r="C4" i="25"/>
  <c r="O130" i="14"/>
  <c r="D62" i="45"/>
  <c r="N16" i="14"/>
  <c r="N9" s="1"/>
  <c r="O16"/>
  <c r="O9" s="1"/>
  <c r="D50" i="45"/>
  <c r="N130" i="14"/>
  <c r="D38" i="45"/>
  <c r="M130" i="14"/>
  <c r="D26" i="45"/>
  <c r="J130" i="14"/>
  <c r="D14" i="45"/>
  <c r="I130" i="14"/>
  <c r="I130" i="46" s="1"/>
  <c r="A4" i="45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N13" i="14"/>
  <c r="M13"/>
  <c r="O15"/>
  <c r="O129" s="1"/>
  <c r="N15"/>
  <c r="N8" s="1"/>
  <c r="M15"/>
  <c r="M8" s="1"/>
  <c r="J15"/>
  <c r="J8" s="1"/>
  <c r="I129"/>
  <c r="P15"/>
  <c r="P5" i="43"/>
  <c r="P6"/>
  <c r="P7"/>
  <c r="P8"/>
  <c r="P9"/>
  <c r="P10"/>
  <c r="P11"/>
  <c r="P12"/>
  <c r="P13"/>
  <c r="P14"/>
  <c r="P15"/>
  <c r="P4"/>
  <c r="C133" i="5"/>
  <c r="E134" i="40" s="1"/>
  <c r="E146" s="1"/>
  <c r="C122" i="5"/>
  <c r="E123" i="40" s="1"/>
  <c r="E135" s="1"/>
  <c r="G145" i="5"/>
  <c r="G136"/>
  <c r="G137"/>
  <c r="G138"/>
  <c r="G139"/>
  <c r="G140"/>
  <c r="G141"/>
  <c r="G142"/>
  <c r="G143"/>
  <c r="G144"/>
  <c r="L14" i="3"/>
  <c r="C17"/>
  <c r="C14"/>
  <c r="J5" i="36"/>
  <c r="J6"/>
  <c r="J7"/>
  <c r="J8"/>
  <c r="J9"/>
  <c r="J10"/>
  <c r="J11"/>
  <c r="J12"/>
  <c r="J13"/>
  <c r="J14"/>
  <c r="J15"/>
  <c r="J4"/>
  <c r="I17"/>
  <c r="J17"/>
  <c r="I18"/>
  <c r="J18"/>
  <c r="I19"/>
  <c r="J19"/>
  <c r="I20"/>
  <c r="J20"/>
  <c r="G16" i="6" s="1"/>
  <c r="C91" i="39" s="1"/>
  <c r="I21" i="36"/>
  <c r="J21" s="1"/>
  <c r="I22"/>
  <c r="J22" s="1"/>
  <c r="I16" i="6" s="1"/>
  <c r="I23" i="36"/>
  <c r="J23" s="1"/>
  <c r="I24"/>
  <c r="J24"/>
  <c r="K16" i="6" s="1"/>
  <c r="C95" i="39" s="1"/>
  <c r="I25" i="36"/>
  <c r="J25"/>
  <c r="L16" i="6" s="1"/>
  <c r="C96" i="39" s="1"/>
  <c r="I26" i="36"/>
  <c r="J26" s="1"/>
  <c r="M16" i="6" s="1"/>
  <c r="I27" i="36"/>
  <c r="J27" s="1"/>
  <c r="N16" i="6" s="1"/>
  <c r="I28" i="36"/>
  <c r="J28"/>
  <c r="C17" i="6" s="1"/>
  <c r="C99" i="39" s="1"/>
  <c r="I29" i="36"/>
  <c r="J29" s="1"/>
  <c r="I30"/>
  <c r="J30" s="1"/>
  <c r="E17" i="6"/>
  <c r="C101" i="40" s="1"/>
  <c r="I31" i="36"/>
  <c r="J31"/>
  <c r="F17" i="6" s="1"/>
  <c r="I32" i="36"/>
  <c r="J32" s="1"/>
  <c r="I33"/>
  <c r="J33" s="1"/>
  <c r="H17" i="6" s="1"/>
  <c r="C104" i="39" s="1"/>
  <c r="I34" i="36"/>
  <c r="J34" s="1"/>
  <c r="I35"/>
  <c r="J35"/>
  <c r="J17" i="6" s="1"/>
  <c r="I36" i="36"/>
  <c r="J36" s="1"/>
  <c r="I37"/>
  <c r="J37" s="1"/>
  <c r="L17" i="6" s="1"/>
  <c r="C108" i="39" s="1"/>
  <c r="I38" i="36"/>
  <c r="J38" s="1"/>
  <c r="I39"/>
  <c r="J39"/>
  <c r="N17" i="6" s="1"/>
  <c r="C110" i="38" s="1"/>
  <c r="J40" i="36"/>
  <c r="C18" i="6" s="1"/>
  <c r="C111" i="39" s="1"/>
  <c r="J41" i="36"/>
  <c r="D18" i="6" s="1"/>
  <c r="C112" i="38" s="1"/>
  <c r="J42" i="36"/>
  <c r="E18" i="6" s="1"/>
  <c r="C113" i="38" s="1"/>
  <c r="J44" i="36"/>
  <c r="G18" i="6" s="1"/>
  <c r="J45" i="36"/>
  <c r="H18" i="6" s="1"/>
  <c r="C116" i="40" s="1"/>
  <c r="J46" i="36"/>
  <c r="I18" i="6" s="1"/>
  <c r="C117" i="39" s="1"/>
  <c r="I16" i="36"/>
  <c r="J16" s="1"/>
  <c r="E8" i="25"/>
  <c r="CR32" i="9"/>
  <c r="CR14"/>
  <c r="CV34"/>
  <c r="CV32"/>
  <c r="CS32"/>
  <c r="CQ49"/>
  <c r="S70" i="12"/>
  <c r="S69"/>
  <c r="P16" i="43"/>
  <c r="Q15" i="14" s="1"/>
  <c r="V17" i="44"/>
  <c r="M145" i="14"/>
  <c r="N148" s="1"/>
  <c r="N151" s="1"/>
  <c r="L5" i="44"/>
  <c r="W5" s="1"/>
  <c r="L7"/>
  <c r="W7" s="1"/>
  <c r="D1468" s="1"/>
  <c r="L16"/>
  <c r="W16" s="1"/>
  <c r="BZ32" i="9"/>
  <c r="BZ31"/>
  <c r="BZ30"/>
  <c r="BZ29"/>
  <c r="BZ28"/>
  <c r="BZ27"/>
  <c r="BZ26"/>
  <c r="BZ25"/>
  <c r="BZ24"/>
  <c r="BZ23"/>
  <c r="BZ22"/>
  <c r="BZ21"/>
  <c r="BZ14"/>
  <c r="BZ13"/>
  <c r="BZ12"/>
  <c r="BZ11"/>
  <c r="BZ10"/>
  <c r="BZ9"/>
  <c r="BZ8"/>
  <c r="BZ7"/>
  <c r="BZ6"/>
  <c r="BZ5"/>
  <c r="BZ4"/>
  <c r="BZ3"/>
  <c r="CI32"/>
  <c r="CI31"/>
  <c r="CI30"/>
  <c r="CI29"/>
  <c r="CI28"/>
  <c r="CI27"/>
  <c r="CI26"/>
  <c r="CI25"/>
  <c r="CI24"/>
  <c r="CI23"/>
  <c r="CI22"/>
  <c r="CI21"/>
  <c r="CI14"/>
  <c r="CI13"/>
  <c r="CI12"/>
  <c r="CI11"/>
  <c r="CI10"/>
  <c r="CI9"/>
  <c r="CI8"/>
  <c r="CI7"/>
  <c r="CI6"/>
  <c r="CI5"/>
  <c r="CI3"/>
  <c r="CI4"/>
  <c r="CR49"/>
  <c r="CR31"/>
  <c r="CR30"/>
  <c r="CR29"/>
  <c r="CR28"/>
  <c r="CR27"/>
  <c r="CR26"/>
  <c r="CR25"/>
  <c r="CR24"/>
  <c r="CR23"/>
  <c r="CR22"/>
  <c r="CR21"/>
  <c r="CR13"/>
  <c r="CR12"/>
  <c r="CR11"/>
  <c r="CR10"/>
  <c r="CR9"/>
  <c r="CR8"/>
  <c r="CR7"/>
  <c r="CR6"/>
  <c r="CR5"/>
  <c r="CR4"/>
  <c r="CR3"/>
  <c r="D5" i="43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4"/>
  <c r="D8788"/>
  <c r="M17" i="44"/>
  <c r="P16"/>
  <c r="C8765"/>
  <c r="L15"/>
  <c r="W15" s="1"/>
  <c r="L14"/>
  <c r="W14" s="1"/>
  <c r="L13"/>
  <c r="W13" s="1"/>
  <c r="L12"/>
  <c r="W12" s="1"/>
  <c r="L11"/>
  <c r="W11" s="1"/>
  <c r="L10"/>
  <c r="W10" s="1"/>
  <c r="L9"/>
  <c r="W9" s="1"/>
  <c r="L8"/>
  <c r="W8" s="1"/>
  <c r="L6"/>
  <c r="W6" s="1"/>
  <c r="D750" s="1"/>
  <c r="M16" i="43"/>
  <c r="Q130" i="14"/>
  <c r="P5" i="44"/>
  <c r="E5" s="1"/>
  <c r="P15"/>
  <c r="P14"/>
  <c r="E6805" s="1"/>
  <c r="P13"/>
  <c r="P12"/>
  <c r="E5093" s="1"/>
  <c r="P11"/>
  <c r="P10"/>
  <c r="E3653" s="1"/>
  <c r="P9"/>
  <c r="P8"/>
  <c r="P7"/>
  <c r="E7919"/>
  <c r="E7786"/>
  <c r="E7732"/>
  <c r="E7700"/>
  <c r="E7668"/>
  <c r="E7636"/>
  <c r="E7604"/>
  <c r="E7580"/>
  <c r="E7564"/>
  <c r="E7007"/>
  <c r="E5867"/>
  <c r="E5899"/>
  <c r="E5931"/>
  <c r="E5963"/>
  <c r="E5995"/>
  <c r="E6027"/>
  <c r="E6059"/>
  <c r="E6091"/>
  <c r="E6528"/>
  <c r="E6496"/>
  <c r="E6464"/>
  <c r="E6432"/>
  <c r="E6400"/>
  <c r="E6368"/>
  <c r="E6336"/>
  <c r="E6304"/>
  <c r="E6272"/>
  <c r="E6240"/>
  <c r="E6208"/>
  <c r="E6176"/>
  <c r="E6144"/>
  <c r="E6112"/>
  <c r="E5094"/>
  <c r="E5096"/>
  <c r="E5098"/>
  <c r="E5100"/>
  <c r="E5102"/>
  <c r="E5104"/>
  <c r="E5106"/>
  <c r="E5108"/>
  <c r="E5110"/>
  <c r="E5112"/>
  <c r="E5114"/>
  <c r="E5116"/>
  <c r="E5118"/>
  <c r="E5120"/>
  <c r="E5122"/>
  <c r="E5124"/>
  <c r="E5126"/>
  <c r="E5128"/>
  <c r="E5130"/>
  <c r="E5132"/>
  <c r="E5134"/>
  <c r="E5136"/>
  <c r="E5138"/>
  <c r="E5140"/>
  <c r="E5142"/>
  <c r="E5144"/>
  <c r="E5146"/>
  <c r="E5148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836"/>
  <c r="E5835"/>
  <c r="E5834"/>
  <c r="E5833"/>
  <c r="E5832"/>
  <c r="E5831"/>
  <c r="E5830"/>
  <c r="E5829"/>
  <c r="E5828"/>
  <c r="E5827"/>
  <c r="E5826"/>
  <c r="E5825"/>
  <c r="E5824"/>
  <c r="E5823"/>
  <c r="E5822"/>
  <c r="E5821"/>
  <c r="E5820"/>
  <c r="E5819"/>
  <c r="E5818"/>
  <c r="E5817"/>
  <c r="E5816"/>
  <c r="E5815"/>
  <c r="E5814"/>
  <c r="E5813"/>
  <c r="E5812"/>
  <c r="E5811"/>
  <c r="E5810"/>
  <c r="E5809"/>
  <c r="E5808"/>
  <c r="E5807"/>
  <c r="E5806"/>
  <c r="E5805"/>
  <c r="E5804"/>
  <c r="E5803"/>
  <c r="E5802"/>
  <c r="E5801"/>
  <c r="E5800"/>
  <c r="E5799"/>
  <c r="E5798"/>
  <c r="E5797"/>
  <c r="E5796"/>
  <c r="E5795"/>
  <c r="E5794"/>
  <c r="E5793"/>
  <c r="E5792"/>
  <c r="E5791"/>
  <c r="E5790"/>
  <c r="E5789"/>
  <c r="E5788"/>
  <c r="E5787"/>
  <c r="E5786"/>
  <c r="E5785"/>
  <c r="E5784"/>
  <c r="E5783"/>
  <c r="E5782"/>
  <c r="E5781"/>
  <c r="E5780"/>
  <c r="E5779"/>
  <c r="E5778"/>
  <c r="E5777"/>
  <c r="E5776"/>
  <c r="E5775"/>
  <c r="E5774"/>
  <c r="E5773"/>
  <c r="E5772"/>
  <c r="E5771"/>
  <c r="E5770"/>
  <c r="E5769"/>
  <c r="E5768"/>
  <c r="E5767"/>
  <c r="E5766"/>
  <c r="E5765"/>
  <c r="E5764"/>
  <c r="E5763"/>
  <c r="E5762"/>
  <c r="E5761"/>
  <c r="E5760"/>
  <c r="E5759"/>
  <c r="E5758"/>
  <c r="E5757"/>
  <c r="E5756"/>
  <c r="E5755"/>
  <c r="E5754"/>
  <c r="E5753"/>
  <c r="E5752"/>
  <c r="E5751"/>
  <c r="E5750"/>
  <c r="E5749"/>
  <c r="E5748"/>
  <c r="E5747"/>
  <c r="E5746"/>
  <c r="E5745"/>
  <c r="E5744"/>
  <c r="E5743"/>
  <c r="E5742"/>
  <c r="E5741"/>
  <c r="E5740"/>
  <c r="E5739"/>
  <c r="E5738"/>
  <c r="E5737"/>
  <c r="E5736"/>
  <c r="E5735"/>
  <c r="E5734"/>
  <c r="E5733"/>
  <c r="E5732"/>
  <c r="E5731"/>
  <c r="E5730"/>
  <c r="E5729"/>
  <c r="E5728"/>
  <c r="E5727"/>
  <c r="E5726"/>
  <c r="E5725"/>
  <c r="E5724"/>
  <c r="E5723"/>
  <c r="E5722"/>
  <c r="E5721"/>
  <c r="E5720"/>
  <c r="E5719"/>
  <c r="E5718"/>
  <c r="E5717"/>
  <c r="E5716"/>
  <c r="E5715"/>
  <c r="E5714"/>
  <c r="E5713"/>
  <c r="E5712"/>
  <c r="E5711"/>
  <c r="E5710"/>
  <c r="E5709"/>
  <c r="E5708"/>
  <c r="E5707"/>
  <c r="E5706"/>
  <c r="E5705"/>
  <c r="E5704"/>
  <c r="E5703"/>
  <c r="E5702"/>
  <c r="E5701"/>
  <c r="E5700"/>
  <c r="E5699"/>
  <c r="E5698"/>
  <c r="E5697"/>
  <c r="E5696"/>
  <c r="E5695"/>
  <c r="E5694"/>
  <c r="E5693"/>
  <c r="E5692"/>
  <c r="E5691"/>
  <c r="E5690"/>
  <c r="E5689"/>
  <c r="E5688"/>
  <c r="E5687"/>
  <c r="E5686"/>
  <c r="E5685"/>
  <c r="E5684"/>
  <c r="E5683"/>
  <c r="E5682"/>
  <c r="E5681"/>
  <c r="E5680"/>
  <c r="E5679"/>
  <c r="E5678"/>
  <c r="E5677"/>
  <c r="E5676"/>
  <c r="E5675"/>
  <c r="E5674"/>
  <c r="E5673"/>
  <c r="E5672"/>
  <c r="E5671"/>
  <c r="E5670"/>
  <c r="E5669"/>
  <c r="E5668"/>
  <c r="E5667"/>
  <c r="E5666"/>
  <c r="E5665"/>
  <c r="E5664"/>
  <c r="E5663"/>
  <c r="E5662"/>
  <c r="E5661"/>
  <c r="E5660"/>
  <c r="E5659"/>
  <c r="E5658"/>
  <c r="E5657"/>
  <c r="E5656"/>
  <c r="E5655"/>
  <c r="E5654"/>
  <c r="E5653"/>
  <c r="E5652"/>
  <c r="E5651"/>
  <c r="E5650"/>
  <c r="E5649"/>
  <c r="E5648"/>
  <c r="E5647"/>
  <c r="E5646"/>
  <c r="E5645"/>
  <c r="E5644"/>
  <c r="E5643"/>
  <c r="E5642"/>
  <c r="E5641"/>
  <c r="E5640"/>
  <c r="E5639"/>
  <c r="E5638"/>
  <c r="E5637"/>
  <c r="E5636"/>
  <c r="E5635"/>
  <c r="E5634"/>
  <c r="E5633"/>
  <c r="E5632"/>
  <c r="E5631"/>
  <c r="E5630"/>
  <c r="E5629"/>
  <c r="E5628"/>
  <c r="E5627"/>
  <c r="E5626"/>
  <c r="E5625"/>
  <c r="E5624"/>
  <c r="E5623"/>
  <c r="E5622"/>
  <c r="E5621"/>
  <c r="E5620"/>
  <c r="E5619"/>
  <c r="E5618"/>
  <c r="E5617"/>
  <c r="E5616"/>
  <c r="E5615"/>
  <c r="E5614"/>
  <c r="E5613"/>
  <c r="E5612"/>
  <c r="E5611"/>
  <c r="E5610"/>
  <c r="E5609"/>
  <c r="E5608"/>
  <c r="E5607"/>
  <c r="E5606"/>
  <c r="E5605"/>
  <c r="E5604"/>
  <c r="E5603"/>
  <c r="E5602"/>
  <c r="E5601"/>
  <c r="E5600"/>
  <c r="E5599"/>
  <c r="E5598"/>
  <c r="E5597"/>
  <c r="E5596"/>
  <c r="E5595"/>
  <c r="E5594"/>
  <c r="E5593"/>
  <c r="E5592"/>
  <c r="E5591"/>
  <c r="E5590"/>
  <c r="E5589"/>
  <c r="E5588"/>
  <c r="E5587"/>
  <c r="E5586"/>
  <c r="E5585"/>
  <c r="E5584"/>
  <c r="E5583"/>
  <c r="E5582"/>
  <c r="E5581"/>
  <c r="E5580"/>
  <c r="E5579"/>
  <c r="E5578"/>
  <c r="E5577"/>
  <c r="E5576"/>
  <c r="E5575"/>
  <c r="E5574"/>
  <c r="E5573"/>
  <c r="E5572"/>
  <c r="E5571"/>
  <c r="E5570"/>
  <c r="E5569"/>
  <c r="E5568"/>
  <c r="E5567"/>
  <c r="E5566"/>
  <c r="E5565"/>
  <c r="E5564"/>
  <c r="E5563"/>
  <c r="E5562"/>
  <c r="E5561"/>
  <c r="E5560"/>
  <c r="E5559"/>
  <c r="E5558"/>
  <c r="E5557"/>
  <c r="E5556"/>
  <c r="E5555"/>
  <c r="E5554"/>
  <c r="E5553"/>
  <c r="E5552"/>
  <c r="E5551"/>
  <c r="E5550"/>
  <c r="E5549"/>
  <c r="E5548"/>
  <c r="E5547"/>
  <c r="E5546"/>
  <c r="E5545"/>
  <c r="E5544"/>
  <c r="E5543"/>
  <c r="E5542"/>
  <c r="E5541"/>
  <c r="E5540"/>
  <c r="E5539"/>
  <c r="E5538"/>
  <c r="E5537"/>
  <c r="E5536"/>
  <c r="E5535"/>
  <c r="E5534"/>
  <c r="E5533"/>
  <c r="E5532"/>
  <c r="E5531"/>
  <c r="E5530"/>
  <c r="E5529"/>
  <c r="E5528"/>
  <c r="E5527"/>
  <c r="E5526"/>
  <c r="E5525"/>
  <c r="E5524"/>
  <c r="E5523"/>
  <c r="E5522"/>
  <c r="E5521"/>
  <c r="E5520"/>
  <c r="E5519"/>
  <c r="E5518"/>
  <c r="E5517"/>
  <c r="E5516"/>
  <c r="E5515"/>
  <c r="E5514"/>
  <c r="E5513"/>
  <c r="E5512"/>
  <c r="E5511"/>
  <c r="E5510"/>
  <c r="E5509"/>
  <c r="E5508"/>
  <c r="E5507"/>
  <c r="E5506"/>
  <c r="E5505"/>
  <c r="E5504"/>
  <c r="E5503"/>
  <c r="E5502"/>
  <c r="E5501"/>
  <c r="E5500"/>
  <c r="E5499"/>
  <c r="E5498"/>
  <c r="E5497"/>
  <c r="E5496"/>
  <c r="E5495"/>
  <c r="E5494"/>
  <c r="E5493"/>
  <c r="E5492"/>
  <c r="E5491"/>
  <c r="E5490"/>
  <c r="E5489"/>
  <c r="E5488"/>
  <c r="E5487"/>
  <c r="E5486"/>
  <c r="E5485"/>
  <c r="E5484"/>
  <c r="E5483"/>
  <c r="E5482"/>
  <c r="E5481"/>
  <c r="E5480"/>
  <c r="E5479"/>
  <c r="E5478"/>
  <c r="E5477"/>
  <c r="E5476"/>
  <c r="E5475"/>
  <c r="E5474"/>
  <c r="E5473"/>
  <c r="E5472"/>
  <c r="E5471"/>
  <c r="E5470"/>
  <c r="E5469"/>
  <c r="E5468"/>
  <c r="E5467"/>
  <c r="E5466"/>
  <c r="E5465"/>
  <c r="E5464"/>
  <c r="E5463"/>
  <c r="E5462"/>
  <c r="E5461"/>
  <c r="E5460"/>
  <c r="E5459"/>
  <c r="E5458"/>
  <c r="E5457"/>
  <c r="E5456"/>
  <c r="E5455"/>
  <c r="E5454"/>
  <c r="E5453"/>
  <c r="E5452"/>
  <c r="E5451"/>
  <c r="E5450"/>
  <c r="E5449"/>
  <c r="E5448"/>
  <c r="E5447"/>
  <c r="E5446"/>
  <c r="E5445"/>
  <c r="E5444"/>
  <c r="E5443"/>
  <c r="E5442"/>
  <c r="E5441"/>
  <c r="E5440"/>
  <c r="E5439"/>
  <c r="E5438"/>
  <c r="E5437"/>
  <c r="E5436"/>
  <c r="E5435"/>
  <c r="E5434"/>
  <c r="E5433"/>
  <c r="E5432"/>
  <c r="E5431"/>
  <c r="E5430"/>
  <c r="E5429"/>
  <c r="E5428"/>
  <c r="E5427"/>
  <c r="E5426"/>
  <c r="E5425"/>
  <c r="E5424"/>
  <c r="E5423"/>
  <c r="E5422"/>
  <c r="E5421"/>
  <c r="E5420"/>
  <c r="E5419"/>
  <c r="E5418"/>
  <c r="E5417"/>
  <c r="E5416"/>
  <c r="E5415"/>
  <c r="E5414"/>
  <c r="E5413"/>
  <c r="E5412"/>
  <c r="E5411"/>
  <c r="E5410"/>
  <c r="E5409"/>
  <c r="E5408"/>
  <c r="E5407"/>
  <c r="E5406"/>
  <c r="E5405"/>
  <c r="E5404"/>
  <c r="E5403"/>
  <c r="E5402"/>
  <c r="E5401"/>
  <c r="E5400"/>
  <c r="E5399"/>
  <c r="E5398"/>
  <c r="E5397"/>
  <c r="E5396"/>
  <c r="E5395"/>
  <c r="E5394"/>
  <c r="E5393"/>
  <c r="E5392"/>
  <c r="E5391"/>
  <c r="E5390"/>
  <c r="E5389"/>
  <c r="E5388"/>
  <c r="E5387"/>
  <c r="E5386"/>
  <c r="E5385"/>
  <c r="E5384"/>
  <c r="E5383"/>
  <c r="E5382"/>
  <c r="E5381"/>
  <c r="E5380"/>
  <c r="E5379"/>
  <c r="E5378"/>
  <c r="E5377"/>
  <c r="E5376"/>
  <c r="E5375"/>
  <c r="E5374"/>
  <c r="E5373"/>
  <c r="E5372"/>
  <c r="E5371"/>
  <c r="E5370"/>
  <c r="E5369"/>
  <c r="E5368"/>
  <c r="E5367"/>
  <c r="E5366"/>
  <c r="E5365"/>
  <c r="E5364"/>
  <c r="E5363"/>
  <c r="E5362"/>
  <c r="E5361"/>
  <c r="E5360"/>
  <c r="E5359"/>
  <c r="E5358"/>
  <c r="E5357"/>
  <c r="E5356"/>
  <c r="E5355"/>
  <c r="E5354"/>
  <c r="E5353"/>
  <c r="E5352"/>
  <c r="E5351"/>
  <c r="E5350"/>
  <c r="E4357"/>
  <c r="E4389"/>
  <c r="E4421"/>
  <c r="E4453"/>
  <c r="E4485"/>
  <c r="E4517"/>
  <c r="E4549"/>
  <c r="E4581"/>
  <c r="E4601"/>
  <c r="E5082"/>
  <c r="E5066"/>
  <c r="E5050"/>
  <c r="E5034"/>
  <c r="E5018"/>
  <c r="E5002"/>
  <c r="E4986"/>
  <c r="E4970"/>
  <c r="E4954"/>
  <c r="E4938"/>
  <c r="E4922"/>
  <c r="E4906"/>
  <c r="E4890"/>
  <c r="E4874"/>
  <c r="E4858"/>
  <c r="E4842"/>
  <c r="E4826"/>
  <c r="E4810"/>
  <c r="E4794"/>
  <c r="E4778"/>
  <c r="E4762"/>
  <c r="E4746"/>
  <c r="E4730"/>
  <c r="E4714"/>
  <c r="E4698"/>
  <c r="E4682"/>
  <c r="E4666"/>
  <c r="E4650"/>
  <c r="E4634"/>
  <c r="E4618"/>
  <c r="E3696"/>
  <c r="E3779"/>
  <c r="E3843"/>
  <c r="E4328"/>
  <c r="E4264"/>
  <c r="E4200"/>
  <c r="E4136"/>
  <c r="E4072"/>
  <c r="E4008"/>
  <c r="E3944"/>
  <c r="E2888"/>
  <c r="E2904"/>
  <c r="E2920"/>
  <c r="E2936"/>
  <c r="E2952"/>
  <c r="E2968"/>
  <c r="E2984"/>
  <c r="E3000"/>
  <c r="E3016"/>
  <c r="E3032"/>
  <c r="E3048"/>
  <c r="E3064"/>
  <c r="E3080"/>
  <c r="E3096"/>
  <c r="E3112"/>
  <c r="E3128"/>
  <c r="E3627"/>
  <c r="E3611"/>
  <c r="E3595"/>
  <c r="E3579"/>
  <c r="E3563"/>
  <c r="E3547"/>
  <c r="E3531"/>
  <c r="E3515"/>
  <c r="E3499"/>
  <c r="E3483"/>
  <c r="E3467"/>
  <c r="E3451"/>
  <c r="E3435"/>
  <c r="E3423"/>
  <c r="E3412"/>
  <c r="E3404"/>
  <c r="E3396"/>
  <c r="E3388"/>
  <c r="E3380"/>
  <c r="E3372"/>
  <c r="E3364"/>
  <c r="E3356"/>
  <c r="E3348"/>
  <c r="E3340"/>
  <c r="E3332"/>
  <c r="E3324"/>
  <c r="E3316"/>
  <c r="E3308"/>
  <c r="E3300"/>
  <c r="E3292"/>
  <c r="E3284"/>
  <c r="E3276"/>
  <c r="E3268"/>
  <c r="E3260"/>
  <c r="E3252"/>
  <c r="E3244"/>
  <c r="E3236"/>
  <c r="E3228"/>
  <c r="E3220"/>
  <c r="E3212"/>
  <c r="E3204"/>
  <c r="E3196"/>
  <c r="E3188"/>
  <c r="E3180"/>
  <c r="E3172"/>
  <c r="E3164"/>
  <c r="E3156"/>
  <c r="E3148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165"/>
  <c r="E2884"/>
  <c r="E2883"/>
  <c r="E2882"/>
  <c r="E2881"/>
  <c r="E2880"/>
  <c r="E2879"/>
  <c r="E2878"/>
  <c r="E2877"/>
  <c r="E2876"/>
  <c r="E2875"/>
  <c r="E2874"/>
  <c r="E2873"/>
  <c r="E2872"/>
  <c r="E2871"/>
  <c r="E2870"/>
  <c r="E2869"/>
  <c r="E2868"/>
  <c r="E2867"/>
  <c r="E2866"/>
  <c r="E2865"/>
  <c r="E2864"/>
  <c r="E2863"/>
  <c r="E2862"/>
  <c r="E2861"/>
  <c r="E2860"/>
  <c r="E2859"/>
  <c r="E2858"/>
  <c r="E2857"/>
  <c r="E2856"/>
  <c r="E2855"/>
  <c r="E2854"/>
  <c r="E2853"/>
  <c r="E2852"/>
  <c r="E2851"/>
  <c r="E2850"/>
  <c r="E2849"/>
  <c r="E2848"/>
  <c r="E2847"/>
  <c r="E2846"/>
  <c r="E2845"/>
  <c r="E2844"/>
  <c r="E2843"/>
  <c r="E2842"/>
  <c r="E2841"/>
  <c r="E2840"/>
  <c r="E2839"/>
  <c r="E2838"/>
  <c r="E2837"/>
  <c r="E2836"/>
  <c r="E2835"/>
  <c r="E2834"/>
  <c r="E2833"/>
  <c r="E2832"/>
  <c r="E2831"/>
  <c r="E2830"/>
  <c r="E2829"/>
  <c r="E2828"/>
  <c r="E2827"/>
  <c r="E2826"/>
  <c r="E2825"/>
  <c r="E2824"/>
  <c r="E2823"/>
  <c r="E2822"/>
  <c r="E2821"/>
  <c r="E2820"/>
  <c r="E2819"/>
  <c r="E2818"/>
  <c r="E2817"/>
  <c r="E2816"/>
  <c r="E2815"/>
  <c r="E2814"/>
  <c r="E2813"/>
  <c r="E2812"/>
  <c r="E2811"/>
  <c r="E2810"/>
  <c r="E2809"/>
  <c r="E2808"/>
  <c r="E2807"/>
  <c r="E2806"/>
  <c r="E2805"/>
  <c r="E2804"/>
  <c r="E2803"/>
  <c r="E2802"/>
  <c r="E2801"/>
  <c r="E2800"/>
  <c r="E2799"/>
  <c r="E2798"/>
  <c r="E2797"/>
  <c r="E2796"/>
  <c r="E2795"/>
  <c r="E2794"/>
  <c r="E2793"/>
  <c r="E2792"/>
  <c r="E2791"/>
  <c r="E2790"/>
  <c r="E2789"/>
  <c r="E2788"/>
  <c r="E2787"/>
  <c r="E2786"/>
  <c r="E2785"/>
  <c r="E2784"/>
  <c r="E2783"/>
  <c r="E2782"/>
  <c r="E2781"/>
  <c r="E2780"/>
  <c r="E2779"/>
  <c r="E2778"/>
  <c r="E2777"/>
  <c r="E2776"/>
  <c r="E2775"/>
  <c r="E2774"/>
  <c r="E2773"/>
  <c r="E2772"/>
  <c r="E2771"/>
  <c r="E2770"/>
  <c r="E2769"/>
  <c r="E2768"/>
  <c r="E2767"/>
  <c r="E2766"/>
  <c r="E2765"/>
  <c r="E2764"/>
  <c r="E2763"/>
  <c r="E2762"/>
  <c r="E2761"/>
  <c r="E2760"/>
  <c r="E2759"/>
  <c r="E2758"/>
  <c r="E2757"/>
  <c r="E2756"/>
  <c r="E2755"/>
  <c r="E2754"/>
  <c r="E2753"/>
  <c r="E2752"/>
  <c r="E2751"/>
  <c r="E2750"/>
  <c r="E2749"/>
  <c r="E2748"/>
  <c r="E2747"/>
  <c r="E2746"/>
  <c r="E2745"/>
  <c r="E2744"/>
  <c r="E2743"/>
  <c r="E2742"/>
  <c r="E2741"/>
  <c r="E2740"/>
  <c r="E2739"/>
  <c r="E2738"/>
  <c r="E2737"/>
  <c r="E2736"/>
  <c r="E2735"/>
  <c r="E2734"/>
  <c r="E2733"/>
  <c r="E2732"/>
  <c r="E2731"/>
  <c r="E2730"/>
  <c r="E2729"/>
  <c r="E2728"/>
  <c r="E2727"/>
  <c r="E2726"/>
  <c r="E2725"/>
  <c r="E2724"/>
  <c r="E2723"/>
  <c r="E2722"/>
  <c r="E2721"/>
  <c r="E2720"/>
  <c r="E2719"/>
  <c r="E2718"/>
  <c r="E2717"/>
  <c r="E2716"/>
  <c r="E2715"/>
  <c r="E2714"/>
  <c r="E2713"/>
  <c r="E2712"/>
  <c r="E2711"/>
  <c r="E2710"/>
  <c r="E2709"/>
  <c r="E2708"/>
  <c r="E2707"/>
  <c r="E2706"/>
  <c r="E2705"/>
  <c r="E2704"/>
  <c r="E2703"/>
  <c r="E2702"/>
  <c r="E2701"/>
  <c r="E2700"/>
  <c r="E2699"/>
  <c r="E2698"/>
  <c r="E2697"/>
  <c r="E2696"/>
  <c r="E2695"/>
  <c r="E2694"/>
  <c r="E2693"/>
  <c r="E2692"/>
  <c r="E2691"/>
  <c r="E2690"/>
  <c r="E2689"/>
  <c r="E2688"/>
  <c r="E2687"/>
  <c r="E2686"/>
  <c r="E2685"/>
  <c r="E2684"/>
  <c r="E2683"/>
  <c r="E2682"/>
  <c r="E2681"/>
  <c r="E2680"/>
  <c r="E2679"/>
  <c r="E2678"/>
  <c r="E2677"/>
  <c r="E2676"/>
  <c r="E2675"/>
  <c r="E2674"/>
  <c r="E2673"/>
  <c r="E2672"/>
  <c r="E2671"/>
  <c r="E2670"/>
  <c r="E2669"/>
  <c r="E2668"/>
  <c r="E2667"/>
  <c r="E2666"/>
  <c r="E2665"/>
  <c r="E2664"/>
  <c r="E2663"/>
  <c r="E2662"/>
  <c r="E2661"/>
  <c r="E2660"/>
  <c r="E2659"/>
  <c r="E2658"/>
  <c r="E2657"/>
  <c r="E2656"/>
  <c r="E2655"/>
  <c r="E2654"/>
  <c r="E2653"/>
  <c r="E2652"/>
  <c r="E2651"/>
  <c r="E2650"/>
  <c r="E2649"/>
  <c r="E2648"/>
  <c r="E2647"/>
  <c r="E2646"/>
  <c r="E2645"/>
  <c r="E2644"/>
  <c r="E2643"/>
  <c r="E2642"/>
  <c r="E2641"/>
  <c r="E2640"/>
  <c r="E2639"/>
  <c r="E2638"/>
  <c r="E2637"/>
  <c r="E2636"/>
  <c r="E2635"/>
  <c r="E2634"/>
  <c r="E2633"/>
  <c r="E2632"/>
  <c r="E2631"/>
  <c r="E2630"/>
  <c r="E2629"/>
  <c r="E2628"/>
  <c r="E2627"/>
  <c r="E2626"/>
  <c r="E2625"/>
  <c r="E2624"/>
  <c r="E2623"/>
  <c r="E2622"/>
  <c r="E2621"/>
  <c r="E2620"/>
  <c r="E2619"/>
  <c r="E2618"/>
  <c r="E2617"/>
  <c r="E2616"/>
  <c r="E2615"/>
  <c r="E2614"/>
  <c r="E2613"/>
  <c r="E2612"/>
  <c r="E2611"/>
  <c r="E2610"/>
  <c r="E2609"/>
  <c r="E2608"/>
  <c r="E2607"/>
  <c r="E2606"/>
  <c r="E2605"/>
  <c r="E2604"/>
  <c r="E2603"/>
  <c r="E2602"/>
  <c r="E2601"/>
  <c r="E2600"/>
  <c r="E2599"/>
  <c r="E2598"/>
  <c r="E2597"/>
  <c r="E2596"/>
  <c r="E2595"/>
  <c r="E2594"/>
  <c r="E2593"/>
  <c r="E2592"/>
  <c r="E2591"/>
  <c r="E2590"/>
  <c r="E2589"/>
  <c r="E2588"/>
  <c r="E2587"/>
  <c r="E2586"/>
  <c r="E2585"/>
  <c r="E2584"/>
  <c r="E2583"/>
  <c r="E2582"/>
  <c r="E2581"/>
  <c r="E2580"/>
  <c r="E2579"/>
  <c r="E2578"/>
  <c r="E2577"/>
  <c r="E2576"/>
  <c r="E2575"/>
  <c r="E2574"/>
  <c r="E2573"/>
  <c r="E2572"/>
  <c r="E2571"/>
  <c r="E2570"/>
  <c r="E2569"/>
  <c r="E2568"/>
  <c r="E2567"/>
  <c r="E2566"/>
  <c r="E2565"/>
  <c r="E2564"/>
  <c r="E2563"/>
  <c r="E2562"/>
  <c r="E2561"/>
  <c r="E2560"/>
  <c r="E2559"/>
  <c r="E2558"/>
  <c r="E2557"/>
  <c r="E2556"/>
  <c r="E2555"/>
  <c r="E2554"/>
  <c r="E2553"/>
  <c r="E2552"/>
  <c r="E2551"/>
  <c r="E2550"/>
  <c r="E2549"/>
  <c r="E2548"/>
  <c r="E2547"/>
  <c r="E2546"/>
  <c r="E2545"/>
  <c r="E2544"/>
  <c r="E2543"/>
  <c r="E2542"/>
  <c r="E2541"/>
  <c r="E2540"/>
  <c r="E2539"/>
  <c r="E2538"/>
  <c r="E2537"/>
  <c r="E2536"/>
  <c r="E2535"/>
  <c r="E2534"/>
  <c r="E2533"/>
  <c r="E2532"/>
  <c r="E2531"/>
  <c r="E2530"/>
  <c r="E2529"/>
  <c r="E2528"/>
  <c r="E2527"/>
  <c r="E2526"/>
  <c r="E2525"/>
  <c r="E2524"/>
  <c r="E2523"/>
  <c r="E2522"/>
  <c r="E2521"/>
  <c r="E2520"/>
  <c r="E2519"/>
  <c r="E2518"/>
  <c r="E2517"/>
  <c r="E2516"/>
  <c r="E2515"/>
  <c r="E2514"/>
  <c r="E2513"/>
  <c r="E2512"/>
  <c r="E2511"/>
  <c r="E2510"/>
  <c r="E2509"/>
  <c r="E2508"/>
  <c r="E2507"/>
  <c r="E2506"/>
  <c r="E2505"/>
  <c r="E2504"/>
  <c r="E2503"/>
  <c r="E2502"/>
  <c r="E2501"/>
  <c r="E2500"/>
  <c r="E2499"/>
  <c r="E2498"/>
  <c r="E2497"/>
  <c r="E2496"/>
  <c r="E2495"/>
  <c r="E2494"/>
  <c r="E2493"/>
  <c r="E2492"/>
  <c r="E2491"/>
  <c r="E2490"/>
  <c r="E2489"/>
  <c r="E2488"/>
  <c r="E2487"/>
  <c r="E2486"/>
  <c r="E2485"/>
  <c r="E2484"/>
  <c r="E2483"/>
  <c r="E2482"/>
  <c r="E2481"/>
  <c r="E2480"/>
  <c r="E2479"/>
  <c r="E2478"/>
  <c r="E2477"/>
  <c r="E2476"/>
  <c r="E2475"/>
  <c r="E2474"/>
  <c r="E2473"/>
  <c r="E2472"/>
  <c r="E2471"/>
  <c r="E2470"/>
  <c r="E2469"/>
  <c r="E2468"/>
  <c r="E2467"/>
  <c r="E2466"/>
  <c r="E2465"/>
  <c r="E2464"/>
  <c r="E2463"/>
  <c r="E2462"/>
  <c r="E2461"/>
  <c r="E2460"/>
  <c r="E2459"/>
  <c r="E2458"/>
  <c r="E2457"/>
  <c r="E2456"/>
  <c r="E2455"/>
  <c r="E2454"/>
  <c r="E2453"/>
  <c r="E2452"/>
  <c r="E2451"/>
  <c r="E2450"/>
  <c r="E2449"/>
  <c r="E2448"/>
  <c r="E2447"/>
  <c r="E2446"/>
  <c r="E2445"/>
  <c r="E2444"/>
  <c r="E2443"/>
  <c r="E2442"/>
  <c r="E2441"/>
  <c r="E2440"/>
  <c r="E2439"/>
  <c r="E2438"/>
  <c r="E2437"/>
  <c r="E2436"/>
  <c r="E2435"/>
  <c r="E2434"/>
  <c r="E2433"/>
  <c r="E2432"/>
  <c r="E2431"/>
  <c r="E2430"/>
  <c r="E2429"/>
  <c r="E2428"/>
  <c r="E2427"/>
  <c r="E2426"/>
  <c r="E2425"/>
  <c r="E2424"/>
  <c r="E2423"/>
  <c r="E2422"/>
  <c r="E1423"/>
  <c r="E1425"/>
  <c r="E1429"/>
  <c r="E1430"/>
  <c r="E1434"/>
  <c r="E1435"/>
  <c r="E1439"/>
  <c r="E1441"/>
  <c r="E1445"/>
  <c r="E1446"/>
  <c r="E1450"/>
  <c r="E1451"/>
  <c r="E1455"/>
  <c r="E1457"/>
  <c r="E1461"/>
  <c r="E1462"/>
  <c r="E1466"/>
  <c r="E1467"/>
  <c r="E1471"/>
  <c r="E1473"/>
  <c r="E1477"/>
  <c r="E1478"/>
  <c r="E1482"/>
  <c r="E1483"/>
  <c r="E1487"/>
  <c r="E1489"/>
  <c r="E1493"/>
  <c r="E1494"/>
  <c r="E1498"/>
  <c r="E1499"/>
  <c r="E1503"/>
  <c r="E1505"/>
  <c r="E1509"/>
  <c r="E1510"/>
  <c r="E1514"/>
  <c r="E1515"/>
  <c r="E1519"/>
  <c r="E1521"/>
  <c r="E1525"/>
  <c r="E1526"/>
  <c r="E1530"/>
  <c r="E1531"/>
  <c r="E1535"/>
  <c r="E1537"/>
  <c r="E1541"/>
  <c r="E1542"/>
  <c r="E1546"/>
  <c r="E1547"/>
  <c r="E1551"/>
  <c r="E1553"/>
  <c r="E1557"/>
  <c r="E1558"/>
  <c r="E1562"/>
  <c r="E1563"/>
  <c r="E1567"/>
  <c r="E1569"/>
  <c r="E1573"/>
  <c r="E1574"/>
  <c r="E1578"/>
  <c r="E1579"/>
  <c r="E1583"/>
  <c r="E1585"/>
  <c r="E1589"/>
  <c r="E1590"/>
  <c r="E1594"/>
  <c r="E1595"/>
  <c r="E1599"/>
  <c r="E1601"/>
  <c r="E1605"/>
  <c r="E1606"/>
  <c r="E1610"/>
  <c r="E1611"/>
  <c r="E1615"/>
  <c r="E1617"/>
  <c r="E1621"/>
  <c r="E1622"/>
  <c r="E1626"/>
  <c r="E1627"/>
  <c r="E1631"/>
  <c r="E1633"/>
  <c r="E1637"/>
  <c r="E1638"/>
  <c r="E1642"/>
  <c r="E1643"/>
  <c r="E1647"/>
  <c r="E1649"/>
  <c r="E1653"/>
  <c r="E1654"/>
  <c r="E1658"/>
  <c r="E1659"/>
  <c r="E1663"/>
  <c r="E1665"/>
  <c r="E1669"/>
  <c r="E1670"/>
  <c r="E1673"/>
  <c r="E1674"/>
  <c r="E1677"/>
  <c r="E1421"/>
  <c r="E2162"/>
  <c r="E2161"/>
  <c r="E2158"/>
  <c r="E2157"/>
  <c r="E2154"/>
  <c r="E2153"/>
  <c r="E2150"/>
  <c r="E2149"/>
  <c r="E2146"/>
  <c r="E2145"/>
  <c r="E2142"/>
  <c r="E2141"/>
  <c r="E2138"/>
  <c r="E2137"/>
  <c r="E2134"/>
  <c r="E2133"/>
  <c r="E2130"/>
  <c r="E2129"/>
  <c r="E2126"/>
  <c r="E2125"/>
  <c r="E2122"/>
  <c r="E2121"/>
  <c r="E2118"/>
  <c r="E2117"/>
  <c r="E2114"/>
  <c r="E2113"/>
  <c r="E2110"/>
  <c r="E2109"/>
  <c r="E2106"/>
  <c r="E2105"/>
  <c r="E2102"/>
  <c r="E2101"/>
  <c r="E2098"/>
  <c r="E2097"/>
  <c r="E2094"/>
  <c r="E2093"/>
  <c r="E2090"/>
  <c r="E2089"/>
  <c r="E2086"/>
  <c r="E2085"/>
  <c r="E2082"/>
  <c r="E2081"/>
  <c r="E2078"/>
  <c r="E2077"/>
  <c r="E2074"/>
  <c r="E2073"/>
  <c r="E2070"/>
  <c r="E2069"/>
  <c r="E2066"/>
  <c r="E2065"/>
  <c r="E2062"/>
  <c r="E2061"/>
  <c r="E2058"/>
  <c r="E2057"/>
  <c r="E2054"/>
  <c r="E2053"/>
  <c r="E2050"/>
  <c r="E2049"/>
  <c r="E2046"/>
  <c r="E2045"/>
  <c r="E2042"/>
  <c r="E2041"/>
  <c r="E2038"/>
  <c r="E2037"/>
  <c r="E2034"/>
  <c r="E2033"/>
  <c r="E2030"/>
  <c r="E2029"/>
  <c r="E2026"/>
  <c r="E2025"/>
  <c r="E2022"/>
  <c r="E2021"/>
  <c r="E2018"/>
  <c r="E2017"/>
  <c r="E2014"/>
  <c r="E2013"/>
  <c r="E2010"/>
  <c r="E2009"/>
  <c r="E2006"/>
  <c r="E2005"/>
  <c r="E2002"/>
  <c r="E2001"/>
  <c r="E1998"/>
  <c r="E1997"/>
  <c r="E1994"/>
  <c r="E1993"/>
  <c r="E1990"/>
  <c r="E1989"/>
  <c r="E1986"/>
  <c r="E1985"/>
  <c r="E1982"/>
  <c r="E1981"/>
  <c r="E1978"/>
  <c r="E1977"/>
  <c r="E1974"/>
  <c r="E1973"/>
  <c r="E1970"/>
  <c r="E1969"/>
  <c r="E1966"/>
  <c r="E1965"/>
  <c r="E1962"/>
  <c r="E1961"/>
  <c r="E1958"/>
  <c r="E1957"/>
  <c r="E1954"/>
  <c r="E1953"/>
  <c r="E1950"/>
  <c r="E1949"/>
  <c r="E1946"/>
  <c r="E1945"/>
  <c r="E1942"/>
  <c r="E1941"/>
  <c r="E1938"/>
  <c r="E1937"/>
  <c r="E1934"/>
  <c r="E1933"/>
  <c r="E1930"/>
  <c r="E1929"/>
  <c r="E1926"/>
  <c r="E1925"/>
  <c r="E1922"/>
  <c r="E1921"/>
  <c r="E1918"/>
  <c r="E1917"/>
  <c r="E1914"/>
  <c r="E1913"/>
  <c r="E1910"/>
  <c r="E1909"/>
  <c r="E1906"/>
  <c r="E1905"/>
  <c r="E1902"/>
  <c r="E1901"/>
  <c r="E1898"/>
  <c r="E1897"/>
  <c r="E1894"/>
  <c r="E1893"/>
  <c r="E1890"/>
  <c r="E1889"/>
  <c r="E1886"/>
  <c r="E1885"/>
  <c r="E1882"/>
  <c r="E1881"/>
  <c r="E1878"/>
  <c r="E1877"/>
  <c r="E1874"/>
  <c r="E1873"/>
  <c r="E1870"/>
  <c r="E1869"/>
  <c r="E1866"/>
  <c r="E1865"/>
  <c r="E1862"/>
  <c r="E1861"/>
  <c r="E1858"/>
  <c r="E1857"/>
  <c r="E1854"/>
  <c r="E1853"/>
  <c r="E1850"/>
  <c r="E1849"/>
  <c r="E1846"/>
  <c r="E1845"/>
  <c r="E1842"/>
  <c r="E1841"/>
  <c r="E1838"/>
  <c r="E1837"/>
  <c r="E1834"/>
  <c r="E1833"/>
  <c r="E1830"/>
  <c r="E1829"/>
  <c r="E1826"/>
  <c r="E1825"/>
  <c r="E1822"/>
  <c r="E1821"/>
  <c r="E1818"/>
  <c r="E1817"/>
  <c r="E1814"/>
  <c r="E1813"/>
  <c r="E1810"/>
  <c r="E1809"/>
  <c r="E1806"/>
  <c r="E1805"/>
  <c r="E1802"/>
  <c r="E1801"/>
  <c r="E1798"/>
  <c r="E1797"/>
  <c r="E1794"/>
  <c r="E1793"/>
  <c r="E1790"/>
  <c r="E1789"/>
  <c r="E1786"/>
  <c r="E1785"/>
  <c r="E1782"/>
  <c r="E1781"/>
  <c r="E1778"/>
  <c r="E1777"/>
  <c r="E1774"/>
  <c r="E1773"/>
  <c r="E1770"/>
  <c r="E1769"/>
  <c r="E1766"/>
  <c r="E1765"/>
  <c r="E1762"/>
  <c r="E1761"/>
  <c r="E1758"/>
  <c r="E1757"/>
  <c r="E1754"/>
  <c r="E1753"/>
  <c r="E1750"/>
  <c r="E1749"/>
  <c r="E1746"/>
  <c r="E1745"/>
  <c r="E1742"/>
  <c r="E1741"/>
  <c r="E1738"/>
  <c r="E1737"/>
  <c r="E1734"/>
  <c r="E1733"/>
  <c r="E1730"/>
  <c r="E1729"/>
  <c r="E1726"/>
  <c r="E1725"/>
  <c r="E1722"/>
  <c r="E1721"/>
  <c r="E1718"/>
  <c r="E1717"/>
  <c r="E1714"/>
  <c r="E1713"/>
  <c r="E1710"/>
  <c r="E1709"/>
  <c r="E1706"/>
  <c r="E1705"/>
  <c r="E1702"/>
  <c r="E1701"/>
  <c r="E1698"/>
  <c r="E1697"/>
  <c r="E1694"/>
  <c r="E1693"/>
  <c r="E1690"/>
  <c r="E1689"/>
  <c r="E1686"/>
  <c r="E1685"/>
  <c r="E1682"/>
  <c r="E1681"/>
  <c r="E1678"/>
  <c r="O17"/>
  <c r="E748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11"/>
  <c r="E10"/>
  <c r="E9"/>
  <c r="E8"/>
  <c r="E6"/>
  <c r="E7"/>
  <c r="F747" i="43"/>
  <c r="F1443"/>
  <c r="F2187"/>
  <c r="F2907"/>
  <c r="F3651"/>
  <c r="F4371"/>
  <c r="F5115"/>
  <c r="F5859"/>
  <c r="F6579"/>
  <c r="F7323"/>
  <c r="F8043"/>
  <c r="F8787"/>
  <c r="F4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748"/>
  <c r="F8786"/>
  <c r="F8785"/>
  <c r="F8784"/>
  <c r="F8783"/>
  <c r="F8782"/>
  <c r="F8781"/>
  <c r="F8780"/>
  <c r="F8779"/>
  <c r="F8778"/>
  <c r="F8777"/>
  <c r="F8776"/>
  <c r="F8775"/>
  <c r="F8774"/>
  <c r="F8773"/>
  <c r="F8772"/>
  <c r="F8771"/>
  <c r="F8770"/>
  <c r="F8769"/>
  <c r="F8768"/>
  <c r="F8767"/>
  <c r="F8766"/>
  <c r="F8765"/>
  <c r="F8764"/>
  <c r="F8763"/>
  <c r="F8762"/>
  <c r="F8761"/>
  <c r="F8760"/>
  <c r="F8759"/>
  <c r="F8758"/>
  <c r="F8757"/>
  <c r="F8756"/>
  <c r="F8755"/>
  <c r="F8754"/>
  <c r="F8753"/>
  <c r="F8752"/>
  <c r="F8751"/>
  <c r="F8750"/>
  <c r="F8749"/>
  <c r="F8748"/>
  <c r="F8747"/>
  <c r="F8746"/>
  <c r="F8745"/>
  <c r="F8744"/>
  <c r="F8743"/>
  <c r="F8742"/>
  <c r="F8741"/>
  <c r="F8740"/>
  <c r="F8739"/>
  <c r="F8738"/>
  <c r="F8737"/>
  <c r="F8736"/>
  <c r="F8735"/>
  <c r="F8734"/>
  <c r="F8733"/>
  <c r="F8732"/>
  <c r="F8731"/>
  <c r="F8730"/>
  <c r="F8729"/>
  <c r="F8728"/>
  <c r="F8727"/>
  <c r="F8726"/>
  <c r="F8725"/>
  <c r="F8724"/>
  <c r="F8723"/>
  <c r="F8722"/>
  <c r="F8721"/>
  <c r="F8720"/>
  <c r="F8719"/>
  <c r="F8718"/>
  <c r="F8717"/>
  <c r="F8716"/>
  <c r="F8715"/>
  <c r="F8714"/>
  <c r="F8713"/>
  <c r="F8712"/>
  <c r="F8711"/>
  <c r="F8710"/>
  <c r="F8709"/>
  <c r="F8708"/>
  <c r="F8707"/>
  <c r="F8706"/>
  <c r="F8705"/>
  <c r="F8704"/>
  <c r="F8703"/>
  <c r="F8702"/>
  <c r="F8701"/>
  <c r="F8700"/>
  <c r="F8699"/>
  <c r="F8698"/>
  <c r="F8697"/>
  <c r="F8696"/>
  <c r="F8695"/>
  <c r="F8694"/>
  <c r="F8693"/>
  <c r="F8692"/>
  <c r="F8691"/>
  <c r="F8690"/>
  <c r="F8689"/>
  <c r="F8688"/>
  <c r="F8687"/>
  <c r="F8686"/>
  <c r="F8685"/>
  <c r="F8684"/>
  <c r="F8683"/>
  <c r="F8682"/>
  <c r="F8681"/>
  <c r="F8680"/>
  <c r="F8679"/>
  <c r="F8678"/>
  <c r="F8677"/>
  <c r="F8676"/>
  <c r="F8675"/>
  <c r="F8674"/>
  <c r="F8673"/>
  <c r="F8672"/>
  <c r="F8671"/>
  <c r="F8670"/>
  <c r="F8669"/>
  <c r="F8668"/>
  <c r="F8667"/>
  <c r="F8666"/>
  <c r="F8665"/>
  <c r="F8664"/>
  <c r="F8663"/>
  <c r="F8662"/>
  <c r="F8661"/>
  <c r="F8660"/>
  <c r="F8659"/>
  <c r="F8658"/>
  <c r="F8657"/>
  <c r="F8656"/>
  <c r="F8655"/>
  <c r="F8654"/>
  <c r="F8653"/>
  <c r="F8652"/>
  <c r="F8651"/>
  <c r="F8650"/>
  <c r="F8649"/>
  <c r="F8648"/>
  <c r="F8647"/>
  <c r="F8646"/>
  <c r="F8645"/>
  <c r="F8644"/>
  <c r="F8643"/>
  <c r="F8642"/>
  <c r="F8641"/>
  <c r="F8640"/>
  <c r="F8639"/>
  <c r="F8638"/>
  <c r="F8637"/>
  <c r="F8636"/>
  <c r="F8635"/>
  <c r="F8634"/>
  <c r="F8633"/>
  <c r="F8632"/>
  <c r="F8631"/>
  <c r="F8630"/>
  <c r="F8629"/>
  <c r="F8628"/>
  <c r="F8627"/>
  <c r="F8626"/>
  <c r="F8625"/>
  <c r="F8624"/>
  <c r="F8623"/>
  <c r="F8622"/>
  <c r="F8621"/>
  <c r="F8620"/>
  <c r="F8619"/>
  <c r="F8618"/>
  <c r="F8617"/>
  <c r="F8616"/>
  <c r="F8615"/>
  <c r="F8614"/>
  <c r="F8613"/>
  <c r="F8612"/>
  <c r="F8611"/>
  <c r="F8610"/>
  <c r="F8609"/>
  <c r="F8608"/>
  <c r="F8607"/>
  <c r="F8606"/>
  <c r="F8605"/>
  <c r="F8604"/>
  <c r="F8603"/>
  <c r="F8602"/>
  <c r="F8601"/>
  <c r="F8600"/>
  <c r="F8599"/>
  <c r="F8598"/>
  <c r="F8597"/>
  <c r="F8596"/>
  <c r="F8595"/>
  <c r="F8594"/>
  <c r="F8593"/>
  <c r="F8592"/>
  <c r="F8591"/>
  <c r="F8590"/>
  <c r="F8589"/>
  <c r="F8588"/>
  <c r="F8587"/>
  <c r="F8586"/>
  <c r="F8585"/>
  <c r="F8584"/>
  <c r="F8583"/>
  <c r="F8582"/>
  <c r="F8581"/>
  <c r="F8580"/>
  <c r="F8579"/>
  <c r="F8578"/>
  <c r="F8577"/>
  <c r="F8576"/>
  <c r="F8575"/>
  <c r="F8574"/>
  <c r="F8573"/>
  <c r="F8572"/>
  <c r="F8571"/>
  <c r="F8570"/>
  <c r="F8569"/>
  <c r="F8568"/>
  <c r="F8567"/>
  <c r="F8566"/>
  <c r="F8565"/>
  <c r="F8564"/>
  <c r="F8563"/>
  <c r="F8562"/>
  <c r="F8561"/>
  <c r="F8560"/>
  <c r="F8559"/>
  <c r="F8558"/>
  <c r="F8557"/>
  <c r="F8556"/>
  <c r="F8555"/>
  <c r="F8554"/>
  <c r="F8553"/>
  <c r="F8552"/>
  <c r="F8551"/>
  <c r="F8550"/>
  <c r="F8549"/>
  <c r="F8548"/>
  <c r="F8547"/>
  <c r="F8546"/>
  <c r="F8545"/>
  <c r="F8544"/>
  <c r="F8543"/>
  <c r="F8542"/>
  <c r="F8541"/>
  <c r="F8540"/>
  <c r="F8539"/>
  <c r="F8538"/>
  <c r="F8537"/>
  <c r="F8536"/>
  <c r="F8535"/>
  <c r="F8534"/>
  <c r="F8533"/>
  <c r="F8532"/>
  <c r="F8531"/>
  <c r="F8530"/>
  <c r="F8529"/>
  <c r="F8528"/>
  <c r="F8527"/>
  <c r="F8526"/>
  <c r="F8525"/>
  <c r="F8524"/>
  <c r="F8523"/>
  <c r="F8522"/>
  <c r="F8521"/>
  <c r="F8520"/>
  <c r="F8519"/>
  <c r="F8518"/>
  <c r="F8517"/>
  <c r="F8516"/>
  <c r="F8515"/>
  <c r="F8514"/>
  <c r="F8513"/>
  <c r="F8512"/>
  <c r="F8511"/>
  <c r="F8510"/>
  <c r="F8509"/>
  <c r="F8508"/>
  <c r="F8507"/>
  <c r="F8506"/>
  <c r="F8505"/>
  <c r="F8504"/>
  <c r="F8503"/>
  <c r="F8502"/>
  <c r="F8501"/>
  <c r="F8500"/>
  <c r="F8499"/>
  <c r="F8498"/>
  <c r="F8497"/>
  <c r="F8496"/>
  <c r="F8495"/>
  <c r="F8494"/>
  <c r="F8493"/>
  <c r="F8492"/>
  <c r="F8491"/>
  <c r="F8490"/>
  <c r="F8489"/>
  <c r="F8488"/>
  <c r="F8487"/>
  <c r="F8486"/>
  <c r="F8485"/>
  <c r="F8484"/>
  <c r="F8483"/>
  <c r="F8482"/>
  <c r="F8481"/>
  <c r="F8480"/>
  <c r="F8479"/>
  <c r="F8478"/>
  <c r="F8477"/>
  <c r="F8476"/>
  <c r="F8475"/>
  <c r="F8474"/>
  <c r="F8473"/>
  <c r="F8472"/>
  <c r="F8471"/>
  <c r="F8470"/>
  <c r="F8469"/>
  <c r="F8468"/>
  <c r="F8467"/>
  <c r="F8466"/>
  <c r="F8465"/>
  <c r="F8464"/>
  <c r="F8463"/>
  <c r="F8462"/>
  <c r="F8461"/>
  <c r="F8460"/>
  <c r="F8459"/>
  <c r="F8458"/>
  <c r="F8457"/>
  <c r="F8456"/>
  <c r="F8455"/>
  <c r="F8454"/>
  <c r="F8453"/>
  <c r="F8452"/>
  <c r="F8451"/>
  <c r="F8450"/>
  <c r="F8449"/>
  <c r="F8448"/>
  <c r="F8447"/>
  <c r="F8446"/>
  <c r="F8445"/>
  <c r="F8444"/>
  <c r="F8443"/>
  <c r="F8442"/>
  <c r="F8441"/>
  <c r="F8440"/>
  <c r="F8439"/>
  <c r="F8438"/>
  <c r="F8437"/>
  <c r="F8436"/>
  <c r="F8435"/>
  <c r="F8434"/>
  <c r="F8433"/>
  <c r="F8432"/>
  <c r="F8431"/>
  <c r="F8430"/>
  <c r="F8429"/>
  <c r="F8428"/>
  <c r="F8427"/>
  <c r="F8426"/>
  <c r="F8425"/>
  <c r="F8424"/>
  <c r="F8423"/>
  <c r="F8422"/>
  <c r="F8421"/>
  <c r="F8420"/>
  <c r="F8419"/>
  <c r="F8418"/>
  <c r="F8417"/>
  <c r="F8416"/>
  <c r="F8415"/>
  <c r="F8414"/>
  <c r="F8413"/>
  <c r="F8412"/>
  <c r="F8411"/>
  <c r="F8410"/>
  <c r="F8409"/>
  <c r="F8408"/>
  <c r="F8407"/>
  <c r="F8406"/>
  <c r="F8405"/>
  <c r="F8404"/>
  <c r="F8403"/>
  <c r="F8402"/>
  <c r="F8401"/>
  <c r="F8400"/>
  <c r="F8399"/>
  <c r="F8398"/>
  <c r="F8397"/>
  <c r="F8396"/>
  <c r="F8395"/>
  <c r="F8394"/>
  <c r="F8393"/>
  <c r="F8392"/>
  <c r="F8391"/>
  <c r="F8390"/>
  <c r="F8389"/>
  <c r="F8388"/>
  <c r="F8387"/>
  <c r="F8386"/>
  <c r="F8385"/>
  <c r="F8384"/>
  <c r="F8383"/>
  <c r="F8382"/>
  <c r="F8381"/>
  <c r="F8380"/>
  <c r="F8379"/>
  <c r="F8378"/>
  <c r="F8377"/>
  <c r="F8376"/>
  <c r="F8375"/>
  <c r="F8374"/>
  <c r="F8373"/>
  <c r="F8372"/>
  <c r="F8371"/>
  <c r="F8370"/>
  <c r="F8369"/>
  <c r="F8368"/>
  <c r="F8367"/>
  <c r="F8366"/>
  <c r="F8365"/>
  <c r="F8364"/>
  <c r="F8363"/>
  <c r="F8362"/>
  <c r="F8361"/>
  <c r="F8360"/>
  <c r="F8359"/>
  <c r="F8358"/>
  <c r="F8357"/>
  <c r="F8356"/>
  <c r="F8355"/>
  <c r="F8354"/>
  <c r="F8353"/>
  <c r="F8352"/>
  <c r="F8351"/>
  <c r="F8350"/>
  <c r="F8349"/>
  <c r="F8348"/>
  <c r="F8347"/>
  <c r="F8346"/>
  <c r="F8345"/>
  <c r="F8344"/>
  <c r="F8343"/>
  <c r="F8342"/>
  <c r="F8341"/>
  <c r="F8340"/>
  <c r="F8339"/>
  <c r="F8338"/>
  <c r="F8337"/>
  <c r="F8336"/>
  <c r="F8335"/>
  <c r="F8334"/>
  <c r="F8333"/>
  <c r="F8332"/>
  <c r="F8331"/>
  <c r="F8330"/>
  <c r="F8329"/>
  <c r="F8328"/>
  <c r="F8327"/>
  <c r="F8326"/>
  <c r="F8325"/>
  <c r="F8324"/>
  <c r="F8323"/>
  <c r="F8322"/>
  <c r="F8321"/>
  <c r="F8320"/>
  <c r="F8319"/>
  <c r="F8318"/>
  <c r="F8317"/>
  <c r="F8316"/>
  <c r="F8315"/>
  <c r="F8314"/>
  <c r="F8313"/>
  <c r="F8312"/>
  <c r="F8311"/>
  <c r="F8310"/>
  <c r="F8309"/>
  <c r="F8308"/>
  <c r="F8307"/>
  <c r="F8306"/>
  <c r="F8305"/>
  <c r="F8304"/>
  <c r="F8303"/>
  <c r="F8302"/>
  <c r="F8301"/>
  <c r="F8300"/>
  <c r="F8299"/>
  <c r="F8298"/>
  <c r="F8297"/>
  <c r="F8296"/>
  <c r="F8295"/>
  <c r="F8294"/>
  <c r="F8293"/>
  <c r="F8292"/>
  <c r="F8291"/>
  <c r="F8290"/>
  <c r="F8289"/>
  <c r="F8288"/>
  <c r="F8287"/>
  <c r="F8286"/>
  <c r="F8285"/>
  <c r="F8284"/>
  <c r="F8283"/>
  <c r="F8282"/>
  <c r="F8281"/>
  <c r="F8280"/>
  <c r="F8279"/>
  <c r="F8278"/>
  <c r="F8277"/>
  <c r="F8276"/>
  <c r="F8275"/>
  <c r="F8274"/>
  <c r="F8273"/>
  <c r="F8272"/>
  <c r="F8271"/>
  <c r="F8270"/>
  <c r="F8269"/>
  <c r="F8268"/>
  <c r="F8267"/>
  <c r="F8266"/>
  <c r="F8265"/>
  <c r="F8264"/>
  <c r="F8263"/>
  <c r="F8262"/>
  <c r="F8261"/>
  <c r="F8260"/>
  <c r="F8259"/>
  <c r="F8258"/>
  <c r="F8257"/>
  <c r="F8256"/>
  <c r="F8255"/>
  <c r="F8254"/>
  <c r="F8253"/>
  <c r="F8252"/>
  <c r="F8251"/>
  <c r="F8250"/>
  <c r="F8249"/>
  <c r="F8248"/>
  <c r="F8247"/>
  <c r="F8246"/>
  <c r="F8245"/>
  <c r="F8244"/>
  <c r="F8243"/>
  <c r="F8242"/>
  <c r="F8241"/>
  <c r="F8240"/>
  <c r="F8239"/>
  <c r="F8238"/>
  <c r="F8237"/>
  <c r="F8236"/>
  <c r="F8235"/>
  <c r="F8234"/>
  <c r="F8233"/>
  <c r="F8232"/>
  <c r="F8231"/>
  <c r="F8230"/>
  <c r="F8229"/>
  <c r="F8228"/>
  <c r="F8227"/>
  <c r="F8226"/>
  <c r="F8225"/>
  <c r="F8224"/>
  <c r="F8223"/>
  <c r="F8222"/>
  <c r="F8221"/>
  <c r="F8220"/>
  <c r="F8219"/>
  <c r="F8218"/>
  <c r="F8217"/>
  <c r="F8216"/>
  <c r="F8215"/>
  <c r="F8214"/>
  <c r="F8213"/>
  <c r="F8212"/>
  <c r="F8211"/>
  <c r="F8210"/>
  <c r="F8209"/>
  <c r="F8208"/>
  <c r="F8207"/>
  <c r="F8206"/>
  <c r="F8205"/>
  <c r="F8204"/>
  <c r="F8203"/>
  <c r="F8202"/>
  <c r="F8201"/>
  <c r="F8200"/>
  <c r="F8199"/>
  <c r="F8198"/>
  <c r="F8197"/>
  <c r="F8196"/>
  <c r="F8195"/>
  <c r="F8194"/>
  <c r="F8193"/>
  <c r="F8192"/>
  <c r="F8191"/>
  <c r="F8190"/>
  <c r="F8189"/>
  <c r="F8188"/>
  <c r="F8187"/>
  <c r="F8186"/>
  <c r="F8185"/>
  <c r="F8184"/>
  <c r="F8183"/>
  <c r="F8182"/>
  <c r="F8181"/>
  <c r="F8180"/>
  <c r="F8179"/>
  <c r="F8178"/>
  <c r="F8177"/>
  <c r="F8176"/>
  <c r="F8175"/>
  <c r="F8174"/>
  <c r="F8173"/>
  <c r="F8172"/>
  <c r="F8171"/>
  <c r="F8170"/>
  <c r="F8169"/>
  <c r="F8168"/>
  <c r="F8167"/>
  <c r="F8166"/>
  <c r="F8165"/>
  <c r="F8164"/>
  <c r="F8163"/>
  <c r="F8162"/>
  <c r="F8161"/>
  <c r="F8160"/>
  <c r="F8159"/>
  <c r="F8158"/>
  <c r="F8157"/>
  <c r="F8156"/>
  <c r="F8155"/>
  <c r="F8154"/>
  <c r="F8153"/>
  <c r="F8152"/>
  <c r="F8151"/>
  <c r="F8150"/>
  <c r="F8149"/>
  <c r="F8148"/>
  <c r="F8147"/>
  <c r="F8146"/>
  <c r="F8145"/>
  <c r="F8144"/>
  <c r="F8143"/>
  <c r="F8142"/>
  <c r="F8141"/>
  <c r="F8140"/>
  <c r="F8139"/>
  <c r="F8138"/>
  <c r="F8137"/>
  <c r="F8136"/>
  <c r="F8135"/>
  <c r="F8134"/>
  <c r="F8133"/>
  <c r="F8132"/>
  <c r="F8131"/>
  <c r="F8130"/>
  <c r="F8129"/>
  <c r="F8128"/>
  <c r="F8127"/>
  <c r="F8126"/>
  <c r="F8125"/>
  <c r="F8124"/>
  <c r="F8123"/>
  <c r="F8122"/>
  <c r="F8121"/>
  <c r="F8120"/>
  <c r="F8119"/>
  <c r="F8118"/>
  <c r="F8117"/>
  <c r="F8116"/>
  <c r="F8115"/>
  <c r="F8114"/>
  <c r="F8113"/>
  <c r="F8112"/>
  <c r="F8111"/>
  <c r="F8110"/>
  <c r="F8109"/>
  <c r="F8108"/>
  <c r="F8107"/>
  <c r="F8106"/>
  <c r="F8105"/>
  <c r="F8104"/>
  <c r="F8103"/>
  <c r="F8102"/>
  <c r="F8101"/>
  <c r="F8100"/>
  <c r="F8099"/>
  <c r="F8098"/>
  <c r="F8097"/>
  <c r="F8096"/>
  <c r="F8095"/>
  <c r="F8094"/>
  <c r="F8093"/>
  <c r="F8092"/>
  <c r="F8091"/>
  <c r="F8090"/>
  <c r="F8089"/>
  <c r="F8088"/>
  <c r="F8087"/>
  <c r="F8086"/>
  <c r="F8085"/>
  <c r="F8084"/>
  <c r="F8083"/>
  <c r="F8082"/>
  <c r="F8081"/>
  <c r="F8080"/>
  <c r="F8079"/>
  <c r="F8078"/>
  <c r="F8077"/>
  <c r="F8076"/>
  <c r="F8075"/>
  <c r="F8074"/>
  <c r="F8073"/>
  <c r="F8072"/>
  <c r="F8071"/>
  <c r="F8070"/>
  <c r="F8069"/>
  <c r="F8068"/>
  <c r="F8067"/>
  <c r="F8066"/>
  <c r="F8065"/>
  <c r="F8064"/>
  <c r="F8063"/>
  <c r="F8062"/>
  <c r="F8061"/>
  <c r="F8060"/>
  <c r="F8059"/>
  <c r="F8058"/>
  <c r="F8057"/>
  <c r="F8056"/>
  <c r="F8055"/>
  <c r="F8054"/>
  <c r="F8053"/>
  <c r="F8052"/>
  <c r="F8051"/>
  <c r="F8050"/>
  <c r="F8049"/>
  <c r="F8048"/>
  <c r="F8047"/>
  <c r="F8046"/>
  <c r="F8045"/>
  <c r="F8044"/>
  <c r="N15"/>
  <c r="F8042"/>
  <c r="F8041"/>
  <c r="F8040"/>
  <c r="F8039"/>
  <c r="F8038"/>
  <c r="F8037"/>
  <c r="F8036"/>
  <c r="F8035"/>
  <c r="F8034"/>
  <c r="F8033"/>
  <c r="F8032"/>
  <c r="F8031"/>
  <c r="F8030"/>
  <c r="F8029"/>
  <c r="F8028"/>
  <c r="F8027"/>
  <c r="F8026"/>
  <c r="F8025"/>
  <c r="F8024"/>
  <c r="F8023"/>
  <c r="F8022"/>
  <c r="F8021"/>
  <c r="F8020"/>
  <c r="F8019"/>
  <c r="F8018"/>
  <c r="F8017"/>
  <c r="F8016"/>
  <c r="F8015"/>
  <c r="F8014"/>
  <c r="F8013"/>
  <c r="F8012"/>
  <c r="F8011"/>
  <c r="F8010"/>
  <c r="F8009"/>
  <c r="F8008"/>
  <c r="F8007"/>
  <c r="F8006"/>
  <c r="F8005"/>
  <c r="F8004"/>
  <c r="F8003"/>
  <c r="F8002"/>
  <c r="F8001"/>
  <c r="F8000"/>
  <c r="F7999"/>
  <c r="F7998"/>
  <c r="F7997"/>
  <c r="F7996"/>
  <c r="F7995"/>
  <c r="F7994"/>
  <c r="F7993"/>
  <c r="F7992"/>
  <c r="F7991"/>
  <c r="F7990"/>
  <c r="F7989"/>
  <c r="F7988"/>
  <c r="F7987"/>
  <c r="F7986"/>
  <c r="F7985"/>
  <c r="F7984"/>
  <c r="F7983"/>
  <c r="F7982"/>
  <c r="F7981"/>
  <c r="F7980"/>
  <c r="F7979"/>
  <c r="F7978"/>
  <c r="F7977"/>
  <c r="F7976"/>
  <c r="F7975"/>
  <c r="F7974"/>
  <c r="F7973"/>
  <c r="F7972"/>
  <c r="F7971"/>
  <c r="F7970"/>
  <c r="F7969"/>
  <c r="F7968"/>
  <c r="F7967"/>
  <c r="F7966"/>
  <c r="F7965"/>
  <c r="F7964"/>
  <c r="F7963"/>
  <c r="F7962"/>
  <c r="F7961"/>
  <c r="F7960"/>
  <c r="F7959"/>
  <c r="F7958"/>
  <c r="F7957"/>
  <c r="F7956"/>
  <c r="F7955"/>
  <c r="F7954"/>
  <c r="F7953"/>
  <c r="F7952"/>
  <c r="F7951"/>
  <c r="F7950"/>
  <c r="F7949"/>
  <c r="F7948"/>
  <c r="F7947"/>
  <c r="F7946"/>
  <c r="F7945"/>
  <c r="F7944"/>
  <c r="F7943"/>
  <c r="F7942"/>
  <c r="F7941"/>
  <c r="F7940"/>
  <c r="F7939"/>
  <c r="F7938"/>
  <c r="F7937"/>
  <c r="F7936"/>
  <c r="F7935"/>
  <c r="F7934"/>
  <c r="F7933"/>
  <c r="F7932"/>
  <c r="F7931"/>
  <c r="F7930"/>
  <c r="F7929"/>
  <c r="F7928"/>
  <c r="F7927"/>
  <c r="F7926"/>
  <c r="F7925"/>
  <c r="F7924"/>
  <c r="F7923"/>
  <c r="F7922"/>
  <c r="F7921"/>
  <c r="F7920"/>
  <c r="F7919"/>
  <c r="F7918"/>
  <c r="F7917"/>
  <c r="F7916"/>
  <c r="F7915"/>
  <c r="F7914"/>
  <c r="F7913"/>
  <c r="F7912"/>
  <c r="F7911"/>
  <c r="F7910"/>
  <c r="F7909"/>
  <c r="F7908"/>
  <c r="F7907"/>
  <c r="F7906"/>
  <c r="F7905"/>
  <c r="F7904"/>
  <c r="F7903"/>
  <c r="F7902"/>
  <c r="F7901"/>
  <c r="F7900"/>
  <c r="F7899"/>
  <c r="F7898"/>
  <c r="F7897"/>
  <c r="F7896"/>
  <c r="F7895"/>
  <c r="F7894"/>
  <c r="F7893"/>
  <c r="F7892"/>
  <c r="F7891"/>
  <c r="F7890"/>
  <c r="F7889"/>
  <c r="F7888"/>
  <c r="F7887"/>
  <c r="F7886"/>
  <c r="F7885"/>
  <c r="F7884"/>
  <c r="F7883"/>
  <c r="F7882"/>
  <c r="F7881"/>
  <c r="F7880"/>
  <c r="F7879"/>
  <c r="F7878"/>
  <c r="F7877"/>
  <c r="F7876"/>
  <c r="F7875"/>
  <c r="F7874"/>
  <c r="F7873"/>
  <c r="F7872"/>
  <c r="F7871"/>
  <c r="F7870"/>
  <c r="F7869"/>
  <c r="F7868"/>
  <c r="F7867"/>
  <c r="F7866"/>
  <c r="F7865"/>
  <c r="F7864"/>
  <c r="F7863"/>
  <c r="F7862"/>
  <c r="F7861"/>
  <c r="F7860"/>
  <c r="F7859"/>
  <c r="F7858"/>
  <c r="F7857"/>
  <c r="F7856"/>
  <c r="F7855"/>
  <c r="F7854"/>
  <c r="F7853"/>
  <c r="F7852"/>
  <c r="F7851"/>
  <c r="F7850"/>
  <c r="F7849"/>
  <c r="F7848"/>
  <c r="F7847"/>
  <c r="F7846"/>
  <c r="F7845"/>
  <c r="F7844"/>
  <c r="F7843"/>
  <c r="F7842"/>
  <c r="F7841"/>
  <c r="F7840"/>
  <c r="F7839"/>
  <c r="F7838"/>
  <c r="F7837"/>
  <c r="F7836"/>
  <c r="F7835"/>
  <c r="F7834"/>
  <c r="F7833"/>
  <c r="F7832"/>
  <c r="F7831"/>
  <c r="F7830"/>
  <c r="F7829"/>
  <c r="F7828"/>
  <c r="F7827"/>
  <c r="F7826"/>
  <c r="F7825"/>
  <c r="F7824"/>
  <c r="F7823"/>
  <c r="F7822"/>
  <c r="F7821"/>
  <c r="F7820"/>
  <c r="F7819"/>
  <c r="F7818"/>
  <c r="F7817"/>
  <c r="F7816"/>
  <c r="F7815"/>
  <c r="F7814"/>
  <c r="F7813"/>
  <c r="F7812"/>
  <c r="F7811"/>
  <c r="F7810"/>
  <c r="F7809"/>
  <c r="F7808"/>
  <c r="F7807"/>
  <c r="F7806"/>
  <c r="F7805"/>
  <c r="F7804"/>
  <c r="F7803"/>
  <c r="F7802"/>
  <c r="F7801"/>
  <c r="F7800"/>
  <c r="F7799"/>
  <c r="F7798"/>
  <c r="F7797"/>
  <c r="F7796"/>
  <c r="F7795"/>
  <c r="F7794"/>
  <c r="F7793"/>
  <c r="F7792"/>
  <c r="F7791"/>
  <c r="F7790"/>
  <c r="F7789"/>
  <c r="F7788"/>
  <c r="F7787"/>
  <c r="F7786"/>
  <c r="F7785"/>
  <c r="F7784"/>
  <c r="F7783"/>
  <c r="F7782"/>
  <c r="F7781"/>
  <c r="F7780"/>
  <c r="F7779"/>
  <c r="F7778"/>
  <c r="F7777"/>
  <c r="F7776"/>
  <c r="F7775"/>
  <c r="F7774"/>
  <c r="F7773"/>
  <c r="F7772"/>
  <c r="F7771"/>
  <c r="F7770"/>
  <c r="F7769"/>
  <c r="F7768"/>
  <c r="F7767"/>
  <c r="F7766"/>
  <c r="F7765"/>
  <c r="F7764"/>
  <c r="F7763"/>
  <c r="F7762"/>
  <c r="F7761"/>
  <c r="F7760"/>
  <c r="F7759"/>
  <c r="F7758"/>
  <c r="F7757"/>
  <c r="F7756"/>
  <c r="F7755"/>
  <c r="F7754"/>
  <c r="F7753"/>
  <c r="F7752"/>
  <c r="F7751"/>
  <c r="F7750"/>
  <c r="F7749"/>
  <c r="F7748"/>
  <c r="F7747"/>
  <c r="F7746"/>
  <c r="F7745"/>
  <c r="F7744"/>
  <c r="F7743"/>
  <c r="F7742"/>
  <c r="F7741"/>
  <c r="F7740"/>
  <c r="F7739"/>
  <c r="F7738"/>
  <c r="F7737"/>
  <c r="F7736"/>
  <c r="F7735"/>
  <c r="F7734"/>
  <c r="F7733"/>
  <c r="F7732"/>
  <c r="F7731"/>
  <c r="F7730"/>
  <c r="F7729"/>
  <c r="F7728"/>
  <c r="F7727"/>
  <c r="F7726"/>
  <c r="F7725"/>
  <c r="F7724"/>
  <c r="F7723"/>
  <c r="F7722"/>
  <c r="F7721"/>
  <c r="F7720"/>
  <c r="F7719"/>
  <c r="F7718"/>
  <c r="F7717"/>
  <c r="F7716"/>
  <c r="F7715"/>
  <c r="F7714"/>
  <c r="F7713"/>
  <c r="F7712"/>
  <c r="F7711"/>
  <c r="F7710"/>
  <c r="F7709"/>
  <c r="F7708"/>
  <c r="F7707"/>
  <c r="F7706"/>
  <c r="F7705"/>
  <c r="F7704"/>
  <c r="F7703"/>
  <c r="F7702"/>
  <c r="F7701"/>
  <c r="F7700"/>
  <c r="F7699"/>
  <c r="F7698"/>
  <c r="F7697"/>
  <c r="F7696"/>
  <c r="F7695"/>
  <c r="F7694"/>
  <c r="F7693"/>
  <c r="F7692"/>
  <c r="F7691"/>
  <c r="F7690"/>
  <c r="F7689"/>
  <c r="F7688"/>
  <c r="F7687"/>
  <c r="F7686"/>
  <c r="F7685"/>
  <c r="F7684"/>
  <c r="F7683"/>
  <c r="F7682"/>
  <c r="F7681"/>
  <c r="F7680"/>
  <c r="F7679"/>
  <c r="F7678"/>
  <c r="F7677"/>
  <c r="F7676"/>
  <c r="F7675"/>
  <c r="F7674"/>
  <c r="F7673"/>
  <c r="F7672"/>
  <c r="F7671"/>
  <c r="F7670"/>
  <c r="F7669"/>
  <c r="F7668"/>
  <c r="F7667"/>
  <c r="F7666"/>
  <c r="F7665"/>
  <c r="F7664"/>
  <c r="F7663"/>
  <c r="F7662"/>
  <c r="F7661"/>
  <c r="F7660"/>
  <c r="F7659"/>
  <c r="F7658"/>
  <c r="F7657"/>
  <c r="F7656"/>
  <c r="F7655"/>
  <c r="F7654"/>
  <c r="F7653"/>
  <c r="F7652"/>
  <c r="F7651"/>
  <c r="F7650"/>
  <c r="F7649"/>
  <c r="F7648"/>
  <c r="F7647"/>
  <c r="F7646"/>
  <c r="F7645"/>
  <c r="F7644"/>
  <c r="F7643"/>
  <c r="F7642"/>
  <c r="F7641"/>
  <c r="F7640"/>
  <c r="F7639"/>
  <c r="F7638"/>
  <c r="F7637"/>
  <c r="F7636"/>
  <c r="F7635"/>
  <c r="F7634"/>
  <c r="F7633"/>
  <c r="F7632"/>
  <c r="F7631"/>
  <c r="F7630"/>
  <c r="F7629"/>
  <c r="F7628"/>
  <c r="F7627"/>
  <c r="F7626"/>
  <c r="F7625"/>
  <c r="F7624"/>
  <c r="F7623"/>
  <c r="F7622"/>
  <c r="F7621"/>
  <c r="F7620"/>
  <c r="F7619"/>
  <c r="F7618"/>
  <c r="F7617"/>
  <c r="F7616"/>
  <c r="F7615"/>
  <c r="F7614"/>
  <c r="F7613"/>
  <c r="F7612"/>
  <c r="F7611"/>
  <c r="F7610"/>
  <c r="F7609"/>
  <c r="F7608"/>
  <c r="F7607"/>
  <c r="F7606"/>
  <c r="F7605"/>
  <c r="F7604"/>
  <c r="F7603"/>
  <c r="F7602"/>
  <c r="F7601"/>
  <c r="F7600"/>
  <c r="F7599"/>
  <c r="F7598"/>
  <c r="F7597"/>
  <c r="F7596"/>
  <c r="F7595"/>
  <c r="F7594"/>
  <c r="F7593"/>
  <c r="F7592"/>
  <c r="F7591"/>
  <c r="F7590"/>
  <c r="F7589"/>
  <c r="F7588"/>
  <c r="F7587"/>
  <c r="F7586"/>
  <c r="F7585"/>
  <c r="F7584"/>
  <c r="F7583"/>
  <c r="F7582"/>
  <c r="F7581"/>
  <c r="F7580"/>
  <c r="F7579"/>
  <c r="F7578"/>
  <c r="F7577"/>
  <c r="F7576"/>
  <c r="F7575"/>
  <c r="F7574"/>
  <c r="F7573"/>
  <c r="F7572"/>
  <c r="F7571"/>
  <c r="F7570"/>
  <c r="F7569"/>
  <c r="F7568"/>
  <c r="F7567"/>
  <c r="F7566"/>
  <c r="F7565"/>
  <c r="F7564"/>
  <c r="F7563"/>
  <c r="F7562"/>
  <c r="F7561"/>
  <c r="F7560"/>
  <c r="F7559"/>
  <c r="F7558"/>
  <c r="F7557"/>
  <c r="F7556"/>
  <c r="F7555"/>
  <c r="F7554"/>
  <c r="F7553"/>
  <c r="F7552"/>
  <c r="F7551"/>
  <c r="F7550"/>
  <c r="F7549"/>
  <c r="F7548"/>
  <c r="F7547"/>
  <c r="F7546"/>
  <c r="F7545"/>
  <c r="F7544"/>
  <c r="F7543"/>
  <c r="F7542"/>
  <c r="F7541"/>
  <c r="F7540"/>
  <c r="F7539"/>
  <c r="F7538"/>
  <c r="F7537"/>
  <c r="F7536"/>
  <c r="F7535"/>
  <c r="F7534"/>
  <c r="F7533"/>
  <c r="F7532"/>
  <c r="F7531"/>
  <c r="F7530"/>
  <c r="F7529"/>
  <c r="F7528"/>
  <c r="F7527"/>
  <c r="F7526"/>
  <c r="F7525"/>
  <c r="F7524"/>
  <c r="F7523"/>
  <c r="F7522"/>
  <c r="F7521"/>
  <c r="F7520"/>
  <c r="F7519"/>
  <c r="F7518"/>
  <c r="F7517"/>
  <c r="F7516"/>
  <c r="F7515"/>
  <c r="F7514"/>
  <c r="F7513"/>
  <c r="F7512"/>
  <c r="F7511"/>
  <c r="F7510"/>
  <c r="F7509"/>
  <c r="F7508"/>
  <c r="F7507"/>
  <c r="F7506"/>
  <c r="F7505"/>
  <c r="F7504"/>
  <c r="F7503"/>
  <c r="F7502"/>
  <c r="F7501"/>
  <c r="F7500"/>
  <c r="F7499"/>
  <c r="F7498"/>
  <c r="F7497"/>
  <c r="F7496"/>
  <c r="F7495"/>
  <c r="F7494"/>
  <c r="F7493"/>
  <c r="F7492"/>
  <c r="F7491"/>
  <c r="F7490"/>
  <c r="F7489"/>
  <c r="F7488"/>
  <c r="F7487"/>
  <c r="F7486"/>
  <c r="F7485"/>
  <c r="F7484"/>
  <c r="F7483"/>
  <c r="F7482"/>
  <c r="F7481"/>
  <c r="F7480"/>
  <c r="F7479"/>
  <c r="F7478"/>
  <c r="F7477"/>
  <c r="F7476"/>
  <c r="F7475"/>
  <c r="F7474"/>
  <c r="F7473"/>
  <c r="F7472"/>
  <c r="F7471"/>
  <c r="F7470"/>
  <c r="F7469"/>
  <c r="F7468"/>
  <c r="F7467"/>
  <c r="F7466"/>
  <c r="F7465"/>
  <c r="F7464"/>
  <c r="F7463"/>
  <c r="F7462"/>
  <c r="F7461"/>
  <c r="F7460"/>
  <c r="F7459"/>
  <c r="F7458"/>
  <c r="F7457"/>
  <c r="F7456"/>
  <c r="F7455"/>
  <c r="F7454"/>
  <c r="F7453"/>
  <c r="F7452"/>
  <c r="F7451"/>
  <c r="F7450"/>
  <c r="F7449"/>
  <c r="F7448"/>
  <c r="F7447"/>
  <c r="F7446"/>
  <c r="F7445"/>
  <c r="F7444"/>
  <c r="F7443"/>
  <c r="F7442"/>
  <c r="F7441"/>
  <c r="F7440"/>
  <c r="F7439"/>
  <c r="F7438"/>
  <c r="F7437"/>
  <c r="F7436"/>
  <c r="F7435"/>
  <c r="F7434"/>
  <c r="F7433"/>
  <c r="F7432"/>
  <c r="F7431"/>
  <c r="F7430"/>
  <c r="F7429"/>
  <c r="F7428"/>
  <c r="F7427"/>
  <c r="F7426"/>
  <c r="F7425"/>
  <c r="F7424"/>
  <c r="F7423"/>
  <c r="F7422"/>
  <c r="F7421"/>
  <c r="F7420"/>
  <c r="F7419"/>
  <c r="F7418"/>
  <c r="F7417"/>
  <c r="F7416"/>
  <c r="F7415"/>
  <c r="F7414"/>
  <c r="F7413"/>
  <c r="F7412"/>
  <c r="F7411"/>
  <c r="F7410"/>
  <c r="F7409"/>
  <c r="F7408"/>
  <c r="F7407"/>
  <c r="F7406"/>
  <c r="F7405"/>
  <c r="F7404"/>
  <c r="F7403"/>
  <c r="F7402"/>
  <c r="F7401"/>
  <c r="F7400"/>
  <c r="F7399"/>
  <c r="F7398"/>
  <c r="F7397"/>
  <c r="F7396"/>
  <c r="F7395"/>
  <c r="F7394"/>
  <c r="F7393"/>
  <c r="F7392"/>
  <c r="F7391"/>
  <c r="F7390"/>
  <c r="F7389"/>
  <c r="F7388"/>
  <c r="F7387"/>
  <c r="F7386"/>
  <c r="F7385"/>
  <c r="F7384"/>
  <c r="F7383"/>
  <c r="F7382"/>
  <c r="F7381"/>
  <c r="F7380"/>
  <c r="F7379"/>
  <c r="F7378"/>
  <c r="F7377"/>
  <c r="F7376"/>
  <c r="F7375"/>
  <c r="F7374"/>
  <c r="F7373"/>
  <c r="F7372"/>
  <c r="F7371"/>
  <c r="F7370"/>
  <c r="F7369"/>
  <c r="F7368"/>
  <c r="F7367"/>
  <c r="F7366"/>
  <c r="F7365"/>
  <c r="F7364"/>
  <c r="F7363"/>
  <c r="F7362"/>
  <c r="F7361"/>
  <c r="F7360"/>
  <c r="F7359"/>
  <c r="F7358"/>
  <c r="F7357"/>
  <c r="F7356"/>
  <c r="F7355"/>
  <c r="F7354"/>
  <c r="F7353"/>
  <c r="F7352"/>
  <c r="F7351"/>
  <c r="F7350"/>
  <c r="F7349"/>
  <c r="F7348"/>
  <c r="F7347"/>
  <c r="F7346"/>
  <c r="F7345"/>
  <c r="F7344"/>
  <c r="F7343"/>
  <c r="F7342"/>
  <c r="F7341"/>
  <c r="F7340"/>
  <c r="F7339"/>
  <c r="F7338"/>
  <c r="F7337"/>
  <c r="F7336"/>
  <c r="F7335"/>
  <c r="F7334"/>
  <c r="F7333"/>
  <c r="F7332"/>
  <c r="F7331"/>
  <c r="F7330"/>
  <c r="F7329"/>
  <c r="F7328"/>
  <c r="F7327"/>
  <c r="F7326"/>
  <c r="F7325"/>
  <c r="F7324"/>
  <c r="F7322"/>
  <c r="F7321"/>
  <c r="F7320"/>
  <c r="F7319"/>
  <c r="F7318"/>
  <c r="F7317"/>
  <c r="F7316"/>
  <c r="F7315"/>
  <c r="F7314"/>
  <c r="F7313"/>
  <c r="F7312"/>
  <c r="F7311"/>
  <c r="F7310"/>
  <c r="F7309"/>
  <c r="F7308"/>
  <c r="F7307"/>
  <c r="F7306"/>
  <c r="F7305"/>
  <c r="F7304"/>
  <c r="F7303"/>
  <c r="F7302"/>
  <c r="F7301"/>
  <c r="F7300"/>
  <c r="F7299"/>
  <c r="F7298"/>
  <c r="F7297"/>
  <c r="F7296"/>
  <c r="F7295"/>
  <c r="F7294"/>
  <c r="F7293"/>
  <c r="F7292"/>
  <c r="F7291"/>
  <c r="F7290"/>
  <c r="F7289"/>
  <c r="F7288"/>
  <c r="F7287"/>
  <c r="F7286"/>
  <c r="F7285"/>
  <c r="F7284"/>
  <c r="F7283"/>
  <c r="F7282"/>
  <c r="F7281"/>
  <c r="F7280"/>
  <c r="F7279"/>
  <c r="F7278"/>
  <c r="F7277"/>
  <c r="F7276"/>
  <c r="F7275"/>
  <c r="F7274"/>
  <c r="F7273"/>
  <c r="F7272"/>
  <c r="F7271"/>
  <c r="F7270"/>
  <c r="F7269"/>
  <c r="F7268"/>
  <c r="F7267"/>
  <c r="F7266"/>
  <c r="F7265"/>
  <c r="F7264"/>
  <c r="F7263"/>
  <c r="F7262"/>
  <c r="F7261"/>
  <c r="F7260"/>
  <c r="F7259"/>
  <c r="F7258"/>
  <c r="F7257"/>
  <c r="F7256"/>
  <c r="F7255"/>
  <c r="F7254"/>
  <c r="F7253"/>
  <c r="F7252"/>
  <c r="F7251"/>
  <c r="F7250"/>
  <c r="F7249"/>
  <c r="F7248"/>
  <c r="F7247"/>
  <c r="F7246"/>
  <c r="F7245"/>
  <c r="F7244"/>
  <c r="F7243"/>
  <c r="F7242"/>
  <c r="F7241"/>
  <c r="F7240"/>
  <c r="F7239"/>
  <c r="F7238"/>
  <c r="F7237"/>
  <c r="F7236"/>
  <c r="F7235"/>
  <c r="F7234"/>
  <c r="F7233"/>
  <c r="F7232"/>
  <c r="F7231"/>
  <c r="F7230"/>
  <c r="F7229"/>
  <c r="F7228"/>
  <c r="F7227"/>
  <c r="F7226"/>
  <c r="F7225"/>
  <c r="F7224"/>
  <c r="F7223"/>
  <c r="F7222"/>
  <c r="F7221"/>
  <c r="F7220"/>
  <c r="F7219"/>
  <c r="F7218"/>
  <c r="F7217"/>
  <c r="F7216"/>
  <c r="F7215"/>
  <c r="F7214"/>
  <c r="F7213"/>
  <c r="F7212"/>
  <c r="F7211"/>
  <c r="F7210"/>
  <c r="F7209"/>
  <c r="F7208"/>
  <c r="F7207"/>
  <c r="F7206"/>
  <c r="F7205"/>
  <c r="F7204"/>
  <c r="F7203"/>
  <c r="F7202"/>
  <c r="F7201"/>
  <c r="F7200"/>
  <c r="F7199"/>
  <c r="F7198"/>
  <c r="F7197"/>
  <c r="F7196"/>
  <c r="F7195"/>
  <c r="F7194"/>
  <c r="F7193"/>
  <c r="F7192"/>
  <c r="F7191"/>
  <c r="F7190"/>
  <c r="F7189"/>
  <c r="F7188"/>
  <c r="F7187"/>
  <c r="F7186"/>
  <c r="F7185"/>
  <c r="F7184"/>
  <c r="F7183"/>
  <c r="F7182"/>
  <c r="F7181"/>
  <c r="F7180"/>
  <c r="F7179"/>
  <c r="F7178"/>
  <c r="F7177"/>
  <c r="F7176"/>
  <c r="F7175"/>
  <c r="F7174"/>
  <c r="F7173"/>
  <c r="F7172"/>
  <c r="F7171"/>
  <c r="F7170"/>
  <c r="F7169"/>
  <c r="F7168"/>
  <c r="F7167"/>
  <c r="F7166"/>
  <c r="F7165"/>
  <c r="F7164"/>
  <c r="F7163"/>
  <c r="F7162"/>
  <c r="F7161"/>
  <c r="F7160"/>
  <c r="F7159"/>
  <c r="F7158"/>
  <c r="F7157"/>
  <c r="F7156"/>
  <c r="F7155"/>
  <c r="F7154"/>
  <c r="F7153"/>
  <c r="F7152"/>
  <c r="F7151"/>
  <c r="F7150"/>
  <c r="F7149"/>
  <c r="F7148"/>
  <c r="F7147"/>
  <c r="F7146"/>
  <c r="F7145"/>
  <c r="F7144"/>
  <c r="F7143"/>
  <c r="F7142"/>
  <c r="F7141"/>
  <c r="F7140"/>
  <c r="F7139"/>
  <c r="F7138"/>
  <c r="F7137"/>
  <c r="F7136"/>
  <c r="F7135"/>
  <c r="F7134"/>
  <c r="F7133"/>
  <c r="F7132"/>
  <c r="F7131"/>
  <c r="F7130"/>
  <c r="F7129"/>
  <c r="F7128"/>
  <c r="F7127"/>
  <c r="F7126"/>
  <c r="F7125"/>
  <c r="F7124"/>
  <c r="F7123"/>
  <c r="F7122"/>
  <c r="F7121"/>
  <c r="F7120"/>
  <c r="F7119"/>
  <c r="F7118"/>
  <c r="F7117"/>
  <c r="F7116"/>
  <c r="F7115"/>
  <c r="F7114"/>
  <c r="F7113"/>
  <c r="F7112"/>
  <c r="F7111"/>
  <c r="F7110"/>
  <c r="F7109"/>
  <c r="F7108"/>
  <c r="F7107"/>
  <c r="F7106"/>
  <c r="F7105"/>
  <c r="F7104"/>
  <c r="F7103"/>
  <c r="F7102"/>
  <c r="F7101"/>
  <c r="F7100"/>
  <c r="F7099"/>
  <c r="F7098"/>
  <c r="F7097"/>
  <c r="F7096"/>
  <c r="F7095"/>
  <c r="F7094"/>
  <c r="F7093"/>
  <c r="F7092"/>
  <c r="F7091"/>
  <c r="F7090"/>
  <c r="F7089"/>
  <c r="F7088"/>
  <c r="F7087"/>
  <c r="F7086"/>
  <c r="F7085"/>
  <c r="F7084"/>
  <c r="F7083"/>
  <c r="F7082"/>
  <c r="F7081"/>
  <c r="F7080"/>
  <c r="F7079"/>
  <c r="F7078"/>
  <c r="F7077"/>
  <c r="F7076"/>
  <c r="F7075"/>
  <c r="F7074"/>
  <c r="F7073"/>
  <c r="F7072"/>
  <c r="F7071"/>
  <c r="F7070"/>
  <c r="F7069"/>
  <c r="F7068"/>
  <c r="F7067"/>
  <c r="F7066"/>
  <c r="F7065"/>
  <c r="F7064"/>
  <c r="F7063"/>
  <c r="F7062"/>
  <c r="F7061"/>
  <c r="F7060"/>
  <c r="F7059"/>
  <c r="F7058"/>
  <c r="F7057"/>
  <c r="F7056"/>
  <c r="F7055"/>
  <c r="F7054"/>
  <c r="F7053"/>
  <c r="F7052"/>
  <c r="F7051"/>
  <c r="F7050"/>
  <c r="F7049"/>
  <c r="F7048"/>
  <c r="F7047"/>
  <c r="F7046"/>
  <c r="F7045"/>
  <c r="F7044"/>
  <c r="F7043"/>
  <c r="F7042"/>
  <c r="F7041"/>
  <c r="F7040"/>
  <c r="F7039"/>
  <c r="F7038"/>
  <c r="F7037"/>
  <c r="F7036"/>
  <c r="F7035"/>
  <c r="F7034"/>
  <c r="F7033"/>
  <c r="F7032"/>
  <c r="F7031"/>
  <c r="F7030"/>
  <c r="F7029"/>
  <c r="F7028"/>
  <c r="F7027"/>
  <c r="F7026"/>
  <c r="F7025"/>
  <c r="F7024"/>
  <c r="F7023"/>
  <c r="F7022"/>
  <c r="F7021"/>
  <c r="F7020"/>
  <c r="F7019"/>
  <c r="F7018"/>
  <c r="F7017"/>
  <c r="F7016"/>
  <c r="F7015"/>
  <c r="F7014"/>
  <c r="F7013"/>
  <c r="F7012"/>
  <c r="F7011"/>
  <c r="F7010"/>
  <c r="F7009"/>
  <c r="F7008"/>
  <c r="F7007"/>
  <c r="F7006"/>
  <c r="F7005"/>
  <c r="F7004"/>
  <c r="F7003"/>
  <c r="F7002"/>
  <c r="F7001"/>
  <c r="F7000"/>
  <c r="F6999"/>
  <c r="F6998"/>
  <c r="F6997"/>
  <c r="F6996"/>
  <c r="F6995"/>
  <c r="F6994"/>
  <c r="F6993"/>
  <c r="F6992"/>
  <c r="F6991"/>
  <c r="F6990"/>
  <c r="F6989"/>
  <c r="F6988"/>
  <c r="F6987"/>
  <c r="F6986"/>
  <c r="F6985"/>
  <c r="F6984"/>
  <c r="F6983"/>
  <c r="F6982"/>
  <c r="F6981"/>
  <c r="F6980"/>
  <c r="F6979"/>
  <c r="F6978"/>
  <c r="F6977"/>
  <c r="F6976"/>
  <c r="F6975"/>
  <c r="F6974"/>
  <c r="F6973"/>
  <c r="F6972"/>
  <c r="F6971"/>
  <c r="F6970"/>
  <c r="F6969"/>
  <c r="F6968"/>
  <c r="F6967"/>
  <c r="F6966"/>
  <c r="F6965"/>
  <c r="F6964"/>
  <c r="F6963"/>
  <c r="F6962"/>
  <c r="F6961"/>
  <c r="F6960"/>
  <c r="F6959"/>
  <c r="F6958"/>
  <c r="F6957"/>
  <c r="F6956"/>
  <c r="F6955"/>
  <c r="F6954"/>
  <c r="F6953"/>
  <c r="F6952"/>
  <c r="F6951"/>
  <c r="F6950"/>
  <c r="F6949"/>
  <c r="F6948"/>
  <c r="F6947"/>
  <c r="F6946"/>
  <c r="F6945"/>
  <c r="F6944"/>
  <c r="F6943"/>
  <c r="F6942"/>
  <c r="F6941"/>
  <c r="F6940"/>
  <c r="F6939"/>
  <c r="F6938"/>
  <c r="F6937"/>
  <c r="F6936"/>
  <c r="F6935"/>
  <c r="F6934"/>
  <c r="F6933"/>
  <c r="F6932"/>
  <c r="F6931"/>
  <c r="F6930"/>
  <c r="F6929"/>
  <c r="F6928"/>
  <c r="F6927"/>
  <c r="F6926"/>
  <c r="F6925"/>
  <c r="F6924"/>
  <c r="F6923"/>
  <c r="F6922"/>
  <c r="F6921"/>
  <c r="F6920"/>
  <c r="F6919"/>
  <c r="F6918"/>
  <c r="F6917"/>
  <c r="F6916"/>
  <c r="F6915"/>
  <c r="F6914"/>
  <c r="F6913"/>
  <c r="F6912"/>
  <c r="F6911"/>
  <c r="F6910"/>
  <c r="F6909"/>
  <c r="F6908"/>
  <c r="F6907"/>
  <c r="F6906"/>
  <c r="F6905"/>
  <c r="F6904"/>
  <c r="F6903"/>
  <c r="F6902"/>
  <c r="F6901"/>
  <c r="F6900"/>
  <c r="F6899"/>
  <c r="F6898"/>
  <c r="F6897"/>
  <c r="F6896"/>
  <c r="F6895"/>
  <c r="F6894"/>
  <c r="F6893"/>
  <c r="F6892"/>
  <c r="F6891"/>
  <c r="F6890"/>
  <c r="F6889"/>
  <c r="F6888"/>
  <c r="F6887"/>
  <c r="F6886"/>
  <c r="F6885"/>
  <c r="F6884"/>
  <c r="F6883"/>
  <c r="F6882"/>
  <c r="F6881"/>
  <c r="F6880"/>
  <c r="F6879"/>
  <c r="F6878"/>
  <c r="F6877"/>
  <c r="F6876"/>
  <c r="F6875"/>
  <c r="F6874"/>
  <c r="F6873"/>
  <c r="F6872"/>
  <c r="F6871"/>
  <c r="F6870"/>
  <c r="F6869"/>
  <c r="F6868"/>
  <c r="F6867"/>
  <c r="F6866"/>
  <c r="F6865"/>
  <c r="F6864"/>
  <c r="F6863"/>
  <c r="F6862"/>
  <c r="F6861"/>
  <c r="F6860"/>
  <c r="F6859"/>
  <c r="F6858"/>
  <c r="F6857"/>
  <c r="F6856"/>
  <c r="F6855"/>
  <c r="F6854"/>
  <c r="F6853"/>
  <c r="F6852"/>
  <c r="F6851"/>
  <c r="F6850"/>
  <c r="F6849"/>
  <c r="F6848"/>
  <c r="F6847"/>
  <c r="F6846"/>
  <c r="F6845"/>
  <c r="F6844"/>
  <c r="F6843"/>
  <c r="F6842"/>
  <c r="F6841"/>
  <c r="F6840"/>
  <c r="F6839"/>
  <c r="F6838"/>
  <c r="F6837"/>
  <c r="F6836"/>
  <c r="F6835"/>
  <c r="F6834"/>
  <c r="F6833"/>
  <c r="F6832"/>
  <c r="F6831"/>
  <c r="F6830"/>
  <c r="F6829"/>
  <c r="F6828"/>
  <c r="F6827"/>
  <c r="F6826"/>
  <c r="F6825"/>
  <c r="F6824"/>
  <c r="F6823"/>
  <c r="F6822"/>
  <c r="F6821"/>
  <c r="F6820"/>
  <c r="F6819"/>
  <c r="F6818"/>
  <c r="F6817"/>
  <c r="F6816"/>
  <c r="F6815"/>
  <c r="F6814"/>
  <c r="F6813"/>
  <c r="F6812"/>
  <c r="F6811"/>
  <c r="F6810"/>
  <c r="F6809"/>
  <c r="F6808"/>
  <c r="F6807"/>
  <c r="F6806"/>
  <c r="F6805"/>
  <c r="F6804"/>
  <c r="F6803"/>
  <c r="F6802"/>
  <c r="F6801"/>
  <c r="F6800"/>
  <c r="F6799"/>
  <c r="F6798"/>
  <c r="F6797"/>
  <c r="F6796"/>
  <c r="F6795"/>
  <c r="F6794"/>
  <c r="F6793"/>
  <c r="F6792"/>
  <c r="F6791"/>
  <c r="F6790"/>
  <c r="F6789"/>
  <c r="F6788"/>
  <c r="F6787"/>
  <c r="F6786"/>
  <c r="F6785"/>
  <c r="F6784"/>
  <c r="F6783"/>
  <c r="F6782"/>
  <c r="F6781"/>
  <c r="F6780"/>
  <c r="F6779"/>
  <c r="F6778"/>
  <c r="F6777"/>
  <c r="F6776"/>
  <c r="F6775"/>
  <c r="F6774"/>
  <c r="F6773"/>
  <c r="F6772"/>
  <c r="F6771"/>
  <c r="F6770"/>
  <c r="F6769"/>
  <c r="F6768"/>
  <c r="F6767"/>
  <c r="F6766"/>
  <c r="F6765"/>
  <c r="F6764"/>
  <c r="F6763"/>
  <c r="F6762"/>
  <c r="F6761"/>
  <c r="F6760"/>
  <c r="F6759"/>
  <c r="F6758"/>
  <c r="F6757"/>
  <c r="F6756"/>
  <c r="F6755"/>
  <c r="F6754"/>
  <c r="F6753"/>
  <c r="F6752"/>
  <c r="F6751"/>
  <c r="F6750"/>
  <c r="F6749"/>
  <c r="F6748"/>
  <c r="F6747"/>
  <c r="F6746"/>
  <c r="F6745"/>
  <c r="F6744"/>
  <c r="F6743"/>
  <c r="F6742"/>
  <c r="F6741"/>
  <c r="F6740"/>
  <c r="F6739"/>
  <c r="F6738"/>
  <c r="F6737"/>
  <c r="F6736"/>
  <c r="F6735"/>
  <c r="F6734"/>
  <c r="F6733"/>
  <c r="F6732"/>
  <c r="F6731"/>
  <c r="F6730"/>
  <c r="F6729"/>
  <c r="F6728"/>
  <c r="F6727"/>
  <c r="F6726"/>
  <c r="F6725"/>
  <c r="F6724"/>
  <c r="F6723"/>
  <c r="F6722"/>
  <c r="F6721"/>
  <c r="F6720"/>
  <c r="F6719"/>
  <c r="F6718"/>
  <c r="F6717"/>
  <c r="F6716"/>
  <c r="F6715"/>
  <c r="F6714"/>
  <c r="F6713"/>
  <c r="F6712"/>
  <c r="F6711"/>
  <c r="F6710"/>
  <c r="F6709"/>
  <c r="F6708"/>
  <c r="F6707"/>
  <c r="F6706"/>
  <c r="F6705"/>
  <c r="F6704"/>
  <c r="F6703"/>
  <c r="F6702"/>
  <c r="F6701"/>
  <c r="F6700"/>
  <c r="F6699"/>
  <c r="F6698"/>
  <c r="F6697"/>
  <c r="F6696"/>
  <c r="F6695"/>
  <c r="F6694"/>
  <c r="F6693"/>
  <c r="F6692"/>
  <c r="F6691"/>
  <c r="F6690"/>
  <c r="F6689"/>
  <c r="F6688"/>
  <c r="F6687"/>
  <c r="F6686"/>
  <c r="F6685"/>
  <c r="F6684"/>
  <c r="F6683"/>
  <c r="F6682"/>
  <c r="F6681"/>
  <c r="F6680"/>
  <c r="F6679"/>
  <c r="F6678"/>
  <c r="F6677"/>
  <c r="F6676"/>
  <c r="F6675"/>
  <c r="F6674"/>
  <c r="F6673"/>
  <c r="F6672"/>
  <c r="F6671"/>
  <c r="F6670"/>
  <c r="F6669"/>
  <c r="F6668"/>
  <c r="F6667"/>
  <c r="F6666"/>
  <c r="F6665"/>
  <c r="F6664"/>
  <c r="F6663"/>
  <c r="F6662"/>
  <c r="F6661"/>
  <c r="F6660"/>
  <c r="F6659"/>
  <c r="F6658"/>
  <c r="F6657"/>
  <c r="F6656"/>
  <c r="F6655"/>
  <c r="F6654"/>
  <c r="F6653"/>
  <c r="F6652"/>
  <c r="F6651"/>
  <c r="F6650"/>
  <c r="F6649"/>
  <c r="F6648"/>
  <c r="F6647"/>
  <c r="F6646"/>
  <c r="F6645"/>
  <c r="F6644"/>
  <c r="F6643"/>
  <c r="F6642"/>
  <c r="F6641"/>
  <c r="F6640"/>
  <c r="F6639"/>
  <c r="F6638"/>
  <c r="F6637"/>
  <c r="F6636"/>
  <c r="F6635"/>
  <c r="F6634"/>
  <c r="F6633"/>
  <c r="F6632"/>
  <c r="F6631"/>
  <c r="F6630"/>
  <c r="F6629"/>
  <c r="F6628"/>
  <c r="F6627"/>
  <c r="F6626"/>
  <c r="F6625"/>
  <c r="F6624"/>
  <c r="F6623"/>
  <c r="F6622"/>
  <c r="F6621"/>
  <c r="F6620"/>
  <c r="F6619"/>
  <c r="F6618"/>
  <c r="F6617"/>
  <c r="F6616"/>
  <c r="F6615"/>
  <c r="F6614"/>
  <c r="F6613"/>
  <c r="F6612"/>
  <c r="F6611"/>
  <c r="F6610"/>
  <c r="F6609"/>
  <c r="F6608"/>
  <c r="F6607"/>
  <c r="F6606"/>
  <c r="F6605"/>
  <c r="F6604"/>
  <c r="F6603"/>
  <c r="F6602"/>
  <c r="F6601"/>
  <c r="F6600"/>
  <c r="F6599"/>
  <c r="F6598"/>
  <c r="F6597"/>
  <c r="F6596"/>
  <c r="F6595"/>
  <c r="F6594"/>
  <c r="F6593"/>
  <c r="F6592"/>
  <c r="F6591"/>
  <c r="F6590"/>
  <c r="F6589"/>
  <c r="F6588"/>
  <c r="F6587"/>
  <c r="F6586"/>
  <c r="F6585"/>
  <c r="F6584"/>
  <c r="F6583"/>
  <c r="F6582"/>
  <c r="F6581"/>
  <c r="F6580"/>
  <c r="F6578"/>
  <c r="F6577"/>
  <c r="F6576"/>
  <c r="F6575"/>
  <c r="F6574"/>
  <c r="F6573"/>
  <c r="F6572"/>
  <c r="F6571"/>
  <c r="F6570"/>
  <c r="F6569"/>
  <c r="F6568"/>
  <c r="F6567"/>
  <c r="F6566"/>
  <c r="F6565"/>
  <c r="F6564"/>
  <c r="F6563"/>
  <c r="F6562"/>
  <c r="F6561"/>
  <c r="F6560"/>
  <c r="F6559"/>
  <c r="F6558"/>
  <c r="F6557"/>
  <c r="F6556"/>
  <c r="F6555"/>
  <c r="F6554"/>
  <c r="F6553"/>
  <c r="F6552"/>
  <c r="F6551"/>
  <c r="F6550"/>
  <c r="F6549"/>
  <c r="F6548"/>
  <c r="F6547"/>
  <c r="F6546"/>
  <c r="F6545"/>
  <c r="F6544"/>
  <c r="F6543"/>
  <c r="F6542"/>
  <c r="F6541"/>
  <c r="F6540"/>
  <c r="F6539"/>
  <c r="F6538"/>
  <c r="F6537"/>
  <c r="F6536"/>
  <c r="F6535"/>
  <c r="F6534"/>
  <c r="F6533"/>
  <c r="F6532"/>
  <c r="F6531"/>
  <c r="F6530"/>
  <c r="F6529"/>
  <c r="F6528"/>
  <c r="F6527"/>
  <c r="F6526"/>
  <c r="F6525"/>
  <c r="F6524"/>
  <c r="F6523"/>
  <c r="F6522"/>
  <c r="F6521"/>
  <c r="F6520"/>
  <c r="F6519"/>
  <c r="F6518"/>
  <c r="F6517"/>
  <c r="F6516"/>
  <c r="F6515"/>
  <c r="F6514"/>
  <c r="F6513"/>
  <c r="F6512"/>
  <c r="F6511"/>
  <c r="F6510"/>
  <c r="F6509"/>
  <c r="F6508"/>
  <c r="F6507"/>
  <c r="F6506"/>
  <c r="F6505"/>
  <c r="F6504"/>
  <c r="F6503"/>
  <c r="F6502"/>
  <c r="F6501"/>
  <c r="F6500"/>
  <c r="F6499"/>
  <c r="F6498"/>
  <c r="F6497"/>
  <c r="F6496"/>
  <c r="F6495"/>
  <c r="F6494"/>
  <c r="F6493"/>
  <c r="F6492"/>
  <c r="F6491"/>
  <c r="F6490"/>
  <c r="F6489"/>
  <c r="F6488"/>
  <c r="F6487"/>
  <c r="F6486"/>
  <c r="F6485"/>
  <c r="F6484"/>
  <c r="F6483"/>
  <c r="F6482"/>
  <c r="F6481"/>
  <c r="F6480"/>
  <c r="F6479"/>
  <c r="F6478"/>
  <c r="F6477"/>
  <c r="F6476"/>
  <c r="F6475"/>
  <c r="F6474"/>
  <c r="F6473"/>
  <c r="F6472"/>
  <c r="F6471"/>
  <c r="F6470"/>
  <c r="F6469"/>
  <c r="F6468"/>
  <c r="F6467"/>
  <c r="F6466"/>
  <c r="F6465"/>
  <c r="F6464"/>
  <c r="F6463"/>
  <c r="F6462"/>
  <c r="F6461"/>
  <c r="F6460"/>
  <c r="F6459"/>
  <c r="F6458"/>
  <c r="F6457"/>
  <c r="F6456"/>
  <c r="F6455"/>
  <c r="F6454"/>
  <c r="F6453"/>
  <c r="F6452"/>
  <c r="F6451"/>
  <c r="F6450"/>
  <c r="F6449"/>
  <c r="F6448"/>
  <c r="F6447"/>
  <c r="F6446"/>
  <c r="F6445"/>
  <c r="F6444"/>
  <c r="F6443"/>
  <c r="F6442"/>
  <c r="F6441"/>
  <c r="F6440"/>
  <c r="F6439"/>
  <c r="F6438"/>
  <c r="F6437"/>
  <c r="F6436"/>
  <c r="F6435"/>
  <c r="F6434"/>
  <c r="F6433"/>
  <c r="F6432"/>
  <c r="F6431"/>
  <c r="F6430"/>
  <c r="F6429"/>
  <c r="F6428"/>
  <c r="F6427"/>
  <c r="F6426"/>
  <c r="F6425"/>
  <c r="F6424"/>
  <c r="F6423"/>
  <c r="F6422"/>
  <c r="F6421"/>
  <c r="F6420"/>
  <c r="F6419"/>
  <c r="F6418"/>
  <c r="F6417"/>
  <c r="F6416"/>
  <c r="F6415"/>
  <c r="F6414"/>
  <c r="F6413"/>
  <c r="F6412"/>
  <c r="F6411"/>
  <c r="F6410"/>
  <c r="F6409"/>
  <c r="F6408"/>
  <c r="F6407"/>
  <c r="F6406"/>
  <c r="F6405"/>
  <c r="F6404"/>
  <c r="F6403"/>
  <c r="F6402"/>
  <c r="F6401"/>
  <c r="F6400"/>
  <c r="F6399"/>
  <c r="F6398"/>
  <c r="F6397"/>
  <c r="F6396"/>
  <c r="F6395"/>
  <c r="F6394"/>
  <c r="F6393"/>
  <c r="F6392"/>
  <c r="F6391"/>
  <c r="F6390"/>
  <c r="F6389"/>
  <c r="F6388"/>
  <c r="F6387"/>
  <c r="F6386"/>
  <c r="F6385"/>
  <c r="F6384"/>
  <c r="F6383"/>
  <c r="F6382"/>
  <c r="F6381"/>
  <c r="F6380"/>
  <c r="F6379"/>
  <c r="F6378"/>
  <c r="F6377"/>
  <c r="F6376"/>
  <c r="F6375"/>
  <c r="F6374"/>
  <c r="F6373"/>
  <c r="F6372"/>
  <c r="F6371"/>
  <c r="F6370"/>
  <c r="F6369"/>
  <c r="F6368"/>
  <c r="F6367"/>
  <c r="F6366"/>
  <c r="F6365"/>
  <c r="F6364"/>
  <c r="F6363"/>
  <c r="F6362"/>
  <c r="F6361"/>
  <c r="F6360"/>
  <c r="F6359"/>
  <c r="F6358"/>
  <c r="F6357"/>
  <c r="F6356"/>
  <c r="F6355"/>
  <c r="F6354"/>
  <c r="F6353"/>
  <c r="F6352"/>
  <c r="F6351"/>
  <c r="F6350"/>
  <c r="F6349"/>
  <c r="F6348"/>
  <c r="F6347"/>
  <c r="F6346"/>
  <c r="F6345"/>
  <c r="F6344"/>
  <c r="F6343"/>
  <c r="F6342"/>
  <c r="F6341"/>
  <c r="F6340"/>
  <c r="F6339"/>
  <c r="F6338"/>
  <c r="F6337"/>
  <c r="F6336"/>
  <c r="F6335"/>
  <c r="F6334"/>
  <c r="F6333"/>
  <c r="F6332"/>
  <c r="F6331"/>
  <c r="F6330"/>
  <c r="F6329"/>
  <c r="F6328"/>
  <c r="F6327"/>
  <c r="F6326"/>
  <c r="F6325"/>
  <c r="F6324"/>
  <c r="F6323"/>
  <c r="F6322"/>
  <c r="F6321"/>
  <c r="F6320"/>
  <c r="F6319"/>
  <c r="F6318"/>
  <c r="F6317"/>
  <c r="F6316"/>
  <c r="F6315"/>
  <c r="F6314"/>
  <c r="F6313"/>
  <c r="F6312"/>
  <c r="F6311"/>
  <c r="F6310"/>
  <c r="F6309"/>
  <c r="F6308"/>
  <c r="F6307"/>
  <c r="F6306"/>
  <c r="F6305"/>
  <c r="F6304"/>
  <c r="F6303"/>
  <c r="F6302"/>
  <c r="F6301"/>
  <c r="F6300"/>
  <c r="F6299"/>
  <c r="F6298"/>
  <c r="F6297"/>
  <c r="F6296"/>
  <c r="F6295"/>
  <c r="F6294"/>
  <c r="F6293"/>
  <c r="F6292"/>
  <c r="F6291"/>
  <c r="F6290"/>
  <c r="F6289"/>
  <c r="F6288"/>
  <c r="F6287"/>
  <c r="F6286"/>
  <c r="F6285"/>
  <c r="F6284"/>
  <c r="F6283"/>
  <c r="F6282"/>
  <c r="F6281"/>
  <c r="F6280"/>
  <c r="F6279"/>
  <c r="F6278"/>
  <c r="F6277"/>
  <c r="F6276"/>
  <c r="F6275"/>
  <c r="F6274"/>
  <c r="F6273"/>
  <c r="F6272"/>
  <c r="F6271"/>
  <c r="F6270"/>
  <c r="F6269"/>
  <c r="F6268"/>
  <c r="F6267"/>
  <c r="F6266"/>
  <c r="F6265"/>
  <c r="F6264"/>
  <c r="F6263"/>
  <c r="F6262"/>
  <c r="F6261"/>
  <c r="F6260"/>
  <c r="F6259"/>
  <c r="F6258"/>
  <c r="F6257"/>
  <c r="F6256"/>
  <c r="F6255"/>
  <c r="F6254"/>
  <c r="F6253"/>
  <c r="F6252"/>
  <c r="F6251"/>
  <c r="F6250"/>
  <c r="F6249"/>
  <c r="F6248"/>
  <c r="F6247"/>
  <c r="F6246"/>
  <c r="F6245"/>
  <c r="F6244"/>
  <c r="F6243"/>
  <c r="F6242"/>
  <c r="F6241"/>
  <c r="F6240"/>
  <c r="F6239"/>
  <c r="F6238"/>
  <c r="F6237"/>
  <c r="F6236"/>
  <c r="F6235"/>
  <c r="F6234"/>
  <c r="F6233"/>
  <c r="F6232"/>
  <c r="F6231"/>
  <c r="F6230"/>
  <c r="F6229"/>
  <c r="F6228"/>
  <c r="F6227"/>
  <c r="F6226"/>
  <c r="F6225"/>
  <c r="F6224"/>
  <c r="F6223"/>
  <c r="F6222"/>
  <c r="F6221"/>
  <c r="F6220"/>
  <c r="F6219"/>
  <c r="F6218"/>
  <c r="F6217"/>
  <c r="F6216"/>
  <c r="F6215"/>
  <c r="F6214"/>
  <c r="F6213"/>
  <c r="F6212"/>
  <c r="F6211"/>
  <c r="F6210"/>
  <c r="F6209"/>
  <c r="F6208"/>
  <c r="F6207"/>
  <c r="F6206"/>
  <c r="F6205"/>
  <c r="F6204"/>
  <c r="F6203"/>
  <c r="F6202"/>
  <c r="F6201"/>
  <c r="F6200"/>
  <c r="F6199"/>
  <c r="F6198"/>
  <c r="F6197"/>
  <c r="F6196"/>
  <c r="F6195"/>
  <c r="F6194"/>
  <c r="F6193"/>
  <c r="F6192"/>
  <c r="F6191"/>
  <c r="F6190"/>
  <c r="F6189"/>
  <c r="F6188"/>
  <c r="F6187"/>
  <c r="F6186"/>
  <c r="F6185"/>
  <c r="F6184"/>
  <c r="F6183"/>
  <c r="F6182"/>
  <c r="F6181"/>
  <c r="F6180"/>
  <c r="F6179"/>
  <c r="F6178"/>
  <c r="F6177"/>
  <c r="F6176"/>
  <c r="F6175"/>
  <c r="F6174"/>
  <c r="F6173"/>
  <c r="F6172"/>
  <c r="F6171"/>
  <c r="F6170"/>
  <c r="F6169"/>
  <c r="F6168"/>
  <c r="F6167"/>
  <c r="F6166"/>
  <c r="F6165"/>
  <c r="F6164"/>
  <c r="F6163"/>
  <c r="F6162"/>
  <c r="F6161"/>
  <c r="F6160"/>
  <c r="F6159"/>
  <c r="F6158"/>
  <c r="F6157"/>
  <c r="F6156"/>
  <c r="F6155"/>
  <c r="F6154"/>
  <c r="F6153"/>
  <c r="F6152"/>
  <c r="F6151"/>
  <c r="F6150"/>
  <c r="F6149"/>
  <c r="F6148"/>
  <c r="F6147"/>
  <c r="F6146"/>
  <c r="F6145"/>
  <c r="F6144"/>
  <c r="F6143"/>
  <c r="F6142"/>
  <c r="F6141"/>
  <c r="F6140"/>
  <c r="F6139"/>
  <c r="F6138"/>
  <c r="F6137"/>
  <c r="F6136"/>
  <c r="F6135"/>
  <c r="F6134"/>
  <c r="F6133"/>
  <c r="F6132"/>
  <c r="F6131"/>
  <c r="F6130"/>
  <c r="F6129"/>
  <c r="F6128"/>
  <c r="F6127"/>
  <c r="F6126"/>
  <c r="F6125"/>
  <c r="F6124"/>
  <c r="F6123"/>
  <c r="F6122"/>
  <c r="F6121"/>
  <c r="F6120"/>
  <c r="F6119"/>
  <c r="F6118"/>
  <c r="F6117"/>
  <c r="F6116"/>
  <c r="F6115"/>
  <c r="F6114"/>
  <c r="F6113"/>
  <c r="F6112"/>
  <c r="F6111"/>
  <c r="F6110"/>
  <c r="F6109"/>
  <c r="F6108"/>
  <c r="F6107"/>
  <c r="F6106"/>
  <c r="F6105"/>
  <c r="F6104"/>
  <c r="F6103"/>
  <c r="F6102"/>
  <c r="F6101"/>
  <c r="F6100"/>
  <c r="F6099"/>
  <c r="F6098"/>
  <c r="F6097"/>
  <c r="F6096"/>
  <c r="F6095"/>
  <c r="F6094"/>
  <c r="F6093"/>
  <c r="F6092"/>
  <c r="F6091"/>
  <c r="F6090"/>
  <c r="F6089"/>
  <c r="F6088"/>
  <c r="F6087"/>
  <c r="F6086"/>
  <c r="F6085"/>
  <c r="F6084"/>
  <c r="F6083"/>
  <c r="F6082"/>
  <c r="F6081"/>
  <c r="F6080"/>
  <c r="F6079"/>
  <c r="F6078"/>
  <c r="F6077"/>
  <c r="F6076"/>
  <c r="F6075"/>
  <c r="F6074"/>
  <c r="F6073"/>
  <c r="F6072"/>
  <c r="F6071"/>
  <c r="F6070"/>
  <c r="F6069"/>
  <c r="F6068"/>
  <c r="F6067"/>
  <c r="F6066"/>
  <c r="F6065"/>
  <c r="F6064"/>
  <c r="F6063"/>
  <c r="F6062"/>
  <c r="F6061"/>
  <c r="F6060"/>
  <c r="F6059"/>
  <c r="F6058"/>
  <c r="F6057"/>
  <c r="F6056"/>
  <c r="F6055"/>
  <c r="F6054"/>
  <c r="F6053"/>
  <c r="F6052"/>
  <c r="F6051"/>
  <c r="F6050"/>
  <c r="F6049"/>
  <c r="F6048"/>
  <c r="F6047"/>
  <c r="F6046"/>
  <c r="F6045"/>
  <c r="F6044"/>
  <c r="F6043"/>
  <c r="F6042"/>
  <c r="F6041"/>
  <c r="F6040"/>
  <c r="F6039"/>
  <c r="F6038"/>
  <c r="F6037"/>
  <c r="F6036"/>
  <c r="F6035"/>
  <c r="F6034"/>
  <c r="F6033"/>
  <c r="F6032"/>
  <c r="F6031"/>
  <c r="F6030"/>
  <c r="F6029"/>
  <c r="F6028"/>
  <c r="F6027"/>
  <c r="F6026"/>
  <c r="F6025"/>
  <c r="F6024"/>
  <c r="F6023"/>
  <c r="F6022"/>
  <c r="F6021"/>
  <c r="F6020"/>
  <c r="F6019"/>
  <c r="F6018"/>
  <c r="F6017"/>
  <c r="F6016"/>
  <c r="F6015"/>
  <c r="F6014"/>
  <c r="F6013"/>
  <c r="F6012"/>
  <c r="F6011"/>
  <c r="F6010"/>
  <c r="F6009"/>
  <c r="F6008"/>
  <c r="F6007"/>
  <c r="F6006"/>
  <c r="F6005"/>
  <c r="F6004"/>
  <c r="F6003"/>
  <c r="F6002"/>
  <c r="F6001"/>
  <c r="F6000"/>
  <c r="F5999"/>
  <c r="F5998"/>
  <c r="F5997"/>
  <c r="F5996"/>
  <c r="F5995"/>
  <c r="F5994"/>
  <c r="F5993"/>
  <c r="F5992"/>
  <c r="F5991"/>
  <c r="F5990"/>
  <c r="F5989"/>
  <c r="F5988"/>
  <c r="F5987"/>
  <c r="F5986"/>
  <c r="F5985"/>
  <c r="F5984"/>
  <c r="F5983"/>
  <c r="F5982"/>
  <c r="F5981"/>
  <c r="F5980"/>
  <c r="F5979"/>
  <c r="F5978"/>
  <c r="F5977"/>
  <c r="F5976"/>
  <c r="F5975"/>
  <c r="F5974"/>
  <c r="F5973"/>
  <c r="F5972"/>
  <c r="F5971"/>
  <c r="F5970"/>
  <c r="F5969"/>
  <c r="F5968"/>
  <c r="F5967"/>
  <c r="F5966"/>
  <c r="F5965"/>
  <c r="F5964"/>
  <c r="F5963"/>
  <c r="F5962"/>
  <c r="F5961"/>
  <c r="F5960"/>
  <c r="F5959"/>
  <c r="F5958"/>
  <c r="F5957"/>
  <c r="F5956"/>
  <c r="F5955"/>
  <c r="F5954"/>
  <c r="F5953"/>
  <c r="F5952"/>
  <c r="F5951"/>
  <c r="F5950"/>
  <c r="F5949"/>
  <c r="F5948"/>
  <c r="F5947"/>
  <c r="F5946"/>
  <c r="F5945"/>
  <c r="F5944"/>
  <c r="F5943"/>
  <c r="F5942"/>
  <c r="F5941"/>
  <c r="F5940"/>
  <c r="F5939"/>
  <c r="F5938"/>
  <c r="F5937"/>
  <c r="F5936"/>
  <c r="F5935"/>
  <c r="F5934"/>
  <c r="F5933"/>
  <c r="F5932"/>
  <c r="F5931"/>
  <c r="F5930"/>
  <c r="F5929"/>
  <c r="F5928"/>
  <c r="F5927"/>
  <c r="F5926"/>
  <c r="F5925"/>
  <c r="F5924"/>
  <c r="F5923"/>
  <c r="F5922"/>
  <c r="F5921"/>
  <c r="F5920"/>
  <c r="F5919"/>
  <c r="F5918"/>
  <c r="F5917"/>
  <c r="F5916"/>
  <c r="F5915"/>
  <c r="F5914"/>
  <c r="F5913"/>
  <c r="F5912"/>
  <c r="F5911"/>
  <c r="F5910"/>
  <c r="F5909"/>
  <c r="F5908"/>
  <c r="F5907"/>
  <c r="F5906"/>
  <c r="F5905"/>
  <c r="F5904"/>
  <c r="F5903"/>
  <c r="F5902"/>
  <c r="F5901"/>
  <c r="F5900"/>
  <c r="F5899"/>
  <c r="F5898"/>
  <c r="F5897"/>
  <c r="F5896"/>
  <c r="F5895"/>
  <c r="F5894"/>
  <c r="F5893"/>
  <c r="F5892"/>
  <c r="F5891"/>
  <c r="F5890"/>
  <c r="F5889"/>
  <c r="F5888"/>
  <c r="F5887"/>
  <c r="F5886"/>
  <c r="F5885"/>
  <c r="F5884"/>
  <c r="F5883"/>
  <c r="F5882"/>
  <c r="F5881"/>
  <c r="F5880"/>
  <c r="F5879"/>
  <c r="F5878"/>
  <c r="F5877"/>
  <c r="F5876"/>
  <c r="F5875"/>
  <c r="F5874"/>
  <c r="F5873"/>
  <c r="F5872"/>
  <c r="F5871"/>
  <c r="F5870"/>
  <c r="F5869"/>
  <c r="F5868"/>
  <c r="F5867"/>
  <c r="F5866"/>
  <c r="F5865"/>
  <c r="F5864"/>
  <c r="F5863"/>
  <c r="F5862"/>
  <c r="F5861"/>
  <c r="F5860"/>
  <c r="F5858"/>
  <c r="F5857"/>
  <c r="F5856"/>
  <c r="F5855"/>
  <c r="F5854"/>
  <c r="F5853"/>
  <c r="F5852"/>
  <c r="F5851"/>
  <c r="F5850"/>
  <c r="F5849"/>
  <c r="F5848"/>
  <c r="F5847"/>
  <c r="F5846"/>
  <c r="F5845"/>
  <c r="F5844"/>
  <c r="F5843"/>
  <c r="F5842"/>
  <c r="F5841"/>
  <c r="F5840"/>
  <c r="F5839"/>
  <c r="F5838"/>
  <c r="F5837"/>
  <c r="F5836"/>
  <c r="F5835"/>
  <c r="F5834"/>
  <c r="F5833"/>
  <c r="F5832"/>
  <c r="F5831"/>
  <c r="F5830"/>
  <c r="F5829"/>
  <c r="F5828"/>
  <c r="F5827"/>
  <c r="F5826"/>
  <c r="F5825"/>
  <c r="F5824"/>
  <c r="F5823"/>
  <c r="F5822"/>
  <c r="F5821"/>
  <c r="F5820"/>
  <c r="F5819"/>
  <c r="F5818"/>
  <c r="F5817"/>
  <c r="F5816"/>
  <c r="F5815"/>
  <c r="F5814"/>
  <c r="F5813"/>
  <c r="F5812"/>
  <c r="F5811"/>
  <c r="F5810"/>
  <c r="F5809"/>
  <c r="F5808"/>
  <c r="F5807"/>
  <c r="F5806"/>
  <c r="F5805"/>
  <c r="F5804"/>
  <c r="F5803"/>
  <c r="F5802"/>
  <c r="F5801"/>
  <c r="F5800"/>
  <c r="F5799"/>
  <c r="F5798"/>
  <c r="F5797"/>
  <c r="F5796"/>
  <c r="F5795"/>
  <c r="F5794"/>
  <c r="F5793"/>
  <c r="F5792"/>
  <c r="F5791"/>
  <c r="F5790"/>
  <c r="F5789"/>
  <c r="F5788"/>
  <c r="F5787"/>
  <c r="F5786"/>
  <c r="F5785"/>
  <c r="F5784"/>
  <c r="F5783"/>
  <c r="F5782"/>
  <c r="F5781"/>
  <c r="F5780"/>
  <c r="F5779"/>
  <c r="F5778"/>
  <c r="F5777"/>
  <c r="F5776"/>
  <c r="F5775"/>
  <c r="F5774"/>
  <c r="F5773"/>
  <c r="F5772"/>
  <c r="F5771"/>
  <c r="F5770"/>
  <c r="F5769"/>
  <c r="F5768"/>
  <c r="F5767"/>
  <c r="F5766"/>
  <c r="F5765"/>
  <c r="F5764"/>
  <c r="F5763"/>
  <c r="F5762"/>
  <c r="F5761"/>
  <c r="F5760"/>
  <c r="F5759"/>
  <c r="F5758"/>
  <c r="F5757"/>
  <c r="F5756"/>
  <c r="F5755"/>
  <c r="F5754"/>
  <c r="F5753"/>
  <c r="F5752"/>
  <c r="F5751"/>
  <c r="F5750"/>
  <c r="F5749"/>
  <c r="F5748"/>
  <c r="F5747"/>
  <c r="F5746"/>
  <c r="F5745"/>
  <c r="F5744"/>
  <c r="F5743"/>
  <c r="F5742"/>
  <c r="F5741"/>
  <c r="F5740"/>
  <c r="F5739"/>
  <c r="F5738"/>
  <c r="F5737"/>
  <c r="F5736"/>
  <c r="F5735"/>
  <c r="F5734"/>
  <c r="F5733"/>
  <c r="F5732"/>
  <c r="F5731"/>
  <c r="F5730"/>
  <c r="F5729"/>
  <c r="F5728"/>
  <c r="F5727"/>
  <c r="F5726"/>
  <c r="F5725"/>
  <c r="F5724"/>
  <c r="F5723"/>
  <c r="F5722"/>
  <c r="F5721"/>
  <c r="F5720"/>
  <c r="F5719"/>
  <c r="F5718"/>
  <c r="F5717"/>
  <c r="F5716"/>
  <c r="F5715"/>
  <c r="F5714"/>
  <c r="F5713"/>
  <c r="F5712"/>
  <c r="F5711"/>
  <c r="F5710"/>
  <c r="F5709"/>
  <c r="F5708"/>
  <c r="F5707"/>
  <c r="F5706"/>
  <c r="F5705"/>
  <c r="F5704"/>
  <c r="F5703"/>
  <c r="F5702"/>
  <c r="F5701"/>
  <c r="F5700"/>
  <c r="F5699"/>
  <c r="F5698"/>
  <c r="F5697"/>
  <c r="F5696"/>
  <c r="F5695"/>
  <c r="F5694"/>
  <c r="F5693"/>
  <c r="F5692"/>
  <c r="F5691"/>
  <c r="F5690"/>
  <c r="F5689"/>
  <c r="F5688"/>
  <c r="F5687"/>
  <c r="F5686"/>
  <c r="F5685"/>
  <c r="F5684"/>
  <c r="F5683"/>
  <c r="F5682"/>
  <c r="F5681"/>
  <c r="F5680"/>
  <c r="F5679"/>
  <c r="F5678"/>
  <c r="F5677"/>
  <c r="F5676"/>
  <c r="F5675"/>
  <c r="F5674"/>
  <c r="F5673"/>
  <c r="F5672"/>
  <c r="F5671"/>
  <c r="F5670"/>
  <c r="F5669"/>
  <c r="F5668"/>
  <c r="F5667"/>
  <c r="F5666"/>
  <c r="F5665"/>
  <c r="F5664"/>
  <c r="F5663"/>
  <c r="F5662"/>
  <c r="F5661"/>
  <c r="F5660"/>
  <c r="F5659"/>
  <c r="F5658"/>
  <c r="F5657"/>
  <c r="F5656"/>
  <c r="F5655"/>
  <c r="F5654"/>
  <c r="F5653"/>
  <c r="F5652"/>
  <c r="F5651"/>
  <c r="F5650"/>
  <c r="F5649"/>
  <c r="F5648"/>
  <c r="F5647"/>
  <c r="F5646"/>
  <c r="F5645"/>
  <c r="F5644"/>
  <c r="F5643"/>
  <c r="F5642"/>
  <c r="F5641"/>
  <c r="F5640"/>
  <c r="F5639"/>
  <c r="F5638"/>
  <c r="F5637"/>
  <c r="F5636"/>
  <c r="F5635"/>
  <c r="F5634"/>
  <c r="F5633"/>
  <c r="F5632"/>
  <c r="F5631"/>
  <c r="F5630"/>
  <c r="F5629"/>
  <c r="F5628"/>
  <c r="F5627"/>
  <c r="F5626"/>
  <c r="F5625"/>
  <c r="F5624"/>
  <c r="F5623"/>
  <c r="F5622"/>
  <c r="F5621"/>
  <c r="F5620"/>
  <c r="F5619"/>
  <c r="F5618"/>
  <c r="F5617"/>
  <c r="F5616"/>
  <c r="F5615"/>
  <c r="F5614"/>
  <c r="F5613"/>
  <c r="F5612"/>
  <c r="F5611"/>
  <c r="F5610"/>
  <c r="F5609"/>
  <c r="F5608"/>
  <c r="F5607"/>
  <c r="F5606"/>
  <c r="F5605"/>
  <c r="F5604"/>
  <c r="F5603"/>
  <c r="F5602"/>
  <c r="F5601"/>
  <c r="F5600"/>
  <c r="F5599"/>
  <c r="F5598"/>
  <c r="F5597"/>
  <c r="F5596"/>
  <c r="F5595"/>
  <c r="F5594"/>
  <c r="F5593"/>
  <c r="F5592"/>
  <c r="F5591"/>
  <c r="F5590"/>
  <c r="F5589"/>
  <c r="F5588"/>
  <c r="F5587"/>
  <c r="F5586"/>
  <c r="F5585"/>
  <c r="F5584"/>
  <c r="F5583"/>
  <c r="F5582"/>
  <c r="F5581"/>
  <c r="F5580"/>
  <c r="F5579"/>
  <c r="F5578"/>
  <c r="F5577"/>
  <c r="F5576"/>
  <c r="F5575"/>
  <c r="F5574"/>
  <c r="F5573"/>
  <c r="F5572"/>
  <c r="F5571"/>
  <c r="F5570"/>
  <c r="F5569"/>
  <c r="F5568"/>
  <c r="F5567"/>
  <c r="F5566"/>
  <c r="F5565"/>
  <c r="F5564"/>
  <c r="F5563"/>
  <c r="F5562"/>
  <c r="F5561"/>
  <c r="F5560"/>
  <c r="F5559"/>
  <c r="F5558"/>
  <c r="F5557"/>
  <c r="F5556"/>
  <c r="F5555"/>
  <c r="F5554"/>
  <c r="F5553"/>
  <c r="F5552"/>
  <c r="F5551"/>
  <c r="F5550"/>
  <c r="F5549"/>
  <c r="F5548"/>
  <c r="F5547"/>
  <c r="F5546"/>
  <c r="F5545"/>
  <c r="F5544"/>
  <c r="F5543"/>
  <c r="F5542"/>
  <c r="F5541"/>
  <c r="F5540"/>
  <c r="F5539"/>
  <c r="F5538"/>
  <c r="F5537"/>
  <c r="F5536"/>
  <c r="F5535"/>
  <c r="F5534"/>
  <c r="F5533"/>
  <c r="F5532"/>
  <c r="F5531"/>
  <c r="F5530"/>
  <c r="F5529"/>
  <c r="F5528"/>
  <c r="F5527"/>
  <c r="F5526"/>
  <c r="F5525"/>
  <c r="F5524"/>
  <c r="F5523"/>
  <c r="F5522"/>
  <c r="F5521"/>
  <c r="F5520"/>
  <c r="F5519"/>
  <c r="F5518"/>
  <c r="F5517"/>
  <c r="F5516"/>
  <c r="F5515"/>
  <c r="F5514"/>
  <c r="F5513"/>
  <c r="F5512"/>
  <c r="F5511"/>
  <c r="F5510"/>
  <c r="F5509"/>
  <c r="F5508"/>
  <c r="F5507"/>
  <c r="F5506"/>
  <c r="F5505"/>
  <c r="F5504"/>
  <c r="F5503"/>
  <c r="F5502"/>
  <c r="F5501"/>
  <c r="F5500"/>
  <c r="F5499"/>
  <c r="F5498"/>
  <c r="F5497"/>
  <c r="F5496"/>
  <c r="F5495"/>
  <c r="F5494"/>
  <c r="F5493"/>
  <c r="F5492"/>
  <c r="F5491"/>
  <c r="F5490"/>
  <c r="F5489"/>
  <c r="F5488"/>
  <c r="F5487"/>
  <c r="F5486"/>
  <c r="F5485"/>
  <c r="F5484"/>
  <c r="F5483"/>
  <c r="F5482"/>
  <c r="F5481"/>
  <c r="F5480"/>
  <c r="F5479"/>
  <c r="F5478"/>
  <c r="F5477"/>
  <c r="F5476"/>
  <c r="F5475"/>
  <c r="F5474"/>
  <c r="F5473"/>
  <c r="F5472"/>
  <c r="F5471"/>
  <c r="F5470"/>
  <c r="F5469"/>
  <c r="F5468"/>
  <c r="F5467"/>
  <c r="F5466"/>
  <c r="F5465"/>
  <c r="F5464"/>
  <c r="F5463"/>
  <c r="F5462"/>
  <c r="F5461"/>
  <c r="F5460"/>
  <c r="F5459"/>
  <c r="F5458"/>
  <c r="F5457"/>
  <c r="F5456"/>
  <c r="F5455"/>
  <c r="F5454"/>
  <c r="F5453"/>
  <c r="F5452"/>
  <c r="F5451"/>
  <c r="F5450"/>
  <c r="F5449"/>
  <c r="F5448"/>
  <c r="F5447"/>
  <c r="F5446"/>
  <c r="F5445"/>
  <c r="F5444"/>
  <c r="F5443"/>
  <c r="F5442"/>
  <c r="F5441"/>
  <c r="F5440"/>
  <c r="F5439"/>
  <c r="F5438"/>
  <c r="F5437"/>
  <c r="F5436"/>
  <c r="F5435"/>
  <c r="F5434"/>
  <c r="F5433"/>
  <c r="F5432"/>
  <c r="F5431"/>
  <c r="F5430"/>
  <c r="F5429"/>
  <c r="F5428"/>
  <c r="F5427"/>
  <c r="F5426"/>
  <c r="F5425"/>
  <c r="F5424"/>
  <c r="F5423"/>
  <c r="F5422"/>
  <c r="F5421"/>
  <c r="F5420"/>
  <c r="F5419"/>
  <c r="F5418"/>
  <c r="F5417"/>
  <c r="F5416"/>
  <c r="F5415"/>
  <c r="F5414"/>
  <c r="F5413"/>
  <c r="F5412"/>
  <c r="F5411"/>
  <c r="F5410"/>
  <c r="F5409"/>
  <c r="F5408"/>
  <c r="F5407"/>
  <c r="F5406"/>
  <c r="F5405"/>
  <c r="F5404"/>
  <c r="F5403"/>
  <c r="F5402"/>
  <c r="F5401"/>
  <c r="F5400"/>
  <c r="F5399"/>
  <c r="F5398"/>
  <c r="F5397"/>
  <c r="F5396"/>
  <c r="F5395"/>
  <c r="F5394"/>
  <c r="F5393"/>
  <c r="F5392"/>
  <c r="F5391"/>
  <c r="F5390"/>
  <c r="F5389"/>
  <c r="F5388"/>
  <c r="F5387"/>
  <c r="F5386"/>
  <c r="F5385"/>
  <c r="F5384"/>
  <c r="F5383"/>
  <c r="F5382"/>
  <c r="F5381"/>
  <c r="F5380"/>
  <c r="F5379"/>
  <c r="F5378"/>
  <c r="F5377"/>
  <c r="F5376"/>
  <c r="F5375"/>
  <c r="F5374"/>
  <c r="F5373"/>
  <c r="F5372"/>
  <c r="F5371"/>
  <c r="F5370"/>
  <c r="F5369"/>
  <c r="F5368"/>
  <c r="F5367"/>
  <c r="F5366"/>
  <c r="F5365"/>
  <c r="F5364"/>
  <c r="F5363"/>
  <c r="F5362"/>
  <c r="F5361"/>
  <c r="F5360"/>
  <c r="F5359"/>
  <c r="F5358"/>
  <c r="F5357"/>
  <c r="F5356"/>
  <c r="F5355"/>
  <c r="F5354"/>
  <c r="F5353"/>
  <c r="F5352"/>
  <c r="F5351"/>
  <c r="F5350"/>
  <c r="F5349"/>
  <c r="F5348"/>
  <c r="F5347"/>
  <c r="F5346"/>
  <c r="F5345"/>
  <c r="F5344"/>
  <c r="F5343"/>
  <c r="F5342"/>
  <c r="F5341"/>
  <c r="F5340"/>
  <c r="F5339"/>
  <c r="F5338"/>
  <c r="F5337"/>
  <c r="F5336"/>
  <c r="F5335"/>
  <c r="F5334"/>
  <c r="F5333"/>
  <c r="F5332"/>
  <c r="F5331"/>
  <c r="F5330"/>
  <c r="F5329"/>
  <c r="F5328"/>
  <c r="F5327"/>
  <c r="F5326"/>
  <c r="F5325"/>
  <c r="F5324"/>
  <c r="F5323"/>
  <c r="F5322"/>
  <c r="F5321"/>
  <c r="F5320"/>
  <c r="F5319"/>
  <c r="F5318"/>
  <c r="F5317"/>
  <c r="F5316"/>
  <c r="F5315"/>
  <c r="F5314"/>
  <c r="F5313"/>
  <c r="F5312"/>
  <c r="F5311"/>
  <c r="F5310"/>
  <c r="F5309"/>
  <c r="F5308"/>
  <c r="F5307"/>
  <c r="F5306"/>
  <c r="F5305"/>
  <c r="F5304"/>
  <c r="F5303"/>
  <c r="F5302"/>
  <c r="F5301"/>
  <c r="F5300"/>
  <c r="F5299"/>
  <c r="F5298"/>
  <c r="F5297"/>
  <c r="F5296"/>
  <c r="F5295"/>
  <c r="F5294"/>
  <c r="F5293"/>
  <c r="F5292"/>
  <c r="F5291"/>
  <c r="F5290"/>
  <c r="F5289"/>
  <c r="F5288"/>
  <c r="F5287"/>
  <c r="F5286"/>
  <c r="F5285"/>
  <c r="F5284"/>
  <c r="F5283"/>
  <c r="F5282"/>
  <c r="F5281"/>
  <c r="F5280"/>
  <c r="F5279"/>
  <c r="F5278"/>
  <c r="F5277"/>
  <c r="F5276"/>
  <c r="F5275"/>
  <c r="F5274"/>
  <c r="F5273"/>
  <c r="F5272"/>
  <c r="F5271"/>
  <c r="F5270"/>
  <c r="F5269"/>
  <c r="F5268"/>
  <c r="F5267"/>
  <c r="F5266"/>
  <c r="F5265"/>
  <c r="F5264"/>
  <c r="F5263"/>
  <c r="F5262"/>
  <c r="F5261"/>
  <c r="F5260"/>
  <c r="F5259"/>
  <c r="F5258"/>
  <c r="F5257"/>
  <c r="F5256"/>
  <c r="F5255"/>
  <c r="F5254"/>
  <c r="F5253"/>
  <c r="F5252"/>
  <c r="F5251"/>
  <c r="F5250"/>
  <c r="F5249"/>
  <c r="F5248"/>
  <c r="F5247"/>
  <c r="F5246"/>
  <c r="F5245"/>
  <c r="F5244"/>
  <c r="F5243"/>
  <c r="F5242"/>
  <c r="F5241"/>
  <c r="F5240"/>
  <c r="F5239"/>
  <c r="F5238"/>
  <c r="F5237"/>
  <c r="F5236"/>
  <c r="F5235"/>
  <c r="F5234"/>
  <c r="F5233"/>
  <c r="F5232"/>
  <c r="F5231"/>
  <c r="F5230"/>
  <c r="F5229"/>
  <c r="F5228"/>
  <c r="F5227"/>
  <c r="F5226"/>
  <c r="F5225"/>
  <c r="F5224"/>
  <c r="F5223"/>
  <c r="F5222"/>
  <c r="F5221"/>
  <c r="F5220"/>
  <c r="F5219"/>
  <c r="F5218"/>
  <c r="F5217"/>
  <c r="F5216"/>
  <c r="F5215"/>
  <c r="F5214"/>
  <c r="F5213"/>
  <c r="F5212"/>
  <c r="F5211"/>
  <c r="F5210"/>
  <c r="F5209"/>
  <c r="F5208"/>
  <c r="F5207"/>
  <c r="F5206"/>
  <c r="F5205"/>
  <c r="F5204"/>
  <c r="F5203"/>
  <c r="F5202"/>
  <c r="F5201"/>
  <c r="F5200"/>
  <c r="F5199"/>
  <c r="F5198"/>
  <c r="F5197"/>
  <c r="F5196"/>
  <c r="F5195"/>
  <c r="F5194"/>
  <c r="F5193"/>
  <c r="F5192"/>
  <c r="F5191"/>
  <c r="F5190"/>
  <c r="F5189"/>
  <c r="F5188"/>
  <c r="F5187"/>
  <c r="F5186"/>
  <c r="F5185"/>
  <c r="F5184"/>
  <c r="F5183"/>
  <c r="F5182"/>
  <c r="F5181"/>
  <c r="F5180"/>
  <c r="F5179"/>
  <c r="F5178"/>
  <c r="F5177"/>
  <c r="F5176"/>
  <c r="F5175"/>
  <c r="F5174"/>
  <c r="F5173"/>
  <c r="F5172"/>
  <c r="F5171"/>
  <c r="F5170"/>
  <c r="F5169"/>
  <c r="F5168"/>
  <c r="F5167"/>
  <c r="F5166"/>
  <c r="F5165"/>
  <c r="F5164"/>
  <c r="F5163"/>
  <c r="F5162"/>
  <c r="F5161"/>
  <c r="F5160"/>
  <c r="F5159"/>
  <c r="F5158"/>
  <c r="F5157"/>
  <c r="F5156"/>
  <c r="F5155"/>
  <c r="F5154"/>
  <c r="F5153"/>
  <c r="F5152"/>
  <c r="F5151"/>
  <c r="F5150"/>
  <c r="F5149"/>
  <c r="F5148"/>
  <c r="F5147"/>
  <c r="F5146"/>
  <c r="F5145"/>
  <c r="F5144"/>
  <c r="F5143"/>
  <c r="F5142"/>
  <c r="F5141"/>
  <c r="F5140"/>
  <c r="F5139"/>
  <c r="F5138"/>
  <c r="F5137"/>
  <c r="F5136"/>
  <c r="F5135"/>
  <c r="F5134"/>
  <c r="F5133"/>
  <c r="F5132"/>
  <c r="F5131"/>
  <c r="F5130"/>
  <c r="F5129"/>
  <c r="F5128"/>
  <c r="F5127"/>
  <c r="F5126"/>
  <c r="F5125"/>
  <c r="F5124"/>
  <c r="F5123"/>
  <c r="F5122"/>
  <c r="F5121"/>
  <c r="F5120"/>
  <c r="F5119"/>
  <c r="F5118"/>
  <c r="F5117"/>
  <c r="F5116"/>
  <c r="F5114"/>
  <c r="F5113"/>
  <c r="F5112"/>
  <c r="F5111"/>
  <c r="F5110"/>
  <c r="F5109"/>
  <c r="F5108"/>
  <c r="F5107"/>
  <c r="F5106"/>
  <c r="F5105"/>
  <c r="F5104"/>
  <c r="F5103"/>
  <c r="F5102"/>
  <c r="F5101"/>
  <c r="F5100"/>
  <c r="F5099"/>
  <c r="F5098"/>
  <c r="F5097"/>
  <c r="F5096"/>
  <c r="F5095"/>
  <c r="F5094"/>
  <c r="F5093"/>
  <c r="F5092"/>
  <c r="F5091"/>
  <c r="F5090"/>
  <c r="F5089"/>
  <c r="F5088"/>
  <c r="F5087"/>
  <c r="F5086"/>
  <c r="F5085"/>
  <c r="F5084"/>
  <c r="F5083"/>
  <c r="F5082"/>
  <c r="F5081"/>
  <c r="F5080"/>
  <c r="F5079"/>
  <c r="F5078"/>
  <c r="F5077"/>
  <c r="F5076"/>
  <c r="F5075"/>
  <c r="F5074"/>
  <c r="F5073"/>
  <c r="F5072"/>
  <c r="F5071"/>
  <c r="F5070"/>
  <c r="F5069"/>
  <c r="F5068"/>
  <c r="F5067"/>
  <c r="F5066"/>
  <c r="F5065"/>
  <c r="F5064"/>
  <c r="F5063"/>
  <c r="F5062"/>
  <c r="F5061"/>
  <c r="F5060"/>
  <c r="F5059"/>
  <c r="F5058"/>
  <c r="F5057"/>
  <c r="F5056"/>
  <c r="F5055"/>
  <c r="F5054"/>
  <c r="F5053"/>
  <c r="F5052"/>
  <c r="F5051"/>
  <c r="F5050"/>
  <c r="F5049"/>
  <c r="F5048"/>
  <c r="F5047"/>
  <c r="F5046"/>
  <c r="F5045"/>
  <c r="F5044"/>
  <c r="F5043"/>
  <c r="F5042"/>
  <c r="F5041"/>
  <c r="F5040"/>
  <c r="F5039"/>
  <c r="F5038"/>
  <c r="F5037"/>
  <c r="F5036"/>
  <c r="F5035"/>
  <c r="F5034"/>
  <c r="F5033"/>
  <c r="F5032"/>
  <c r="F5031"/>
  <c r="F5030"/>
  <c r="F5029"/>
  <c r="F5028"/>
  <c r="F5027"/>
  <c r="F5026"/>
  <c r="F5025"/>
  <c r="F5024"/>
  <c r="F5023"/>
  <c r="F5022"/>
  <c r="F5021"/>
  <c r="F5020"/>
  <c r="F5019"/>
  <c r="F5018"/>
  <c r="F5017"/>
  <c r="F5016"/>
  <c r="F5015"/>
  <c r="F5014"/>
  <c r="F5013"/>
  <c r="F5012"/>
  <c r="F5011"/>
  <c r="F5010"/>
  <c r="F5009"/>
  <c r="F5008"/>
  <c r="F5007"/>
  <c r="F5006"/>
  <c r="F5005"/>
  <c r="F5004"/>
  <c r="F5003"/>
  <c r="F5002"/>
  <c r="F5001"/>
  <c r="F5000"/>
  <c r="F4999"/>
  <c r="F4998"/>
  <c r="F4997"/>
  <c r="F4996"/>
  <c r="F4995"/>
  <c r="F4994"/>
  <c r="F4993"/>
  <c r="F4992"/>
  <c r="F4991"/>
  <c r="F4990"/>
  <c r="F4989"/>
  <c r="F4988"/>
  <c r="F4987"/>
  <c r="F4986"/>
  <c r="F4985"/>
  <c r="F4984"/>
  <c r="F4983"/>
  <c r="F4982"/>
  <c r="F4981"/>
  <c r="F4980"/>
  <c r="F4979"/>
  <c r="F4978"/>
  <c r="F4977"/>
  <c r="F4976"/>
  <c r="F4975"/>
  <c r="F4974"/>
  <c r="F4973"/>
  <c r="F4972"/>
  <c r="F4971"/>
  <c r="F4970"/>
  <c r="F4969"/>
  <c r="F4968"/>
  <c r="F4967"/>
  <c r="F4966"/>
  <c r="F4965"/>
  <c r="F4964"/>
  <c r="F4963"/>
  <c r="F4962"/>
  <c r="F4961"/>
  <c r="F4960"/>
  <c r="F4959"/>
  <c r="F4958"/>
  <c r="F4957"/>
  <c r="F4956"/>
  <c r="F4955"/>
  <c r="F4954"/>
  <c r="F4953"/>
  <c r="F4952"/>
  <c r="F4951"/>
  <c r="F4950"/>
  <c r="F4949"/>
  <c r="F4948"/>
  <c r="F4947"/>
  <c r="F4946"/>
  <c r="F4945"/>
  <c r="F4944"/>
  <c r="F4943"/>
  <c r="F4942"/>
  <c r="F4941"/>
  <c r="F4940"/>
  <c r="F4939"/>
  <c r="F4938"/>
  <c r="F4937"/>
  <c r="F4936"/>
  <c r="F4935"/>
  <c r="F4934"/>
  <c r="F4933"/>
  <c r="F4932"/>
  <c r="F4931"/>
  <c r="F4930"/>
  <c r="F4929"/>
  <c r="F4928"/>
  <c r="F4927"/>
  <c r="F4926"/>
  <c r="F4925"/>
  <c r="F4924"/>
  <c r="F4923"/>
  <c r="F4922"/>
  <c r="F4921"/>
  <c r="F4920"/>
  <c r="F4919"/>
  <c r="F4918"/>
  <c r="F4917"/>
  <c r="F4916"/>
  <c r="F4915"/>
  <c r="F4914"/>
  <c r="F4913"/>
  <c r="F4912"/>
  <c r="F4911"/>
  <c r="F4910"/>
  <c r="F4909"/>
  <c r="F4908"/>
  <c r="F4907"/>
  <c r="F4906"/>
  <c r="F4905"/>
  <c r="F4904"/>
  <c r="F4903"/>
  <c r="F4902"/>
  <c r="F4901"/>
  <c r="F4900"/>
  <c r="F4899"/>
  <c r="F4898"/>
  <c r="F4897"/>
  <c r="F4896"/>
  <c r="F4895"/>
  <c r="F4894"/>
  <c r="F4893"/>
  <c r="F4892"/>
  <c r="F4891"/>
  <c r="F4890"/>
  <c r="F4889"/>
  <c r="F4888"/>
  <c r="F4887"/>
  <c r="F4886"/>
  <c r="F4885"/>
  <c r="F4884"/>
  <c r="F4883"/>
  <c r="F4882"/>
  <c r="F4881"/>
  <c r="F4880"/>
  <c r="F4879"/>
  <c r="F4878"/>
  <c r="F4877"/>
  <c r="F4876"/>
  <c r="F4875"/>
  <c r="F4874"/>
  <c r="F4873"/>
  <c r="F4872"/>
  <c r="F4871"/>
  <c r="F4870"/>
  <c r="F4869"/>
  <c r="F4868"/>
  <c r="F4867"/>
  <c r="F4866"/>
  <c r="F4865"/>
  <c r="F4864"/>
  <c r="F4863"/>
  <c r="F4862"/>
  <c r="F4861"/>
  <c r="F4860"/>
  <c r="F4859"/>
  <c r="F4858"/>
  <c r="F4857"/>
  <c r="F4856"/>
  <c r="F4855"/>
  <c r="F4854"/>
  <c r="F4853"/>
  <c r="F4852"/>
  <c r="F4851"/>
  <c r="F4850"/>
  <c r="F4849"/>
  <c r="F4848"/>
  <c r="F4847"/>
  <c r="F4846"/>
  <c r="F4845"/>
  <c r="F4844"/>
  <c r="F4843"/>
  <c r="F4842"/>
  <c r="F4841"/>
  <c r="F4840"/>
  <c r="F4839"/>
  <c r="F4838"/>
  <c r="F4837"/>
  <c r="F4836"/>
  <c r="F4835"/>
  <c r="F4834"/>
  <c r="F4833"/>
  <c r="F4832"/>
  <c r="F4831"/>
  <c r="F4830"/>
  <c r="F4829"/>
  <c r="F4828"/>
  <c r="F4827"/>
  <c r="F4826"/>
  <c r="F4825"/>
  <c r="F4824"/>
  <c r="F4823"/>
  <c r="F4822"/>
  <c r="F4821"/>
  <c r="F4820"/>
  <c r="F4819"/>
  <c r="F4818"/>
  <c r="F4817"/>
  <c r="F4816"/>
  <c r="F4815"/>
  <c r="F4814"/>
  <c r="F4813"/>
  <c r="F4812"/>
  <c r="F4811"/>
  <c r="F4810"/>
  <c r="F4809"/>
  <c r="F4808"/>
  <c r="F4807"/>
  <c r="F4806"/>
  <c r="F4805"/>
  <c r="F4804"/>
  <c r="F4803"/>
  <c r="F4802"/>
  <c r="F4801"/>
  <c r="F4800"/>
  <c r="F4799"/>
  <c r="F4798"/>
  <c r="F4797"/>
  <c r="F4796"/>
  <c r="F4795"/>
  <c r="F4794"/>
  <c r="F4793"/>
  <c r="F4792"/>
  <c r="F4791"/>
  <c r="F4790"/>
  <c r="F4789"/>
  <c r="F4788"/>
  <c r="F4787"/>
  <c r="F4786"/>
  <c r="F4785"/>
  <c r="F4784"/>
  <c r="F4783"/>
  <c r="F4782"/>
  <c r="F4781"/>
  <c r="F4780"/>
  <c r="F4779"/>
  <c r="F4778"/>
  <c r="F4777"/>
  <c r="F4776"/>
  <c r="F4775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N5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8788"/>
  <c r="N6"/>
  <c r="N7"/>
  <c r="N8"/>
  <c r="N9"/>
  <c r="N10"/>
  <c r="N11"/>
  <c r="N12"/>
  <c r="N13"/>
  <c r="N14"/>
  <c r="N16"/>
  <c r="P83" i="12" s="1"/>
  <c r="P88" s="1"/>
  <c r="G39" i="25"/>
  <c r="G38"/>
  <c r="G37"/>
  <c r="I39"/>
  <c r="CV31" i="9"/>
  <c r="CU13"/>
  <c r="CP31"/>
  <c r="CU47"/>
  <c r="CV30"/>
  <c r="CP30"/>
  <c r="BN17" i="8"/>
  <c r="BM17"/>
  <c r="BL17"/>
  <c r="BK17"/>
  <c r="D133" i="27"/>
  <c r="D111"/>
  <c r="D112"/>
  <c r="D113"/>
  <c r="D114"/>
  <c r="D115"/>
  <c r="D120"/>
  <c r="D116"/>
  <c r="D117"/>
  <c r="D118"/>
  <c r="D119"/>
  <c r="D122"/>
  <c r="D121"/>
  <c r="D123"/>
  <c r="D124"/>
  <c r="D125"/>
  <c r="D126"/>
  <c r="D127"/>
  <c r="D128"/>
  <c r="D129"/>
  <c r="D130"/>
  <c r="D131"/>
  <c r="D132"/>
  <c r="CU38" i="9"/>
  <c r="C16" i="10"/>
  <c r="BO12" i="8"/>
  <c r="CV29" i="9"/>
  <c r="CT29"/>
  <c r="CS29"/>
  <c r="CP29"/>
  <c r="AY14"/>
  <c r="AY13"/>
  <c r="AY12"/>
  <c r="AY11"/>
  <c r="AY10"/>
  <c r="AY9"/>
  <c r="AY8"/>
  <c r="AY7"/>
  <c r="AY6"/>
  <c r="AY5"/>
  <c r="AY4"/>
  <c r="AY3"/>
  <c r="AY32"/>
  <c r="AY31"/>
  <c r="AY30"/>
  <c r="AY22"/>
  <c r="AY23"/>
  <c r="AY24"/>
  <c r="AY25"/>
  <c r="AY26"/>
  <c r="AY27"/>
  <c r="AY28"/>
  <c r="AY29"/>
  <c r="AY21"/>
  <c r="AX21"/>
  <c r="AY38"/>
  <c r="B13" i="11"/>
  <c r="F13" s="1"/>
  <c r="BD21" i="9"/>
  <c r="BD22"/>
  <c r="BD23"/>
  <c r="BD24"/>
  <c r="BD25"/>
  <c r="BD26"/>
  <c r="BD27"/>
  <c r="BD28"/>
  <c r="BD29"/>
  <c r="BD30"/>
  <c r="BD31"/>
  <c r="BD32"/>
  <c r="BD34"/>
  <c r="BD62"/>
  <c r="AZ66"/>
  <c r="AZ67"/>
  <c r="AZ68"/>
  <c r="AZ69"/>
  <c r="AZ70"/>
  <c r="AZ71"/>
  <c r="AZ72"/>
  <c r="AZ73"/>
  <c r="AZ74"/>
  <c r="AZ75"/>
  <c r="AZ76"/>
  <c r="AZ77"/>
  <c r="AZ79"/>
  <c r="L9" i="12"/>
  <c r="B23" i="11" s="1"/>
  <c r="F16" i="10"/>
  <c r="O58" i="46" s="1"/>
  <c r="AW66" i="9"/>
  <c r="AW67"/>
  <c r="AW68"/>
  <c r="AW69"/>
  <c r="AW70"/>
  <c r="AW71"/>
  <c r="AW72"/>
  <c r="AW73"/>
  <c r="AW74"/>
  <c r="AW75"/>
  <c r="AW76"/>
  <c r="AW77"/>
  <c r="AW79"/>
  <c r="I9" i="12"/>
  <c r="CP34" i="9"/>
  <c r="I14" i="12"/>
  <c r="AY66" i="9"/>
  <c r="AY67"/>
  <c r="AY68"/>
  <c r="AY69"/>
  <c r="AY70"/>
  <c r="AY71"/>
  <c r="AY72"/>
  <c r="AY73"/>
  <c r="AY74"/>
  <c r="AY75"/>
  <c r="AY76"/>
  <c r="AY77"/>
  <c r="AY79"/>
  <c r="J9" i="12"/>
  <c r="CR34" i="9"/>
  <c r="J14" i="12"/>
  <c r="D16" i="10"/>
  <c r="O35" i="46" s="1"/>
  <c r="AX66" i="9"/>
  <c r="AX67"/>
  <c r="AX68"/>
  <c r="AX69"/>
  <c r="AX70"/>
  <c r="AX71"/>
  <c r="AX72"/>
  <c r="AX73"/>
  <c r="AX74"/>
  <c r="AX75"/>
  <c r="AX76"/>
  <c r="AX77"/>
  <c r="AX79"/>
  <c r="K9" i="12"/>
  <c r="CQ34" i="9"/>
  <c r="K14" i="12"/>
  <c r="E16" i="10"/>
  <c r="O46" i="46" s="1"/>
  <c r="BA66" i="9"/>
  <c r="BA67"/>
  <c r="BA68"/>
  <c r="BA69"/>
  <c r="BA70"/>
  <c r="BA71"/>
  <c r="BA72"/>
  <c r="BA73"/>
  <c r="BA74"/>
  <c r="BA75"/>
  <c r="BA76"/>
  <c r="BA77"/>
  <c r="BA79"/>
  <c r="M9" i="12"/>
  <c r="G16" i="10"/>
  <c r="O74" i="46" s="1"/>
  <c r="BB66" i="9"/>
  <c r="BB67"/>
  <c r="BB68"/>
  <c r="BB69"/>
  <c r="BB70"/>
  <c r="BB71"/>
  <c r="BB72"/>
  <c r="BB73"/>
  <c r="BB74"/>
  <c r="BB75"/>
  <c r="BB76"/>
  <c r="BB77"/>
  <c r="BB79"/>
  <c r="H16" i="10"/>
  <c r="O90" i="46" s="1"/>
  <c r="BC66" i="9"/>
  <c r="BC67"/>
  <c r="BC68"/>
  <c r="BC69"/>
  <c r="BC70"/>
  <c r="BC71"/>
  <c r="BC72"/>
  <c r="BC73"/>
  <c r="BC74"/>
  <c r="BC75"/>
  <c r="BC76"/>
  <c r="BC77"/>
  <c r="BC79"/>
  <c r="O9" i="12"/>
  <c r="O14"/>
  <c r="C13" i="11"/>
  <c r="D13"/>
  <c r="E13"/>
  <c r="E28" s="1"/>
  <c r="I58" i="12"/>
  <c r="B26" i="4"/>
  <c r="AE4" i="27"/>
  <c r="AF4"/>
  <c r="I146" i="40"/>
  <c r="H146"/>
  <c r="G146"/>
  <c r="A146"/>
  <c r="I145"/>
  <c r="H145"/>
  <c r="G145"/>
  <c r="A145"/>
  <c r="I144"/>
  <c r="H144"/>
  <c r="G144"/>
  <c r="A144"/>
  <c r="I143"/>
  <c r="H143"/>
  <c r="G143"/>
  <c r="A143"/>
  <c r="I142"/>
  <c r="H142"/>
  <c r="G142"/>
  <c r="A142"/>
  <c r="I141"/>
  <c r="H141"/>
  <c r="G141"/>
  <c r="A141"/>
  <c r="I140"/>
  <c r="H140"/>
  <c r="G140"/>
  <c r="A140"/>
  <c r="I139"/>
  <c r="H139"/>
  <c r="G139"/>
  <c r="A139"/>
  <c r="I138"/>
  <c r="H138"/>
  <c r="G138"/>
  <c r="A138"/>
  <c r="I137"/>
  <c r="H137"/>
  <c r="G137"/>
  <c r="A137"/>
  <c r="H136"/>
  <c r="G136"/>
  <c r="A136"/>
  <c r="H135"/>
  <c r="G135"/>
  <c r="A135"/>
  <c r="H134"/>
  <c r="G134"/>
  <c r="A134"/>
  <c r="H133"/>
  <c r="G133"/>
  <c r="A133"/>
  <c r="H132"/>
  <c r="G132"/>
  <c r="A132"/>
  <c r="H131"/>
  <c r="G131"/>
  <c r="A131"/>
  <c r="H130"/>
  <c r="G130"/>
  <c r="A130"/>
  <c r="H129"/>
  <c r="G129"/>
  <c r="A129"/>
  <c r="H128"/>
  <c r="G128"/>
  <c r="A128"/>
  <c r="H127"/>
  <c r="G127"/>
  <c r="A127"/>
  <c r="H126"/>
  <c r="G126"/>
  <c r="A126"/>
  <c r="H125"/>
  <c r="G125"/>
  <c r="A125"/>
  <c r="H124"/>
  <c r="G124"/>
  <c r="A124"/>
  <c r="H123"/>
  <c r="G123"/>
  <c r="A123"/>
  <c r="H122"/>
  <c r="G122"/>
  <c r="A122"/>
  <c r="H121"/>
  <c r="G121"/>
  <c r="A121"/>
  <c r="H120"/>
  <c r="G120"/>
  <c r="A120"/>
  <c r="H119"/>
  <c r="G119"/>
  <c r="A119"/>
  <c r="H118"/>
  <c r="G118"/>
  <c r="A118"/>
  <c r="H117"/>
  <c r="G117"/>
  <c r="A117"/>
  <c r="H116"/>
  <c r="G116"/>
  <c r="A116"/>
  <c r="H115"/>
  <c r="G115"/>
  <c r="A115"/>
  <c r="H114"/>
  <c r="G114"/>
  <c r="A114"/>
  <c r="H113"/>
  <c r="G113"/>
  <c r="A113"/>
  <c r="H112"/>
  <c r="G112"/>
  <c r="A112"/>
  <c r="H111"/>
  <c r="G111"/>
  <c r="A111"/>
  <c r="H110"/>
  <c r="G110"/>
  <c r="A110"/>
  <c r="H109"/>
  <c r="G109"/>
  <c r="A109"/>
  <c r="H108"/>
  <c r="G108"/>
  <c r="A108"/>
  <c r="H107"/>
  <c r="G107"/>
  <c r="A107"/>
  <c r="H106"/>
  <c r="G106"/>
  <c r="A106"/>
  <c r="H105"/>
  <c r="G105"/>
  <c r="A105"/>
  <c r="H104"/>
  <c r="G104"/>
  <c r="A104"/>
  <c r="H103"/>
  <c r="G103"/>
  <c r="A103"/>
  <c r="H102"/>
  <c r="G102"/>
  <c r="A102"/>
  <c r="H101"/>
  <c r="G101"/>
  <c r="A101"/>
  <c r="H100"/>
  <c r="G100"/>
  <c r="A100"/>
  <c r="H99"/>
  <c r="G99"/>
  <c r="A99"/>
  <c r="I98"/>
  <c r="H98"/>
  <c r="G98"/>
  <c r="A98"/>
  <c r="I97"/>
  <c r="H97"/>
  <c r="G97"/>
  <c r="A97"/>
  <c r="I96"/>
  <c r="H96"/>
  <c r="G96"/>
  <c r="A96"/>
  <c r="I95"/>
  <c r="H95"/>
  <c r="G95"/>
  <c r="A95"/>
  <c r="I94"/>
  <c r="H94"/>
  <c r="G94"/>
  <c r="A94"/>
  <c r="I93"/>
  <c r="H93"/>
  <c r="G93"/>
  <c r="A93"/>
  <c r="I92"/>
  <c r="H92"/>
  <c r="G92"/>
  <c r="A92"/>
  <c r="I91"/>
  <c r="H91"/>
  <c r="G91"/>
  <c r="A91"/>
  <c r="I90"/>
  <c r="H90"/>
  <c r="G90"/>
  <c r="A90"/>
  <c r="I89"/>
  <c r="H89"/>
  <c r="G89"/>
  <c r="A89"/>
  <c r="I88"/>
  <c r="H88"/>
  <c r="G88"/>
  <c r="A88"/>
  <c r="I87"/>
  <c r="H87"/>
  <c r="G87"/>
  <c r="A87"/>
  <c r="K86"/>
  <c r="I86"/>
  <c r="H86"/>
  <c r="G86"/>
  <c r="A86"/>
  <c r="K85"/>
  <c r="I85"/>
  <c r="H85"/>
  <c r="G85"/>
  <c r="A85"/>
  <c r="K84"/>
  <c r="I84"/>
  <c r="H84"/>
  <c r="G84"/>
  <c r="A84"/>
  <c r="K83"/>
  <c r="I83"/>
  <c r="H83"/>
  <c r="G83"/>
  <c r="A83"/>
  <c r="K82"/>
  <c r="I82"/>
  <c r="H82"/>
  <c r="G82"/>
  <c r="A82"/>
  <c r="K81"/>
  <c r="I81"/>
  <c r="H81"/>
  <c r="G81"/>
  <c r="A81"/>
  <c r="K80"/>
  <c r="I80"/>
  <c r="H80"/>
  <c r="G80"/>
  <c r="A80"/>
  <c r="K79"/>
  <c r="I79"/>
  <c r="H79"/>
  <c r="G79"/>
  <c r="A79"/>
  <c r="K78"/>
  <c r="I78"/>
  <c r="H78"/>
  <c r="G78"/>
  <c r="A78"/>
  <c r="K77"/>
  <c r="I77"/>
  <c r="H77"/>
  <c r="G77"/>
  <c r="A77"/>
  <c r="K76"/>
  <c r="I76"/>
  <c r="H76"/>
  <c r="G76"/>
  <c r="A76"/>
  <c r="K75"/>
  <c r="I75"/>
  <c r="H75"/>
  <c r="G75"/>
  <c r="A75"/>
  <c r="K74"/>
  <c r="I74"/>
  <c r="H74"/>
  <c r="G74"/>
  <c r="A74"/>
  <c r="K73"/>
  <c r="I73"/>
  <c r="H73"/>
  <c r="G73"/>
  <c r="A73"/>
  <c r="K72"/>
  <c r="I72"/>
  <c r="H72"/>
  <c r="G72"/>
  <c r="F72"/>
  <c r="A72"/>
  <c r="K71"/>
  <c r="I71"/>
  <c r="H71"/>
  <c r="G71"/>
  <c r="A71"/>
  <c r="K70"/>
  <c r="I70"/>
  <c r="H70"/>
  <c r="G70"/>
  <c r="A70"/>
  <c r="K69"/>
  <c r="I69"/>
  <c r="H69"/>
  <c r="G69"/>
  <c r="A69"/>
  <c r="K68"/>
  <c r="I68"/>
  <c r="H68"/>
  <c r="G68"/>
  <c r="F68"/>
  <c r="A68"/>
  <c r="K67"/>
  <c r="I67"/>
  <c r="H67"/>
  <c r="G67"/>
  <c r="A67"/>
  <c r="K66"/>
  <c r="I66"/>
  <c r="H66"/>
  <c r="G66"/>
  <c r="F66"/>
  <c r="A66"/>
  <c r="K65"/>
  <c r="I65"/>
  <c r="H65"/>
  <c r="G65"/>
  <c r="A65"/>
  <c r="K64"/>
  <c r="I64"/>
  <c r="H64"/>
  <c r="G64"/>
  <c r="F64"/>
  <c r="A64"/>
  <c r="K63"/>
  <c r="I63"/>
  <c r="H63"/>
  <c r="G63"/>
  <c r="A63"/>
  <c r="K62"/>
  <c r="I62"/>
  <c r="H62"/>
  <c r="G62"/>
  <c r="A62"/>
  <c r="K61"/>
  <c r="I61"/>
  <c r="H61"/>
  <c r="G61"/>
  <c r="A61"/>
  <c r="K60"/>
  <c r="I60"/>
  <c r="H60"/>
  <c r="G60"/>
  <c r="A60"/>
  <c r="K59"/>
  <c r="I59"/>
  <c r="H59"/>
  <c r="G59"/>
  <c r="A59"/>
  <c r="K58"/>
  <c r="I58"/>
  <c r="H58"/>
  <c r="G58"/>
  <c r="F58"/>
  <c r="A58"/>
  <c r="K57"/>
  <c r="I57"/>
  <c r="H57"/>
  <c r="G57"/>
  <c r="A57"/>
  <c r="K56"/>
  <c r="I56"/>
  <c r="H56"/>
  <c r="G56"/>
  <c r="F56"/>
  <c r="A56"/>
  <c r="K55"/>
  <c r="I55"/>
  <c r="H55"/>
  <c r="G55"/>
  <c r="A55"/>
  <c r="K54"/>
  <c r="I54"/>
  <c r="H54"/>
  <c r="G54"/>
  <c r="A54"/>
  <c r="K53"/>
  <c r="I53"/>
  <c r="H53"/>
  <c r="G53"/>
  <c r="A53"/>
  <c r="K52"/>
  <c r="I52"/>
  <c r="H52"/>
  <c r="G52"/>
  <c r="A52"/>
  <c r="K51"/>
  <c r="I51"/>
  <c r="H51"/>
  <c r="G51"/>
  <c r="A51"/>
  <c r="K50"/>
  <c r="I50"/>
  <c r="H50"/>
  <c r="G50"/>
  <c r="F50"/>
  <c r="A50"/>
  <c r="K49"/>
  <c r="I49"/>
  <c r="H49"/>
  <c r="G49"/>
  <c r="A49"/>
  <c r="K48"/>
  <c r="I48"/>
  <c r="H48"/>
  <c r="G48"/>
  <c r="F48"/>
  <c r="A48"/>
  <c r="K47"/>
  <c r="I47"/>
  <c r="H47"/>
  <c r="G47"/>
  <c r="A47"/>
  <c r="K46"/>
  <c r="I46"/>
  <c r="H46"/>
  <c r="G46"/>
  <c r="F46"/>
  <c r="A46"/>
  <c r="K45"/>
  <c r="I45"/>
  <c r="H45"/>
  <c r="G45"/>
  <c r="A45"/>
  <c r="K44"/>
  <c r="I44"/>
  <c r="H44"/>
  <c r="G44"/>
  <c r="A44"/>
  <c r="K43"/>
  <c r="I43"/>
  <c r="H43"/>
  <c r="G43"/>
  <c r="A43"/>
  <c r="K42"/>
  <c r="I42"/>
  <c r="H42"/>
  <c r="G42"/>
  <c r="F42"/>
  <c r="A42"/>
  <c r="K41"/>
  <c r="I41"/>
  <c r="H41"/>
  <c r="G41"/>
  <c r="A41"/>
  <c r="K40"/>
  <c r="I40"/>
  <c r="H40"/>
  <c r="G40"/>
  <c r="F40"/>
  <c r="A40"/>
  <c r="K39"/>
  <c r="I39"/>
  <c r="H39"/>
  <c r="G39"/>
  <c r="A39"/>
  <c r="K38"/>
  <c r="I38"/>
  <c r="H38"/>
  <c r="G38"/>
  <c r="F38"/>
  <c r="A38"/>
  <c r="K37"/>
  <c r="I37"/>
  <c r="H37"/>
  <c r="G37"/>
  <c r="A37"/>
  <c r="K36"/>
  <c r="I36"/>
  <c r="H36"/>
  <c r="G36"/>
  <c r="A36"/>
  <c r="K35"/>
  <c r="I35"/>
  <c r="H35"/>
  <c r="G35"/>
  <c r="A35"/>
  <c r="K34"/>
  <c r="I34"/>
  <c r="H34"/>
  <c r="G34"/>
  <c r="A34"/>
  <c r="K33"/>
  <c r="I33"/>
  <c r="H33"/>
  <c r="G33"/>
  <c r="A33"/>
  <c r="K32"/>
  <c r="I32"/>
  <c r="H32"/>
  <c r="G32"/>
  <c r="F32"/>
  <c r="A32"/>
  <c r="K31"/>
  <c r="I31"/>
  <c r="H31"/>
  <c r="G31"/>
  <c r="A31"/>
  <c r="K30"/>
  <c r="I30"/>
  <c r="H30"/>
  <c r="G30"/>
  <c r="A30"/>
  <c r="K29"/>
  <c r="I29"/>
  <c r="H29"/>
  <c r="G29"/>
  <c r="A29"/>
  <c r="K28"/>
  <c r="I28"/>
  <c r="H28"/>
  <c r="G28"/>
  <c r="A28"/>
  <c r="K27"/>
  <c r="I27"/>
  <c r="H27"/>
  <c r="G27"/>
  <c r="A27"/>
  <c r="K26"/>
  <c r="I26"/>
  <c r="H26"/>
  <c r="G26"/>
  <c r="F26"/>
  <c r="A26"/>
  <c r="K25"/>
  <c r="I25"/>
  <c r="H25"/>
  <c r="G25"/>
  <c r="A25"/>
  <c r="K24"/>
  <c r="I24"/>
  <c r="H24"/>
  <c r="G24"/>
  <c r="F24"/>
  <c r="A24"/>
  <c r="K23"/>
  <c r="I23"/>
  <c r="H23"/>
  <c r="G23"/>
  <c r="A23"/>
  <c r="K22"/>
  <c r="I22"/>
  <c r="H22"/>
  <c r="G22"/>
  <c r="A22"/>
  <c r="K21"/>
  <c r="I21"/>
  <c r="H21"/>
  <c r="G21"/>
  <c r="A21"/>
  <c r="K20"/>
  <c r="I20"/>
  <c r="H20"/>
  <c r="G20"/>
  <c r="F20"/>
  <c r="A20"/>
  <c r="K19"/>
  <c r="I19"/>
  <c r="H19"/>
  <c r="G19"/>
  <c r="A19"/>
  <c r="K18"/>
  <c r="I18"/>
  <c r="H18"/>
  <c r="G18"/>
  <c r="A18"/>
  <c r="K17"/>
  <c r="I17"/>
  <c r="H17"/>
  <c r="G17"/>
  <c r="A17"/>
  <c r="K16"/>
  <c r="I16"/>
  <c r="H16"/>
  <c r="G16"/>
  <c r="F16"/>
  <c r="A16"/>
  <c r="K15"/>
  <c r="I15"/>
  <c r="H15"/>
  <c r="G15"/>
  <c r="A15"/>
  <c r="K14"/>
  <c r="I14"/>
  <c r="H14"/>
  <c r="G14"/>
  <c r="A14"/>
  <c r="K13"/>
  <c r="I13"/>
  <c r="H13"/>
  <c r="G13"/>
  <c r="A13"/>
  <c r="K12"/>
  <c r="I12"/>
  <c r="H12"/>
  <c r="G12"/>
  <c r="A12"/>
  <c r="K11"/>
  <c r="I11"/>
  <c r="H11"/>
  <c r="G11"/>
  <c r="A11"/>
  <c r="K10"/>
  <c r="I10"/>
  <c r="H10"/>
  <c r="G10"/>
  <c r="F10"/>
  <c r="A10"/>
  <c r="K9"/>
  <c r="I9"/>
  <c r="H9"/>
  <c r="G9"/>
  <c r="A9"/>
  <c r="K8"/>
  <c r="I8"/>
  <c r="H8"/>
  <c r="G8"/>
  <c r="F8"/>
  <c r="A8"/>
  <c r="K7"/>
  <c r="I7"/>
  <c r="H7"/>
  <c r="G7"/>
  <c r="A7"/>
  <c r="K6"/>
  <c r="I6"/>
  <c r="H6"/>
  <c r="G6"/>
  <c r="A6"/>
  <c r="K5"/>
  <c r="I5"/>
  <c r="H5"/>
  <c r="G5"/>
  <c r="A5"/>
  <c r="K4"/>
  <c r="I4"/>
  <c r="H4"/>
  <c r="G4"/>
  <c r="A4"/>
  <c r="K3"/>
  <c r="I3"/>
  <c r="H3"/>
  <c r="G3"/>
  <c r="A3"/>
  <c r="I146" i="39"/>
  <c r="H146"/>
  <c r="G146"/>
  <c r="A146"/>
  <c r="I145"/>
  <c r="H145"/>
  <c r="G145"/>
  <c r="A145"/>
  <c r="I144"/>
  <c r="H144"/>
  <c r="G144"/>
  <c r="A144"/>
  <c r="I143"/>
  <c r="H143"/>
  <c r="G143"/>
  <c r="A143"/>
  <c r="I142"/>
  <c r="H142"/>
  <c r="G142"/>
  <c r="A142"/>
  <c r="I141"/>
  <c r="H141"/>
  <c r="G141"/>
  <c r="A141"/>
  <c r="I140"/>
  <c r="H140"/>
  <c r="G140"/>
  <c r="A140"/>
  <c r="I139"/>
  <c r="H139"/>
  <c r="G139"/>
  <c r="A139"/>
  <c r="I138"/>
  <c r="H138"/>
  <c r="G138"/>
  <c r="A138"/>
  <c r="I137"/>
  <c r="H137"/>
  <c r="G137"/>
  <c r="A137"/>
  <c r="H136"/>
  <c r="G136"/>
  <c r="A136"/>
  <c r="H135"/>
  <c r="G135"/>
  <c r="A135"/>
  <c r="H134"/>
  <c r="G134"/>
  <c r="A134"/>
  <c r="H133"/>
  <c r="G133"/>
  <c r="A133"/>
  <c r="H132"/>
  <c r="G132"/>
  <c r="A132"/>
  <c r="H131"/>
  <c r="G131"/>
  <c r="A131"/>
  <c r="H130"/>
  <c r="G130"/>
  <c r="A130"/>
  <c r="H129"/>
  <c r="G129"/>
  <c r="A129"/>
  <c r="H128"/>
  <c r="G128"/>
  <c r="A128"/>
  <c r="H127"/>
  <c r="G127"/>
  <c r="A127"/>
  <c r="H126"/>
  <c r="G126"/>
  <c r="A126"/>
  <c r="H125"/>
  <c r="G125"/>
  <c r="A125"/>
  <c r="H124"/>
  <c r="G124"/>
  <c r="A124"/>
  <c r="H123"/>
  <c r="G123"/>
  <c r="A123"/>
  <c r="H122"/>
  <c r="G122"/>
  <c r="A122"/>
  <c r="H121"/>
  <c r="G121"/>
  <c r="A121"/>
  <c r="H120"/>
  <c r="G120"/>
  <c r="A120"/>
  <c r="H119"/>
  <c r="G119"/>
  <c r="A119"/>
  <c r="H118"/>
  <c r="G118"/>
  <c r="A118"/>
  <c r="H117"/>
  <c r="G117"/>
  <c r="A117"/>
  <c r="H116"/>
  <c r="G116"/>
  <c r="A116"/>
  <c r="H115"/>
  <c r="G115"/>
  <c r="A115"/>
  <c r="H114"/>
  <c r="G114"/>
  <c r="A114"/>
  <c r="H113"/>
  <c r="G113"/>
  <c r="A113"/>
  <c r="H112"/>
  <c r="G112"/>
  <c r="A112"/>
  <c r="H111"/>
  <c r="G111"/>
  <c r="A111"/>
  <c r="H110"/>
  <c r="G110"/>
  <c r="A110"/>
  <c r="H109"/>
  <c r="G109"/>
  <c r="A109"/>
  <c r="H108"/>
  <c r="G108"/>
  <c r="A108"/>
  <c r="H107"/>
  <c r="G107"/>
  <c r="A107"/>
  <c r="H106"/>
  <c r="G106"/>
  <c r="A106"/>
  <c r="H105"/>
  <c r="G105"/>
  <c r="A105"/>
  <c r="H104"/>
  <c r="G104"/>
  <c r="A104"/>
  <c r="H103"/>
  <c r="G103"/>
  <c r="A103"/>
  <c r="H102"/>
  <c r="G102"/>
  <c r="A102"/>
  <c r="H101"/>
  <c r="G101"/>
  <c r="A101"/>
  <c r="H100"/>
  <c r="G100"/>
  <c r="A100"/>
  <c r="H99"/>
  <c r="G99"/>
  <c r="A99"/>
  <c r="I98"/>
  <c r="H98"/>
  <c r="G98"/>
  <c r="A98"/>
  <c r="I97"/>
  <c r="H97"/>
  <c r="G97"/>
  <c r="A97"/>
  <c r="I96"/>
  <c r="H96"/>
  <c r="G96"/>
  <c r="A96"/>
  <c r="I95"/>
  <c r="H95"/>
  <c r="G95"/>
  <c r="A95"/>
  <c r="I94"/>
  <c r="H94"/>
  <c r="G94"/>
  <c r="A94"/>
  <c r="I93"/>
  <c r="H93"/>
  <c r="G93"/>
  <c r="A93"/>
  <c r="I92"/>
  <c r="H92"/>
  <c r="G92"/>
  <c r="A92"/>
  <c r="I91"/>
  <c r="H91"/>
  <c r="G91"/>
  <c r="A91"/>
  <c r="I90"/>
  <c r="H90"/>
  <c r="G90"/>
  <c r="A90"/>
  <c r="I89"/>
  <c r="H89"/>
  <c r="G89"/>
  <c r="A89"/>
  <c r="I88"/>
  <c r="H88"/>
  <c r="G88"/>
  <c r="A88"/>
  <c r="I87"/>
  <c r="H87"/>
  <c r="G87"/>
  <c r="A87"/>
  <c r="I86"/>
  <c r="H86"/>
  <c r="G86"/>
  <c r="A86"/>
  <c r="I85"/>
  <c r="H85"/>
  <c r="G85"/>
  <c r="A85"/>
  <c r="I84"/>
  <c r="H84"/>
  <c r="G84"/>
  <c r="A84"/>
  <c r="I83"/>
  <c r="H83"/>
  <c r="G83"/>
  <c r="A83"/>
  <c r="I82"/>
  <c r="H82"/>
  <c r="G82"/>
  <c r="A82"/>
  <c r="I81"/>
  <c r="H81"/>
  <c r="G81"/>
  <c r="A81"/>
  <c r="I80"/>
  <c r="H80"/>
  <c r="G80"/>
  <c r="A80"/>
  <c r="I79"/>
  <c r="H79"/>
  <c r="G79"/>
  <c r="A79"/>
  <c r="I78"/>
  <c r="H78"/>
  <c r="G78"/>
  <c r="A78"/>
  <c r="I77"/>
  <c r="H77"/>
  <c r="G77"/>
  <c r="A77"/>
  <c r="I76"/>
  <c r="H76"/>
  <c r="G76"/>
  <c r="A76"/>
  <c r="I75"/>
  <c r="H75"/>
  <c r="G75"/>
  <c r="A75"/>
  <c r="I74"/>
  <c r="H74"/>
  <c r="G74"/>
  <c r="A74"/>
  <c r="I73"/>
  <c r="H73"/>
  <c r="G73"/>
  <c r="A73"/>
  <c r="I72"/>
  <c r="H72"/>
  <c r="G72"/>
  <c r="F72"/>
  <c r="A72"/>
  <c r="I71"/>
  <c r="H71"/>
  <c r="G71"/>
  <c r="F71"/>
  <c r="A71"/>
  <c r="I70"/>
  <c r="H70"/>
  <c r="G70"/>
  <c r="A70"/>
  <c r="I69"/>
  <c r="H69"/>
  <c r="G69"/>
  <c r="A69"/>
  <c r="I68"/>
  <c r="H68"/>
  <c r="G68"/>
  <c r="F68"/>
  <c r="A68"/>
  <c r="I67"/>
  <c r="H67"/>
  <c r="G67"/>
  <c r="A67"/>
  <c r="I66"/>
  <c r="H66"/>
  <c r="G66"/>
  <c r="F66"/>
  <c r="A66"/>
  <c r="I65"/>
  <c r="H65"/>
  <c r="G65"/>
  <c r="A65"/>
  <c r="I64"/>
  <c r="H64"/>
  <c r="G64"/>
  <c r="F64"/>
  <c r="A64"/>
  <c r="I63"/>
  <c r="H63"/>
  <c r="G63"/>
  <c r="F63"/>
  <c r="A63"/>
  <c r="I62"/>
  <c r="H62"/>
  <c r="G62"/>
  <c r="A62"/>
  <c r="I61"/>
  <c r="H61"/>
  <c r="G61"/>
  <c r="A61"/>
  <c r="I60"/>
  <c r="H60"/>
  <c r="G60"/>
  <c r="A60"/>
  <c r="I59"/>
  <c r="H59"/>
  <c r="G59"/>
  <c r="F59"/>
  <c r="A59"/>
  <c r="I58"/>
  <c r="H58"/>
  <c r="G58"/>
  <c r="F58"/>
  <c r="A58"/>
  <c r="I57"/>
  <c r="H57"/>
  <c r="G57"/>
  <c r="A57"/>
  <c r="I56"/>
  <c r="H56"/>
  <c r="G56"/>
  <c r="A56"/>
  <c r="I55"/>
  <c r="H55"/>
  <c r="G55"/>
  <c r="F55"/>
  <c r="A55"/>
  <c r="I54"/>
  <c r="H54"/>
  <c r="G54"/>
  <c r="A54"/>
  <c r="I53"/>
  <c r="H53"/>
  <c r="G53"/>
  <c r="A53"/>
  <c r="I52"/>
  <c r="H52"/>
  <c r="G52"/>
  <c r="A52"/>
  <c r="I51"/>
  <c r="H51"/>
  <c r="G51"/>
  <c r="A51"/>
  <c r="I50"/>
  <c r="H50"/>
  <c r="G50"/>
  <c r="F50"/>
  <c r="A50"/>
  <c r="I49"/>
  <c r="H49"/>
  <c r="G49"/>
  <c r="A49"/>
  <c r="I48"/>
  <c r="H48"/>
  <c r="G48"/>
  <c r="F48"/>
  <c r="A48"/>
  <c r="I47"/>
  <c r="H47"/>
  <c r="G47"/>
  <c r="A47"/>
  <c r="I46"/>
  <c r="H46"/>
  <c r="G46"/>
  <c r="F46"/>
  <c r="A46"/>
  <c r="I45"/>
  <c r="H45"/>
  <c r="G45"/>
  <c r="A45"/>
  <c r="I44"/>
  <c r="H44"/>
  <c r="G44"/>
  <c r="A44"/>
  <c r="I43"/>
  <c r="H43"/>
  <c r="G43"/>
  <c r="F43"/>
  <c r="A43"/>
  <c r="I42"/>
  <c r="H42"/>
  <c r="G42"/>
  <c r="F42"/>
  <c r="A42"/>
  <c r="I41"/>
  <c r="H41"/>
  <c r="G41"/>
  <c r="A41"/>
  <c r="I40"/>
  <c r="H40"/>
  <c r="G40"/>
  <c r="A40"/>
  <c r="I39"/>
  <c r="H39"/>
  <c r="G39"/>
  <c r="A39"/>
  <c r="I38"/>
  <c r="H38"/>
  <c r="G38"/>
  <c r="F38"/>
  <c r="A38"/>
  <c r="I37"/>
  <c r="H37"/>
  <c r="G37"/>
  <c r="A37"/>
  <c r="I36"/>
  <c r="H36"/>
  <c r="G36"/>
  <c r="A36"/>
  <c r="I35"/>
  <c r="H35"/>
  <c r="G35"/>
  <c r="F35"/>
  <c r="A35"/>
  <c r="I34"/>
  <c r="H34"/>
  <c r="G34"/>
  <c r="A34"/>
  <c r="I33"/>
  <c r="H33"/>
  <c r="G33"/>
  <c r="A33"/>
  <c r="I32"/>
  <c r="H32"/>
  <c r="G32"/>
  <c r="A32"/>
  <c r="I31"/>
  <c r="H31"/>
  <c r="G31"/>
  <c r="F31"/>
  <c r="A31"/>
  <c r="I30"/>
  <c r="H30"/>
  <c r="G30"/>
  <c r="A30"/>
  <c r="I29"/>
  <c r="H29"/>
  <c r="G29"/>
  <c r="A29"/>
  <c r="I28"/>
  <c r="H28"/>
  <c r="G28"/>
  <c r="F28"/>
  <c r="A28"/>
  <c r="I27"/>
  <c r="H27"/>
  <c r="G27"/>
  <c r="F27"/>
  <c r="A27"/>
  <c r="I26"/>
  <c r="H26"/>
  <c r="G26"/>
  <c r="F26"/>
  <c r="A26"/>
  <c r="I25"/>
  <c r="H25"/>
  <c r="G25"/>
  <c r="A25"/>
  <c r="I24"/>
  <c r="H24"/>
  <c r="G24"/>
  <c r="F24"/>
  <c r="A24"/>
  <c r="I23"/>
  <c r="H23"/>
  <c r="G23"/>
  <c r="F23"/>
  <c r="A23"/>
  <c r="I22"/>
  <c r="H22"/>
  <c r="G22"/>
  <c r="F22"/>
  <c r="A22"/>
  <c r="I21"/>
  <c r="H21"/>
  <c r="G21"/>
  <c r="A21"/>
  <c r="I20"/>
  <c r="H20"/>
  <c r="G20"/>
  <c r="F20"/>
  <c r="A20"/>
  <c r="I19"/>
  <c r="H19"/>
  <c r="G19"/>
  <c r="A19"/>
  <c r="I18"/>
  <c r="H18"/>
  <c r="G18"/>
  <c r="A18"/>
  <c r="I17"/>
  <c r="H17"/>
  <c r="G17"/>
  <c r="A17"/>
  <c r="I16"/>
  <c r="H16"/>
  <c r="G16"/>
  <c r="F16"/>
  <c r="A16"/>
  <c r="I15"/>
  <c r="H15"/>
  <c r="G15"/>
  <c r="F15"/>
  <c r="A15"/>
  <c r="I14"/>
  <c r="H14"/>
  <c r="G14"/>
  <c r="A14"/>
  <c r="I13"/>
  <c r="H13"/>
  <c r="G13"/>
  <c r="A13"/>
  <c r="I12"/>
  <c r="H12"/>
  <c r="G12"/>
  <c r="A12"/>
  <c r="I11"/>
  <c r="H11"/>
  <c r="G11"/>
  <c r="A11"/>
  <c r="I10"/>
  <c r="H10"/>
  <c r="G10"/>
  <c r="A10"/>
  <c r="I9"/>
  <c r="H9"/>
  <c r="G9"/>
  <c r="A9"/>
  <c r="I8"/>
  <c r="H8"/>
  <c r="G8"/>
  <c r="A8"/>
  <c r="I7"/>
  <c r="H7"/>
  <c r="G7"/>
  <c r="F7"/>
  <c r="A7"/>
  <c r="I6"/>
  <c r="H6"/>
  <c r="G6"/>
  <c r="F6"/>
  <c r="A6"/>
  <c r="I5"/>
  <c r="H5"/>
  <c r="G5"/>
  <c r="A5"/>
  <c r="I4"/>
  <c r="H4"/>
  <c r="G4"/>
  <c r="A4"/>
  <c r="I3"/>
  <c r="H3"/>
  <c r="G3"/>
  <c r="A3"/>
  <c r="Q143" i="27"/>
  <c r="BG21" i="9"/>
  <c r="BG22"/>
  <c r="BH21"/>
  <c r="BH3"/>
  <c r="BJ34"/>
  <c r="BI34"/>
  <c r="H146" i="38"/>
  <c r="A146"/>
  <c r="H145"/>
  <c r="A145"/>
  <c r="H144"/>
  <c r="A144"/>
  <c r="H143"/>
  <c r="A143"/>
  <c r="H142"/>
  <c r="A142"/>
  <c r="H141"/>
  <c r="A141"/>
  <c r="H140"/>
  <c r="A140"/>
  <c r="H139"/>
  <c r="A139"/>
  <c r="H138"/>
  <c r="A138"/>
  <c r="H137"/>
  <c r="A137"/>
  <c r="H136"/>
  <c r="A136"/>
  <c r="H135"/>
  <c r="A135"/>
  <c r="H134"/>
  <c r="A134"/>
  <c r="H133"/>
  <c r="A133"/>
  <c r="H132"/>
  <c r="A132"/>
  <c r="H131"/>
  <c r="A131"/>
  <c r="H130"/>
  <c r="A130"/>
  <c r="H129"/>
  <c r="A129"/>
  <c r="H128"/>
  <c r="A128"/>
  <c r="H127"/>
  <c r="A127"/>
  <c r="H126"/>
  <c r="A126"/>
  <c r="H125"/>
  <c r="A125"/>
  <c r="H124"/>
  <c r="A124"/>
  <c r="H123"/>
  <c r="A123"/>
  <c r="H122"/>
  <c r="A122"/>
  <c r="H121"/>
  <c r="A121"/>
  <c r="H120"/>
  <c r="A120"/>
  <c r="H119"/>
  <c r="A119"/>
  <c r="H118"/>
  <c r="A118"/>
  <c r="H117"/>
  <c r="A117"/>
  <c r="H116"/>
  <c r="A116"/>
  <c r="H115"/>
  <c r="A115"/>
  <c r="H114"/>
  <c r="A114"/>
  <c r="H113"/>
  <c r="A113"/>
  <c r="H112"/>
  <c r="A112"/>
  <c r="H111"/>
  <c r="A111"/>
  <c r="H110"/>
  <c r="A110"/>
  <c r="H109"/>
  <c r="A109"/>
  <c r="H108"/>
  <c r="A108"/>
  <c r="H107"/>
  <c r="A107"/>
  <c r="H106"/>
  <c r="A106"/>
  <c r="H105"/>
  <c r="A105"/>
  <c r="H104"/>
  <c r="A104"/>
  <c r="H103"/>
  <c r="A103"/>
  <c r="H102"/>
  <c r="A102"/>
  <c r="H101"/>
  <c r="A101"/>
  <c r="H100"/>
  <c r="A100"/>
  <c r="H99"/>
  <c r="A99"/>
  <c r="H98"/>
  <c r="A98"/>
  <c r="H97"/>
  <c r="A97"/>
  <c r="H96"/>
  <c r="A96"/>
  <c r="H95"/>
  <c r="A95"/>
  <c r="H94"/>
  <c r="A94"/>
  <c r="H93"/>
  <c r="A93"/>
  <c r="H92"/>
  <c r="A92"/>
  <c r="H91"/>
  <c r="A91"/>
  <c r="H90"/>
  <c r="A90"/>
  <c r="H89"/>
  <c r="A89"/>
  <c r="H88"/>
  <c r="A88"/>
  <c r="H87"/>
  <c r="A87"/>
  <c r="I86"/>
  <c r="H86"/>
  <c r="A86"/>
  <c r="I85"/>
  <c r="H85"/>
  <c r="A85"/>
  <c r="I84"/>
  <c r="H84"/>
  <c r="A84"/>
  <c r="I83"/>
  <c r="H83"/>
  <c r="A83"/>
  <c r="I82"/>
  <c r="H82"/>
  <c r="A82"/>
  <c r="I81"/>
  <c r="H81"/>
  <c r="A81"/>
  <c r="I80"/>
  <c r="H80"/>
  <c r="A80"/>
  <c r="I79"/>
  <c r="H79"/>
  <c r="A79"/>
  <c r="I78"/>
  <c r="H78"/>
  <c r="A78"/>
  <c r="I77"/>
  <c r="H77"/>
  <c r="A77"/>
  <c r="I76"/>
  <c r="H76"/>
  <c r="A76"/>
  <c r="I75"/>
  <c r="H75"/>
  <c r="A75"/>
  <c r="I74"/>
  <c r="H74"/>
  <c r="A74"/>
  <c r="I73"/>
  <c r="H73"/>
  <c r="A73"/>
  <c r="I72"/>
  <c r="H72"/>
  <c r="A72"/>
  <c r="I71"/>
  <c r="H71"/>
  <c r="A71"/>
  <c r="I70"/>
  <c r="H70"/>
  <c r="A70"/>
  <c r="I69"/>
  <c r="H69"/>
  <c r="A69"/>
  <c r="I68"/>
  <c r="H68"/>
  <c r="A68"/>
  <c r="I67"/>
  <c r="H67"/>
  <c r="A67"/>
  <c r="I66"/>
  <c r="H66"/>
  <c r="A66"/>
  <c r="I65"/>
  <c r="H65"/>
  <c r="A65"/>
  <c r="I64"/>
  <c r="H64"/>
  <c r="A64"/>
  <c r="I63"/>
  <c r="H63"/>
  <c r="A63"/>
  <c r="I62"/>
  <c r="H62"/>
  <c r="A62"/>
  <c r="I61"/>
  <c r="H61"/>
  <c r="A61"/>
  <c r="I60"/>
  <c r="H60"/>
  <c r="A60"/>
  <c r="I59"/>
  <c r="H59"/>
  <c r="A59"/>
  <c r="I58"/>
  <c r="H58"/>
  <c r="A58"/>
  <c r="I57"/>
  <c r="H57"/>
  <c r="A57"/>
  <c r="I56"/>
  <c r="H56"/>
  <c r="A56"/>
  <c r="I55"/>
  <c r="H55"/>
  <c r="A55"/>
  <c r="I54"/>
  <c r="H54"/>
  <c r="A54"/>
  <c r="I53"/>
  <c r="H53"/>
  <c r="A53"/>
  <c r="I52"/>
  <c r="H52"/>
  <c r="A52"/>
  <c r="I51"/>
  <c r="H51"/>
  <c r="A51"/>
  <c r="I50"/>
  <c r="H50"/>
  <c r="A50"/>
  <c r="I49"/>
  <c r="H49"/>
  <c r="A49"/>
  <c r="I48"/>
  <c r="H48"/>
  <c r="A48"/>
  <c r="I47"/>
  <c r="H47"/>
  <c r="A47"/>
  <c r="I46"/>
  <c r="H46"/>
  <c r="A46"/>
  <c r="I45"/>
  <c r="H45"/>
  <c r="A45"/>
  <c r="I44"/>
  <c r="H44"/>
  <c r="A44"/>
  <c r="I43"/>
  <c r="H43"/>
  <c r="A43"/>
  <c r="I42"/>
  <c r="H42"/>
  <c r="A42"/>
  <c r="I41"/>
  <c r="H41"/>
  <c r="A41"/>
  <c r="I40"/>
  <c r="H40"/>
  <c r="A40"/>
  <c r="I39"/>
  <c r="H39"/>
  <c r="A39"/>
  <c r="I38"/>
  <c r="H38"/>
  <c r="A38"/>
  <c r="I37"/>
  <c r="H37"/>
  <c r="A37"/>
  <c r="I36"/>
  <c r="H36"/>
  <c r="A36"/>
  <c r="I35"/>
  <c r="H35"/>
  <c r="A35"/>
  <c r="I34"/>
  <c r="H34"/>
  <c r="A34"/>
  <c r="I33"/>
  <c r="H33"/>
  <c r="A33"/>
  <c r="I32"/>
  <c r="H32"/>
  <c r="A32"/>
  <c r="I31"/>
  <c r="H31"/>
  <c r="A31"/>
  <c r="I30"/>
  <c r="H30"/>
  <c r="A30"/>
  <c r="I29"/>
  <c r="H29"/>
  <c r="A29"/>
  <c r="I28"/>
  <c r="H28"/>
  <c r="A28"/>
  <c r="I27"/>
  <c r="H27"/>
  <c r="A27"/>
  <c r="I26"/>
  <c r="H26"/>
  <c r="A26"/>
  <c r="I25"/>
  <c r="H25"/>
  <c r="A25"/>
  <c r="I24"/>
  <c r="H24"/>
  <c r="A24"/>
  <c r="I23"/>
  <c r="H23"/>
  <c r="A23"/>
  <c r="I22"/>
  <c r="H22"/>
  <c r="A22"/>
  <c r="I21"/>
  <c r="H21"/>
  <c r="A21"/>
  <c r="I20"/>
  <c r="H20"/>
  <c r="A20"/>
  <c r="I19"/>
  <c r="H19"/>
  <c r="A19"/>
  <c r="I18"/>
  <c r="H18"/>
  <c r="A18"/>
  <c r="I17"/>
  <c r="H17"/>
  <c r="A17"/>
  <c r="I16"/>
  <c r="H16"/>
  <c r="A16"/>
  <c r="I15"/>
  <c r="H15"/>
  <c r="A15"/>
  <c r="I14"/>
  <c r="H14"/>
  <c r="A14"/>
  <c r="I13"/>
  <c r="H13"/>
  <c r="A13"/>
  <c r="I12"/>
  <c r="H12"/>
  <c r="A12"/>
  <c r="I11"/>
  <c r="H11"/>
  <c r="A11"/>
  <c r="I10"/>
  <c r="H10"/>
  <c r="A10"/>
  <c r="I9"/>
  <c r="H9"/>
  <c r="A9"/>
  <c r="I8"/>
  <c r="H8"/>
  <c r="A8"/>
  <c r="I7"/>
  <c r="H7"/>
  <c r="A7"/>
  <c r="I6"/>
  <c r="H6"/>
  <c r="A6"/>
  <c r="I5"/>
  <c r="H5"/>
  <c r="A5"/>
  <c r="I4"/>
  <c r="H4"/>
  <c r="A4"/>
  <c r="I3"/>
  <c r="H3"/>
  <c r="A3"/>
  <c r="I145"/>
  <c r="C6" i="14"/>
  <c r="C4" i="12"/>
  <c r="BS23" i="9"/>
  <c r="BS24"/>
  <c r="BS25"/>
  <c r="BS26"/>
  <c r="BS27"/>
  <c r="BS28"/>
  <c r="BS29"/>
  <c r="BS30"/>
  <c r="BS31"/>
  <c r="BS32"/>
  <c r="BS22"/>
  <c r="BS21"/>
  <c r="BR32"/>
  <c r="BR23"/>
  <c r="BR24"/>
  <c r="BR25"/>
  <c r="BR26"/>
  <c r="BR27"/>
  <c r="BR28"/>
  <c r="BR29"/>
  <c r="BR30"/>
  <c r="BR31"/>
  <c r="BR22"/>
  <c r="BR21"/>
  <c r="BQ29"/>
  <c r="BQ11"/>
  <c r="BQ10"/>
  <c r="BQ27"/>
  <c r="BQ9"/>
  <c r="BQ8"/>
  <c r="BQ26"/>
  <c r="BQ25"/>
  <c r="BQ7"/>
  <c r="BQ6"/>
  <c r="BQ23"/>
  <c r="BQ5"/>
  <c r="BQ22"/>
  <c r="BQ4"/>
  <c r="BQ21"/>
  <c r="BP21"/>
  <c r="BP5"/>
  <c r="BP6"/>
  <c r="BP7"/>
  <c r="BP8"/>
  <c r="BP9"/>
  <c r="BP11"/>
  <c r="BP4"/>
  <c r="BP3"/>
  <c r="BQ3"/>
  <c r="BP34"/>
  <c r="BP16"/>
  <c r="BP48"/>
  <c r="BP51"/>
  <c r="BQ32"/>
  <c r="BQ31"/>
  <c r="BQ30"/>
  <c r="BQ28"/>
  <c r="BQ24"/>
  <c r="BP31"/>
  <c r="BQ14"/>
  <c r="BQ13"/>
  <c r="BQ12"/>
  <c r="CB24"/>
  <c r="CA27"/>
  <c r="CA28"/>
  <c r="CA29"/>
  <c r="CA30"/>
  <c r="CA31"/>
  <c r="CA32"/>
  <c r="CA26"/>
  <c r="C101" i="38"/>
  <c r="C98" i="39"/>
  <c r="C98" i="38"/>
  <c r="F16" i="6"/>
  <c r="C90" i="39" s="1"/>
  <c r="E16" i="6"/>
  <c r="C89" i="39" s="1"/>
  <c r="D16" i="6"/>
  <c r="N15"/>
  <c r="M15"/>
  <c r="C85" i="40"/>
  <c r="L15" i="6"/>
  <c r="C84" i="39" s="1"/>
  <c r="K15" i="6"/>
  <c r="C83" i="39" s="1"/>
  <c r="J15" i="6"/>
  <c r="C82" i="38" s="1"/>
  <c r="C82" i="39"/>
  <c r="I15" i="6"/>
  <c r="C81" i="39"/>
  <c r="C81" i="38"/>
  <c r="H15" i="6"/>
  <c r="C80" i="40" s="1"/>
  <c r="G15" i="6"/>
  <c r="S116"/>
  <c r="F15"/>
  <c r="E15"/>
  <c r="C77" i="38" s="1"/>
  <c r="C77" i="40"/>
  <c r="D15" i="6"/>
  <c r="C15"/>
  <c r="K4" i="36"/>
  <c r="K5"/>
  <c r="K6"/>
  <c r="K7"/>
  <c r="K8"/>
  <c r="K9"/>
  <c r="K10"/>
  <c r="K11"/>
  <c r="K12"/>
  <c r="K13"/>
  <c r="K14"/>
  <c r="K15"/>
  <c r="K28"/>
  <c r="K40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I146" i="38"/>
  <c r="I144"/>
  <c r="I143"/>
  <c r="I142"/>
  <c r="I141"/>
  <c r="I140"/>
  <c r="I139"/>
  <c r="I138"/>
  <c r="I137"/>
  <c r="G135" i="5"/>
  <c r="I136" i="40"/>
  <c r="I136" i="38"/>
  <c r="G134" i="5"/>
  <c r="I135" i="40"/>
  <c r="I135" i="38"/>
  <c r="G133" i="5"/>
  <c r="I134" i="40"/>
  <c r="I134" i="38"/>
  <c r="G132" i="5"/>
  <c r="I133" i="40"/>
  <c r="I133" i="38"/>
  <c r="G131" i="5"/>
  <c r="I132" i="40"/>
  <c r="I132" i="38"/>
  <c r="G130" i="5"/>
  <c r="I131" i="40"/>
  <c r="I131" i="38"/>
  <c r="G129" i="5"/>
  <c r="I130" i="40"/>
  <c r="I130" i="38"/>
  <c r="G128" i="5"/>
  <c r="I129" i="40"/>
  <c r="I129" i="38"/>
  <c r="G127" i="5"/>
  <c r="I128" i="40"/>
  <c r="I128" i="38"/>
  <c r="G126" i="5"/>
  <c r="I127" i="40"/>
  <c r="I127" i="38"/>
  <c r="G125" i="5"/>
  <c r="I126" i="40"/>
  <c r="I126" i="38"/>
  <c r="G124" i="5"/>
  <c r="I125" i="40"/>
  <c r="I125" i="38"/>
  <c r="G123" i="5"/>
  <c r="I124" i="40"/>
  <c r="I124" i="38"/>
  <c r="G122" i="5"/>
  <c r="I123" i="40"/>
  <c r="I123" i="38"/>
  <c r="G121" i="5"/>
  <c r="I122" i="40"/>
  <c r="I122" i="38"/>
  <c r="G120" i="5"/>
  <c r="I121" i="40"/>
  <c r="I121" i="38"/>
  <c r="G119" i="5"/>
  <c r="I120" i="40"/>
  <c r="I120" i="38"/>
  <c r="G118" i="5"/>
  <c r="I119" i="40"/>
  <c r="I119" i="38"/>
  <c r="G117" i="5"/>
  <c r="I118" i="40"/>
  <c r="I118" i="38"/>
  <c r="G116" i="5"/>
  <c r="I117" i="40"/>
  <c r="I117" i="38"/>
  <c r="G115" i="5"/>
  <c r="I116" i="40"/>
  <c r="I116" i="38"/>
  <c r="G114" i="5"/>
  <c r="I115" i="40"/>
  <c r="I115" i="38"/>
  <c r="G113" i="5"/>
  <c r="I114" i="40"/>
  <c r="I114" i="38"/>
  <c r="G112" i="5"/>
  <c r="I113" i="40"/>
  <c r="I113" i="38"/>
  <c r="G111" i="5"/>
  <c r="I112" i="40"/>
  <c r="I112" i="38"/>
  <c r="G110" i="5"/>
  <c r="I111" i="40"/>
  <c r="I111" i="38"/>
  <c r="G109" i="5"/>
  <c r="I110" i="40"/>
  <c r="I110" i="38"/>
  <c r="G99" i="5"/>
  <c r="I100" i="40"/>
  <c r="I100" i="38"/>
  <c r="G100" i="5"/>
  <c r="I101" i="40"/>
  <c r="I101" i="38"/>
  <c r="G101" i="5"/>
  <c r="I102" i="40"/>
  <c r="I102" i="38"/>
  <c r="G102" i="5"/>
  <c r="I103" i="40"/>
  <c r="I103" i="38"/>
  <c r="G103" i="5"/>
  <c r="I104" i="40"/>
  <c r="I104" i="38"/>
  <c r="G104" i="5"/>
  <c r="I105" i="40"/>
  <c r="I105" i="38"/>
  <c r="G105" i="5"/>
  <c r="I106" i="40"/>
  <c r="I106" i="38"/>
  <c r="G106" i="5"/>
  <c r="I107" i="40"/>
  <c r="I107" i="38"/>
  <c r="G107" i="5"/>
  <c r="I108" i="40"/>
  <c r="I108" i="38"/>
  <c r="G108" i="5"/>
  <c r="I109" i="40"/>
  <c r="I109" i="38"/>
  <c r="G98" i="5"/>
  <c r="I99" i="40"/>
  <c r="I99" i="38"/>
  <c r="K41" i="36"/>
  <c r="K42" s="1"/>
  <c r="K43" s="1"/>
  <c r="K44" s="1"/>
  <c r="K45" s="1"/>
  <c r="K46" s="1"/>
  <c r="K47" s="1"/>
  <c r="C8" i="6"/>
  <c r="CD22" i="9"/>
  <c r="CD21"/>
  <c r="CA23"/>
  <c r="CA24"/>
  <c r="CA25"/>
  <c r="CA22"/>
  <c r="CA21"/>
  <c r="B122" i="5"/>
  <c r="BI17" i="8"/>
  <c r="BE17"/>
  <c r="CT5" i="9"/>
  <c r="CT4"/>
  <c r="CK14"/>
  <c r="CK13"/>
  <c r="CK12"/>
  <c r="CN12" s="1"/>
  <c r="CK11"/>
  <c r="CK29" s="1"/>
  <c r="CN29" s="1"/>
  <c r="CK10"/>
  <c r="CK9"/>
  <c r="CK8"/>
  <c r="CK7"/>
  <c r="CK6"/>
  <c r="CK5"/>
  <c r="CK4"/>
  <c r="CK3"/>
  <c r="CB14"/>
  <c r="CB13"/>
  <c r="CB12"/>
  <c r="CE12" s="1"/>
  <c r="CB11"/>
  <c r="CE11" s="1"/>
  <c r="CB10"/>
  <c r="CE10" s="1"/>
  <c r="CB9"/>
  <c r="CB8"/>
  <c r="CE8" s="1"/>
  <c r="CB7"/>
  <c r="C8" i="25"/>
  <c r="N78" i="6"/>
  <c r="C78"/>
  <c r="A4" i="27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D9" i="10"/>
  <c r="E9"/>
  <c r="F9"/>
  <c r="G9"/>
  <c r="H9"/>
  <c r="I9"/>
  <c r="D10"/>
  <c r="E10"/>
  <c r="F10"/>
  <c r="G10"/>
  <c r="H10"/>
  <c r="I10"/>
  <c r="D11"/>
  <c r="E11"/>
  <c r="F11"/>
  <c r="G11"/>
  <c r="H11"/>
  <c r="I11"/>
  <c r="D12"/>
  <c r="I35" i="46" s="1"/>
  <c r="E12" i="10"/>
  <c r="I46" i="46" s="1"/>
  <c r="G12" i="10"/>
  <c r="H12"/>
  <c r="I12"/>
  <c r="D13"/>
  <c r="J35" i="46" s="1"/>
  <c r="E13" i="10"/>
  <c r="J46" i="46" s="1"/>
  <c r="F13" i="10"/>
  <c r="G13"/>
  <c r="J74" i="46" s="1"/>
  <c r="H13" i="10"/>
  <c r="J90" i="46" s="1"/>
  <c r="I13" i="10"/>
  <c r="J108" i="46" s="1"/>
  <c r="D14" i="10"/>
  <c r="E14"/>
  <c r="F14"/>
  <c r="M58" i="46" s="1"/>
  <c r="G14" i="10"/>
  <c r="M74" i="46" s="1"/>
  <c r="H14" i="10"/>
  <c r="M90" i="46" s="1"/>
  <c r="I14" i="10"/>
  <c r="M108" i="46" s="1"/>
  <c r="D15" i="10"/>
  <c r="N35" i="46" s="1"/>
  <c r="E15" i="10"/>
  <c r="N46" i="46" s="1"/>
  <c r="F15" i="10"/>
  <c r="N58" i="46" s="1"/>
  <c r="G15" i="10"/>
  <c r="H15"/>
  <c r="N90" i="46" s="1"/>
  <c r="I15" i="10"/>
  <c r="N108" i="46" s="1"/>
  <c r="I16" i="10"/>
  <c r="O108" i="46" s="1"/>
  <c r="C15" i="10"/>
  <c r="C30" s="1"/>
  <c r="C14"/>
  <c r="M25" i="46" s="1"/>
  <c r="C13" i="10"/>
  <c r="J25" i="46" s="1"/>
  <c r="C12" i="10"/>
  <c r="I25" i="46" s="1"/>
  <c r="C11" i="10"/>
  <c r="C10"/>
  <c r="C9"/>
  <c r="D8"/>
  <c r="E8"/>
  <c r="F8"/>
  <c r="G8"/>
  <c r="H8"/>
  <c r="I8"/>
  <c r="C8"/>
  <c r="D7"/>
  <c r="E7"/>
  <c r="F7"/>
  <c r="D58" i="14" s="1"/>
  <c r="G7" i="10"/>
  <c r="H7"/>
  <c r="I7"/>
  <c r="C7"/>
  <c r="I6"/>
  <c r="H6"/>
  <c r="G6"/>
  <c r="F6"/>
  <c r="C58" i="14" s="1"/>
  <c r="E6" i="10"/>
  <c r="D6"/>
  <c r="C6"/>
  <c r="D108" i="5"/>
  <c r="D2"/>
  <c r="D3"/>
  <c r="D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C111"/>
  <c r="E112" i="38" s="1"/>
  <c r="C112" i="5"/>
  <c r="C113"/>
  <c r="E114" i="38" s="1"/>
  <c r="C114" i="5"/>
  <c r="E115" i="38" s="1"/>
  <c r="C115" i="5"/>
  <c r="E116" i="38" s="1"/>
  <c r="C116" i="5"/>
  <c r="C117"/>
  <c r="E118" i="38" s="1"/>
  <c r="C118" i="5"/>
  <c r="E119" i="38" s="1"/>
  <c r="C119" i="5"/>
  <c r="E120" i="38" s="1"/>
  <c r="C120" i="5"/>
  <c r="E121" i="40" s="1"/>
  <c r="C121" i="5"/>
  <c r="E122" i="38" s="1"/>
  <c r="C110" i="5"/>
  <c r="E111" i="38" s="1"/>
  <c r="C99" i="5"/>
  <c r="E100" i="40" s="1"/>
  <c r="C100" i="5"/>
  <c r="C101"/>
  <c r="E102" i="40" s="1"/>
  <c r="E102" i="38"/>
  <c r="C102" i="5"/>
  <c r="C103"/>
  <c r="E104" i="40" s="1"/>
  <c r="C104" i="5"/>
  <c r="C105"/>
  <c r="E106" i="40" s="1"/>
  <c r="E106" i="38"/>
  <c r="C106" i="5"/>
  <c r="C107"/>
  <c r="E108" i="40" s="1"/>
  <c r="C108" i="5"/>
  <c r="E109" i="40" s="1"/>
  <c r="E109" i="38"/>
  <c r="C109" i="5"/>
  <c r="E110" i="40" s="1"/>
  <c r="E110" i="38"/>
  <c r="C98" i="5"/>
  <c r="E99" i="38" s="1"/>
  <c r="E99" i="40"/>
  <c r="C87" i="5"/>
  <c r="E88" i="40" s="1"/>
  <c r="C88" i="5"/>
  <c r="E89" i="40" s="1"/>
  <c r="C89" i="5"/>
  <c r="E90" i="40" s="1"/>
  <c r="E90" i="38"/>
  <c r="C90" i="5"/>
  <c r="E91" i="38" s="1"/>
  <c r="C91" i="5"/>
  <c r="E92" i="40" s="1"/>
  <c r="C92" i="5"/>
  <c r="C93"/>
  <c r="E94" i="40" s="1"/>
  <c r="E94" i="38"/>
  <c r="C94" i="5"/>
  <c r="C95"/>
  <c r="E96" i="40" s="1"/>
  <c r="C96" i="5"/>
  <c r="C97"/>
  <c r="E98" i="40" s="1"/>
  <c r="E98" i="38"/>
  <c r="C86" i="5"/>
  <c r="C75"/>
  <c r="E76" i="40" s="1"/>
  <c r="C76" i="5"/>
  <c r="E77" i="40" s="1"/>
  <c r="E77" i="38"/>
  <c r="C77" i="5"/>
  <c r="E78" i="40" s="1"/>
  <c r="E78" i="38"/>
  <c r="C78" i="5"/>
  <c r="E79" i="38" s="1"/>
  <c r="E79" i="40"/>
  <c r="C79" i="5"/>
  <c r="E80" i="40" s="1"/>
  <c r="C80" i="5"/>
  <c r="E81" i="40" s="1"/>
  <c r="C81" i="5"/>
  <c r="E82" i="40" s="1"/>
  <c r="E82" i="38"/>
  <c r="C82" i="5"/>
  <c r="E83" i="38" s="1"/>
  <c r="C83" i="5"/>
  <c r="E84" i="40" s="1"/>
  <c r="C84" i="5"/>
  <c r="C85"/>
  <c r="E86" i="40" s="1"/>
  <c r="E86" i="38"/>
  <c r="C74" i="5"/>
  <c r="C63"/>
  <c r="E64" i="40" s="1"/>
  <c r="C64" i="5"/>
  <c r="C65"/>
  <c r="E66" i="40" s="1"/>
  <c r="E66" i="38"/>
  <c r="C66" i="5"/>
  <c r="C67"/>
  <c r="E68" i="40" s="1"/>
  <c r="C68" i="5"/>
  <c r="E69" i="40" s="1"/>
  <c r="E69" i="38"/>
  <c r="C69" i="5"/>
  <c r="E70" i="40" s="1"/>
  <c r="E70" i="38"/>
  <c r="C70" i="5"/>
  <c r="E71" i="38" s="1"/>
  <c r="E71" i="40"/>
  <c r="C71" i="5"/>
  <c r="E72" i="40" s="1"/>
  <c r="C72" i="5"/>
  <c r="E73" i="40" s="1"/>
  <c r="C73" i="5"/>
  <c r="E74" i="40" s="1"/>
  <c r="E74" i="38"/>
  <c r="C62" i="5"/>
  <c r="E63" i="38" s="1"/>
  <c r="C51" i="5"/>
  <c r="E52" i="40" s="1"/>
  <c r="C52" i="5"/>
  <c r="C53"/>
  <c r="E54" i="40" s="1"/>
  <c r="E54" i="38"/>
  <c r="C54" i="5"/>
  <c r="C55"/>
  <c r="E56" i="40" s="1"/>
  <c r="C56" i="5"/>
  <c r="C57"/>
  <c r="E58" i="40" s="1"/>
  <c r="E58" i="38"/>
  <c r="C58" i="5"/>
  <c r="C59"/>
  <c r="E60" i="40" s="1"/>
  <c r="C60" i="5"/>
  <c r="E61" i="40" s="1"/>
  <c r="E61" i="38"/>
  <c r="C61" i="5"/>
  <c r="E62" i="40" s="1"/>
  <c r="C50" i="5"/>
  <c r="E51" i="40" s="1"/>
  <c r="C39" i="5"/>
  <c r="E40" i="40" s="1"/>
  <c r="C40" i="5"/>
  <c r="C41"/>
  <c r="E42" i="40" s="1"/>
  <c r="C42" i="5"/>
  <c r="E43" i="40" s="1"/>
  <c r="C43" i="5"/>
  <c r="E44" i="40" s="1"/>
  <c r="C44" i="5"/>
  <c r="C45"/>
  <c r="E46" i="40" s="1"/>
  <c r="C46" i="5"/>
  <c r="E47" i="40" s="1"/>
  <c r="C47" i="5"/>
  <c r="E48" i="40" s="1"/>
  <c r="C48" i="5"/>
  <c r="C49"/>
  <c r="E50" i="40" s="1"/>
  <c r="C38" i="5"/>
  <c r="E39" i="40" s="1"/>
  <c r="C27" i="5"/>
  <c r="E28" i="40" s="1"/>
  <c r="C28" i="5"/>
  <c r="C29"/>
  <c r="E30" i="40" s="1"/>
  <c r="C30" i="5"/>
  <c r="E31" i="40" s="1"/>
  <c r="C31" i="5"/>
  <c r="E32" i="40" s="1"/>
  <c r="C32" i="5"/>
  <c r="C33"/>
  <c r="E34" i="40" s="1"/>
  <c r="C34" i="5"/>
  <c r="E35" i="40" s="1"/>
  <c r="C35" i="5"/>
  <c r="E36" i="40" s="1"/>
  <c r="C36" i="5"/>
  <c r="C37"/>
  <c r="E38" i="40" s="1"/>
  <c r="C26" i="5"/>
  <c r="E27" i="40" s="1"/>
  <c r="C15" i="5"/>
  <c r="E16" i="40" s="1"/>
  <c r="C16" i="5"/>
  <c r="C17"/>
  <c r="E18" i="40" s="1"/>
  <c r="C18" i="5"/>
  <c r="E19" i="40" s="1"/>
  <c r="C19" i="5"/>
  <c r="E20" i="40" s="1"/>
  <c r="C20" i="5"/>
  <c r="C21"/>
  <c r="E22" i="40" s="1"/>
  <c r="C22" i="5"/>
  <c r="E23" i="40" s="1"/>
  <c r="C23" i="5"/>
  <c r="E24" i="40" s="1"/>
  <c r="C24" i="5"/>
  <c r="C25"/>
  <c r="E26" i="40" s="1"/>
  <c r="C14" i="5"/>
  <c r="E15" i="40" s="1"/>
  <c r="C3" i="5"/>
  <c r="C4"/>
  <c r="C5"/>
  <c r="E6" i="40" s="1"/>
  <c r="C6" i="5"/>
  <c r="E7" i="40" s="1"/>
  <c r="C7" i="5"/>
  <c r="E8" i="40" s="1"/>
  <c r="C8" i="5"/>
  <c r="C9"/>
  <c r="E10" i="40" s="1"/>
  <c r="C10" i="5"/>
  <c r="E11" i="40" s="1"/>
  <c r="C11" i="5"/>
  <c r="E12" i="40" s="1"/>
  <c r="C12" i="5"/>
  <c r="C13"/>
  <c r="E14" i="40" s="1"/>
  <c r="C2" i="5"/>
  <c r="E3" i="40" s="1"/>
  <c r="B111" i="5"/>
  <c r="D112" i="38" s="1"/>
  <c r="B112" i="5"/>
  <c r="B113"/>
  <c r="D114" i="38" s="1"/>
  <c r="B114" i="5"/>
  <c r="D115" i="38" s="1"/>
  <c r="B115" i="5"/>
  <c r="D116" i="38" s="1"/>
  <c r="B116" i="5"/>
  <c r="B117"/>
  <c r="D118" i="38" s="1"/>
  <c r="B118" i="5"/>
  <c r="D119" i="38" s="1"/>
  <c r="B119" i="5"/>
  <c r="D120" i="38" s="1"/>
  <c r="B120" i="5"/>
  <c r="B121"/>
  <c r="D122" i="38" s="1"/>
  <c r="B110" i="5"/>
  <c r="D111" i="38" s="1"/>
  <c r="B99" i="5"/>
  <c r="D100" i="40" s="1"/>
  <c r="B100" i="5"/>
  <c r="D101" i="40" s="1"/>
  <c r="B101" i="5"/>
  <c r="D102" i="40" s="1"/>
  <c r="B102" i="5"/>
  <c r="D103" i="40" s="1"/>
  <c r="B103" i="5"/>
  <c r="D104" i="40" s="1"/>
  <c r="B104" i="5"/>
  <c r="D105" i="40" s="1"/>
  <c r="B105" i="5"/>
  <c r="D106" i="40" s="1"/>
  <c r="B106" i="5"/>
  <c r="D107" i="40" s="1"/>
  <c r="B107" i="5"/>
  <c r="D108" i="40" s="1"/>
  <c r="B108" i="5"/>
  <c r="D109" i="40" s="1"/>
  <c r="B109" i="5"/>
  <c r="D110" i="40" s="1"/>
  <c r="B98" i="5"/>
  <c r="D99" i="40" s="1"/>
  <c r="B87" i="5"/>
  <c r="D88" i="40" s="1"/>
  <c r="B88" i="5"/>
  <c r="D89" i="40" s="1"/>
  <c r="B89" i="5"/>
  <c r="D90" i="40" s="1"/>
  <c r="B90" i="5"/>
  <c r="D91" i="40" s="1"/>
  <c r="B91" i="5"/>
  <c r="D92" i="40" s="1"/>
  <c r="B92" i="5"/>
  <c r="D93" i="40" s="1"/>
  <c r="B93" i="5"/>
  <c r="D94" i="40" s="1"/>
  <c r="B94" i="5"/>
  <c r="D95" i="40" s="1"/>
  <c r="B95" i="5"/>
  <c r="D96" i="40" s="1"/>
  <c r="B96" i="5"/>
  <c r="D97" i="40" s="1"/>
  <c r="B97" i="5"/>
  <c r="D98" i="40" s="1"/>
  <c r="B86" i="5"/>
  <c r="D87" i="40" s="1"/>
  <c r="B75" i="5"/>
  <c r="D76" i="40" s="1"/>
  <c r="B76" i="5"/>
  <c r="D77" i="40" s="1"/>
  <c r="B77" i="5"/>
  <c r="D78" i="40" s="1"/>
  <c r="B78" i="5"/>
  <c r="D79" i="40" s="1"/>
  <c r="B79" i="5"/>
  <c r="D80" i="40" s="1"/>
  <c r="B80" i="5"/>
  <c r="D81" i="40" s="1"/>
  <c r="B81" i="5"/>
  <c r="D82" i="40" s="1"/>
  <c r="B82" i="5"/>
  <c r="D83" i="40" s="1"/>
  <c r="B83" i="5"/>
  <c r="D84" i="40" s="1"/>
  <c r="B84" i="5"/>
  <c r="D85" i="40" s="1"/>
  <c r="B85" i="5"/>
  <c r="D86" i="40" s="1"/>
  <c r="B74" i="5"/>
  <c r="D75" i="40" s="1"/>
  <c r="B63" i="5"/>
  <c r="D64" i="40" s="1"/>
  <c r="B64" i="5"/>
  <c r="D65" i="40" s="1"/>
  <c r="B65" i="5"/>
  <c r="D66" i="40" s="1"/>
  <c r="B66" i="5"/>
  <c r="D67" i="40" s="1"/>
  <c r="B67" i="5"/>
  <c r="D68" i="40" s="1"/>
  <c r="B68" i="5"/>
  <c r="D69" i="40" s="1"/>
  <c r="B69" i="5"/>
  <c r="D70" i="40" s="1"/>
  <c r="B70" i="5"/>
  <c r="D71" i="40" s="1"/>
  <c r="B71" i="5"/>
  <c r="D72" i="40" s="1"/>
  <c r="B72" i="5"/>
  <c r="D73" i="40" s="1"/>
  <c r="B73" i="5"/>
  <c r="D74" i="40" s="1"/>
  <c r="B62" i="5"/>
  <c r="D63" i="40" s="1"/>
  <c r="B51" i="5"/>
  <c r="D52" i="40" s="1"/>
  <c r="B52" i="5"/>
  <c r="D53" i="40" s="1"/>
  <c r="B53" i="5"/>
  <c r="D54" i="40" s="1"/>
  <c r="B54" i="5"/>
  <c r="D55" i="40" s="1"/>
  <c r="B55" i="5"/>
  <c r="D56" i="40" s="1"/>
  <c r="B56" i="5"/>
  <c r="D57" i="40" s="1"/>
  <c r="B57" i="5"/>
  <c r="D58" i="40" s="1"/>
  <c r="B58" i="5"/>
  <c r="D59" i="40" s="1"/>
  <c r="B59" i="5"/>
  <c r="D60" i="40" s="1"/>
  <c r="B60" i="5"/>
  <c r="D61" i="40" s="1"/>
  <c r="B61" i="5"/>
  <c r="D62" i="40" s="1"/>
  <c r="B50" i="5"/>
  <c r="D51" i="40" s="1"/>
  <c r="B39" i="5"/>
  <c r="D40" i="40" s="1"/>
  <c r="B40" i="5"/>
  <c r="D41" i="40" s="1"/>
  <c r="B41" i="5"/>
  <c r="D42" i="40" s="1"/>
  <c r="B42" i="5"/>
  <c r="D43" i="40" s="1"/>
  <c r="B43" i="5"/>
  <c r="D44" i="40" s="1"/>
  <c r="B44" i="5"/>
  <c r="D45" i="40" s="1"/>
  <c r="B45" i="5"/>
  <c r="D46" i="40" s="1"/>
  <c r="B46" i="5"/>
  <c r="D47" i="40" s="1"/>
  <c r="B47" i="5"/>
  <c r="D48" i="40" s="1"/>
  <c r="B48" i="5"/>
  <c r="D49" i="40" s="1"/>
  <c r="B49" i="5"/>
  <c r="D50" i="40" s="1"/>
  <c r="B38" i="5"/>
  <c r="D39" i="40" s="1"/>
  <c r="B27" i="5"/>
  <c r="D28" i="40" s="1"/>
  <c r="B28" i="5"/>
  <c r="D29" i="40" s="1"/>
  <c r="B29" i="5"/>
  <c r="D30" i="40" s="1"/>
  <c r="B30" i="5"/>
  <c r="D31" i="40" s="1"/>
  <c r="B31" i="5"/>
  <c r="D32" i="40" s="1"/>
  <c r="B32" i="5"/>
  <c r="D33" i="40" s="1"/>
  <c r="B33" i="5"/>
  <c r="D34" i="40" s="1"/>
  <c r="B34" i="5"/>
  <c r="D35" i="40" s="1"/>
  <c r="B35" i="5"/>
  <c r="D36" i="40" s="1"/>
  <c r="B36" i="5"/>
  <c r="D37" i="40" s="1"/>
  <c r="B37" i="5"/>
  <c r="D38" i="40" s="1"/>
  <c r="B24" i="5"/>
  <c r="D25" i="40" s="1"/>
  <c r="B25" i="5"/>
  <c r="D26" i="40" s="1"/>
  <c r="B26" i="5"/>
  <c r="D27" i="40" s="1"/>
  <c r="B15" i="5"/>
  <c r="D16" i="40" s="1"/>
  <c r="B16" i="5"/>
  <c r="D17" i="40" s="1"/>
  <c r="B17" i="5"/>
  <c r="B18"/>
  <c r="D19" i="40" s="1"/>
  <c r="B19" i="5"/>
  <c r="D20" i="40" s="1"/>
  <c r="B20" i="5"/>
  <c r="D21" i="40" s="1"/>
  <c r="B21" i="5"/>
  <c r="B22"/>
  <c r="D23" i="40" s="1"/>
  <c r="B23" i="5"/>
  <c r="D24" i="40" s="1"/>
  <c r="B14" i="5"/>
  <c r="D15" i="40" s="1"/>
  <c r="B3" i="5"/>
  <c r="B4"/>
  <c r="B5"/>
  <c r="D6" i="40" s="1"/>
  <c r="B6" i="5"/>
  <c r="D7" i="40" s="1"/>
  <c r="B7" i="5"/>
  <c r="B8"/>
  <c r="B9"/>
  <c r="D10" i="40" s="1"/>
  <c r="B10" i="5"/>
  <c r="D11" i="40" s="1"/>
  <c r="B11" i="5"/>
  <c r="B12"/>
  <c r="D13" i="40" s="1"/>
  <c r="B13" i="5"/>
  <c r="D14" i="40" s="1"/>
  <c r="B2" i="5"/>
  <c r="D3" i="40" s="1"/>
  <c r="D7" i="30"/>
  <c r="D8"/>
  <c r="D9"/>
  <c r="D10"/>
  <c r="D11"/>
  <c r="D12"/>
  <c r="D13"/>
  <c r="D14"/>
  <c r="D15"/>
  <c r="D16"/>
  <c r="B133" i="5"/>
  <c r="B145" s="1"/>
  <c r="C16" i="30"/>
  <c r="C15"/>
  <c r="C14"/>
  <c r="C13"/>
  <c r="C12"/>
  <c r="C11"/>
  <c r="C10"/>
  <c r="C9"/>
  <c r="C8"/>
  <c r="C7"/>
  <c r="L6"/>
  <c r="L7"/>
  <c r="E124" i="39" s="1"/>
  <c r="E136" s="1"/>
  <c r="L8" i="30"/>
  <c r="E125" i="39" s="1"/>
  <c r="E137" s="1"/>
  <c r="L9" i="30"/>
  <c r="E126" i="39" s="1"/>
  <c r="E138" s="1"/>
  <c r="L10" i="30"/>
  <c r="E127" i="39" s="1"/>
  <c r="E139" s="1"/>
  <c r="L11" i="30"/>
  <c r="E128" i="39" s="1"/>
  <c r="E140" s="1"/>
  <c r="L12" i="30"/>
  <c r="E129" i="39" s="1"/>
  <c r="E141" s="1"/>
  <c r="L13" i="30"/>
  <c r="E130" i="39" s="1"/>
  <c r="E142" s="1"/>
  <c r="L14" i="30"/>
  <c r="E131" i="39" s="1"/>
  <c r="E143" s="1"/>
  <c r="L15" i="30"/>
  <c r="E132" i="39" s="1"/>
  <c r="E144" s="1"/>
  <c r="L16" i="30"/>
  <c r="E133" i="39" s="1"/>
  <c r="E145" s="1"/>
  <c r="L17" i="30"/>
  <c r="E134" i="39" s="1"/>
  <c r="E146" s="1"/>
  <c r="K17" i="30"/>
  <c r="D134" i="39" s="1"/>
  <c r="K16" i="30"/>
  <c r="D133" i="39" s="1"/>
  <c r="K15" i="30"/>
  <c r="D132" i="39" s="1"/>
  <c r="K14" i="30"/>
  <c r="D131" i="39" s="1"/>
  <c r="K13" i="30"/>
  <c r="D130" i="39" s="1"/>
  <c r="K12" i="30"/>
  <c r="D129" i="39" s="1"/>
  <c r="K11" i="30"/>
  <c r="D128" i="39" s="1"/>
  <c r="K10" i="30"/>
  <c r="D127" i="39" s="1"/>
  <c r="K9" i="30"/>
  <c r="D126" i="39" s="1"/>
  <c r="K8" i="30"/>
  <c r="D125" i="39" s="1"/>
  <c r="K7" i="30"/>
  <c r="D124" i="39" s="1"/>
  <c r="G88" i="3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G109"/>
  <c r="D3"/>
  <c r="D14"/>
  <c r="D13"/>
  <c r="D11"/>
  <c r="D10"/>
  <c r="D7"/>
  <c r="D6"/>
  <c r="D24"/>
  <c r="D23"/>
  <c r="D21"/>
  <c r="D20"/>
  <c r="D17"/>
  <c r="J17" s="1"/>
  <c r="K17" s="1"/>
  <c r="L17" s="1"/>
  <c r="D16"/>
  <c r="E10"/>
  <c r="E15"/>
  <c r="E17"/>
  <c r="C145" i="5"/>
  <c r="C134"/>
  <c r="P23" i="6"/>
  <c r="P24"/>
  <c r="P25"/>
  <c r="P26"/>
  <c r="P27"/>
  <c r="P28"/>
  <c r="P29"/>
  <c r="P30"/>
  <c r="P31"/>
  <c r="P32"/>
  <c r="P33"/>
  <c r="P34"/>
  <c r="P35"/>
  <c r="P36"/>
  <c r="L14"/>
  <c r="L7"/>
  <c r="L8"/>
  <c r="O37" i="4"/>
  <c r="O30"/>
  <c r="C72" i="40"/>
  <c r="C72" i="39"/>
  <c r="C72" i="38"/>
  <c r="C158" s="1"/>
  <c r="CS30" i="9"/>
  <c r="CS31"/>
  <c r="CA16"/>
  <c r="D8" i="25"/>
  <c r="I18"/>
  <c r="I17"/>
  <c r="I16"/>
  <c r="I5"/>
  <c r="I6"/>
  <c r="I7"/>
  <c r="I13"/>
  <c r="I14"/>
  <c r="I15"/>
  <c r="I20"/>
  <c r="I21"/>
  <c r="I22"/>
  <c r="I23"/>
  <c r="I24"/>
  <c r="I25"/>
  <c r="I26"/>
  <c r="I27"/>
  <c r="I29"/>
  <c r="I30"/>
  <c r="I31"/>
  <c r="I33"/>
  <c r="I34"/>
  <c r="I35"/>
  <c r="I36"/>
  <c r="I37"/>
  <c r="I38"/>
  <c r="I4"/>
  <c r="C5"/>
  <c r="D5"/>
  <c r="E5"/>
  <c r="C6"/>
  <c r="D6"/>
  <c r="E6"/>
  <c r="C7"/>
  <c r="D7"/>
  <c r="E7"/>
  <c r="C9"/>
  <c r="D9"/>
  <c r="E9"/>
  <c r="C10"/>
  <c r="D10"/>
  <c r="E10"/>
  <c r="C11"/>
  <c r="D11"/>
  <c r="E11"/>
  <c r="C12"/>
  <c r="D12"/>
  <c r="E12"/>
  <c r="C13"/>
  <c r="D13"/>
  <c r="E13"/>
  <c r="C14"/>
  <c r="D14"/>
  <c r="E14"/>
  <c r="C15"/>
  <c r="D15"/>
  <c r="E15"/>
  <c r="C16"/>
  <c r="D16"/>
  <c r="C17"/>
  <c r="D17"/>
  <c r="E17"/>
  <c r="C18"/>
  <c r="D18"/>
  <c r="E18"/>
  <c r="C19"/>
  <c r="D19"/>
  <c r="E19"/>
  <c r="C20"/>
  <c r="D20"/>
  <c r="E20"/>
  <c r="C21"/>
  <c r="D21"/>
  <c r="E21"/>
  <c r="C22"/>
  <c r="D22"/>
  <c r="E22"/>
  <c r="C23"/>
  <c r="D23"/>
  <c r="E23"/>
  <c r="C24"/>
  <c r="D24"/>
  <c r="E24"/>
  <c r="C25"/>
  <c r="D25"/>
  <c r="E25"/>
  <c r="C26"/>
  <c r="D26"/>
  <c r="E26"/>
  <c r="C27"/>
  <c r="D27"/>
  <c r="E27"/>
  <c r="C28"/>
  <c r="D28"/>
  <c r="E28"/>
  <c r="C29"/>
  <c r="D29"/>
  <c r="E29"/>
  <c r="C30"/>
  <c r="D30"/>
  <c r="E30"/>
  <c r="C31"/>
  <c r="D31"/>
  <c r="E31"/>
  <c r="D32"/>
  <c r="C33"/>
  <c r="D33"/>
  <c r="E33"/>
  <c r="C34"/>
  <c r="D34"/>
  <c r="E34"/>
  <c r="C35"/>
  <c r="D35"/>
  <c r="E35"/>
  <c r="C36"/>
  <c r="D36"/>
  <c r="C37"/>
  <c r="D37"/>
  <c r="E37" s="1"/>
  <c r="C38"/>
  <c r="D38"/>
  <c r="C39"/>
  <c r="D39"/>
  <c r="D4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BT17" i="8"/>
  <c r="BS17"/>
  <c r="BR17"/>
  <c r="BQ17"/>
  <c r="CV28" i="9"/>
  <c r="CS28"/>
  <c r="CT6"/>
  <c r="CW6" s="1"/>
  <c r="CT3"/>
  <c r="CT10"/>
  <c r="CW10" s="1"/>
  <c r="CT9"/>
  <c r="CT27" s="1"/>
  <c r="CW27" s="1"/>
  <c r="CT8"/>
  <c r="E16" i="25"/>
  <c r="CT28" i="9"/>
  <c r="CW28" s="1"/>
  <c r="CK32"/>
  <c r="CK49" s="1"/>
  <c r="CK31"/>
  <c r="CK28"/>
  <c r="CK27"/>
  <c r="CK25"/>
  <c r="CK24"/>
  <c r="CK23"/>
  <c r="E4" i="25"/>
  <c r="M66" i="9"/>
  <c r="O110" i="14"/>
  <c r="O92"/>
  <c r="O76"/>
  <c r="O60"/>
  <c r="CT24" i="9"/>
  <c r="CT21"/>
  <c r="CT38" s="1"/>
  <c r="CS27"/>
  <c r="CV27"/>
  <c r="CV26"/>
  <c r="CS26"/>
  <c r="CV25"/>
  <c r="CS25"/>
  <c r="CS24"/>
  <c r="CM5"/>
  <c r="E37" i="4"/>
  <c r="N32"/>
  <c r="B64" i="12"/>
  <c r="B70" s="1"/>
  <c r="B74" s="1"/>
  <c r="B78" s="1"/>
  <c r="B83" s="1"/>
  <c r="B63"/>
  <c r="B69" s="1"/>
  <c r="B73" s="1"/>
  <c r="B77" s="1"/>
  <c r="B82" s="1"/>
  <c r="B60"/>
  <c r="B59"/>
  <c r="B55"/>
  <c r="B54"/>
  <c r="D122" i="5"/>
  <c r="C69" i="6"/>
  <c r="C70"/>
  <c r="C71"/>
  <c r="C72"/>
  <c r="C73"/>
  <c r="C74"/>
  <c r="C75"/>
  <c r="C76"/>
  <c r="C77"/>
  <c r="C88"/>
  <c r="C89"/>
  <c r="C90"/>
  <c r="C91"/>
  <c r="C92"/>
  <c r="C93"/>
  <c r="C94"/>
  <c r="C95"/>
  <c r="C96"/>
  <c r="C97"/>
  <c r="G123" i="38"/>
  <c r="CY34" i="9"/>
  <c r="CY16"/>
  <c r="DA41"/>
  <c r="CZ41"/>
  <c r="CY41"/>
  <c r="DE40"/>
  <c r="DD40"/>
  <c r="DB40"/>
  <c r="DA40"/>
  <c r="CZ40"/>
  <c r="CY40"/>
  <c r="DE39"/>
  <c r="DD39"/>
  <c r="DB39"/>
  <c r="DA39"/>
  <c r="CZ39"/>
  <c r="CY39"/>
  <c r="DE38"/>
  <c r="DD38"/>
  <c r="DB38"/>
  <c r="DA38"/>
  <c r="CZ38"/>
  <c r="CY38"/>
  <c r="DA34"/>
  <c r="CZ34"/>
  <c r="DE49"/>
  <c r="DD49"/>
  <c r="DB49"/>
  <c r="DA49"/>
  <c r="CZ49"/>
  <c r="CY49"/>
  <c r="DE48"/>
  <c r="DD48"/>
  <c r="DB48"/>
  <c r="DA48"/>
  <c r="CZ48"/>
  <c r="CY48"/>
  <c r="DE47"/>
  <c r="DD47"/>
  <c r="DB47"/>
  <c r="DA47"/>
  <c r="CZ47"/>
  <c r="CY47"/>
  <c r="DE46"/>
  <c r="DD46"/>
  <c r="DB46"/>
  <c r="DA46"/>
  <c r="CZ46"/>
  <c r="CY46"/>
  <c r="DE45"/>
  <c r="DD45"/>
  <c r="DB45"/>
  <c r="DA45"/>
  <c r="CZ45"/>
  <c r="CY45"/>
  <c r="DE44"/>
  <c r="DD44"/>
  <c r="DB44"/>
  <c r="DA44"/>
  <c r="CZ44"/>
  <c r="CY44"/>
  <c r="DE43"/>
  <c r="DD43"/>
  <c r="DB43"/>
  <c r="DA43"/>
  <c r="CZ43"/>
  <c r="CY43"/>
  <c r="DE42"/>
  <c r="DD42"/>
  <c r="DB42"/>
  <c r="DA42"/>
  <c r="CZ42"/>
  <c r="CY42"/>
  <c r="BU17" i="8"/>
  <c r="C6" i="6"/>
  <c r="C145"/>
  <c r="M3" i="3"/>
  <c r="E18"/>
  <c r="H18"/>
  <c r="E17"/>
  <c r="H17"/>
  <c r="G18"/>
  <c r="D134" i="5"/>
  <c r="D135"/>
  <c r="D136"/>
  <c r="D137"/>
  <c r="D138"/>
  <c r="D139"/>
  <c r="D140"/>
  <c r="D141"/>
  <c r="D142"/>
  <c r="D143"/>
  <c r="D144"/>
  <c r="D145"/>
  <c r="CH3" i="9"/>
  <c r="G146" i="38"/>
  <c r="G145"/>
  <c r="G144"/>
  <c r="G143"/>
  <c r="G142"/>
  <c r="G141"/>
  <c r="G140"/>
  <c r="G139"/>
  <c r="G138"/>
  <c r="G137"/>
  <c r="G136"/>
  <c r="G135"/>
  <c r="CY51" i="9"/>
  <c r="CZ16"/>
  <c r="CZ51"/>
  <c r="DA16"/>
  <c r="DA51"/>
  <c r="DD16"/>
  <c r="DD34"/>
  <c r="DD41"/>
  <c r="DD51"/>
  <c r="N110" i="14"/>
  <c r="N92"/>
  <c r="M92"/>
  <c r="N76"/>
  <c r="N60"/>
  <c r="B11" i="11"/>
  <c r="B12"/>
  <c r="CV24" i="9"/>
  <c r="CM3"/>
  <c r="CM4"/>
  <c r="CM6"/>
  <c r="CM7"/>
  <c r="CM8"/>
  <c r="CM9"/>
  <c r="CM10"/>
  <c r="CM11"/>
  <c r="CM12"/>
  <c r="CM13"/>
  <c r="CH4"/>
  <c r="CH5"/>
  <c r="CH6"/>
  <c r="CH7"/>
  <c r="CW56"/>
  <c r="CR41"/>
  <c r="CQ41"/>
  <c r="CP41"/>
  <c r="CP40"/>
  <c r="CP39"/>
  <c r="CP38"/>
  <c r="CW29"/>
  <c r="CV49"/>
  <c r="CS49"/>
  <c r="CP49"/>
  <c r="CV48"/>
  <c r="CS48"/>
  <c r="CR48"/>
  <c r="CQ48"/>
  <c r="CP48"/>
  <c r="CV47"/>
  <c r="CS47"/>
  <c r="CR47"/>
  <c r="CQ47"/>
  <c r="CP16"/>
  <c r="CP51"/>
  <c r="CP47"/>
  <c r="CV46"/>
  <c r="CU46"/>
  <c r="CT46"/>
  <c r="CS46"/>
  <c r="CR46"/>
  <c r="CQ46"/>
  <c r="CP46"/>
  <c r="CV45"/>
  <c r="CU45"/>
  <c r="CT45"/>
  <c r="CS45"/>
  <c r="CR45"/>
  <c r="CQ45"/>
  <c r="CP45"/>
  <c r="CV44"/>
  <c r="CU44"/>
  <c r="CS44"/>
  <c r="CR44"/>
  <c r="CQ44"/>
  <c r="CP44"/>
  <c r="CV43"/>
  <c r="CU43"/>
  <c r="CS43"/>
  <c r="CR43"/>
  <c r="CQ43"/>
  <c r="CP43"/>
  <c r="CV42"/>
  <c r="CU42"/>
  <c r="CR42"/>
  <c r="CQ42"/>
  <c r="CP42"/>
  <c r="BI8" i="8"/>
  <c r="CW3" i="9"/>
  <c r="CW8"/>
  <c r="CW11"/>
  <c r="CW46"/>
  <c r="CQ16"/>
  <c r="CR16"/>
  <c r="CV16"/>
  <c r="CW21"/>
  <c r="CW38" s="1"/>
  <c r="CQ38"/>
  <c r="CS38"/>
  <c r="CV38"/>
  <c r="CQ39"/>
  <c r="CS39"/>
  <c r="CU39"/>
  <c r="CV39"/>
  <c r="CQ40"/>
  <c r="CS40"/>
  <c r="CU40"/>
  <c r="CV40"/>
  <c r="CS41"/>
  <c r="CU41"/>
  <c r="CV41"/>
  <c r="CV51"/>
  <c r="CR51"/>
  <c r="CQ51"/>
  <c r="CR40"/>
  <c r="CR39"/>
  <c r="CR38"/>
  <c r="BO15" i="8"/>
  <c r="BO17"/>
  <c r="BO14"/>
  <c r="BO13"/>
  <c r="BO11"/>
  <c r="BO10"/>
  <c r="BO9"/>
  <c r="BO8"/>
  <c r="BO7"/>
  <c r="BO6"/>
  <c r="BO5"/>
  <c r="BO4"/>
  <c r="G97" i="5"/>
  <c r="D125"/>
  <c r="D126"/>
  <c r="D127"/>
  <c r="D128"/>
  <c r="D129"/>
  <c r="D130"/>
  <c r="D131"/>
  <c r="D132"/>
  <c r="D133"/>
  <c r="D123"/>
  <c r="D124"/>
  <c r="G125" i="38"/>
  <c r="G124"/>
  <c r="G134"/>
  <c r="G133"/>
  <c r="G132"/>
  <c r="G131"/>
  <c r="G130"/>
  <c r="G129"/>
  <c r="G128"/>
  <c r="G127"/>
  <c r="G126"/>
  <c r="I98"/>
  <c r="G17" i="3"/>
  <c r="E14"/>
  <c r="B30" i="12"/>
  <c r="B29"/>
  <c r="B28"/>
  <c r="B27"/>
  <c r="B26"/>
  <c r="B25"/>
  <c r="B24"/>
  <c r="B23"/>
  <c r="B22"/>
  <c r="B21"/>
  <c r="B20"/>
  <c r="O8"/>
  <c r="M8"/>
  <c r="L8"/>
  <c r="K8"/>
  <c r="J8"/>
  <c r="I8"/>
  <c r="O7"/>
  <c r="M7"/>
  <c r="L7"/>
  <c r="B21" i="11" s="1"/>
  <c r="K7" i="12"/>
  <c r="J7"/>
  <c r="I7"/>
  <c r="O6"/>
  <c r="E20" i="11" s="1"/>
  <c r="M6" i="12"/>
  <c r="L6"/>
  <c r="K6"/>
  <c r="J6"/>
  <c r="I6"/>
  <c r="O5"/>
  <c r="M5"/>
  <c r="L5"/>
  <c r="K5"/>
  <c r="J5"/>
  <c r="I5"/>
  <c r="H5" s="1"/>
  <c r="O4"/>
  <c r="E18" i="11" s="1"/>
  <c r="M4" i="12"/>
  <c r="L4"/>
  <c r="K4"/>
  <c r="J4"/>
  <c r="I4"/>
  <c r="CH34" i="9"/>
  <c r="K13" i="12"/>
  <c r="BH17" i="8"/>
  <c r="E12" i="11"/>
  <c r="BG17" i="8"/>
  <c r="D12" i="11"/>
  <c r="F12" s="1"/>
  <c r="BF17" i="8"/>
  <c r="C12" i="11"/>
  <c r="BI15" i="8"/>
  <c r="BI14"/>
  <c r="BI13"/>
  <c r="BI12"/>
  <c r="BI11"/>
  <c r="BI10"/>
  <c r="BI9"/>
  <c r="BI7"/>
  <c r="BI6"/>
  <c r="BI5"/>
  <c r="BI4"/>
  <c r="CL41" i="9"/>
  <c r="CM14"/>
  <c r="CH8"/>
  <c r="CH9"/>
  <c r="CH10"/>
  <c r="CH11"/>
  <c r="CH12"/>
  <c r="CH13"/>
  <c r="CH14"/>
  <c r="CH16"/>
  <c r="CN14"/>
  <c r="CN13"/>
  <c r="CN10"/>
  <c r="CN9"/>
  <c r="BY34"/>
  <c r="CG16"/>
  <c r="CN56"/>
  <c r="CM49"/>
  <c r="CL49"/>
  <c r="CJ49"/>
  <c r="CG49"/>
  <c r="CM48"/>
  <c r="CL48"/>
  <c r="CK48"/>
  <c r="CJ48"/>
  <c r="CG48"/>
  <c r="CM47"/>
  <c r="CL47"/>
  <c r="CJ47"/>
  <c r="CG47"/>
  <c r="CM46"/>
  <c r="CL46"/>
  <c r="CJ46"/>
  <c r="CG46"/>
  <c r="CM45"/>
  <c r="CL45"/>
  <c r="CK45"/>
  <c r="CJ45"/>
  <c r="CG45"/>
  <c r="CM44"/>
  <c r="CL44"/>
  <c r="CK44"/>
  <c r="CJ44"/>
  <c r="CG44"/>
  <c r="CM43"/>
  <c r="CL43"/>
  <c r="CJ43"/>
  <c r="CG43"/>
  <c r="CM42"/>
  <c r="CL42"/>
  <c r="CJ42"/>
  <c r="CG42"/>
  <c r="CM41"/>
  <c r="CJ41"/>
  <c r="CG41"/>
  <c r="CM40"/>
  <c r="CL40"/>
  <c r="CK40"/>
  <c r="CJ40"/>
  <c r="CG40"/>
  <c r="CM39"/>
  <c r="CL39"/>
  <c r="CJ39"/>
  <c r="CG39"/>
  <c r="CM38"/>
  <c r="CL38"/>
  <c r="CJ38"/>
  <c r="CG38"/>
  <c r="CM34"/>
  <c r="O13" i="12"/>
  <c r="CL34" i="9"/>
  <c r="CJ34"/>
  <c r="L13" i="12"/>
  <c r="CG34" i="9"/>
  <c r="I13" i="12"/>
  <c r="CM16" i="9"/>
  <c r="CM51"/>
  <c r="CL16"/>
  <c r="CL51"/>
  <c r="CJ16"/>
  <c r="CJ51"/>
  <c r="CG51"/>
  <c r="CH49"/>
  <c r="CH48"/>
  <c r="CH47"/>
  <c r="CH46"/>
  <c r="CH45"/>
  <c r="CH44"/>
  <c r="CH43"/>
  <c r="CH42"/>
  <c r="CH41"/>
  <c r="CH40"/>
  <c r="CH39"/>
  <c r="CH38"/>
  <c r="CN5"/>
  <c r="CH51"/>
  <c r="CN23"/>
  <c r="CN24"/>
  <c r="CN25"/>
  <c r="CN27"/>
  <c r="CN28"/>
  <c r="CN31"/>
  <c r="CI34"/>
  <c r="J13" i="12"/>
  <c r="CN48" i="9"/>
  <c r="CN44"/>
  <c r="CN40"/>
  <c r="CI38"/>
  <c r="CI16"/>
  <c r="CI51"/>
  <c r="CI49"/>
  <c r="CI48"/>
  <c r="CI47"/>
  <c r="CI46"/>
  <c r="CI45"/>
  <c r="CI44"/>
  <c r="CI43"/>
  <c r="CI42"/>
  <c r="CI41"/>
  <c r="CI40"/>
  <c r="CI39"/>
  <c r="M110" i="14"/>
  <c r="J110"/>
  <c r="J92"/>
  <c r="M76"/>
  <c r="J76"/>
  <c r="M60"/>
  <c r="J60"/>
  <c r="E11" i="11"/>
  <c r="D11"/>
  <c r="C11"/>
  <c r="CE14" i="9"/>
  <c r="CE13"/>
  <c r="C10" i="11"/>
  <c r="D10"/>
  <c r="E10"/>
  <c r="F10" s="1"/>
  <c r="B10"/>
  <c r="M37" i="4"/>
  <c r="M36"/>
  <c r="M35"/>
  <c r="M34"/>
  <c r="M33"/>
  <c r="M32"/>
  <c r="M31"/>
  <c r="M30"/>
  <c r="M29"/>
  <c r="M28"/>
  <c r="M27"/>
  <c r="M26"/>
  <c r="C6"/>
  <c r="C7"/>
  <c r="P11"/>
  <c r="F7"/>
  <c r="N37"/>
  <c r="P12"/>
  <c r="P13"/>
  <c r="P14"/>
  <c r="P15"/>
  <c r="P16"/>
  <c r="P17"/>
  <c r="P18"/>
  <c r="P19"/>
  <c r="P20"/>
  <c r="P21"/>
  <c r="P22"/>
  <c r="N26"/>
  <c r="N27"/>
  <c r="N28"/>
  <c r="N29"/>
  <c r="N30"/>
  <c r="N31"/>
  <c r="N33"/>
  <c r="N34"/>
  <c r="N35"/>
  <c r="N36"/>
  <c r="C13" i="3"/>
  <c r="C12"/>
  <c r="E15"/>
  <c r="G15"/>
  <c r="H15"/>
  <c r="E16"/>
  <c r="G16"/>
  <c r="H16"/>
  <c r="K26" i="4"/>
  <c r="L26"/>
  <c r="G96" i="5"/>
  <c r="G95"/>
  <c r="G94"/>
  <c r="G93"/>
  <c r="G92"/>
  <c r="G91"/>
  <c r="G90"/>
  <c r="G89"/>
  <c r="G88"/>
  <c r="G87"/>
  <c r="G86"/>
  <c r="D110"/>
  <c r="D98"/>
  <c r="D99"/>
  <c r="D100"/>
  <c r="D101"/>
  <c r="D102"/>
  <c r="D103"/>
  <c r="D104"/>
  <c r="D105"/>
  <c r="D106"/>
  <c r="D107"/>
  <c r="D109"/>
  <c r="D111"/>
  <c r="D112"/>
  <c r="D113"/>
  <c r="D114"/>
  <c r="D115"/>
  <c r="D116"/>
  <c r="D117"/>
  <c r="D118"/>
  <c r="D119"/>
  <c r="D120"/>
  <c r="D121"/>
  <c r="S123" i="6"/>
  <c r="S120"/>
  <c r="S119"/>
  <c r="S118"/>
  <c r="S114"/>
  <c r="S113"/>
  <c r="G122" i="38"/>
  <c r="G121"/>
  <c r="G120"/>
  <c r="G119"/>
  <c r="G118"/>
  <c r="G117"/>
  <c r="G116"/>
  <c r="G115"/>
  <c r="G114"/>
  <c r="G113"/>
  <c r="G112"/>
  <c r="G110"/>
  <c r="G108"/>
  <c r="G107"/>
  <c r="G106"/>
  <c r="G105"/>
  <c r="G104"/>
  <c r="G103"/>
  <c r="G102"/>
  <c r="G101"/>
  <c r="G100"/>
  <c r="G99"/>
  <c r="G111"/>
  <c r="I87"/>
  <c r="I88"/>
  <c r="I89"/>
  <c r="I90"/>
  <c r="I91"/>
  <c r="I92"/>
  <c r="I93"/>
  <c r="I94"/>
  <c r="I95"/>
  <c r="I96"/>
  <c r="I97"/>
  <c r="C13" i="6"/>
  <c r="C51" i="40"/>
  <c r="C51" i="39"/>
  <c r="C51" i="38"/>
  <c r="D88" i="5"/>
  <c r="D89"/>
  <c r="D90"/>
  <c r="D91"/>
  <c r="D92"/>
  <c r="D93"/>
  <c r="D94"/>
  <c r="D95"/>
  <c r="D96"/>
  <c r="D97"/>
  <c r="G98" i="38"/>
  <c r="G97"/>
  <c r="G96"/>
  <c r="G95"/>
  <c r="G94"/>
  <c r="G93"/>
  <c r="G92"/>
  <c r="G91"/>
  <c r="G90"/>
  <c r="G89"/>
  <c r="BB17" i="8"/>
  <c r="BA17"/>
  <c r="AZ17"/>
  <c r="AY17"/>
  <c r="BC15"/>
  <c r="BC14"/>
  <c r="BC13"/>
  <c r="BC12"/>
  <c r="BC11"/>
  <c r="BC10"/>
  <c r="BC9"/>
  <c r="BC8"/>
  <c r="BC7"/>
  <c r="BC6"/>
  <c r="BC5"/>
  <c r="BC4"/>
  <c r="BC17"/>
  <c r="AV17"/>
  <c r="AU17"/>
  <c r="AT17"/>
  <c r="AS17"/>
  <c r="AW15"/>
  <c r="AW14"/>
  <c r="AW13"/>
  <c r="AW12"/>
  <c r="AW11"/>
  <c r="AW10"/>
  <c r="AW9"/>
  <c r="AW8"/>
  <c r="AW7"/>
  <c r="AW6"/>
  <c r="AW5"/>
  <c r="AW4"/>
  <c r="AW17"/>
  <c r="BR40" i="9"/>
  <c r="BR43"/>
  <c r="CE56"/>
  <c r="CD49"/>
  <c r="CC49"/>
  <c r="CA49"/>
  <c r="BX49"/>
  <c r="CD48"/>
  <c r="CC48"/>
  <c r="CA48"/>
  <c r="BX48"/>
  <c r="CD47"/>
  <c r="CC47"/>
  <c r="CA47"/>
  <c r="BX47"/>
  <c r="CD46"/>
  <c r="CC46"/>
  <c r="CA46"/>
  <c r="BX46"/>
  <c r="CD45"/>
  <c r="CC45"/>
  <c r="CA45"/>
  <c r="BX45"/>
  <c r="CD44"/>
  <c r="CC44"/>
  <c r="CA44"/>
  <c r="BX44"/>
  <c r="CD43"/>
  <c r="CC43"/>
  <c r="CA43"/>
  <c r="BX43"/>
  <c r="CD42"/>
  <c r="CC42"/>
  <c r="CA42"/>
  <c r="BX42"/>
  <c r="CD41"/>
  <c r="CC41"/>
  <c r="CB41"/>
  <c r="CA41"/>
  <c r="BX41"/>
  <c r="CD40"/>
  <c r="CC40"/>
  <c r="CB40"/>
  <c r="CA40"/>
  <c r="BX40"/>
  <c r="CD39"/>
  <c r="CC39"/>
  <c r="CB39"/>
  <c r="CA39"/>
  <c r="BX39"/>
  <c r="CD38"/>
  <c r="CC38"/>
  <c r="CB38"/>
  <c r="CA38"/>
  <c r="BX38"/>
  <c r="CD34"/>
  <c r="CC34"/>
  <c r="CA34"/>
  <c r="BX34"/>
  <c r="CD16"/>
  <c r="CD51"/>
  <c r="CC16"/>
  <c r="CC51"/>
  <c r="CA51"/>
  <c r="BY16"/>
  <c r="BY51"/>
  <c r="BX16"/>
  <c r="BV56"/>
  <c r="BU49"/>
  <c r="BT49"/>
  <c r="BS49"/>
  <c r="BR49"/>
  <c r="BO49"/>
  <c r="BU48"/>
  <c r="BT48"/>
  <c r="BS48"/>
  <c r="BR48"/>
  <c r="BO48"/>
  <c r="BU47"/>
  <c r="BT47"/>
  <c r="BS47"/>
  <c r="BR47"/>
  <c r="BO47"/>
  <c r="BU46"/>
  <c r="BT46"/>
  <c r="BS46"/>
  <c r="BR46"/>
  <c r="BO46"/>
  <c r="BU45"/>
  <c r="BT45"/>
  <c r="BS45"/>
  <c r="BR45"/>
  <c r="BO45"/>
  <c r="BU44"/>
  <c r="BT44"/>
  <c r="BS44"/>
  <c r="BR44"/>
  <c r="BO44"/>
  <c r="BU43"/>
  <c r="BT43"/>
  <c r="BS43"/>
  <c r="BO43"/>
  <c r="BU42"/>
  <c r="BT42"/>
  <c r="BS42"/>
  <c r="BR42"/>
  <c r="BO42"/>
  <c r="BU41"/>
  <c r="BT41"/>
  <c r="BS41"/>
  <c r="BR41"/>
  <c r="BO41"/>
  <c r="BU40"/>
  <c r="BT40"/>
  <c r="BS40"/>
  <c r="BO40"/>
  <c r="BU39"/>
  <c r="BT39"/>
  <c r="BS39"/>
  <c r="BR39"/>
  <c r="BO39"/>
  <c r="BU38"/>
  <c r="BT38"/>
  <c r="BS38"/>
  <c r="BR38"/>
  <c r="BO38"/>
  <c r="BU34"/>
  <c r="BT34"/>
  <c r="BS34"/>
  <c r="BR34"/>
  <c r="BO34"/>
  <c r="BP32"/>
  <c r="BP30"/>
  <c r="BU16"/>
  <c r="BU51"/>
  <c r="BT16"/>
  <c r="BT51"/>
  <c r="BS16"/>
  <c r="BS51"/>
  <c r="BR16"/>
  <c r="BR51"/>
  <c r="BO16"/>
  <c r="BO51"/>
  <c r="BX51"/>
  <c r="S1" i="6"/>
  <c r="CE3" i="9"/>
  <c r="CE4"/>
  <c r="CE5"/>
  <c r="CE6"/>
  <c r="CE7"/>
  <c r="CE9"/>
  <c r="BZ16"/>
  <c r="CE21"/>
  <c r="CE22"/>
  <c r="CE23"/>
  <c r="CE24"/>
  <c r="BY38"/>
  <c r="BY39"/>
  <c r="BY40"/>
  <c r="BY41"/>
  <c r="BY42"/>
  <c r="BY43"/>
  <c r="BY44"/>
  <c r="BY45"/>
  <c r="BY46"/>
  <c r="BY47"/>
  <c r="BY48"/>
  <c r="BY49"/>
  <c r="BV3"/>
  <c r="BV4"/>
  <c r="BV5"/>
  <c r="BV6"/>
  <c r="BV7"/>
  <c r="BV8"/>
  <c r="BV9"/>
  <c r="BV10"/>
  <c r="BV11"/>
  <c r="BV12"/>
  <c r="BV13"/>
  <c r="BV14"/>
  <c r="BQ16"/>
  <c r="BV21"/>
  <c r="BV22"/>
  <c r="BV23"/>
  <c r="BV24"/>
  <c r="BV25"/>
  <c r="BV26"/>
  <c r="BV27"/>
  <c r="BV28"/>
  <c r="BV29"/>
  <c r="BV30"/>
  <c r="BV31"/>
  <c r="BV32"/>
  <c r="BP38"/>
  <c r="BP39"/>
  <c r="BP40"/>
  <c r="BP41"/>
  <c r="BP42"/>
  <c r="BP43"/>
  <c r="BP44"/>
  <c r="BP45"/>
  <c r="BP46"/>
  <c r="BP47"/>
  <c r="BP49"/>
  <c r="I110" i="14"/>
  <c r="H110"/>
  <c r="G110"/>
  <c r="F110"/>
  <c r="E110"/>
  <c r="D110"/>
  <c r="C110"/>
  <c r="I92"/>
  <c r="H92"/>
  <c r="G92"/>
  <c r="F92"/>
  <c r="E92"/>
  <c r="D92"/>
  <c r="C92"/>
  <c r="I76"/>
  <c r="H76"/>
  <c r="G76"/>
  <c r="F76"/>
  <c r="E76"/>
  <c r="D76"/>
  <c r="C76"/>
  <c r="I60"/>
  <c r="H60"/>
  <c r="G60"/>
  <c r="F60"/>
  <c r="E60"/>
  <c r="D60"/>
  <c r="C60"/>
  <c r="BZ34" i="9"/>
  <c r="CE38"/>
  <c r="BZ51"/>
  <c r="CE41"/>
  <c r="CE40"/>
  <c r="CE39"/>
  <c r="BZ49"/>
  <c r="BZ48"/>
  <c r="BZ47"/>
  <c r="BZ46"/>
  <c r="BZ45"/>
  <c r="BZ44"/>
  <c r="BZ43"/>
  <c r="BZ42"/>
  <c r="BZ41"/>
  <c r="BZ40"/>
  <c r="BZ39"/>
  <c r="BZ38"/>
  <c r="BQ34"/>
  <c r="BV38"/>
  <c r="BV16"/>
  <c r="BV34"/>
  <c r="BV60"/>
  <c r="BV62"/>
  <c r="BQ51"/>
  <c r="BV49"/>
  <c r="BV48"/>
  <c r="BV47"/>
  <c r="BV46"/>
  <c r="BV45"/>
  <c r="BV44"/>
  <c r="BV43"/>
  <c r="BV42"/>
  <c r="BV41"/>
  <c r="BV40"/>
  <c r="BV39"/>
  <c r="BQ49"/>
  <c r="BQ48"/>
  <c r="BQ47"/>
  <c r="BQ46"/>
  <c r="BQ45"/>
  <c r="BQ44"/>
  <c r="BQ43"/>
  <c r="BQ42"/>
  <c r="BQ41"/>
  <c r="BQ40"/>
  <c r="BQ39"/>
  <c r="BQ38"/>
  <c r="BU77"/>
  <c r="BT77"/>
  <c r="BS77"/>
  <c r="BR77"/>
  <c r="BQ77"/>
  <c r="BP77"/>
  <c r="BO77"/>
  <c r="BU76"/>
  <c r="BT76"/>
  <c r="BS76"/>
  <c r="BR76"/>
  <c r="BQ76"/>
  <c r="BP76"/>
  <c r="BO76"/>
  <c r="BU75"/>
  <c r="BT75"/>
  <c r="BS75"/>
  <c r="BR75"/>
  <c r="BQ75"/>
  <c r="BP75"/>
  <c r="BO75"/>
  <c r="BU74"/>
  <c r="BT74"/>
  <c r="BS74"/>
  <c r="BR74"/>
  <c r="BQ74"/>
  <c r="BP74"/>
  <c r="BO74"/>
  <c r="BU73"/>
  <c r="BT73"/>
  <c r="BS73"/>
  <c r="BR73"/>
  <c r="BQ73"/>
  <c r="BP73"/>
  <c r="BO73"/>
  <c r="BU72"/>
  <c r="BT72"/>
  <c r="BS72"/>
  <c r="BR72"/>
  <c r="BQ72"/>
  <c r="BP72"/>
  <c r="BO72"/>
  <c r="BU71"/>
  <c r="BT71"/>
  <c r="BS71"/>
  <c r="BR71"/>
  <c r="BQ71"/>
  <c r="BP71"/>
  <c r="BO71"/>
  <c r="BU70"/>
  <c r="BT70"/>
  <c r="BS70"/>
  <c r="BR70"/>
  <c r="BQ70"/>
  <c r="BP70"/>
  <c r="BO70"/>
  <c r="BU69"/>
  <c r="BT69"/>
  <c r="BS69"/>
  <c r="BR69"/>
  <c r="BQ69"/>
  <c r="BP69"/>
  <c r="BO69"/>
  <c r="BU68"/>
  <c r="BT68"/>
  <c r="BS68"/>
  <c r="BR68"/>
  <c r="BQ68"/>
  <c r="BP68"/>
  <c r="BO68"/>
  <c r="BU67"/>
  <c r="BT67"/>
  <c r="BS67"/>
  <c r="BR67"/>
  <c r="BQ67"/>
  <c r="BP67"/>
  <c r="BO67"/>
  <c r="BU66"/>
  <c r="BT66"/>
  <c r="BS66"/>
  <c r="BR66"/>
  <c r="BO66"/>
  <c r="BP66"/>
  <c r="BQ66"/>
  <c r="BV51"/>
  <c r="E9" i="11"/>
  <c r="E8"/>
  <c r="E23" s="1"/>
  <c r="E7"/>
  <c r="E6"/>
  <c r="E21" s="1"/>
  <c r="E5"/>
  <c r="E4"/>
  <c r="E19" s="1"/>
  <c r="E3"/>
  <c r="D9"/>
  <c r="D8"/>
  <c r="D7"/>
  <c r="D22" s="1"/>
  <c r="D6"/>
  <c r="D5"/>
  <c r="D4"/>
  <c r="D3"/>
  <c r="D18" s="1"/>
  <c r="C9"/>
  <c r="C8"/>
  <c r="C23" s="1"/>
  <c r="C7"/>
  <c r="C6"/>
  <c r="C5"/>
  <c r="C4"/>
  <c r="F4" s="1"/>
  <c r="C3"/>
  <c r="B9"/>
  <c r="B8"/>
  <c r="B7"/>
  <c r="F7" s="1"/>
  <c r="B6"/>
  <c r="B5"/>
  <c r="B20" s="1"/>
  <c r="B4"/>
  <c r="B3"/>
  <c r="F3" s="1"/>
  <c r="BM56" i="9"/>
  <c r="BD56"/>
  <c r="AU56"/>
  <c r="AE56"/>
  <c r="AL56"/>
  <c r="AC56"/>
  <c r="T56"/>
  <c r="K54"/>
  <c r="BL49"/>
  <c r="BK49"/>
  <c r="BJ49"/>
  <c r="BI49"/>
  <c r="BF49"/>
  <c r="BC49"/>
  <c r="BB49"/>
  <c r="BA49"/>
  <c r="AZ49"/>
  <c r="AW49"/>
  <c r="AT49"/>
  <c r="AS49"/>
  <c r="AR49"/>
  <c r="AQ49"/>
  <c r="AN49"/>
  <c r="AK49"/>
  <c r="AJ49"/>
  <c r="AI49"/>
  <c r="AH49"/>
  <c r="AE49"/>
  <c r="AB49"/>
  <c r="AA49"/>
  <c r="Z49"/>
  <c r="Y49"/>
  <c r="V49"/>
  <c r="S49"/>
  <c r="R49"/>
  <c r="Q49"/>
  <c r="P49"/>
  <c r="M49"/>
  <c r="J49"/>
  <c r="I49"/>
  <c r="H49"/>
  <c r="G49"/>
  <c r="D49"/>
  <c r="BL48"/>
  <c r="BK48"/>
  <c r="BJ48"/>
  <c r="BI48"/>
  <c r="BF48"/>
  <c r="BC48"/>
  <c r="BB48"/>
  <c r="BA48"/>
  <c r="AZ48"/>
  <c r="AW48"/>
  <c r="AT48"/>
  <c r="AS48"/>
  <c r="AR48"/>
  <c r="AQ48"/>
  <c r="AN48"/>
  <c r="AK48"/>
  <c r="AJ48"/>
  <c r="AI48"/>
  <c r="AH48"/>
  <c r="AE48"/>
  <c r="AB48"/>
  <c r="AA48"/>
  <c r="Z48"/>
  <c r="Y48"/>
  <c r="V48"/>
  <c r="S48"/>
  <c r="R48"/>
  <c r="Q48"/>
  <c r="P48"/>
  <c r="M48"/>
  <c r="J48"/>
  <c r="I48"/>
  <c r="H48"/>
  <c r="G48"/>
  <c r="D48"/>
  <c r="BL47"/>
  <c r="BK47"/>
  <c r="BJ47"/>
  <c r="BI47"/>
  <c r="BF47"/>
  <c r="BC47"/>
  <c r="BB47"/>
  <c r="BA47"/>
  <c r="AZ47"/>
  <c r="AW47"/>
  <c r="AT47"/>
  <c r="AS47"/>
  <c r="AR47"/>
  <c r="AQ47"/>
  <c r="AN47"/>
  <c r="AK47"/>
  <c r="AJ47"/>
  <c r="AI47"/>
  <c r="AH47"/>
  <c r="AE47"/>
  <c r="AB47"/>
  <c r="AA47"/>
  <c r="Z47"/>
  <c r="Y47"/>
  <c r="V47"/>
  <c r="S47"/>
  <c r="R47"/>
  <c r="Q47"/>
  <c r="P47"/>
  <c r="M47"/>
  <c r="J47"/>
  <c r="I47"/>
  <c r="H47"/>
  <c r="G47"/>
  <c r="D47"/>
  <c r="BL46"/>
  <c r="BK46"/>
  <c r="BJ46"/>
  <c r="BI46"/>
  <c r="BF46"/>
  <c r="BC46"/>
  <c r="BB46"/>
  <c r="BA46"/>
  <c r="AZ46"/>
  <c r="AW46"/>
  <c r="AT46"/>
  <c r="AS46"/>
  <c r="AR46"/>
  <c r="AQ46"/>
  <c r="AN46"/>
  <c r="AK46"/>
  <c r="AJ46"/>
  <c r="AI46"/>
  <c r="AH46"/>
  <c r="AE46"/>
  <c r="AB46"/>
  <c r="AA46"/>
  <c r="Z46"/>
  <c r="Y46"/>
  <c r="V46"/>
  <c r="S46"/>
  <c r="R46"/>
  <c r="Q46"/>
  <c r="P46"/>
  <c r="M46"/>
  <c r="J46"/>
  <c r="I46"/>
  <c r="H46"/>
  <c r="G46"/>
  <c r="D46"/>
  <c r="BL45"/>
  <c r="BK45"/>
  <c r="BJ45"/>
  <c r="BI45"/>
  <c r="BF45"/>
  <c r="BC45"/>
  <c r="BB45"/>
  <c r="BA45"/>
  <c r="AZ45"/>
  <c r="AW45"/>
  <c r="AT45"/>
  <c r="AS45"/>
  <c r="AR45"/>
  <c r="AQ45"/>
  <c r="AN45"/>
  <c r="AK45"/>
  <c r="AJ45"/>
  <c r="AI45"/>
  <c r="AH45"/>
  <c r="AE45"/>
  <c r="AB45"/>
  <c r="AA45"/>
  <c r="Z45"/>
  <c r="Y45"/>
  <c r="V45"/>
  <c r="S45"/>
  <c r="R45"/>
  <c r="Q45"/>
  <c r="P45"/>
  <c r="M45"/>
  <c r="J45"/>
  <c r="I45"/>
  <c r="H45"/>
  <c r="G45"/>
  <c r="D45"/>
  <c r="BL44"/>
  <c r="BK44"/>
  <c r="BJ44"/>
  <c r="BI44"/>
  <c r="BF44"/>
  <c r="BC44"/>
  <c r="BB44"/>
  <c r="BA44"/>
  <c r="AZ44"/>
  <c r="AW44"/>
  <c r="AT44"/>
  <c r="AS44"/>
  <c r="AR44"/>
  <c r="AQ44"/>
  <c r="AN44"/>
  <c r="AK44"/>
  <c r="AJ44"/>
  <c r="AI44"/>
  <c r="AH44"/>
  <c r="AE44"/>
  <c r="AB44"/>
  <c r="AA44"/>
  <c r="Z44"/>
  <c r="Y44"/>
  <c r="V44"/>
  <c r="S44"/>
  <c r="R44"/>
  <c r="Q44"/>
  <c r="P44"/>
  <c r="M44"/>
  <c r="J44"/>
  <c r="I44"/>
  <c r="H44"/>
  <c r="G44"/>
  <c r="D44"/>
  <c r="BL43"/>
  <c r="BK43"/>
  <c r="BJ43"/>
  <c r="BI43"/>
  <c r="BF43"/>
  <c r="BC43"/>
  <c r="BB43"/>
  <c r="BA43"/>
  <c r="AZ43"/>
  <c r="AW43"/>
  <c r="AT43"/>
  <c r="AS43"/>
  <c r="AR43"/>
  <c r="AQ43"/>
  <c r="AN43"/>
  <c r="AK43"/>
  <c r="AJ43"/>
  <c r="AI43"/>
  <c r="AH43"/>
  <c r="AE43"/>
  <c r="AB43"/>
  <c r="AA43"/>
  <c r="Z43"/>
  <c r="Y43"/>
  <c r="V43"/>
  <c r="S43"/>
  <c r="R43"/>
  <c r="Q43"/>
  <c r="P43"/>
  <c r="M43"/>
  <c r="J43"/>
  <c r="I43"/>
  <c r="H43"/>
  <c r="G43"/>
  <c r="D43"/>
  <c r="BL42"/>
  <c r="BK42"/>
  <c r="BJ42"/>
  <c r="BI42"/>
  <c r="BF42"/>
  <c r="BC42"/>
  <c r="BB42"/>
  <c r="BA42"/>
  <c r="AZ42"/>
  <c r="AW42"/>
  <c r="AT42"/>
  <c r="AS42"/>
  <c r="AR42"/>
  <c r="AQ42"/>
  <c r="AN42"/>
  <c r="AK42"/>
  <c r="AJ42"/>
  <c r="AI42"/>
  <c r="AH42"/>
  <c r="AE42"/>
  <c r="AB42"/>
  <c r="AA42"/>
  <c r="Z42"/>
  <c r="Y42"/>
  <c r="V42"/>
  <c r="S42"/>
  <c r="R42"/>
  <c r="Q42"/>
  <c r="P42"/>
  <c r="M42"/>
  <c r="J42"/>
  <c r="I42"/>
  <c r="H42"/>
  <c r="G42"/>
  <c r="D42"/>
  <c r="BL41"/>
  <c r="BK41"/>
  <c r="BJ41"/>
  <c r="BI41"/>
  <c r="BF41"/>
  <c r="BC41"/>
  <c r="BB41"/>
  <c r="BA41"/>
  <c r="AZ41"/>
  <c r="AW41"/>
  <c r="AT41"/>
  <c r="AS41"/>
  <c r="AR41"/>
  <c r="AQ41"/>
  <c r="AN41"/>
  <c r="AK41"/>
  <c r="AJ41"/>
  <c r="AI41"/>
  <c r="AH41"/>
  <c r="AE41"/>
  <c r="AB41"/>
  <c r="AA41"/>
  <c r="Z41"/>
  <c r="Y41"/>
  <c r="V41"/>
  <c r="S41"/>
  <c r="R41"/>
  <c r="Q41"/>
  <c r="P41"/>
  <c r="M41"/>
  <c r="J41"/>
  <c r="I41"/>
  <c r="H41"/>
  <c r="G41"/>
  <c r="D41"/>
  <c r="BL40"/>
  <c r="BK40"/>
  <c r="BJ40"/>
  <c r="BI40"/>
  <c r="BF40"/>
  <c r="BC40"/>
  <c r="BB40"/>
  <c r="BA40"/>
  <c r="AZ40"/>
  <c r="AW40"/>
  <c r="AT40"/>
  <c r="AS40"/>
  <c r="AR40"/>
  <c r="AQ40"/>
  <c r="AN40"/>
  <c r="AK40"/>
  <c r="AJ40"/>
  <c r="AI40"/>
  <c r="AH40"/>
  <c r="AE40"/>
  <c r="AB40"/>
  <c r="AA40"/>
  <c r="Z40"/>
  <c r="Y40"/>
  <c r="V40"/>
  <c r="S40"/>
  <c r="R40"/>
  <c r="Q40"/>
  <c r="P40"/>
  <c r="M40"/>
  <c r="J40"/>
  <c r="I40"/>
  <c r="H40"/>
  <c r="G40"/>
  <c r="D40"/>
  <c r="BL39"/>
  <c r="BK39"/>
  <c r="BJ39"/>
  <c r="BI39"/>
  <c r="BF39"/>
  <c r="BC39"/>
  <c r="BB39"/>
  <c r="BA39"/>
  <c r="AZ39"/>
  <c r="AW39"/>
  <c r="AT39"/>
  <c r="AS39"/>
  <c r="AR39"/>
  <c r="AQ39"/>
  <c r="AN39"/>
  <c r="AK39"/>
  <c r="AJ39"/>
  <c r="AI39"/>
  <c r="AH39"/>
  <c r="AE39"/>
  <c r="AB39"/>
  <c r="AA39"/>
  <c r="Z39"/>
  <c r="Y39"/>
  <c r="V39"/>
  <c r="S39"/>
  <c r="R39"/>
  <c r="Q39"/>
  <c r="P39"/>
  <c r="M39"/>
  <c r="J39"/>
  <c r="I39"/>
  <c r="H39"/>
  <c r="G39"/>
  <c r="D39"/>
  <c r="BL38"/>
  <c r="BK38"/>
  <c r="BJ38"/>
  <c r="BI38"/>
  <c r="BF38"/>
  <c r="BC38"/>
  <c r="BB38"/>
  <c r="BA38"/>
  <c r="AZ38"/>
  <c r="AW38"/>
  <c r="AT38"/>
  <c r="AS38"/>
  <c r="AR38"/>
  <c r="AQ38"/>
  <c r="AN38"/>
  <c r="AK38"/>
  <c r="AJ38"/>
  <c r="AI38"/>
  <c r="AH38"/>
  <c r="AE38"/>
  <c r="AB38"/>
  <c r="AA38"/>
  <c r="Z38"/>
  <c r="Y38"/>
  <c r="V38"/>
  <c r="S38"/>
  <c r="R38"/>
  <c r="Q38"/>
  <c r="P38"/>
  <c r="M38"/>
  <c r="J38"/>
  <c r="I38"/>
  <c r="H38"/>
  <c r="G38"/>
  <c r="D38"/>
  <c r="BL34"/>
  <c r="BK34"/>
  <c r="BF34"/>
  <c r="BC34"/>
  <c r="BB34"/>
  <c r="BA34"/>
  <c r="AZ34"/>
  <c r="AW34"/>
  <c r="AT34"/>
  <c r="AS34"/>
  <c r="AR34"/>
  <c r="AQ34"/>
  <c r="AN34"/>
  <c r="AK34"/>
  <c r="AJ34"/>
  <c r="AI34"/>
  <c r="AH34"/>
  <c r="AE34"/>
  <c r="AB34"/>
  <c r="AA34"/>
  <c r="Z34"/>
  <c r="Y34"/>
  <c r="V34"/>
  <c r="S34"/>
  <c r="R34"/>
  <c r="Q34"/>
  <c r="P34"/>
  <c r="M34"/>
  <c r="J34"/>
  <c r="I34"/>
  <c r="H34"/>
  <c r="G34"/>
  <c r="D34"/>
  <c r="AX32"/>
  <c r="AO32"/>
  <c r="AF32"/>
  <c r="N32"/>
  <c r="N49"/>
  <c r="E32"/>
  <c r="AX31"/>
  <c r="AO31"/>
  <c r="AF31"/>
  <c r="N31"/>
  <c r="N48"/>
  <c r="E31"/>
  <c r="AX30"/>
  <c r="AO30"/>
  <c r="AF30"/>
  <c r="N30"/>
  <c r="N47"/>
  <c r="E30"/>
  <c r="AX29"/>
  <c r="AO29"/>
  <c r="AF29"/>
  <c r="N29"/>
  <c r="N46"/>
  <c r="E29"/>
  <c r="AX28"/>
  <c r="AO28"/>
  <c r="AF28"/>
  <c r="N28"/>
  <c r="N45"/>
  <c r="E28"/>
  <c r="AX27"/>
  <c r="AO27"/>
  <c r="AF27"/>
  <c r="N27"/>
  <c r="N44"/>
  <c r="E27"/>
  <c r="AX26"/>
  <c r="AO26"/>
  <c r="AF26"/>
  <c r="N26"/>
  <c r="N43"/>
  <c r="E26"/>
  <c r="AX25"/>
  <c r="AO25"/>
  <c r="AF25"/>
  <c r="N25"/>
  <c r="N42"/>
  <c r="E25"/>
  <c r="AX24"/>
  <c r="AO24"/>
  <c r="AF24"/>
  <c r="N24"/>
  <c r="N41"/>
  <c r="E24"/>
  <c r="AX23"/>
  <c r="AO23"/>
  <c r="AF23"/>
  <c r="N23"/>
  <c r="N40"/>
  <c r="E23"/>
  <c r="AX22"/>
  <c r="AO22"/>
  <c r="AF22"/>
  <c r="N22"/>
  <c r="N39"/>
  <c r="E22"/>
  <c r="AO21"/>
  <c r="AF21"/>
  <c r="N21"/>
  <c r="N38"/>
  <c r="E21"/>
  <c r="BL16"/>
  <c r="BL51"/>
  <c r="BK16"/>
  <c r="BK51"/>
  <c r="BJ16"/>
  <c r="BJ51"/>
  <c r="BI16"/>
  <c r="BI51"/>
  <c r="BF16"/>
  <c r="BF51"/>
  <c r="BC16"/>
  <c r="BC51"/>
  <c r="BB16"/>
  <c r="BB51"/>
  <c r="BA16"/>
  <c r="BA51"/>
  <c r="AZ16"/>
  <c r="AZ51"/>
  <c r="AX16"/>
  <c r="AX51"/>
  <c r="AW16"/>
  <c r="AW51"/>
  <c r="AT16"/>
  <c r="AT51"/>
  <c r="AS16"/>
  <c r="AS51"/>
  <c r="AR16"/>
  <c r="AR51"/>
  <c r="AQ16"/>
  <c r="AQ51"/>
  <c r="AO16"/>
  <c r="AO51"/>
  <c r="AN16"/>
  <c r="AN51"/>
  <c r="AK16"/>
  <c r="AK51"/>
  <c r="AJ16"/>
  <c r="AJ51"/>
  <c r="AI16"/>
  <c r="AI51"/>
  <c r="AH16"/>
  <c r="AH51"/>
  <c r="AF16"/>
  <c r="AF51"/>
  <c r="AE16"/>
  <c r="AE51"/>
  <c r="AB16"/>
  <c r="AB51"/>
  <c r="AA16"/>
  <c r="AA51"/>
  <c r="Z16"/>
  <c r="Z51"/>
  <c r="Y16"/>
  <c r="Y51"/>
  <c r="V16"/>
  <c r="V51"/>
  <c r="S16"/>
  <c r="S51"/>
  <c r="R16"/>
  <c r="R51"/>
  <c r="Q16"/>
  <c r="Q51"/>
  <c r="P16"/>
  <c r="P51"/>
  <c r="N16"/>
  <c r="N51"/>
  <c r="M16"/>
  <c r="M51"/>
  <c r="J16"/>
  <c r="J51"/>
  <c r="I16"/>
  <c r="I51"/>
  <c r="H16"/>
  <c r="H51"/>
  <c r="G16"/>
  <c r="G51"/>
  <c r="E16"/>
  <c r="E51"/>
  <c r="D16"/>
  <c r="D51"/>
  <c r="AP14"/>
  <c r="AG14"/>
  <c r="W14"/>
  <c r="O14"/>
  <c r="F14"/>
  <c r="AP13"/>
  <c r="AG13"/>
  <c r="W13"/>
  <c r="O13"/>
  <c r="F13"/>
  <c r="AP12"/>
  <c r="AG12"/>
  <c r="W12"/>
  <c r="O12"/>
  <c r="F12"/>
  <c r="AP11"/>
  <c r="AG11"/>
  <c r="W11"/>
  <c r="O11"/>
  <c r="F11"/>
  <c r="AP10"/>
  <c r="AG10"/>
  <c r="W10"/>
  <c r="O10"/>
  <c r="F10"/>
  <c r="AP9"/>
  <c r="AG9"/>
  <c r="W9"/>
  <c r="O9"/>
  <c r="F9"/>
  <c r="AP8"/>
  <c r="AG8"/>
  <c r="W8"/>
  <c r="O8"/>
  <c r="F8"/>
  <c r="AP7"/>
  <c r="AG7"/>
  <c r="W7"/>
  <c r="O7"/>
  <c r="F7"/>
  <c r="AP6"/>
  <c r="AG6"/>
  <c r="W6"/>
  <c r="O6"/>
  <c r="F6"/>
  <c r="AP5"/>
  <c r="AG5"/>
  <c r="W5"/>
  <c r="O5"/>
  <c r="F5"/>
  <c r="AP4"/>
  <c r="AG4"/>
  <c r="W4"/>
  <c r="O4"/>
  <c r="F4"/>
  <c r="AP3"/>
  <c r="AG3"/>
  <c r="W3"/>
  <c r="O3"/>
  <c r="F3"/>
  <c r="AP17" i="8"/>
  <c r="AO17"/>
  <c r="AN17"/>
  <c r="AM17"/>
  <c r="AJ17"/>
  <c r="AI17"/>
  <c r="AH17"/>
  <c r="AG17"/>
  <c r="AD17"/>
  <c r="AC17"/>
  <c r="AB17"/>
  <c r="AA17"/>
  <c r="X17"/>
  <c r="W17"/>
  <c r="V17"/>
  <c r="U17"/>
  <c r="R17"/>
  <c r="Q17"/>
  <c r="P17"/>
  <c r="O17"/>
  <c r="L17"/>
  <c r="K17"/>
  <c r="J17"/>
  <c r="I17"/>
  <c r="F17"/>
  <c r="E17"/>
  <c r="D17"/>
  <c r="C17"/>
  <c r="AQ15"/>
  <c r="AK15"/>
  <c r="AE15"/>
  <c r="Y15"/>
  <c r="S15"/>
  <c r="M15"/>
  <c r="G15"/>
  <c r="AQ14"/>
  <c r="AK14"/>
  <c r="AE14"/>
  <c r="Y14"/>
  <c r="S14"/>
  <c r="M14"/>
  <c r="G14"/>
  <c r="AQ13"/>
  <c r="AK13"/>
  <c r="AE13"/>
  <c r="Y13"/>
  <c r="S13"/>
  <c r="M13"/>
  <c r="G13"/>
  <c r="AQ12"/>
  <c r="AK12"/>
  <c r="AE12"/>
  <c r="Y12"/>
  <c r="S12"/>
  <c r="M12"/>
  <c r="G12"/>
  <c r="AQ11"/>
  <c r="AK11"/>
  <c r="AE11"/>
  <c r="Y11"/>
  <c r="S11"/>
  <c r="M11"/>
  <c r="G11"/>
  <c r="AQ10"/>
  <c r="AK10"/>
  <c r="AE10"/>
  <c r="Y10"/>
  <c r="S10"/>
  <c r="M10"/>
  <c r="G10"/>
  <c r="AQ9"/>
  <c r="AK9"/>
  <c r="AE9"/>
  <c r="Y9"/>
  <c r="S9"/>
  <c r="M9"/>
  <c r="G9"/>
  <c r="AQ8"/>
  <c r="AK8"/>
  <c r="AE8"/>
  <c r="Y8"/>
  <c r="S8"/>
  <c r="M8"/>
  <c r="G8"/>
  <c r="AQ7"/>
  <c r="AK7"/>
  <c r="AE7"/>
  <c r="Y7"/>
  <c r="S7"/>
  <c r="M7"/>
  <c r="G7"/>
  <c r="AQ6"/>
  <c r="AK6"/>
  <c r="AE6"/>
  <c r="Y6"/>
  <c r="S6"/>
  <c r="M6"/>
  <c r="G6"/>
  <c r="AQ5"/>
  <c r="AK5"/>
  <c r="AE5"/>
  <c r="Y5"/>
  <c r="S5"/>
  <c r="M5"/>
  <c r="G5"/>
  <c r="AQ4"/>
  <c r="AQ17"/>
  <c r="AK4"/>
  <c r="AK17"/>
  <c r="AE4"/>
  <c r="AE17"/>
  <c r="Y4"/>
  <c r="Y17"/>
  <c r="S4"/>
  <c r="S17"/>
  <c r="M4"/>
  <c r="M17"/>
  <c r="G4"/>
  <c r="G17"/>
  <c r="P140" i="6"/>
  <c r="P139"/>
  <c r="P138"/>
  <c r="P137"/>
  <c r="P136"/>
  <c r="P135"/>
  <c r="P134"/>
  <c r="P133"/>
  <c r="P132"/>
  <c r="P131"/>
  <c r="P130"/>
  <c r="P129"/>
  <c r="P128"/>
  <c r="P127"/>
  <c r="P126"/>
  <c r="P119"/>
  <c r="P118"/>
  <c r="P117"/>
  <c r="P116"/>
  <c r="P115"/>
  <c r="P114"/>
  <c r="P113"/>
  <c r="P112"/>
  <c r="P111"/>
  <c r="P110"/>
  <c r="P109"/>
  <c r="P108"/>
  <c r="P107"/>
  <c r="P106"/>
  <c r="P105"/>
  <c r="P79"/>
  <c r="N97"/>
  <c r="M78"/>
  <c r="M97"/>
  <c r="L78"/>
  <c r="L97"/>
  <c r="K78"/>
  <c r="K97"/>
  <c r="J78"/>
  <c r="J97"/>
  <c r="I78"/>
  <c r="I97"/>
  <c r="H78"/>
  <c r="H97"/>
  <c r="G78"/>
  <c r="G97"/>
  <c r="F78"/>
  <c r="F97"/>
  <c r="E78"/>
  <c r="E97"/>
  <c r="D78"/>
  <c r="P78"/>
  <c r="D97"/>
  <c r="N77"/>
  <c r="N96" s="1"/>
  <c r="M77"/>
  <c r="M96" s="1"/>
  <c r="L77"/>
  <c r="L96" s="1"/>
  <c r="K77"/>
  <c r="K96" s="1"/>
  <c r="J77"/>
  <c r="J96" s="1"/>
  <c r="I77"/>
  <c r="I96" s="1"/>
  <c r="H77"/>
  <c r="H96" s="1"/>
  <c r="G77"/>
  <c r="G96" s="1"/>
  <c r="F77"/>
  <c r="F96" s="1"/>
  <c r="E77"/>
  <c r="E96" s="1"/>
  <c r="D77"/>
  <c r="D96" s="1"/>
  <c r="N76"/>
  <c r="N95" s="1"/>
  <c r="M76"/>
  <c r="M95" s="1"/>
  <c r="L76"/>
  <c r="L95" s="1"/>
  <c r="K76"/>
  <c r="K95" s="1"/>
  <c r="J76"/>
  <c r="J95" s="1"/>
  <c r="I76"/>
  <c r="I95" s="1"/>
  <c r="H76"/>
  <c r="H95" s="1"/>
  <c r="G76"/>
  <c r="G95" s="1"/>
  <c r="F76"/>
  <c r="F95" s="1"/>
  <c r="E76"/>
  <c r="E95" s="1"/>
  <c r="D76"/>
  <c r="D95" s="1"/>
  <c r="N75"/>
  <c r="N94" s="1"/>
  <c r="M75"/>
  <c r="M94" s="1"/>
  <c r="L75"/>
  <c r="L94" s="1"/>
  <c r="K75"/>
  <c r="K94" s="1"/>
  <c r="J75"/>
  <c r="J94" s="1"/>
  <c r="I75"/>
  <c r="I94" s="1"/>
  <c r="H75"/>
  <c r="H94" s="1"/>
  <c r="G75"/>
  <c r="G94" s="1"/>
  <c r="F75"/>
  <c r="F94" s="1"/>
  <c r="E75"/>
  <c r="E94" s="1"/>
  <c r="D75"/>
  <c r="D94" s="1"/>
  <c r="N74"/>
  <c r="N93" s="1"/>
  <c r="M74"/>
  <c r="M93" s="1"/>
  <c r="L74"/>
  <c r="L93" s="1"/>
  <c r="K74"/>
  <c r="K93" s="1"/>
  <c r="J74"/>
  <c r="J93" s="1"/>
  <c r="I74"/>
  <c r="I93" s="1"/>
  <c r="H74"/>
  <c r="H93" s="1"/>
  <c r="G74"/>
  <c r="G93" s="1"/>
  <c r="F74"/>
  <c r="F93" s="1"/>
  <c r="E74"/>
  <c r="E93" s="1"/>
  <c r="D74"/>
  <c r="D93" s="1"/>
  <c r="N73"/>
  <c r="N92" s="1"/>
  <c r="M73"/>
  <c r="M92" s="1"/>
  <c r="L73"/>
  <c r="L92" s="1"/>
  <c r="K73"/>
  <c r="K92" s="1"/>
  <c r="J73"/>
  <c r="J92" s="1"/>
  <c r="I73"/>
  <c r="I92" s="1"/>
  <c r="H73"/>
  <c r="H92" s="1"/>
  <c r="G73"/>
  <c r="G92" s="1"/>
  <c r="F73"/>
  <c r="F92" s="1"/>
  <c r="E73"/>
  <c r="E92" s="1"/>
  <c r="D73"/>
  <c r="D92" s="1"/>
  <c r="N72"/>
  <c r="N91" s="1"/>
  <c r="M72"/>
  <c r="M91" s="1"/>
  <c r="L72"/>
  <c r="L91" s="1"/>
  <c r="K72"/>
  <c r="K91" s="1"/>
  <c r="J72"/>
  <c r="J91" s="1"/>
  <c r="I72"/>
  <c r="I91" s="1"/>
  <c r="H72"/>
  <c r="H91" s="1"/>
  <c r="G72"/>
  <c r="G91" s="1"/>
  <c r="F72"/>
  <c r="F91" s="1"/>
  <c r="E72"/>
  <c r="E91" s="1"/>
  <c r="D72"/>
  <c r="D91" s="1"/>
  <c r="N71"/>
  <c r="N90" s="1"/>
  <c r="M71"/>
  <c r="M90" s="1"/>
  <c r="L71"/>
  <c r="L90" s="1"/>
  <c r="K71"/>
  <c r="K90" s="1"/>
  <c r="J71"/>
  <c r="J90" s="1"/>
  <c r="I71"/>
  <c r="I90" s="1"/>
  <c r="H71"/>
  <c r="H90" s="1"/>
  <c r="G71"/>
  <c r="G90" s="1"/>
  <c r="F71"/>
  <c r="F90" s="1"/>
  <c r="E71"/>
  <c r="E90" s="1"/>
  <c r="D71"/>
  <c r="D90" s="1"/>
  <c r="N70"/>
  <c r="N89" s="1"/>
  <c r="M70"/>
  <c r="M89" s="1"/>
  <c r="L70"/>
  <c r="L89" s="1"/>
  <c r="K70"/>
  <c r="K89" s="1"/>
  <c r="J70"/>
  <c r="J89" s="1"/>
  <c r="I70"/>
  <c r="I89" s="1"/>
  <c r="H70"/>
  <c r="H89" s="1"/>
  <c r="G70"/>
  <c r="G89" s="1"/>
  <c r="F70"/>
  <c r="F89" s="1"/>
  <c r="E70"/>
  <c r="E89" s="1"/>
  <c r="D70"/>
  <c r="D89" s="1"/>
  <c r="N69"/>
  <c r="N88" s="1"/>
  <c r="M69"/>
  <c r="M88" s="1"/>
  <c r="L69"/>
  <c r="L88" s="1"/>
  <c r="K69"/>
  <c r="K88" s="1"/>
  <c r="J69"/>
  <c r="J88" s="1"/>
  <c r="I69"/>
  <c r="I88" s="1"/>
  <c r="H69"/>
  <c r="H88" s="1"/>
  <c r="G69"/>
  <c r="G88" s="1"/>
  <c r="F69"/>
  <c r="F88" s="1"/>
  <c r="E69"/>
  <c r="E88" s="1"/>
  <c r="D69"/>
  <c r="D88" s="1"/>
  <c r="P68"/>
  <c r="P67"/>
  <c r="P66"/>
  <c r="P65"/>
  <c r="P58"/>
  <c r="P57"/>
  <c r="P56"/>
  <c r="P55"/>
  <c r="P54"/>
  <c r="P53"/>
  <c r="P52"/>
  <c r="P51"/>
  <c r="P50"/>
  <c r="P49"/>
  <c r="P48"/>
  <c r="P47"/>
  <c r="P46"/>
  <c r="P45"/>
  <c r="P44"/>
  <c r="N14"/>
  <c r="M14"/>
  <c r="S110" s="1"/>
  <c r="S109"/>
  <c r="K14"/>
  <c r="S108"/>
  <c r="J14"/>
  <c r="S107"/>
  <c r="I14"/>
  <c r="S106"/>
  <c r="H14"/>
  <c r="S105"/>
  <c r="G14"/>
  <c r="S104"/>
  <c r="F14"/>
  <c r="S103"/>
  <c r="E14"/>
  <c r="S102"/>
  <c r="D14"/>
  <c r="S101"/>
  <c r="C14"/>
  <c r="S100"/>
  <c r="N13"/>
  <c r="S99"/>
  <c r="M13"/>
  <c r="S98"/>
  <c r="L13"/>
  <c r="S97"/>
  <c r="K13"/>
  <c r="S96"/>
  <c r="J13"/>
  <c r="S95"/>
  <c r="I13"/>
  <c r="S94"/>
  <c r="H13"/>
  <c r="S93"/>
  <c r="G13"/>
  <c r="S92"/>
  <c r="F13"/>
  <c r="S91"/>
  <c r="E13"/>
  <c r="S90"/>
  <c r="D13"/>
  <c r="S89"/>
  <c r="S88"/>
  <c r="N12"/>
  <c r="S87" s="1"/>
  <c r="M12"/>
  <c r="S86" s="1"/>
  <c r="L12"/>
  <c r="S85" s="1"/>
  <c r="K12"/>
  <c r="S84" s="1"/>
  <c r="J12"/>
  <c r="S83" s="1"/>
  <c r="I12"/>
  <c r="S82" s="1"/>
  <c r="H12"/>
  <c r="S81" s="1"/>
  <c r="G12"/>
  <c r="S80" s="1"/>
  <c r="F12"/>
  <c r="S79" s="1"/>
  <c r="E12"/>
  <c r="S78" s="1"/>
  <c r="D12"/>
  <c r="S77" s="1"/>
  <c r="C12"/>
  <c r="S76" s="1"/>
  <c r="N11"/>
  <c r="S75" s="1"/>
  <c r="M11"/>
  <c r="S74" s="1"/>
  <c r="L11"/>
  <c r="S73" s="1"/>
  <c r="K11"/>
  <c r="S72" s="1"/>
  <c r="J11"/>
  <c r="S71" s="1"/>
  <c r="I11"/>
  <c r="S70" s="1"/>
  <c r="H11"/>
  <c r="S69" s="1"/>
  <c r="G11"/>
  <c r="S68" s="1"/>
  <c r="F11"/>
  <c r="S67" s="1"/>
  <c r="E11"/>
  <c r="S66" s="1"/>
  <c r="D11"/>
  <c r="S65" s="1"/>
  <c r="C11"/>
  <c r="S64" s="1"/>
  <c r="N10"/>
  <c r="S63" s="1"/>
  <c r="M10"/>
  <c r="S62" s="1"/>
  <c r="L10"/>
  <c r="S61" s="1"/>
  <c r="K10"/>
  <c r="S60" s="1"/>
  <c r="J10"/>
  <c r="S59" s="1"/>
  <c r="I10"/>
  <c r="S58" s="1"/>
  <c r="H10"/>
  <c r="S57" s="1"/>
  <c r="G10"/>
  <c r="S56" s="1"/>
  <c r="F10"/>
  <c r="S55" s="1"/>
  <c r="E10"/>
  <c r="S54" s="1"/>
  <c r="D10"/>
  <c r="S53" s="1"/>
  <c r="C10"/>
  <c r="S52" s="1"/>
  <c r="N9"/>
  <c r="S51" s="1"/>
  <c r="M9"/>
  <c r="S50" s="1"/>
  <c r="L9"/>
  <c r="S49" s="1"/>
  <c r="K9"/>
  <c r="S48" s="1"/>
  <c r="J9"/>
  <c r="S47" s="1"/>
  <c r="I9"/>
  <c r="S46" s="1"/>
  <c r="H9"/>
  <c r="S45" s="1"/>
  <c r="G9"/>
  <c r="S44" s="1"/>
  <c r="F9"/>
  <c r="S43" s="1"/>
  <c r="E9"/>
  <c r="S42" s="1"/>
  <c r="D9"/>
  <c r="S41" s="1"/>
  <c r="C9"/>
  <c r="S40" s="1"/>
  <c r="N8"/>
  <c r="S39" s="1"/>
  <c r="M8"/>
  <c r="S38" s="1"/>
  <c r="K8"/>
  <c r="S36" s="1"/>
  <c r="J8"/>
  <c r="S35" s="1"/>
  <c r="I8"/>
  <c r="S34" s="1"/>
  <c r="H8"/>
  <c r="S33" s="1"/>
  <c r="G8"/>
  <c r="S32" s="1"/>
  <c r="F8"/>
  <c r="S31" s="1"/>
  <c r="E8"/>
  <c r="S30" s="1"/>
  <c r="D8"/>
  <c r="S29" s="1"/>
  <c r="S28"/>
  <c r="N7"/>
  <c r="S27"/>
  <c r="M7"/>
  <c r="S26"/>
  <c r="S25"/>
  <c r="K7"/>
  <c r="S24" s="1"/>
  <c r="J7"/>
  <c r="S23" s="1"/>
  <c r="I7"/>
  <c r="H7"/>
  <c r="S21"/>
  <c r="G7"/>
  <c r="S20"/>
  <c r="F7"/>
  <c r="S19"/>
  <c r="E7"/>
  <c r="S18"/>
  <c r="D7"/>
  <c r="C7"/>
  <c r="S14" s="1"/>
  <c r="N6"/>
  <c r="S13" s="1"/>
  <c r="M6"/>
  <c r="S12" s="1"/>
  <c r="L6"/>
  <c r="S11" s="1"/>
  <c r="K6"/>
  <c r="S10" s="1"/>
  <c r="J6"/>
  <c r="S9" s="1"/>
  <c r="I6"/>
  <c r="S8" s="1"/>
  <c r="H6"/>
  <c r="S7" s="1"/>
  <c r="G6"/>
  <c r="S6" s="1"/>
  <c r="F6"/>
  <c r="E6"/>
  <c r="D6"/>
  <c r="P6" s="1"/>
  <c r="S5"/>
  <c r="N5"/>
  <c r="M5"/>
  <c r="L5"/>
  <c r="K5"/>
  <c r="J5"/>
  <c r="I5"/>
  <c r="H5"/>
  <c r="S3"/>
  <c r="S2"/>
  <c r="H62" i="5"/>
  <c r="F63" i="40" s="1"/>
  <c r="F63" i="38"/>
  <c r="L37" i="4"/>
  <c r="H73" i="5"/>
  <c r="F74" i="40" s="1"/>
  <c r="K37" i="4"/>
  <c r="H61" i="5"/>
  <c r="F62" i="40" s="1"/>
  <c r="J37" i="4"/>
  <c r="H49" i="5"/>
  <c r="F50" i="38" s="1"/>
  <c r="I37" i="4"/>
  <c r="H37" i="5"/>
  <c r="F38" i="38"/>
  <c r="H37" i="4"/>
  <c r="H25" i="5"/>
  <c r="F26" i="38" s="1"/>
  <c r="G37" i="4"/>
  <c r="H13" i="5"/>
  <c r="F37" i="4"/>
  <c r="D37"/>
  <c r="C37"/>
  <c r="B37"/>
  <c r="L36"/>
  <c r="H72" i="5"/>
  <c r="K36" i="4"/>
  <c r="H60" i="5"/>
  <c r="F61" i="40" s="1"/>
  <c r="F61" i="38"/>
  <c r="J36" i="4"/>
  <c r="H48" i="5"/>
  <c r="I36" i="4"/>
  <c r="H36" i="5"/>
  <c r="H36" i="4"/>
  <c r="H24" i="5"/>
  <c r="F25" i="38"/>
  <c r="G36" i="4"/>
  <c r="H12" i="5"/>
  <c r="F13" i="40" s="1"/>
  <c r="F13" i="38"/>
  <c r="F36" i="4"/>
  <c r="E36"/>
  <c r="D36"/>
  <c r="C36"/>
  <c r="B36"/>
  <c r="L35"/>
  <c r="H71" i="5"/>
  <c r="F72" i="38"/>
  <c r="K35" i="4"/>
  <c r="H59" i="5"/>
  <c r="J35" i="4"/>
  <c r="H47" i="5"/>
  <c r="F48" i="38"/>
  <c r="I35" i="4"/>
  <c r="H35" i="5"/>
  <c r="F36" i="38" s="1"/>
  <c r="H35" i="4"/>
  <c r="H23" i="5"/>
  <c r="F24" i="38"/>
  <c r="G35" i="4"/>
  <c r="H11" i="5"/>
  <c r="F12" i="39" s="1"/>
  <c r="F35" i="4"/>
  <c r="E35"/>
  <c r="D35"/>
  <c r="C35"/>
  <c r="B35"/>
  <c r="L34"/>
  <c r="H70" i="5"/>
  <c r="K34" i="4"/>
  <c r="H58" i="5"/>
  <c r="J34" i="4"/>
  <c r="H46" i="5"/>
  <c r="F47" i="38" s="1"/>
  <c r="I34" i="4"/>
  <c r="H34" i="5"/>
  <c r="F35" i="40" s="1"/>
  <c r="F35" i="38"/>
  <c r="H34" i="4"/>
  <c r="H22" i="5"/>
  <c r="G34" i="4"/>
  <c r="H10" i="5"/>
  <c r="F11" i="40" s="1"/>
  <c r="F34" i="4"/>
  <c r="E34"/>
  <c r="D34"/>
  <c r="C34"/>
  <c r="B34"/>
  <c r="L33"/>
  <c r="H69" i="5"/>
  <c r="F70" i="40" s="1"/>
  <c r="K33" i="4"/>
  <c r="H57" i="5"/>
  <c r="F58" i="38"/>
  <c r="J33" i="4"/>
  <c r="H45" i="5"/>
  <c r="F46" i="38"/>
  <c r="I33" i="4"/>
  <c r="H33" i="5"/>
  <c r="F34" i="38" s="1"/>
  <c r="H33" i="4"/>
  <c r="H21" i="5"/>
  <c r="F22" i="40" s="1"/>
  <c r="F22" i="38"/>
  <c r="G33" i="4"/>
  <c r="H9" i="5"/>
  <c r="F10" i="38" s="1"/>
  <c r="F33" i="4"/>
  <c r="E33"/>
  <c r="D33"/>
  <c r="C33"/>
  <c r="B33"/>
  <c r="L32"/>
  <c r="H68" i="5"/>
  <c r="K32" i="4"/>
  <c r="H56" i="5"/>
  <c r="F57" i="40" s="1"/>
  <c r="F57" i="38"/>
  <c r="J32" i="4"/>
  <c r="H44" i="5"/>
  <c r="I32" i="4"/>
  <c r="H32" i="5"/>
  <c r="H32" i="4"/>
  <c r="H20" i="5"/>
  <c r="G32" i="4"/>
  <c r="H8" i="5"/>
  <c r="F9" i="40" s="1"/>
  <c r="F9" i="38"/>
  <c r="F32" i="4"/>
  <c r="E32"/>
  <c r="D32"/>
  <c r="C32"/>
  <c r="B32"/>
  <c r="L31"/>
  <c r="H67" i="5"/>
  <c r="F68" i="38"/>
  <c r="K31" i="4"/>
  <c r="H55" i="5"/>
  <c r="F56" i="38" s="1"/>
  <c r="J31" i="4"/>
  <c r="H43" i="5"/>
  <c r="F44" i="39" s="1"/>
  <c r="I31" i="4"/>
  <c r="H31" i="5"/>
  <c r="F32" i="39" s="1"/>
  <c r="F32" i="38"/>
  <c r="H31" i="4"/>
  <c r="H19" i="5"/>
  <c r="F20" i="38"/>
  <c r="G31" i="4"/>
  <c r="H7" i="5"/>
  <c r="F8" i="38" s="1"/>
  <c r="F31" i="4"/>
  <c r="E31"/>
  <c r="D31"/>
  <c r="C31"/>
  <c r="B31"/>
  <c r="L30"/>
  <c r="H66" i="5"/>
  <c r="K30" i="4"/>
  <c r="H54" i="5"/>
  <c r="F55" i="40" s="1"/>
  <c r="F55" i="38"/>
  <c r="J30" i="4"/>
  <c r="H42" i="5"/>
  <c r="F43" i="40" s="1"/>
  <c r="I30" i="4"/>
  <c r="H30" i="5"/>
  <c r="F31" i="40" s="1"/>
  <c r="F31" i="38"/>
  <c r="H30" i="4"/>
  <c r="H18" i="5"/>
  <c r="G30" i="4"/>
  <c r="H6" i="5"/>
  <c r="F7" i="40" s="1"/>
  <c r="F30" i="4"/>
  <c r="E30"/>
  <c r="D30"/>
  <c r="C30"/>
  <c r="B30"/>
  <c r="L29"/>
  <c r="H65" i="5"/>
  <c r="F66" i="38" s="1"/>
  <c r="K29" i="4"/>
  <c r="H53" i="5"/>
  <c r="J29" i="4"/>
  <c r="H41" i="5"/>
  <c r="F42" i="38"/>
  <c r="I29" i="4"/>
  <c r="H29" i="5"/>
  <c r="F30" i="38" s="1"/>
  <c r="H29" i="4"/>
  <c r="H17" i="5"/>
  <c r="F18" i="38" s="1"/>
  <c r="G29" i="4"/>
  <c r="H5" i="5"/>
  <c r="F6" i="40" s="1"/>
  <c r="F29" i="4"/>
  <c r="E29"/>
  <c r="D29"/>
  <c r="C29"/>
  <c r="B29"/>
  <c r="L28"/>
  <c r="H64" i="5"/>
  <c r="K28" i="4"/>
  <c r="H52" i="5"/>
  <c r="F53" i="40" s="1"/>
  <c r="F53" i="38"/>
  <c r="J28" i="4"/>
  <c r="H40" i="5"/>
  <c r="I28" i="4"/>
  <c r="H28" i="5"/>
  <c r="H28" i="4"/>
  <c r="H16" i="5"/>
  <c r="F17" i="38"/>
  <c r="G28" i="4"/>
  <c r="H4" i="5"/>
  <c r="F5" i="40" s="1"/>
  <c r="F5" i="38"/>
  <c r="F28" i="4"/>
  <c r="E28"/>
  <c r="D28"/>
  <c r="C28"/>
  <c r="B28"/>
  <c r="L27"/>
  <c r="H63" i="5"/>
  <c r="F64" i="38"/>
  <c r="K27" i="4"/>
  <c r="H51" i="5"/>
  <c r="J27" i="4"/>
  <c r="H39" i="5"/>
  <c r="F40" i="39" s="1"/>
  <c r="F40" i="38"/>
  <c r="I27" i="4"/>
  <c r="H27" i="5"/>
  <c r="F28" i="38" s="1"/>
  <c r="H27" i="4"/>
  <c r="H15" i="5"/>
  <c r="F16" i="38"/>
  <c r="G27" i="4"/>
  <c r="H3" i="5"/>
  <c r="F27" i="4"/>
  <c r="E27"/>
  <c r="D27"/>
  <c r="C27"/>
  <c r="B27"/>
  <c r="H50" i="5"/>
  <c r="F51" i="40" s="1"/>
  <c r="J26" i="4"/>
  <c r="H38" i="5"/>
  <c r="F39" i="39" s="1"/>
  <c r="I26" i="4"/>
  <c r="H26" i="5"/>
  <c r="F27" i="40" s="1"/>
  <c r="F27" i="38"/>
  <c r="H26" i="4"/>
  <c r="H14" i="5"/>
  <c r="G26" i="4"/>
  <c r="H2" i="5"/>
  <c r="F26" i="4"/>
  <c r="E26"/>
  <c r="D26"/>
  <c r="C26"/>
  <c r="E6"/>
  <c r="E7"/>
  <c r="D6"/>
  <c r="D7"/>
  <c r="Q11"/>
  <c r="Q12"/>
  <c r="Q13"/>
  <c r="Q14"/>
  <c r="Q15"/>
  <c r="Q16"/>
  <c r="Q17"/>
  <c r="Q18"/>
  <c r="Q19"/>
  <c r="Q20"/>
  <c r="Q21"/>
  <c r="Q22"/>
  <c r="R11"/>
  <c r="G14" i="3"/>
  <c r="H14"/>
  <c r="L13"/>
  <c r="G13"/>
  <c r="E13"/>
  <c r="H13"/>
  <c r="G12"/>
  <c r="E12"/>
  <c r="H12"/>
  <c r="G11"/>
  <c r="E11"/>
  <c r="H11"/>
  <c r="G10"/>
  <c r="E10"/>
  <c r="H10"/>
  <c r="G9"/>
  <c r="E9"/>
  <c r="H9"/>
  <c r="G8"/>
  <c r="E8"/>
  <c r="H8"/>
  <c r="G7"/>
  <c r="E7"/>
  <c r="H7"/>
  <c r="G6"/>
  <c r="E6"/>
  <c r="H6"/>
  <c r="G5"/>
  <c r="E5"/>
  <c r="H5"/>
  <c r="G4"/>
  <c r="E4"/>
  <c r="H4"/>
  <c r="M4"/>
  <c r="M5"/>
  <c r="M6"/>
  <c r="M7"/>
  <c r="M8"/>
  <c r="M9"/>
  <c r="M10"/>
  <c r="M11"/>
  <c r="M12"/>
  <c r="M13"/>
  <c r="M14"/>
  <c r="N3"/>
  <c r="N4"/>
  <c r="N5"/>
  <c r="N6"/>
  <c r="N7"/>
  <c r="N8"/>
  <c r="N9"/>
  <c r="N10"/>
  <c r="N11"/>
  <c r="N12"/>
  <c r="N13"/>
  <c r="N14"/>
  <c r="O3"/>
  <c r="O4"/>
  <c r="O5"/>
  <c r="O6"/>
  <c r="O7"/>
  <c r="O8"/>
  <c r="O9"/>
  <c r="O10"/>
  <c r="O11"/>
  <c r="O12"/>
  <c r="O13"/>
  <c r="O14"/>
  <c r="P3"/>
  <c r="P4"/>
  <c r="P5"/>
  <c r="P6"/>
  <c r="P7"/>
  <c r="P8"/>
  <c r="P9"/>
  <c r="P10"/>
  <c r="P11"/>
  <c r="P12"/>
  <c r="P13"/>
  <c r="P14"/>
  <c r="Q3"/>
  <c r="Q4"/>
  <c r="Q5"/>
  <c r="Q6"/>
  <c r="Q7"/>
  <c r="Q8"/>
  <c r="Q9"/>
  <c r="Q10"/>
  <c r="Q11"/>
  <c r="Q12"/>
  <c r="Q13"/>
  <c r="Q14"/>
  <c r="R3"/>
  <c r="R4"/>
  <c r="R5"/>
  <c r="R6"/>
  <c r="R7"/>
  <c r="R8"/>
  <c r="R9"/>
  <c r="R10"/>
  <c r="R11"/>
  <c r="R12"/>
  <c r="R13"/>
  <c r="R14"/>
  <c r="S3"/>
  <c r="S4"/>
  <c r="S5"/>
  <c r="S6"/>
  <c r="S7"/>
  <c r="S8"/>
  <c r="S9"/>
  <c r="S10"/>
  <c r="S11"/>
  <c r="S12"/>
  <c r="S13"/>
  <c r="S14"/>
  <c r="T3"/>
  <c r="T4"/>
  <c r="T5"/>
  <c r="T6"/>
  <c r="T7"/>
  <c r="T8"/>
  <c r="T9"/>
  <c r="T10"/>
  <c r="T11"/>
  <c r="T12"/>
  <c r="T13"/>
  <c r="T14"/>
  <c r="U3"/>
  <c r="U4"/>
  <c r="U5"/>
  <c r="U6"/>
  <c r="U7"/>
  <c r="U8"/>
  <c r="U9"/>
  <c r="U10"/>
  <c r="U11"/>
  <c r="U12"/>
  <c r="U13"/>
  <c r="U14"/>
  <c r="V3"/>
  <c r="V4"/>
  <c r="V5"/>
  <c r="V6"/>
  <c r="V7"/>
  <c r="V8"/>
  <c r="V9"/>
  <c r="V10"/>
  <c r="V11"/>
  <c r="V12"/>
  <c r="V13"/>
  <c r="V14"/>
  <c r="W3"/>
  <c r="W4"/>
  <c r="W5"/>
  <c r="W6"/>
  <c r="W7"/>
  <c r="W8"/>
  <c r="W9"/>
  <c r="W10"/>
  <c r="W11"/>
  <c r="W12"/>
  <c r="W13"/>
  <c r="W14"/>
  <c r="X3"/>
  <c r="X4"/>
  <c r="X5"/>
  <c r="X6"/>
  <c r="X7"/>
  <c r="X8"/>
  <c r="X9"/>
  <c r="X10"/>
  <c r="X11"/>
  <c r="X12"/>
  <c r="X13"/>
  <c r="X14"/>
  <c r="Y3"/>
  <c r="Y4"/>
  <c r="Y5"/>
  <c r="Y6"/>
  <c r="Y7"/>
  <c r="Y8"/>
  <c r="Y9"/>
  <c r="Y10"/>
  <c r="Y11"/>
  <c r="Y12"/>
  <c r="Y13"/>
  <c r="Y14"/>
  <c r="Z3"/>
  <c r="K3" i="9"/>
  <c r="T3"/>
  <c r="X3"/>
  <c r="AC3"/>
  <c r="AL3"/>
  <c r="AU3"/>
  <c r="BD3"/>
  <c r="BM3"/>
  <c r="K4"/>
  <c r="T4"/>
  <c r="X4"/>
  <c r="AC4"/>
  <c r="AL4"/>
  <c r="AU4"/>
  <c r="BD4"/>
  <c r="K5"/>
  <c r="T5"/>
  <c r="X5"/>
  <c r="AC5"/>
  <c r="AL5"/>
  <c r="AU5"/>
  <c r="BD5"/>
  <c r="K6"/>
  <c r="T6"/>
  <c r="X6"/>
  <c r="AC6"/>
  <c r="AL6"/>
  <c r="AU6"/>
  <c r="BD6"/>
  <c r="K7"/>
  <c r="T7"/>
  <c r="X7"/>
  <c r="AC7"/>
  <c r="AL7"/>
  <c r="AU7"/>
  <c r="BD7"/>
  <c r="K8"/>
  <c r="T8"/>
  <c r="X8"/>
  <c r="AC8"/>
  <c r="AL8"/>
  <c r="AU8"/>
  <c r="BD8"/>
  <c r="K9"/>
  <c r="T9"/>
  <c r="X9"/>
  <c r="AC9"/>
  <c r="AL9"/>
  <c r="AU9"/>
  <c r="BD9"/>
  <c r="K10"/>
  <c r="T10"/>
  <c r="X10"/>
  <c r="AC10"/>
  <c r="AL10"/>
  <c r="AU10"/>
  <c r="BD10"/>
  <c r="K11"/>
  <c r="T11"/>
  <c r="X11"/>
  <c r="AC11"/>
  <c r="AL11"/>
  <c r="AU11"/>
  <c r="BD11"/>
  <c r="K12"/>
  <c r="T12"/>
  <c r="X12"/>
  <c r="AC12"/>
  <c r="AL12"/>
  <c r="AU12"/>
  <c r="BD12"/>
  <c r="K13"/>
  <c r="T13"/>
  <c r="X13"/>
  <c r="AC13"/>
  <c r="AL13"/>
  <c r="AU13"/>
  <c r="BD13"/>
  <c r="K14"/>
  <c r="T14"/>
  <c r="X14"/>
  <c r="AC14"/>
  <c r="AL14"/>
  <c r="AU14"/>
  <c r="BD14"/>
  <c r="F16"/>
  <c r="O16"/>
  <c r="W16"/>
  <c r="W51"/>
  <c r="AG16"/>
  <c r="AP16"/>
  <c r="AY16"/>
  <c r="F21"/>
  <c r="K21"/>
  <c r="O21"/>
  <c r="T21"/>
  <c r="W21"/>
  <c r="AG21"/>
  <c r="AL21"/>
  <c r="AP21"/>
  <c r="AU21"/>
  <c r="BM21"/>
  <c r="F22"/>
  <c r="K22"/>
  <c r="O22"/>
  <c r="O39"/>
  <c r="T22"/>
  <c r="W22"/>
  <c r="AG22"/>
  <c r="AL22"/>
  <c r="AP22"/>
  <c r="AU22"/>
  <c r="F23"/>
  <c r="K23"/>
  <c r="O23"/>
  <c r="O40"/>
  <c r="T23"/>
  <c r="W23"/>
  <c r="AG23"/>
  <c r="AL23"/>
  <c r="AP23"/>
  <c r="AU23"/>
  <c r="F24"/>
  <c r="K24"/>
  <c r="O24"/>
  <c r="O41"/>
  <c r="T24"/>
  <c r="W24"/>
  <c r="AG24"/>
  <c r="AL24"/>
  <c r="AP24"/>
  <c r="AU24"/>
  <c r="F25"/>
  <c r="K25"/>
  <c r="O25"/>
  <c r="O42"/>
  <c r="T25"/>
  <c r="W25"/>
  <c r="AG25"/>
  <c r="AL25"/>
  <c r="AP25"/>
  <c r="AU25"/>
  <c r="F26"/>
  <c r="K26"/>
  <c r="O26"/>
  <c r="O43"/>
  <c r="T26"/>
  <c r="W26"/>
  <c r="AG26"/>
  <c r="AL26"/>
  <c r="AP26"/>
  <c r="AU26"/>
  <c r="F27"/>
  <c r="K27"/>
  <c r="O27"/>
  <c r="O44"/>
  <c r="T27"/>
  <c r="W27"/>
  <c r="AG27"/>
  <c r="AL27"/>
  <c r="AP27"/>
  <c r="AU27"/>
  <c r="F28"/>
  <c r="K28"/>
  <c r="O28"/>
  <c r="O45"/>
  <c r="T28"/>
  <c r="W28"/>
  <c r="AG28"/>
  <c r="AL28"/>
  <c r="AP28"/>
  <c r="AU28"/>
  <c r="F29"/>
  <c r="K29"/>
  <c r="O29"/>
  <c r="O46"/>
  <c r="T29"/>
  <c r="W29"/>
  <c r="AG29"/>
  <c r="AL29"/>
  <c r="AP29"/>
  <c r="AU29"/>
  <c r="F30"/>
  <c r="K30"/>
  <c r="O30"/>
  <c r="O47"/>
  <c r="T30"/>
  <c r="W30"/>
  <c r="AG30"/>
  <c r="AL30"/>
  <c r="AP30"/>
  <c r="AU30"/>
  <c r="F31"/>
  <c r="K31"/>
  <c r="O31"/>
  <c r="O48"/>
  <c r="T31"/>
  <c r="W31"/>
  <c r="AG31"/>
  <c r="AL31"/>
  <c r="AP31"/>
  <c r="AU31"/>
  <c r="F32"/>
  <c r="K32"/>
  <c r="O32"/>
  <c r="O49"/>
  <c r="T32"/>
  <c r="W32"/>
  <c r="AG32"/>
  <c r="AL32"/>
  <c r="AP32"/>
  <c r="AU32"/>
  <c r="E38"/>
  <c r="AF38"/>
  <c r="AO38"/>
  <c r="AX38"/>
  <c r="BG38"/>
  <c r="E39"/>
  <c r="AF39"/>
  <c r="AO39"/>
  <c r="AX39"/>
  <c r="E40"/>
  <c r="AF40"/>
  <c r="AO40"/>
  <c r="AX40"/>
  <c r="E41"/>
  <c r="AF41"/>
  <c r="AO41"/>
  <c r="AX41"/>
  <c r="E42"/>
  <c r="AF42"/>
  <c r="AO42"/>
  <c r="AX42"/>
  <c r="E43"/>
  <c r="AF43"/>
  <c r="AO43"/>
  <c r="AX43"/>
  <c r="E44"/>
  <c r="AF44"/>
  <c r="AO44"/>
  <c r="AX44"/>
  <c r="E45"/>
  <c r="AF45"/>
  <c r="AO45"/>
  <c r="AX45"/>
  <c r="E46"/>
  <c r="AF46"/>
  <c r="AO46"/>
  <c r="AX46"/>
  <c r="E47"/>
  <c r="AF47"/>
  <c r="AO47"/>
  <c r="AX47"/>
  <c r="E48"/>
  <c r="AF48"/>
  <c r="AO48"/>
  <c r="AX48"/>
  <c r="E49"/>
  <c r="AF49"/>
  <c r="AO49"/>
  <c r="AX49"/>
  <c r="P7" i="6"/>
  <c r="P8"/>
  <c r="P9"/>
  <c r="P10"/>
  <c r="P11"/>
  <c r="P12"/>
  <c r="P13"/>
  <c r="P14"/>
  <c r="P69"/>
  <c r="P70"/>
  <c r="P71"/>
  <c r="P72"/>
  <c r="P73"/>
  <c r="P74"/>
  <c r="P75"/>
  <c r="P76"/>
  <c r="P77"/>
  <c r="X32" i="9"/>
  <c r="X31"/>
  <c r="X30"/>
  <c r="X29"/>
  <c r="X28"/>
  <c r="X27"/>
  <c r="X26"/>
  <c r="X25"/>
  <c r="X24"/>
  <c r="X23"/>
  <c r="X22"/>
  <c r="AY34"/>
  <c r="AP34"/>
  <c r="AG34"/>
  <c r="X21"/>
  <c r="F34"/>
  <c r="BM38"/>
  <c r="BD38"/>
  <c r="BD16"/>
  <c r="AU38"/>
  <c r="AU16"/>
  <c r="AL38"/>
  <c r="AL16"/>
  <c r="AC16"/>
  <c r="X38"/>
  <c r="X16"/>
  <c r="T38"/>
  <c r="T16"/>
  <c r="K38"/>
  <c r="K16"/>
  <c r="AU34"/>
  <c r="AU62"/>
  <c r="AL34"/>
  <c r="AL62"/>
  <c r="T34"/>
  <c r="T62"/>
  <c r="O34"/>
  <c r="K34"/>
  <c r="K62"/>
  <c r="AY51"/>
  <c r="AP51"/>
  <c r="AG51"/>
  <c r="O51"/>
  <c r="F51"/>
  <c r="BD49"/>
  <c r="AU49"/>
  <c r="AL49"/>
  <c r="X49"/>
  <c r="T49"/>
  <c r="K49"/>
  <c r="BD48"/>
  <c r="AU48"/>
  <c r="AL48"/>
  <c r="X48"/>
  <c r="T48"/>
  <c r="K48"/>
  <c r="BD47"/>
  <c r="AU47"/>
  <c r="AL47"/>
  <c r="X47"/>
  <c r="T47"/>
  <c r="K47"/>
  <c r="BD46"/>
  <c r="AU46"/>
  <c r="AL46"/>
  <c r="X46"/>
  <c r="T46"/>
  <c r="K46"/>
  <c r="BD45"/>
  <c r="AU45"/>
  <c r="AL45"/>
  <c r="X45"/>
  <c r="T45"/>
  <c r="K45"/>
  <c r="BD44"/>
  <c r="AU44"/>
  <c r="AL44"/>
  <c r="X44"/>
  <c r="T44"/>
  <c r="K44"/>
  <c r="BD43"/>
  <c r="AU43"/>
  <c r="AL43"/>
  <c r="X43"/>
  <c r="T43"/>
  <c r="K43"/>
  <c r="BD42"/>
  <c r="AU42"/>
  <c r="AL42"/>
  <c r="X42"/>
  <c r="T42"/>
  <c r="K42"/>
  <c r="BD41"/>
  <c r="AU41"/>
  <c r="AL41"/>
  <c r="X41"/>
  <c r="T41"/>
  <c r="K41"/>
  <c r="BD40"/>
  <c r="AU40"/>
  <c r="AL40"/>
  <c r="X40"/>
  <c r="T40"/>
  <c r="K40"/>
  <c r="BD39"/>
  <c r="AU39"/>
  <c r="AL39"/>
  <c r="X39"/>
  <c r="T39"/>
  <c r="K39"/>
  <c r="AY49"/>
  <c r="AP49"/>
  <c r="AG49"/>
  <c r="W49"/>
  <c r="F49"/>
  <c r="AY48"/>
  <c r="AP48"/>
  <c r="AG48"/>
  <c r="W48"/>
  <c r="F48"/>
  <c r="AY47"/>
  <c r="AP47"/>
  <c r="AG47"/>
  <c r="W47"/>
  <c r="F47"/>
  <c r="AY46"/>
  <c r="AP46"/>
  <c r="AG46"/>
  <c r="W46"/>
  <c r="F46"/>
  <c r="AY45"/>
  <c r="AP45"/>
  <c r="AG45"/>
  <c r="W45"/>
  <c r="F45"/>
  <c r="AY44"/>
  <c r="AP44"/>
  <c r="AG44"/>
  <c r="W44"/>
  <c r="F44"/>
  <c r="AY43"/>
  <c r="AP43"/>
  <c r="AG43"/>
  <c r="W43"/>
  <c r="F43"/>
  <c r="AY42"/>
  <c r="AP42"/>
  <c r="AG42"/>
  <c r="W42"/>
  <c r="F42"/>
  <c r="AY41"/>
  <c r="AP41"/>
  <c r="AG41"/>
  <c r="W41"/>
  <c r="F41"/>
  <c r="AY40"/>
  <c r="AP40"/>
  <c r="AG40"/>
  <c r="W40"/>
  <c r="F40"/>
  <c r="AY39"/>
  <c r="AP39"/>
  <c r="AG39"/>
  <c r="W39"/>
  <c r="F39"/>
  <c r="BH38"/>
  <c r="AP38"/>
  <c r="AG38"/>
  <c r="W38"/>
  <c r="O38"/>
  <c r="F38"/>
  <c r="J77"/>
  <c r="I77"/>
  <c r="H77"/>
  <c r="G77"/>
  <c r="D77"/>
  <c r="J76"/>
  <c r="I76"/>
  <c r="H76"/>
  <c r="G76"/>
  <c r="D76"/>
  <c r="J75"/>
  <c r="I75"/>
  <c r="H75"/>
  <c r="G75"/>
  <c r="D75"/>
  <c r="J74"/>
  <c r="I74"/>
  <c r="H74"/>
  <c r="G74"/>
  <c r="D74"/>
  <c r="J73"/>
  <c r="I73"/>
  <c r="H73"/>
  <c r="G73"/>
  <c r="D73"/>
  <c r="J72"/>
  <c r="I72"/>
  <c r="H72"/>
  <c r="G72"/>
  <c r="D72"/>
  <c r="J71"/>
  <c r="I71"/>
  <c r="H71"/>
  <c r="G71"/>
  <c r="D71"/>
  <c r="J70"/>
  <c r="I70"/>
  <c r="H70"/>
  <c r="G70"/>
  <c r="D70"/>
  <c r="J69"/>
  <c r="I69"/>
  <c r="H69"/>
  <c r="G69"/>
  <c r="D69"/>
  <c r="J68"/>
  <c r="I68"/>
  <c r="H68"/>
  <c r="G68"/>
  <c r="D68"/>
  <c r="J67"/>
  <c r="I67"/>
  <c r="H67"/>
  <c r="G67"/>
  <c r="D67"/>
  <c r="J66"/>
  <c r="J79"/>
  <c r="C109" i="14"/>
  <c r="I66" i="9"/>
  <c r="I79"/>
  <c r="C91" i="14"/>
  <c r="H66" i="9"/>
  <c r="H79"/>
  <c r="C75" i="14"/>
  <c r="G66" i="9"/>
  <c r="G79"/>
  <c r="C59" i="14"/>
  <c r="D66" i="9"/>
  <c r="E66"/>
  <c r="E67"/>
  <c r="E68"/>
  <c r="E69"/>
  <c r="E70"/>
  <c r="E71"/>
  <c r="E72"/>
  <c r="E73"/>
  <c r="E74"/>
  <c r="E75"/>
  <c r="E76"/>
  <c r="E77"/>
  <c r="S77"/>
  <c r="R77"/>
  <c r="Q77"/>
  <c r="P77"/>
  <c r="O77"/>
  <c r="N77"/>
  <c r="M77"/>
  <c r="T77"/>
  <c r="S76"/>
  <c r="R76"/>
  <c r="Q76"/>
  <c r="P76"/>
  <c r="O76"/>
  <c r="N76"/>
  <c r="M76"/>
  <c r="T76"/>
  <c r="S75"/>
  <c r="R75"/>
  <c r="Q75"/>
  <c r="P75"/>
  <c r="O75"/>
  <c r="N75"/>
  <c r="M75"/>
  <c r="T75"/>
  <c r="S74"/>
  <c r="R74"/>
  <c r="Q74"/>
  <c r="P74"/>
  <c r="O74"/>
  <c r="N74"/>
  <c r="M74"/>
  <c r="T74"/>
  <c r="S73"/>
  <c r="R73"/>
  <c r="Q73"/>
  <c r="P73"/>
  <c r="O73"/>
  <c r="N73"/>
  <c r="M73"/>
  <c r="T73"/>
  <c r="S72"/>
  <c r="R72"/>
  <c r="Q72"/>
  <c r="P72"/>
  <c r="O72"/>
  <c r="N72"/>
  <c r="M72"/>
  <c r="T72"/>
  <c r="S71"/>
  <c r="R71"/>
  <c r="Q71"/>
  <c r="P71"/>
  <c r="O71"/>
  <c r="N71"/>
  <c r="M71"/>
  <c r="T71"/>
  <c r="S70"/>
  <c r="R70"/>
  <c r="Q70"/>
  <c r="P70"/>
  <c r="O70"/>
  <c r="N70"/>
  <c r="M70"/>
  <c r="T70"/>
  <c r="S69"/>
  <c r="R69"/>
  <c r="Q69"/>
  <c r="P69"/>
  <c r="O69"/>
  <c r="N69"/>
  <c r="M69"/>
  <c r="T69"/>
  <c r="S68"/>
  <c r="R68"/>
  <c r="Q68"/>
  <c r="P68"/>
  <c r="O68"/>
  <c r="N68"/>
  <c r="M68"/>
  <c r="T68"/>
  <c r="S67"/>
  <c r="R67"/>
  <c r="Q67"/>
  <c r="P67"/>
  <c r="O67"/>
  <c r="N67"/>
  <c r="M67"/>
  <c r="T67"/>
  <c r="S66"/>
  <c r="S79"/>
  <c r="D109" i="14"/>
  <c r="R66" i="9"/>
  <c r="R79"/>
  <c r="D91" i="14"/>
  <c r="Q66" i="9"/>
  <c r="Q79"/>
  <c r="D75" i="14"/>
  <c r="P66" i="9"/>
  <c r="P79"/>
  <c r="D59" i="14"/>
  <c r="O66" i="9"/>
  <c r="O79"/>
  <c r="D36" i="14"/>
  <c r="N66" i="9"/>
  <c r="N79"/>
  <c r="D47" i="14"/>
  <c r="AK77" i="9"/>
  <c r="AJ77"/>
  <c r="AI77"/>
  <c r="AH77"/>
  <c r="AE77"/>
  <c r="AK76"/>
  <c r="AJ76"/>
  <c r="AI76"/>
  <c r="AH76"/>
  <c r="AE76"/>
  <c r="AK75"/>
  <c r="AJ75"/>
  <c r="AI75"/>
  <c r="AH75"/>
  <c r="AE75"/>
  <c r="AK74"/>
  <c r="AJ74"/>
  <c r="AI74"/>
  <c r="AH74"/>
  <c r="AE74"/>
  <c r="AK73"/>
  <c r="AJ73"/>
  <c r="AI73"/>
  <c r="AH73"/>
  <c r="AE73"/>
  <c r="AK72"/>
  <c r="AJ72"/>
  <c r="AI72"/>
  <c r="AH72"/>
  <c r="AE72"/>
  <c r="AK71"/>
  <c r="AJ71"/>
  <c r="AI71"/>
  <c r="AH71"/>
  <c r="AE71"/>
  <c r="AK70"/>
  <c r="AJ70"/>
  <c r="AI70"/>
  <c r="AH70"/>
  <c r="AE70"/>
  <c r="AK69"/>
  <c r="AJ69"/>
  <c r="AI69"/>
  <c r="AH69"/>
  <c r="AE69"/>
  <c r="AK68"/>
  <c r="AJ68"/>
  <c r="AI68"/>
  <c r="AH68"/>
  <c r="AE68"/>
  <c r="AK67"/>
  <c r="AJ67"/>
  <c r="AI67"/>
  <c r="AH67"/>
  <c r="AE67"/>
  <c r="AK66"/>
  <c r="AK79"/>
  <c r="F109" i="14"/>
  <c r="AJ66" i="9"/>
  <c r="AJ79"/>
  <c r="F91" i="14"/>
  <c r="AI66" i="9"/>
  <c r="AI79"/>
  <c r="F75" i="14"/>
  <c r="AH66" i="9"/>
  <c r="AH79"/>
  <c r="F59" i="14"/>
  <c r="AE66" i="9"/>
  <c r="AF66"/>
  <c r="AF67"/>
  <c r="AF68"/>
  <c r="AF69"/>
  <c r="AF70"/>
  <c r="AF71"/>
  <c r="AF72"/>
  <c r="AF73"/>
  <c r="AF74"/>
  <c r="AF75"/>
  <c r="AF76"/>
  <c r="AF77"/>
  <c r="AT77"/>
  <c r="AS77"/>
  <c r="AR77"/>
  <c r="AQ77"/>
  <c r="AN77"/>
  <c r="AT76"/>
  <c r="AS76"/>
  <c r="AR76"/>
  <c r="AQ76"/>
  <c r="AN76"/>
  <c r="AT75"/>
  <c r="AS75"/>
  <c r="AR75"/>
  <c r="AQ75"/>
  <c r="AN75"/>
  <c r="AT74"/>
  <c r="AS74"/>
  <c r="AR74"/>
  <c r="AQ74"/>
  <c r="AN74"/>
  <c r="AT73"/>
  <c r="AS73"/>
  <c r="AR73"/>
  <c r="AQ73"/>
  <c r="AN73"/>
  <c r="AT72"/>
  <c r="AS72"/>
  <c r="AR72"/>
  <c r="AQ72"/>
  <c r="AN72"/>
  <c r="AT71"/>
  <c r="AS71"/>
  <c r="AR71"/>
  <c r="AQ71"/>
  <c r="AN71"/>
  <c r="AT70"/>
  <c r="AS70"/>
  <c r="AR70"/>
  <c r="AQ70"/>
  <c r="AN70"/>
  <c r="AT69"/>
  <c r="AS69"/>
  <c r="AR69"/>
  <c r="AQ69"/>
  <c r="AN69"/>
  <c r="AT68"/>
  <c r="AS68"/>
  <c r="AR68"/>
  <c r="AQ68"/>
  <c r="AN68"/>
  <c r="AT67"/>
  <c r="AS67"/>
  <c r="AR67"/>
  <c r="AQ67"/>
  <c r="AN67"/>
  <c r="AT66"/>
  <c r="AT79"/>
  <c r="G109" i="14"/>
  <c r="AS66" i="9"/>
  <c r="AS79"/>
  <c r="G91" i="14"/>
  <c r="AR66" i="9"/>
  <c r="AR79"/>
  <c r="G75" i="14"/>
  <c r="AQ66" i="9"/>
  <c r="AQ79"/>
  <c r="G59" i="14"/>
  <c r="AN66" i="9"/>
  <c r="AO66"/>
  <c r="AO67"/>
  <c r="AO68"/>
  <c r="AO69"/>
  <c r="AO70"/>
  <c r="AO71"/>
  <c r="AO72"/>
  <c r="AO73"/>
  <c r="AO74"/>
  <c r="AO75"/>
  <c r="AO76"/>
  <c r="AO77"/>
  <c r="H109" i="14"/>
  <c r="H91"/>
  <c r="H75"/>
  <c r="H59"/>
  <c r="X34" i="9"/>
  <c r="F67"/>
  <c r="AG67"/>
  <c r="AP67"/>
  <c r="F68"/>
  <c r="AG68"/>
  <c r="AP68"/>
  <c r="F69"/>
  <c r="AG69"/>
  <c r="AP69"/>
  <c r="F70"/>
  <c r="AG70"/>
  <c r="AP70"/>
  <c r="F71"/>
  <c r="AG71"/>
  <c r="AP71"/>
  <c r="F72"/>
  <c r="AG72"/>
  <c r="AP72"/>
  <c r="F73"/>
  <c r="AG73"/>
  <c r="AP73"/>
  <c r="F74"/>
  <c r="AG74"/>
  <c r="AP74"/>
  <c r="F75"/>
  <c r="AG75"/>
  <c r="AP75"/>
  <c r="F76"/>
  <c r="AG76"/>
  <c r="AP76"/>
  <c r="F77"/>
  <c r="AG77"/>
  <c r="AP77"/>
  <c r="K51"/>
  <c r="T51"/>
  <c r="X51"/>
  <c r="AL51"/>
  <c r="AU51"/>
  <c r="BD51"/>
  <c r="F66"/>
  <c r="F79"/>
  <c r="C36" i="14"/>
  <c r="AC21" i="9"/>
  <c r="AG66"/>
  <c r="AG79"/>
  <c r="F36" i="14"/>
  <c r="AP66" i="9"/>
  <c r="AP79"/>
  <c r="G36" i="14"/>
  <c r="H36"/>
  <c r="AC22" i="9"/>
  <c r="AC39"/>
  <c r="AC23"/>
  <c r="AC40"/>
  <c r="AC24"/>
  <c r="AC41"/>
  <c r="AC25"/>
  <c r="AC42"/>
  <c r="AC26"/>
  <c r="AC43"/>
  <c r="AC27"/>
  <c r="AC44"/>
  <c r="AC28"/>
  <c r="AC45"/>
  <c r="AC29"/>
  <c r="AC46"/>
  <c r="AC30"/>
  <c r="AC47"/>
  <c r="AC31"/>
  <c r="AC48"/>
  <c r="AC32"/>
  <c r="AC49"/>
  <c r="AC34"/>
  <c r="AC38"/>
  <c r="H26" i="14"/>
  <c r="BD66" i="9"/>
  <c r="AN79"/>
  <c r="G26" i="14"/>
  <c r="AU66" i="9"/>
  <c r="AE79"/>
  <c r="F26" i="14"/>
  <c r="AL66" i="9"/>
  <c r="M79"/>
  <c r="D26" i="14"/>
  <c r="T66" i="9"/>
  <c r="T79"/>
  <c r="D79"/>
  <c r="C26" i="14"/>
  <c r="K66" i="9"/>
  <c r="H47" i="14"/>
  <c r="BD67" i="9"/>
  <c r="BD68"/>
  <c r="BD69"/>
  <c r="BD70"/>
  <c r="BD71"/>
  <c r="BD72"/>
  <c r="BD73"/>
  <c r="BD74"/>
  <c r="BD75"/>
  <c r="BD76"/>
  <c r="BD77"/>
  <c r="AO79"/>
  <c r="G47" i="14"/>
  <c r="AU67" i="9"/>
  <c r="AU68"/>
  <c r="AU69"/>
  <c r="AU70"/>
  <c r="AU71"/>
  <c r="AU72"/>
  <c r="AU73"/>
  <c r="AU74"/>
  <c r="AU75"/>
  <c r="AU76"/>
  <c r="AU77"/>
  <c r="AF79"/>
  <c r="F47" i="14"/>
  <c r="AL67" i="9"/>
  <c r="AL68"/>
  <c r="AL69"/>
  <c r="AL70"/>
  <c r="AL71"/>
  <c r="AL72"/>
  <c r="AL73"/>
  <c r="AL74"/>
  <c r="AL75"/>
  <c r="AL76"/>
  <c r="AL77"/>
  <c r="E79"/>
  <c r="C47" i="14"/>
  <c r="K67" i="9"/>
  <c r="K68"/>
  <c r="K69"/>
  <c r="K70"/>
  <c r="K71"/>
  <c r="K72"/>
  <c r="K73"/>
  <c r="K74"/>
  <c r="K75"/>
  <c r="K76"/>
  <c r="K77"/>
  <c r="AC62"/>
  <c r="AC51"/>
  <c r="K79"/>
  <c r="AL79"/>
  <c r="AU79"/>
  <c r="BD79"/>
  <c r="AB77"/>
  <c r="AA77"/>
  <c r="Z77"/>
  <c r="Y77"/>
  <c r="V77"/>
  <c r="AB76"/>
  <c r="AA76"/>
  <c r="Z76"/>
  <c r="Y76"/>
  <c r="V76"/>
  <c r="AB75"/>
  <c r="AA75"/>
  <c r="Z75"/>
  <c r="Y75"/>
  <c r="V75"/>
  <c r="AB74"/>
  <c r="AA74"/>
  <c r="Z74"/>
  <c r="Y74"/>
  <c r="V74"/>
  <c r="AB73"/>
  <c r="AA73"/>
  <c r="Z73"/>
  <c r="Y73"/>
  <c r="V73"/>
  <c r="AB72"/>
  <c r="AA72"/>
  <c r="Z72"/>
  <c r="Y72"/>
  <c r="V72"/>
  <c r="AB71"/>
  <c r="AA71"/>
  <c r="Z71"/>
  <c r="Y71"/>
  <c r="V71"/>
  <c r="AB70"/>
  <c r="AA70"/>
  <c r="Z70"/>
  <c r="Y70"/>
  <c r="V70"/>
  <c r="AB69"/>
  <c r="AA69"/>
  <c r="Z69"/>
  <c r="Y69"/>
  <c r="V69"/>
  <c r="AB68"/>
  <c r="AA68"/>
  <c r="Z68"/>
  <c r="Y68"/>
  <c r="V68"/>
  <c r="AB67"/>
  <c r="AA67"/>
  <c r="Z67"/>
  <c r="Y67"/>
  <c r="V67"/>
  <c r="AB66"/>
  <c r="AB79"/>
  <c r="E109" i="14"/>
  <c r="AA66" i="9"/>
  <c r="AA79"/>
  <c r="E91" i="14"/>
  <c r="Z66" i="9"/>
  <c r="Z79"/>
  <c r="E75" i="14"/>
  <c r="Y66" i="9"/>
  <c r="Y79"/>
  <c r="E59" i="14"/>
  <c r="V66" i="9"/>
  <c r="W77"/>
  <c r="W76"/>
  <c r="W75"/>
  <c r="W74"/>
  <c r="W73"/>
  <c r="W72"/>
  <c r="W71"/>
  <c r="W70"/>
  <c r="W69"/>
  <c r="W68"/>
  <c r="W67"/>
  <c r="W66"/>
  <c r="W79"/>
  <c r="E47" i="14"/>
  <c r="X66" i="9"/>
  <c r="X67"/>
  <c r="X68"/>
  <c r="X69"/>
  <c r="X70"/>
  <c r="X71"/>
  <c r="X72"/>
  <c r="X73"/>
  <c r="X74"/>
  <c r="X75"/>
  <c r="X76"/>
  <c r="X77"/>
  <c r="V79"/>
  <c r="E26" i="14"/>
  <c r="AC66" i="9"/>
  <c r="X79"/>
  <c r="E36" i="14"/>
  <c r="AC67" i="9"/>
  <c r="AC68"/>
  <c r="AC69"/>
  <c r="AC70"/>
  <c r="AC71"/>
  <c r="AC72"/>
  <c r="AC73"/>
  <c r="AC74"/>
  <c r="AC75"/>
  <c r="AC76"/>
  <c r="AC77"/>
  <c r="AC79"/>
  <c r="C3" i="40"/>
  <c r="C3" i="39"/>
  <c r="C3" i="38"/>
  <c r="C4" i="40"/>
  <c r="C4" i="39"/>
  <c r="C4" i="38"/>
  <c r="C5" i="40"/>
  <c r="C5" i="39"/>
  <c r="C5" i="38"/>
  <c r="C6" i="40"/>
  <c r="C6" i="39"/>
  <c r="C6" i="38"/>
  <c r="C7" i="40"/>
  <c r="C7" i="39"/>
  <c r="C7" i="38"/>
  <c r="C8" i="40"/>
  <c r="C8" i="39"/>
  <c r="C8" i="38"/>
  <c r="C9" i="40"/>
  <c r="C9" i="39"/>
  <c r="C9" i="38"/>
  <c r="C10" i="40"/>
  <c r="C10" i="39"/>
  <c r="C10" i="38"/>
  <c r="C11" i="40"/>
  <c r="C11" i="39"/>
  <c r="C11" i="38"/>
  <c r="C12" i="40"/>
  <c r="C12" i="39"/>
  <c r="C12" i="38"/>
  <c r="C13" i="40"/>
  <c r="C13" i="39"/>
  <c r="C13" i="38"/>
  <c r="C14" i="40"/>
  <c r="C14" i="39"/>
  <c r="C14" i="38"/>
  <c r="C15" i="40"/>
  <c r="C154" s="1"/>
  <c r="C15" i="39"/>
  <c r="C15" i="38"/>
  <c r="C16" i="40"/>
  <c r="C16" i="39"/>
  <c r="C16" i="38"/>
  <c r="C17" i="40"/>
  <c r="C17" i="39"/>
  <c r="C17" i="38"/>
  <c r="C18" i="40"/>
  <c r="C18" i="39"/>
  <c r="C18" i="38"/>
  <c r="C19" i="40"/>
  <c r="C19" i="39"/>
  <c r="C19" i="38"/>
  <c r="C20" i="40"/>
  <c r="C20" i="39"/>
  <c r="C20" i="38"/>
  <c r="C21" i="40"/>
  <c r="C21" i="39"/>
  <c r="C21" i="38"/>
  <c r="C22" i="40"/>
  <c r="C22" i="39"/>
  <c r="C22" i="38"/>
  <c r="C23" i="40"/>
  <c r="C23" i="39"/>
  <c r="C23" i="38"/>
  <c r="C24" i="40"/>
  <c r="C24" i="39"/>
  <c r="C24" i="38"/>
  <c r="C25" i="40"/>
  <c r="C25" i="39"/>
  <c r="C25" i="38"/>
  <c r="C26" i="40"/>
  <c r="C26" i="39"/>
  <c r="C26" i="38"/>
  <c r="C27" i="40"/>
  <c r="C27" i="39"/>
  <c r="C27" i="38"/>
  <c r="C28" i="40"/>
  <c r="C28" i="39"/>
  <c r="C28" i="38"/>
  <c r="C29" i="40"/>
  <c r="C29" i="39"/>
  <c r="C29" i="38"/>
  <c r="C30" i="40"/>
  <c r="C30" i="39"/>
  <c r="C30" i="38"/>
  <c r="C31" i="40"/>
  <c r="C31" i="39"/>
  <c r="C31" i="38"/>
  <c r="C32" i="40"/>
  <c r="C32" i="39"/>
  <c r="C32" i="38"/>
  <c r="C33" i="40"/>
  <c r="C33" i="39"/>
  <c r="C33" i="38"/>
  <c r="C34" i="40"/>
  <c r="C34" i="39"/>
  <c r="C34" i="38"/>
  <c r="C35" i="40"/>
  <c r="C35" i="39"/>
  <c r="C35" i="38"/>
  <c r="C36" i="40"/>
  <c r="C36" i="39"/>
  <c r="C36" i="38"/>
  <c r="C37" i="40"/>
  <c r="C37" i="39"/>
  <c r="C37" i="38"/>
  <c r="C38" i="40"/>
  <c r="C38" i="39"/>
  <c r="C38" i="38"/>
  <c r="C39" i="40"/>
  <c r="C39" i="39"/>
  <c r="C39" i="38"/>
  <c r="C40" i="40"/>
  <c r="C40" i="39"/>
  <c r="C156" s="1"/>
  <c r="C40" i="38"/>
  <c r="C41" i="40"/>
  <c r="C41" i="39"/>
  <c r="C41" i="38"/>
  <c r="C42" i="40"/>
  <c r="C42" i="39"/>
  <c r="C42" i="38"/>
  <c r="C43" i="40"/>
  <c r="C43" i="39"/>
  <c r="C43" i="38"/>
  <c r="C44" i="40"/>
  <c r="C44" i="39"/>
  <c r="C44" i="38"/>
  <c r="C45" i="40"/>
  <c r="C45" i="39"/>
  <c r="C45" i="38"/>
  <c r="C46" i="40"/>
  <c r="C46" i="39"/>
  <c r="C46" i="38"/>
  <c r="C47" i="40"/>
  <c r="C47" i="39"/>
  <c r="C47" i="38"/>
  <c r="C48" i="40"/>
  <c r="C48" i="39"/>
  <c r="C48" i="38"/>
  <c r="C49" i="40"/>
  <c r="C49" i="39"/>
  <c r="C49" i="38"/>
  <c r="C50" i="40"/>
  <c r="C50" i="39"/>
  <c r="C50" i="38"/>
  <c r="C52" i="40"/>
  <c r="C52" i="39"/>
  <c r="C52" i="38"/>
  <c r="C53" i="40"/>
  <c r="C53" i="39"/>
  <c r="C53" i="38"/>
  <c r="C54" i="40"/>
  <c r="C54" i="39"/>
  <c r="C54" i="38"/>
  <c r="C55" i="40"/>
  <c r="C55" i="39"/>
  <c r="C55" i="38"/>
  <c r="C56" i="40"/>
  <c r="C56" i="39"/>
  <c r="C56" i="38"/>
  <c r="C57" i="40"/>
  <c r="C57" i="39"/>
  <c r="C57" i="38"/>
  <c r="C58" i="40"/>
  <c r="C58" i="39"/>
  <c r="C58" i="38"/>
  <c r="C59" i="40"/>
  <c r="C59" i="39"/>
  <c r="C59" i="38"/>
  <c r="C60" i="40"/>
  <c r="C60" i="39"/>
  <c r="C60" i="38"/>
  <c r="C61" i="40"/>
  <c r="C61" i="39"/>
  <c r="C61" i="38"/>
  <c r="C62" i="40"/>
  <c r="C157" s="1"/>
  <c r="C62" i="39"/>
  <c r="C62" i="38"/>
  <c r="C63" i="40"/>
  <c r="C63" i="39"/>
  <c r="C63" i="38"/>
  <c r="C64" i="40"/>
  <c r="C64" i="39"/>
  <c r="C64" i="38"/>
  <c r="C65" i="40"/>
  <c r="C65" i="39"/>
  <c r="C65" i="38"/>
  <c r="C66" i="40"/>
  <c r="C66" i="39"/>
  <c r="C66" i="38"/>
  <c r="C67" i="40"/>
  <c r="C67" i="39"/>
  <c r="C67" i="38"/>
  <c r="C68" i="40"/>
  <c r="C68" i="39"/>
  <c r="C68" i="38"/>
  <c r="C69" i="40"/>
  <c r="C69" i="39"/>
  <c r="C69" i="38"/>
  <c r="C70" i="40"/>
  <c r="C70" i="39"/>
  <c r="C70" i="38"/>
  <c r="C71" i="40"/>
  <c r="C71" i="39"/>
  <c r="C71" i="38"/>
  <c r="C73" i="40"/>
  <c r="C73" i="39"/>
  <c r="C73" i="38"/>
  <c r="C74" i="40"/>
  <c r="C74" i="39"/>
  <c r="C74" i="38"/>
  <c r="H74" i="5"/>
  <c r="H75"/>
  <c r="F76" i="38" s="1"/>
  <c r="H76" i="5"/>
  <c r="F77" i="39" s="1"/>
  <c r="H77" i="5"/>
  <c r="H78"/>
  <c r="F79" i="40" s="1"/>
  <c r="H79" i="5"/>
  <c r="H80"/>
  <c r="F81" i="38" s="1"/>
  <c r="H81" i="5"/>
  <c r="H82"/>
  <c r="H83"/>
  <c r="F84" i="38" s="1"/>
  <c r="H84" i="5"/>
  <c r="F85" i="39" s="1"/>
  <c r="H85" i="5"/>
  <c r="H97"/>
  <c r="F98" i="40" s="1"/>
  <c r="H92" i="5"/>
  <c r="H96"/>
  <c r="F97" i="38" s="1"/>
  <c r="H95" i="5"/>
  <c r="H94"/>
  <c r="H93"/>
  <c r="F94" i="38" s="1"/>
  <c r="H91" i="5"/>
  <c r="F92" i="39" s="1"/>
  <c r="H90" i="5"/>
  <c r="H89"/>
  <c r="F90" i="40" s="1"/>
  <c r="H88" i="5"/>
  <c r="H87"/>
  <c r="F88" i="38" s="1"/>
  <c r="H86" i="5"/>
  <c r="P26" i="4"/>
  <c r="Z4" i="3"/>
  <c r="S111" i="6"/>
  <c r="C22" i="11"/>
  <c r="E22"/>
  <c r="BU79" i="9"/>
  <c r="O11" i="12"/>
  <c r="BT79" i="9"/>
  <c r="BS79"/>
  <c r="M11" i="12"/>
  <c r="BR79" i="9"/>
  <c r="L11" i="12"/>
  <c r="BV77" i="9"/>
  <c r="BV76"/>
  <c r="BV75"/>
  <c r="BV74"/>
  <c r="BV73"/>
  <c r="BV72"/>
  <c r="BV71"/>
  <c r="BV70"/>
  <c r="BV69"/>
  <c r="BV68"/>
  <c r="BV67"/>
  <c r="BQ79"/>
  <c r="J11" i="12"/>
  <c r="B22" i="11"/>
  <c r="F87" i="38"/>
  <c r="F87" i="40"/>
  <c r="F87" i="39"/>
  <c r="F88" i="40"/>
  <c r="F88" i="39"/>
  <c r="F90"/>
  <c r="F91" i="38"/>
  <c r="F91" i="40"/>
  <c r="F91" i="39"/>
  <c r="F92" i="38"/>
  <c r="F92" i="40"/>
  <c r="F94"/>
  <c r="F94" i="39"/>
  <c r="F96" i="38"/>
  <c r="F96" i="40"/>
  <c r="F96" i="39"/>
  <c r="F97" i="40"/>
  <c r="F97" i="39"/>
  <c r="F98" i="38"/>
  <c r="F98" i="39"/>
  <c r="F86" i="38"/>
  <c r="F86" i="40"/>
  <c r="F86" i="39"/>
  <c r="F85" i="38"/>
  <c r="F85" i="40"/>
  <c r="F84"/>
  <c r="F84" i="39"/>
  <c r="F82" i="38"/>
  <c r="F82" i="40"/>
  <c r="F82" i="39"/>
  <c r="F81" i="40"/>
  <c r="F81" i="39"/>
  <c r="F79"/>
  <c r="F78" i="38"/>
  <c r="F78" i="40"/>
  <c r="F78" i="39"/>
  <c r="F77" i="38"/>
  <c r="F77" i="40"/>
  <c r="F76"/>
  <c r="F76" i="39"/>
  <c r="J36" i="14"/>
  <c r="J59"/>
  <c r="J75"/>
  <c r="J91"/>
  <c r="J109"/>
  <c r="C25" i="11"/>
  <c r="B25"/>
  <c r="Z5" i="3"/>
  <c r="I58" i="14"/>
  <c r="I35"/>
  <c r="C20" i="11"/>
  <c r="C18"/>
  <c r="BO79" i="9"/>
  <c r="I11" i="12"/>
  <c r="BV66" i="9"/>
  <c r="BV79"/>
  <c r="BP79"/>
  <c r="K11" i="12"/>
  <c r="C12" i="14"/>
  <c r="D4" i="12"/>
  <c r="E4" s="1"/>
  <c r="J47" i="14"/>
  <c r="J26"/>
  <c r="Z6" i="3"/>
  <c r="Z7"/>
  <c r="Z8"/>
  <c r="Z9"/>
  <c r="Z10"/>
  <c r="Z11"/>
  <c r="Z12"/>
  <c r="Z13"/>
  <c r="Z14"/>
  <c r="AA3"/>
  <c r="K87" i="40"/>
  <c r="AA4" i="3"/>
  <c r="K88" i="40"/>
  <c r="AA5" i="3"/>
  <c r="K89" i="40"/>
  <c r="AA6" i="3"/>
  <c r="K90" i="40"/>
  <c r="AA7" i="3"/>
  <c r="K91" i="40"/>
  <c r="AA8" i="3"/>
  <c r="K92" i="40"/>
  <c r="AA9" i="3"/>
  <c r="K93" i="40"/>
  <c r="AA10" i="3"/>
  <c r="K94" i="40"/>
  <c r="AA11" i="3"/>
  <c r="K95" i="40"/>
  <c r="AA12" i="3"/>
  <c r="K96" i="40"/>
  <c r="AA13" i="3"/>
  <c r="K97" i="40"/>
  <c r="AA14" i="3"/>
  <c r="K98" i="40"/>
  <c r="E27" i="11"/>
  <c r="DB34" i="9"/>
  <c r="DB16"/>
  <c r="DB41"/>
  <c r="DE16"/>
  <c r="DE34"/>
  <c r="DE51" s="1"/>
  <c r="DE41"/>
  <c r="CS42"/>
  <c r="CS16"/>
  <c r="O27" i="4"/>
  <c r="H99" i="5"/>
  <c r="F100" i="40" s="1"/>
  <c r="O28" i="4"/>
  <c r="H100" i="5"/>
  <c r="O29" i="4"/>
  <c r="H101" i="5"/>
  <c r="H102"/>
  <c r="O31" i="4"/>
  <c r="H103" i="5"/>
  <c r="O32" i="4"/>
  <c r="H104" i="5"/>
  <c r="O33" i="4"/>
  <c r="H105" i="5"/>
  <c r="O34" i="4"/>
  <c r="H106" i="5"/>
  <c r="O35" i="4"/>
  <c r="H107" i="5"/>
  <c r="F108" i="40" s="1"/>
  <c r="O36" i="4"/>
  <c r="H108" i="5"/>
  <c r="H109"/>
  <c r="O26" i="4"/>
  <c r="H98" i="5"/>
  <c r="F99" i="39" s="1"/>
  <c r="H110" i="5"/>
  <c r="P27" i="4"/>
  <c r="H111" i="5"/>
  <c r="P28" i="4"/>
  <c r="H112" i="5"/>
  <c r="P29" i="4"/>
  <c r="H113" i="5"/>
  <c r="P30" i="4"/>
  <c r="H114" i="5"/>
  <c r="P31" i="4"/>
  <c r="H115" i="5"/>
  <c r="P32" i="4"/>
  <c r="H116" i="5"/>
  <c r="P33" i="4"/>
  <c r="H117" i="5"/>
  <c r="F118" i="39" s="1"/>
  <c r="P34" i="4"/>
  <c r="H118" i="5"/>
  <c r="P35" i="4"/>
  <c r="H119" i="5"/>
  <c r="P36" i="4"/>
  <c r="H120" i="5"/>
  <c r="F121" i="38"/>
  <c r="F121" i="40"/>
  <c r="F121" i="39"/>
  <c r="F120"/>
  <c r="F119" i="38"/>
  <c r="F119" i="40"/>
  <c r="F119" i="39"/>
  <c r="F118" i="38"/>
  <c r="F118" i="40"/>
  <c r="F117" i="38"/>
  <c r="F117" i="40"/>
  <c r="F117" i="39"/>
  <c r="F116" i="40"/>
  <c r="F115" i="38"/>
  <c r="F115" i="40"/>
  <c r="F115" i="39"/>
  <c r="F113" i="38"/>
  <c r="F113" i="40"/>
  <c r="F113" i="39"/>
  <c r="F112"/>
  <c r="F111" i="38"/>
  <c r="F111" i="40"/>
  <c r="F111" i="39"/>
  <c r="F99" i="38"/>
  <c r="F99" i="40"/>
  <c r="F109" i="38"/>
  <c r="F109" i="40"/>
  <c r="F109" i="39"/>
  <c r="F108" i="38"/>
  <c r="F107"/>
  <c r="F107" i="40"/>
  <c r="F107" i="39"/>
  <c r="F105" i="38"/>
  <c r="F105" i="40"/>
  <c r="F105" i="39"/>
  <c r="F103" i="38"/>
  <c r="F103" i="40"/>
  <c r="F103" i="39"/>
  <c r="F102" i="38"/>
  <c r="F102" i="40"/>
  <c r="F102" i="39"/>
  <c r="F100" i="38"/>
  <c r="F100" i="39"/>
  <c r="P37" i="4"/>
  <c r="H121" i="5"/>
  <c r="Q26" i="4"/>
  <c r="H122" i="5"/>
  <c r="F123" i="38"/>
  <c r="F123" i="40"/>
  <c r="F123" i="39"/>
  <c r="Q27" i="4"/>
  <c r="H123" i="5"/>
  <c r="Q28" i="4"/>
  <c r="H124" i="5"/>
  <c r="Q29" i="4"/>
  <c r="H125" i="5"/>
  <c r="H126"/>
  <c r="F127" i="40"/>
  <c r="Q31" i="4"/>
  <c r="H127" i="5"/>
  <c r="F128" i="38"/>
  <c r="F128" i="40"/>
  <c r="F128" i="39"/>
  <c r="Q32" i="4"/>
  <c r="H128" i="5"/>
  <c r="Q33" i="4"/>
  <c r="H129" i="5"/>
  <c r="Q34" i="4"/>
  <c r="H130" i="5"/>
  <c r="F131" i="40" s="1"/>
  <c r="F131" i="38"/>
  <c r="F131" i="39"/>
  <c r="Q35" i="4"/>
  <c r="H131" i="5"/>
  <c r="F132" i="38" s="1"/>
  <c r="F132" i="40"/>
  <c r="F132" i="39"/>
  <c r="Q36" i="4"/>
  <c r="H132" i="5"/>
  <c r="F133" i="38"/>
  <c r="F133" i="40"/>
  <c r="F133" i="39"/>
  <c r="R12" i="4"/>
  <c r="R13"/>
  <c r="R14"/>
  <c r="R15"/>
  <c r="R16"/>
  <c r="R17"/>
  <c r="R18"/>
  <c r="R19"/>
  <c r="R20"/>
  <c r="R21"/>
  <c r="R22"/>
  <c r="Q37"/>
  <c r="H133" i="5"/>
  <c r="F134" i="38"/>
  <c r="F134" i="40"/>
  <c r="F134" i="39"/>
  <c r="R26" i="4"/>
  <c r="H134" i="5"/>
  <c r="F135" i="39" s="1"/>
  <c r="R27" i="4"/>
  <c r="H135" i="5"/>
  <c r="F136" i="40" s="1"/>
  <c r="R28" i="4"/>
  <c r="H136" i="5"/>
  <c r="F137" i="38" s="1"/>
  <c r="R29" i="4"/>
  <c r="H137" i="5"/>
  <c r="F138" i="38"/>
  <c r="F138" i="40"/>
  <c r="F138" i="39"/>
  <c r="R30" i="4"/>
  <c r="H138" i="5"/>
  <c r="F139" i="39" s="1"/>
  <c r="R31" i="4"/>
  <c r="H139" i="5"/>
  <c r="F140" i="40" s="1"/>
  <c r="R32" i="4"/>
  <c r="H140" i="5"/>
  <c r="F141" i="38" s="1"/>
  <c r="R33" i="4"/>
  <c r="H141" i="5"/>
  <c r="F142" i="38"/>
  <c r="F142" i="40"/>
  <c r="F142" i="39"/>
  <c r="R34" i="4"/>
  <c r="H142" i="5"/>
  <c r="F143" i="39" s="1"/>
  <c r="F143" i="40"/>
  <c r="R35" i="4"/>
  <c r="H143" i="5"/>
  <c r="F144" i="40" s="1"/>
  <c r="F144" i="39"/>
  <c r="R36" i="4"/>
  <c r="H144" i="5"/>
  <c r="F145" i="38" s="1"/>
  <c r="R37" i="4"/>
  <c r="H145" i="5"/>
  <c r="F146" i="39" s="1"/>
  <c r="F145" i="40"/>
  <c r="F145" i="39"/>
  <c r="I32" i="25"/>
  <c r="C32"/>
  <c r="E32"/>
  <c r="CT7" i="9"/>
  <c r="C115" i="40"/>
  <c r="M58" i="12"/>
  <c r="L58"/>
  <c r="O58"/>
  <c r="N58"/>
  <c r="K58"/>
  <c r="J58"/>
  <c r="BG16" i="9"/>
  <c r="BH4"/>
  <c r="BH14"/>
  <c r="BM14"/>
  <c r="BH13"/>
  <c r="BM13"/>
  <c r="BH12"/>
  <c r="BM12"/>
  <c r="BH11"/>
  <c r="BM11"/>
  <c r="BH10"/>
  <c r="BM10"/>
  <c r="BH9"/>
  <c r="BM9"/>
  <c r="BH8"/>
  <c r="BM8"/>
  <c r="BH7"/>
  <c r="BM7"/>
  <c r="BH6"/>
  <c r="BM6"/>
  <c r="BH5"/>
  <c r="BH16"/>
  <c r="BG23"/>
  <c r="BM23"/>
  <c r="BH23"/>
  <c r="BH40"/>
  <c r="BG24"/>
  <c r="BM24"/>
  <c r="BH24"/>
  <c r="BH41"/>
  <c r="BG25"/>
  <c r="BM25"/>
  <c r="BH25"/>
  <c r="BH42"/>
  <c r="BG26"/>
  <c r="BM26"/>
  <c r="BH26"/>
  <c r="BH43"/>
  <c r="BG27"/>
  <c r="BM27"/>
  <c r="BH27"/>
  <c r="BH44"/>
  <c r="BG28"/>
  <c r="BM28"/>
  <c r="BH28"/>
  <c r="BH45"/>
  <c r="BG29"/>
  <c r="BM29"/>
  <c r="BH29"/>
  <c r="BH46"/>
  <c r="BG30"/>
  <c r="BM30"/>
  <c r="BH30"/>
  <c r="BH47"/>
  <c r="BG31"/>
  <c r="BM31"/>
  <c r="BH31"/>
  <c r="BH48"/>
  <c r="BG32"/>
  <c r="BM32"/>
  <c r="BH32"/>
  <c r="BH49"/>
  <c r="BM4"/>
  <c r="BG34"/>
  <c r="BG51"/>
  <c r="BG39"/>
  <c r="BH22"/>
  <c r="BM41"/>
  <c r="BM42"/>
  <c r="BM43"/>
  <c r="BM44"/>
  <c r="BM45"/>
  <c r="BM46"/>
  <c r="BM47"/>
  <c r="BM48"/>
  <c r="BM49"/>
  <c r="BH39"/>
  <c r="BM5"/>
  <c r="BG40"/>
  <c r="BG41"/>
  <c r="BG42"/>
  <c r="BG43"/>
  <c r="BG44"/>
  <c r="BG45"/>
  <c r="BG46"/>
  <c r="BG47"/>
  <c r="BG48"/>
  <c r="BG49"/>
  <c r="BM40"/>
  <c r="BM16"/>
  <c r="BH34"/>
  <c r="BH51"/>
  <c r="BM22"/>
  <c r="BM34"/>
  <c r="BM60"/>
  <c r="BM62"/>
  <c r="BM39"/>
  <c r="BM51"/>
  <c r="BL77"/>
  <c r="BK77"/>
  <c r="BJ77"/>
  <c r="BI77"/>
  <c r="BL76"/>
  <c r="BK76"/>
  <c r="BJ76"/>
  <c r="BI76"/>
  <c r="BL75"/>
  <c r="BK75"/>
  <c r="BJ75"/>
  <c r="BI75"/>
  <c r="BL74"/>
  <c r="BK74"/>
  <c r="BJ74"/>
  <c r="BI74"/>
  <c r="BL73"/>
  <c r="BK73"/>
  <c r="BJ73"/>
  <c r="BI73"/>
  <c r="BL72"/>
  <c r="BK72"/>
  <c r="BJ72"/>
  <c r="BI72"/>
  <c r="BL71"/>
  <c r="BK71"/>
  <c r="BJ71"/>
  <c r="BI71"/>
  <c r="BL70"/>
  <c r="BK70"/>
  <c r="BJ70"/>
  <c r="BI70"/>
  <c r="BL69"/>
  <c r="BK69"/>
  <c r="BJ69"/>
  <c r="BI69"/>
  <c r="BL68"/>
  <c r="BK68"/>
  <c r="BJ68"/>
  <c r="BI68"/>
  <c r="BL67"/>
  <c r="BK67"/>
  <c r="BJ67"/>
  <c r="BI67"/>
  <c r="BH68"/>
  <c r="BH69"/>
  <c r="BH70"/>
  <c r="BH71"/>
  <c r="BH72"/>
  <c r="BH73"/>
  <c r="BH74"/>
  <c r="BH75"/>
  <c r="BH76"/>
  <c r="BH77"/>
  <c r="BF67"/>
  <c r="BF68"/>
  <c r="BF69"/>
  <c r="BF70"/>
  <c r="BF71"/>
  <c r="BF72"/>
  <c r="BF73"/>
  <c r="BF74"/>
  <c r="BF75"/>
  <c r="BF76"/>
  <c r="BF77"/>
  <c r="BG66"/>
  <c r="BJ66"/>
  <c r="BJ79"/>
  <c r="BH66"/>
  <c r="BK66"/>
  <c r="BK79"/>
  <c r="BL66"/>
  <c r="BL79"/>
  <c r="BF66"/>
  <c r="BI66"/>
  <c r="BI79"/>
  <c r="BG67"/>
  <c r="BG77"/>
  <c r="BG76"/>
  <c r="BG75"/>
  <c r="BG74"/>
  <c r="BG73"/>
  <c r="BG72"/>
  <c r="BG71"/>
  <c r="BG70"/>
  <c r="BG69"/>
  <c r="BG68"/>
  <c r="BH67"/>
  <c r="I59" i="14"/>
  <c r="L10" i="12"/>
  <c r="BM66" i="9"/>
  <c r="BF79"/>
  <c r="I109" i="14"/>
  <c r="O10" i="12"/>
  <c r="E24" i="11" s="1"/>
  <c r="I91" i="14"/>
  <c r="I75"/>
  <c r="M10" i="12"/>
  <c r="C24" i="11" s="1"/>
  <c r="BH79" i="9"/>
  <c r="BG79"/>
  <c r="BM77"/>
  <c r="BM76"/>
  <c r="BM75"/>
  <c r="BM74"/>
  <c r="BM73"/>
  <c r="BM72"/>
  <c r="BM71"/>
  <c r="BM70"/>
  <c r="BM69"/>
  <c r="BM68"/>
  <c r="BM67"/>
  <c r="I47" i="14"/>
  <c r="K10" i="12"/>
  <c r="I36" i="14"/>
  <c r="J10" i="12"/>
  <c r="I26" i="14"/>
  <c r="I10" i="12"/>
  <c r="BM79" i="9"/>
  <c r="F6" i="11"/>
  <c r="F8"/>
  <c r="F11"/>
  <c r="I99" i="3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J10" i="38"/>
  <c r="K10" s="1"/>
  <c r="L10" s="1"/>
  <c r="D3" i="39"/>
  <c r="D4"/>
  <c r="E4"/>
  <c r="D5"/>
  <c r="D6"/>
  <c r="E6"/>
  <c r="D7"/>
  <c r="D8"/>
  <c r="E8"/>
  <c r="D9"/>
  <c r="D10"/>
  <c r="E10"/>
  <c r="D11"/>
  <c r="D12"/>
  <c r="E12"/>
  <c r="D13"/>
  <c r="D14"/>
  <c r="E14"/>
  <c r="D15"/>
  <c r="D16"/>
  <c r="E16"/>
  <c r="D17"/>
  <c r="D18"/>
  <c r="E18"/>
  <c r="D19"/>
  <c r="D20"/>
  <c r="E20"/>
  <c r="D21"/>
  <c r="D22"/>
  <c r="E22"/>
  <c r="D23"/>
  <c r="D24"/>
  <c r="E24"/>
  <c r="D25"/>
  <c r="D26"/>
  <c r="E26"/>
  <c r="D27"/>
  <c r="D28"/>
  <c r="E28"/>
  <c r="D29"/>
  <c r="D30"/>
  <c r="E30"/>
  <c r="D31"/>
  <c r="D32"/>
  <c r="E32"/>
  <c r="D33"/>
  <c r="D34"/>
  <c r="E34"/>
  <c r="D35"/>
  <c r="D36"/>
  <c r="E36"/>
  <c r="D37"/>
  <c r="D38"/>
  <c r="E38"/>
  <c r="D39"/>
  <c r="D40"/>
  <c r="E40"/>
  <c r="D41"/>
  <c r="D42"/>
  <c r="E42"/>
  <c r="D43"/>
  <c r="D44"/>
  <c r="E44"/>
  <c r="D45"/>
  <c r="D46"/>
  <c r="E46"/>
  <c r="D47"/>
  <c r="D48"/>
  <c r="E48"/>
  <c r="D49"/>
  <c r="D50"/>
  <c r="E50"/>
  <c r="D51"/>
  <c r="D52"/>
  <c r="E52"/>
  <c r="D53"/>
  <c r="D54"/>
  <c r="E54"/>
  <c r="D55"/>
  <c r="D56"/>
  <c r="E56"/>
  <c r="D57"/>
  <c r="D58"/>
  <c r="E58"/>
  <c r="D59"/>
  <c r="D60"/>
  <c r="E60"/>
  <c r="D61"/>
  <c r="E61"/>
  <c r="D62"/>
  <c r="E62"/>
  <c r="D63"/>
  <c r="D64"/>
  <c r="E64"/>
  <c r="D65"/>
  <c r="D66"/>
  <c r="E66"/>
  <c r="D67"/>
  <c r="D68"/>
  <c r="E68"/>
  <c r="D69"/>
  <c r="E69"/>
  <c r="D70"/>
  <c r="E70"/>
  <c r="D71"/>
  <c r="E71"/>
  <c r="D72"/>
  <c r="E72"/>
  <c r="D73"/>
  <c r="D74"/>
  <c r="E74"/>
  <c r="D75"/>
  <c r="D76"/>
  <c r="E76"/>
  <c r="D77"/>
  <c r="E77"/>
  <c r="D78"/>
  <c r="E78"/>
  <c r="D79"/>
  <c r="E79"/>
  <c r="D80"/>
  <c r="E80"/>
  <c r="D81"/>
  <c r="D82"/>
  <c r="E82"/>
  <c r="D83"/>
  <c r="D84"/>
  <c r="D85"/>
  <c r="D86"/>
  <c r="E86"/>
  <c r="D87"/>
  <c r="D88"/>
  <c r="E88"/>
  <c r="D89"/>
  <c r="D90"/>
  <c r="E90"/>
  <c r="D91"/>
  <c r="D92"/>
  <c r="D93"/>
  <c r="D94"/>
  <c r="E94"/>
  <c r="D95"/>
  <c r="D96"/>
  <c r="E96"/>
  <c r="D97"/>
  <c r="D98"/>
  <c r="E98"/>
  <c r="D99"/>
  <c r="E99"/>
  <c r="D100"/>
  <c r="D101"/>
  <c r="D102"/>
  <c r="E102"/>
  <c r="D103"/>
  <c r="D104"/>
  <c r="E104"/>
  <c r="D105"/>
  <c r="D106"/>
  <c r="E106"/>
  <c r="D107"/>
  <c r="D108"/>
  <c r="E108"/>
  <c r="D109"/>
  <c r="E109"/>
  <c r="D110"/>
  <c r="E110"/>
  <c r="AB3" i="3"/>
  <c r="C101" i="39"/>
  <c r="C102"/>
  <c r="C110"/>
  <c r="C97" i="40"/>
  <c r="C98"/>
  <c r="C106"/>
  <c r="C110"/>
  <c r="C118" i="39"/>
  <c r="C118" i="40"/>
  <c r="C112"/>
  <c r="C111"/>
  <c r="C93" i="39"/>
  <c r="C77"/>
  <c r="C78"/>
  <c r="C85"/>
  <c r="C86"/>
  <c r="C81" i="40"/>
  <c r="C82"/>
  <c r="C90"/>
  <c r="C80" i="38"/>
  <c r="C108"/>
  <c r="C79" i="39"/>
  <c r="C108" i="40"/>
  <c r="C75" i="38"/>
  <c r="C91"/>
  <c r="C113" i="40"/>
  <c r="C76" i="39"/>
  <c r="C115"/>
  <c r="C117" i="40"/>
  <c r="C115" i="38"/>
  <c r="C76"/>
  <c r="C117"/>
  <c r="C75" i="40"/>
  <c r="C79"/>
  <c r="C83"/>
  <c r="C91"/>
  <c r="C95"/>
  <c r="C99"/>
  <c r="C79" i="38"/>
  <c r="C95"/>
  <c r="C80" i="39"/>
  <c r="C111" i="38"/>
  <c r="S117" i="6"/>
  <c r="C112" i="39"/>
  <c r="C114" i="40"/>
  <c r="C96"/>
  <c r="C104"/>
  <c r="C113" i="39"/>
  <c r="C104" i="38"/>
  <c r="C83"/>
  <c r="C99"/>
  <c r="C114" i="39"/>
  <c r="C156" i="38"/>
  <c r="C153" i="40"/>
  <c r="C155" i="38"/>
  <c r="F6" i="14" s="1"/>
  <c r="C155" i="40"/>
  <c r="C157" i="38"/>
  <c r="H6" i="14" s="1"/>
  <c r="C158" i="40"/>
  <c r="C156"/>
  <c r="C153" i="39"/>
  <c r="C157"/>
  <c r="C154"/>
  <c r="C155"/>
  <c r="CS34" i="9"/>
  <c r="L14" i="12"/>
  <c r="CS51" i="9"/>
  <c r="D134" i="40"/>
  <c r="D134" i="38"/>
  <c r="D146" s="1"/>
  <c r="D111" i="40"/>
  <c r="D122"/>
  <c r="D122" i="39"/>
  <c r="D121" i="40"/>
  <c r="D120"/>
  <c r="D120" i="39"/>
  <c r="D119" i="40"/>
  <c r="D118"/>
  <c r="D118" i="39"/>
  <c r="D117" i="40"/>
  <c r="D116"/>
  <c r="D116" i="39"/>
  <c r="D115" i="40"/>
  <c r="D114"/>
  <c r="D114" i="39"/>
  <c r="D113" i="40"/>
  <c r="D112"/>
  <c r="D112" i="39"/>
  <c r="E111" i="40"/>
  <c r="E111" i="39"/>
  <c r="E122" i="40"/>
  <c r="E122" i="39"/>
  <c r="E120" i="40"/>
  <c r="E119"/>
  <c r="E119" i="39"/>
  <c r="E118" i="40"/>
  <c r="E118" i="39"/>
  <c r="E116"/>
  <c r="E115" i="40"/>
  <c r="E115" i="39"/>
  <c r="E114" i="40"/>
  <c r="E114" i="39"/>
  <c r="E113" i="40"/>
  <c r="D123"/>
  <c r="D135" s="1"/>
  <c r="K99"/>
  <c r="AB4" i="3"/>
  <c r="G6" i="14"/>
  <c r="C8" i="12"/>
  <c r="B28" i="11"/>
  <c r="D146" i="40"/>
  <c r="K100"/>
  <c r="AB5" i="3"/>
  <c r="K101" i="40"/>
  <c r="AB6" i="3"/>
  <c r="K102" i="40"/>
  <c r="AB7" i="3"/>
  <c r="K103" i="40"/>
  <c r="AB8" i="3"/>
  <c r="K104" i="40"/>
  <c r="AB9" i="3"/>
  <c r="K105" i="40"/>
  <c r="AB10" i="3"/>
  <c r="DC45" i="9"/>
  <c r="DF45"/>
  <c r="DC38"/>
  <c r="DF38"/>
  <c r="DC39"/>
  <c r="DF39"/>
  <c r="DF41"/>
  <c r="DC41"/>
  <c r="DF40"/>
  <c r="DC40"/>
  <c r="DF44"/>
  <c r="DC44"/>
  <c r="DF43"/>
  <c r="DC43"/>
  <c r="DC42"/>
  <c r="DF42"/>
  <c r="K106" i="40"/>
  <c r="AB11" i="3"/>
  <c r="DC46" i="9"/>
  <c r="DF46"/>
  <c r="K107" i="40"/>
  <c r="AB12" i="3"/>
  <c r="K108" i="40"/>
  <c r="AB13" i="3"/>
  <c r="DF48" i="9"/>
  <c r="DC48"/>
  <c r="DC47"/>
  <c r="K109" i="40"/>
  <c r="AB14" i="3"/>
  <c r="DF47" i="9"/>
  <c r="DF34"/>
  <c r="DF60" s="1"/>
  <c r="DF62" s="1"/>
  <c r="DC34"/>
  <c r="K110" i="40"/>
  <c r="AC3" i="3"/>
  <c r="DC49" i="9"/>
  <c r="DC16"/>
  <c r="DC51" s="1"/>
  <c r="K111" i="40"/>
  <c r="AC4" i="3"/>
  <c r="DF49" i="9"/>
  <c r="DF16"/>
  <c r="DF51"/>
  <c r="K112" i="40"/>
  <c r="AC5" i="3"/>
  <c r="K113" i="40"/>
  <c r="AC6" i="3"/>
  <c r="K114" i="40"/>
  <c r="AC7" i="3"/>
  <c r="K115" i="40"/>
  <c r="AC8" i="3"/>
  <c r="K116" i="40"/>
  <c r="AC9" i="3"/>
  <c r="K117" i="40"/>
  <c r="AC10" i="3"/>
  <c r="K118" i="40"/>
  <c r="AC11" i="3"/>
  <c r="K119" i="40"/>
  <c r="AC12" i="3"/>
  <c r="K120" i="40"/>
  <c r="AC13" i="3"/>
  <c r="K121" i="40"/>
  <c r="AC14" i="3"/>
  <c r="K122" i="40"/>
  <c r="AD3" i="3"/>
  <c r="K123" i="40"/>
  <c r="AD4" i="3"/>
  <c r="K124" i="40"/>
  <c r="AD5" i="3"/>
  <c r="K125" i="40"/>
  <c r="AD6" i="3"/>
  <c r="K126" i="40"/>
  <c r="AD7" i="3"/>
  <c r="CU48" i="9"/>
  <c r="K127" i="40"/>
  <c r="AD8" i="3"/>
  <c r="K128" i="40"/>
  <c r="AD9" i="3"/>
  <c r="K129" i="40"/>
  <c r="AD10" i="3"/>
  <c r="K130" i="40"/>
  <c r="AD11" i="3"/>
  <c r="CU34" i="9"/>
  <c r="K131" i="40"/>
  <c r="AD12" i="3"/>
  <c r="CU49" i="9"/>
  <c r="CU16"/>
  <c r="CU51"/>
  <c r="K132" i="40"/>
  <c r="AD13" i="3"/>
  <c r="K133" i="40"/>
  <c r="AD14" i="3"/>
  <c r="K134" i="40"/>
  <c r="AE3" i="3"/>
  <c r="K135" i="40"/>
  <c r="AE4" i="3"/>
  <c r="K136" i="40"/>
  <c r="AE5" i="3"/>
  <c r="K137" i="40"/>
  <c r="AE6" i="3"/>
  <c r="K138" i="40"/>
  <c r="AE7" i="3"/>
  <c r="K139" i="40"/>
  <c r="AE8" i="3"/>
  <c r="K140" i="40"/>
  <c r="AE9" i="3"/>
  <c r="K141" i="40"/>
  <c r="AE10" i="3"/>
  <c r="K142" i="40"/>
  <c r="AE11" i="3"/>
  <c r="K143" i="40"/>
  <c r="AE12" i="3"/>
  <c r="K144" i="40"/>
  <c r="AE13" i="3"/>
  <c r="K145" i="40"/>
  <c r="AE14" i="3"/>
  <c r="K146" i="40"/>
  <c r="CN47" i="9" l="1"/>
  <c r="I6" i="14"/>
  <c r="C10" i="12"/>
  <c r="CE16" i="9"/>
  <c r="CE42"/>
  <c r="O115" i="46"/>
  <c r="O122" s="1"/>
  <c r="O111"/>
  <c r="D30" i="10"/>
  <c r="M35" i="46"/>
  <c r="M186" s="1"/>
  <c r="CT23" i="9"/>
  <c r="CW23" s="1"/>
  <c r="CW5"/>
  <c r="CW40" s="1"/>
  <c r="F130" i="40"/>
  <c r="F130" i="39"/>
  <c r="J130" s="1"/>
  <c r="K130" s="1"/>
  <c r="F130" i="38"/>
  <c r="F101"/>
  <c r="F101" i="40"/>
  <c r="F54"/>
  <c r="L54" s="1"/>
  <c r="M54" s="1"/>
  <c r="N54" s="1"/>
  <c r="F54" i="38"/>
  <c r="E85" i="40"/>
  <c r="E85" i="39"/>
  <c r="E85" i="38"/>
  <c r="E101" i="40"/>
  <c r="E101" i="39"/>
  <c r="E101" i="38"/>
  <c r="E113"/>
  <c r="E113" i="39"/>
  <c r="N74" i="46"/>
  <c r="N74" i="14"/>
  <c r="I38" i="46"/>
  <c r="I37"/>
  <c r="I40" s="1"/>
  <c r="CK21" i="9"/>
  <c r="CK38" s="1"/>
  <c r="C88" i="38"/>
  <c r="C88" i="39"/>
  <c r="F126" i="38"/>
  <c r="F126" i="39"/>
  <c r="F126" i="40"/>
  <c r="F124" i="39"/>
  <c r="F124" i="40"/>
  <c r="F124" i="38"/>
  <c r="F122"/>
  <c r="F122" i="39"/>
  <c r="F120" i="38"/>
  <c r="F120" i="40"/>
  <c r="F116" i="38"/>
  <c r="J116" s="1"/>
  <c r="K116" s="1"/>
  <c r="L116" s="1"/>
  <c r="F116" i="39"/>
  <c r="F114"/>
  <c r="F114" i="40"/>
  <c r="F114" i="38"/>
  <c r="F112"/>
  <c r="F112" i="40"/>
  <c r="F104"/>
  <c r="F104" i="38"/>
  <c r="F95" i="40"/>
  <c r="F95" i="39"/>
  <c r="F95" i="38"/>
  <c r="F75" i="40"/>
  <c r="L75" s="1"/>
  <c r="F75" i="39"/>
  <c r="F75" i="38"/>
  <c r="F29" i="40"/>
  <c r="F29" i="39"/>
  <c r="F65" i="40"/>
  <c r="F65" i="39"/>
  <c r="F19" i="40"/>
  <c r="F19" i="38"/>
  <c r="F19" i="39"/>
  <c r="F21" i="40"/>
  <c r="F21" i="39"/>
  <c r="F21" i="38"/>
  <c r="F45" i="40"/>
  <c r="F45" i="39"/>
  <c r="F45" i="38"/>
  <c r="F59" i="40"/>
  <c r="L59" s="1"/>
  <c r="M59" s="1"/>
  <c r="N59" s="1"/>
  <c r="F59" i="38"/>
  <c r="F37" i="40"/>
  <c r="F37" i="39"/>
  <c r="F73" i="40"/>
  <c r="F73" i="39"/>
  <c r="CW24" i="9"/>
  <c r="CW41" s="1"/>
  <c r="CT41"/>
  <c r="D9" i="40"/>
  <c r="L9" s="1"/>
  <c r="D9" i="38"/>
  <c r="D5" i="40"/>
  <c r="D5" i="38"/>
  <c r="D121"/>
  <c r="J121" s="1"/>
  <c r="D121" i="39"/>
  <c r="D117" i="38"/>
  <c r="D117" i="39"/>
  <c r="D113" i="38"/>
  <c r="J113" s="1"/>
  <c r="K113" s="1"/>
  <c r="L113" s="1"/>
  <c r="D113" i="39"/>
  <c r="E13" i="40"/>
  <c r="E13" i="39"/>
  <c r="E9" i="40"/>
  <c r="E9" i="39"/>
  <c r="E5" i="40"/>
  <c r="E5" i="39"/>
  <c r="E25" i="40"/>
  <c r="E25" i="39"/>
  <c r="E21" i="40"/>
  <c r="E21" i="39"/>
  <c r="E17" i="40"/>
  <c r="L17" s="1"/>
  <c r="E17" i="39"/>
  <c r="E37" i="40"/>
  <c r="E37" i="39"/>
  <c r="E33" i="40"/>
  <c r="L33" s="1"/>
  <c r="E33" i="39"/>
  <c r="E29" i="40"/>
  <c r="E29" i="39"/>
  <c r="E49" i="40"/>
  <c r="L49" s="1"/>
  <c r="M49" s="1"/>
  <c r="N49" s="1"/>
  <c r="E49" i="39"/>
  <c r="E45" i="40"/>
  <c r="E45" i="39"/>
  <c r="E41" i="40"/>
  <c r="L41" s="1"/>
  <c r="M41" s="1"/>
  <c r="N41" s="1"/>
  <c r="E41" i="39"/>
  <c r="E59" i="38"/>
  <c r="E59" i="39"/>
  <c r="E57" i="40"/>
  <c r="E57" i="39"/>
  <c r="E67" i="38"/>
  <c r="E67" i="39"/>
  <c r="E65" i="40"/>
  <c r="L65" s="1"/>
  <c r="E65" i="39"/>
  <c r="E87" i="38"/>
  <c r="E87" i="39"/>
  <c r="E97" i="40"/>
  <c r="L97" s="1"/>
  <c r="M97" s="1"/>
  <c r="N97" s="1"/>
  <c r="E97" i="39"/>
  <c r="E107" i="38"/>
  <c r="E107" i="39"/>
  <c r="E105" i="40"/>
  <c r="E105" i="39"/>
  <c r="P15" i="6"/>
  <c r="C76" i="40"/>
  <c r="C86"/>
  <c r="C159" s="1"/>
  <c r="C86" i="38"/>
  <c r="F136"/>
  <c r="F11"/>
  <c r="F34" i="39"/>
  <c r="C84" i="38"/>
  <c r="F139"/>
  <c r="F136" i="39"/>
  <c r="J29" i="14"/>
  <c r="C158" i="39"/>
  <c r="C154" i="38"/>
  <c r="M108" i="14"/>
  <c r="CN32" i="9"/>
  <c r="CN49" s="1"/>
  <c r="CT40"/>
  <c r="F70" i="39"/>
  <c r="F34" i="40"/>
  <c r="L34" s="1"/>
  <c r="M34" s="1"/>
  <c r="N34" s="1"/>
  <c r="F3"/>
  <c r="F3" i="39"/>
  <c r="F3" i="38"/>
  <c r="E55"/>
  <c r="E55" i="39"/>
  <c r="E55" i="40"/>
  <c r="E75" i="38"/>
  <c r="E75" i="39"/>
  <c r="E75" i="40"/>
  <c r="E95" i="38"/>
  <c r="E95" i="39"/>
  <c r="E95" i="40"/>
  <c r="L95" s="1"/>
  <c r="I28" i="46"/>
  <c r="I27"/>
  <c r="I30" s="1"/>
  <c r="N63"/>
  <c r="N68" s="1"/>
  <c r="N61"/>
  <c r="J58" i="14"/>
  <c r="J58" i="46"/>
  <c r="CK22" i="9"/>
  <c r="CN22" s="1"/>
  <c r="CK39"/>
  <c r="CN4"/>
  <c r="CK30"/>
  <c r="CN30" s="1"/>
  <c r="CK47"/>
  <c r="CT25"/>
  <c r="CW7"/>
  <c r="F110" i="40"/>
  <c r="F110" i="38"/>
  <c r="F39" i="40"/>
  <c r="L39" s="1"/>
  <c r="F39" i="38"/>
  <c r="L21" i="12"/>
  <c r="B19" i="11"/>
  <c r="E53" i="40"/>
  <c r="L53" s="1"/>
  <c r="E53" i="39"/>
  <c r="E53" i="38"/>
  <c r="E117"/>
  <c r="E117" i="39"/>
  <c r="J117" s="1"/>
  <c r="N25" i="14"/>
  <c r="N25" i="46"/>
  <c r="M46"/>
  <c r="M46" i="14"/>
  <c r="M187" s="1"/>
  <c r="J77" i="46"/>
  <c r="CN7" i="9"/>
  <c r="CN42" s="1"/>
  <c r="CK42"/>
  <c r="CT22"/>
  <c r="CW4"/>
  <c r="B134" i="5"/>
  <c r="D123" i="38"/>
  <c r="D135" s="1"/>
  <c r="O63" i="46"/>
  <c r="O68" s="1"/>
  <c r="O61"/>
  <c r="F106" i="39"/>
  <c r="F106" i="40"/>
  <c r="F83"/>
  <c r="F83" i="39"/>
  <c r="F83" i="38"/>
  <c r="F129" i="39"/>
  <c r="J129" s="1"/>
  <c r="K129" s="1"/>
  <c r="F129" i="40"/>
  <c r="F129" i="38"/>
  <c r="F127"/>
  <c r="F127" i="39"/>
  <c r="J127" s="1"/>
  <c r="K127" s="1"/>
  <c r="F89" i="38"/>
  <c r="F89" i="39"/>
  <c r="F89" i="40"/>
  <c r="F93" i="38"/>
  <c r="F93" i="39"/>
  <c r="F93" i="40"/>
  <c r="F80" i="38"/>
  <c r="F80" i="39"/>
  <c r="F80" i="40"/>
  <c r="F52" i="38"/>
  <c r="F52" i="40"/>
  <c r="F52" i="39"/>
  <c r="F60" i="38"/>
  <c r="F60" i="40"/>
  <c r="C78"/>
  <c r="C78" i="38"/>
  <c r="S115" i="6"/>
  <c r="F146" i="38"/>
  <c r="F137" i="40"/>
  <c r="F135" i="38"/>
  <c r="H4" i="12"/>
  <c r="J22"/>
  <c r="F22" i="10"/>
  <c r="C9" i="12"/>
  <c r="E112" i="40"/>
  <c r="E117"/>
  <c r="E100" i="39"/>
  <c r="J64"/>
  <c r="K64" s="1"/>
  <c r="L64" s="1"/>
  <c r="F146" i="40"/>
  <c r="F141"/>
  <c r="F140" i="38"/>
  <c r="F137" i="39"/>
  <c r="F135" i="40"/>
  <c r="F101" i="39"/>
  <c r="F110"/>
  <c r="C7" i="12"/>
  <c r="E112" i="39"/>
  <c r="E116" i="40"/>
  <c r="C88"/>
  <c r="C159" i="38"/>
  <c r="J6" i="14" s="1"/>
  <c r="F144" i="38"/>
  <c r="F143"/>
  <c r="F141" i="39"/>
  <c r="F140"/>
  <c r="F139" i="40"/>
  <c r="F122"/>
  <c r="F104" i="39"/>
  <c r="F106" i="38"/>
  <c r="F108" i="39"/>
  <c r="F79" i="38"/>
  <c r="F90"/>
  <c r="F29"/>
  <c r="F65"/>
  <c r="F6"/>
  <c r="F37"/>
  <c r="F73"/>
  <c r="F9" i="11"/>
  <c r="K65" i="14"/>
  <c r="K70" s="1"/>
  <c r="CN3" i="9"/>
  <c r="CK16"/>
  <c r="CN45"/>
  <c r="CW9"/>
  <c r="CW44" s="1"/>
  <c r="CW45"/>
  <c r="D19" i="38"/>
  <c r="E59" i="40"/>
  <c r="E57" i="38"/>
  <c r="E67" i="40"/>
  <c r="E65" i="38"/>
  <c r="E87" i="40"/>
  <c r="E97" i="38"/>
  <c r="E107" i="40"/>
  <c r="E105" i="38"/>
  <c r="C90"/>
  <c r="F11" i="39"/>
  <c r="F18"/>
  <c r="F54"/>
  <c r="J54" s="1"/>
  <c r="K54" s="1"/>
  <c r="L54" s="1"/>
  <c r="F60"/>
  <c r="F18" i="40"/>
  <c r="F125"/>
  <c r="F125" i="39"/>
  <c r="J125" s="1"/>
  <c r="K125" s="1"/>
  <c r="F125" i="38"/>
  <c r="F67" i="40"/>
  <c r="F67" i="38"/>
  <c r="F67" i="39"/>
  <c r="J67" s="1"/>
  <c r="F47" i="40"/>
  <c r="F47" i="39"/>
  <c r="F14" i="40"/>
  <c r="F14" i="39"/>
  <c r="J14" s="1"/>
  <c r="K14" s="1"/>
  <c r="L14" s="1"/>
  <c r="F14" i="38"/>
  <c r="E103"/>
  <c r="E103" i="39"/>
  <c r="E103" i="40"/>
  <c r="K95" i="46"/>
  <c r="K100" s="1"/>
  <c r="M95"/>
  <c r="M100" s="1"/>
  <c r="M93"/>
  <c r="H28" i="10"/>
  <c r="I90" i="46"/>
  <c r="CK26" i="9"/>
  <c r="CN26" s="1"/>
  <c r="CN8"/>
  <c r="CN43" s="1"/>
  <c r="F4" i="38"/>
  <c r="F4" i="40"/>
  <c r="F4" i="39"/>
  <c r="J4" s="1"/>
  <c r="K4" s="1"/>
  <c r="L4" s="1"/>
  <c r="F44" i="40"/>
  <c r="F44" i="38"/>
  <c r="F12"/>
  <c r="F12" i="40"/>
  <c r="L12" s="1"/>
  <c r="M12" s="1"/>
  <c r="N12" s="1"/>
  <c r="F74" i="38"/>
  <c r="F74" i="39"/>
  <c r="E93" i="40"/>
  <c r="E93" i="39"/>
  <c r="J93" s="1"/>
  <c r="E93" i="38"/>
  <c r="E121"/>
  <c r="E121" i="39"/>
  <c r="M187" i="46"/>
  <c r="K115"/>
  <c r="K122" s="1"/>
  <c r="M115"/>
  <c r="M122" s="1"/>
  <c r="M111"/>
  <c r="I108"/>
  <c r="J115" s="1"/>
  <c r="J122" s="1"/>
  <c r="I108" i="14"/>
  <c r="CB25" i="9"/>
  <c r="CE25" s="1"/>
  <c r="CB42"/>
  <c r="CB16"/>
  <c r="CN11"/>
  <c r="CN46" s="1"/>
  <c r="CK46"/>
  <c r="C84" i="40"/>
  <c r="S121" i="6"/>
  <c r="CT44" i="9"/>
  <c r="E120" i="39"/>
  <c r="E92"/>
  <c r="E84"/>
  <c r="J84" s="1"/>
  <c r="K84" s="1"/>
  <c r="L84" s="1"/>
  <c r="F70" i="38"/>
  <c r="C19" i="11"/>
  <c r="F41" i="40"/>
  <c r="F41" i="39"/>
  <c r="J41" s="1"/>
  <c r="F41" i="38"/>
  <c r="F33" i="40"/>
  <c r="F33" i="39"/>
  <c r="F69" i="40"/>
  <c r="L69" s="1"/>
  <c r="M69" s="1"/>
  <c r="N69" s="1"/>
  <c r="F69" i="39"/>
  <c r="F23" i="40"/>
  <c r="F23" i="38"/>
  <c r="F49" i="40"/>
  <c r="F49" i="39"/>
  <c r="F49" i="38"/>
  <c r="CT26" i="9"/>
  <c r="CW26" s="1"/>
  <c r="CW43" s="1"/>
  <c r="CT43"/>
  <c r="K28" i="46"/>
  <c r="K31"/>
  <c r="M28"/>
  <c r="M31" s="1"/>
  <c r="M27"/>
  <c r="N186"/>
  <c r="N93"/>
  <c r="N95"/>
  <c r="N100" s="1"/>
  <c r="N38"/>
  <c r="N41" s="1"/>
  <c r="N37"/>
  <c r="K63"/>
  <c r="K68" s="1"/>
  <c r="M63"/>
  <c r="M68" s="1"/>
  <c r="M61"/>
  <c r="J95"/>
  <c r="J100" s="1"/>
  <c r="J93"/>
  <c r="J186"/>
  <c r="J38"/>
  <c r="J41" s="1"/>
  <c r="J37"/>
  <c r="J40" s="1"/>
  <c r="J43" s="1"/>
  <c r="I50"/>
  <c r="I48"/>
  <c r="I52" s="1"/>
  <c r="CK41" i="9"/>
  <c r="CN6"/>
  <c r="CN41" s="1"/>
  <c r="O79" i="46"/>
  <c r="O84" s="1"/>
  <c r="O77"/>
  <c r="O38"/>
  <c r="O41" s="1"/>
  <c r="O37"/>
  <c r="F15" i="40"/>
  <c r="F15" i="38"/>
  <c r="F17" i="40"/>
  <c r="F17" i="39"/>
  <c r="F71" i="40"/>
  <c r="F71" i="38"/>
  <c r="F25" i="40"/>
  <c r="F25" i="39"/>
  <c r="D12" i="40"/>
  <c r="D12" i="38"/>
  <c r="D8" i="40"/>
  <c r="D8" i="38"/>
  <c r="D4" i="40"/>
  <c r="D4" i="38"/>
  <c r="J4" s="1"/>
  <c r="K4" s="1"/>
  <c r="L4" s="1"/>
  <c r="D22" i="40"/>
  <c r="D22" i="38"/>
  <c r="D18" i="40"/>
  <c r="D18" i="38"/>
  <c r="E4" i="40"/>
  <c r="E4" i="38"/>
  <c r="C75" i="39"/>
  <c r="S112" i="6"/>
  <c r="C85" i="38"/>
  <c r="S122" i="6"/>
  <c r="E25" i="11"/>
  <c r="C21"/>
  <c r="B27"/>
  <c r="K97" i="14"/>
  <c r="K102" s="1"/>
  <c r="F10" i="39"/>
  <c r="F36"/>
  <c r="J36" s="1"/>
  <c r="K36" s="1"/>
  <c r="L36" s="1"/>
  <c r="F28" i="40"/>
  <c r="F36"/>
  <c r="D115" i="39"/>
  <c r="D119"/>
  <c r="J119" s="1"/>
  <c r="D111"/>
  <c r="C96" i="38"/>
  <c r="C89" i="40"/>
  <c r="C116" i="38"/>
  <c r="C116" i="39"/>
  <c r="E91"/>
  <c r="E89"/>
  <c r="E83"/>
  <c r="J83" s="1"/>
  <c r="E81"/>
  <c r="E73"/>
  <c r="E63"/>
  <c r="E51"/>
  <c r="J51" s="1"/>
  <c r="E47"/>
  <c r="E43"/>
  <c r="E39"/>
  <c r="E35"/>
  <c r="J35" s="1"/>
  <c r="K35" s="1"/>
  <c r="L35" s="1"/>
  <c r="E31"/>
  <c r="E27"/>
  <c r="E23"/>
  <c r="E19"/>
  <c r="J19" s="1"/>
  <c r="K19" s="1"/>
  <c r="L19" s="1"/>
  <c r="E15"/>
  <c r="E11"/>
  <c r="E7"/>
  <c r="E3"/>
  <c r="J3" s="1"/>
  <c r="L25" i="12"/>
  <c r="I51" i="14"/>
  <c r="I55" s="1"/>
  <c r="F51" i="38"/>
  <c r="F7"/>
  <c r="F43"/>
  <c r="F33"/>
  <c r="F69"/>
  <c r="F62"/>
  <c r="I60" i="46"/>
  <c r="D189" i="14"/>
  <c r="H189"/>
  <c r="K117"/>
  <c r="K124" s="1"/>
  <c r="D15" i="38"/>
  <c r="E63" i="40"/>
  <c r="E73" i="38"/>
  <c r="E83" i="40"/>
  <c r="L83" s="1"/>
  <c r="M83" s="1"/>
  <c r="N83" s="1"/>
  <c r="E81" i="38"/>
  <c r="E91" i="40"/>
  <c r="E89" i="38"/>
  <c r="C89"/>
  <c r="F8" i="39"/>
  <c r="F30"/>
  <c r="F51"/>
  <c r="F56"/>
  <c r="J56" s="1"/>
  <c r="K56" s="1"/>
  <c r="L56" s="1"/>
  <c r="F62"/>
  <c r="F30" i="40"/>
  <c r="O95" i="46"/>
  <c r="O100" s="1"/>
  <c r="O93"/>
  <c r="O98" s="1"/>
  <c r="O103" s="1"/>
  <c r="O25" i="14"/>
  <c r="O25" i="46"/>
  <c r="E2891" i="44"/>
  <c r="E2896"/>
  <c r="E2912"/>
  <c r="E2928"/>
  <c r="E2944"/>
  <c r="E2960"/>
  <c r="E2976"/>
  <c r="E2992"/>
  <c r="E3008"/>
  <c r="E3024"/>
  <c r="E3040"/>
  <c r="E3056"/>
  <c r="E3072"/>
  <c r="E3088"/>
  <c r="E3104"/>
  <c r="E3120"/>
  <c r="E3136"/>
  <c r="E3619"/>
  <c r="E3603"/>
  <c r="E3587"/>
  <c r="E3571"/>
  <c r="E3555"/>
  <c r="E3539"/>
  <c r="E3523"/>
  <c r="E3507"/>
  <c r="E3491"/>
  <c r="E3475"/>
  <c r="E3459"/>
  <c r="E3443"/>
  <c r="E3428"/>
  <c r="E3417"/>
  <c r="E3408"/>
  <c r="E3400"/>
  <c r="E3392"/>
  <c r="E3384"/>
  <c r="E3376"/>
  <c r="E3368"/>
  <c r="E3360"/>
  <c r="E3352"/>
  <c r="E3344"/>
  <c r="E3336"/>
  <c r="E3328"/>
  <c r="E3320"/>
  <c r="E3312"/>
  <c r="E3304"/>
  <c r="E3296"/>
  <c r="E3288"/>
  <c r="E3280"/>
  <c r="E3272"/>
  <c r="E3264"/>
  <c r="E3256"/>
  <c r="E3248"/>
  <c r="E3240"/>
  <c r="E3232"/>
  <c r="E3224"/>
  <c r="E3216"/>
  <c r="E3208"/>
  <c r="E3200"/>
  <c r="E3192"/>
  <c r="E3184"/>
  <c r="E3176"/>
  <c r="E3168"/>
  <c r="E3160"/>
  <c r="E3152"/>
  <c r="E3144"/>
  <c r="E2895"/>
  <c r="E2911"/>
  <c r="E2927"/>
  <c r="E2943"/>
  <c r="E2959"/>
  <c r="E2975"/>
  <c r="E2991"/>
  <c r="E3007"/>
  <c r="E3023"/>
  <c r="E3039"/>
  <c r="E3055"/>
  <c r="E3071"/>
  <c r="E3087"/>
  <c r="E3103"/>
  <c r="E3119"/>
  <c r="E3135"/>
  <c r="E3620"/>
  <c r="E3604"/>
  <c r="E3588"/>
  <c r="E3572"/>
  <c r="E3556"/>
  <c r="E3540"/>
  <c r="E3524"/>
  <c r="E3508"/>
  <c r="E3492"/>
  <c r="E3476"/>
  <c r="E3460"/>
  <c r="E3444"/>
  <c r="E3429"/>
  <c r="E3419"/>
  <c r="E3409"/>
  <c r="E3401"/>
  <c r="E3393"/>
  <c r="E3385"/>
  <c r="E3377"/>
  <c r="E3369"/>
  <c r="E3361"/>
  <c r="E3353"/>
  <c r="E3345"/>
  <c r="E3337"/>
  <c r="E3329"/>
  <c r="E3321"/>
  <c r="E3313"/>
  <c r="E3305"/>
  <c r="E3297"/>
  <c r="E3289"/>
  <c r="E3281"/>
  <c r="E3273"/>
  <c r="E3265"/>
  <c r="E3257"/>
  <c r="E3249"/>
  <c r="E3241"/>
  <c r="E3233"/>
  <c r="E3225"/>
  <c r="E3217"/>
  <c r="E3209"/>
  <c r="E3201"/>
  <c r="E3193"/>
  <c r="E3185"/>
  <c r="E3177"/>
  <c r="E3169"/>
  <c r="E3161"/>
  <c r="E3153"/>
  <c r="E3145"/>
  <c r="E2887"/>
  <c r="E2903"/>
  <c r="E2919"/>
  <c r="E2935"/>
  <c r="E2951"/>
  <c r="E2967"/>
  <c r="E2983"/>
  <c r="E2999"/>
  <c r="E3015"/>
  <c r="E3031"/>
  <c r="E3047"/>
  <c r="E3063"/>
  <c r="E3079"/>
  <c r="E3095"/>
  <c r="E3111"/>
  <c r="E3127"/>
  <c r="E3628"/>
  <c r="E3612"/>
  <c r="E3596"/>
  <c r="E3580"/>
  <c r="E3564"/>
  <c r="E3548"/>
  <c r="E3532"/>
  <c r="E3516"/>
  <c r="E3500"/>
  <c r="E3484"/>
  <c r="E3468"/>
  <c r="E3452"/>
  <c r="E3436"/>
  <c r="E3424"/>
  <c r="E3413"/>
  <c r="E3405"/>
  <c r="E3397"/>
  <c r="E3389"/>
  <c r="E3381"/>
  <c r="E3373"/>
  <c r="E3365"/>
  <c r="E3357"/>
  <c r="E3349"/>
  <c r="E3341"/>
  <c r="E3333"/>
  <c r="E3325"/>
  <c r="E3317"/>
  <c r="E3309"/>
  <c r="E3301"/>
  <c r="E3293"/>
  <c r="E3285"/>
  <c r="E3277"/>
  <c r="E3269"/>
  <c r="E3261"/>
  <c r="E3253"/>
  <c r="E3245"/>
  <c r="E3237"/>
  <c r="E3229"/>
  <c r="E3221"/>
  <c r="E3213"/>
  <c r="E3205"/>
  <c r="E3197"/>
  <c r="E3189"/>
  <c r="E3181"/>
  <c r="E3173"/>
  <c r="E3165"/>
  <c r="E3157"/>
  <c r="E3149"/>
  <c r="E5838"/>
  <c r="E5851"/>
  <c r="E5883"/>
  <c r="E5915"/>
  <c r="E5947"/>
  <c r="E5979"/>
  <c r="E6011"/>
  <c r="E6043"/>
  <c r="E6075"/>
  <c r="E6544"/>
  <c r="E6512"/>
  <c r="E6480"/>
  <c r="E6448"/>
  <c r="E6416"/>
  <c r="E6384"/>
  <c r="E6352"/>
  <c r="E6320"/>
  <c r="E6288"/>
  <c r="E6256"/>
  <c r="E6224"/>
  <c r="E6192"/>
  <c r="E6160"/>
  <c r="E6128"/>
  <c r="E6096"/>
  <c r="E5846"/>
  <c r="E5878"/>
  <c r="E5910"/>
  <c r="E5942"/>
  <c r="E5974"/>
  <c r="E6006"/>
  <c r="E6038"/>
  <c r="E6070"/>
  <c r="E6549"/>
  <c r="E6517"/>
  <c r="E6485"/>
  <c r="E6453"/>
  <c r="E6421"/>
  <c r="E6389"/>
  <c r="E6357"/>
  <c r="E6325"/>
  <c r="E6293"/>
  <c r="E6261"/>
  <c r="E6229"/>
  <c r="E6197"/>
  <c r="E6165"/>
  <c r="E6133"/>
  <c r="E6101"/>
  <c r="E5862"/>
  <c r="E5894"/>
  <c r="E5926"/>
  <c r="E5958"/>
  <c r="E5990"/>
  <c r="E6022"/>
  <c r="E6054"/>
  <c r="E6086"/>
  <c r="E6533"/>
  <c r="E6501"/>
  <c r="E6469"/>
  <c r="E6437"/>
  <c r="E6405"/>
  <c r="E6373"/>
  <c r="E6341"/>
  <c r="E6309"/>
  <c r="E6277"/>
  <c r="E6245"/>
  <c r="E6213"/>
  <c r="E6181"/>
  <c r="E6149"/>
  <c r="E6117"/>
  <c r="M147" i="14"/>
  <c r="M150" s="1"/>
  <c r="K150"/>
  <c r="K147"/>
  <c r="J28" i="46"/>
  <c r="J31" s="1"/>
  <c r="J27"/>
  <c r="N115"/>
  <c r="N122" s="1"/>
  <c r="N111"/>
  <c r="N118" s="1"/>
  <c r="N125" s="1"/>
  <c r="N50"/>
  <c r="N54" s="1"/>
  <c r="N48"/>
  <c r="N187"/>
  <c r="K79"/>
  <c r="K84" s="1"/>
  <c r="M79"/>
  <c r="M84" s="1"/>
  <c r="M77"/>
  <c r="J111"/>
  <c r="J187"/>
  <c r="J50"/>
  <c r="J54" s="1"/>
  <c r="J48"/>
  <c r="M26" i="12"/>
  <c r="I74" i="46"/>
  <c r="O187"/>
  <c r="O48"/>
  <c r="O52" s="1"/>
  <c r="O56" s="1"/>
  <c r="O50"/>
  <c r="O54" s="1"/>
  <c r="I63"/>
  <c r="I61"/>
  <c r="I66" s="1"/>
  <c r="H6" i="12"/>
  <c r="H8"/>
  <c r="F5" i="39"/>
  <c r="J5" s="1"/>
  <c r="K5" s="1"/>
  <c r="L5" s="1"/>
  <c r="F9"/>
  <c r="J9" s="1"/>
  <c r="K9" s="1"/>
  <c r="L9" s="1"/>
  <c r="F13"/>
  <c r="J13" s="1"/>
  <c r="K13" s="1"/>
  <c r="L13" s="1"/>
  <c r="F53"/>
  <c r="F57"/>
  <c r="F61"/>
  <c r="K135" i="14"/>
  <c r="K140" s="1"/>
  <c r="Q144"/>
  <c r="Q144" i="46"/>
  <c r="P144" i="14"/>
  <c r="P144" i="46"/>
  <c r="I6"/>
  <c r="I10" s="1"/>
  <c r="M17" i="6"/>
  <c r="C106" i="38"/>
  <c r="C106" i="39"/>
  <c r="I17" i="6"/>
  <c r="C102" i="38"/>
  <c r="C102" i="40"/>
  <c r="J16" i="6"/>
  <c r="C16"/>
  <c r="K16" i="36"/>
  <c r="K17" s="1"/>
  <c r="K18" s="1"/>
  <c r="K19" s="1"/>
  <c r="K20" s="1"/>
  <c r="K17" i="6"/>
  <c r="G17"/>
  <c r="D17"/>
  <c r="K29" i="36"/>
  <c r="K30" s="1"/>
  <c r="K31" s="1"/>
  <c r="K32" s="1"/>
  <c r="K33" s="1"/>
  <c r="K34" s="1"/>
  <c r="K35" s="1"/>
  <c r="K36" s="1"/>
  <c r="K37" s="1"/>
  <c r="K38" s="1"/>
  <c r="K39" s="1"/>
  <c r="C97" i="38"/>
  <c r="C97" i="39"/>
  <c r="C93" i="38"/>
  <c r="C93" i="40"/>
  <c r="H16" i="6"/>
  <c r="K21" i="36"/>
  <c r="K22" s="1"/>
  <c r="K23" s="1"/>
  <c r="K24" s="1"/>
  <c r="K25" s="1"/>
  <c r="K26" s="1"/>
  <c r="K27" s="1"/>
  <c r="C159" i="39"/>
  <c r="CB26" i="9"/>
  <c r="CB27"/>
  <c r="CB28"/>
  <c r="CB29"/>
  <c r="CB30"/>
  <c r="CB31"/>
  <c r="CB32"/>
  <c r="K81" i="14"/>
  <c r="K86" s="1"/>
  <c r="C153" i="38"/>
  <c r="I49" i="36"/>
  <c r="J49" s="1"/>
  <c r="CT12" i="9"/>
  <c r="E39" i="25"/>
  <c r="CT14" i="9" s="1"/>
  <c r="E38" i="25"/>
  <c r="C20" i="14"/>
  <c r="J32" i="39"/>
  <c r="K32" s="1"/>
  <c r="L32" s="1"/>
  <c r="E6" i="38"/>
  <c r="J6" s="1"/>
  <c r="K6" s="1"/>
  <c r="L6" s="1"/>
  <c r="E14"/>
  <c r="J14" s="1"/>
  <c r="K14" s="1"/>
  <c r="L14" s="1"/>
  <c r="E35"/>
  <c r="E21"/>
  <c r="J21" s="1"/>
  <c r="K21" s="1"/>
  <c r="L21" s="1"/>
  <c r="E43"/>
  <c r="E19"/>
  <c r="E23"/>
  <c r="J23" s="1"/>
  <c r="K23" s="1"/>
  <c r="L23" s="1"/>
  <c r="E39"/>
  <c r="E51"/>
  <c r="J120" i="39"/>
  <c r="J78"/>
  <c r="K78" s="1"/>
  <c r="L78" s="1"/>
  <c r="E8" i="38"/>
  <c r="J8" s="1"/>
  <c r="K8" s="1"/>
  <c r="L8" s="1"/>
  <c r="E12"/>
  <c r="D82"/>
  <c r="J82" s="1"/>
  <c r="K82" s="1"/>
  <c r="L82" s="1"/>
  <c r="E27"/>
  <c r="E31"/>
  <c r="E47"/>
  <c r="E41"/>
  <c r="D40"/>
  <c r="D100"/>
  <c r="E26"/>
  <c r="E25"/>
  <c r="E38"/>
  <c r="E37"/>
  <c r="E34"/>
  <c r="E33"/>
  <c r="E30"/>
  <c r="E29"/>
  <c r="E50"/>
  <c r="E49"/>
  <c r="E46"/>
  <c r="E45"/>
  <c r="E42"/>
  <c r="E62"/>
  <c r="J91" i="39"/>
  <c r="K91" s="1"/>
  <c r="L91" s="1"/>
  <c r="J72"/>
  <c r="K72" s="1"/>
  <c r="L72" s="1"/>
  <c r="J48"/>
  <c r="K48" s="1"/>
  <c r="L48" s="1"/>
  <c r="J40"/>
  <c r="K40" s="1"/>
  <c r="L40" s="1"/>
  <c r="J24"/>
  <c r="K24" s="1"/>
  <c r="L24" s="1"/>
  <c r="J16"/>
  <c r="K16" s="1"/>
  <c r="L16" s="1"/>
  <c r="J8"/>
  <c r="K8" s="1"/>
  <c r="L8" s="1"/>
  <c r="E123"/>
  <c r="E135" s="1"/>
  <c r="J135" s="1"/>
  <c r="L18" i="30"/>
  <c r="D32" i="38"/>
  <c r="D72"/>
  <c r="D92"/>
  <c r="K18" i="30"/>
  <c r="J113" i="39"/>
  <c r="K113" s="1"/>
  <c r="L113" s="1"/>
  <c r="D26" i="38"/>
  <c r="D48"/>
  <c r="D56"/>
  <c r="D64"/>
  <c r="D75"/>
  <c r="J75" s="1"/>
  <c r="K75" s="1"/>
  <c r="L75" s="1"/>
  <c r="D86"/>
  <c r="J86" s="1"/>
  <c r="K86" s="1"/>
  <c r="L86" s="1"/>
  <c r="D76"/>
  <c r="D108"/>
  <c r="J121" i="39"/>
  <c r="J111"/>
  <c r="K111" s="1"/>
  <c r="L111" s="1"/>
  <c r="E16" i="38"/>
  <c r="J16" s="1"/>
  <c r="K16" s="1"/>
  <c r="L16" s="1"/>
  <c r="E18"/>
  <c r="E20"/>
  <c r="J20" s="1"/>
  <c r="K20" s="1"/>
  <c r="L20" s="1"/>
  <c r="E22"/>
  <c r="J22" s="1"/>
  <c r="K22" s="1"/>
  <c r="L22" s="1"/>
  <c r="E5"/>
  <c r="J5" s="1"/>
  <c r="K5" s="1"/>
  <c r="L5" s="1"/>
  <c r="E7"/>
  <c r="E9"/>
  <c r="J9" s="1"/>
  <c r="K9" s="1"/>
  <c r="L9" s="1"/>
  <c r="E11"/>
  <c r="J11" s="1"/>
  <c r="K11" s="1"/>
  <c r="L11" s="1"/>
  <c r="E13"/>
  <c r="J13" s="1"/>
  <c r="K13" s="1"/>
  <c r="L13" s="1"/>
  <c r="E3"/>
  <c r="J3" s="1"/>
  <c r="D36"/>
  <c r="D28"/>
  <c r="D44"/>
  <c r="D60"/>
  <c r="D52"/>
  <c r="D68"/>
  <c r="D84"/>
  <c r="D80"/>
  <c r="D96"/>
  <c r="D88"/>
  <c r="D104"/>
  <c r="J109" i="39"/>
  <c r="J107"/>
  <c r="J105"/>
  <c r="J103"/>
  <c r="J101"/>
  <c r="K101" s="1"/>
  <c r="L101" s="1"/>
  <c r="J99"/>
  <c r="K99" s="1"/>
  <c r="L99" s="1"/>
  <c r="J97"/>
  <c r="J95"/>
  <c r="K95" s="1"/>
  <c r="L95" s="1"/>
  <c r="J89"/>
  <c r="K89" s="1"/>
  <c r="L89" s="1"/>
  <c r="J87"/>
  <c r="J85"/>
  <c r="K85" s="1"/>
  <c r="L85" s="1"/>
  <c r="J81"/>
  <c r="K81" s="1"/>
  <c r="L81" s="1"/>
  <c r="J80"/>
  <c r="K80" s="1"/>
  <c r="L80" s="1"/>
  <c r="J79"/>
  <c r="K79" s="1"/>
  <c r="L79" s="1"/>
  <c r="J77"/>
  <c r="K77" s="1"/>
  <c r="L77" s="1"/>
  <c r="J76"/>
  <c r="K76" s="1"/>
  <c r="L76" s="1"/>
  <c r="J75"/>
  <c r="K75" s="1"/>
  <c r="L75" s="1"/>
  <c r="J74"/>
  <c r="K74" s="1"/>
  <c r="L74" s="1"/>
  <c r="J73"/>
  <c r="K73" s="1"/>
  <c r="L73" s="1"/>
  <c r="J71"/>
  <c r="K71" s="1"/>
  <c r="L71" s="1"/>
  <c r="J70"/>
  <c r="K70" s="1"/>
  <c r="L70" s="1"/>
  <c r="J69"/>
  <c r="K69" s="1"/>
  <c r="L69" s="1"/>
  <c r="J68"/>
  <c r="K68" s="1"/>
  <c r="L68" s="1"/>
  <c r="J66"/>
  <c r="K66" s="1"/>
  <c r="L66" s="1"/>
  <c r="J65"/>
  <c r="K65" s="1"/>
  <c r="L65" s="1"/>
  <c r="J63"/>
  <c r="K63" s="1"/>
  <c r="L63" s="1"/>
  <c r="J62"/>
  <c r="K62" s="1"/>
  <c r="L62" s="1"/>
  <c r="J61"/>
  <c r="K61" s="1"/>
  <c r="L61" s="1"/>
  <c r="J60"/>
  <c r="K60" s="1"/>
  <c r="L60" s="1"/>
  <c r="J59"/>
  <c r="K59" s="1"/>
  <c r="L59" s="1"/>
  <c r="J58"/>
  <c r="K58" s="1"/>
  <c r="L58" s="1"/>
  <c r="J57"/>
  <c r="K57" s="1"/>
  <c r="L57" s="1"/>
  <c r="J55"/>
  <c r="K55" s="1"/>
  <c r="L55" s="1"/>
  <c r="J53"/>
  <c r="K53" s="1"/>
  <c r="L53" s="1"/>
  <c r="J52"/>
  <c r="K52" s="1"/>
  <c r="L52" s="1"/>
  <c r="J50"/>
  <c r="K50" s="1"/>
  <c r="L50" s="1"/>
  <c r="J49"/>
  <c r="K49" s="1"/>
  <c r="L49" s="1"/>
  <c r="J47"/>
  <c r="K47" s="1"/>
  <c r="L47" s="1"/>
  <c r="J46"/>
  <c r="K46" s="1"/>
  <c r="L46" s="1"/>
  <c r="J45"/>
  <c r="K45" s="1"/>
  <c r="L45" s="1"/>
  <c r="J44"/>
  <c r="K44" s="1"/>
  <c r="L44" s="1"/>
  <c r="J43"/>
  <c r="K43" s="1"/>
  <c r="L43" s="1"/>
  <c r="J42"/>
  <c r="K42" s="1"/>
  <c r="L42" s="1"/>
  <c r="J39"/>
  <c r="K39" s="1"/>
  <c r="L39" s="1"/>
  <c r="J38"/>
  <c r="K38" s="1"/>
  <c r="L38" s="1"/>
  <c r="J37"/>
  <c r="K37" s="1"/>
  <c r="L37" s="1"/>
  <c r="J34"/>
  <c r="K34" s="1"/>
  <c r="L34" s="1"/>
  <c r="J33"/>
  <c r="K33" s="1"/>
  <c r="L33" s="1"/>
  <c r="J31"/>
  <c r="K31" s="1"/>
  <c r="L31" s="1"/>
  <c r="J30"/>
  <c r="K30" s="1"/>
  <c r="L30" s="1"/>
  <c r="J29"/>
  <c r="K29" s="1"/>
  <c r="L29" s="1"/>
  <c r="J28"/>
  <c r="K28" s="1"/>
  <c r="L28" s="1"/>
  <c r="J27"/>
  <c r="K27" s="1"/>
  <c r="L27" s="1"/>
  <c r="J26"/>
  <c r="K26" s="1"/>
  <c r="L26" s="1"/>
  <c r="J25"/>
  <c r="K25" s="1"/>
  <c r="L25" s="1"/>
  <c r="J23"/>
  <c r="K23" s="1"/>
  <c r="L23" s="1"/>
  <c r="J22"/>
  <c r="K22" s="1"/>
  <c r="L22" s="1"/>
  <c r="J21"/>
  <c r="K21" s="1"/>
  <c r="L21" s="1"/>
  <c r="J20"/>
  <c r="K20" s="1"/>
  <c r="L20" s="1"/>
  <c r="J18"/>
  <c r="K18" s="1"/>
  <c r="L18" s="1"/>
  <c r="J17"/>
  <c r="K17" s="1"/>
  <c r="L17" s="1"/>
  <c r="J15"/>
  <c r="K15" s="1"/>
  <c r="L15" s="1"/>
  <c r="J12"/>
  <c r="K12" s="1"/>
  <c r="L12" s="1"/>
  <c r="J11"/>
  <c r="K11" s="1"/>
  <c r="L11" s="1"/>
  <c r="J10"/>
  <c r="K10" s="1"/>
  <c r="L10" s="1"/>
  <c r="J7"/>
  <c r="K7" s="1"/>
  <c r="L7" s="1"/>
  <c r="J6"/>
  <c r="K6" s="1"/>
  <c r="L6" s="1"/>
  <c r="L3" i="40"/>
  <c r="M3" s="1"/>
  <c r="N3" s="1"/>
  <c r="L13"/>
  <c r="M13" s="1"/>
  <c r="N13" s="1"/>
  <c r="L5"/>
  <c r="M5" s="1"/>
  <c r="N5" s="1"/>
  <c r="D25" i="38"/>
  <c r="J25" s="1"/>
  <c r="K25" s="1"/>
  <c r="L25" s="1"/>
  <c r="D38"/>
  <c r="J38" s="1"/>
  <c r="K38" s="1"/>
  <c r="L38" s="1"/>
  <c r="D35"/>
  <c r="D34"/>
  <c r="D31"/>
  <c r="D30"/>
  <c r="J30" s="1"/>
  <c r="K30" s="1"/>
  <c r="L30" s="1"/>
  <c r="D39"/>
  <c r="D50"/>
  <c r="D47"/>
  <c r="J47" s="1"/>
  <c r="K47" s="1"/>
  <c r="L47" s="1"/>
  <c r="D46"/>
  <c r="J46" s="1"/>
  <c r="K46" s="1"/>
  <c r="L46" s="1"/>
  <c r="D43"/>
  <c r="J43" s="1"/>
  <c r="K43" s="1"/>
  <c r="L43" s="1"/>
  <c r="D42"/>
  <c r="D51"/>
  <c r="J51" s="1"/>
  <c r="K51" s="1"/>
  <c r="L51" s="1"/>
  <c r="D62"/>
  <c r="J62" s="1"/>
  <c r="K62" s="1"/>
  <c r="L62" s="1"/>
  <c r="D59"/>
  <c r="J59" s="1"/>
  <c r="K59" s="1"/>
  <c r="L59" s="1"/>
  <c r="D58"/>
  <c r="J58" s="1"/>
  <c r="K58" s="1"/>
  <c r="L58" s="1"/>
  <c r="D55"/>
  <c r="D54"/>
  <c r="J54" s="1"/>
  <c r="K54" s="1"/>
  <c r="L54" s="1"/>
  <c r="D63"/>
  <c r="J63" s="1"/>
  <c r="K63" s="1"/>
  <c r="L63" s="1"/>
  <c r="D74"/>
  <c r="J74" s="1"/>
  <c r="K74" s="1"/>
  <c r="L74" s="1"/>
  <c r="D71"/>
  <c r="D70"/>
  <c r="J70" s="1"/>
  <c r="K70" s="1"/>
  <c r="L70" s="1"/>
  <c r="D67"/>
  <c r="J67" s="1"/>
  <c r="K67" s="1"/>
  <c r="L67" s="1"/>
  <c r="D66"/>
  <c r="J66" s="1"/>
  <c r="K66" s="1"/>
  <c r="L66" s="1"/>
  <c r="D83"/>
  <c r="J83" s="1"/>
  <c r="K83" s="1"/>
  <c r="L83" s="1"/>
  <c r="D79"/>
  <c r="J79" s="1"/>
  <c r="K79" s="1"/>
  <c r="L79" s="1"/>
  <c r="D78"/>
  <c r="J78" s="1"/>
  <c r="D87"/>
  <c r="J87" s="1"/>
  <c r="D98"/>
  <c r="J98" s="1"/>
  <c r="K98" s="1"/>
  <c r="L98" s="1"/>
  <c r="D95"/>
  <c r="J95" s="1"/>
  <c r="K95" s="1"/>
  <c r="L95" s="1"/>
  <c r="D94"/>
  <c r="J94" s="1"/>
  <c r="D91"/>
  <c r="J91" s="1"/>
  <c r="K91" s="1"/>
  <c r="L91" s="1"/>
  <c r="D90"/>
  <c r="J90" s="1"/>
  <c r="K90" s="1"/>
  <c r="L90" s="1"/>
  <c r="D99"/>
  <c r="J99" s="1"/>
  <c r="K99" s="1"/>
  <c r="L99" s="1"/>
  <c r="D110"/>
  <c r="J110" s="1"/>
  <c r="K110" s="1"/>
  <c r="L110" s="1"/>
  <c r="D107"/>
  <c r="J107" s="1"/>
  <c r="D106"/>
  <c r="D103"/>
  <c r="J103" s="1"/>
  <c r="D102"/>
  <c r="J102" s="1"/>
  <c r="K102" s="1"/>
  <c r="L102" s="1"/>
  <c r="J116" i="39"/>
  <c r="K116" s="1"/>
  <c r="L116" s="1"/>
  <c r="J114"/>
  <c r="K114" s="1"/>
  <c r="L114" s="1"/>
  <c r="J118"/>
  <c r="K118" s="1"/>
  <c r="L118" s="1"/>
  <c r="J122"/>
  <c r="L10" i="40"/>
  <c r="M10" s="1"/>
  <c r="N10" s="1"/>
  <c r="L8"/>
  <c r="M8" s="1"/>
  <c r="N8" s="1"/>
  <c r="L6"/>
  <c r="M6" s="1"/>
  <c r="N6" s="1"/>
  <c r="J112" i="39"/>
  <c r="K3" i="38"/>
  <c r="L3" s="1"/>
  <c r="D27"/>
  <c r="D37"/>
  <c r="D33"/>
  <c r="J33" s="1"/>
  <c r="K33" s="1"/>
  <c r="L33" s="1"/>
  <c r="D29"/>
  <c r="J29" s="1"/>
  <c r="K29" s="1"/>
  <c r="L29" s="1"/>
  <c r="D49"/>
  <c r="J49" s="1"/>
  <c r="K49" s="1"/>
  <c r="L49" s="1"/>
  <c r="D45"/>
  <c r="D41"/>
  <c r="J41" s="1"/>
  <c r="K41" s="1"/>
  <c r="L41" s="1"/>
  <c r="D61"/>
  <c r="J61" s="1"/>
  <c r="K61" s="1"/>
  <c r="L61" s="1"/>
  <c r="D57"/>
  <c r="J57" s="1"/>
  <c r="K57" s="1"/>
  <c r="L57" s="1"/>
  <c r="L55" i="40"/>
  <c r="M55" s="1"/>
  <c r="N55" s="1"/>
  <c r="D53" i="38"/>
  <c r="J53" s="1"/>
  <c r="K53" s="1"/>
  <c r="L53" s="1"/>
  <c r="D73"/>
  <c r="J73" s="1"/>
  <c r="K73" s="1"/>
  <c r="L73" s="1"/>
  <c r="L71" i="40"/>
  <c r="M71" s="1"/>
  <c r="N71" s="1"/>
  <c r="D69" i="38"/>
  <c r="J69" s="1"/>
  <c r="K69" s="1"/>
  <c r="L69" s="1"/>
  <c r="L67" i="40"/>
  <c r="M67" s="1"/>
  <c r="N67" s="1"/>
  <c r="D65" i="38"/>
  <c r="J65" s="1"/>
  <c r="K65" s="1"/>
  <c r="L65" s="1"/>
  <c r="D85"/>
  <c r="D81"/>
  <c r="J81" s="1"/>
  <c r="K81" s="1"/>
  <c r="L81" s="1"/>
  <c r="L79" i="40"/>
  <c r="M79" s="1"/>
  <c r="N79" s="1"/>
  <c r="D77" i="38"/>
  <c r="J77" s="1"/>
  <c r="K77" s="1"/>
  <c r="L77" s="1"/>
  <c r="L87" i="40"/>
  <c r="D97" i="38"/>
  <c r="J97" s="1"/>
  <c r="K97" s="1"/>
  <c r="L97" s="1"/>
  <c r="D93"/>
  <c r="J93" s="1"/>
  <c r="K93" s="1"/>
  <c r="L93" s="1"/>
  <c r="L91" i="40"/>
  <c r="M91" s="1"/>
  <c r="N91" s="1"/>
  <c r="D89" i="38"/>
  <c r="J89" s="1"/>
  <c r="D109"/>
  <c r="J109" s="1"/>
  <c r="D105"/>
  <c r="J105" s="1"/>
  <c r="D101"/>
  <c r="J101" s="1"/>
  <c r="L26" i="40"/>
  <c r="M26" s="1"/>
  <c r="N26" s="1"/>
  <c r="E24" i="38"/>
  <c r="J24" s="1"/>
  <c r="K24" s="1"/>
  <c r="L24" s="1"/>
  <c r="L21" i="40"/>
  <c r="M21" s="1"/>
  <c r="N21" s="1"/>
  <c r="E36" i="38"/>
  <c r="E32"/>
  <c r="J32" s="1"/>
  <c r="K32" s="1"/>
  <c r="L32" s="1"/>
  <c r="L30" i="40"/>
  <c r="M30" s="1"/>
  <c r="N30" s="1"/>
  <c r="E28" i="38"/>
  <c r="E48"/>
  <c r="J48" s="1"/>
  <c r="K48" s="1"/>
  <c r="L48" s="1"/>
  <c r="L46" i="40"/>
  <c r="M46" s="1"/>
  <c r="N46" s="1"/>
  <c r="E44" i="38"/>
  <c r="J44" s="1"/>
  <c r="K44" s="1"/>
  <c r="L44" s="1"/>
  <c r="L42" i="40"/>
  <c r="M42" s="1"/>
  <c r="N42" s="1"/>
  <c r="E40" i="38"/>
  <c r="J40" s="1"/>
  <c r="K40" s="1"/>
  <c r="L40" s="1"/>
  <c r="E60"/>
  <c r="J60" s="1"/>
  <c r="K60" s="1"/>
  <c r="L60" s="1"/>
  <c r="E56"/>
  <c r="E52"/>
  <c r="E72"/>
  <c r="J72" s="1"/>
  <c r="K72" s="1"/>
  <c r="L72" s="1"/>
  <c r="E68"/>
  <c r="J68" s="1"/>
  <c r="K68" s="1"/>
  <c r="L68" s="1"/>
  <c r="E64"/>
  <c r="J64" s="1"/>
  <c r="K64" s="1"/>
  <c r="L64" s="1"/>
  <c r="L86" i="40"/>
  <c r="E84" i="38"/>
  <c r="J84" s="1"/>
  <c r="K84" s="1"/>
  <c r="L84" s="1"/>
  <c r="L82" i="40"/>
  <c r="E80" i="38"/>
  <c r="J80" s="1"/>
  <c r="K80" s="1"/>
  <c r="L80" s="1"/>
  <c r="E76"/>
  <c r="E96"/>
  <c r="J96" s="1"/>
  <c r="K96" s="1"/>
  <c r="L96" s="1"/>
  <c r="L94" i="40"/>
  <c r="E92" i="38"/>
  <c r="L90" i="40"/>
  <c r="E88" i="38"/>
  <c r="E108"/>
  <c r="J108" s="1"/>
  <c r="K108" s="1"/>
  <c r="L108" s="1"/>
  <c r="E104"/>
  <c r="E100"/>
  <c r="J115" i="39"/>
  <c r="K115" s="1"/>
  <c r="L115" s="1"/>
  <c r="L37" i="40"/>
  <c r="M37" s="1"/>
  <c r="N37" s="1"/>
  <c r="L29"/>
  <c r="M29" s="1"/>
  <c r="N29" s="1"/>
  <c r="L45"/>
  <c r="M45" s="1"/>
  <c r="N45" s="1"/>
  <c r="L61"/>
  <c r="M61" s="1"/>
  <c r="N61" s="1"/>
  <c r="L73"/>
  <c r="M73" s="1"/>
  <c r="N73" s="1"/>
  <c r="L77"/>
  <c r="M77" s="1"/>
  <c r="N77" s="1"/>
  <c r="L24"/>
  <c r="M24" s="1"/>
  <c r="N24" s="1"/>
  <c r="L22"/>
  <c r="M22" s="1"/>
  <c r="N22" s="1"/>
  <c r="L20"/>
  <c r="M20" s="1"/>
  <c r="N20" s="1"/>
  <c r="L18"/>
  <c r="M18" s="1"/>
  <c r="N18" s="1"/>
  <c r="L16"/>
  <c r="L28"/>
  <c r="M28" s="1"/>
  <c r="N28" s="1"/>
  <c r="L44"/>
  <c r="M44" s="1"/>
  <c r="N44" s="1"/>
  <c r="L40"/>
  <c r="L60"/>
  <c r="M60" s="1"/>
  <c r="N60" s="1"/>
  <c r="L56"/>
  <c r="M56" s="1"/>
  <c r="N56" s="1"/>
  <c r="L72"/>
  <c r="M72" s="1"/>
  <c r="N72" s="1"/>
  <c r="L68"/>
  <c r="M68" s="1"/>
  <c r="N68" s="1"/>
  <c r="L64"/>
  <c r="L84"/>
  <c r="M84" s="1"/>
  <c r="N84" s="1"/>
  <c r="L80"/>
  <c r="M80" s="1"/>
  <c r="N80" s="1"/>
  <c r="L76"/>
  <c r="M76" s="1"/>
  <c r="N76" s="1"/>
  <c r="L92"/>
  <c r="L88"/>
  <c r="D136" i="39"/>
  <c r="J136" s="1"/>
  <c r="K136" s="1"/>
  <c r="J124"/>
  <c r="K124" s="1"/>
  <c r="D138"/>
  <c r="J138" s="1"/>
  <c r="K138" s="1"/>
  <c r="J126"/>
  <c r="K126" s="1"/>
  <c r="D140"/>
  <c r="J128"/>
  <c r="K128" s="1"/>
  <c r="D142"/>
  <c r="J142" s="1"/>
  <c r="K142" s="1"/>
  <c r="D144"/>
  <c r="J144" s="1"/>
  <c r="K144" s="1"/>
  <c r="J132"/>
  <c r="K132" s="1"/>
  <c r="D146"/>
  <c r="J146" s="1"/>
  <c r="K146" s="1"/>
  <c r="J134"/>
  <c r="K134" s="1"/>
  <c r="J123"/>
  <c r="J111" i="38"/>
  <c r="K111" s="1"/>
  <c r="L111" s="1"/>
  <c r="J119"/>
  <c r="J117"/>
  <c r="K117" s="1"/>
  <c r="L117" s="1"/>
  <c r="J115"/>
  <c r="K115" s="1"/>
  <c r="L115" s="1"/>
  <c r="D137" i="39"/>
  <c r="D139"/>
  <c r="J139" s="1"/>
  <c r="K139" s="1"/>
  <c r="D141"/>
  <c r="J141" s="1"/>
  <c r="K141" s="1"/>
  <c r="D143"/>
  <c r="J143" s="1"/>
  <c r="K143" s="1"/>
  <c r="J131"/>
  <c r="K131" s="1"/>
  <c r="D145"/>
  <c r="J145" s="1"/>
  <c r="K145" s="1"/>
  <c r="J133"/>
  <c r="K133" s="1"/>
  <c r="J122" i="38"/>
  <c r="J120"/>
  <c r="J118"/>
  <c r="K118" s="1"/>
  <c r="L118" s="1"/>
  <c r="J114"/>
  <c r="K114" s="1"/>
  <c r="L114" s="1"/>
  <c r="J112"/>
  <c r="K112" s="1"/>
  <c r="L112" s="1"/>
  <c r="J110" i="39"/>
  <c r="K110" s="1"/>
  <c r="L110" s="1"/>
  <c r="J108"/>
  <c r="K108" s="1"/>
  <c r="L108" s="1"/>
  <c r="J106"/>
  <c r="J104"/>
  <c r="K104" s="1"/>
  <c r="L104" s="1"/>
  <c r="J102"/>
  <c r="K102" s="1"/>
  <c r="L102" s="1"/>
  <c r="J100"/>
  <c r="J98"/>
  <c r="K98" s="1"/>
  <c r="L98" s="1"/>
  <c r="J96"/>
  <c r="K96" s="1"/>
  <c r="L96" s="1"/>
  <c r="J94"/>
  <c r="J92"/>
  <c r="J90"/>
  <c r="K90" s="1"/>
  <c r="L90" s="1"/>
  <c r="J88"/>
  <c r="K88" s="1"/>
  <c r="L88" s="1"/>
  <c r="J86"/>
  <c r="K86" s="1"/>
  <c r="L86" s="1"/>
  <c r="J82"/>
  <c r="B123" i="5"/>
  <c r="B124"/>
  <c r="B125"/>
  <c r="B126"/>
  <c r="B127"/>
  <c r="B128"/>
  <c r="B129"/>
  <c r="B130"/>
  <c r="B131"/>
  <c r="B132"/>
  <c r="C132"/>
  <c r="C130"/>
  <c r="C128"/>
  <c r="C126"/>
  <c r="C124"/>
  <c r="E134" i="38"/>
  <c r="L4" i="40"/>
  <c r="M4" s="1"/>
  <c r="N4" s="1"/>
  <c r="L14"/>
  <c r="M14" s="1"/>
  <c r="N14" s="1"/>
  <c r="L31"/>
  <c r="M31" s="1"/>
  <c r="N31" s="1"/>
  <c r="L27"/>
  <c r="M27" s="1"/>
  <c r="N27" s="1"/>
  <c r="L25"/>
  <c r="M25" s="1"/>
  <c r="N25" s="1"/>
  <c r="L23"/>
  <c r="M23" s="1"/>
  <c r="N23" s="1"/>
  <c r="L19"/>
  <c r="M19" s="1"/>
  <c r="N19" s="1"/>
  <c r="L52"/>
  <c r="M52" s="1"/>
  <c r="N52" s="1"/>
  <c r="L50"/>
  <c r="M50" s="1"/>
  <c r="N50" s="1"/>
  <c r="L48"/>
  <c r="M48" s="1"/>
  <c r="N48" s="1"/>
  <c r="L38"/>
  <c r="M38" s="1"/>
  <c r="N38" s="1"/>
  <c r="L36"/>
  <c r="M36" s="1"/>
  <c r="N36" s="1"/>
  <c r="L32"/>
  <c r="M32" s="1"/>
  <c r="N32" s="1"/>
  <c r="L63"/>
  <c r="M63" s="1"/>
  <c r="N63" s="1"/>
  <c r="L57"/>
  <c r="M57" s="1"/>
  <c r="N57" s="1"/>
  <c r="L98"/>
  <c r="M98" s="1"/>
  <c r="N98" s="1"/>
  <c r="L96"/>
  <c r="M96" s="1"/>
  <c r="N96" s="1"/>
  <c r="E123" i="38"/>
  <c r="C131" i="5"/>
  <c r="C129"/>
  <c r="C127"/>
  <c r="C125"/>
  <c r="C123"/>
  <c r="L15" i="40"/>
  <c r="M15" s="1"/>
  <c r="N15" s="1"/>
  <c r="L11"/>
  <c r="M11" s="1"/>
  <c r="N11" s="1"/>
  <c r="L7"/>
  <c r="M7" s="1"/>
  <c r="N7" s="1"/>
  <c r="L51"/>
  <c r="L47"/>
  <c r="M47" s="1"/>
  <c r="N47" s="1"/>
  <c r="L43"/>
  <c r="M43" s="1"/>
  <c r="N43" s="1"/>
  <c r="L35"/>
  <c r="M35" s="1"/>
  <c r="N35" s="1"/>
  <c r="L70"/>
  <c r="M70" s="1"/>
  <c r="N70" s="1"/>
  <c r="L66"/>
  <c r="M66" s="1"/>
  <c r="N66" s="1"/>
  <c r="L62"/>
  <c r="M62" s="1"/>
  <c r="N62" s="1"/>
  <c r="L58"/>
  <c r="M58" s="1"/>
  <c r="N58" s="1"/>
  <c r="L78"/>
  <c r="M78" s="1"/>
  <c r="N78" s="1"/>
  <c r="L74"/>
  <c r="M74" s="1"/>
  <c r="N74" s="1"/>
  <c r="L93"/>
  <c r="L89"/>
  <c r="M89" s="1"/>
  <c r="N89" s="1"/>
  <c r="L85"/>
  <c r="M85" s="1"/>
  <c r="N85" s="1"/>
  <c r="L81"/>
  <c r="M81" s="1"/>
  <c r="N81" s="1"/>
  <c r="C17" i="14"/>
  <c r="C18"/>
  <c r="O189"/>
  <c r="H32"/>
  <c r="C188"/>
  <c r="I76" i="46"/>
  <c r="C189" i="14"/>
  <c r="G189"/>
  <c r="J60" i="46"/>
  <c r="J92"/>
  <c r="O130"/>
  <c r="I65"/>
  <c r="I62"/>
  <c r="I67" s="1"/>
  <c r="J110"/>
  <c r="J189" i="14"/>
  <c r="I135" i="46"/>
  <c r="I132"/>
  <c r="E116" i="14"/>
  <c r="E123" s="1"/>
  <c r="E188"/>
  <c r="N189"/>
  <c r="I188"/>
  <c r="D32"/>
  <c r="H188"/>
  <c r="D188"/>
  <c r="I92" i="46"/>
  <c r="F189" i="14"/>
  <c r="G116"/>
  <c r="G123" s="1"/>
  <c r="G188"/>
  <c r="E117"/>
  <c r="E124" s="1"/>
  <c r="E189"/>
  <c r="I117"/>
  <c r="I124" s="1"/>
  <c r="I110" i="46"/>
  <c r="I189" i="14"/>
  <c r="M117"/>
  <c r="M124" s="1"/>
  <c r="M189"/>
  <c r="F188"/>
  <c r="J76" i="46"/>
  <c r="O31" i="14"/>
  <c r="J15" i="10"/>
  <c r="E1424" i="44"/>
  <c r="E1428"/>
  <c r="E1432"/>
  <c r="E1436"/>
  <c r="E1440"/>
  <c r="E1444"/>
  <c r="E1448"/>
  <c r="E1452"/>
  <c r="E1456"/>
  <c r="E1460"/>
  <c r="E1464"/>
  <c r="E1468"/>
  <c r="E1472"/>
  <c r="E1476"/>
  <c r="E1480"/>
  <c r="E1484"/>
  <c r="E1488"/>
  <c r="E1492"/>
  <c r="E1496"/>
  <c r="E1500"/>
  <c r="E1504"/>
  <c r="E1508"/>
  <c r="E1512"/>
  <c r="E1516"/>
  <c r="E1520"/>
  <c r="E1524"/>
  <c r="E1528"/>
  <c r="E1532"/>
  <c r="E1536"/>
  <c r="E1540"/>
  <c r="E1544"/>
  <c r="E1548"/>
  <c r="E1552"/>
  <c r="E1556"/>
  <c r="E1560"/>
  <c r="E1564"/>
  <c r="E1568"/>
  <c r="E1572"/>
  <c r="E1576"/>
  <c r="E1580"/>
  <c r="E1584"/>
  <c r="E1588"/>
  <c r="E1592"/>
  <c r="E1596"/>
  <c r="E1600"/>
  <c r="E1604"/>
  <c r="E1608"/>
  <c r="E1612"/>
  <c r="E1616"/>
  <c r="E1620"/>
  <c r="E1624"/>
  <c r="E1628"/>
  <c r="E1632"/>
  <c r="E1636"/>
  <c r="E1640"/>
  <c r="E1644"/>
  <c r="E1648"/>
  <c r="E1652"/>
  <c r="E1656"/>
  <c r="E1660"/>
  <c r="E1664"/>
  <c r="E1668"/>
  <c r="E4355"/>
  <c r="E4363"/>
  <c r="E4371"/>
  <c r="E4379"/>
  <c r="E4387"/>
  <c r="E4395"/>
  <c r="E4403"/>
  <c r="E4411"/>
  <c r="E4419"/>
  <c r="E4427"/>
  <c r="E4435"/>
  <c r="E4443"/>
  <c r="E4451"/>
  <c r="E4459"/>
  <c r="E4467"/>
  <c r="E4475"/>
  <c r="E4483"/>
  <c r="E4491"/>
  <c r="E4499"/>
  <c r="E4507"/>
  <c r="E4515"/>
  <c r="E4523"/>
  <c r="E4531"/>
  <c r="E4539"/>
  <c r="E4547"/>
  <c r="E4555"/>
  <c r="E4563"/>
  <c r="E4571"/>
  <c r="E4579"/>
  <c r="E4587"/>
  <c r="E4592"/>
  <c r="E4596"/>
  <c r="E4600"/>
  <c r="E4604"/>
  <c r="E5091"/>
  <c r="E5087"/>
  <c r="E5083"/>
  <c r="E5079"/>
  <c r="E5075"/>
  <c r="E5071"/>
  <c r="E5067"/>
  <c r="E5063"/>
  <c r="E5059"/>
  <c r="E5055"/>
  <c r="E5051"/>
  <c r="E5047"/>
  <c r="E5043"/>
  <c r="E5039"/>
  <c r="E5035"/>
  <c r="E5031"/>
  <c r="E5027"/>
  <c r="E5023"/>
  <c r="E5019"/>
  <c r="E5015"/>
  <c r="E5011"/>
  <c r="E5007"/>
  <c r="E5003"/>
  <c r="E4999"/>
  <c r="E4995"/>
  <c r="E4991"/>
  <c r="E4987"/>
  <c r="E4983"/>
  <c r="E4979"/>
  <c r="E4975"/>
  <c r="E4971"/>
  <c r="E4967"/>
  <c r="E4963"/>
  <c r="E4959"/>
  <c r="E4955"/>
  <c r="E4951"/>
  <c r="E4947"/>
  <c r="E4943"/>
  <c r="E4939"/>
  <c r="E4935"/>
  <c r="E4931"/>
  <c r="E4927"/>
  <c r="E4923"/>
  <c r="E4919"/>
  <c r="E4915"/>
  <c r="E4911"/>
  <c r="E4907"/>
  <c r="E4903"/>
  <c r="E4899"/>
  <c r="E4895"/>
  <c r="E4891"/>
  <c r="E4887"/>
  <c r="E4883"/>
  <c r="E4879"/>
  <c r="E4875"/>
  <c r="E4871"/>
  <c r="E4867"/>
  <c r="E4863"/>
  <c r="E4859"/>
  <c r="E4855"/>
  <c r="E4851"/>
  <c r="E4847"/>
  <c r="E4843"/>
  <c r="E4839"/>
  <c r="E4835"/>
  <c r="E4831"/>
  <c r="E4827"/>
  <c r="E4823"/>
  <c r="E4819"/>
  <c r="E4815"/>
  <c r="E4811"/>
  <c r="E4807"/>
  <c r="E4803"/>
  <c r="E4799"/>
  <c r="E4795"/>
  <c r="E4791"/>
  <c r="E4787"/>
  <c r="E4783"/>
  <c r="E4779"/>
  <c r="E4775"/>
  <c r="E4771"/>
  <c r="E4767"/>
  <c r="E4763"/>
  <c r="E4759"/>
  <c r="E4755"/>
  <c r="E4751"/>
  <c r="E4747"/>
  <c r="E4743"/>
  <c r="E4739"/>
  <c r="E4735"/>
  <c r="E4731"/>
  <c r="E4727"/>
  <c r="E4723"/>
  <c r="E4719"/>
  <c r="E4715"/>
  <c r="E4711"/>
  <c r="E4707"/>
  <c r="E4703"/>
  <c r="E4699"/>
  <c r="E4695"/>
  <c r="E4691"/>
  <c r="E4687"/>
  <c r="E4683"/>
  <c r="E4679"/>
  <c r="E4675"/>
  <c r="E4671"/>
  <c r="E4667"/>
  <c r="E4663"/>
  <c r="E4659"/>
  <c r="E4655"/>
  <c r="E4651"/>
  <c r="E4647"/>
  <c r="E4643"/>
  <c r="E4639"/>
  <c r="E4635"/>
  <c r="E4631"/>
  <c r="E4627"/>
  <c r="E4623"/>
  <c r="E4619"/>
  <c r="E4615"/>
  <c r="E4611"/>
  <c r="E4607"/>
  <c r="E4353"/>
  <c r="E4361"/>
  <c r="E4369"/>
  <c r="E4377"/>
  <c r="E4385"/>
  <c r="E4393"/>
  <c r="E4401"/>
  <c r="E4409"/>
  <c r="E4417"/>
  <c r="E4425"/>
  <c r="E4433"/>
  <c r="E4441"/>
  <c r="E4449"/>
  <c r="E4457"/>
  <c r="E4465"/>
  <c r="E4473"/>
  <c r="E4481"/>
  <c r="E4489"/>
  <c r="E4497"/>
  <c r="E4505"/>
  <c r="E4513"/>
  <c r="E4521"/>
  <c r="E4529"/>
  <c r="E4537"/>
  <c r="E4545"/>
  <c r="E4553"/>
  <c r="E4561"/>
  <c r="E4569"/>
  <c r="E4577"/>
  <c r="E4585"/>
  <c r="E4591"/>
  <c r="E4595"/>
  <c r="E4599"/>
  <c r="E4603"/>
  <c r="E5092"/>
  <c r="E5088"/>
  <c r="E5084"/>
  <c r="E5080"/>
  <c r="E5076"/>
  <c r="E5072"/>
  <c r="E5068"/>
  <c r="E5064"/>
  <c r="E5060"/>
  <c r="E5056"/>
  <c r="E5052"/>
  <c r="E5048"/>
  <c r="E5044"/>
  <c r="E5040"/>
  <c r="E5036"/>
  <c r="E5032"/>
  <c r="E5028"/>
  <c r="E5024"/>
  <c r="E5020"/>
  <c r="E5016"/>
  <c r="E5012"/>
  <c r="E5008"/>
  <c r="E5004"/>
  <c r="E5000"/>
  <c r="E4996"/>
  <c r="E4992"/>
  <c r="E4988"/>
  <c r="E4984"/>
  <c r="E4980"/>
  <c r="E4976"/>
  <c r="E4972"/>
  <c r="E4968"/>
  <c r="E4964"/>
  <c r="E4960"/>
  <c r="E4956"/>
  <c r="E4952"/>
  <c r="E4948"/>
  <c r="E4944"/>
  <c r="E4940"/>
  <c r="E4936"/>
  <c r="E4932"/>
  <c r="E4928"/>
  <c r="E4924"/>
  <c r="E4920"/>
  <c r="E4916"/>
  <c r="E4912"/>
  <c r="E4908"/>
  <c r="E4904"/>
  <c r="E4900"/>
  <c r="E4896"/>
  <c r="E4892"/>
  <c r="E4888"/>
  <c r="E4884"/>
  <c r="E4880"/>
  <c r="E4876"/>
  <c r="E4872"/>
  <c r="E4868"/>
  <c r="E4864"/>
  <c r="E4860"/>
  <c r="E4856"/>
  <c r="E4852"/>
  <c r="E4848"/>
  <c r="E4844"/>
  <c r="E4840"/>
  <c r="E4836"/>
  <c r="E4832"/>
  <c r="E4828"/>
  <c r="E4824"/>
  <c r="E4820"/>
  <c r="E4816"/>
  <c r="E4812"/>
  <c r="E4808"/>
  <c r="E4804"/>
  <c r="E4800"/>
  <c r="E4796"/>
  <c r="E4792"/>
  <c r="E4788"/>
  <c r="E4784"/>
  <c r="E4780"/>
  <c r="E4776"/>
  <c r="E4772"/>
  <c r="E4768"/>
  <c r="E4764"/>
  <c r="E4760"/>
  <c r="E4756"/>
  <c r="E4752"/>
  <c r="E4748"/>
  <c r="E4744"/>
  <c r="E4740"/>
  <c r="E4736"/>
  <c r="E4732"/>
  <c r="E4728"/>
  <c r="E4724"/>
  <c r="E4720"/>
  <c r="E4716"/>
  <c r="E4712"/>
  <c r="E4708"/>
  <c r="E4704"/>
  <c r="E4700"/>
  <c r="E4696"/>
  <c r="E4692"/>
  <c r="E4688"/>
  <c r="E4684"/>
  <c r="E4680"/>
  <c r="E4676"/>
  <c r="E4672"/>
  <c r="E4668"/>
  <c r="E4664"/>
  <c r="E4660"/>
  <c r="E4656"/>
  <c r="E4652"/>
  <c r="E4648"/>
  <c r="E4644"/>
  <c r="E4640"/>
  <c r="E4636"/>
  <c r="E4632"/>
  <c r="E4628"/>
  <c r="E4624"/>
  <c r="E4620"/>
  <c r="E4616"/>
  <c r="E4612"/>
  <c r="E4608"/>
  <c r="E4351"/>
  <c r="E4359"/>
  <c r="E4367"/>
  <c r="E4375"/>
  <c r="E4383"/>
  <c r="E4391"/>
  <c r="E4399"/>
  <c r="E4407"/>
  <c r="E4415"/>
  <c r="E4423"/>
  <c r="E4431"/>
  <c r="E4439"/>
  <c r="E4447"/>
  <c r="E4455"/>
  <c r="E4463"/>
  <c r="E4471"/>
  <c r="E4479"/>
  <c r="E4487"/>
  <c r="E4495"/>
  <c r="E4503"/>
  <c r="E4511"/>
  <c r="E4519"/>
  <c r="E4527"/>
  <c r="E4535"/>
  <c r="E4543"/>
  <c r="E4551"/>
  <c r="E4559"/>
  <c r="E4567"/>
  <c r="E4575"/>
  <c r="E4583"/>
  <c r="E4590"/>
  <c r="E4594"/>
  <c r="E4598"/>
  <c r="E4602"/>
  <c r="E4349"/>
  <c r="E5089"/>
  <c r="E5085"/>
  <c r="E5081"/>
  <c r="E5077"/>
  <c r="E5073"/>
  <c r="E5069"/>
  <c r="E5065"/>
  <c r="E5061"/>
  <c r="E5057"/>
  <c r="E5053"/>
  <c r="E5049"/>
  <c r="E5045"/>
  <c r="E5041"/>
  <c r="E5037"/>
  <c r="E5033"/>
  <c r="E5029"/>
  <c r="E5025"/>
  <c r="E5021"/>
  <c r="E5017"/>
  <c r="E5013"/>
  <c r="E5009"/>
  <c r="E5005"/>
  <c r="E5001"/>
  <c r="E4997"/>
  <c r="E4993"/>
  <c r="E4989"/>
  <c r="E4985"/>
  <c r="E4981"/>
  <c r="E4977"/>
  <c r="E4973"/>
  <c r="E4969"/>
  <c r="E4965"/>
  <c r="E4961"/>
  <c r="E4957"/>
  <c r="E4953"/>
  <c r="E4949"/>
  <c r="E4945"/>
  <c r="E4941"/>
  <c r="E4937"/>
  <c r="E4933"/>
  <c r="E4929"/>
  <c r="E4925"/>
  <c r="E4921"/>
  <c r="E4917"/>
  <c r="E4913"/>
  <c r="E4909"/>
  <c r="E4905"/>
  <c r="E4901"/>
  <c r="E4897"/>
  <c r="E4893"/>
  <c r="E4889"/>
  <c r="E4885"/>
  <c r="E4881"/>
  <c r="E4877"/>
  <c r="E4873"/>
  <c r="E4869"/>
  <c r="E4865"/>
  <c r="E4861"/>
  <c r="E4857"/>
  <c r="E4853"/>
  <c r="E4849"/>
  <c r="E4845"/>
  <c r="E4841"/>
  <c r="E4837"/>
  <c r="E4833"/>
  <c r="E4829"/>
  <c r="E4825"/>
  <c r="E4821"/>
  <c r="E4817"/>
  <c r="E4813"/>
  <c r="E4809"/>
  <c r="E4805"/>
  <c r="E4801"/>
  <c r="E4797"/>
  <c r="E4793"/>
  <c r="E4789"/>
  <c r="E4785"/>
  <c r="E4781"/>
  <c r="E4777"/>
  <c r="E4773"/>
  <c r="E4769"/>
  <c r="E4765"/>
  <c r="E4761"/>
  <c r="E4757"/>
  <c r="E4753"/>
  <c r="E4749"/>
  <c r="E4745"/>
  <c r="E4741"/>
  <c r="E4737"/>
  <c r="E4733"/>
  <c r="E4729"/>
  <c r="E4725"/>
  <c r="E4721"/>
  <c r="E4717"/>
  <c r="E4713"/>
  <c r="E4709"/>
  <c r="E4705"/>
  <c r="E4701"/>
  <c r="E4697"/>
  <c r="E4693"/>
  <c r="E4689"/>
  <c r="E4685"/>
  <c r="E4681"/>
  <c r="E4677"/>
  <c r="E4673"/>
  <c r="E4669"/>
  <c r="E4665"/>
  <c r="E4661"/>
  <c r="E4657"/>
  <c r="E4653"/>
  <c r="E4649"/>
  <c r="E4645"/>
  <c r="E4641"/>
  <c r="E4637"/>
  <c r="E4633"/>
  <c r="E4629"/>
  <c r="E4625"/>
  <c r="E4621"/>
  <c r="E4617"/>
  <c r="E4613"/>
  <c r="E4609"/>
  <c r="E7318"/>
  <c r="E7366"/>
  <c r="E7494"/>
  <c r="E7999"/>
  <c r="E7935"/>
  <c r="E7890"/>
  <c r="E7858"/>
  <c r="E7826"/>
  <c r="E7794"/>
  <c r="E7774"/>
  <c r="E7758"/>
  <c r="E7742"/>
  <c r="E7734"/>
  <c r="E7726"/>
  <c r="E7718"/>
  <c r="E7710"/>
  <c r="E7702"/>
  <c r="E7694"/>
  <c r="E7686"/>
  <c r="E7678"/>
  <c r="E7670"/>
  <c r="E7662"/>
  <c r="E7654"/>
  <c r="E7646"/>
  <c r="E7638"/>
  <c r="E7630"/>
  <c r="E7622"/>
  <c r="E7614"/>
  <c r="E7606"/>
  <c r="E7598"/>
  <c r="E7590"/>
  <c r="E7585"/>
  <c r="E7581"/>
  <c r="E7577"/>
  <c r="E7573"/>
  <c r="E7569"/>
  <c r="E7565"/>
  <c r="E7561"/>
  <c r="E7334"/>
  <c r="E7462"/>
  <c r="E8015"/>
  <c r="E7951"/>
  <c r="E7898"/>
  <c r="E7866"/>
  <c r="E7834"/>
  <c r="E7802"/>
  <c r="E7778"/>
  <c r="E7762"/>
  <c r="E7746"/>
  <c r="E7736"/>
  <c r="E7728"/>
  <c r="E7720"/>
  <c r="E7712"/>
  <c r="E7704"/>
  <c r="E7696"/>
  <c r="E7688"/>
  <c r="E7680"/>
  <c r="E7672"/>
  <c r="E7664"/>
  <c r="E7656"/>
  <c r="E7648"/>
  <c r="E7640"/>
  <c r="E7632"/>
  <c r="E7624"/>
  <c r="E7616"/>
  <c r="E7608"/>
  <c r="E7600"/>
  <c r="E7592"/>
  <c r="E7586"/>
  <c r="E7582"/>
  <c r="E7578"/>
  <c r="E7574"/>
  <c r="E7570"/>
  <c r="E7566"/>
  <c r="E7562"/>
  <c r="E7558"/>
  <c r="E7302"/>
  <c r="E7430"/>
  <c r="E7548"/>
  <c r="E7967"/>
  <c r="E7906"/>
  <c r="E7874"/>
  <c r="E7842"/>
  <c r="E7810"/>
  <c r="E7782"/>
  <c r="E7766"/>
  <c r="E7750"/>
  <c r="E7738"/>
  <c r="E7730"/>
  <c r="E7722"/>
  <c r="E7714"/>
  <c r="E7706"/>
  <c r="E7698"/>
  <c r="E7690"/>
  <c r="E7682"/>
  <c r="E7674"/>
  <c r="E7666"/>
  <c r="E7658"/>
  <c r="E7650"/>
  <c r="E7642"/>
  <c r="E7634"/>
  <c r="E7626"/>
  <c r="E7618"/>
  <c r="E7610"/>
  <c r="E7602"/>
  <c r="E7594"/>
  <c r="E7587"/>
  <c r="E7583"/>
  <c r="E7579"/>
  <c r="E7575"/>
  <c r="E7571"/>
  <c r="E7567"/>
  <c r="E7563"/>
  <c r="E7559"/>
  <c r="E1680"/>
  <c r="E1684"/>
  <c r="E1688"/>
  <c r="E1692"/>
  <c r="E1696"/>
  <c r="E1700"/>
  <c r="E1704"/>
  <c r="E1708"/>
  <c r="E1712"/>
  <c r="E1716"/>
  <c r="E1720"/>
  <c r="E1724"/>
  <c r="E1728"/>
  <c r="E1732"/>
  <c r="E1736"/>
  <c r="E1740"/>
  <c r="E1744"/>
  <c r="E1748"/>
  <c r="E1752"/>
  <c r="E1756"/>
  <c r="E1760"/>
  <c r="E1764"/>
  <c r="E1768"/>
  <c r="E1772"/>
  <c r="E1776"/>
  <c r="E1780"/>
  <c r="E1784"/>
  <c r="E1788"/>
  <c r="E1792"/>
  <c r="E1796"/>
  <c r="E1800"/>
  <c r="E1804"/>
  <c r="E1808"/>
  <c r="E1812"/>
  <c r="E1816"/>
  <c r="E1820"/>
  <c r="E1824"/>
  <c r="E1828"/>
  <c r="E1832"/>
  <c r="E1836"/>
  <c r="E1840"/>
  <c r="E1844"/>
  <c r="E1848"/>
  <c r="E1852"/>
  <c r="E1856"/>
  <c r="E1860"/>
  <c r="E1864"/>
  <c r="E1868"/>
  <c r="E1872"/>
  <c r="E1876"/>
  <c r="E1880"/>
  <c r="E1884"/>
  <c r="E1888"/>
  <c r="E1892"/>
  <c r="E1896"/>
  <c r="E1900"/>
  <c r="E1904"/>
  <c r="E1908"/>
  <c r="E1912"/>
  <c r="E1916"/>
  <c r="E1920"/>
  <c r="E1924"/>
  <c r="E1928"/>
  <c r="E1932"/>
  <c r="E1936"/>
  <c r="E1940"/>
  <c r="E1944"/>
  <c r="E1948"/>
  <c r="E1952"/>
  <c r="E1956"/>
  <c r="E1960"/>
  <c r="E1964"/>
  <c r="E1968"/>
  <c r="E1972"/>
  <c r="E1976"/>
  <c r="E1980"/>
  <c r="E1984"/>
  <c r="E1988"/>
  <c r="E1992"/>
  <c r="E1996"/>
  <c r="E2000"/>
  <c r="E2004"/>
  <c r="E2008"/>
  <c r="E2012"/>
  <c r="E2016"/>
  <c r="E2020"/>
  <c r="E2024"/>
  <c r="E2028"/>
  <c r="E2032"/>
  <c r="E2036"/>
  <c r="E2040"/>
  <c r="E2044"/>
  <c r="E2048"/>
  <c r="E2052"/>
  <c r="E2056"/>
  <c r="E2060"/>
  <c r="E2064"/>
  <c r="E2068"/>
  <c r="E2072"/>
  <c r="E2076"/>
  <c r="E2080"/>
  <c r="E2084"/>
  <c r="E2088"/>
  <c r="E2092"/>
  <c r="E2096"/>
  <c r="E2100"/>
  <c r="E2104"/>
  <c r="E2108"/>
  <c r="E2112"/>
  <c r="E2116"/>
  <c r="E2120"/>
  <c r="E2124"/>
  <c r="E2128"/>
  <c r="E2132"/>
  <c r="E2136"/>
  <c r="E2140"/>
  <c r="E2144"/>
  <c r="E2148"/>
  <c r="E2152"/>
  <c r="E2156"/>
  <c r="E2160"/>
  <c r="E2164"/>
  <c r="E1675"/>
  <c r="E1671"/>
  <c r="E1666"/>
  <c r="E1661"/>
  <c r="E1655"/>
  <c r="E1650"/>
  <c r="E1645"/>
  <c r="E1639"/>
  <c r="E1634"/>
  <c r="E1629"/>
  <c r="E1623"/>
  <c r="E1618"/>
  <c r="E1613"/>
  <c r="E1607"/>
  <c r="E1602"/>
  <c r="E1597"/>
  <c r="E1591"/>
  <c r="E1586"/>
  <c r="E1581"/>
  <c r="E1575"/>
  <c r="E1570"/>
  <c r="E1565"/>
  <c r="E1559"/>
  <c r="E1554"/>
  <c r="E1549"/>
  <c r="E1543"/>
  <c r="E1538"/>
  <c r="E1533"/>
  <c r="E1527"/>
  <c r="E1522"/>
  <c r="E1517"/>
  <c r="E1511"/>
  <c r="E1506"/>
  <c r="E1501"/>
  <c r="E1495"/>
  <c r="E1490"/>
  <c r="E1485"/>
  <c r="E1479"/>
  <c r="E1474"/>
  <c r="E1469"/>
  <c r="E1463"/>
  <c r="E1458"/>
  <c r="E1453"/>
  <c r="E1447"/>
  <c r="E1442"/>
  <c r="E1437"/>
  <c r="E1431"/>
  <c r="E1426"/>
  <c r="E4614"/>
  <c r="E4630"/>
  <c r="E4646"/>
  <c r="E4662"/>
  <c r="E4678"/>
  <c r="E4694"/>
  <c r="E4710"/>
  <c r="E4726"/>
  <c r="E4742"/>
  <c r="E4758"/>
  <c r="E4774"/>
  <c r="E4790"/>
  <c r="E4806"/>
  <c r="E4822"/>
  <c r="E4838"/>
  <c r="E4854"/>
  <c r="E4870"/>
  <c r="E4886"/>
  <c r="E4902"/>
  <c r="E4918"/>
  <c r="E4934"/>
  <c r="E4950"/>
  <c r="E4966"/>
  <c r="E4982"/>
  <c r="E4998"/>
  <c r="E5014"/>
  <c r="E5030"/>
  <c r="E5046"/>
  <c r="E5062"/>
  <c r="E5078"/>
  <c r="E4605"/>
  <c r="E4589"/>
  <c r="E4557"/>
  <c r="E4525"/>
  <c r="E4493"/>
  <c r="E4461"/>
  <c r="E4429"/>
  <c r="E4397"/>
  <c r="E4365"/>
  <c r="E7560"/>
  <c r="E7576"/>
  <c r="E7596"/>
  <c r="E7628"/>
  <c r="E7660"/>
  <c r="E7692"/>
  <c r="E7724"/>
  <c r="E7770"/>
  <c r="E7882"/>
  <c r="E7398"/>
  <c r="E1679"/>
  <c r="E1683"/>
  <c r="E1687"/>
  <c r="E1691"/>
  <c r="E1695"/>
  <c r="E1699"/>
  <c r="E1703"/>
  <c r="E1707"/>
  <c r="E1711"/>
  <c r="E1715"/>
  <c r="E1719"/>
  <c r="E1723"/>
  <c r="E1727"/>
  <c r="E1731"/>
  <c r="E1735"/>
  <c r="E1739"/>
  <c r="E1743"/>
  <c r="E1747"/>
  <c r="E1751"/>
  <c r="E1755"/>
  <c r="E1759"/>
  <c r="E1763"/>
  <c r="E1767"/>
  <c r="E1771"/>
  <c r="E1775"/>
  <c r="E1779"/>
  <c r="E1783"/>
  <c r="E1787"/>
  <c r="E1791"/>
  <c r="E1795"/>
  <c r="E1799"/>
  <c r="E1803"/>
  <c r="E1807"/>
  <c r="E1811"/>
  <c r="E1815"/>
  <c r="E1819"/>
  <c r="E1823"/>
  <c r="E1827"/>
  <c r="E1831"/>
  <c r="E1835"/>
  <c r="E1839"/>
  <c r="E1843"/>
  <c r="E1847"/>
  <c r="E1851"/>
  <c r="E1855"/>
  <c r="E1859"/>
  <c r="E1863"/>
  <c r="E1867"/>
  <c r="E1871"/>
  <c r="E1875"/>
  <c r="E1879"/>
  <c r="E1883"/>
  <c r="E1887"/>
  <c r="E1891"/>
  <c r="E1895"/>
  <c r="E1899"/>
  <c r="E1903"/>
  <c r="E1907"/>
  <c r="E1911"/>
  <c r="E1915"/>
  <c r="E1919"/>
  <c r="E1923"/>
  <c r="E1927"/>
  <c r="E1931"/>
  <c r="E1935"/>
  <c r="E1939"/>
  <c r="E1943"/>
  <c r="E1947"/>
  <c r="E1951"/>
  <c r="E1955"/>
  <c r="E1959"/>
  <c r="E1963"/>
  <c r="E1967"/>
  <c r="E1971"/>
  <c r="E1975"/>
  <c r="E1979"/>
  <c r="E1983"/>
  <c r="E1987"/>
  <c r="E1991"/>
  <c r="E1995"/>
  <c r="E1999"/>
  <c r="E2003"/>
  <c r="E2007"/>
  <c r="E2011"/>
  <c r="E2015"/>
  <c r="E2019"/>
  <c r="E2023"/>
  <c r="E2027"/>
  <c r="E2031"/>
  <c r="E2035"/>
  <c r="E2039"/>
  <c r="E2043"/>
  <c r="E2047"/>
  <c r="E2051"/>
  <c r="E2055"/>
  <c r="E2059"/>
  <c r="E2063"/>
  <c r="E2067"/>
  <c r="E2071"/>
  <c r="E2075"/>
  <c r="E2079"/>
  <c r="E2083"/>
  <c r="E2087"/>
  <c r="E2091"/>
  <c r="E2095"/>
  <c r="E2099"/>
  <c r="E2103"/>
  <c r="E2107"/>
  <c r="E2111"/>
  <c r="E2115"/>
  <c r="E2119"/>
  <c r="E2123"/>
  <c r="E2127"/>
  <c r="E2131"/>
  <c r="E2135"/>
  <c r="E2139"/>
  <c r="E2143"/>
  <c r="E2147"/>
  <c r="E2151"/>
  <c r="E2155"/>
  <c r="E2159"/>
  <c r="E2163"/>
  <c r="E1676"/>
  <c r="E1672"/>
  <c r="E1667"/>
  <c r="E1662"/>
  <c r="E1657"/>
  <c r="E1651"/>
  <c r="E1646"/>
  <c r="E1641"/>
  <c r="E1635"/>
  <c r="E1630"/>
  <c r="E1625"/>
  <c r="E1619"/>
  <c r="E1614"/>
  <c r="E1609"/>
  <c r="E1603"/>
  <c r="E1598"/>
  <c r="E1593"/>
  <c r="E1587"/>
  <c r="E1582"/>
  <c r="E1577"/>
  <c r="E1571"/>
  <c r="E1566"/>
  <c r="E1561"/>
  <c r="E1555"/>
  <c r="E1550"/>
  <c r="E1545"/>
  <c r="E1539"/>
  <c r="E1534"/>
  <c r="E1529"/>
  <c r="E1523"/>
  <c r="E1518"/>
  <c r="E1513"/>
  <c r="E1507"/>
  <c r="E1502"/>
  <c r="E1497"/>
  <c r="E1491"/>
  <c r="E1486"/>
  <c r="E1481"/>
  <c r="E1475"/>
  <c r="E1470"/>
  <c r="E1465"/>
  <c r="E1459"/>
  <c r="E1454"/>
  <c r="E1449"/>
  <c r="E1443"/>
  <c r="E1438"/>
  <c r="E1433"/>
  <c r="E1427"/>
  <c r="E1422"/>
  <c r="E4610"/>
  <c r="E4626"/>
  <c r="E4642"/>
  <c r="E4658"/>
  <c r="E4674"/>
  <c r="E4690"/>
  <c r="E4706"/>
  <c r="E4722"/>
  <c r="E4738"/>
  <c r="E4754"/>
  <c r="E4770"/>
  <c r="E4786"/>
  <c r="E4802"/>
  <c r="E4818"/>
  <c r="E4834"/>
  <c r="E4850"/>
  <c r="E4866"/>
  <c r="E4882"/>
  <c r="E4898"/>
  <c r="E4914"/>
  <c r="E4930"/>
  <c r="E4946"/>
  <c r="E4962"/>
  <c r="E4978"/>
  <c r="E4994"/>
  <c r="E5010"/>
  <c r="E5026"/>
  <c r="E5042"/>
  <c r="E5058"/>
  <c r="E5074"/>
  <c r="E5090"/>
  <c r="E4593"/>
  <c r="E4565"/>
  <c r="E4533"/>
  <c r="E4501"/>
  <c r="E4469"/>
  <c r="E4437"/>
  <c r="E4405"/>
  <c r="E4373"/>
  <c r="E7572"/>
  <c r="E7588"/>
  <c r="E7620"/>
  <c r="E7652"/>
  <c r="E7684"/>
  <c r="E7716"/>
  <c r="E7754"/>
  <c r="E7850"/>
  <c r="E7526"/>
  <c r="E4606"/>
  <c r="E4622"/>
  <c r="E4638"/>
  <c r="E4654"/>
  <c r="E4670"/>
  <c r="E4686"/>
  <c r="E4702"/>
  <c r="E4718"/>
  <c r="E4734"/>
  <c r="E4750"/>
  <c r="E4766"/>
  <c r="E4782"/>
  <c r="E4798"/>
  <c r="E4814"/>
  <c r="E4830"/>
  <c r="E4846"/>
  <c r="E4862"/>
  <c r="E4878"/>
  <c r="E4894"/>
  <c r="E4910"/>
  <c r="E4926"/>
  <c r="E4942"/>
  <c r="E4958"/>
  <c r="E4974"/>
  <c r="E4990"/>
  <c r="E5006"/>
  <c r="E5022"/>
  <c r="E5038"/>
  <c r="E5054"/>
  <c r="E5070"/>
  <c r="E5086"/>
  <c r="E4597"/>
  <c r="E4573"/>
  <c r="E4541"/>
  <c r="E4509"/>
  <c r="E4477"/>
  <c r="E4445"/>
  <c r="E4413"/>
  <c r="E4381"/>
  <c r="E7568"/>
  <c r="E7584"/>
  <c r="E7612"/>
  <c r="E7644"/>
  <c r="E7676"/>
  <c r="E7708"/>
  <c r="E7740"/>
  <c r="E7818"/>
  <c r="E7983"/>
  <c r="E3924"/>
  <c r="E4052"/>
  <c r="E4116"/>
  <c r="E4244"/>
  <c r="E3863"/>
  <c r="E3723"/>
  <c r="E6911"/>
  <c r="E25" i="10"/>
  <c r="F29"/>
  <c r="D25" i="14"/>
  <c r="G108"/>
  <c r="G111" s="1"/>
  <c r="E30" i="10"/>
  <c r="O28" i="14"/>
  <c r="E3142" i="44"/>
  <c r="E3146"/>
  <c r="E3150"/>
  <c r="E3154"/>
  <c r="E3158"/>
  <c r="E3162"/>
  <c r="E3166"/>
  <c r="E3170"/>
  <c r="E3174"/>
  <c r="E3178"/>
  <c r="E3182"/>
  <c r="E3186"/>
  <c r="E3190"/>
  <c r="E3194"/>
  <c r="E3198"/>
  <c r="E3202"/>
  <c r="E3206"/>
  <c r="E3210"/>
  <c r="E3214"/>
  <c r="E3218"/>
  <c r="E3222"/>
  <c r="E3226"/>
  <c r="E3230"/>
  <c r="E3234"/>
  <c r="E3238"/>
  <c r="E3242"/>
  <c r="E3246"/>
  <c r="E3250"/>
  <c r="E3254"/>
  <c r="E3258"/>
  <c r="E3262"/>
  <c r="E3266"/>
  <c r="E3270"/>
  <c r="E3274"/>
  <c r="E3278"/>
  <c r="E3282"/>
  <c r="E3286"/>
  <c r="E3290"/>
  <c r="E3294"/>
  <c r="E3298"/>
  <c r="E3302"/>
  <c r="E3306"/>
  <c r="E3310"/>
  <c r="E3314"/>
  <c r="E3318"/>
  <c r="E3322"/>
  <c r="E3326"/>
  <c r="E3330"/>
  <c r="E3334"/>
  <c r="E3338"/>
  <c r="E3342"/>
  <c r="E3346"/>
  <c r="E3350"/>
  <c r="E3354"/>
  <c r="E3358"/>
  <c r="E3362"/>
  <c r="E3366"/>
  <c r="E3370"/>
  <c r="E3374"/>
  <c r="E3378"/>
  <c r="E3382"/>
  <c r="E3386"/>
  <c r="E3390"/>
  <c r="E3394"/>
  <c r="E3398"/>
  <c r="E3402"/>
  <c r="E3406"/>
  <c r="E3410"/>
  <c r="E3415"/>
  <c r="E3420"/>
  <c r="E3425"/>
  <c r="E3431"/>
  <c r="E3439"/>
  <c r="E3447"/>
  <c r="E3455"/>
  <c r="E3463"/>
  <c r="E3471"/>
  <c r="E3479"/>
  <c r="E3487"/>
  <c r="E3495"/>
  <c r="E3503"/>
  <c r="E3511"/>
  <c r="E3519"/>
  <c r="E3527"/>
  <c r="E3535"/>
  <c r="E3543"/>
  <c r="E3551"/>
  <c r="E3559"/>
  <c r="E3567"/>
  <c r="E3575"/>
  <c r="E3583"/>
  <c r="E3591"/>
  <c r="E3599"/>
  <c r="E3607"/>
  <c r="E3615"/>
  <c r="E3623"/>
  <c r="E3140"/>
  <c r="E3132"/>
  <c r="E3124"/>
  <c r="E3116"/>
  <c r="E3108"/>
  <c r="E3100"/>
  <c r="E3092"/>
  <c r="E3084"/>
  <c r="E3076"/>
  <c r="E3068"/>
  <c r="E3060"/>
  <c r="E3052"/>
  <c r="E3044"/>
  <c r="E3036"/>
  <c r="E3028"/>
  <c r="E3020"/>
  <c r="E3012"/>
  <c r="E3004"/>
  <c r="E2996"/>
  <c r="E2988"/>
  <c r="E2980"/>
  <c r="E2972"/>
  <c r="E2964"/>
  <c r="E2956"/>
  <c r="E2948"/>
  <c r="E2940"/>
  <c r="E2932"/>
  <c r="E2924"/>
  <c r="E2916"/>
  <c r="E2908"/>
  <c r="E2900"/>
  <c r="E2892"/>
  <c r="E3892"/>
  <c r="E3956"/>
  <c r="E4020"/>
  <c r="E4084"/>
  <c r="E4148"/>
  <c r="E4212"/>
  <c r="E4276"/>
  <c r="E4340"/>
  <c r="E3831"/>
  <c r="E3765"/>
  <c r="E3680"/>
  <c r="E6104"/>
  <c r="E6120"/>
  <c r="E6136"/>
  <c r="E6152"/>
  <c r="E6168"/>
  <c r="E6184"/>
  <c r="E6200"/>
  <c r="E6216"/>
  <c r="E6232"/>
  <c r="E6248"/>
  <c r="E6264"/>
  <c r="E6280"/>
  <c r="E6296"/>
  <c r="E6312"/>
  <c r="E6328"/>
  <c r="E6344"/>
  <c r="E6360"/>
  <c r="E6376"/>
  <c r="E6392"/>
  <c r="E6408"/>
  <c r="E6424"/>
  <c r="E6440"/>
  <c r="E6456"/>
  <c r="E6472"/>
  <c r="E6488"/>
  <c r="E6504"/>
  <c r="E6520"/>
  <c r="E6536"/>
  <c r="E6552"/>
  <c r="E6083"/>
  <c r="E6067"/>
  <c r="E6051"/>
  <c r="E6035"/>
  <c r="E6019"/>
  <c r="E6003"/>
  <c r="E5987"/>
  <c r="E5971"/>
  <c r="E5955"/>
  <c r="E5939"/>
  <c r="E5923"/>
  <c r="E5907"/>
  <c r="E5891"/>
  <c r="E5875"/>
  <c r="E5859"/>
  <c r="E5843"/>
  <c r="E7167"/>
  <c r="E3988"/>
  <c r="E4180"/>
  <c r="E4308"/>
  <c r="E3799"/>
  <c r="E3637"/>
  <c r="G90" i="14"/>
  <c r="G93" s="1"/>
  <c r="E3143" i="44"/>
  <c r="E3147"/>
  <c r="E3151"/>
  <c r="E3155"/>
  <c r="E3159"/>
  <c r="E3163"/>
  <c r="E3167"/>
  <c r="E3171"/>
  <c r="E3175"/>
  <c r="E3179"/>
  <c r="E3183"/>
  <c r="E3187"/>
  <c r="E3191"/>
  <c r="E3195"/>
  <c r="E3199"/>
  <c r="E3203"/>
  <c r="E3207"/>
  <c r="E3211"/>
  <c r="E3215"/>
  <c r="E3219"/>
  <c r="E3223"/>
  <c r="E3227"/>
  <c r="E3231"/>
  <c r="E3235"/>
  <c r="E3239"/>
  <c r="E3243"/>
  <c r="E3247"/>
  <c r="E3251"/>
  <c r="E3255"/>
  <c r="E3259"/>
  <c r="E3263"/>
  <c r="E3267"/>
  <c r="E3271"/>
  <c r="E3275"/>
  <c r="E3279"/>
  <c r="E3283"/>
  <c r="E3287"/>
  <c r="E3291"/>
  <c r="E3295"/>
  <c r="E3299"/>
  <c r="E3303"/>
  <c r="E3307"/>
  <c r="E3311"/>
  <c r="E3315"/>
  <c r="E3319"/>
  <c r="E3323"/>
  <c r="E3327"/>
  <c r="E3331"/>
  <c r="E3335"/>
  <c r="E3339"/>
  <c r="E3343"/>
  <c r="E3347"/>
  <c r="E3351"/>
  <c r="E3355"/>
  <c r="E3359"/>
  <c r="E3363"/>
  <c r="E3367"/>
  <c r="E3371"/>
  <c r="E3375"/>
  <c r="E3379"/>
  <c r="E3383"/>
  <c r="E3387"/>
  <c r="E3391"/>
  <c r="E3395"/>
  <c r="E3399"/>
  <c r="E3403"/>
  <c r="E3407"/>
  <c r="E3411"/>
  <c r="E3416"/>
  <c r="E3421"/>
  <c r="E3427"/>
  <c r="E3432"/>
  <c r="E3440"/>
  <c r="E3448"/>
  <c r="E3456"/>
  <c r="E3464"/>
  <c r="E3472"/>
  <c r="E3480"/>
  <c r="E3488"/>
  <c r="E3496"/>
  <c r="E3504"/>
  <c r="E3512"/>
  <c r="E3520"/>
  <c r="E3528"/>
  <c r="E3536"/>
  <c r="E3544"/>
  <c r="E3552"/>
  <c r="E3560"/>
  <c r="E3568"/>
  <c r="E3576"/>
  <c r="E3584"/>
  <c r="E3592"/>
  <c r="E3600"/>
  <c r="E3608"/>
  <c r="E3616"/>
  <c r="E3624"/>
  <c r="E3139"/>
  <c r="E3131"/>
  <c r="E3123"/>
  <c r="E3115"/>
  <c r="E3107"/>
  <c r="E3099"/>
  <c r="E3091"/>
  <c r="E3083"/>
  <c r="E3075"/>
  <c r="E3067"/>
  <c r="E3059"/>
  <c r="E3051"/>
  <c r="E3043"/>
  <c r="E3035"/>
  <c r="E3027"/>
  <c r="E3019"/>
  <c r="E3011"/>
  <c r="E3003"/>
  <c r="E2995"/>
  <c r="E2987"/>
  <c r="E2979"/>
  <c r="E2971"/>
  <c r="E2963"/>
  <c r="E2955"/>
  <c r="E2947"/>
  <c r="E2939"/>
  <c r="E2931"/>
  <c r="E2923"/>
  <c r="E2915"/>
  <c r="E2907"/>
  <c r="E2899"/>
  <c r="E3912"/>
  <c r="E3976"/>
  <c r="E4040"/>
  <c r="E4104"/>
  <c r="E4168"/>
  <c r="E4232"/>
  <c r="E4296"/>
  <c r="E3875"/>
  <c r="E3811"/>
  <c r="E3739"/>
  <c r="E6109"/>
  <c r="E6125"/>
  <c r="E6141"/>
  <c r="E6157"/>
  <c r="E6173"/>
  <c r="E6189"/>
  <c r="E6205"/>
  <c r="E6221"/>
  <c r="E6237"/>
  <c r="E6253"/>
  <c r="E6269"/>
  <c r="E6285"/>
  <c r="E6301"/>
  <c r="E6317"/>
  <c r="E6333"/>
  <c r="E6349"/>
  <c r="E6365"/>
  <c r="E6381"/>
  <c r="E6397"/>
  <c r="E6413"/>
  <c r="E6429"/>
  <c r="E6445"/>
  <c r="E6461"/>
  <c r="E6477"/>
  <c r="E6493"/>
  <c r="E6509"/>
  <c r="E6525"/>
  <c r="E6541"/>
  <c r="E5837"/>
  <c r="E6078"/>
  <c r="E6062"/>
  <c r="E6046"/>
  <c r="E6030"/>
  <c r="E6014"/>
  <c r="E5998"/>
  <c r="E5982"/>
  <c r="E5966"/>
  <c r="E5950"/>
  <c r="E5934"/>
  <c r="E5918"/>
  <c r="E5902"/>
  <c r="E5886"/>
  <c r="E5870"/>
  <c r="E5854"/>
  <c r="E3631"/>
  <c r="E3643"/>
  <c r="E3664"/>
  <c r="E3685"/>
  <c r="E3707"/>
  <c r="E3728"/>
  <c r="E3749"/>
  <c r="E3771"/>
  <c r="E3787"/>
  <c r="E3803"/>
  <c r="E3819"/>
  <c r="E3835"/>
  <c r="E3851"/>
  <c r="E3867"/>
  <c r="E3883"/>
  <c r="E4336"/>
  <c r="E4320"/>
  <c r="E4304"/>
  <c r="E4288"/>
  <c r="E4272"/>
  <c r="E4256"/>
  <c r="E4240"/>
  <c r="E4224"/>
  <c r="E4208"/>
  <c r="E4192"/>
  <c r="E4176"/>
  <c r="E4160"/>
  <c r="E4144"/>
  <c r="E4128"/>
  <c r="E4112"/>
  <c r="E4096"/>
  <c r="E4080"/>
  <c r="E4064"/>
  <c r="E4048"/>
  <c r="E4032"/>
  <c r="E4016"/>
  <c r="E4000"/>
  <c r="E3984"/>
  <c r="E3968"/>
  <c r="E3952"/>
  <c r="E3936"/>
  <c r="E3920"/>
  <c r="E3904"/>
  <c r="E3888"/>
  <c r="E3648"/>
  <c r="E3669"/>
  <c r="E3691"/>
  <c r="E3712"/>
  <c r="E3733"/>
  <c r="E3755"/>
  <c r="E3775"/>
  <c r="E3791"/>
  <c r="E3807"/>
  <c r="E3823"/>
  <c r="E3839"/>
  <c r="E3855"/>
  <c r="E3871"/>
  <c r="E4348"/>
  <c r="E4332"/>
  <c r="E4316"/>
  <c r="E4300"/>
  <c r="E4284"/>
  <c r="E4268"/>
  <c r="E4252"/>
  <c r="E4236"/>
  <c r="E4220"/>
  <c r="E4204"/>
  <c r="E4188"/>
  <c r="E4172"/>
  <c r="E4156"/>
  <c r="E4140"/>
  <c r="E4124"/>
  <c r="E4108"/>
  <c r="E4092"/>
  <c r="E4076"/>
  <c r="E4060"/>
  <c r="E4044"/>
  <c r="E4028"/>
  <c r="E4012"/>
  <c r="E3996"/>
  <c r="E3980"/>
  <c r="E3964"/>
  <c r="E3948"/>
  <c r="E3932"/>
  <c r="E3916"/>
  <c r="E3900"/>
  <c r="E6589"/>
  <c r="E6613"/>
  <c r="E7246"/>
  <c r="E7103"/>
  <c r="E6975"/>
  <c r="E6861"/>
  <c r="E6677"/>
  <c r="E7199"/>
  <c r="E7071"/>
  <c r="E6943"/>
  <c r="E6845"/>
  <c r="E2889"/>
  <c r="E2893"/>
  <c r="E2897"/>
  <c r="E2901"/>
  <c r="E2905"/>
  <c r="E2909"/>
  <c r="E2913"/>
  <c r="E2917"/>
  <c r="E2921"/>
  <c r="E2925"/>
  <c r="E2929"/>
  <c r="E2933"/>
  <c r="E2937"/>
  <c r="E2941"/>
  <c r="E2945"/>
  <c r="E2949"/>
  <c r="E2953"/>
  <c r="E2957"/>
  <c r="E2961"/>
  <c r="E2965"/>
  <c r="E2969"/>
  <c r="E2973"/>
  <c r="E2977"/>
  <c r="E2981"/>
  <c r="E2985"/>
  <c r="E2989"/>
  <c r="E2993"/>
  <c r="E2997"/>
  <c r="E3001"/>
  <c r="E3005"/>
  <c r="E3009"/>
  <c r="E3013"/>
  <c r="E3017"/>
  <c r="E3021"/>
  <c r="E3025"/>
  <c r="E3029"/>
  <c r="E3033"/>
  <c r="E3037"/>
  <c r="E3041"/>
  <c r="E3045"/>
  <c r="E3049"/>
  <c r="E3053"/>
  <c r="E3057"/>
  <c r="E3061"/>
  <c r="E3065"/>
  <c r="E3069"/>
  <c r="E3073"/>
  <c r="E3077"/>
  <c r="E3081"/>
  <c r="E3085"/>
  <c r="E3089"/>
  <c r="E3093"/>
  <c r="E3097"/>
  <c r="E3101"/>
  <c r="E3105"/>
  <c r="E3109"/>
  <c r="E3113"/>
  <c r="E3117"/>
  <c r="E3121"/>
  <c r="E3125"/>
  <c r="E3129"/>
  <c r="E3133"/>
  <c r="E3137"/>
  <c r="E3141"/>
  <c r="E3626"/>
  <c r="E3622"/>
  <c r="E3618"/>
  <c r="E3614"/>
  <c r="E3610"/>
  <c r="E3606"/>
  <c r="E3602"/>
  <c r="E3598"/>
  <c r="E3594"/>
  <c r="E3590"/>
  <c r="E3586"/>
  <c r="E3582"/>
  <c r="E3578"/>
  <c r="E3574"/>
  <c r="E3570"/>
  <c r="E3566"/>
  <c r="E3562"/>
  <c r="E3558"/>
  <c r="E3554"/>
  <c r="E3550"/>
  <c r="E3546"/>
  <c r="E3542"/>
  <c r="E3538"/>
  <c r="E3534"/>
  <c r="E3530"/>
  <c r="E3526"/>
  <c r="E3522"/>
  <c r="E3518"/>
  <c r="E3514"/>
  <c r="E3510"/>
  <c r="E3506"/>
  <c r="E3502"/>
  <c r="E3498"/>
  <c r="E3494"/>
  <c r="E3490"/>
  <c r="E3486"/>
  <c r="E3482"/>
  <c r="E3478"/>
  <c r="E3474"/>
  <c r="E3470"/>
  <c r="E3466"/>
  <c r="E3462"/>
  <c r="E3458"/>
  <c r="E3454"/>
  <c r="E3450"/>
  <c r="E3446"/>
  <c r="E3442"/>
  <c r="E3438"/>
  <c r="E3434"/>
  <c r="E3430"/>
  <c r="E3426"/>
  <c r="E3422"/>
  <c r="E3418"/>
  <c r="E3414"/>
  <c r="E2886"/>
  <c r="E2890"/>
  <c r="E2894"/>
  <c r="E2898"/>
  <c r="E2902"/>
  <c r="E2906"/>
  <c r="E2910"/>
  <c r="E2914"/>
  <c r="E2918"/>
  <c r="E2922"/>
  <c r="E2926"/>
  <c r="E2930"/>
  <c r="E2934"/>
  <c r="E2938"/>
  <c r="E2942"/>
  <c r="E2946"/>
  <c r="E2950"/>
  <c r="E2954"/>
  <c r="E2958"/>
  <c r="E2962"/>
  <c r="E2966"/>
  <c r="E2970"/>
  <c r="E2974"/>
  <c r="E2978"/>
  <c r="E2982"/>
  <c r="E2986"/>
  <c r="E2990"/>
  <c r="E2994"/>
  <c r="E2998"/>
  <c r="E3002"/>
  <c r="E3006"/>
  <c r="E3010"/>
  <c r="E3014"/>
  <c r="E3018"/>
  <c r="E3022"/>
  <c r="E3026"/>
  <c r="E3030"/>
  <c r="E3034"/>
  <c r="E3038"/>
  <c r="E3042"/>
  <c r="E3046"/>
  <c r="E3050"/>
  <c r="E3054"/>
  <c r="E3058"/>
  <c r="E3062"/>
  <c r="E3066"/>
  <c r="E3070"/>
  <c r="E3074"/>
  <c r="E3078"/>
  <c r="E3082"/>
  <c r="E3086"/>
  <c r="E3090"/>
  <c r="E3094"/>
  <c r="E3098"/>
  <c r="E3102"/>
  <c r="E3106"/>
  <c r="E3110"/>
  <c r="E3114"/>
  <c r="E3118"/>
  <c r="E3122"/>
  <c r="E3126"/>
  <c r="E3130"/>
  <c r="E3134"/>
  <c r="E3138"/>
  <c r="E2885"/>
  <c r="E3625"/>
  <c r="E3621"/>
  <c r="E3617"/>
  <c r="E3613"/>
  <c r="E3609"/>
  <c r="E3605"/>
  <c r="E3601"/>
  <c r="E3597"/>
  <c r="E3593"/>
  <c r="E3589"/>
  <c r="E3585"/>
  <c r="E3581"/>
  <c r="E3577"/>
  <c r="E3573"/>
  <c r="E3569"/>
  <c r="E3565"/>
  <c r="E3561"/>
  <c r="E3557"/>
  <c r="E3553"/>
  <c r="E3549"/>
  <c r="E3545"/>
  <c r="E3541"/>
  <c r="E3537"/>
  <c r="E3533"/>
  <c r="E3529"/>
  <c r="E3525"/>
  <c r="E3521"/>
  <c r="E3517"/>
  <c r="E3513"/>
  <c r="E3509"/>
  <c r="E3505"/>
  <c r="E3501"/>
  <c r="E3497"/>
  <c r="E3493"/>
  <c r="E3489"/>
  <c r="E3485"/>
  <c r="E3481"/>
  <c r="E3477"/>
  <c r="E3473"/>
  <c r="E3469"/>
  <c r="E3465"/>
  <c r="E3461"/>
  <c r="E3457"/>
  <c r="E3453"/>
  <c r="E3449"/>
  <c r="E3445"/>
  <c r="E3441"/>
  <c r="E3437"/>
  <c r="E3433"/>
  <c r="E5839"/>
  <c r="E5847"/>
  <c r="E5855"/>
  <c r="E5863"/>
  <c r="E5871"/>
  <c r="E5879"/>
  <c r="E5887"/>
  <c r="E5895"/>
  <c r="E5903"/>
  <c r="E5911"/>
  <c r="E5919"/>
  <c r="E5927"/>
  <c r="E5935"/>
  <c r="E5943"/>
  <c r="E5951"/>
  <c r="E5959"/>
  <c r="E5967"/>
  <c r="E5975"/>
  <c r="E5983"/>
  <c r="E5991"/>
  <c r="E5999"/>
  <c r="E6007"/>
  <c r="E6015"/>
  <c r="E6023"/>
  <c r="E6031"/>
  <c r="E6039"/>
  <c r="E6047"/>
  <c r="E6055"/>
  <c r="E6063"/>
  <c r="E6071"/>
  <c r="E6079"/>
  <c r="E6087"/>
  <c r="E6556"/>
  <c r="E6548"/>
  <c r="E6540"/>
  <c r="E6532"/>
  <c r="E6524"/>
  <c r="E6516"/>
  <c r="E6508"/>
  <c r="E6500"/>
  <c r="E6492"/>
  <c r="E6484"/>
  <c r="E6476"/>
  <c r="E6468"/>
  <c r="E6460"/>
  <c r="E6452"/>
  <c r="E6444"/>
  <c r="E6436"/>
  <c r="E6428"/>
  <c r="E6420"/>
  <c r="E6412"/>
  <c r="E6404"/>
  <c r="E6396"/>
  <c r="E6388"/>
  <c r="E6380"/>
  <c r="E6372"/>
  <c r="E6364"/>
  <c r="E6356"/>
  <c r="E6348"/>
  <c r="E6340"/>
  <c r="E6332"/>
  <c r="E6324"/>
  <c r="E6316"/>
  <c r="E6308"/>
  <c r="E6300"/>
  <c r="E6292"/>
  <c r="E6284"/>
  <c r="E6276"/>
  <c r="E6268"/>
  <c r="E6260"/>
  <c r="E6252"/>
  <c r="E6244"/>
  <c r="E6236"/>
  <c r="E6228"/>
  <c r="E6220"/>
  <c r="E6212"/>
  <c r="E6204"/>
  <c r="E6196"/>
  <c r="E6188"/>
  <c r="E6180"/>
  <c r="E6172"/>
  <c r="E6164"/>
  <c r="E6156"/>
  <c r="E6148"/>
  <c r="E6140"/>
  <c r="E6132"/>
  <c r="E6124"/>
  <c r="E6116"/>
  <c r="E6108"/>
  <c r="E6100"/>
  <c r="E5842"/>
  <c r="E5850"/>
  <c r="E5858"/>
  <c r="E5866"/>
  <c r="E5874"/>
  <c r="E5882"/>
  <c r="E5890"/>
  <c r="E5898"/>
  <c r="E5906"/>
  <c r="E5914"/>
  <c r="E5922"/>
  <c r="E5930"/>
  <c r="E5938"/>
  <c r="E5946"/>
  <c r="E5954"/>
  <c r="E5962"/>
  <c r="E5970"/>
  <c r="E5978"/>
  <c r="E5986"/>
  <c r="E5994"/>
  <c r="E6002"/>
  <c r="E6010"/>
  <c r="E6018"/>
  <c r="E6026"/>
  <c r="E6034"/>
  <c r="E6042"/>
  <c r="E6050"/>
  <c r="E6058"/>
  <c r="E6066"/>
  <c r="E6074"/>
  <c r="E6082"/>
  <c r="E6090"/>
  <c r="E6553"/>
  <c r="E6545"/>
  <c r="E6537"/>
  <c r="E6529"/>
  <c r="E6521"/>
  <c r="E6513"/>
  <c r="E6505"/>
  <c r="E6497"/>
  <c r="E6489"/>
  <c r="E6481"/>
  <c r="E6473"/>
  <c r="E6465"/>
  <c r="E6457"/>
  <c r="E6449"/>
  <c r="E6441"/>
  <c r="E6433"/>
  <c r="E6425"/>
  <c r="E6417"/>
  <c r="E6409"/>
  <c r="E6401"/>
  <c r="E6393"/>
  <c r="E6385"/>
  <c r="E6377"/>
  <c r="E6369"/>
  <c r="E6361"/>
  <c r="E6353"/>
  <c r="E6345"/>
  <c r="E6337"/>
  <c r="E6329"/>
  <c r="E6321"/>
  <c r="E6313"/>
  <c r="E6305"/>
  <c r="E6297"/>
  <c r="E6289"/>
  <c r="E6281"/>
  <c r="E6273"/>
  <c r="E6265"/>
  <c r="E6257"/>
  <c r="E6249"/>
  <c r="E6241"/>
  <c r="E6233"/>
  <c r="E6225"/>
  <c r="E6217"/>
  <c r="E6209"/>
  <c r="E6201"/>
  <c r="E6193"/>
  <c r="E6185"/>
  <c r="E6177"/>
  <c r="E6169"/>
  <c r="E6161"/>
  <c r="E6153"/>
  <c r="E6145"/>
  <c r="E6137"/>
  <c r="E6129"/>
  <c r="E6121"/>
  <c r="E6113"/>
  <c r="E6105"/>
  <c r="E6097"/>
  <c r="D90" i="14"/>
  <c r="D94" s="1"/>
  <c r="C90"/>
  <c r="C94" s="1"/>
  <c r="I30" i="12"/>
  <c r="D22" i="10"/>
  <c r="F25" i="14"/>
  <c r="F27" s="1"/>
  <c r="F46"/>
  <c r="F48" s="1"/>
  <c r="J20" i="12"/>
  <c r="E3908" i="44"/>
  <c r="E3940"/>
  <c r="E3972"/>
  <c r="E4004"/>
  <c r="E4036"/>
  <c r="E4068"/>
  <c r="E4100"/>
  <c r="E4132"/>
  <c r="E4164"/>
  <c r="E4196"/>
  <c r="E4228"/>
  <c r="E4260"/>
  <c r="E4292"/>
  <c r="E4324"/>
  <c r="E3879"/>
  <c r="E3847"/>
  <c r="E3815"/>
  <c r="E3783"/>
  <c r="E3744"/>
  <c r="E3701"/>
  <c r="E3659"/>
  <c r="E6879"/>
  <c r="E7135"/>
  <c r="G74" i="14"/>
  <c r="D35"/>
  <c r="D37" s="1"/>
  <c r="D43" s="1"/>
  <c r="H22" i="10"/>
  <c r="C35" i="14"/>
  <c r="C37" s="1"/>
  <c r="J21" i="12"/>
  <c r="E3896" i="44"/>
  <c r="E3928"/>
  <c r="E3960"/>
  <c r="E3992"/>
  <c r="E4024"/>
  <c r="E4056"/>
  <c r="E4088"/>
  <c r="E4120"/>
  <c r="E4152"/>
  <c r="E4184"/>
  <c r="E4216"/>
  <c r="E4248"/>
  <c r="E4280"/>
  <c r="E4312"/>
  <c r="E4344"/>
  <c r="E3859"/>
  <c r="E3827"/>
  <c r="E3795"/>
  <c r="E3760"/>
  <c r="E3717"/>
  <c r="E3675"/>
  <c r="E3632"/>
  <c r="E6829"/>
  <c r="E7039"/>
  <c r="E6741"/>
  <c r="M51" i="40"/>
  <c r="N51" s="1"/>
  <c r="G27" i="10"/>
  <c r="F23"/>
  <c r="H30"/>
  <c r="N58" i="14"/>
  <c r="C28" i="10"/>
  <c r="E90" i="14"/>
  <c r="D63"/>
  <c r="D68" s="1"/>
  <c r="I90"/>
  <c r="I93" s="1"/>
  <c r="M35"/>
  <c r="H29" i="10"/>
  <c r="J29" i="12"/>
  <c r="K23"/>
  <c r="E3889" i="44"/>
  <c r="E3893"/>
  <c r="E3897"/>
  <c r="E3901"/>
  <c r="E3905"/>
  <c r="E3909"/>
  <c r="E3913"/>
  <c r="E3917"/>
  <c r="E3921"/>
  <c r="E3925"/>
  <c r="E3929"/>
  <c r="E3933"/>
  <c r="E3937"/>
  <c r="E3941"/>
  <c r="E3945"/>
  <c r="E3949"/>
  <c r="E3953"/>
  <c r="E3957"/>
  <c r="E3961"/>
  <c r="E3965"/>
  <c r="E3969"/>
  <c r="E3973"/>
  <c r="E3977"/>
  <c r="E3981"/>
  <c r="E3985"/>
  <c r="E3989"/>
  <c r="E3993"/>
  <c r="E3997"/>
  <c r="E4001"/>
  <c r="E4005"/>
  <c r="E4009"/>
  <c r="E4013"/>
  <c r="E4017"/>
  <c r="E4021"/>
  <c r="E4025"/>
  <c r="E4029"/>
  <c r="E4033"/>
  <c r="E4037"/>
  <c r="E4041"/>
  <c r="E4045"/>
  <c r="E4049"/>
  <c r="E4053"/>
  <c r="E4057"/>
  <c r="E4061"/>
  <c r="E4065"/>
  <c r="E4069"/>
  <c r="E4073"/>
  <c r="E4077"/>
  <c r="E4081"/>
  <c r="E4085"/>
  <c r="E4089"/>
  <c r="E4093"/>
  <c r="E4097"/>
  <c r="E4101"/>
  <c r="E4105"/>
  <c r="E4109"/>
  <c r="E4113"/>
  <c r="E4117"/>
  <c r="E4121"/>
  <c r="E4125"/>
  <c r="E4129"/>
  <c r="E4133"/>
  <c r="E4137"/>
  <c r="E4141"/>
  <c r="E4145"/>
  <c r="E4149"/>
  <c r="E4153"/>
  <c r="E4157"/>
  <c r="E4161"/>
  <c r="E4165"/>
  <c r="E4169"/>
  <c r="E4173"/>
  <c r="E4177"/>
  <c r="E4181"/>
  <c r="E4185"/>
  <c r="E4189"/>
  <c r="E4193"/>
  <c r="E4197"/>
  <c r="E4201"/>
  <c r="E4205"/>
  <c r="E4209"/>
  <c r="E4213"/>
  <c r="E4217"/>
  <c r="E4221"/>
  <c r="E4225"/>
  <c r="E4229"/>
  <c r="E4233"/>
  <c r="E4237"/>
  <c r="E4241"/>
  <c r="E4245"/>
  <c r="E4249"/>
  <c r="E4253"/>
  <c r="E4257"/>
  <c r="E4261"/>
  <c r="E4265"/>
  <c r="E4269"/>
  <c r="E4273"/>
  <c r="E4277"/>
  <c r="E4281"/>
  <c r="E4285"/>
  <c r="E4289"/>
  <c r="E4293"/>
  <c r="E4297"/>
  <c r="E4301"/>
  <c r="E4305"/>
  <c r="E4309"/>
  <c r="E4313"/>
  <c r="E4317"/>
  <c r="E4321"/>
  <c r="E4325"/>
  <c r="E4329"/>
  <c r="E4333"/>
  <c r="E4337"/>
  <c r="E4341"/>
  <c r="E4345"/>
  <c r="E3629"/>
  <c r="E3882"/>
  <c r="E3878"/>
  <c r="E3874"/>
  <c r="E3870"/>
  <c r="E3866"/>
  <c r="E3862"/>
  <c r="E3858"/>
  <c r="E3854"/>
  <c r="E3850"/>
  <c r="E3846"/>
  <c r="E3842"/>
  <c r="E3838"/>
  <c r="E3834"/>
  <c r="E3830"/>
  <c r="E3826"/>
  <c r="E3822"/>
  <c r="E3818"/>
  <c r="E3814"/>
  <c r="E3810"/>
  <c r="E3806"/>
  <c r="E3802"/>
  <c r="E3798"/>
  <c r="E3794"/>
  <c r="E3790"/>
  <c r="E3786"/>
  <c r="E3782"/>
  <c r="E3778"/>
  <c r="E3774"/>
  <c r="E3769"/>
  <c r="E3764"/>
  <c r="E3759"/>
  <c r="E3753"/>
  <c r="E3748"/>
  <c r="E3743"/>
  <c r="E3737"/>
  <c r="E3732"/>
  <c r="E3727"/>
  <c r="E3721"/>
  <c r="E3716"/>
  <c r="E3711"/>
  <c r="E3705"/>
  <c r="E3700"/>
  <c r="E3695"/>
  <c r="E3689"/>
  <c r="E3684"/>
  <c r="E3679"/>
  <c r="E3673"/>
  <c r="E3668"/>
  <c r="E3663"/>
  <c r="E3657"/>
  <c r="E3652"/>
  <c r="E3647"/>
  <c r="E3641"/>
  <c r="E3636"/>
  <c r="E6819"/>
  <c r="E6835"/>
  <c r="E6851"/>
  <c r="E6867"/>
  <c r="E6891"/>
  <c r="E6923"/>
  <c r="E6955"/>
  <c r="E6987"/>
  <c r="E7019"/>
  <c r="E7051"/>
  <c r="E7083"/>
  <c r="E7115"/>
  <c r="E7147"/>
  <c r="E7179"/>
  <c r="E7211"/>
  <c r="E7270"/>
  <c r="E6781"/>
  <c r="E6717"/>
  <c r="E6653"/>
  <c r="E3630"/>
  <c r="E3634"/>
  <c r="E3638"/>
  <c r="E3642"/>
  <c r="E3646"/>
  <c r="E3650"/>
  <c r="E3654"/>
  <c r="E3658"/>
  <c r="E3662"/>
  <c r="E3666"/>
  <c r="E3670"/>
  <c r="E3674"/>
  <c r="E3678"/>
  <c r="E3682"/>
  <c r="E3686"/>
  <c r="E3690"/>
  <c r="E3694"/>
  <c r="E3698"/>
  <c r="E3702"/>
  <c r="E3706"/>
  <c r="E3710"/>
  <c r="E3714"/>
  <c r="E3718"/>
  <c r="E3722"/>
  <c r="E3726"/>
  <c r="E3730"/>
  <c r="E3734"/>
  <c r="E3738"/>
  <c r="E3742"/>
  <c r="E3746"/>
  <c r="E3750"/>
  <c r="E3754"/>
  <c r="E3758"/>
  <c r="E3762"/>
  <c r="E3766"/>
  <c r="E3770"/>
  <c r="E6561"/>
  <c r="E6565"/>
  <c r="E6597"/>
  <c r="E6629"/>
  <c r="E6661"/>
  <c r="E6693"/>
  <c r="E6725"/>
  <c r="E6757"/>
  <c r="E6789"/>
  <c r="E7294"/>
  <c r="E7262"/>
  <c r="E7230"/>
  <c r="E7207"/>
  <c r="E7191"/>
  <c r="E7175"/>
  <c r="E7159"/>
  <c r="E7143"/>
  <c r="E7127"/>
  <c r="E7111"/>
  <c r="E7095"/>
  <c r="E7079"/>
  <c r="E7063"/>
  <c r="E7047"/>
  <c r="E7031"/>
  <c r="E7015"/>
  <c r="E6999"/>
  <c r="E6983"/>
  <c r="E6967"/>
  <c r="E6951"/>
  <c r="E6935"/>
  <c r="E6919"/>
  <c r="E6903"/>
  <c r="E6887"/>
  <c r="E6873"/>
  <c r="E6865"/>
  <c r="E6857"/>
  <c r="E6849"/>
  <c r="E6841"/>
  <c r="E6833"/>
  <c r="E6825"/>
  <c r="E6817"/>
  <c r="E6573"/>
  <c r="E6605"/>
  <c r="E6637"/>
  <c r="E6669"/>
  <c r="E6701"/>
  <c r="E6733"/>
  <c r="E6765"/>
  <c r="E6797"/>
  <c r="E7286"/>
  <c r="E7254"/>
  <c r="E7222"/>
  <c r="E7203"/>
  <c r="E7187"/>
  <c r="E7171"/>
  <c r="E7155"/>
  <c r="E7139"/>
  <c r="E7123"/>
  <c r="E7107"/>
  <c r="E7091"/>
  <c r="E7075"/>
  <c r="E7059"/>
  <c r="E7043"/>
  <c r="E7027"/>
  <c r="E7011"/>
  <c r="E6995"/>
  <c r="E6979"/>
  <c r="E6963"/>
  <c r="E6947"/>
  <c r="E6931"/>
  <c r="E6915"/>
  <c r="E6899"/>
  <c r="E6883"/>
  <c r="E6871"/>
  <c r="E6863"/>
  <c r="E6855"/>
  <c r="E6847"/>
  <c r="E6839"/>
  <c r="E6831"/>
  <c r="E6823"/>
  <c r="E6815"/>
  <c r="E5840"/>
  <c r="E5844"/>
  <c r="E5848"/>
  <c r="E5852"/>
  <c r="E5856"/>
  <c r="E5860"/>
  <c r="E5864"/>
  <c r="E5868"/>
  <c r="E5872"/>
  <c r="E5876"/>
  <c r="E5880"/>
  <c r="E5884"/>
  <c r="E5888"/>
  <c r="E5892"/>
  <c r="E5896"/>
  <c r="E5900"/>
  <c r="E5904"/>
  <c r="E5908"/>
  <c r="E5912"/>
  <c r="E5916"/>
  <c r="E5920"/>
  <c r="E5924"/>
  <c r="E5928"/>
  <c r="E5932"/>
  <c r="E5936"/>
  <c r="E5940"/>
  <c r="E5944"/>
  <c r="E5948"/>
  <c r="E5952"/>
  <c r="E5956"/>
  <c r="E5960"/>
  <c r="E5964"/>
  <c r="E5968"/>
  <c r="E5972"/>
  <c r="E5976"/>
  <c r="E5980"/>
  <c r="E5984"/>
  <c r="E5988"/>
  <c r="E5992"/>
  <c r="E5996"/>
  <c r="E6000"/>
  <c r="E6004"/>
  <c r="E6008"/>
  <c r="E6012"/>
  <c r="E6016"/>
  <c r="E6020"/>
  <c r="E6024"/>
  <c r="E6028"/>
  <c r="E6032"/>
  <c r="E6036"/>
  <c r="E6040"/>
  <c r="E6044"/>
  <c r="E6048"/>
  <c r="E6052"/>
  <c r="E6056"/>
  <c r="E6060"/>
  <c r="E6064"/>
  <c r="E6068"/>
  <c r="E6072"/>
  <c r="E6076"/>
  <c r="E6080"/>
  <c r="E6084"/>
  <c r="E6088"/>
  <c r="E6092"/>
  <c r="E6555"/>
  <c r="E6551"/>
  <c r="E6547"/>
  <c r="E6543"/>
  <c r="E6539"/>
  <c r="E6535"/>
  <c r="E6531"/>
  <c r="E6527"/>
  <c r="E6523"/>
  <c r="E6519"/>
  <c r="E6515"/>
  <c r="E6511"/>
  <c r="E6507"/>
  <c r="E6503"/>
  <c r="E6499"/>
  <c r="E6495"/>
  <c r="E6491"/>
  <c r="E6487"/>
  <c r="E6483"/>
  <c r="E6479"/>
  <c r="E6475"/>
  <c r="E6471"/>
  <c r="E6467"/>
  <c r="E6463"/>
  <c r="E6459"/>
  <c r="E6455"/>
  <c r="E6451"/>
  <c r="E6447"/>
  <c r="E6443"/>
  <c r="E6439"/>
  <c r="E6435"/>
  <c r="E6431"/>
  <c r="E6427"/>
  <c r="E6423"/>
  <c r="E6419"/>
  <c r="E6415"/>
  <c r="E6411"/>
  <c r="E6407"/>
  <c r="E6403"/>
  <c r="E6399"/>
  <c r="E6395"/>
  <c r="E6391"/>
  <c r="E6387"/>
  <c r="E6383"/>
  <c r="E6379"/>
  <c r="E6375"/>
  <c r="E6371"/>
  <c r="E6367"/>
  <c r="E6363"/>
  <c r="E6359"/>
  <c r="E6355"/>
  <c r="E6351"/>
  <c r="E6347"/>
  <c r="E6343"/>
  <c r="E6339"/>
  <c r="E6335"/>
  <c r="E6331"/>
  <c r="E6327"/>
  <c r="E6323"/>
  <c r="E6319"/>
  <c r="E6315"/>
  <c r="E6311"/>
  <c r="E6307"/>
  <c r="E6303"/>
  <c r="E6299"/>
  <c r="E6295"/>
  <c r="E6291"/>
  <c r="E6287"/>
  <c r="E6283"/>
  <c r="E6279"/>
  <c r="E6275"/>
  <c r="E6271"/>
  <c r="E6267"/>
  <c r="E6263"/>
  <c r="E6259"/>
  <c r="E6255"/>
  <c r="E6251"/>
  <c r="E6247"/>
  <c r="E6243"/>
  <c r="E6239"/>
  <c r="E6235"/>
  <c r="E6231"/>
  <c r="E6227"/>
  <c r="E6223"/>
  <c r="E6219"/>
  <c r="E6215"/>
  <c r="E6211"/>
  <c r="E6207"/>
  <c r="E6203"/>
  <c r="E6199"/>
  <c r="E6195"/>
  <c r="E6191"/>
  <c r="E6187"/>
  <c r="E6183"/>
  <c r="E6179"/>
  <c r="E6175"/>
  <c r="E6171"/>
  <c r="E6167"/>
  <c r="E6163"/>
  <c r="E6159"/>
  <c r="E6155"/>
  <c r="E6151"/>
  <c r="E6147"/>
  <c r="E6143"/>
  <c r="E6139"/>
  <c r="E6135"/>
  <c r="E6131"/>
  <c r="E6127"/>
  <c r="E6123"/>
  <c r="E6119"/>
  <c r="E6115"/>
  <c r="E6111"/>
  <c r="E6107"/>
  <c r="E6103"/>
  <c r="E6099"/>
  <c r="E6095"/>
  <c r="E5841"/>
  <c r="E5845"/>
  <c r="E5849"/>
  <c r="E5853"/>
  <c r="E5857"/>
  <c r="E5861"/>
  <c r="E5865"/>
  <c r="E5869"/>
  <c r="E5873"/>
  <c r="E5877"/>
  <c r="E5881"/>
  <c r="E5885"/>
  <c r="E5889"/>
  <c r="E5893"/>
  <c r="E5897"/>
  <c r="E5901"/>
  <c r="E5905"/>
  <c r="E5909"/>
  <c r="E5913"/>
  <c r="E5917"/>
  <c r="E5921"/>
  <c r="E5925"/>
  <c r="E5929"/>
  <c r="E5933"/>
  <c r="E5937"/>
  <c r="E5941"/>
  <c r="E5945"/>
  <c r="E5949"/>
  <c r="E5953"/>
  <c r="E5957"/>
  <c r="E5961"/>
  <c r="E5965"/>
  <c r="E5969"/>
  <c r="E5973"/>
  <c r="E5977"/>
  <c r="E5981"/>
  <c r="E5985"/>
  <c r="E5989"/>
  <c r="E5993"/>
  <c r="E5997"/>
  <c r="E6001"/>
  <c r="E6005"/>
  <c r="E6009"/>
  <c r="E6013"/>
  <c r="E6017"/>
  <c r="E6021"/>
  <c r="E6025"/>
  <c r="E6029"/>
  <c r="E6033"/>
  <c r="E6037"/>
  <c r="E6041"/>
  <c r="E6045"/>
  <c r="E6049"/>
  <c r="E6053"/>
  <c r="E6057"/>
  <c r="E6061"/>
  <c r="E6065"/>
  <c r="E6069"/>
  <c r="E6073"/>
  <c r="E6077"/>
  <c r="E6081"/>
  <c r="E6085"/>
  <c r="E6089"/>
  <c r="E6093"/>
  <c r="E6554"/>
  <c r="E6550"/>
  <c r="E6546"/>
  <c r="E6542"/>
  <c r="E6538"/>
  <c r="E6534"/>
  <c r="E6530"/>
  <c r="E6526"/>
  <c r="E6522"/>
  <c r="E6518"/>
  <c r="E6514"/>
  <c r="E6510"/>
  <c r="E6506"/>
  <c r="E6502"/>
  <c r="E6498"/>
  <c r="E6494"/>
  <c r="E6490"/>
  <c r="E6486"/>
  <c r="E6482"/>
  <c r="E6478"/>
  <c r="E6474"/>
  <c r="E6470"/>
  <c r="E6466"/>
  <c r="E6462"/>
  <c r="E6458"/>
  <c r="E6454"/>
  <c r="E6450"/>
  <c r="E6446"/>
  <c r="E6442"/>
  <c r="E6438"/>
  <c r="E6434"/>
  <c r="E6430"/>
  <c r="E6426"/>
  <c r="E6422"/>
  <c r="E6418"/>
  <c r="E6414"/>
  <c r="E6410"/>
  <c r="E6406"/>
  <c r="E6402"/>
  <c r="E6398"/>
  <c r="E6394"/>
  <c r="E6390"/>
  <c r="E6386"/>
  <c r="E6382"/>
  <c r="E6378"/>
  <c r="E6374"/>
  <c r="E6370"/>
  <c r="E6366"/>
  <c r="E6362"/>
  <c r="E6358"/>
  <c r="E6354"/>
  <c r="E6350"/>
  <c r="E6346"/>
  <c r="E6342"/>
  <c r="E6338"/>
  <c r="E6334"/>
  <c r="E6330"/>
  <c r="E6326"/>
  <c r="E6322"/>
  <c r="E6318"/>
  <c r="E6314"/>
  <c r="E6310"/>
  <c r="E6306"/>
  <c r="E6302"/>
  <c r="E6298"/>
  <c r="E6294"/>
  <c r="E6290"/>
  <c r="E6286"/>
  <c r="E6282"/>
  <c r="E6278"/>
  <c r="E6274"/>
  <c r="E6270"/>
  <c r="E6266"/>
  <c r="E6262"/>
  <c r="E6258"/>
  <c r="E6254"/>
  <c r="E6250"/>
  <c r="E6246"/>
  <c r="E6242"/>
  <c r="E6238"/>
  <c r="E6234"/>
  <c r="E6230"/>
  <c r="E6226"/>
  <c r="E6222"/>
  <c r="E6218"/>
  <c r="E6214"/>
  <c r="E6210"/>
  <c r="E6206"/>
  <c r="E6202"/>
  <c r="E6198"/>
  <c r="E6194"/>
  <c r="E6190"/>
  <c r="E6186"/>
  <c r="E6182"/>
  <c r="E6178"/>
  <c r="E6174"/>
  <c r="E6170"/>
  <c r="E6166"/>
  <c r="E6162"/>
  <c r="E6158"/>
  <c r="E6154"/>
  <c r="E6150"/>
  <c r="E6146"/>
  <c r="E6142"/>
  <c r="E6138"/>
  <c r="E6134"/>
  <c r="E6130"/>
  <c r="E6126"/>
  <c r="E6122"/>
  <c r="E6118"/>
  <c r="E6114"/>
  <c r="E6110"/>
  <c r="E6106"/>
  <c r="E6102"/>
  <c r="E6098"/>
  <c r="E6094"/>
  <c r="I26" i="12"/>
  <c r="J26"/>
  <c r="N90" i="14"/>
  <c r="N94" s="1"/>
  <c r="I25" i="10"/>
  <c r="C25"/>
  <c r="G25" i="14"/>
  <c r="G28" s="1"/>
  <c r="H74"/>
  <c r="H77" s="1"/>
  <c r="F108"/>
  <c r="D23" i="10"/>
  <c r="E26"/>
  <c r="J90" i="14"/>
  <c r="J95" s="1"/>
  <c r="J100" s="1"/>
  <c r="K24" i="12"/>
  <c r="E3887" i="44"/>
  <c r="E3891"/>
  <c r="E3895"/>
  <c r="E3899"/>
  <c r="E3903"/>
  <c r="E3907"/>
  <c r="E3911"/>
  <c r="E3915"/>
  <c r="E3919"/>
  <c r="E3923"/>
  <c r="E3927"/>
  <c r="E3931"/>
  <c r="E3935"/>
  <c r="E3939"/>
  <c r="E3943"/>
  <c r="E3947"/>
  <c r="E3951"/>
  <c r="E3955"/>
  <c r="E3959"/>
  <c r="E3963"/>
  <c r="E3967"/>
  <c r="E3971"/>
  <c r="E3975"/>
  <c r="E3979"/>
  <c r="E3983"/>
  <c r="E3987"/>
  <c r="E3991"/>
  <c r="E3995"/>
  <c r="E3999"/>
  <c r="E4003"/>
  <c r="E4007"/>
  <c r="E4011"/>
  <c r="E4015"/>
  <c r="E4019"/>
  <c r="E4023"/>
  <c r="E4027"/>
  <c r="E4031"/>
  <c r="E4035"/>
  <c r="E4039"/>
  <c r="E4043"/>
  <c r="E4047"/>
  <c r="E4051"/>
  <c r="E4055"/>
  <c r="E4059"/>
  <c r="E4063"/>
  <c r="E4067"/>
  <c r="E4071"/>
  <c r="E4075"/>
  <c r="E4079"/>
  <c r="E4083"/>
  <c r="E4087"/>
  <c r="E4091"/>
  <c r="E4095"/>
  <c r="E4099"/>
  <c r="E4103"/>
  <c r="E4107"/>
  <c r="E4111"/>
  <c r="E4115"/>
  <c r="E4119"/>
  <c r="E4123"/>
  <c r="E4127"/>
  <c r="E4131"/>
  <c r="E4135"/>
  <c r="E4139"/>
  <c r="E4143"/>
  <c r="E4147"/>
  <c r="E4151"/>
  <c r="E4155"/>
  <c r="E4159"/>
  <c r="E4163"/>
  <c r="E4167"/>
  <c r="E4171"/>
  <c r="E4175"/>
  <c r="E4179"/>
  <c r="E4183"/>
  <c r="E4187"/>
  <c r="E4191"/>
  <c r="E4195"/>
  <c r="E4199"/>
  <c r="E4203"/>
  <c r="E4207"/>
  <c r="E4211"/>
  <c r="E4215"/>
  <c r="E4219"/>
  <c r="E4223"/>
  <c r="E4227"/>
  <c r="E4231"/>
  <c r="E4235"/>
  <c r="E4239"/>
  <c r="E4243"/>
  <c r="E4247"/>
  <c r="E4251"/>
  <c r="E4255"/>
  <c r="E4259"/>
  <c r="E4263"/>
  <c r="E4267"/>
  <c r="E4271"/>
  <c r="E4275"/>
  <c r="E4279"/>
  <c r="E4283"/>
  <c r="E4287"/>
  <c r="E4291"/>
  <c r="E4295"/>
  <c r="E4299"/>
  <c r="E4303"/>
  <c r="E4307"/>
  <c r="E4311"/>
  <c r="E4315"/>
  <c r="E4319"/>
  <c r="E4323"/>
  <c r="E4327"/>
  <c r="E4331"/>
  <c r="E4335"/>
  <c r="E4339"/>
  <c r="E4343"/>
  <c r="E4347"/>
  <c r="E3884"/>
  <c r="E3880"/>
  <c r="E3876"/>
  <c r="E3872"/>
  <c r="E3868"/>
  <c r="E3864"/>
  <c r="E3860"/>
  <c r="E3856"/>
  <c r="E3852"/>
  <c r="E3848"/>
  <c r="E3844"/>
  <c r="E3840"/>
  <c r="E3836"/>
  <c r="E3832"/>
  <c r="E3828"/>
  <c r="E3824"/>
  <c r="E3820"/>
  <c r="E3816"/>
  <c r="E3812"/>
  <c r="E3808"/>
  <c r="E3804"/>
  <c r="E3800"/>
  <c r="E3796"/>
  <c r="E3792"/>
  <c r="E3788"/>
  <c r="E3784"/>
  <c r="E3780"/>
  <c r="E3776"/>
  <c r="E3772"/>
  <c r="E3767"/>
  <c r="E3761"/>
  <c r="E3756"/>
  <c r="E3751"/>
  <c r="E3745"/>
  <c r="E3740"/>
  <c r="E3735"/>
  <c r="E3729"/>
  <c r="E3724"/>
  <c r="E3719"/>
  <c r="E3713"/>
  <c r="E3708"/>
  <c r="E3703"/>
  <c r="E3697"/>
  <c r="E3692"/>
  <c r="E3687"/>
  <c r="E3681"/>
  <c r="E3676"/>
  <c r="E3671"/>
  <c r="E3665"/>
  <c r="E3660"/>
  <c r="E3655"/>
  <c r="E3649"/>
  <c r="E3644"/>
  <c r="E3639"/>
  <c r="E3633"/>
  <c r="E6827"/>
  <c r="E6843"/>
  <c r="E6859"/>
  <c r="E6875"/>
  <c r="E6907"/>
  <c r="E6939"/>
  <c r="E6971"/>
  <c r="E7003"/>
  <c r="E7035"/>
  <c r="E7067"/>
  <c r="E7099"/>
  <c r="E7131"/>
  <c r="E7163"/>
  <c r="E7195"/>
  <c r="E7238"/>
  <c r="E6813"/>
  <c r="E6749"/>
  <c r="E6685"/>
  <c r="E6621"/>
  <c r="E3886"/>
  <c r="E3890"/>
  <c r="E3894"/>
  <c r="E3898"/>
  <c r="E3902"/>
  <c r="E3906"/>
  <c r="E3910"/>
  <c r="E3914"/>
  <c r="E3918"/>
  <c r="E3922"/>
  <c r="E3926"/>
  <c r="E3930"/>
  <c r="E3934"/>
  <c r="E3938"/>
  <c r="E3942"/>
  <c r="E3946"/>
  <c r="E3950"/>
  <c r="E3954"/>
  <c r="E3958"/>
  <c r="E3962"/>
  <c r="E3966"/>
  <c r="E3970"/>
  <c r="E3974"/>
  <c r="E3978"/>
  <c r="E3982"/>
  <c r="E3986"/>
  <c r="E3990"/>
  <c r="E3994"/>
  <c r="E3998"/>
  <c r="E4002"/>
  <c r="E4006"/>
  <c r="E4010"/>
  <c r="E4014"/>
  <c r="E4018"/>
  <c r="E4022"/>
  <c r="E4026"/>
  <c r="E4030"/>
  <c r="E4034"/>
  <c r="E4038"/>
  <c r="E4042"/>
  <c r="E4046"/>
  <c r="E4050"/>
  <c r="E4054"/>
  <c r="E4058"/>
  <c r="E4062"/>
  <c r="E4066"/>
  <c r="E4070"/>
  <c r="E4074"/>
  <c r="E4078"/>
  <c r="E4082"/>
  <c r="E4086"/>
  <c r="E4090"/>
  <c r="E4094"/>
  <c r="E4098"/>
  <c r="E4102"/>
  <c r="E4106"/>
  <c r="E4110"/>
  <c r="E4114"/>
  <c r="E4118"/>
  <c r="E4122"/>
  <c r="E4126"/>
  <c r="E4130"/>
  <c r="E4134"/>
  <c r="E4138"/>
  <c r="E4142"/>
  <c r="E4146"/>
  <c r="E4150"/>
  <c r="E4154"/>
  <c r="E4158"/>
  <c r="E4162"/>
  <c r="E4166"/>
  <c r="E4170"/>
  <c r="E4174"/>
  <c r="E4178"/>
  <c r="E4182"/>
  <c r="E4186"/>
  <c r="E4190"/>
  <c r="E4194"/>
  <c r="E4198"/>
  <c r="E4202"/>
  <c r="E4206"/>
  <c r="E4210"/>
  <c r="E4214"/>
  <c r="E4218"/>
  <c r="E4222"/>
  <c r="E4226"/>
  <c r="E4230"/>
  <c r="E4234"/>
  <c r="E4238"/>
  <c r="E4242"/>
  <c r="E4246"/>
  <c r="E4250"/>
  <c r="E4254"/>
  <c r="E4258"/>
  <c r="E4262"/>
  <c r="E4266"/>
  <c r="E4270"/>
  <c r="E4274"/>
  <c r="E4278"/>
  <c r="E4282"/>
  <c r="E4286"/>
  <c r="E4290"/>
  <c r="E4294"/>
  <c r="E4298"/>
  <c r="E4302"/>
  <c r="E4306"/>
  <c r="E4310"/>
  <c r="E4314"/>
  <c r="E4318"/>
  <c r="E4322"/>
  <c r="E4326"/>
  <c r="E4330"/>
  <c r="E4334"/>
  <c r="E4338"/>
  <c r="E4342"/>
  <c r="E4346"/>
  <c r="E3885"/>
  <c r="E3881"/>
  <c r="E3877"/>
  <c r="E3873"/>
  <c r="E3869"/>
  <c r="E3865"/>
  <c r="E3861"/>
  <c r="E3857"/>
  <c r="E3853"/>
  <c r="E3849"/>
  <c r="E3845"/>
  <c r="E3841"/>
  <c r="E3837"/>
  <c r="E3833"/>
  <c r="E3829"/>
  <c r="E3825"/>
  <c r="E3821"/>
  <c r="E3817"/>
  <c r="E3813"/>
  <c r="E3809"/>
  <c r="E3805"/>
  <c r="E3801"/>
  <c r="E3797"/>
  <c r="E3793"/>
  <c r="E3789"/>
  <c r="E3785"/>
  <c r="E3781"/>
  <c r="E3777"/>
  <c r="E3773"/>
  <c r="E3768"/>
  <c r="E3763"/>
  <c r="E3757"/>
  <c r="E3752"/>
  <c r="E3747"/>
  <c r="E3741"/>
  <c r="E3736"/>
  <c r="E3731"/>
  <c r="E3725"/>
  <c r="E3720"/>
  <c r="E3715"/>
  <c r="E3709"/>
  <c r="E3704"/>
  <c r="E3699"/>
  <c r="E3693"/>
  <c r="E3688"/>
  <c r="E3683"/>
  <c r="E3677"/>
  <c r="E3672"/>
  <c r="E3667"/>
  <c r="E3661"/>
  <c r="E3656"/>
  <c r="E3651"/>
  <c r="E3645"/>
  <c r="E3640"/>
  <c r="E3635"/>
  <c r="E6821"/>
  <c r="E6837"/>
  <c r="E6853"/>
  <c r="E6869"/>
  <c r="E6895"/>
  <c r="E6927"/>
  <c r="E6959"/>
  <c r="E6991"/>
  <c r="E7023"/>
  <c r="E7055"/>
  <c r="E7087"/>
  <c r="E7119"/>
  <c r="E7151"/>
  <c r="E7183"/>
  <c r="E7215"/>
  <c r="E7278"/>
  <c r="E6773"/>
  <c r="E6709"/>
  <c r="E6645"/>
  <c r="E6581"/>
  <c r="J116" i="14"/>
  <c r="J123" s="1"/>
  <c r="H116"/>
  <c r="H123" s="1"/>
  <c r="F117"/>
  <c r="F124" s="1"/>
  <c r="N146"/>
  <c r="N147"/>
  <c r="N150" s="1"/>
  <c r="M16"/>
  <c r="M9" s="1"/>
  <c r="M148"/>
  <c r="M151" s="1"/>
  <c r="M146"/>
  <c r="O146"/>
  <c r="O147"/>
  <c r="O150" s="1"/>
  <c r="Q135"/>
  <c r="Q140" s="1"/>
  <c r="J135"/>
  <c r="J140" s="1"/>
  <c r="J132"/>
  <c r="N132"/>
  <c r="N135"/>
  <c r="N140" s="1"/>
  <c r="I131"/>
  <c r="I134"/>
  <c r="P134"/>
  <c r="P139" s="1"/>
  <c r="O131"/>
  <c r="I135"/>
  <c r="I132"/>
  <c r="M135"/>
  <c r="M140" s="1"/>
  <c r="M132"/>
  <c r="P135"/>
  <c r="P140" s="1"/>
  <c r="O132"/>
  <c r="O135"/>
  <c r="O140" s="1"/>
  <c r="O117"/>
  <c r="O124" s="1"/>
  <c r="H117"/>
  <c r="H124" s="1"/>
  <c r="J117"/>
  <c r="J124" s="1"/>
  <c r="G117"/>
  <c r="G124" s="1"/>
  <c r="F116"/>
  <c r="F123" s="1"/>
  <c r="I116"/>
  <c r="I123" s="1"/>
  <c r="N117"/>
  <c r="N124" s="1"/>
  <c r="D116"/>
  <c r="D123" s="1"/>
  <c r="D117"/>
  <c r="D124" s="1"/>
  <c r="M112"/>
  <c r="I112"/>
  <c r="I111"/>
  <c r="J96"/>
  <c r="J101" s="1"/>
  <c r="E93"/>
  <c r="E96"/>
  <c r="E101" s="1"/>
  <c r="F97"/>
  <c r="F102" s="1"/>
  <c r="N97"/>
  <c r="N102" s="1"/>
  <c r="I96"/>
  <c r="I101" s="1"/>
  <c r="G96"/>
  <c r="G101" s="1"/>
  <c r="F96"/>
  <c r="F101" s="1"/>
  <c r="E94"/>
  <c r="E97"/>
  <c r="E102" s="1"/>
  <c r="I97"/>
  <c r="I102" s="1"/>
  <c r="M97"/>
  <c r="M102" s="1"/>
  <c r="H96"/>
  <c r="H101" s="1"/>
  <c r="H97"/>
  <c r="H102" s="1"/>
  <c r="G97"/>
  <c r="G102" s="1"/>
  <c r="G94"/>
  <c r="J97"/>
  <c r="J102" s="1"/>
  <c r="O97"/>
  <c r="O102" s="1"/>
  <c r="D96"/>
  <c r="D101" s="1"/>
  <c r="D93"/>
  <c r="D97"/>
  <c r="D102" s="1"/>
  <c r="C61"/>
  <c r="C62"/>
  <c r="G65"/>
  <c r="G70" s="1"/>
  <c r="D81"/>
  <c r="D86" s="1"/>
  <c r="H81"/>
  <c r="H86" s="1"/>
  <c r="J81"/>
  <c r="J86" s="1"/>
  <c r="O65"/>
  <c r="O70" s="1"/>
  <c r="I80"/>
  <c r="I85" s="1"/>
  <c r="J61"/>
  <c r="J71" s="1"/>
  <c r="J64"/>
  <c r="J69" s="1"/>
  <c r="E64"/>
  <c r="E69" s="1"/>
  <c r="F65"/>
  <c r="F70" s="1"/>
  <c r="G78"/>
  <c r="G81"/>
  <c r="G86" s="1"/>
  <c r="M65"/>
  <c r="M70" s="1"/>
  <c r="N78"/>
  <c r="N81"/>
  <c r="N86" s="1"/>
  <c r="I64"/>
  <c r="I69" s="1"/>
  <c r="I61"/>
  <c r="J80"/>
  <c r="J85" s="1"/>
  <c r="E80"/>
  <c r="E85" s="1"/>
  <c r="H80"/>
  <c r="H85" s="1"/>
  <c r="G64"/>
  <c r="G69" s="1"/>
  <c r="F64"/>
  <c r="F69" s="1"/>
  <c r="D80"/>
  <c r="D85" s="1"/>
  <c r="E65"/>
  <c r="E70" s="1"/>
  <c r="I62"/>
  <c r="I65"/>
  <c r="I70" s="1"/>
  <c r="F81"/>
  <c r="F86" s="1"/>
  <c r="J65"/>
  <c r="J70" s="1"/>
  <c r="J62"/>
  <c r="J72" s="1"/>
  <c r="N65"/>
  <c r="N70" s="1"/>
  <c r="N62"/>
  <c r="H64"/>
  <c r="H69" s="1"/>
  <c r="G80"/>
  <c r="G85" s="1"/>
  <c r="G77"/>
  <c r="F80"/>
  <c r="F85" s="1"/>
  <c r="H65"/>
  <c r="H70" s="1"/>
  <c r="E81"/>
  <c r="E86" s="1"/>
  <c r="I81"/>
  <c r="I86" s="1"/>
  <c r="M81"/>
  <c r="M86" s="1"/>
  <c r="O81"/>
  <c r="O86" s="1"/>
  <c r="J63"/>
  <c r="J68" s="1"/>
  <c r="D65"/>
  <c r="D70" s="1"/>
  <c r="D62"/>
  <c r="D72" s="1"/>
  <c r="D64"/>
  <c r="D69" s="1"/>
  <c r="D61"/>
  <c r="D51"/>
  <c r="D55" s="1"/>
  <c r="J32"/>
  <c r="F29"/>
  <c r="F32" s="1"/>
  <c r="E51"/>
  <c r="E55" s="1"/>
  <c r="H51"/>
  <c r="H55" s="1"/>
  <c r="F51"/>
  <c r="F55" s="1"/>
  <c r="G51"/>
  <c r="G55" s="1"/>
  <c r="J51"/>
  <c r="J55" s="1"/>
  <c r="J39"/>
  <c r="J42" s="1"/>
  <c r="D39"/>
  <c r="D42" s="1"/>
  <c r="E39"/>
  <c r="E42" s="1"/>
  <c r="G39"/>
  <c r="G42" s="1"/>
  <c r="D29"/>
  <c r="H29"/>
  <c r="I39"/>
  <c r="I42" s="1"/>
  <c r="I37"/>
  <c r="H39"/>
  <c r="H42" s="1"/>
  <c r="F39"/>
  <c r="F42" s="1"/>
  <c r="E29"/>
  <c r="E32" s="1"/>
  <c r="G29"/>
  <c r="G32" s="1"/>
  <c r="I29"/>
  <c r="I32" s="1"/>
  <c r="D27"/>
  <c r="I10"/>
  <c r="O8"/>
  <c r="G10"/>
  <c r="F10"/>
  <c r="H10"/>
  <c r="J10"/>
  <c r="N7"/>
  <c r="M7"/>
  <c r="M129"/>
  <c r="J74"/>
  <c r="E28" i="10"/>
  <c r="F26"/>
  <c r="O74" i="14"/>
  <c r="O79" s="1"/>
  <c r="O84" s="1"/>
  <c r="M25"/>
  <c r="I31" i="10"/>
  <c r="N35" i="14"/>
  <c r="M90"/>
  <c r="M58"/>
  <c r="D29" i="10"/>
  <c r="J35" i="14"/>
  <c r="J38" s="1"/>
  <c r="J41" s="1"/>
  <c r="N26" i="12"/>
  <c r="I46" i="14"/>
  <c r="I187" s="1"/>
  <c r="H46"/>
  <c r="E31" i="10"/>
  <c r="D2167" i="44"/>
  <c r="D2169"/>
  <c r="D2171"/>
  <c r="D2173"/>
  <c r="D2175"/>
  <c r="D2177"/>
  <c r="D2179"/>
  <c r="D2181"/>
  <c r="D2183"/>
  <c r="D2185"/>
  <c r="D2187"/>
  <c r="D2189"/>
  <c r="D2191"/>
  <c r="D2193"/>
  <c r="D2195"/>
  <c r="D2197"/>
  <c r="D2199"/>
  <c r="D2201"/>
  <c r="D2203"/>
  <c r="D2205"/>
  <c r="D2207"/>
  <c r="D2209"/>
  <c r="D2211"/>
  <c r="D2213"/>
  <c r="D2215"/>
  <c r="D2217"/>
  <c r="D2219"/>
  <c r="D2221"/>
  <c r="D2223"/>
  <c r="D2225"/>
  <c r="D2227"/>
  <c r="D2229"/>
  <c r="D2231"/>
  <c r="D2233"/>
  <c r="D2235"/>
  <c r="D2237"/>
  <c r="D2239"/>
  <c r="D2241"/>
  <c r="D2243"/>
  <c r="D2245"/>
  <c r="D2247"/>
  <c r="D2249"/>
  <c r="D2251"/>
  <c r="D2253"/>
  <c r="D2255"/>
  <c r="D2257"/>
  <c r="D2259"/>
  <c r="D2261"/>
  <c r="D2263"/>
  <c r="D2265"/>
  <c r="D2267"/>
  <c r="D2269"/>
  <c r="D2271"/>
  <c r="D2273"/>
  <c r="D2275"/>
  <c r="D2277"/>
  <c r="D2279"/>
  <c r="D2281"/>
  <c r="D2283"/>
  <c r="D2285"/>
  <c r="D2287"/>
  <c r="D2289"/>
  <c r="D2291"/>
  <c r="D2293"/>
  <c r="D2295"/>
  <c r="D2297"/>
  <c r="D2299"/>
  <c r="D2301"/>
  <c r="D2303"/>
  <c r="D2305"/>
  <c r="D2307"/>
  <c r="D2309"/>
  <c r="D2311"/>
  <c r="D2313"/>
  <c r="D2315"/>
  <c r="D2317"/>
  <c r="D2319"/>
  <c r="D2321"/>
  <c r="D2323"/>
  <c r="D2325"/>
  <c r="D2327"/>
  <c r="D2329"/>
  <c r="D2331"/>
  <c r="D2333"/>
  <c r="D2335"/>
  <c r="D2337"/>
  <c r="D2339"/>
  <c r="D2341"/>
  <c r="D2343"/>
  <c r="D2345"/>
  <c r="D2347"/>
  <c r="D2349"/>
  <c r="D2351"/>
  <c r="D2353"/>
  <c r="D2355"/>
  <c r="D2357"/>
  <c r="D2359"/>
  <c r="D2361"/>
  <c r="D2363"/>
  <c r="D2365"/>
  <c r="D2367"/>
  <c r="D2369"/>
  <c r="D2371"/>
  <c r="D2373"/>
  <c r="D2375"/>
  <c r="D2377"/>
  <c r="D2379"/>
  <c r="D2381"/>
  <c r="D2383"/>
  <c r="D2385"/>
  <c r="D2387"/>
  <c r="D2389"/>
  <c r="D2391"/>
  <c r="D2393"/>
  <c r="D2395"/>
  <c r="D2397"/>
  <c r="D2399"/>
  <c r="D2401"/>
  <c r="D2403"/>
  <c r="D2405"/>
  <c r="D2407"/>
  <c r="D2409"/>
  <c r="D2411"/>
  <c r="D2413"/>
  <c r="D2415"/>
  <c r="D2417"/>
  <c r="D2419"/>
  <c r="D2421"/>
  <c r="D2423"/>
  <c r="D2425"/>
  <c r="D2427"/>
  <c r="D2429"/>
  <c r="D2431"/>
  <c r="D2433"/>
  <c r="D2435"/>
  <c r="D2437"/>
  <c r="D2439"/>
  <c r="D2441"/>
  <c r="D2443"/>
  <c r="D2445"/>
  <c r="D2447"/>
  <c r="D2449"/>
  <c r="D2451"/>
  <c r="D2453"/>
  <c r="D2455"/>
  <c r="D2457"/>
  <c r="D2459"/>
  <c r="D2461"/>
  <c r="D2463"/>
  <c r="D2465"/>
  <c r="D2467"/>
  <c r="D2469"/>
  <c r="D2471"/>
  <c r="D2473"/>
  <c r="D2475"/>
  <c r="D2477"/>
  <c r="D2479"/>
  <c r="D2481"/>
  <c r="D2483"/>
  <c r="D2485"/>
  <c r="D2487"/>
  <c r="D2489"/>
  <c r="D2491"/>
  <c r="D2493"/>
  <c r="D2495"/>
  <c r="D2497"/>
  <c r="D2499"/>
  <c r="D2501"/>
  <c r="D2503"/>
  <c r="D2505"/>
  <c r="D2507"/>
  <c r="D2509"/>
  <c r="D2511"/>
  <c r="D2513"/>
  <c r="D2515"/>
  <c r="D2517"/>
  <c r="D2519"/>
  <c r="D2521"/>
  <c r="D2523"/>
  <c r="D2525"/>
  <c r="D2527"/>
  <c r="D2529"/>
  <c r="D2531"/>
  <c r="D2533"/>
  <c r="D2535"/>
  <c r="D2537"/>
  <c r="D2539"/>
  <c r="D2541"/>
  <c r="D2543"/>
  <c r="D2545"/>
  <c r="D2547"/>
  <c r="D2549"/>
  <c r="D2551"/>
  <c r="D2553"/>
  <c r="D2555"/>
  <c r="D2557"/>
  <c r="D2559"/>
  <c r="D2561"/>
  <c r="D2563"/>
  <c r="D2565"/>
  <c r="D2567"/>
  <c r="D2569"/>
  <c r="D2571"/>
  <c r="D2573"/>
  <c r="D2575"/>
  <c r="D2577"/>
  <c r="D2579"/>
  <c r="D2581"/>
  <c r="D2583"/>
  <c r="D2585"/>
  <c r="D2587"/>
  <c r="D2589"/>
  <c r="D2591"/>
  <c r="D2593"/>
  <c r="D2595"/>
  <c r="D2597"/>
  <c r="D2599"/>
  <c r="D2601"/>
  <c r="D2603"/>
  <c r="D2605"/>
  <c r="D2607"/>
  <c r="D2609"/>
  <c r="D2611"/>
  <c r="D2613"/>
  <c r="D2615"/>
  <c r="D2617"/>
  <c r="D2619"/>
  <c r="D2621"/>
  <c r="D2623"/>
  <c r="D2625"/>
  <c r="D2627"/>
  <c r="D2629"/>
  <c r="D2631"/>
  <c r="D2633"/>
  <c r="D2635"/>
  <c r="D2637"/>
  <c r="D2639"/>
  <c r="D2641"/>
  <c r="D2643"/>
  <c r="D2645"/>
  <c r="D2647"/>
  <c r="D2649"/>
  <c r="D2651"/>
  <c r="D2653"/>
  <c r="D2655"/>
  <c r="D2657"/>
  <c r="D2659"/>
  <c r="D2661"/>
  <c r="D2663"/>
  <c r="D2665"/>
  <c r="D2667"/>
  <c r="D2669"/>
  <c r="D2671"/>
  <c r="D2673"/>
  <c r="D2675"/>
  <c r="D2677"/>
  <c r="D2679"/>
  <c r="D2681"/>
  <c r="D2683"/>
  <c r="D2685"/>
  <c r="D2687"/>
  <c r="D2689"/>
  <c r="D2691"/>
  <c r="D2693"/>
  <c r="D2695"/>
  <c r="D2697"/>
  <c r="D2699"/>
  <c r="D2701"/>
  <c r="D2703"/>
  <c r="D2705"/>
  <c r="D2707"/>
  <c r="D2709"/>
  <c r="D2711"/>
  <c r="D2713"/>
  <c r="D2715"/>
  <c r="D2717"/>
  <c r="D2719"/>
  <c r="D2721"/>
  <c r="D2723"/>
  <c r="D2725"/>
  <c r="D2727"/>
  <c r="D2729"/>
  <c r="D2731"/>
  <c r="D2733"/>
  <c r="D2735"/>
  <c r="D2737"/>
  <c r="D2739"/>
  <c r="D2741"/>
  <c r="D2743"/>
  <c r="D2745"/>
  <c r="D2747"/>
  <c r="D2749"/>
  <c r="D2751"/>
  <c r="D2753"/>
  <c r="D2755"/>
  <c r="D2757"/>
  <c r="D2759"/>
  <c r="D2761"/>
  <c r="D2763"/>
  <c r="D2765"/>
  <c r="D2767"/>
  <c r="D2769"/>
  <c r="D2771"/>
  <c r="D2773"/>
  <c r="D2775"/>
  <c r="D2777"/>
  <c r="D2779"/>
  <c r="D2781"/>
  <c r="D2783"/>
  <c r="D2785"/>
  <c r="D2787"/>
  <c r="D2789"/>
  <c r="D2791"/>
  <c r="D2793"/>
  <c r="D2795"/>
  <c r="D2797"/>
  <c r="D2799"/>
  <c r="D2801"/>
  <c r="D2803"/>
  <c r="D2805"/>
  <c r="D2807"/>
  <c r="D2809"/>
  <c r="D2811"/>
  <c r="D2813"/>
  <c r="D2815"/>
  <c r="D2817"/>
  <c r="D2819"/>
  <c r="D2821"/>
  <c r="D2823"/>
  <c r="D2825"/>
  <c r="D2827"/>
  <c r="D2829"/>
  <c r="D2831"/>
  <c r="D2833"/>
  <c r="D2835"/>
  <c r="D2837"/>
  <c r="D2839"/>
  <c r="D2841"/>
  <c r="D2843"/>
  <c r="D2845"/>
  <c r="D2847"/>
  <c r="D2849"/>
  <c r="D2851"/>
  <c r="D2853"/>
  <c r="D2855"/>
  <c r="D2857"/>
  <c r="D2859"/>
  <c r="D2861"/>
  <c r="D2863"/>
  <c r="D2865"/>
  <c r="D2867"/>
  <c r="D2869"/>
  <c r="D2871"/>
  <c r="D2873"/>
  <c r="D2875"/>
  <c r="D2877"/>
  <c r="D2879"/>
  <c r="D2881"/>
  <c r="D2883"/>
  <c r="D2165"/>
  <c r="D2166"/>
  <c r="D2168"/>
  <c r="D2170"/>
  <c r="D2172"/>
  <c r="D2174"/>
  <c r="D2176"/>
  <c r="D2178"/>
  <c r="D2180"/>
  <c r="D2182"/>
  <c r="D2184"/>
  <c r="D2186"/>
  <c r="D2188"/>
  <c r="D2190"/>
  <c r="D2192"/>
  <c r="D2194"/>
  <c r="D2196"/>
  <c r="D2198"/>
  <c r="D2200"/>
  <c r="D2202"/>
  <c r="D2204"/>
  <c r="D2206"/>
  <c r="D2208"/>
  <c r="D2210"/>
  <c r="D2212"/>
  <c r="D2214"/>
  <c r="D2216"/>
  <c r="D2218"/>
  <c r="D2220"/>
  <c r="D2222"/>
  <c r="D2224"/>
  <c r="D2226"/>
  <c r="D2228"/>
  <c r="D2230"/>
  <c r="D2232"/>
  <c r="D2234"/>
  <c r="D2236"/>
  <c r="D2238"/>
  <c r="D2240"/>
  <c r="D2242"/>
  <c r="D2244"/>
  <c r="D2246"/>
  <c r="D2248"/>
  <c r="D2250"/>
  <c r="D2252"/>
  <c r="D2254"/>
  <c r="D2256"/>
  <c r="D2258"/>
  <c r="D2260"/>
  <c r="D2262"/>
  <c r="D2264"/>
  <c r="D2266"/>
  <c r="D2268"/>
  <c r="D2270"/>
  <c r="D2272"/>
  <c r="D2274"/>
  <c r="D2276"/>
  <c r="D2278"/>
  <c r="D2280"/>
  <c r="D2282"/>
  <c r="D2284"/>
  <c r="D2286"/>
  <c r="D2288"/>
  <c r="D2290"/>
  <c r="D2292"/>
  <c r="D2294"/>
  <c r="D2296"/>
  <c r="D2298"/>
  <c r="D2300"/>
  <c r="D2302"/>
  <c r="D2304"/>
  <c r="D2306"/>
  <c r="D2308"/>
  <c r="D2310"/>
  <c r="D2312"/>
  <c r="D2314"/>
  <c r="D2316"/>
  <c r="D2318"/>
  <c r="D2320"/>
  <c r="D2322"/>
  <c r="D2324"/>
  <c r="D2326"/>
  <c r="D2328"/>
  <c r="D2330"/>
  <c r="D2332"/>
  <c r="D2334"/>
  <c r="D2336"/>
  <c r="D2338"/>
  <c r="D2340"/>
  <c r="D2342"/>
  <c r="D2344"/>
  <c r="D2346"/>
  <c r="D2348"/>
  <c r="D2350"/>
  <c r="D2352"/>
  <c r="D2354"/>
  <c r="D2356"/>
  <c r="D2358"/>
  <c r="D2360"/>
  <c r="D2362"/>
  <c r="D2364"/>
  <c r="D2366"/>
  <c r="D2368"/>
  <c r="D2370"/>
  <c r="D2372"/>
  <c r="D2374"/>
  <c r="D2376"/>
  <c r="D2378"/>
  <c r="D2380"/>
  <c r="D2382"/>
  <c r="D2384"/>
  <c r="D2386"/>
  <c r="D2388"/>
  <c r="D2390"/>
  <c r="D2392"/>
  <c r="D2394"/>
  <c r="D2396"/>
  <c r="D2398"/>
  <c r="D2400"/>
  <c r="D2402"/>
  <c r="D2404"/>
  <c r="D2406"/>
  <c r="D2408"/>
  <c r="D2410"/>
  <c r="D2412"/>
  <c r="D2414"/>
  <c r="D2416"/>
  <c r="D2418"/>
  <c r="D2420"/>
  <c r="D2422"/>
  <c r="D2424"/>
  <c r="D2426"/>
  <c r="D2428"/>
  <c r="D2430"/>
  <c r="D2432"/>
  <c r="D2434"/>
  <c r="D2436"/>
  <c r="D2438"/>
  <c r="D2440"/>
  <c r="D2442"/>
  <c r="D2444"/>
  <c r="D2446"/>
  <c r="D2448"/>
  <c r="D2450"/>
  <c r="D2452"/>
  <c r="D2454"/>
  <c r="D2456"/>
  <c r="D2458"/>
  <c r="D2460"/>
  <c r="D2462"/>
  <c r="D2464"/>
  <c r="D2466"/>
  <c r="D2468"/>
  <c r="D2470"/>
  <c r="D2472"/>
  <c r="D2474"/>
  <c r="D2476"/>
  <c r="D2478"/>
  <c r="D2480"/>
  <c r="D2482"/>
  <c r="D2484"/>
  <c r="D2486"/>
  <c r="D2488"/>
  <c r="D2490"/>
  <c r="D2492"/>
  <c r="D2494"/>
  <c r="D2496"/>
  <c r="D2498"/>
  <c r="D2500"/>
  <c r="D2502"/>
  <c r="D2504"/>
  <c r="D2506"/>
  <c r="D2508"/>
  <c r="D2510"/>
  <c r="D2512"/>
  <c r="D2514"/>
  <c r="D2516"/>
  <c r="D2518"/>
  <c r="D2520"/>
  <c r="D2522"/>
  <c r="D2524"/>
  <c r="D2526"/>
  <c r="D2528"/>
  <c r="D2530"/>
  <c r="D2532"/>
  <c r="D2534"/>
  <c r="D2536"/>
  <c r="D2538"/>
  <c r="D2540"/>
  <c r="D2542"/>
  <c r="D2544"/>
  <c r="D2546"/>
  <c r="D2548"/>
  <c r="D2550"/>
  <c r="D2552"/>
  <c r="D2554"/>
  <c r="D2556"/>
  <c r="D2558"/>
  <c r="D2560"/>
  <c r="D2562"/>
  <c r="D2564"/>
  <c r="D2566"/>
  <c r="D2568"/>
  <c r="D2570"/>
  <c r="D2572"/>
  <c r="D2574"/>
  <c r="D2576"/>
  <c r="D2578"/>
  <c r="D2580"/>
  <c r="D2582"/>
  <c r="D2584"/>
  <c r="D2586"/>
  <c r="D2588"/>
  <c r="D2590"/>
  <c r="D2592"/>
  <c r="D2594"/>
  <c r="D2596"/>
  <c r="D2598"/>
  <c r="D2600"/>
  <c r="D2602"/>
  <c r="D2604"/>
  <c r="D2606"/>
  <c r="D2608"/>
  <c r="D2610"/>
  <c r="D2612"/>
  <c r="D2614"/>
  <c r="D2616"/>
  <c r="D2618"/>
  <c r="D2620"/>
  <c r="D2622"/>
  <c r="D2624"/>
  <c r="D2626"/>
  <c r="D2628"/>
  <c r="D2630"/>
  <c r="D2632"/>
  <c r="D2634"/>
  <c r="D2636"/>
  <c r="D2638"/>
  <c r="D2640"/>
  <c r="D2642"/>
  <c r="D2644"/>
  <c r="D2646"/>
  <c r="D2648"/>
  <c r="D2650"/>
  <c r="D2652"/>
  <c r="D2654"/>
  <c r="D2656"/>
  <c r="D2658"/>
  <c r="D2660"/>
  <c r="D2662"/>
  <c r="D2664"/>
  <c r="D2666"/>
  <c r="D2668"/>
  <c r="D2670"/>
  <c r="D2672"/>
  <c r="D2674"/>
  <c r="D2676"/>
  <c r="D2678"/>
  <c r="D2680"/>
  <c r="D2682"/>
  <c r="D2684"/>
  <c r="D2686"/>
  <c r="D2688"/>
  <c r="D2690"/>
  <c r="D2692"/>
  <c r="D2694"/>
  <c r="D2696"/>
  <c r="D2698"/>
  <c r="D2700"/>
  <c r="D2702"/>
  <c r="D2704"/>
  <c r="D2706"/>
  <c r="D2708"/>
  <c r="D2710"/>
  <c r="D2712"/>
  <c r="D2714"/>
  <c r="D2716"/>
  <c r="D2718"/>
  <c r="D2720"/>
  <c r="D2722"/>
  <c r="D2724"/>
  <c r="D2726"/>
  <c r="D2728"/>
  <c r="D2730"/>
  <c r="D2732"/>
  <c r="D2734"/>
  <c r="D2736"/>
  <c r="D2738"/>
  <c r="D2740"/>
  <c r="D2742"/>
  <c r="D2744"/>
  <c r="D2746"/>
  <c r="D2748"/>
  <c r="D2750"/>
  <c r="D2752"/>
  <c r="D2754"/>
  <c r="D2756"/>
  <c r="D2758"/>
  <c r="D2760"/>
  <c r="D2762"/>
  <c r="D2764"/>
  <c r="D2766"/>
  <c r="D2768"/>
  <c r="D2770"/>
  <c r="D2772"/>
  <c r="D2774"/>
  <c r="D2776"/>
  <c r="D2778"/>
  <c r="D2780"/>
  <c r="D2782"/>
  <c r="D2784"/>
  <c r="D2786"/>
  <c r="D2788"/>
  <c r="D2790"/>
  <c r="D2792"/>
  <c r="D2794"/>
  <c r="D2796"/>
  <c r="D2798"/>
  <c r="D2800"/>
  <c r="D2802"/>
  <c r="D2804"/>
  <c r="D2806"/>
  <c r="D2808"/>
  <c r="D2810"/>
  <c r="D2812"/>
  <c r="D2814"/>
  <c r="D2816"/>
  <c r="D2818"/>
  <c r="D2820"/>
  <c r="D2822"/>
  <c r="D2824"/>
  <c r="D2826"/>
  <c r="D2828"/>
  <c r="D2830"/>
  <c r="D2832"/>
  <c r="D2834"/>
  <c r="D2836"/>
  <c r="D2838"/>
  <c r="D2840"/>
  <c r="D2842"/>
  <c r="D2844"/>
  <c r="D2846"/>
  <c r="D2848"/>
  <c r="D2850"/>
  <c r="D2852"/>
  <c r="D2854"/>
  <c r="D2856"/>
  <c r="D2858"/>
  <c r="D2860"/>
  <c r="D2862"/>
  <c r="D2864"/>
  <c r="D2866"/>
  <c r="D2868"/>
  <c r="D2870"/>
  <c r="D2872"/>
  <c r="D2874"/>
  <c r="D2876"/>
  <c r="D2878"/>
  <c r="D2880"/>
  <c r="D2882"/>
  <c r="D2884"/>
  <c r="D3631"/>
  <c r="D3633"/>
  <c r="D3635"/>
  <c r="D3637"/>
  <c r="D3639"/>
  <c r="D3641"/>
  <c r="D3643"/>
  <c r="D3645"/>
  <c r="D3647"/>
  <c r="D3649"/>
  <c r="D3651"/>
  <c r="D3653"/>
  <c r="D3655"/>
  <c r="D3657"/>
  <c r="D3659"/>
  <c r="D3661"/>
  <c r="D3663"/>
  <c r="D3665"/>
  <c r="D3667"/>
  <c r="D3669"/>
  <c r="D3671"/>
  <c r="D3673"/>
  <c r="D3675"/>
  <c r="D3677"/>
  <c r="D3679"/>
  <c r="D3681"/>
  <c r="D3683"/>
  <c r="D3685"/>
  <c r="D3687"/>
  <c r="D3689"/>
  <c r="D3691"/>
  <c r="D3693"/>
  <c r="D3695"/>
  <c r="D3697"/>
  <c r="D3699"/>
  <c r="D3701"/>
  <c r="D3703"/>
  <c r="D3705"/>
  <c r="D3707"/>
  <c r="D3709"/>
  <c r="D3711"/>
  <c r="D3713"/>
  <c r="D3715"/>
  <c r="D3717"/>
  <c r="D3719"/>
  <c r="D3721"/>
  <c r="D3723"/>
  <c r="D3725"/>
  <c r="D3727"/>
  <c r="D3729"/>
  <c r="D3731"/>
  <c r="D3733"/>
  <c r="D3735"/>
  <c r="D3737"/>
  <c r="D3739"/>
  <c r="D3741"/>
  <c r="D3743"/>
  <c r="D3745"/>
  <c r="D3747"/>
  <c r="D3749"/>
  <c r="D3751"/>
  <c r="D3753"/>
  <c r="D3755"/>
  <c r="D3757"/>
  <c r="D3759"/>
  <c r="D3761"/>
  <c r="D3763"/>
  <c r="D3765"/>
  <c r="D3767"/>
  <c r="D3769"/>
  <c r="D3771"/>
  <c r="D3773"/>
  <c r="D3775"/>
  <c r="D3777"/>
  <c r="D3779"/>
  <c r="D3781"/>
  <c r="D3783"/>
  <c r="D3785"/>
  <c r="D3787"/>
  <c r="D3789"/>
  <c r="D3791"/>
  <c r="D3793"/>
  <c r="D3795"/>
  <c r="D3797"/>
  <c r="D3799"/>
  <c r="D3801"/>
  <c r="D3803"/>
  <c r="D3805"/>
  <c r="D3807"/>
  <c r="D3809"/>
  <c r="D3811"/>
  <c r="D3813"/>
  <c r="D3815"/>
  <c r="D3817"/>
  <c r="D3819"/>
  <c r="D3630"/>
  <c r="D3632"/>
  <c r="D3634"/>
  <c r="D3636"/>
  <c r="D3638"/>
  <c r="D3640"/>
  <c r="D3642"/>
  <c r="D3644"/>
  <c r="D3646"/>
  <c r="D3648"/>
  <c r="D3650"/>
  <c r="D3652"/>
  <c r="D3654"/>
  <c r="D3656"/>
  <c r="D3658"/>
  <c r="D3660"/>
  <c r="D3662"/>
  <c r="D3664"/>
  <c r="D3666"/>
  <c r="D3668"/>
  <c r="D3670"/>
  <c r="D3672"/>
  <c r="D3674"/>
  <c r="D3676"/>
  <c r="D3678"/>
  <c r="D3680"/>
  <c r="D3682"/>
  <c r="D3684"/>
  <c r="D3686"/>
  <c r="D3688"/>
  <c r="D3690"/>
  <c r="D3692"/>
  <c r="D3694"/>
  <c r="D3696"/>
  <c r="D3698"/>
  <c r="D3700"/>
  <c r="D3702"/>
  <c r="D3704"/>
  <c r="D3706"/>
  <c r="D3708"/>
  <c r="D3710"/>
  <c r="D3712"/>
  <c r="D3714"/>
  <c r="D3716"/>
  <c r="D3718"/>
  <c r="D3720"/>
  <c r="D3722"/>
  <c r="D3724"/>
  <c r="D3726"/>
  <c r="D3728"/>
  <c r="D3730"/>
  <c r="D3732"/>
  <c r="D3734"/>
  <c r="D3736"/>
  <c r="D3738"/>
  <c r="D3740"/>
  <c r="D3742"/>
  <c r="D3744"/>
  <c r="D3746"/>
  <c r="D3748"/>
  <c r="D3750"/>
  <c r="D3752"/>
  <c r="D3754"/>
  <c r="D3756"/>
  <c r="D3758"/>
  <c r="D3760"/>
  <c r="D3762"/>
  <c r="D3764"/>
  <c r="D3766"/>
  <c r="D3768"/>
  <c r="D3770"/>
  <c r="D3772"/>
  <c r="D3774"/>
  <c r="D3776"/>
  <c r="D3778"/>
  <c r="D3780"/>
  <c r="D3782"/>
  <c r="D3784"/>
  <c r="D3786"/>
  <c r="D3788"/>
  <c r="D3790"/>
  <c r="D3792"/>
  <c r="D3794"/>
  <c r="D3796"/>
  <c r="D3798"/>
  <c r="D3800"/>
  <c r="D3802"/>
  <c r="D3806"/>
  <c r="D3810"/>
  <c r="D3814"/>
  <c r="D3818"/>
  <c r="D3821"/>
  <c r="D3823"/>
  <c r="D3825"/>
  <c r="D3827"/>
  <c r="D3829"/>
  <c r="D3831"/>
  <c r="D3833"/>
  <c r="D3835"/>
  <c r="D3837"/>
  <c r="D3839"/>
  <c r="D3841"/>
  <c r="D3843"/>
  <c r="D3845"/>
  <c r="D3847"/>
  <c r="D3849"/>
  <c r="D3851"/>
  <c r="D3853"/>
  <c r="D3855"/>
  <c r="D3857"/>
  <c r="D3859"/>
  <c r="D3861"/>
  <c r="D3863"/>
  <c r="D3865"/>
  <c r="D3867"/>
  <c r="D3869"/>
  <c r="D3871"/>
  <c r="D3873"/>
  <c r="D3875"/>
  <c r="D3877"/>
  <c r="D3879"/>
  <c r="D3881"/>
  <c r="D3883"/>
  <c r="D3885"/>
  <c r="D3887"/>
  <c r="D3889"/>
  <c r="D3891"/>
  <c r="D3893"/>
  <c r="D3895"/>
  <c r="D3897"/>
  <c r="D3899"/>
  <c r="D3901"/>
  <c r="D3903"/>
  <c r="D3905"/>
  <c r="D3907"/>
  <c r="D3909"/>
  <c r="D3911"/>
  <c r="D3913"/>
  <c r="D3915"/>
  <c r="D3917"/>
  <c r="D3919"/>
  <c r="D3921"/>
  <c r="D3923"/>
  <c r="D3925"/>
  <c r="D3927"/>
  <c r="D3929"/>
  <c r="D3931"/>
  <c r="D3933"/>
  <c r="D3935"/>
  <c r="D3937"/>
  <c r="D3939"/>
  <c r="D3941"/>
  <c r="D3943"/>
  <c r="D3945"/>
  <c r="D3947"/>
  <c r="D3949"/>
  <c r="D3951"/>
  <c r="D3953"/>
  <c r="D3955"/>
  <c r="D3957"/>
  <c r="D3959"/>
  <c r="D3961"/>
  <c r="D3963"/>
  <c r="D3965"/>
  <c r="D3967"/>
  <c r="D3969"/>
  <c r="D3971"/>
  <c r="D3973"/>
  <c r="D3975"/>
  <c r="D3977"/>
  <c r="D3979"/>
  <c r="D3981"/>
  <c r="D3983"/>
  <c r="D3985"/>
  <c r="D3987"/>
  <c r="D3989"/>
  <c r="D3991"/>
  <c r="D3993"/>
  <c r="D3995"/>
  <c r="D3997"/>
  <c r="D3999"/>
  <c r="D4001"/>
  <c r="D4003"/>
  <c r="D4005"/>
  <c r="D4007"/>
  <c r="D4009"/>
  <c r="D4011"/>
  <c r="D4013"/>
  <c r="D4015"/>
  <c r="D4017"/>
  <c r="D4019"/>
  <c r="D4021"/>
  <c r="D4023"/>
  <c r="D4025"/>
  <c r="D4027"/>
  <c r="D4029"/>
  <c r="D4031"/>
  <c r="D4033"/>
  <c r="D4035"/>
  <c r="D4037"/>
  <c r="D4039"/>
  <c r="D4041"/>
  <c r="D4043"/>
  <c r="D4045"/>
  <c r="D4047"/>
  <c r="D4049"/>
  <c r="D4051"/>
  <c r="D4053"/>
  <c r="D4055"/>
  <c r="D4057"/>
  <c r="D4059"/>
  <c r="D4061"/>
  <c r="D4063"/>
  <c r="D4065"/>
  <c r="D4067"/>
  <c r="D4069"/>
  <c r="D4071"/>
  <c r="D4073"/>
  <c r="D4075"/>
  <c r="D4077"/>
  <c r="D4079"/>
  <c r="D4081"/>
  <c r="D4083"/>
  <c r="D4085"/>
  <c r="D4087"/>
  <c r="D4089"/>
  <c r="D4091"/>
  <c r="D4093"/>
  <c r="D4095"/>
  <c r="D4097"/>
  <c r="D4099"/>
  <c r="D4101"/>
  <c r="D4103"/>
  <c r="D4105"/>
  <c r="D4107"/>
  <c r="D4109"/>
  <c r="D4111"/>
  <c r="D4113"/>
  <c r="D4115"/>
  <c r="D4117"/>
  <c r="D4119"/>
  <c r="D4121"/>
  <c r="D4123"/>
  <c r="D4125"/>
  <c r="D4127"/>
  <c r="D4129"/>
  <c r="D4131"/>
  <c r="D4133"/>
  <c r="D4135"/>
  <c r="D4137"/>
  <c r="D4139"/>
  <c r="D4141"/>
  <c r="D4143"/>
  <c r="D4145"/>
  <c r="D4147"/>
  <c r="D4149"/>
  <c r="D4151"/>
  <c r="D4153"/>
  <c r="D4155"/>
  <c r="D4157"/>
  <c r="D4159"/>
  <c r="D4161"/>
  <c r="D4163"/>
  <c r="D4165"/>
  <c r="D4167"/>
  <c r="D4169"/>
  <c r="D4171"/>
  <c r="D4173"/>
  <c r="D4175"/>
  <c r="D4177"/>
  <c r="D4179"/>
  <c r="D4181"/>
  <c r="D4183"/>
  <c r="D4185"/>
  <c r="D4187"/>
  <c r="D4189"/>
  <c r="D4191"/>
  <c r="D4193"/>
  <c r="D4195"/>
  <c r="D4197"/>
  <c r="D4199"/>
  <c r="D4201"/>
  <c r="D4203"/>
  <c r="D4205"/>
  <c r="D4207"/>
  <c r="D4209"/>
  <c r="D4211"/>
  <c r="D4213"/>
  <c r="D4215"/>
  <c r="D4217"/>
  <c r="D4219"/>
  <c r="D4221"/>
  <c r="D4223"/>
  <c r="D4225"/>
  <c r="D4227"/>
  <c r="D4229"/>
  <c r="D4231"/>
  <c r="D4233"/>
  <c r="D4235"/>
  <c r="D4237"/>
  <c r="D4239"/>
  <c r="D4241"/>
  <c r="D4243"/>
  <c r="D4245"/>
  <c r="D4247"/>
  <c r="D4249"/>
  <c r="D4251"/>
  <c r="D4253"/>
  <c r="D4255"/>
  <c r="D4257"/>
  <c r="D4259"/>
  <c r="D4261"/>
  <c r="D4263"/>
  <c r="D4265"/>
  <c r="D4267"/>
  <c r="D4269"/>
  <c r="D4271"/>
  <c r="D4273"/>
  <c r="D4275"/>
  <c r="D4277"/>
  <c r="D4279"/>
  <c r="D4281"/>
  <c r="D4283"/>
  <c r="D4285"/>
  <c r="D4287"/>
  <c r="D4289"/>
  <c r="D4291"/>
  <c r="D4293"/>
  <c r="D4295"/>
  <c r="D4297"/>
  <c r="D4299"/>
  <c r="D4301"/>
  <c r="D4303"/>
  <c r="D4305"/>
  <c r="D4307"/>
  <c r="D4309"/>
  <c r="D4311"/>
  <c r="D4313"/>
  <c r="D4315"/>
  <c r="D4317"/>
  <c r="D4319"/>
  <c r="D4321"/>
  <c r="D4323"/>
  <c r="D4325"/>
  <c r="D4327"/>
  <c r="D4329"/>
  <c r="D4331"/>
  <c r="D4333"/>
  <c r="D4335"/>
  <c r="D4337"/>
  <c r="D4339"/>
  <c r="D4341"/>
  <c r="D4343"/>
  <c r="D4345"/>
  <c r="D4347"/>
  <c r="D3629"/>
  <c r="D3804"/>
  <c r="D3808"/>
  <c r="D3812"/>
  <c r="D3816"/>
  <c r="D3820"/>
  <c r="D3822"/>
  <c r="D3824"/>
  <c r="D3826"/>
  <c r="D3828"/>
  <c r="D3830"/>
  <c r="D3832"/>
  <c r="D3834"/>
  <c r="D3836"/>
  <c r="D3838"/>
  <c r="D3840"/>
  <c r="D3842"/>
  <c r="D3844"/>
  <c r="D3846"/>
  <c r="D3848"/>
  <c r="D3850"/>
  <c r="D3852"/>
  <c r="D3854"/>
  <c r="D3856"/>
  <c r="D3858"/>
  <c r="D3860"/>
  <c r="D3862"/>
  <c r="D3864"/>
  <c r="D3866"/>
  <c r="D3868"/>
  <c r="D3870"/>
  <c r="D3872"/>
  <c r="D3874"/>
  <c r="D3876"/>
  <c r="D3878"/>
  <c r="D3880"/>
  <c r="D3882"/>
  <c r="D3884"/>
  <c r="D3886"/>
  <c r="D3888"/>
  <c r="D3890"/>
  <c r="D3892"/>
  <c r="D3894"/>
  <c r="D3896"/>
  <c r="D3898"/>
  <c r="D3900"/>
  <c r="D3902"/>
  <c r="D3904"/>
  <c r="D3906"/>
  <c r="D3908"/>
  <c r="D3910"/>
  <c r="D3912"/>
  <c r="D3914"/>
  <c r="D3916"/>
  <c r="D3918"/>
  <c r="D3920"/>
  <c r="D3922"/>
  <c r="D3924"/>
  <c r="D3926"/>
  <c r="D3928"/>
  <c r="D3930"/>
  <c r="D3932"/>
  <c r="D3934"/>
  <c r="D3936"/>
  <c r="D3938"/>
  <c r="D3940"/>
  <c r="D3942"/>
  <c r="D3944"/>
  <c r="D3946"/>
  <c r="D3948"/>
  <c r="D3950"/>
  <c r="D3952"/>
  <c r="D3954"/>
  <c r="D3956"/>
  <c r="D3958"/>
  <c r="D3960"/>
  <c r="D3962"/>
  <c r="D3964"/>
  <c r="D3966"/>
  <c r="D3968"/>
  <c r="D3970"/>
  <c r="D3972"/>
  <c r="D3974"/>
  <c r="D3976"/>
  <c r="D3978"/>
  <c r="D3980"/>
  <c r="D3982"/>
  <c r="D3984"/>
  <c r="D3986"/>
  <c r="D3988"/>
  <c r="D3990"/>
  <c r="D3992"/>
  <c r="D3994"/>
  <c r="D3996"/>
  <c r="D3998"/>
  <c r="D4000"/>
  <c r="D4002"/>
  <c r="D4004"/>
  <c r="D4006"/>
  <c r="D4008"/>
  <c r="D4010"/>
  <c r="D4012"/>
  <c r="D4014"/>
  <c r="D4016"/>
  <c r="D4018"/>
  <c r="D4020"/>
  <c r="D4022"/>
  <c r="D4024"/>
  <c r="D4026"/>
  <c r="D4028"/>
  <c r="D4030"/>
  <c r="D4032"/>
  <c r="D4034"/>
  <c r="D4036"/>
  <c r="D4038"/>
  <c r="D4040"/>
  <c r="D4042"/>
  <c r="D4044"/>
  <c r="D4046"/>
  <c r="D4048"/>
  <c r="D4050"/>
  <c r="D4052"/>
  <c r="D4054"/>
  <c r="D4056"/>
  <c r="D4058"/>
  <c r="D4060"/>
  <c r="D4062"/>
  <c r="D4064"/>
  <c r="D4066"/>
  <c r="D4068"/>
  <c r="D4070"/>
  <c r="D4072"/>
  <c r="D4074"/>
  <c r="D4076"/>
  <c r="D4078"/>
  <c r="D4080"/>
  <c r="D4082"/>
  <c r="D4084"/>
  <c r="D4086"/>
  <c r="D4088"/>
  <c r="D4090"/>
  <c r="D4092"/>
  <c r="D4094"/>
  <c r="D4096"/>
  <c r="D4098"/>
  <c r="D4100"/>
  <c r="D4102"/>
  <c r="D4104"/>
  <c r="D4106"/>
  <c r="D4108"/>
  <c r="D4110"/>
  <c r="D4112"/>
  <c r="D4114"/>
  <c r="D4116"/>
  <c r="D4118"/>
  <c r="D4120"/>
  <c r="D4122"/>
  <c r="D4124"/>
  <c r="D4126"/>
  <c r="D4128"/>
  <c r="D4130"/>
  <c r="D4132"/>
  <c r="D4134"/>
  <c r="D4136"/>
  <c r="D4138"/>
  <c r="D4140"/>
  <c r="D4142"/>
  <c r="D4144"/>
  <c r="D4146"/>
  <c r="D4148"/>
  <c r="D4150"/>
  <c r="D4152"/>
  <c r="D4154"/>
  <c r="D4156"/>
  <c r="D4158"/>
  <c r="D4160"/>
  <c r="D4162"/>
  <c r="D4164"/>
  <c r="D4166"/>
  <c r="D4168"/>
  <c r="D4170"/>
  <c r="D4172"/>
  <c r="D4174"/>
  <c r="D4176"/>
  <c r="D4178"/>
  <c r="D4180"/>
  <c r="D4182"/>
  <c r="D4184"/>
  <c r="D4186"/>
  <c r="D4188"/>
  <c r="D4190"/>
  <c r="D4192"/>
  <c r="D4194"/>
  <c r="D4196"/>
  <c r="D4198"/>
  <c r="D4200"/>
  <c r="D4202"/>
  <c r="D4204"/>
  <c r="D4206"/>
  <c r="D4208"/>
  <c r="D4210"/>
  <c r="D4212"/>
  <c r="D4214"/>
  <c r="D4216"/>
  <c r="D4218"/>
  <c r="D4220"/>
  <c r="D4222"/>
  <c r="D4224"/>
  <c r="D4226"/>
  <c r="D4228"/>
  <c r="D4230"/>
  <c r="D4232"/>
  <c r="D4234"/>
  <c r="D4236"/>
  <c r="D4238"/>
  <c r="D4240"/>
  <c r="D4242"/>
  <c r="D4244"/>
  <c r="D4246"/>
  <c r="D4248"/>
  <c r="D4250"/>
  <c r="D4252"/>
  <c r="D4254"/>
  <c r="D4256"/>
  <c r="D4258"/>
  <c r="D4260"/>
  <c r="D4262"/>
  <c r="D4264"/>
  <c r="D4266"/>
  <c r="D4268"/>
  <c r="D4270"/>
  <c r="D4272"/>
  <c r="D4274"/>
  <c r="D4276"/>
  <c r="D4278"/>
  <c r="D4280"/>
  <c r="D4282"/>
  <c r="D4284"/>
  <c r="D4286"/>
  <c r="D4288"/>
  <c r="D4290"/>
  <c r="D4292"/>
  <c r="D4294"/>
  <c r="D4296"/>
  <c r="D4298"/>
  <c r="D4300"/>
  <c r="D4302"/>
  <c r="D4304"/>
  <c r="D4306"/>
  <c r="D4308"/>
  <c r="D4310"/>
  <c r="D4312"/>
  <c r="D4314"/>
  <c r="D4316"/>
  <c r="D4318"/>
  <c r="D4320"/>
  <c r="D4322"/>
  <c r="D4324"/>
  <c r="D4326"/>
  <c r="D4328"/>
  <c r="D4330"/>
  <c r="D4332"/>
  <c r="D4334"/>
  <c r="D4336"/>
  <c r="D4338"/>
  <c r="D4340"/>
  <c r="D4342"/>
  <c r="D4344"/>
  <c r="D4346"/>
  <c r="D4348"/>
  <c r="D5095"/>
  <c r="D5097"/>
  <c r="D5099"/>
  <c r="D5101"/>
  <c r="D5103"/>
  <c r="D5105"/>
  <c r="D5107"/>
  <c r="D5109"/>
  <c r="D5111"/>
  <c r="D5113"/>
  <c r="D5115"/>
  <c r="D5117"/>
  <c r="D5119"/>
  <c r="D5121"/>
  <c r="D5123"/>
  <c r="D5125"/>
  <c r="D5127"/>
  <c r="D5129"/>
  <c r="D5131"/>
  <c r="D5133"/>
  <c r="D5135"/>
  <c r="D5137"/>
  <c r="D5139"/>
  <c r="D5141"/>
  <c r="D5143"/>
  <c r="D5145"/>
  <c r="D5147"/>
  <c r="D5149"/>
  <c r="D5151"/>
  <c r="D5153"/>
  <c r="D5155"/>
  <c r="D5157"/>
  <c r="D5159"/>
  <c r="D5161"/>
  <c r="D5163"/>
  <c r="D5165"/>
  <c r="D5167"/>
  <c r="D5169"/>
  <c r="D5171"/>
  <c r="D5173"/>
  <c r="D5175"/>
  <c r="D5177"/>
  <c r="D5179"/>
  <c r="D5181"/>
  <c r="D5183"/>
  <c r="D5185"/>
  <c r="D5187"/>
  <c r="D5189"/>
  <c r="D5191"/>
  <c r="D5193"/>
  <c r="D5195"/>
  <c r="D5197"/>
  <c r="D5199"/>
  <c r="D5201"/>
  <c r="D5203"/>
  <c r="D5205"/>
  <c r="D5207"/>
  <c r="D5209"/>
  <c r="D5211"/>
  <c r="D5213"/>
  <c r="D5215"/>
  <c r="D5217"/>
  <c r="D5219"/>
  <c r="D5221"/>
  <c r="D5223"/>
  <c r="D5225"/>
  <c r="D5227"/>
  <c r="D5229"/>
  <c r="D5231"/>
  <c r="D5233"/>
  <c r="D5235"/>
  <c r="D5237"/>
  <c r="D5239"/>
  <c r="D5241"/>
  <c r="D5243"/>
  <c r="D5245"/>
  <c r="D5247"/>
  <c r="D5249"/>
  <c r="D5251"/>
  <c r="D5253"/>
  <c r="D5255"/>
  <c r="D5257"/>
  <c r="D5259"/>
  <c r="D5261"/>
  <c r="D5263"/>
  <c r="D5265"/>
  <c r="D5267"/>
  <c r="D5269"/>
  <c r="D5271"/>
  <c r="D5273"/>
  <c r="D5275"/>
  <c r="D5277"/>
  <c r="D5279"/>
  <c r="D5281"/>
  <c r="D5283"/>
  <c r="D5285"/>
  <c r="D5287"/>
  <c r="D5289"/>
  <c r="D5291"/>
  <c r="D5293"/>
  <c r="D5295"/>
  <c r="D5297"/>
  <c r="D5299"/>
  <c r="D5301"/>
  <c r="D5303"/>
  <c r="D5305"/>
  <c r="D5307"/>
  <c r="D5309"/>
  <c r="D5311"/>
  <c r="D5313"/>
  <c r="D5315"/>
  <c r="D5317"/>
  <c r="D5319"/>
  <c r="D5321"/>
  <c r="D5323"/>
  <c r="D5325"/>
  <c r="D5327"/>
  <c r="D5329"/>
  <c r="D5331"/>
  <c r="D5333"/>
  <c r="D5335"/>
  <c r="D5337"/>
  <c r="D5339"/>
  <c r="D5341"/>
  <c r="D5343"/>
  <c r="D5345"/>
  <c r="D5347"/>
  <c r="D5349"/>
  <c r="D5351"/>
  <c r="D5353"/>
  <c r="D5355"/>
  <c r="D5357"/>
  <c r="D5359"/>
  <c r="D5361"/>
  <c r="D5363"/>
  <c r="D5365"/>
  <c r="D5367"/>
  <c r="D5369"/>
  <c r="D5371"/>
  <c r="D5373"/>
  <c r="D5375"/>
  <c r="D5377"/>
  <c r="D5379"/>
  <c r="D5381"/>
  <c r="D5383"/>
  <c r="D5385"/>
  <c r="D5387"/>
  <c r="D5389"/>
  <c r="D5391"/>
  <c r="D5393"/>
  <c r="D5395"/>
  <c r="D5397"/>
  <c r="D5399"/>
  <c r="D5401"/>
  <c r="D5403"/>
  <c r="D5405"/>
  <c r="D5407"/>
  <c r="D5409"/>
  <c r="D5411"/>
  <c r="D5413"/>
  <c r="D5415"/>
  <c r="D5417"/>
  <c r="D5419"/>
  <c r="D5421"/>
  <c r="D5423"/>
  <c r="D5425"/>
  <c r="D5427"/>
  <c r="D5429"/>
  <c r="D5431"/>
  <c r="D5433"/>
  <c r="D5435"/>
  <c r="D5437"/>
  <c r="D5439"/>
  <c r="D5441"/>
  <c r="D5443"/>
  <c r="D5445"/>
  <c r="D5447"/>
  <c r="D5449"/>
  <c r="D5451"/>
  <c r="D5453"/>
  <c r="D5455"/>
  <c r="D5457"/>
  <c r="D5459"/>
  <c r="D5461"/>
  <c r="D5463"/>
  <c r="D5465"/>
  <c r="D5467"/>
  <c r="D5469"/>
  <c r="D5471"/>
  <c r="D5473"/>
  <c r="D5475"/>
  <c r="D5477"/>
  <c r="D5479"/>
  <c r="D5481"/>
  <c r="D5483"/>
  <c r="D5485"/>
  <c r="D5487"/>
  <c r="D5489"/>
  <c r="D5491"/>
  <c r="D5493"/>
  <c r="D5495"/>
  <c r="D5497"/>
  <c r="D5499"/>
  <c r="D5501"/>
  <c r="D5503"/>
  <c r="D5505"/>
  <c r="D5507"/>
  <c r="D5509"/>
  <c r="D5511"/>
  <c r="D5513"/>
  <c r="D5515"/>
  <c r="D5517"/>
  <c r="D5519"/>
  <c r="D5521"/>
  <c r="D5523"/>
  <c r="D5525"/>
  <c r="D5527"/>
  <c r="D5529"/>
  <c r="D5531"/>
  <c r="D5533"/>
  <c r="D5535"/>
  <c r="D5537"/>
  <c r="D5539"/>
  <c r="D5541"/>
  <c r="D5543"/>
  <c r="D5545"/>
  <c r="D5547"/>
  <c r="D5549"/>
  <c r="D5551"/>
  <c r="D5553"/>
  <c r="D5555"/>
  <c r="D5557"/>
  <c r="D5559"/>
  <c r="D5561"/>
  <c r="D5563"/>
  <c r="D5565"/>
  <c r="D5567"/>
  <c r="D5569"/>
  <c r="D5571"/>
  <c r="D5573"/>
  <c r="D5575"/>
  <c r="D5577"/>
  <c r="D5579"/>
  <c r="D5581"/>
  <c r="D5583"/>
  <c r="D5585"/>
  <c r="D5587"/>
  <c r="D5589"/>
  <c r="D5591"/>
  <c r="D5593"/>
  <c r="D5595"/>
  <c r="D5597"/>
  <c r="D5599"/>
  <c r="D5601"/>
  <c r="D5603"/>
  <c r="D5605"/>
  <c r="D5607"/>
  <c r="D5609"/>
  <c r="D5611"/>
  <c r="D5613"/>
  <c r="D5615"/>
  <c r="D5617"/>
  <c r="D5619"/>
  <c r="D5621"/>
  <c r="D5623"/>
  <c r="D5625"/>
  <c r="D5627"/>
  <c r="D5629"/>
  <c r="D5631"/>
  <c r="D5633"/>
  <c r="D5635"/>
  <c r="D5637"/>
  <c r="D5639"/>
  <c r="D5641"/>
  <c r="D5643"/>
  <c r="D5645"/>
  <c r="D5647"/>
  <c r="D5649"/>
  <c r="D5651"/>
  <c r="D5653"/>
  <c r="D5655"/>
  <c r="D5657"/>
  <c r="D5659"/>
  <c r="D5661"/>
  <c r="D5663"/>
  <c r="D5665"/>
  <c r="D5667"/>
  <c r="D5669"/>
  <c r="D5671"/>
  <c r="D5673"/>
  <c r="D5675"/>
  <c r="D5677"/>
  <c r="D5679"/>
  <c r="D5681"/>
  <c r="D5683"/>
  <c r="D5685"/>
  <c r="D5687"/>
  <c r="D5689"/>
  <c r="D5691"/>
  <c r="D5693"/>
  <c r="D5695"/>
  <c r="D5697"/>
  <c r="D5699"/>
  <c r="D5701"/>
  <c r="D5703"/>
  <c r="D5705"/>
  <c r="D5707"/>
  <c r="D5709"/>
  <c r="D5711"/>
  <c r="D5713"/>
  <c r="D5715"/>
  <c r="D5717"/>
  <c r="D5719"/>
  <c r="D5721"/>
  <c r="D5723"/>
  <c r="D5725"/>
  <c r="D5727"/>
  <c r="D5729"/>
  <c r="D5731"/>
  <c r="D5733"/>
  <c r="D5735"/>
  <c r="D5737"/>
  <c r="D5739"/>
  <c r="D5741"/>
  <c r="D5743"/>
  <c r="D5745"/>
  <c r="D5747"/>
  <c r="D5749"/>
  <c r="D5751"/>
  <c r="D5753"/>
  <c r="D5755"/>
  <c r="D5757"/>
  <c r="D5759"/>
  <c r="D5761"/>
  <c r="D5763"/>
  <c r="D5765"/>
  <c r="D5767"/>
  <c r="D5769"/>
  <c r="D5771"/>
  <c r="D5773"/>
  <c r="D5775"/>
  <c r="D5777"/>
  <c r="D5779"/>
  <c r="D5781"/>
  <c r="D5783"/>
  <c r="D5785"/>
  <c r="D5787"/>
  <c r="D5789"/>
  <c r="D5791"/>
  <c r="D5793"/>
  <c r="D5795"/>
  <c r="D5797"/>
  <c r="D5799"/>
  <c r="D5801"/>
  <c r="D5803"/>
  <c r="D5805"/>
  <c r="D5807"/>
  <c r="D5809"/>
  <c r="D5811"/>
  <c r="D5813"/>
  <c r="D5815"/>
  <c r="D5817"/>
  <c r="D5819"/>
  <c r="D5821"/>
  <c r="D5823"/>
  <c r="D5825"/>
  <c r="D5827"/>
  <c r="D5829"/>
  <c r="D5831"/>
  <c r="D5833"/>
  <c r="D5835"/>
  <c r="D5093"/>
  <c r="D5094"/>
  <c r="D5096"/>
  <c r="D5098"/>
  <c r="D5100"/>
  <c r="D5102"/>
  <c r="D5104"/>
  <c r="D5106"/>
  <c r="D5108"/>
  <c r="D5110"/>
  <c r="D5112"/>
  <c r="D5114"/>
  <c r="D5116"/>
  <c r="D5118"/>
  <c r="D5120"/>
  <c r="D5122"/>
  <c r="D5124"/>
  <c r="D5126"/>
  <c r="D5128"/>
  <c r="D5130"/>
  <c r="D5132"/>
  <c r="D5134"/>
  <c r="D5136"/>
  <c r="D5138"/>
  <c r="D5140"/>
  <c r="D5142"/>
  <c r="D5144"/>
  <c r="D5146"/>
  <c r="D5148"/>
  <c r="D5150"/>
  <c r="D5152"/>
  <c r="D5154"/>
  <c r="D5156"/>
  <c r="D5158"/>
  <c r="D5160"/>
  <c r="D5162"/>
  <c r="D5164"/>
  <c r="D5166"/>
  <c r="D5168"/>
  <c r="D5170"/>
  <c r="D5172"/>
  <c r="D5174"/>
  <c r="D5176"/>
  <c r="D5178"/>
  <c r="D5180"/>
  <c r="D5182"/>
  <c r="D5184"/>
  <c r="D5186"/>
  <c r="D5188"/>
  <c r="D5190"/>
  <c r="D5192"/>
  <c r="D5194"/>
  <c r="D5196"/>
  <c r="D5198"/>
  <c r="D5200"/>
  <c r="D5202"/>
  <c r="D5204"/>
  <c r="D5206"/>
  <c r="D5208"/>
  <c r="D5210"/>
  <c r="D5212"/>
  <c r="D5214"/>
  <c r="D5216"/>
  <c r="D5218"/>
  <c r="D5220"/>
  <c r="D5222"/>
  <c r="D5224"/>
  <c r="D5226"/>
  <c r="D5228"/>
  <c r="D5230"/>
  <c r="D5232"/>
  <c r="D5234"/>
  <c r="D5236"/>
  <c r="D5238"/>
  <c r="D5240"/>
  <c r="D5242"/>
  <c r="D5244"/>
  <c r="D5246"/>
  <c r="D5248"/>
  <c r="D5250"/>
  <c r="D5252"/>
  <c r="D5254"/>
  <c r="D5256"/>
  <c r="D5258"/>
  <c r="D5260"/>
  <c r="D5262"/>
  <c r="D5264"/>
  <c r="D5266"/>
  <c r="D5268"/>
  <c r="D5270"/>
  <c r="D5272"/>
  <c r="D5274"/>
  <c r="D5276"/>
  <c r="D5278"/>
  <c r="D5280"/>
  <c r="D5282"/>
  <c r="D5284"/>
  <c r="D5286"/>
  <c r="D5288"/>
  <c r="D5290"/>
  <c r="D5292"/>
  <c r="D5294"/>
  <c r="D5296"/>
  <c r="D5298"/>
  <c r="D5300"/>
  <c r="D5302"/>
  <c r="D5304"/>
  <c r="D5306"/>
  <c r="D5308"/>
  <c r="D5310"/>
  <c r="D5312"/>
  <c r="D5314"/>
  <c r="D5316"/>
  <c r="D5318"/>
  <c r="D5320"/>
  <c r="D5322"/>
  <c r="D5324"/>
  <c r="D5326"/>
  <c r="D5328"/>
  <c r="D5330"/>
  <c r="D5332"/>
  <c r="D5334"/>
  <c r="D5336"/>
  <c r="D5338"/>
  <c r="D5340"/>
  <c r="D5342"/>
  <c r="D5344"/>
  <c r="D5346"/>
  <c r="D5348"/>
  <c r="D5350"/>
  <c r="D5352"/>
  <c r="D5354"/>
  <c r="D5356"/>
  <c r="D5358"/>
  <c r="D5360"/>
  <c r="D5362"/>
  <c r="D5364"/>
  <c r="D5366"/>
  <c r="D5368"/>
  <c r="D5370"/>
  <c r="D5372"/>
  <c r="D5374"/>
  <c r="D5376"/>
  <c r="D5378"/>
  <c r="D5380"/>
  <c r="D5382"/>
  <c r="D5384"/>
  <c r="D5386"/>
  <c r="D5388"/>
  <c r="D5390"/>
  <c r="D5392"/>
  <c r="D5394"/>
  <c r="D5396"/>
  <c r="D5398"/>
  <c r="D5400"/>
  <c r="D5402"/>
  <c r="D5404"/>
  <c r="D5406"/>
  <c r="D5408"/>
  <c r="D5410"/>
  <c r="D5412"/>
  <c r="D5414"/>
  <c r="D5416"/>
  <c r="D5418"/>
  <c r="D5420"/>
  <c r="D5422"/>
  <c r="D5424"/>
  <c r="D5426"/>
  <c r="D5428"/>
  <c r="D5430"/>
  <c r="D5432"/>
  <c r="D5434"/>
  <c r="D5436"/>
  <c r="D5438"/>
  <c r="D5440"/>
  <c r="D5442"/>
  <c r="D5444"/>
  <c r="D5446"/>
  <c r="D5448"/>
  <c r="D5450"/>
  <c r="D5452"/>
  <c r="D5454"/>
  <c r="D5456"/>
  <c r="D5458"/>
  <c r="D5460"/>
  <c r="D5462"/>
  <c r="D5464"/>
  <c r="D5466"/>
  <c r="D5468"/>
  <c r="D5470"/>
  <c r="D5472"/>
  <c r="D5474"/>
  <c r="D5476"/>
  <c r="D5478"/>
  <c r="D5480"/>
  <c r="D5482"/>
  <c r="D5484"/>
  <c r="D5486"/>
  <c r="D5488"/>
  <c r="D5490"/>
  <c r="D5492"/>
  <c r="D5494"/>
  <c r="D5496"/>
  <c r="D5498"/>
  <c r="D5500"/>
  <c r="D5502"/>
  <c r="D5504"/>
  <c r="D5506"/>
  <c r="D5508"/>
  <c r="D5510"/>
  <c r="D5512"/>
  <c r="D5514"/>
  <c r="D5516"/>
  <c r="D5518"/>
  <c r="D5520"/>
  <c r="D5522"/>
  <c r="D5524"/>
  <c r="D5526"/>
  <c r="D5528"/>
  <c r="D5530"/>
  <c r="D5532"/>
  <c r="D5534"/>
  <c r="D5536"/>
  <c r="D5538"/>
  <c r="D5540"/>
  <c r="D5542"/>
  <c r="D5544"/>
  <c r="D5546"/>
  <c r="D5548"/>
  <c r="D5550"/>
  <c r="D5552"/>
  <c r="D5554"/>
  <c r="D5556"/>
  <c r="D5558"/>
  <c r="D5560"/>
  <c r="D5562"/>
  <c r="D5564"/>
  <c r="D5566"/>
  <c r="D5568"/>
  <c r="D5570"/>
  <c r="D5572"/>
  <c r="D5574"/>
  <c r="D5576"/>
  <c r="D5578"/>
  <c r="D5580"/>
  <c r="D5582"/>
  <c r="D5584"/>
  <c r="D5586"/>
  <c r="D5588"/>
  <c r="D5590"/>
  <c r="D5592"/>
  <c r="D5594"/>
  <c r="D5596"/>
  <c r="D5598"/>
  <c r="D5600"/>
  <c r="D5602"/>
  <c r="D5604"/>
  <c r="D5606"/>
  <c r="D5608"/>
  <c r="D5610"/>
  <c r="D5612"/>
  <c r="D5614"/>
  <c r="D5616"/>
  <c r="D5618"/>
  <c r="D5620"/>
  <c r="D5622"/>
  <c r="D5624"/>
  <c r="D5626"/>
  <c r="D5628"/>
  <c r="D5630"/>
  <c r="D5632"/>
  <c r="D5634"/>
  <c r="D5636"/>
  <c r="D5638"/>
  <c r="D5640"/>
  <c r="D5642"/>
  <c r="D5644"/>
  <c r="D5646"/>
  <c r="D5648"/>
  <c r="D5650"/>
  <c r="D5652"/>
  <c r="D5654"/>
  <c r="D5656"/>
  <c r="D5658"/>
  <c r="D5660"/>
  <c r="D5662"/>
  <c r="D5664"/>
  <c r="D5666"/>
  <c r="D5668"/>
  <c r="D5670"/>
  <c r="D5672"/>
  <c r="D5674"/>
  <c r="D5676"/>
  <c r="D5678"/>
  <c r="D5680"/>
  <c r="D5682"/>
  <c r="D5684"/>
  <c r="D5686"/>
  <c r="D5688"/>
  <c r="D5690"/>
  <c r="D5692"/>
  <c r="D5694"/>
  <c r="D5696"/>
  <c r="D5698"/>
  <c r="D5700"/>
  <c r="D5702"/>
  <c r="D5704"/>
  <c r="D5706"/>
  <c r="D5708"/>
  <c r="D5710"/>
  <c r="D5712"/>
  <c r="D5714"/>
  <c r="D5716"/>
  <c r="D5718"/>
  <c r="D5720"/>
  <c r="D5722"/>
  <c r="D5724"/>
  <c r="D5726"/>
  <c r="D5728"/>
  <c r="D5730"/>
  <c r="D5732"/>
  <c r="D5734"/>
  <c r="D5736"/>
  <c r="D5738"/>
  <c r="D5740"/>
  <c r="D5742"/>
  <c r="D5744"/>
  <c r="D5746"/>
  <c r="D5748"/>
  <c r="D5750"/>
  <c r="D5752"/>
  <c r="D5754"/>
  <c r="D5756"/>
  <c r="D5758"/>
  <c r="D5760"/>
  <c r="D5762"/>
  <c r="D5764"/>
  <c r="D5766"/>
  <c r="D5768"/>
  <c r="D5770"/>
  <c r="D5772"/>
  <c r="D5774"/>
  <c r="D5776"/>
  <c r="D5778"/>
  <c r="D5780"/>
  <c r="D5782"/>
  <c r="D5784"/>
  <c r="D5786"/>
  <c r="D5788"/>
  <c r="D5790"/>
  <c r="D5792"/>
  <c r="D5794"/>
  <c r="D5796"/>
  <c r="D5798"/>
  <c r="D5800"/>
  <c r="D5802"/>
  <c r="D5804"/>
  <c r="D5806"/>
  <c r="D5808"/>
  <c r="D5810"/>
  <c r="D5812"/>
  <c r="D5814"/>
  <c r="D5816"/>
  <c r="D5818"/>
  <c r="D5820"/>
  <c r="D5822"/>
  <c r="D5824"/>
  <c r="D5826"/>
  <c r="D5828"/>
  <c r="D5830"/>
  <c r="D5832"/>
  <c r="D5834"/>
  <c r="D5836"/>
  <c r="D6559"/>
  <c r="D6561"/>
  <c r="D6563"/>
  <c r="D6565"/>
  <c r="D6567"/>
  <c r="D6569"/>
  <c r="D6571"/>
  <c r="D6573"/>
  <c r="D6575"/>
  <c r="D6577"/>
  <c r="D6579"/>
  <c r="D6581"/>
  <c r="D6583"/>
  <c r="D6585"/>
  <c r="D6587"/>
  <c r="D6589"/>
  <c r="D6591"/>
  <c r="D6558"/>
  <c r="X14" s="1"/>
  <c r="Z14" s="1"/>
  <c r="D6560"/>
  <c r="D6562"/>
  <c r="D6564"/>
  <c r="D6566"/>
  <c r="D6568"/>
  <c r="D6570"/>
  <c r="D6572"/>
  <c r="D6574"/>
  <c r="D6576"/>
  <c r="D6578"/>
  <c r="D6580"/>
  <c r="D6582"/>
  <c r="D6584"/>
  <c r="D6586"/>
  <c r="D6588"/>
  <c r="D6590"/>
  <c r="D6592"/>
  <c r="D6594"/>
  <c r="D6596"/>
  <c r="D6598"/>
  <c r="D6600"/>
  <c r="D6602"/>
  <c r="D6604"/>
  <c r="D6606"/>
  <c r="D6608"/>
  <c r="D6610"/>
  <c r="D6612"/>
  <c r="D6614"/>
  <c r="D6616"/>
  <c r="D6618"/>
  <c r="D6620"/>
  <c r="D6622"/>
  <c r="D6624"/>
  <c r="D6595"/>
  <c r="D6599"/>
  <c r="D6603"/>
  <c r="D6607"/>
  <c r="D6611"/>
  <c r="D6615"/>
  <c r="D6619"/>
  <c r="D6623"/>
  <c r="D6626"/>
  <c r="D6628"/>
  <c r="D6630"/>
  <c r="D6632"/>
  <c r="D6634"/>
  <c r="D6636"/>
  <c r="D6638"/>
  <c r="D6640"/>
  <c r="D6642"/>
  <c r="D6644"/>
  <c r="D6646"/>
  <c r="D6648"/>
  <c r="D6650"/>
  <c r="D6652"/>
  <c r="D6654"/>
  <c r="D6656"/>
  <c r="D6658"/>
  <c r="D6660"/>
  <c r="D6662"/>
  <c r="D6664"/>
  <c r="D6666"/>
  <c r="D6668"/>
  <c r="D6670"/>
  <c r="D6672"/>
  <c r="D6674"/>
  <c r="D6676"/>
  <c r="D6678"/>
  <c r="D6680"/>
  <c r="D6682"/>
  <c r="D6684"/>
  <c r="D6686"/>
  <c r="D6688"/>
  <c r="D6690"/>
  <c r="D6692"/>
  <c r="D6694"/>
  <c r="D6696"/>
  <c r="D6698"/>
  <c r="D6700"/>
  <c r="D6702"/>
  <c r="D6704"/>
  <c r="D6706"/>
  <c r="D6708"/>
  <c r="D6710"/>
  <c r="D6712"/>
  <c r="D6714"/>
  <c r="D6716"/>
  <c r="D6718"/>
  <c r="D6720"/>
  <c r="D6722"/>
  <c r="D6724"/>
  <c r="D6726"/>
  <c r="D6728"/>
  <c r="D6730"/>
  <c r="D6732"/>
  <c r="D6734"/>
  <c r="D6736"/>
  <c r="D6738"/>
  <c r="D6740"/>
  <c r="D6742"/>
  <c r="D6744"/>
  <c r="D6746"/>
  <c r="D6748"/>
  <c r="D6750"/>
  <c r="D6752"/>
  <c r="D6754"/>
  <c r="D6756"/>
  <c r="D6758"/>
  <c r="D6760"/>
  <c r="D6762"/>
  <c r="D6764"/>
  <c r="D6766"/>
  <c r="D6768"/>
  <c r="D6770"/>
  <c r="D6772"/>
  <c r="D6774"/>
  <c r="D6776"/>
  <c r="D6778"/>
  <c r="D6780"/>
  <c r="D6782"/>
  <c r="D6784"/>
  <c r="D6786"/>
  <c r="D6788"/>
  <c r="D6790"/>
  <c r="D6792"/>
  <c r="D6794"/>
  <c r="D6796"/>
  <c r="D6798"/>
  <c r="D6800"/>
  <c r="D6802"/>
  <c r="D6804"/>
  <c r="D6806"/>
  <c r="D6808"/>
  <c r="D6810"/>
  <c r="D6812"/>
  <c r="D6814"/>
  <c r="D6816"/>
  <c r="D6818"/>
  <c r="D6820"/>
  <c r="D6822"/>
  <c r="D6824"/>
  <c r="D6826"/>
  <c r="D6828"/>
  <c r="D6830"/>
  <c r="D6832"/>
  <c r="D6834"/>
  <c r="D6836"/>
  <c r="D6838"/>
  <c r="D6840"/>
  <c r="D6842"/>
  <c r="D6844"/>
  <c r="D6846"/>
  <c r="D6848"/>
  <c r="D6850"/>
  <c r="D6852"/>
  <c r="D6854"/>
  <c r="D6856"/>
  <c r="D6858"/>
  <c r="D6860"/>
  <c r="D6862"/>
  <c r="D6864"/>
  <c r="D6866"/>
  <c r="D6868"/>
  <c r="D6870"/>
  <c r="D6872"/>
  <c r="D6874"/>
  <c r="D6876"/>
  <c r="D6878"/>
  <c r="D6880"/>
  <c r="D6882"/>
  <c r="D6884"/>
  <c r="D6886"/>
  <c r="D6888"/>
  <c r="D6890"/>
  <c r="D6892"/>
  <c r="D6894"/>
  <c r="D6896"/>
  <c r="D6898"/>
  <c r="D6900"/>
  <c r="D6902"/>
  <c r="D6904"/>
  <c r="D6906"/>
  <c r="D6908"/>
  <c r="D6910"/>
  <c r="D6912"/>
  <c r="D6914"/>
  <c r="D6916"/>
  <c r="D6918"/>
  <c r="D6920"/>
  <c r="D6922"/>
  <c r="D6924"/>
  <c r="D6926"/>
  <c r="D6928"/>
  <c r="D6930"/>
  <c r="D6932"/>
  <c r="D6934"/>
  <c r="D6936"/>
  <c r="D6938"/>
  <c r="D6940"/>
  <c r="D6942"/>
  <c r="D6944"/>
  <c r="D6946"/>
  <c r="D6948"/>
  <c r="D6950"/>
  <c r="D6952"/>
  <c r="D6954"/>
  <c r="D6956"/>
  <c r="D6958"/>
  <c r="D6960"/>
  <c r="D6962"/>
  <c r="D6964"/>
  <c r="D6966"/>
  <c r="D6968"/>
  <c r="D6970"/>
  <c r="D6972"/>
  <c r="D6974"/>
  <c r="D6976"/>
  <c r="D6978"/>
  <c r="D6980"/>
  <c r="D6982"/>
  <c r="D6984"/>
  <c r="D6986"/>
  <c r="D6988"/>
  <c r="D6990"/>
  <c r="D6992"/>
  <c r="D6994"/>
  <c r="D6996"/>
  <c r="D6998"/>
  <c r="D7000"/>
  <c r="D7002"/>
  <c r="D7004"/>
  <c r="D7006"/>
  <c r="D7008"/>
  <c r="D7010"/>
  <c r="D7012"/>
  <c r="D7014"/>
  <c r="D7016"/>
  <c r="D7018"/>
  <c r="D7020"/>
  <c r="D7022"/>
  <c r="D7024"/>
  <c r="D7026"/>
  <c r="D7028"/>
  <c r="D7030"/>
  <c r="D7032"/>
  <c r="D7034"/>
  <c r="D7036"/>
  <c r="D7038"/>
  <c r="D7040"/>
  <c r="D7042"/>
  <c r="D7044"/>
  <c r="D7046"/>
  <c r="D7048"/>
  <c r="D7050"/>
  <c r="D7052"/>
  <c r="D7054"/>
  <c r="D7056"/>
  <c r="D7058"/>
  <c r="D7060"/>
  <c r="D7062"/>
  <c r="D7064"/>
  <c r="D7066"/>
  <c r="D7068"/>
  <c r="D7070"/>
  <c r="D7072"/>
  <c r="D7074"/>
  <c r="D7076"/>
  <c r="D7078"/>
  <c r="D7080"/>
  <c r="D7082"/>
  <c r="D7084"/>
  <c r="D7086"/>
  <c r="D7088"/>
  <c r="D7090"/>
  <c r="D7092"/>
  <c r="D7094"/>
  <c r="D7096"/>
  <c r="D7098"/>
  <c r="D7100"/>
  <c r="D7102"/>
  <c r="D7104"/>
  <c r="D7106"/>
  <c r="D7108"/>
  <c r="D7110"/>
  <c r="D7112"/>
  <c r="D7114"/>
  <c r="D7116"/>
  <c r="D7118"/>
  <c r="D7120"/>
  <c r="D7122"/>
  <c r="D7124"/>
  <c r="D7126"/>
  <c r="D7128"/>
  <c r="D7130"/>
  <c r="D7132"/>
  <c r="D7134"/>
  <c r="D7136"/>
  <c r="D7138"/>
  <c r="D7140"/>
  <c r="D7142"/>
  <c r="D7144"/>
  <c r="D7146"/>
  <c r="D7148"/>
  <c r="D7150"/>
  <c r="D7152"/>
  <c r="D7154"/>
  <c r="D7156"/>
  <c r="D7158"/>
  <c r="D7160"/>
  <c r="D7162"/>
  <c r="D7164"/>
  <c r="D7166"/>
  <c r="D7168"/>
  <c r="D7170"/>
  <c r="D7172"/>
  <c r="D7174"/>
  <c r="D7176"/>
  <c r="D7178"/>
  <c r="D7180"/>
  <c r="D7182"/>
  <c r="D7184"/>
  <c r="D7186"/>
  <c r="D7188"/>
  <c r="D7190"/>
  <c r="D7192"/>
  <c r="D7194"/>
  <c r="D7196"/>
  <c r="D7198"/>
  <c r="D7200"/>
  <c r="D7202"/>
  <c r="D7204"/>
  <c r="D7206"/>
  <c r="D7208"/>
  <c r="D7210"/>
  <c r="D7212"/>
  <c r="D7214"/>
  <c r="D7216"/>
  <c r="D7218"/>
  <c r="D7220"/>
  <c r="D7222"/>
  <c r="D7224"/>
  <c r="D7226"/>
  <c r="D7228"/>
  <c r="D7230"/>
  <c r="D7232"/>
  <c r="D7234"/>
  <c r="D7236"/>
  <c r="D7238"/>
  <c r="D7240"/>
  <c r="D7242"/>
  <c r="D7244"/>
  <c r="D7246"/>
  <c r="D7248"/>
  <c r="D7250"/>
  <c r="D7252"/>
  <c r="D7254"/>
  <c r="D7256"/>
  <c r="D7258"/>
  <c r="D7260"/>
  <c r="D7262"/>
  <c r="D7264"/>
  <c r="D7266"/>
  <c r="D7268"/>
  <c r="D7270"/>
  <c r="D7272"/>
  <c r="D7274"/>
  <c r="D7276"/>
  <c r="D7278"/>
  <c r="D7280"/>
  <c r="D7282"/>
  <c r="D7284"/>
  <c r="D7286"/>
  <c r="D7288"/>
  <c r="D7290"/>
  <c r="D7292"/>
  <c r="D7294"/>
  <c r="D7296"/>
  <c r="D7298"/>
  <c r="D7300"/>
  <c r="D6593"/>
  <c r="D6597"/>
  <c r="D6601"/>
  <c r="D6605"/>
  <c r="D6609"/>
  <c r="D6613"/>
  <c r="D6617"/>
  <c r="D6621"/>
  <c r="D6625"/>
  <c r="D6627"/>
  <c r="D6629"/>
  <c r="D6631"/>
  <c r="D6633"/>
  <c r="D6635"/>
  <c r="D6637"/>
  <c r="D6639"/>
  <c r="D6641"/>
  <c r="D6643"/>
  <c r="D6645"/>
  <c r="D6647"/>
  <c r="D6649"/>
  <c r="D6651"/>
  <c r="D6653"/>
  <c r="D6655"/>
  <c r="D6657"/>
  <c r="D6659"/>
  <c r="D6661"/>
  <c r="D6663"/>
  <c r="D6665"/>
  <c r="D6667"/>
  <c r="D6669"/>
  <c r="D6671"/>
  <c r="D6673"/>
  <c r="D6675"/>
  <c r="D6677"/>
  <c r="D6679"/>
  <c r="D6681"/>
  <c r="D6683"/>
  <c r="D6685"/>
  <c r="D6687"/>
  <c r="D6689"/>
  <c r="D6691"/>
  <c r="D6693"/>
  <c r="D6695"/>
  <c r="D6697"/>
  <c r="D6699"/>
  <c r="D6701"/>
  <c r="D6703"/>
  <c r="D6705"/>
  <c r="D6707"/>
  <c r="D6709"/>
  <c r="D6711"/>
  <c r="D6713"/>
  <c r="D6715"/>
  <c r="D6717"/>
  <c r="D6719"/>
  <c r="D6721"/>
  <c r="D6723"/>
  <c r="D6725"/>
  <c r="D6727"/>
  <c r="D6729"/>
  <c r="D6731"/>
  <c r="D6733"/>
  <c r="D6735"/>
  <c r="D6737"/>
  <c r="D6739"/>
  <c r="D6741"/>
  <c r="D6743"/>
  <c r="D6745"/>
  <c r="D6747"/>
  <c r="D6749"/>
  <c r="D6751"/>
  <c r="D6753"/>
  <c r="D6755"/>
  <c r="D6757"/>
  <c r="D6759"/>
  <c r="D6761"/>
  <c r="D6763"/>
  <c r="D6765"/>
  <c r="D6767"/>
  <c r="D6769"/>
  <c r="D6771"/>
  <c r="D6773"/>
  <c r="D6775"/>
  <c r="D6777"/>
  <c r="D6779"/>
  <c r="D6781"/>
  <c r="D6783"/>
  <c r="D6785"/>
  <c r="D6787"/>
  <c r="D6789"/>
  <c r="D6791"/>
  <c r="D6793"/>
  <c r="D6795"/>
  <c r="D6797"/>
  <c r="D6799"/>
  <c r="D6801"/>
  <c r="D6803"/>
  <c r="D6805"/>
  <c r="D6807"/>
  <c r="D6809"/>
  <c r="D6811"/>
  <c r="D6813"/>
  <c r="D6815"/>
  <c r="D6817"/>
  <c r="D6819"/>
  <c r="D6821"/>
  <c r="D6823"/>
  <c r="D6825"/>
  <c r="D6827"/>
  <c r="D6829"/>
  <c r="D6831"/>
  <c r="D6833"/>
  <c r="D6835"/>
  <c r="D6837"/>
  <c r="D6839"/>
  <c r="D6841"/>
  <c r="D6843"/>
  <c r="D6845"/>
  <c r="D6847"/>
  <c r="D6849"/>
  <c r="D6851"/>
  <c r="D6853"/>
  <c r="D6855"/>
  <c r="D6857"/>
  <c r="D6859"/>
  <c r="D6861"/>
  <c r="D6863"/>
  <c r="D6865"/>
  <c r="D6867"/>
  <c r="D6869"/>
  <c r="D6871"/>
  <c r="D6873"/>
  <c r="D6875"/>
  <c r="D6877"/>
  <c r="D6879"/>
  <c r="D6881"/>
  <c r="D6883"/>
  <c r="D6885"/>
  <c r="D6887"/>
  <c r="D6889"/>
  <c r="D6891"/>
  <c r="D6893"/>
  <c r="D6895"/>
  <c r="D6897"/>
  <c r="D6899"/>
  <c r="D6901"/>
  <c r="D6903"/>
  <c r="D6905"/>
  <c r="D6907"/>
  <c r="D6909"/>
  <c r="D6911"/>
  <c r="D6913"/>
  <c r="D6915"/>
  <c r="D6917"/>
  <c r="D6919"/>
  <c r="D6921"/>
  <c r="D6923"/>
  <c r="D6925"/>
  <c r="D6927"/>
  <c r="D6929"/>
  <c r="D6931"/>
  <c r="D6933"/>
  <c r="D6935"/>
  <c r="D6937"/>
  <c r="D6939"/>
  <c r="D6941"/>
  <c r="D6943"/>
  <c r="D6945"/>
  <c r="D6947"/>
  <c r="D6949"/>
  <c r="D6951"/>
  <c r="D6953"/>
  <c r="D6955"/>
  <c r="D6957"/>
  <c r="D6959"/>
  <c r="D6961"/>
  <c r="D6963"/>
  <c r="D6965"/>
  <c r="D6967"/>
  <c r="D6969"/>
  <c r="D6971"/>
  <c r="D6973"/>
  <c r="D6975"/>
  <c r="D6977"/>
  <c r="D6979"/>
  <c r="D6981"/>
  <c r="D6983"/>
  <c r="D6985"/>
  <c r="D6987"/>
  <c r="D6989"/>
  <c r="D6991"/>
  <c r="D6993"/>
  <c r="D6995"/>
  <c r="D6997"/>
  <c r="D6999"/>
  <c r="D7001"/>
  <c r="D7003"/>
  <c r="D7005"/>
  <c r="D7007"/>
  <c r="D7009"/>
  <c r="D7011"/>
  <c r="D7013"/>
  <c r="D7015"/>
  <c r="D7017"/>
  <c r="D7019"/>
  <c r="D7021"/>
  <c r="D7023"/>
  <c r="D7025"/>
  <c r="D7027"/>
  <c r="D7029"/>
  <c r="D7031"/>
  <c r="D7033"/>
  <c r="D7035"/>
  <c r="D7037"/>
  <c r="D7039"/>
  <c r="D7041"/>
  <c r="D7043"/>
  <c r="D7045"/>
  <c r="D7047"/>
  <c r="D7049"/>
  <c r="D7051"/>
  <c r="D7053"/>
  <c r="D7055"/>
  <c r="D7057"/>
  <c r="D7059"/>
  <c r="D7061"/>
  <c r="D7063"/>
  <c r="D7065"/>
  <c r="D7067"/>
  <c r="D7069"/>
  <c r="D7071"/>
  <c r="D7073"/>
  <c r="D7075"/>
  <c r="D7077"/>
  <c r="D7079"/>
  <c r="D7081"/>
  <c r="D7083"/>
  <c r="D7085"/>
  <c r="D7087"/>
  <c r="D7089"/>
  <c r="D7091"/>
  <c r="D7093"/>
  <c r="D7095"/>
  <c r="D7097"/>
  <c r="D7099"/>
  <c r="D7101"/>
  <c r="D7103"/>
  <c r="D7105"/>
  <c r="D7107"/>
  <c r="D7109"/>
  <c r="D7111"/>
  <c r="D7113"/>
  <c r="D7115"/>
  <c r="D7117"/>
  <c r="D7119"/>
  <c r="D7121"/>
  <c r="D7123"/>
  <c r="D7125"/>
  <c r="D7127"/>
  <c r="D7129"/>
  <c r="D7131"/>
  <c r="D7133"/>
  <c r="D7135"/>
  <c r="D7137"/>
  <c r="D7139"/>
  <c r="D7141"/>
  <c r="D7143"/>
  <c r="D7145"/>
  <c r="D7147"/>
  <c r="D7149"/>
  <c r="D7151"/>
  <c r="D7153"/>
  <c r="D7155"/>
  <c r="D7157"/>
  <c r="D7159"/>
  <c r="D7161"/>
  <c r="D7163"/>
  <c r="D7165"/>
  <c r="D7167"/>
  <c r="D7169"/>
  <c r="D7171"/>
  <c r="D7173"/>
  <c r="D7175"/>
  <c r="D7177"/>
  <c r="D7179"/>
  <c r="D7181"/>
  <c r="D7183"/>
  <c r="D7185"/>
  <c r="D7187"/>
  <c r="D7189"/>
  <c r="D7191"/>
  <c r="D7193"/>
  <c r="D7195"/>
  <c r="D7197"/>
  <c r="D7199"/>
  <c r="D7201"/>
  <c r="D7203"/>
  <c r="D7205"/>
  <c r="D7207"/>
  <c r="D7209"/>
  <c r="D7211"/>
  <c r="D7213"/>
  <c r="D7215"/>
  <c r="D7217"/>
  <c r="D7219"/>
  <c r="D7221"/>
  <c r="D7223"/>
  <c r="D7225"/>
  <c r="D7227"/>
  <c r="D7229"/>
  <c r="D7231"/>
  <c r="D7233"/>
  <c r="D7235"/>
  <c r="D7237"/>
  <c r="D7239"/>
  <c r="D7241"/>
  <c r="D7243"/>
  <c r="D7245"/>
  <c r="D7247"/>
  <c r="D7249"/>
  <c r="D7251"/>
  <c r="D7253"/>
  <c r="D7255"/>
  <c r="D7257"/>
  <c r="D7259"/>
  <c r="D7261"/>
  <c r="D7263"/>
  <c r="D7265"/>
  <c r="D7267"/>
  <c r="D7269"/>
  <c r="D7271"/>
  <c r="D7273"/>
  <c r="D7275"/>
  <c r="D7277"/>
  <c r="D7279"/>
  <c r="D7281"/>
  <c r="D7283"/>
  <c r="D7285"/>
  <c r="D7287"/>
  <c r="D7289"/>
  <c r="D7291"/>
  <c r="D7293"/>
  <c r="D7295"/>
  <c r="D7297"/>
  <c r="D7299"/>
  <c r="D6557"/>
  <c r="D8022"/>
  <c r="D8024"/>
  <c r="D8026"/>
  <c r="D8028"/>
  <c r="D8030"/>
  <c r="D8032"/>
  <c r="D8034"/>
  <c r="D8036"/>
  <c r="D8038"/>
  <c r="D8040"/>
  <c r="D8042"/>
  <c r="D8044"/>
  <c r="D8046"/>
  <c r="D8048"/>
  <c r="D8050"/>
  <c r="D8052"/>
  <c r="D8054"/>
  <c r="D8056"/>
  <c r="D8058"/>
  <c r="D8060"/>
  <c r="D8062"/>
  <c r="D8064"/>
  <c r="D8066"/>
  <c r="D8068"/>
  <c r="D8070"/>
  <c r="D8072"/>
  <c r="D8074"/>
  <c r="D8076"/>
  <c r="D8078"/>
  <c r="D8080"/>
  <c r="D8082"/>
  <c r="D8084"/>
  <c r="D8086"/>
  <c r="D8088"/>
  <c r="D8090"/>
  <c r="D8092"/>
  <c r="D8094"/>
  <c r="D8096"/>
  <c r="D8098"/>
  <c r="D8100"/>
  <c r="D8102"/>
  <c r="D8104"/>
  <c r="D8106"/>
  <c r="D8108"/>
  <c r="D8110"/>
  <c r="D8112"/>
  <c r="D8114"/>
  <c r="D8116"/>
  <c r="D8118"/>
  <c r="D8120"/>
  <c r="D8122"/>
  <c r="D8124"/>
  <c r="D8126"/>
  <c r="D8128"/>
  <c r="D8130"/>
  <c r="D8132"/>
  <c r="D8134"/>
  <c r="D8136"/>
  <c r="D8138"/>
  <c r="D8140"/>
  <c r="D8142"/>
  <c r="D8144"/>
  <c r="D8146"/>
  <c r="D8148"/>
  <c r="D8150"/>
  <c r="D8152"/>
  <c r="D8154"/>
  <c r="D8156"/>
  <c r="D8158"/>
  <c r="D8160"/>
  <c r="D8162"/>
  <c r="D8164"/>
  <c r="D8166"/>
  <c r="D8168"/>
  <c r="D8170"/>
  <c r="D8172"/>
  <c r="D8174"/>
  <c r="D8176"/>
  <c r="D8178"/>
  <c r="D8180"/>
  <c r="D8182"/>
  <c r="D8184"/>
  <c r="D8186"/>
  <c r="D8188"/>
  <c r="D8190"/>
  <c r="D8192"/>
  <c r="D8194"/>
  <c r="D8196"/>
  <c r="D8198"/>
  <c r="D8200"/>
  <c r="D8202"/>
  <c r="D8204"/>
  <c r="D8206"/>
  <c r="D8208"/>
  <c r="D8210"/>
  <c r="D8212"/>
  <c r="D8214"/>
  <c r="D8216"/>
  <c r="D8218"/>
  <c r="D8220"/>
  <c r="D8222"/>
  <c r="D8224"/>
  <c r="D8226"/>
  <c r="D8228"/>
  <c r="D8230"/>
  <c r="D8232"/>
  <c r="D8234"/>
  <c r="D8236"/>
  <c r="D8238"/>
  <c r="D8240"/>
  <c r="D8242"/>
  <c r="D8244"/>
  <c r="D8246"/>
  <c r="D8248"/>
  <c r="D8250"/>
  <c r="D8252"/>
  <c r="D8254"/>
  <c r="D8256"/>
  <c r="D8258"/>
  <c r="D8260"/>
  <c r="D8262"/>
  <c r="D8264"/>
  <c r="D8266"/>
  <c r="D8268"/>
  <c r="D8270"/>
  <c r="D8272"/>
  <c r="D8274"/>
  <c r="D8276"/>
  <c r="D8278"/>
  <c r="D8280"/>
  <c r="D8282"/>
  <c r="D8284"/>
  <c r="D8286"/>
  <c r="D8288"/>
  <c r="D8290"/>
  <c r="D8292"/>
  <c r="D8294"/>
  <c r="D8296"/>
  <c r="D8298"/>
  <c r="D8300"/>
  <c r="D8302"/>
  <c r="D8304"/>
  <c r="D8306"/>
  <c r="D8308"/>
  <c r="D8310"/>
  <c r="D8312"/>
  <c r="D8314"/>
  <c r="D8316"/>
  <c r="D8318"/>
  <c r="D8320"/>
  <c r="D8322"/>
  <c r="D8324"/>
  <c r="D8326"/>
  <c r="D8328"/>
  <c r="D8330"/>
  <c r="D8332"/>
  <c r="D8334"/>
  <c r="D8336"/>
  <c r="D8338"/>
  <c r="D8340"/>
  <c r="D8342"/>
  <c r="D8344"/>
  <c r="D8346"/>
  <c r="D8348"/>
  <c r="D8350"/>
  <c r="D8352"/>
  <c r="D8354"/>
  <c r="D8356"/>
  <c r="D8358"/>
  <c r="D8360"/>
  <c r="D8362"/>
  <c r="D8364"/>
  <c r="D8366"/>
  <c r="D8368"/>
  <c r="D8370"/>
  <c r="D8372"/>
  <c r="D8374"/>
  <c r="D8376"/>
  <c r="D8378"/>
  <c r="D8380"/>
  <c r="D8382"/>
  <c r="D8384"/>
  <c r="D8386"/>
  <c r="D8388"/>
  <c r="D8390"/>
  <c r="D8392"/>
  <c r="D8394"/>
  <c r="D8396"/>
  <c r="D8398"/>
  <c r="D8400"/>
  <c r="D8402"/>
  <c r="D8404"/>
  <c r="D8406"/>
  <c r="D8408"/>
  <c r="D8410"/>
  <c r="D8412"/>
  <c r="D8414"/>
  <c r="D8416"/>
  <c r="D8418"/>
  <c r="D8420"/>
  <c r="D8422"/>
  <c r="D8424"/>
  <c r="D8426"/>
  <c r="D8428"/>
  <c r="D8430"/>
  <c r="D8432"/>
  <c r="D8434"/>
  <c r="D8436"/>
  <c r="D8438"/>
  <c r="D8440"/>
  <c r="D8442"/>
  <c r="D8444"/>
  <c r="D8446"/>
  <c r="D8448"/>
  <c r="D8450"/>
  <c r="D8452"/>
  <c r="D8454"/>
  <c r="D8456"/>
  <c r="D8458"/>
  <c r="D8460"/>
  <c r="D8462"/>
  <c r="D8464"/>
  <c r="D8466"/>
  <c r="D8468"/>
  <c r="D8470"/>
  <c r="D8472"/>
  <c r="D8474"/>
  <c r="D8476"/>
  <c r="D8478"/>
  <c r="D8480"/>
  <c r="D8482"/>
  <c r="D8484"/>
  <c r="D8486"/>
  <c r="D8488"/>
  <c r="D8490"/>
  <c r="D8492"/>
  <c r="D8494"/>
  <c r="D8496"/>
  <c r="D8498"/>
  <c r="D8500"/>
  <c r="D8502"/>
  <c r="D8504"/>
  <c r="D8506"/>
  <c r="D8508"/>
  <c r="D8510"/>
  <c r="D8512"/>
  <c r="D8514"/>
  <c r="D8516"/>
  <c r="D8518"/>
  <c r="D8520"/>
  <c r="D8522"/>
  <c r="D8524"/>
  <c r="D8526"/>
  <c r="D8528"/>
  <c r="D8530"/>
  <c r="D8532"/>
  <c r="D8534"/>
  <c r="D8536"/>
  <c r="D8023"/>
  <c r="D8025"/>
  <c r="D8027"/>
  <c r="D8029"/>
  <c r="D8031"/>
  <c r="D8033"/>
  <c r="D8035"/>
  <c r="D8037"/>
  <c r="D8039"/>
  <c r="D8041"/>
  <c r="D8043"/>
  <c r="D8045"/>
  <c r="D8047"/>
  <c r="D8049"/>
  <c r="D8051"/>
  <c r="D8053"/>
  <c r="D8055"/>
  <c r="D8057"/>
  <c r="D8059"/>
  <c r="D8061"/>
  <c r="D8063"/>
  <c r="D8065"/>
  <c r="D8067"/>
  <c r="D8069"/>
  <c r="D8071"/>
  <c r="D8073"/>
  <c r="D8075"/>
  <c r="D8077"/>
  <c r="D8079"/>
  <c r="D8081"/>
  <c r="D8083"/>
  <c r="D8085"/>
  <c r="D8087"/>
  <c r="D8089"/>
  <c r="D8091"/>
  <c r="D8093"/>
  <c r="D8095"/>
  <c r="D8097"/>
  <c r="D8099"/>
  <c r="D8101"/>
  <c r="D8103"/>
  <c r="D8105"/>
  <c r="D8107"/>
  <c r="D8109"/>
  <c r="D8111"/>
  <c r="D8113"/>
  <c r="D8115"/>
  <c r="D8117"/>
  <c r="D8119"/>
  <c r="D8121"/>
  <c r="D8123"/>
  <c r="D8125"/>
  <c r="D8127"/>
  <c r="D8129"/>
  <c r="D8131"/>
  <c r="D8133"/>
  <c r="D8135"/>
  <c r="D8137"/>
  <c r="D8139"/>
  <c r="D8141"/>
  <c r="D8143"/>
  <c r="D8145"/>
  <c r="D8147"/>
  <c r="D8149"/>
  <c r="D8151"/>
  <c r="D8153"/>
  <c r="D8155"/>
  <c r="D8157"/>
  <c r="D8159"/>
  <c r="D8161"/>
  <c r="D8163"/>
  <c r="D8165"/>
  <c r="D8167"/>
  <c r="D8169"/>
  <c r="D8171"/>
  <c r="D8173"/>
  <c r="D8175"/>
  <c r="D8177"/>
  <c r="D8179"/>
  <c r="D8181"/>
  <c r="D8183"/>
  <c r="D8185"/>
  <c r="D8187"/>
  <c r="D8189"/>
  <c r="D8191"/>
  <c r="D8193"/>
  <c r="D8195"/>
  <c r="D8197"/>
  <c r="D8199"/>
  <c r="D8201"/>
  <c r="D8203"/>
  <c r="D8205"/>
  <c r="D8207"/>
  <c r="D8209"/>
  <c r="D8211"/>
  <c r="D8213"/>
  <c r="D8215"/>
  <c r="D8217"/>
  <c r="D8219"/>
  <c r="D8221"/>
  <c r="D8223"/>
  <c r="D8225"/>
  <c r="D8227"/>
  <c r="D8229"/>
  <c r="D8231"/>
  <c r="D8233"/>
  <c r="D8235"/>
  <c r="D8237"/>
  <c r="D8239"/>
  <c r="D8241"/>
  <c r="D8243"/>
  <c r="D8245"/>
  <c r="D8247"/>
  <c r="D8249"/>
  <c r="D8251"/>
  <c r="D8253"/>
  <c r="D8255"/>
  <c r="D8257"/>
  <c r="D8259"/>
  <c r="D8261"/>
  <c r="D8263"/>
  <c r="D8265"/>
  <c r="D8267"/>
  <c r="D8269"/>
  <c r="D8271"/>
  <c r="D8273"/>
  <c r="D8275"/>
  <c r="D8277"/>
  <c r="D8279"/>
  <c r="D8281"/>
  <c r="D8283"/>
  <c r="D8285"/>
  <c r="D8287"/>
  <c r="D8289"/>
  <c r="D8291"/>
  <c r="D8293"/>
  <c r="D8295"/>
  <c r="D8297"/>
  <c r="D8299"/>
  <c r="D8301"/>
  <c r="D8303"/>
  <c r="D8305"/>
  <c r="D8307"/>
  <c r="D8309"/>
  <c r="D8311"/>
  <c r="D8313"/>
  <c r="D8315"/>
  <c r="D8317"/>
  <c r="D8319"/>
  <c r="D8321"/>
  <c r="D8323"/>
  <c r="D8325"/>
  <c r="D8327"/>
  <c r="D8329"/>
  <c r="D8331"/>
  <c r="D8333"/>
  <c r="D8335"/>
  <c r="D8337"/>
  <c r="D8339"/>
  <c r="D8341"/>
  <c r="D8343"/>
  <c r="D8345"/>
  <c r="D8347"/>
  <c r="D8349"/>
  <c r="D8351"/>
  <c r="D8353"/>
  <c r="D8355"/>
  <c r="D8357"/>
  <c r="D8359"/>
  <c r="D8361"/>
  <c r="D8363"/>
  <c r="D8365"/>
  <c r="D8367"/>
  <c r="D8369"/>
  <c r="D8371"/>
  <c r="D8373"/>
  <c r="D8375"/>
  <c r="D8377"/>
  <c r="D8379"/>
  <c r="D8381"/>
  <c r="D8383"/>
  <c r="D8385"/>
  <c r="D8387"/>
  <c r="D8389"/>
  <c r="D8391"/>
  <c r="D8393"/>
  <c r="D8395"/>
  <c r="D8397"/>
  <c r="D8399"/>
  <c r="D8401"/>
  <c r="D8403"/>
  <c r="D8405"/>
  <c r="D8407"/>
  <c r="D8409"/>
  <c r="D8411"/>
  <c r="D8413"/>
  <c r="D8415"/>
  <c r="D8417"/>
  <c r="D8419"/>
  <c r="D8421"/>
  <c r="D8423"/>
  <c r="D8425"/>
  <c r="D8427"/>
  <c r="D8429"/>
  <c r="D8431"/>
  <c r="D8433"/>
  <c r="D8435"/>
  <c r="D8437"/>
  <c r="D8439"/>
  <c r="D8441"/>
  <c r="D8443"/>
  <c r="D8445"/>
  <c r="D8447"/>
  <c r="D8449"/>
  <c r="D8451"/>
  <c r="D8453"/>
  <c r="D8455"/>
  <c r="D8457"/>
  <c r="D8459"/>
  <c r="D8461"/>
  <c r="D8463"/>
  <c r="D8465"/>
  <c r="D8467"/>
  <c r="D8469"/>
  <c r="D8471"/>
  <c r="D8473"/>
  <c r="D8475"/>
  <c r="D8477"/>
  <c r="D8479"/>
  <c r="D8481"/>
  <c r="D8483"/>
  <c r="D8485"/>
  <c r="D8487"/>
  <c r="D8489"/>
  <c r="D8491"/>
  <c r="D8493"/>
  <c r="D8495"/>
  <c r="D8497"/>
  <c r="D8499"/>
  <c r="D8501"/>
  <c r="D8503"/>
  <c r="D8505"/>
  <c r="D8507"/>
  <c r="D8509"/>
  <c r="D8511"/>
  <c r="D8513"/>
  <c r="D8515"/>
  <c r="D8517"/>
  <c r="D8519"/>
  <c r="D8521"/>
  <c r="D8525"/>
  <c r="D8529"/>
  <c r="D8533"/>
  <c r="D8537"/>
  <c r="D8539"/>
  <c r="D8541"/>
  <c r="D8543"/>
  <c r="D8545"/>
  <c r="D8547"/>
  <c r="D8549"/>
  <c r="D8551"/>
  <c r="D8553"/>
  <c r="D8555"/>
  <c r="D8557"/>
  <c r="D8559"/>
  <c r="D8561"/>
  <c r="D8563"/>
  <c r="D8565"/>
  <c r="D8567"/>
  <c r="D8569"/>
  <c r="D8571"/>
  <c r="D8573"/>
  <c r="D8575"/>
  <c r="D8577"/>
  <c r="D8579"/>
  <c r="D8581"/>
  <c r="D8583"/>
  <c r="D8585"/>
  <c r="D8587"/>
  <c r="D8589"/>
  <c r="D8591"/>
  <c r="D8593"/>
  <c r="D8595"/>
  <c r="D8597"/>
  <c r="D8599"/>
  <c r="D8601"/>
  <c r="D8603"/>
  <c r="D8605"/>
  <c r="D8607"/>
  <c r="D8609"/>
  <c r="D8611"/>
  <c r="D8613"/>
  <c r="D8615"/>
  <c r="D8617"/>
  <c r="D8619"/>
  <c r="D8621"/>
  <c r="D8623"/>
  <c r="D8625"/>
  <c r="D8627"/>
  <c r="D8629"/>
  <c r="D8631"/>
  <c r="D8633"/>
  <c r="D8635"/>
  <c r="D8637"/>
  <c r="D8639"/>
  <c r="D8641"/>
  <c r="D8643"/>
  <c r="D8645"/>
  <c r="D8647"/>
  <c r="D8649"/>
  <c r="D8651"/>
  <c r="D8653"/>
  <c r="D8655"/>
  <c r="D8657"/>
  <c r="D8659"/>
  <c r="D8661"/>
  <c r="D8663"/>
  <c r="D8665"/>
  <c r="D8667"/>
  <c r="D8669"/>
  <c r="D8671"/>
  <c r="D8673"/>
  <c r="D8675"/>
  <c r="D8677"/>
  <c r="D8679"/>
  <c r="D8681"/>
  <c r="D8683"/>
  <c r="D8685"/>
  <c r="D8687"/>
  <c r="D8689"/>
  <c r="D8691"/>
  <c r="D8693"/>
  <c r="D8695"/>
  <c r="D8697"/>
  <c r="D8699"/>
  <c r="D8701"/>
  <c r="D8703"/>
  <c r="D8705"/>
  <c r="D8707"/>
  <c r="D8709"/>
  <c r="D8711"/>
  <c r="D8713"/>
  <c r="D8715"/>
  <c r="D8717"/>
  <c r="D8719"/>
  <c r="D8721"/>
  <c r="D8723"/>
  <c r="D8725"/>
  <c r="D8727"/>
  <c r="D8729"/>
  <c r="D8731"/>
  <c r="D8733"/>
  <c r="D8735"/>
  <c r="D8737"/>
  <c r="D8739"/>
  <c r="D8741"/>
  <c r="D8743"/>
  <c r="D8745"/>
  <c r="D8747"/>
  <c r="D8749"/>
  <c r="D8751"/>
  <c r="D8753"/>
  <c r="D8755"/>
  <c r="D8757"/>
  <c r="D8759"/>
  <c r="D8761"/>
  <c r="D8763"/>
  <c r="D8021"/>
  <c r="D8523"/>
  <c r="D8527"/>
  <c r="D8531"/>
  <c r="D8535"/>
  <c r="D8538"/>
  <c r="D8540"/>
  <c r="D8542"/>
  <c r="D8544"/>
  <c r="D8546"/>
  <c r="D8548"/>
  <c r="D8550"/>
  <c r="D8552"/>
  <c r="D8554"/>
  <c r="D8556"/>
  <c r="D8558"/>
  <c r="D8560"/>
  <c r="D8562"/>
  <c r="D8564"/>
  <c r="D8566"/>
  <c r="D8568"/>
  <c r="D8570"/>
  <c r="D8572"/>
  <c r="D8574"/>
  <c r="D8576"/>
  <c r="D8578"/>
  <c r="D8580"/>
  <c r="D8582"/>
  <c r="D8584"/>
  <c r="D8586"/>
  <c r="D8588"/>
  <c r="D8590"/>
  <c r="D8592"/>
  <c r="D8594"/>
  <c r="D8596"/>
  <c r="D8598"/>
  <c r="D8600"/>
  <c r="D8602"/>
  <c r="D8604"/>
  <c r="D8606"/>
  <c r="D8608"/>
  <c r="D8610"/>
  <c r="D8612"/>
  <c r="D8614"/>
  <c r="D8616"/>
  <c r="D8618"/>
  <c r="D8620"/>
  <c r="D8622"/>
  <c r="D8624"/>
  <c r="D8626"/>
  <c r="D8628"/>
  <c r="D8630"/>
  <c r="D8632"/>
  <c r="D8634"/>
  <c r="D8636"/>
  <c r="D8638"/>
  <c r="D8640"/>
  <c r="D8642"/>
  <c r="D8644"/>
  <c r="D8646"/>
  <c r="D8648"/>
  <c r="D8650"/>
  <c r="D8652"/>
  <c r="D8654"/>
  <c r="D8656"/>
  <c r="D8658"/>
  <c r="D8660"/>
  <c r="D8662"/>
  <c r="D8664"/>
  <c r="D8666"/>
  <c r="D8668"/>
  <c r="D8670"/>
  <c r="D8672"/>
  <c r="D8674"/>
  <c r="D8676"/>
  <c r="D8678"/>
  <c r="D8680"/>
  <c r="D8682"/>
  <c r="D8684"/>
  <c r="D8686"/>
  <c r="D8688"/>
  <c r="D8690"/>
  <c r="D8692"/>
  <c r="D8694"/>
  <c r="D8696"/>
  <c r="D8698"/>
  <c r="D8700"/>
  <c r="D8702"/>
  <c r="D8704"/>
  <c r="D8706"/>
  <c r="D8708"/>
  <c r="D8710"/>
  <c r="D8712"/>
  <c r="D8714"/>
  <c r="D8716"/>
  <c r="D8718"/>
  <c r="D8720"/>
  <c r="D8722"/>
  <c r="D8724"/>
  <c r="D8726"/>
  <c r="D8728"/>
  <c r="D8730"/>
  <c r="D8732"/>
  <c r="D8734"/>
  <c r="D8736"/>
  <c r="D8738"/>
  <c r="D8740"/>
  <c r="D8742"/>
  <c r="D8744"/>
  <c r="D8746"/>
  <c r="D8748"/>
  <c r="D8750"/>
  <c r="D8752"/>
  <c r="D8754"/>
  <c r="D8756"/>
  <c r="D8758"/>
  <c r="D8760"/>
  <c r="D8762"/>
  <c r="D8764"/>
  <c r="D5"/>
  <c r="D9"/>
  <c r="D13"/>
  <c r="D17"/>
  <c r="D21"/>
  <c r="D25"/>
  <c r="D29"/>
  <c r="D33"/>
  <c r="D37"/>
  <c r="D41"/>
  <c r="D45"/>
  <c r="D49"/>
  <c r="D53"/>
  <c r="D57"/>
  <c r="D61"/>
  <c r="D65"/>
  <c r="D69"/>
  <c r="D73"/>
  <c r="D77"/>
  <c r="D81"/>
  <c r="D85"/>
  <c r="D89"/>
  <c r="D93"/>
  <c r="D97"/>
  <c r="D101"/>
  <c r="D105"/>
  <c r="D109"/>
  <c r="D113"/>
  <c r="D117"/>
  <c r="D121"/>
  <c r="D125"/>
  <c r="D129"/>
  <c r="D133"/>
  <c r="D137"/>
  <c r="D141"/>
  <c r="D145"/>
  <c r="D149"/>
  <c r="D153"/>
  <c r="D157"/>
  <c r="D161"/>
  <c r="D165"/>
  <c r="D169"/>
  <c r="D173"/>
  <c r="D177"/>
  <c r="D181"/>
  <c r="D185"/>
  <c r="D189"/>
  <c r="D193"/>
  <c r="D197"/>
  <c r="D201"/>
  <c r="D205"/>
  <c r="D209"/>
  <c r="D213"/>
  <c r="D217"/>
  <c r="D221"/>
  <c r="D225"/>
  <c r="D229"/>
  <c r="D233"/>
  <c r="D237"/>
  <c r="D241"/>
  <c r="D245"/>
  <c r="D249"/>
  <c r="D253"/>
  <c r="D257"/>
  <c r="D261"/>
  <c r="D265"/>
  <c r="D269"/>
  <c r="D273"/>
  <c r="D277"/>
  <c r="D281"/>
  <c r="D285"/>
  <c r="D289"/>
  <c r="D293"/>
  <c r="D297"/>
  <c r="D301"/>
  <c r="D305"/>
  <c r="D309"/>
  <c r="D313"/>
  <c r="D317"/>
  <c r="D321"/>
  <c r="D325"/>
  <c r="D329"/>
  <c r="D333"/>
  <c r="D337"/>
  <c r="D341"/>
  <c r="D345"/>
  <c r="D349"/>
  <c r="D353"/>
  <c r="D357"/>
  <c r="D361"/>
  <c r="D365"/>
  <c r="D369"/>
  <c r="D373"/>
  <c r="D377"/>
  <c r="D381"/>
  <c r="D385"/>
  <c r="D389"/>
  <c r="D393"/>
  <c r="D397"/>
  <c r="D401"/>
  <c r="D405"/>
  <c r="D409"/>
  <c r="D413"/>
  <c r="D417"/>
  <c r="D421"/>
  <c r="D425"/>
  <c r="D429"/>
  <c r="D433"/>
  <c r="D437"/>
  <c r="D441"/>
  <c r="D445"/>
  <c r="D449"/>
  <c r="D453"/>
  <c r="D457"/>
  <c r="D461"/>
  <c r="D465"/>
  <c r="D469"/>
  <c r="D473"/>
  <c r="D476"/>
  <c r="D478"/>
  <c r="D480"/>
  <c r="D482"/>
  <c r="D484"/>
  <c r="D486"/>
  <c r="D488"/>
  <c r="D490"/>
  <c r="D492"/>
  <c r="D494"/>
  <c r="D496"/>
  <c r="D498"/>
  <c r="D500"/>
  <c r="D502"/>
  <c r="D504"/>
  <c r="D506"/>
  <c r="D508"/>
  <c r="D510"/>
  <c r="D512"/>
  <c r="D514"/>
  <c r="D516"/>
  <c r="D518"/>
  <c r="D520"/>
  <c r="D522"/>
  <c r="D524"/>
  <c r="D526"/>
  <c r="D528"/>
  <c r="D530"/>
  <c r="D532"/>
  <c r="D534"/>
  <c r="D536"/>
  <c r="D538"/>
  <c r="D540"/>
  <c r="D542"/>
  <c r="D544"/>
  <c r="D546"/>
  <c r="D548"/>
  <c r="D550"/>
  <c r="D552"/>
  <c r="D554"/>
  <c r="D556"/>
  <c r="D558"/>
  <c r="D560"/>
  <c r="D562"/>
  <c r="D564"/>
  <c r="D566"/>
  <c r="D568"/>
  <c r="D570"/>
  <c r="D572"/>
  <c r="D574"/>
  <c r="D576"/>
  <c r="D578"/>
  <c r="D580"/>
  <c r="D582"/>
  <c r="D584"/>
  <c r="D586"/>
  <c r="D588"/>
  <c r="D590"/>
  <c r="D592"/>
  <c r="D594"/>
  <c r="D596"/>
  <c r="D598"/>
  <c r="D600"/>
  <c r="D602"/>
  <c r="D604"/>
  <c r="D606"/>
  <c r="D608"/>
  <c r="D610"/>
  <c r="D612"/>
  <c r="D614"/>
  <c r="D616"/>
  <c r="D618"/>
  <c r="D620"/>
  <c r="D622"/>
  <c r="D624"/>
  <c r="D626"/>
  <c r="D628"/>
  <c r="D630"/>
  <c r="D632"/>
  <c r="D634"/>
  <c r="D636"/>
  <c r="D638"/>
  <c r="D640"/>
  <c r="D642"/>
  <c r="D644"/>
  <c r="D646"/>
  <c r="D648"/>
  <c r="D650"/>
  <c r="D652"/>
  <c r="D654"/>
  <c r="D656"/>
  <c r="D658"/>
  <c r="D660"/>
  <c r="D662"/>
  <c r="D664"/>
  <c r="D666"/>
  <c r="D668"/>
  <c r="D670"/>
  <c r="D672"/>
  <c r="D674"/>
  <c r="D676"/>
  <c r="D678"/>
  <c r="D680"/>
  <c r="D682"/>
  <c r="D684"/>
  <c r="D686"/>
  <c r="D688"/>
  <c r="D690"/>
  <c r="D692"/>
  <c r="D694"/>
  <c r="D696"/>
  <c r="D698"/>
  <c r="D700"/>
  <c r="D702"/>
  <c r="D704"/>
  <c r="D706"/>
  <c r="D708"/>
  <c r="D710"/>
  <c r="D712"/>
  <c r="D714"/>
  <c r="D716"/>
  <c r="D718"/>
  <c r="D720"/>
  <c r="D722"/>
  <c r="D724"/>
  <c r="D726"/>
  <c r="D728"/>
  <c r="D730"/>
  <c r="D732"/>
  <c r="D734"/>
  <c r="D736"/>
  <c r="D738"/>
  <c r="D740"/>
  <c r="D7"/>
  <c r="D11"/>
  <c r="D15"/>
  <c r="D19"/>
  <c r="D23"/>
  <c r="D27"/>
  <c r="D31"/>
  <c r="D35"/>
  <c r="D39"/>
  <c r="D43"/>
  <c r="D47"/>
  <c r="D51"/>
  <c r="D55"/>
  <c r="D59"/>
  <c r="D63"/>
  <c r="D67"/>
  <c r="D71"/>
  <c r="D75"/>
  <c r="D79"/>
  <c r="D83"/>
  <c r="D87"/>
  <c r="D91"/>
  <c r="D95"/>
  <c r="D99"/>
  <c r="D103"/>
  <c r="D107"/>
  <c r="D111"/>
  <c r="D115"/>
  <c r="D119"/>
  <c r="D123"/>
  <c r="D127"/>
  <c r="D131"/>
  <c r="D135"/>
  <c r="D139"/>
  <c r="D143"/>
  <c r="D147"/>
  <c r="D151"/>
  <c r="D155"/>
  <c r="D159"/>
  <c r="D163"/>
  <c r="D167"/>
  <c r="D171"/>
  <c r="D175"/>
  <c r="D179"/>
  <c r="D183"/>
  <c r="D187"/>
  <c r="D191"/>
  <c r="D195"/>
  <c r="D199"/>
  <c r="D203"/>
  <c r="D207"/>
  <c r="D211"/>
  <c r="D215"/>
  <c r="D219"/>
  <c r="D223"/>
  <c r="D227"/>
  <c r="D231"/>
  <c r="D235"/>
  <c r="D239"/>
  <c r="D243"/>
  <c r="D247"/>
  <c r="D251"/>
  <c r="D255"/>
  <c r="D259"/>
  <c r="D263"/>
  <c r="D267"/>
  <c r="D271"/>
  <c r="D275"/>
  <c r="D279"/>
  <c r="D283"/>
  <c r="D287"/>
  <c r="D291"/>
  <c r="D295"/>
  <c r="D299"/>
  <c r="D303"/>
  <c r="D307"/>
  <c r="D311"/>
  <c r="D315"/>
  <c r="D319"/>
  <c r="D323"/>
  <c r="D327"/>
  <c r="D331"/>
  <c r="D335"/>
  <c r="D339"/>
  <c r="D343"/>
  <c r="D347"/>
  <c r="D351"/>
  <c r="D355"/>
  <c r="D359"/>
  <c r="D363"/>
  <c r="D367"/>
  <c r="D371"/>
  <c r="D375"/>
  <c r="D379"/>
  <c r="D383"/>
  <c r="D387"/>
  <c r="D391"/>
  <c r="D395"/>
  <c r="D399"/>
  <c r="D403"/>
  <c r="D407"/>
  <c r="D411"/>
  <c r="D415"/>
  <c r="D419"/>
  <c r="D423"/>
  <c r="D427"/>
  <c r="D431"/>
  <c r="D435"/>
  <c r="D439"/>
  <c r="D443"/>
  <c r="D447"/>
  <c r="D451"/>
  <c r="D455"/>
  <c r="D459"/>
  <c r="D463"/>
  <c r="D467"/>
  <c r="D471"/>
  <c r="D475"/>
  <c r="D477"/>
  <c r="D479"/>
  <c r="D481"/>
  <c r="D483"/>
  <c r="D485"/>
  <c r="D487"/>
  <c r="D489"/>
  <c r="D491"/>
  <c r="D493"/>
  <c r="D495"/>
  <c r="D497"/>
  <c r="D499"/>
  <c r="D501"/>
  <c r="D503"/>
  <c r="D505"/>
  <c r="D507"/>
  <c r="D509"/>
  <c r="D511"/>
  <c r="D513"/>
  <c r="D515"/>
  <c r="D517"/>
  <c r="D519"/>
  <c r="D521"/>
  <c r="D523"/>
  <c r="D525"/>
  <c r="D527"/>
  <c r="D529"/>
  <c r="D531"/>
  <c r="D533"/>
  <c r="D535"/>
  <c r="D537"/>
  <c r="D539"/>
  <c r="D541"/>
  <c r="D543"/>
  <c r="D545"/>
  <c r="D547"/>
  <c r="D549"/>
  <c r="D551"/>
  <c r="D553"/>
  <c r="D555"/>
  <c r="D557"/>
  <c r="D559"/>
  <c r="D561"/>
  <c r="D563"/>
  <c r="D565"/>
  <c r="D567"/>
  <c r="D569"/>
  <c r="D571"/>
  <c r="D573"/>
  <c r="D575"/>
  <c r="D577"/>
  <c r="D579"/>
  <c r="D581"/>
  <c r="D583"/>
  <c r="D585"/>
  <c r="D587"/>
  <c r="D589"/>
  <c r="D591"/>
  <c r="D593"/>
  <c r="D595"/>
  <c r="D597"/>
  <c r="D599"/>
  <c r="D601"/>
  <c r="D603"/>
  <c r="D605"/>
  <c r="D607"/>
  <c r="D609"/>
  <c r="D611"/>
  <c r="D613"/>
  <c r="D615"/>
  <c r="D617"/>
  <c r="D619"/>
  <c r="D621"/>
  <c r="D623"/>
  <c r="D625"/>
  <c r="D627"/>
  <c r="D629"/>
  <c r="D631"/>
  <c r="D633"/>
  <c r="D635"/>
  <c r="D637"/>
  <c r="D639"/>
  <c r="D641"/>
  <c r="D643"/>
  <c r="D645"/>
  <c r="D647"/>
  <c r="D649"/>
  <c r="D651"/>
  <c r="D653"/>
  <c r="D655"/>
  <c r="D657"/>
  <c r="D659"/>
  <c r="D661"/>
  <c r="D663"/>
  <c r="D665"/>
  <c r="D667"/>
  <c r="D669"/>
  <c r="D671"/>
  <c r="D673"/>
  <c r="D675"/>
  <c r="D677"/>
  <c r="D679"/>
  <c r="D681"/>
  <c r="D683"/>
  <c r="D685"/>
  <c r="D687"/>
  <c r="D689"/>
  <c r="D691"/>
  <c r="D693"/>
  <c r="D695"/>
  <c r="D697"/>
  <c r="D699"/>
  <c r="D701"/>
  <c r="D703"/>
  <c r="D705"/>
  <c r="D707"/>
  <c r="D709"/>
  <c r="D711"/>
  <c r="D713"/>
  <c r="D715"/>
  <c r="D717"/>
  <c r="D719"/>
  <c r="D721"/>
  <c r="D723"/>
  <c r="D725"/>
  <c r="D727"/>
  <c r="D729"/>
  <c r="D731"/>
  <c r="D733"/>
  <c r="D737"/>
  <c r="D741"/>
  <c r="D743"/>
  <c r="D745"/>
  <c r="D747"/>
  <c r="D735"/>
  <c r="D739"/>
  <c r="D742"/>
  <c r="D744"/>
  <c r="D746"/>
  <c r="D748"/>
  <c r="E7744"/>
  <c r="E7748"/>
  <c r="E7752"/>
  <c r="E7756"/>
  <c r="E7760"/>
  <c r="E7764"/>
  <c r="E7768"/>
  <c r="E7772"/>
  <c r="E7776"/>
  <c r="E7780"/>
  <c r="E7784"/>
  <c r="E7790"/>
  <c r="E7798"/>
  <c r="E7806"/>
  <c r="E7814"/>
  <c r="E7822"/>
  <c r="E7830"/>
  <c r="E7838"/>
  <c r="E7846"/>
  <c r="E7854"/>
  <c r="E7862"/>
  <c r="E7870"/>
  <c r="E7878"/>
  <c r="E7886"/>
  <c r="E7894"/>
  <c r="E7902"/>
  <c r="E7911"/>
  <c r="E7927"/>
  <c r="E7943"/>
  <c r="E7959"/>
  <c r="E7975"/>
  <c r="E7991"/>
  <c r="E8007"/>
  <c r="E7556"/>
  <c r="E7540"/>
  <c r="E7510"/>
  <c r="E7478"/>
  <c r="E7446"/>
  <c r="E7414"/>
  <c r="E7382"/>
  <c r="E7350"/>
  <c r="P6"/>
  <c r="P17" s="1"/>
  <c r="L17"/>
  <c r="D749"/>
  <c r="D1417"/>
  <c r="D1415"/>
  <c r="D1413"/>
  <c r="D1411"/>
  <c r="D1409"/>
  <c r="D1407"/>
  <c r="D1405"/>
  <c r="D1403"/>
  <c r="D1401"/>
  <c r="D1399"/>
  <c r="D1397"/>
  <c r="D1395"/>
  <c r="D1393"/>
  <c r="D1391"/>
  <c r="D1389"/>
  <c r="D1387"/>
  <c r="D1385"/>
  <c r="D1383"/>
  <c r="D1381"/>
  <c r="D1379"/>
  <c r="D1377"/>
  <c r="D1375"/>
  <c r="D1373"/>
  <c r="D1371"/>
  <c r="D1369"/>
  <c r="D1367"/>
  <c r="D1365"/>
  <c r="D1363"/>
  <c r="D1361"/>
  <c r="D1359"/>
  <c r="D1357"/>
  <c r="D1354"/>
  <c r="D1350"/>
  <c r="D1346"/>
  <c r="D1342"/>
  <c r="D1338"/>
  <c r="D1334"/>
  <c r="D1330"/>
  <c r="D1326"/>
  <c r="D1322"/>
  <c r="D1318"/>
  <c r="D1314"/>
  <c r="D1310"/>
  <c r="D1306"/>
  <c r="D1302"/>
  <c r="D1298"/>
  <c r="D1294"/>
  <c r="D1290"/>
  <c r="D1286"/>
  <c r="D1282"/>
  <c r="D1278"/>
  <c r="D1274"/>
  <c r="D1270"/>
  <c r="D1266"/>
  <c r="D1262"/>
  <c r="D1258"/>
  <c r="D1254"/>
  <c r="D1250"/>
  <c r="D1246"/>
  <c r="D1242"/>
  <c r="D1238"/>
  <c r="D1234"/>
  <c r="D1230"/>
  <c r="D1226"/>
  <c r="D1222"/>
  <c r="D1218"/>
  <c r="D1214"/>
  <c r="D1210"/>
  <c r="D1206"/>
  <c r="D1202"/>
  <c r="D1198"/>
  <c r="D1194"/>
  <c r="D1190"/>
  <c r="D1186"/>
  <c r="D1182"/>
  <c r="D1178"/>
  <c r="D1174"/>
  <c r="D1170"/>
  <c r="D1166"/>
  <c r="D1162"/>
  <c r="D1158"/>
  <c r="D1154"/>
  <c r="D1150"/>
  <c r="D1146"/>
  <c r="D1142"/>
  <c r="D1138"/>
  <c r="D1134"/>
  <c r="D1130"/>
  <c r="D1126"/>
  <c r="D1122"/>
  <c r="D1118"/>
  <c r="D1114"/>
  <c r="D1110"/>
  <c r="D1106"/>
  <c r="D1102"/>
  <c r="D1098"/>
  <c r="D1094"/>
  <c r="D1090"/>
  <c r="D1086"/>
  <c r="D1082"/>
  <c r="D1078"/>
  <c r="D1074"/>
  <c r="D1070"/>
  <c r="D1066"/>
  <c r="D1062"/>
  <c r="D1058"/>
  <c r="D1054"/>
  <c r="D1050"/>
  <c r="D1046"/>
  <c r="D1042"/>
  <c r="D1038"/>
  <c r="D1034"/>
  <c r="D1030"/>
  <c r="D1026"/>
  <c r="D1022"/>
  <c r="D1018"/>
  <c r="D1014"/>
  <c r="D1010"/>
  <c r="D1006"/>
  <c r="D1002"/>
  <c r="D998"/>
  <c r="D994"/>
  <c r="D990"/>
  <c r="D986"/>
  <c r="D982"/>
  <c r="D978"/>
  <c r="D974"/>
  <c r="D970"/>
  <c r="D966"/>
  <c r="D962"/>
  <c r="D958"/>
  <c r="D954"/>
  <c r="D950"/>
  <c r="D946"/>
  <c r="D942"/>
  <c r="D938"/>
  <c r="D934"/>
  <c r="D930"/>
  <c r="D926"/>
  <c r="D922"/>
  <c r="D918"/>
  <c r="D914"/>
  <c r="D910"/>
  <c r="D906"/>
  <c r="D902"/>
  <c r="D898"/>
  <c r="D894"/>
  <c r="D890"/>
  <c r="D886"/>
  <c r="D882"/>
  <c r="D878"/>
  <c r="D874"/>
  <c r="D870"/>
  <c r="D866"/>
  <c r="D862"/>
  <c r="D858"/>
  <c r="D854"/>
  <c r="D850"/>
  <c r="D846"/>
  <c r="D842"/>
  <c r="D838"/>
  <c r="D834"/>
  <c r="D830"/>
  <c r="D826"/>
  <c r="D822"/>
  <c r="D818"/>
  <c r="D814"/>
  <c r="D810"/>
  <c r="D806"/>
  <c r="D802"/>
  <c r="D798"/>
  <c r="D794"/>
  <c r="D790"/>
  <c r="D786"/>
  <c r="D782"/>
  <c r="D778"/>
  <c r="D774"/>
  <c r="D770"/>
  <c r="D766"/>
  <c r="D762"/>
  <c r="D758"/>
  <c r="D754"/>
  <c r="D2164"/>
  <c r="D2160"/>
  <c r="D2156"/>
  <c r="D2152"/>
  <c r="D2148"/>
  <c r="D2144"/>
  <c r="D2140"/>
  <c r="D2136"/>
  <c r="D2132"/>
  <c r="D2128"/>
  <c r="D2124"/>
  <c r="D2120"/>
  <c r="D2116"/>
  <c r="D2112"/>
  <c r="D2108"/>
  <c r="D2104"/>
  <c r="D2100"/>
  <c r="D2096"/>
  <c r="D2092"/>
  <c r="D2088"/>
  <c r="D2084"/>
  <c r="D2080"/>
  <c r="D2076"/>
  <c r="D2072"/>
  <c r="D2068"/>
  <c r="D2064"/>
  <c r="D2060"/>
  <c r="D2056"/>
  <c r="D2052"/>
  <c r="D2048"/>
  <c r="D2044"/>
  <c r="D2040"/>
  <c r="D2036"/>
  <c r="D2032"/>
  <c r="D2028"/>
  <c r="D2024"/>
  <c r="D2020"/>
  <c r="D2016"/>
  <c r="D2012"/>
  <c r="D2008"/>
  <c r="D2004"/>
  <c r="D2000"/>
  <c r="D1996"/>
  <c r="D1992"/>
  <c r="D1988"/>
  <c r="D1984"/>
  <c r="D1980"/>
  <c r="D1976"/>
  <c r="D1972"/>
  <c r="D1968"/>
  <c r="D1964"/>
  <c r="D1960"/>
  <c r="D1956"/>
  <c r="D1952"/>
  <c r="D1948"/>
  <c r="D1944"/>
  <c r="D1940"/>
  <c r="D1936"/>
  <c r="D1932"/>
  <c r="D1928"/>
  <c r="D1924"/>
  <c r="D1920"/>
  <c r="D1916"/>
  <c r="D1912"/>
  <c r="D1908"/>
  <c r="D1904"/>
  <c r="D1900"/>
  <c r="D1896"/>
  <c r="D1892"/>
  <c r="D1888"/>
  <c r="D1884"/>
  <c r="D1880"/>
  <c r="D1876"/>
  <c r="D1872"/>
  <c r="D1868"/>
  <c r="D1864"/>
  <c r="D1860"/>
  <c r="D1856"/>
  <c r="D1852"/>
  <c r="D1848"/>
  <c r="D1844"/>
  <c r="D1840"/>
  <c r="D1836"/>
  <c r="D1832"/>
  <c r="D1828"/>
  <c r="D1824"/>
  <c r="D1820"/>
  <c r="D1816"/>
  <c r="D1812"/>
  <c r="D1808"/>
  <c r="D1804"/>
  <c r="D1800"/>
  <c r="D1796"/>
  <c r="D1792"/>
  <c r="D1788"/>
  <c r="D1784"/>
  <c r="D1780"/>
  <c r="D1776"/>
  <c r="D1772"/>
  <c r="D1768"/>
  <c r="D1764"/>
  <c r="D1760"/>
  <c r="D1756"/>
  <c r="D1752"/>
  <c r="D1748"/>
  <c r="D1744"/>
  <c r="D1740"/>
  <c r="D1736"/>
  <c r="D1732"/>
  <c r="D1728"/>
  <c r="D1724"/>
  <c r="D1720"/>
  <c r="D1716"/>
  <c r="D1712"/>
  <c r="D1708"/>
  <c r="D1704"/>
  <c r="D1700"/>
  <c r="D1696"/>
  <c r="D1692"/>
  <c r="D1688"/>
  <c r="D1684"/>
  <c r="D1680"/>
  <c r="D1676"/>
  <c r="D1672"/>
  <c r="D1668"/>
  <c r="D1664"/>
  <c r="D1660"/>
  <c r="D1656"/>
  <c r="D1652"/>
  <c r="D1648"/>
  <c r="D1644"/>
  <c r="D1640"/>
  <c r="D1636"/>
  <c r="D1632"/>
  <c r="D1628"/>
  <c r="D1624"/>
  <c r="D1620"/>
  <c r="D1616"/>
  <c r="D1612"/>
  <c r="D1608"/>
  <c r="D1604"/>
  <c r="D1600"/>
  <c r="D1596"/>
  <c r="D1592"/>
  <c r="D1588"/>
  <c r="D1584"/>
  <c r="D1580"/>
  <c r="D1576"/>
  <c r="D1572"/>
  <c r="D1568"/>
  <c r="D1564"/>
  <c r="D1560"/>
  <c r="D1556"/>
  <c r="D1552"/>
  <c r="D1548"/>
  <c r="D1544"/>
  <c r="D1540"/>
  <c r="D1536"/>
  <c r="D1532"/>
  <c r="D1528"/>
  <c r="D1524"/>
  <c r="D1520"/>
  <c r="D1516"/>
  <c r="D1512"/>
  <c r="D1508"/>
  <c r="D1504"/>
  <c r="D1500"/>
  <c r="D1496"/>
  <c r="D1492"/>
  <c r="D1488"/>
  <c r="D1484"/>
  <c r="D1480"/>
  <c r="D1476"/>
  <c r="D1472"/>
  <c r="D1419"/>
  <c r="D751"/>
  <c r="D753"/>
  <c r="D755"/>
  <c r="D757"/>
  <c r="D759"/>
  <c r="D761"/>
  <c r="D763"/>
  <c r="D765"/>
  <c r="D767"/>
  <c r="D769"/>
  <c r="D771"/>
  <c r="D773"/>
  <c r="D775"/>
  <c r="D777"/>
  <c r="D779"/>
  <c r="D781"/>
  <c r="D783"/>
  <c r="D785"/>
  <c r="D787"/>
  <c r="D789"/>
  <c r="D791"/>
  <c r="D793"/>
  <c r="D795"/>
  <c r="D797"/>
  <c r="D799"/>
  <c r="D801"/>
  <c r="D803"/>
  <c r="D805"/>
  <c r="D807"/>
  <c r="D809"/>
  <c r="D811"/>
  <c r="D813"/>
  <c r="D815"/>
  <c r="D817"/>
  <c r="D819"/>
  <c r="D821"/>
  <c r="D823"/>
  <c r="D825"/>
  <c r="D827"/>
  <c r="D829"/>
  <c r="D831"/>
  <c r="D833"/>
  <c r="D835"/>
  <c r="D837"/>
  <c r="D839"/>
  <c r="D841"/>
  <c r="D843"/>
  <c r="D845"/>
  <c r="D847"/>
  <c r="D849"/>
  <c r="D851"/>
  <c r="D853"/>
  <c r="D855"/>
  <c r="D857"/>
  <c r="D859"/>
  <c r="D861"/>
  <c r="D863"/>
  <c r="D865"/>
  <c r="D867"/>
  <c r="D869"/>
  <c r="D871"/>
  <c r="D873"/>
  <c r="D875"/>
  <c r="D877"/>
  <c r="D879"/>
  <c r="D881"/>
  <c r="D883"/>
  <c r="D885"/>
  <c r="D887"/>
  <c r="D889"/>
  <c r="D891"/>
  <c r="D893"/>
  <c r="D895"/>
  <c r="D897"/>
  <c r="D899"/>
  <c r="D901"/>
  <c r="D903"/>
  <c r="D905"/>
  <c r="D907"/>
  <c r="D909"/>
  <c r="D911"/>
  <c r="D913"/>
  <c r="D915"/>
  <c r="D917"/>
  <c r="D919"/>
  <c r="D921"/>
  <c r="D923"/>
  <c r="D925"/>
  <c r="D927"/>
  <c r="D929"/>
  <c r="D931"/>
  <c r="D933"/>
  <c r="D935"/>
  <c r="D937"/>
  <c r="D939"/>
  <c r="D941"/>
  <c r="D943"/>
  <c r="D945"/>
  <c r="D947"/>
  <c r="D949"/>
  <c r="D951"/>
  <c r="D953"/>
  <c r="D955"/>
  <c r="D957"/>
  <c r="D959"/>
  <c r="D961"/>
  <c r="D963"/>
  <c r="D965"/>
  <c r="D967"/>
  <c r="D969"/>
  <c r="D971"/>
  <c r="D973"/>
  <c r="D975"/>
  <c r="D977"/>
  <c r="D979"/>
  <c r="D981"/>
  <c r="D983"/>
  <c r="D985"/>
  <c r="D987"/>
  <c r="D989"/>
  <c r="D991"/>
  <c r="D993"/>
  <c r="D995"/>
  <c r="D997"/>
  <c r="D999"/>
  <c r="D1001"/>
  <c r="D1003"/>
  <c r="D1005"/>
  <c r="D1007"/>
  <c r="D1009"/>
  <c r="D1011"/>
  <c r="D1013"/>
  <c r="D1015"/>
  <c r="D1017"/>
  <c r="D1019"/>
  <c r="D1021"/>
  <c r="D1023"/>
  <c r="D1025"/>
  <c r="D1027"/>
  <c r="D1029"/>
  <c r="D1031"/>
  <c r="D1033"/>
  <c r="D1035"/>
  <c r="D1037"/>
  <c r="D1039"/>
  <c r="D1041"/>
  <c r="D1043"/>
  <c r="D1045"/>
  <c r="D1047"/>
  <c r="D1049"/>
  <c r="D1051"/>
  <c r="D1053"/>
  <c r="D1055"/>
  <c r="D1057"/>
  <c r="D1059"/>
  <c r="D1061"/>
  <c r="D1063"/>
  <c r="D1065"/>
  <c r="D1067"/>
  <c r="D1069"/>
  <c r="D1071"/>
  <c r="D1073"/>
  <c r="D1075"/>
  <c r="D1077"/>
  <c r="D1079"/>
  <c r="D1081"/>
  <c r="D1083"/>
  <c r="D1085"/>
  <c r="D1087"/>
  <c r="D1089"/>
  <c r="D1091"/>
  <c r="D1093"/>
  <c r="D1095"/>
  <c r="D1097"/>
  <c r="D1099"/>
  <c r="D1101"/>
  <c r="D1103"/>
  <c r="D1105"/>
  <c r="D1107"/>
  <c r="D1109"/>
  <c r="D1111"/>
  <c r="D1113"/>
  <c r="D1115"/>
  <c r="D1117"/>
  <c r="D1119"/>
  <c r="D1121"/>
  <c r="D1123"/>
  <c r="D1125"/>
  <c r="D1127"/>
  <c r="D1129"/>
  <c r="D1131"/>
  <c r="D1133"/>
  <c r="D1135"/>
  <c r="D1137"/>
  <c r="D1139"/>
  <c r="D1141"/>
  <c r="D1143"/>
  <c r="D1145"/>
  <c r="D1147"/>
  <c r="D1149"/>
  <c r="D1151"/>
  <c r="D1153"/>
  <c r="D1155"/>
  <c r="D1157"/>
  <c r="D1159"/>
  <c r="D1161"/>
  <c r="D1163"/>
  <c r="D1165"/>
  <c r="D1167"/>
  <c r="D1169"/>
  <c r="D1171"/>
  <c r="D1173"/>
  <c r="D1175"/>
  <c r="D1177"/>
  <c r="D1179"/>
  <c r="D1181"/>
  <c r="D1183"/>
  <c r="D1185"/>
  <c r="D1187"/>
  <c r="D1189"/>
  <c r="D1191"/>
  <c r="D1193"/>
  <c r="D1195"/>
  <c r="D1197"/>
  <c r="D1199"/>
  <c r="D1201"/>
  <c r="D1203"/>
  <c r="D1205"/>
  <c r="D1207"/>
  <c r="D1209"/>
  <c r="D1211"/>
  <c r="D1213"/>
  <c r="D1215"/>
  <c r="D1217"/>
  <c r="D1219"/>
  <c r="D1221"/>
  <c r="D1223"/>
  <c r="D1225"/>
  <c r="D1227"/>
  <c r="D1229"/>
  <c r="D1231"/>
  <c r="D1233"/>
  <c r="D1235"/>
  <c r="D1237"/>
  <c r="D1239"/>
  <c r="D1241"/>
  <c r="D1243"/>
  <c r="D1245"/>
  <c r="D1247"/>
  <c r="D1249"/>
  <c r="D1251"/>
  <c r="D1253"/>
  <c r="D1255"/>
  <c r="D1257"/>
  <c r="D1259"/>
  <c r="D1261"/>
  <c r="D1263"/>
  <c r="D1265"/>
  <c r="D1267"/>
  <c r="D1269"/>
  <c r="D1271"/>
  <c r="D1273"/>
  <c r="D1275"/>
  <c r="D1277"/>
  <c r="D1279"/>
  <c r="D1281"/>
  <c r="D1283"/>
  <c r="D1285"/>
  <c r="D1287"/>
  <c r="D1289"/>
  <c r="D1291"/>
  <c r="D1293"/>
  <c r="D1295"/>
  <c r="D1297"/>
  <c r="D1299"/>
  <c r="D1301"/>
  <c r="D1303"/>
  <c r="D1305"/>
  <c r="D1307"/>
  <c r="D1309"/>
  <c r="D1311"/>
  <c r="D1313"/>
  <c r="D1315"/>
  <c r="D1317"/>
  <c r="D1319"/>
  <c r="D1321"/>
  <c r="D1323"/>
  <c r="D1325"/>
  <c r="D1327"/>
  <c r="D1329"/>
  <c r="D1331"/>
  <c r="D1333"/>
  <c r="D1335"/>
  <c r="D1337"/>
  <c r="D1339"/>
  <c r="D1341"/>
  <c r="D1343"/>
  <c r="D1345"/>
  <c r="D1347"/>
  <c r="D1349"/>
  <c r="D1351"/>
  <c r="D1353"/>
  <c r="D1355"/>
  <c r="D2887"/>
  <c r="D2889"/>
  <c r="D2891"/>
  <c r="D2893"/>
  <c r="D2895"/>
  <c r="D2897"/>
  <c r="D2899"/>
  <c r="D2901"/>
  <c r="D2903"/>
  <c r="D2905"/>
  <c r="D2907"/>
  <c r="D2909"/>
  <c r="D2911"/>
  <c r="D2913"/>
  <c r="D2915"/>
  <c r="D2917"/>
  <c r="D2919"/>
  <c r="D2921"/>
  <c r="D2923"/>
  <c r="D2925"/>
  <c r="D2927"/>
  <c r="D2929"/>
  <c r="D2931"/>
  <c r="D2933"/>
  <c r="D2935"/>
  <c r="D2937"/>
  <c r="D2939"/>
  <c r="D2941"/>
  <c r="D2943"/>
  <c r="D2945"/>
  <c r="D2947"/>
  <c r="D2949"/>
  <c r="D2951"/>
  <c r="D2953"/>
  <c r="D2955"/>
  <c r="D2957"/>
  <c r="D2959"/>
  <c r="D2961"/>
  <c r="D2963"/>
  <c r="D2965"/>
  <c r="D2967"/>
  <c r="D2969"/>
  <c r="D2971"/>
  <c r="D2973"/>
  <c r="D2975"/>
  <c r="D2977"/>
  <c r="D2979"/>
  <c r="D2981"/>
  <c r="D2983"/>
  <c r="D2985"/>
  <c r="D2987"/>
  <c r="D2989"/>
  <c r="D2991"/>
  <c r="D2993"/>
  <c r="D2995"/>
  <c r="D2997"/>
  <c r="D2999"/>
  <c r="D3001"/>
  <c r="D3003"/>
  <c r="D3005"/>
  <c r="D3007"/>
  <c r="D3009"/>
  <c r="D3011"/>
  <c r="D3013"/>
  <c r="D3015"/>
  <c r="D3017"/>
  <c r="D3019"/>
  <c r="D3021"/>
  <c r="D3023"/>
  <c r="D3025"/>
  <c r="D3027"/>
  <c r="D3029"/>
  <c r="D3031"/>
  <c r="D3033"/>
  <c r="D3035"/>
  <c r="D3037"/>
  <c r="D3039"/>
  <c r="D3041"/>
  <c r="D3043"/>
  <c r="D3045"/>
  <c r="D3047"/>
  <c r="D3049"/>
  <c r="D3051"/>
  <c r="D3053"/>
  <c r="D3055"/>
  <c r="D3057"/>
  <c r="D3059"/>
  <c r="D3061"/>
  <c r="D3063"/>
  <c r="D3065"/>
  <c r="D3067"/>
  <c r="D3069"/>
  <c r="D3071"/>
  <c r="D3073"/>
  <c r="D3075"/>
  <c r="D3077"/>
  <c r="D3079"/>
  <c r="D3081"/>
  <c r="D3083"/>
  <c r="D3085"/>
  <c r="D3087"/>
  <c r="D3089"/>
  <c r="D3091"/>
  <c r="D3093"/>
  <c r="D3095"/>
  <c r="D3097"/>
  <c r="D3099"/>
  <c r="D3101"/>
  <c r="D3103"/>
  <c r="D3105"/>
  <c r="D3107"/>
  <c r="D3109"/>
  <c r="D3111"/>
  <c r="D3113"/>
  <c r="D3115"/>
  <c r="D3117"/>
  <c r="D3119"/>
  <c r="D3121"/>
  <c r="D3123"/>
  <c r="D3125"/>
  <c r="D3127"/>
  <c r="D3129"/>
  <c r="D3131"/>
  <c r="D3133"/>
  <c r="D3135"/>
  <c r="D3137"/>
  <c r="D3139"/>
  <c r="D3141"/>
  <c r="D3143"/>
  <c r="D3145"/>
  <c r="D3147"/>
  <c r="D3149"/>
  <c r="D3151"/>
  <c r="D3153"/>
  <c r="D3155"/>
  <c r="D3157"/>
  <c r="D3159"/>
  <c r="D3161"/>
  <c r="D3163"/>
  <c r="D3165"/>
  <c r="D3167"/>
  <c r="D3169"/>
  <c r="D3171"/>
  <c r="D3173"/>
  <c r="D3175"/>
  <c r="D3177"/>
  <c r="D3179"/>
  <c r="D3181"/>
  <c r="D3183"/>
  <c r="D3185"/>
  <c r="D3187"/>
  <c r="D3189"/>
  <c r="D3191"/>
  <c r="D3193"/>
  <c r="D3195"/>
  <c r="D3197"/>
  <c r="D3199"/>
  <c r="D3201"/>
  <c r="D3203"/>
  <c r="D3205"/>
  <c r="D3207"/>
  <c r="D3209"/>
  <c r="D3211"/>
  <c r="D3213"/>
  <c r="D3215"/>
  <c r="D3217"/>
  <c r="D3219"/>
  <c r="D3221"/>
  <c r="D3223"/>
  <c r="D3225"/>
  <c r="D3227"/>
  <c r="D3229"/>
  <c r="D3231"/>
  <c r="D3233"/>
  <c r="D3235"/>
  <c r="D3237"/>
  <c r="D3239"/>
  <c r="D3241"/>
  <c r="D3243"/>
  <c r="D3245"/>
  <c r="D3247"/>
  <c r="D3249"/>
  <c r="D3251"/>
  <c r="D3253"/>
  <c r="D3255"/>
  <c r="D3257"/>
  <c r="D3259"/>
  <c r="D3261"/>
  <c r="D3263"/>
  <c r="D3265"/>
  <c r="D3267"/>
  <c r="D3269"/>
  <c r="D3271"/>
  <c r="D3273"/>
  <c r="D3275"/>
  <c r="D3277"/>
  <c r="D3279"/>
  <c r="D3281"/>
  <c r="D3283"/>
  <c r="D3285"/>
  <c r="D3287"/>
  <c r="D3289"/>
  <c r="D3291"/>
  <c r="D3293"/>
  <c r="D3295"/>
  <c r="D3297"/>
  <c r="D3299"/>
  <c r="D3301"/>
  <c r="D3303"/>
  <c r="D3305"/>
  <c r="D3307"/>
  <c r="D3309"/>
  <c r="D3311"/>
  <c r="D3313"/>
  <c r="D3315"/>
  <c r="D3317"/>
  <c r="D3319"/>
  <c r="D3321"/>
  <c r="D3323"/>
  <c r="D3325"/>
  <c r="D3327"/>
  <c r="D3329"/>
  <c r="D3331"/>
  <c r="D3333"/>
  <c r="D3335"/>
  <c r="D3337"/>
  <c r="D3339"/>
  <c r="D3341"/>
  <c r="D3343"/>
  <c r="D3345"/>
  <c r="D3347"/>
  <c r="D3349"/>
  <c r="D3351"/>
  <c r="D3353"/>
  <c r="D3355"/>
  <c r="D3357"/>
  <c r="D3359"/>
  <c r="D3361"/>
  <c r="D3363"/>
  <c r="D3365"/>
  <c r="D3367"/>
  <c r="D3369"/>
  <c r="D3371"/>
  <c r="D3373"/>
  <c r="D3375"/>
  <c r="D3377"/>
  <c r="D3379"/>
  <c r="D3381"/>
  <c r="D3383"/>
  <c r="D3385"/>
  <c r="D3387"/>
  <c r="D3389"/>
  <c r="D3391"/>
  <c r="D3393"/>
  <c r="D3395"/>
  <c r="D3397"/>
  <c r="D3399"/>
  <c r="D3401"/>
  <c r="D3403"/>
  <c r="D3405"/>
  <c r="D3407"/>
  <c r="D3409"/>
  <c r="D3411"/>
  <c r="D3413"/>
  <c r="D3415"/>
  <c r="D3417"/>
  <c r="D3419"/>
  <c r="D3421"/>
  <c r="D3423"/>
  <c r="D3425"/>
  <c r="D3427"/>
  <c r="D3429"/>
  <c r="D3431"/>
  <c r="D3433"/>
  <c r="D3435"/>
  <c r="D3437"/>
  <c r="D3439"/>
  <c r="D3441"/>
  <c r="D3443"/>
  <c r="D3445"/>
  <c r="D3447"/>
  <c r="D3449"/>
  <c r="D3451"/>
  <c r="D3453"/>
  <c r="D3455"/>
  <c r="D3457"/>
  <c r="D3459"/>
  <c r="D3461"/>
  <c r="D3463"/>
  <c r="D3465"/>
  <c r="D3467"/>
  <c r="D3469"/>
  <c r="D3471"/>
  <c r="D3473"/>
  <c r="D3475"/>
  <c r="D3477"/>
  <c r="D3479"/>
  <c r="D3481"/>
  <c r="D3483"/>
  <c r="D3485"/>
  <c r="D3487"/>
  <c r="D3489"/>
  <c r="D3491"/>
  <c r="D3493"/>
  <c r="D3495"/>
  <c r="D3497"/>
  <c r="D3499"/>
  <c r="D3501"/>
  <c r="D3503"/>
  <c r="D3505"/>
  <c r="D3507"/>
  <c r="D3509"/>
  <c r="D3511"/>
  <c r="D3513"/>
  <c r="D3515"/>
  <c r="D3517"/>
  <c r="D3519"/>
  <c r="D3521"/>
  <c r="D3523"/>
  <c r="D3525"/>
  <c r="D3527"/>
  <c r="D3529"/>
  <c r="D3531"/>
  <c r="D3533"/>
  <c r="D3535"/>
  <c r="D3537"/>
  <c r="D3539"/>
  <c r="D3541"/>
  <c r="D3543"/>
  <c r="D3545"/>
  <c r="D3547"/>
  <c r="D3549"/>
  <c r="D3551"/>
  <c r="D3553"/>
  <c r="D3555"/>
  <c r="D3557"/>
  <c r="D3559"/>
  <c r="D3561"/>
  <c r="D3563"/>
  <c r="D3565"/>
  <c r="D3567"/>
  <c r="D3569"/>
  <c r="D3571"/>
  <c r="D3573"/>
  <c r="D3575"/>
  <c r="D3577"/>
  <c r="D3579"/>
  <c r="D3581"/>
  <c r="D3583"/>
  <c r="D3585"/>
  <c r="D3587"/>
  <c r="D3589"/>
  <c r="D3591"/>
  <c r="D3593"/>
  <c r="D3595"/>
  <c r="D3597"/>
  <c r="D3599"/>
  <c r="D3601"/>
  <c r="D3603"/>
  <c r="D3605"/>
  <c r="D3607"/>
  <c r="D3609"/>
  <c r="D3611"/>
  <c r="D3613"/>
  <c r="D3615"/>
  <c r="D3617"/>
  <c r="D3619"/>
  <c r="D3621"/>
  <c r="D3623"/>
  <c r="D3625"/>
  <c r="D3627"/>
  <c r="D2885"/>
  <c r="D2886"/>
  <c r="D2888"/>
  <c r="D2890"/>
  <c r="D2892"/>
  <c r="D2894"/>
  <c r="D2896"/>
  <c r="D2898"/>
  <c r="D2900"/>
  <c r="D2902"/>
  <c r="D2904"/>
  <c r="D2906"/>
  <c r="D2908"/>
  <c r="D2910"/>
  <c r="D2912"/>
  <c r="D2914"/>
  <c r="D2916"/>
  <c r="D2918"/>
  <c r="D2920"/>
  <c r="D2922"/>
  <c r="D2924"/>
  <c r="D2926"/>
  <c r="D2928"/>
  <c r="D2930"/>
  <c r="D2932"/>
  <c r="D2934"/>
  <c r="D2936"/>
  <c r="D2938"/>
  <c r="D2940"/>
  <c r="D2942"/>
  <c r="D2944"/>
  <c r="D2946"/>
  <c r="D2948"/>
  <c r="D2950"/>
  <c r="D2952"/>
  <c r="D2954"/>
  <c r="D2956"/>
  <c r="D2958"/>
  <c r="D2960"/>
  <c r="D2962"/>
  <c r="D2964"/>
  <c r="D2966"/>
  <c r="D2968"/>
  <c r="D2970"/>
  <c r="D2972"/>
  <c r="D2974"/>
  <c r="D2976"/>
  <c r="D2978"/>
  <c r="D2980"/>
  <c r="D2982"/>
  <c r="D2984"/>
  <c r="D2986"/>
  <c r="D2988"/>
  <c r="D2990"/>
  <c r="D2992"/>
  <c r="D2994"/>
  <c r="D2996"/>
  <c r="D2998"/>
  <c r="D3000"/>
  <c r="D3002"/>
  <c r="D3004"/>
  <c r="D3006"/>
  <c r="D3008"/>
  <c r="D3010"/>
  <c r="D3012"/>
  <c r="D3014"/>
  <c r="D3016"/>
  <c r="D3018"/>
  <c r="D3020"/>
  <c r="D3022"/>
  <c r="D3024"/>
  <c r="D3026"/>
  <c r="D3028"/>
  <c r="D3030"/>
  <c r="D3032"/>
  <c r="D3034"/>
  <c r="D3036"/>
  <c r="D3038"/>
  <c r="D3040"/>
  <c r="D3042"/>
  <c r="D3044"/>
  <c r="D3046"/>
  <c r="D3048"/>
  <c r="D3050"/>
  <c r="D3052"/>
  <c r="D3054"/>
  <c r="D3056"/>
  <c r="D3058"/>
  <c r="D3060"/>
  <c r="D3062"/>
  <c r="D3064"/>
  <c r="D3066"/>
  <c r="D3068"/>
  <c r="D3070"/>
  <c r="D3072"/>
  <c r="D3074"/>
  <c r="D3076"/>
  <c r="D3078"/>
  <c r="D3080"/>
  <c r="D3082"/>
  <c r="D3084"/>
  <c r="D3086"/>
  <c r="D3088"/>
  <c r="D3090"/>
  <c r="D3092"/>
  <c r="D3094"/>
  <c r="D3096"/>
  <c r="D3098"/>
  <c r="D3100"/>
  <c r="D3102"/>
  <c r="D3104"/>
  <c r="D3106"/>
  <c r="D3108"/>
  <c r="D3110"/>
  <c r="D3112"/>
  <c r="D3114"/>
  <c r="D3116"/>
  <c r="D3118"/>
  <c r="D3120"/>
  <c r="D3122"/>
  <c r="D3124"/>
  <c r="D3126"/>
  <c r="D3128"/>
  <c r="D3130"/>
  <c r="D3132"/>
  <c r="D3134"/>
  <c r="D3136"/>
  <c r="D3138"/>
  <c r="D3140"/>
  <c r="D3142"/>
  <c r="D3144"/>
  <c r="D3146"/>
  <c r="D3148"/>
  <c r="D3150"/>
  <c r="D3152"/>
  <c r="D3154"/>
  <c r="D3156"/>
  <c r="D3158"/>
  <c r="D3160"/>
  <c r="D3162"/>
  <c r="D3164"/>
  <c r="D3166"/>
  <c r="D3168"/>
  <c r="D3170"/>
  <c r="D3172"/>
  <c r="D3174"/>
  <c r="D3176"/>
  <c r="D3178"/>
  <c r="D3180"/>
  <c r="D3182"/>
  <c r="D3184"/>
  <c r="D3186"/>
  <c r="D3188"/>
  <c r="D3190"/>
  <c r="D3192"/>
  <c r="D3194"/>
  <c r="D3196"/>
  <c r="D3198"/>
  <c r="D3200"/>
  <c r="D3202"/>
  <c r="D3204"/>
  <c r="D3206"/>
  <c r="D3208"/>
  <c r="D3210"/>
  <c r="D3212"/>
  <c r="D3214"/>
  <c r="D3216"/>
  <c r="D3218"/>
  <c r="D3220"/>
  <c r="D3222"/>
  <c r="D3224"/>
  <c r="D3226"/>
  <c r="D3228"/>
  <c r="D3230"/>
  <c r="D3232"/>
  <c r="D3234"/>
  <c r="D3236"/>
  <c r="D3238"/>
  <c r="D3240"/>
  <c r="D3242"/>
  <c r="D3244"/>
  <c r="D3246"/>
  <c r="D3248"/>
  <c r="D3250"/>
  <c r="D3252"/>
  <c r="D3254"/>
  <c r="D3256"/>
  <c r="D3258"/>
  <c r="D3260"/>
  <c r="D3262"/>
  <c r="D3264"/>
  <c r="D3266"/>
  <c r="D3268"/>
  <c r="D3270"/>
  <c r="D3272"/>
  <c r="D3274"/>
  <c r="D3276"/>
  <c r="D3278"/>
  <c r="D3280"/>
  <c r="D3282"/>
  <c r="D3284"/>
  <c r="D3286"/>
  <c r="D3288"/>
  <c r="D3290"/>
  <c r="D3292"/>
  <c r="D3294"/>
  <c r="D3296"/>
  <c r="D3298"/>
  <c r="D3300"/>
  <c r="D3302"/>
  <c r="D3304"/>
  <c r="D3306"/>
  <c r="D3308"/>
  <c r="D3310"/>
  <c r="D3312"/>
  <c r="D3314"/>
  <c r="D3316"/>
  <c r="D3318"/>
  <c r="D3320"/>
  <c r="D3322"/>
  <c r="D3324"/>
  <c r="D3326"/>
  <c r="D3328"/>
  <c r="D3330"/>
  <c r="D3332"/>
  <c r="D3334"/>
  <c r="D3336"/>
  <c r="D3338"/>
  <c r="D3340"/>
  <c r="D3342"/>
  <c r="D3344"/>
  <c r="D3346"/>
  <c r="D3348"/>
  <c r="D3350"/>
  <c r="D3352"/>
  <c r="D3354"/>
  <c r="D3356"/>
  <c r="D3358"/>
  <c r="D3360"/>
  <c r="D3362"/>
  <c r="D3364"/>
  <c r="D3366"/>
  <c r="D3368"/>
  <c r="D3370"/>
  <c r="D3372"/>
  <c r="D3374"/>
  <c r="D3376"/>
  <c r="D3378"/>
  <c r="D3380"/>
  <c r="D3382"/>
  <c r="D3384"/>
  <c r="D3386"/>
  <c r="D3388"/>
  <c r="D3390"/>
  <c r="D3392"/>
  <c r="D3394"/>
  <c r="D3396"/>
  <c r="D3398"/>
  <c r="D3400"/>
  <c r="D3402"/>
  <c r="D3404"/>
  <c r="D3406"/>
  <c r="D3408"/>
  <c r="D3410"/>
  <c r="D3412"/>
  <c r="D3414"/>
  <c r="D3416"/>
  <c r="D3418"/>
  <c r="D3420"/>
  <c r="D3422"/>
  <c r="D3424"/>
  <c r="D3426"/>
  <c r="D3428"/>
  <c r="D3430"/>
  <c r="D3432"/>
  <c r="D3434"/>
  <c r="D3436"/>
  <c r="D3438"/>
  <c r="D3440"/>
  <c r="D3442"/>
  <c r="D3444"/>
  <c r="D3446"/>
  <c r="D3448"/>
  <c r="D3450"/>
  <c r="D3452"/>
  <c r="D3454"/>
  <c r="D3456"/>
  <c r="D3458"/>
  <c r="D3460"/>
  <c r="D3462"/>
  <c r="D3464"/>
  <c r="D3466"/>
  <c r="D3468"/>
  <c r="D3470"/>
  <c r="D3472"/>
  <c r="D3474"/>
  <c r="D3476"/>
  <c r="D3478"/>
  <c r="D3480"/>
  <c r="D3482"/>
  <c r="D3484"/>
  <c r="D3486"/>
  <c r="D3488"/>
  <c r="D3490"/>
  <c r="D3492"/>
  <c r="D3494"/>
  <c r="D3496"/>
  <c r="D3498"/>
  <c r="D3500"/>
  <c r="D3502"/>
  <c r="D3504"/>
  <c r="D3506"/>
  <c r="D3508"/>
  <c r="D3510"/>
  <c r="D3512"/>
  <c r="D3514"/>
  <c r="D3516"/>
  <c r="D3518"/>
  <c r="D3520"/>
  <c r="D3522"/>
  <c r="D3524"/>
  <c r="D3526"/>
  <c r="D3528"/>
  <c r="D3530"/>
  <c r="D3532"/>
  <c r="D3534"/>
  <c r="D3536"/>
  <c r="D3538"/>
  <c r="D3540"/>
  <c r="D3542"/>
  <c r="D3544"/>
  <c r="D3546"/>
  <c r="D3548"/>
  <c r="D3550"/>
  <c r="D3552"/>
  <c r="D3554"/>
  <c r="D3556"/>
  <c r="D3558"/>
  <c r="D3560"/>
  <c r="D3562"/>
  <c r="D3564"/>
  <c r="D3566"/>
  <c r="D3568"/>
  <c r="D3570"/>
  <c r="D3572"/>
  <c r="D3574"/>
  <c r="D3576"/>
  <c r="D3578"/>
  <c r="D3580"/>
  <c r="D3582"/>
  <c r="D3584"/>
  <c r="D3586"/>
  <c r="D3588"/>
  <c r="D3590"/>
  <c r="D3592"/>
  <c r="D3594"/>
  <c r="D3596"/>
  <c r="D3598"/>
  <c r="D3600"/>
  <c r="D3602"/>
  <c r="D3604"/>
  <c r="D3606"/>
  <c r="D3608"/>
  <c r="D3610"/>
  <c r="D3612"/>
  <c r="D3614"/>
  <c r="D3616"/>
  <c r="D3618"/>
  <c r="D3620"/>
  <c r="D3622"/>
  <c r="D3624"/>
  <c r="D3626"/>
  <c r="D3628"/>
  <c r="D4351"/>
  <c r="D4353"/>
  <c r="D4355"/>
  <c r="D4357"/>
  <c r="D4359"/>
  <c r="D4361"/>
  <c r="D4363"/>
  <c r="D4365"/>
  <c r="D4367"/>
  <c r="D4369"/>
  <c r="D4371"/>
  <c r="D4373"/>
  <c r="D4375"/>
  <c r="D4377"/>
  <c r="D4379"/>
  <c r="D4381"/>
  <c r="D4383"/>
  <c r="D4385"/>
  <c r="D4387"/>
  <c r="D4389"/>
  <c r="D4391"/>
  <c r="D4393"/>
  <c r="D4395"/>
  <c r="D4397"/>
  <c r="D4399"/>
  <c r="D4401"/>
  <c r="D4403"/>
  <c r="D4405"/>
  <c r="D4407"/>
  <c r="D4409"/>
  <c r="D4411"/>
  <c r="D4413"/>
  <c r="D4415"/>
  <c r="D4417"/>
  <c r="D4419"/>
  <c r="D4421"/>
  <c r="D4423"/>
  <c r="D4425"/>
  <c r="D4427"/>
  <c r="D4429"/>
  <c r="D4431"/>
  <c r="D4433"/>
  <c r="D4435"/>
  <c r="D4437"/>
  <c r="D4439"/>
  <c r="D4441"/>
  <c r="D4443"/>
  <c r="D4445"/>
  <c r="D4447"/>
  <c r="D4449"/>
  <c r="D4451"/>
  <c r="D4453"/>
  <c r="D4455"/>
  <c r="D4457"/>
  <c r="D4459"/>
  <c r="D4461"/>
  <c r="D4463"/>
  <c r="D4465"/>
  <c r="D4467"/>
  <c r="D4469"/>
  <c r="D4471"/>
  <c r="D4473"/>
  <c r="D4475"/>
  <c r="D4477"/>
  <c r="D4479"/>
  <c r="D4481"/>
  <c r="D4483"/>
  <c r="D4485"/>
  <c r="D4487"/>
  <c r="D4489"/>
  <c r="D4491"/>
  <c r="D4493"/>
  <c r="D4495"/>
  <c r="D4497"/>
  <c r="D4499"/>
  <c r="D4501"/>
  <c r="D4503"/>
  <c r="D4505"/>
  <c r="D4507"/>
  <c r="D4509"/>
  <c r="D4511"/>
  <c r="D4513"/>
  <c r="D4515"/>
  <c r="D4517"/>
  <c r="D4519"/>
  <c r="D4521"/>
  <c r="D4523"/>
  <c r="D4525"/>
  <c r="D4527"/>
  <c r="D4529"/>
  <c r="D4531"/>
  <c r="D4533"/>
  <c r="D4535"/>
  <c r="D4537"/>
  <c r="D4539"/>
  <c r="D4541"/>
  <c r="D4543"/>
  <c r="D4545"/>
  <c r="D4547"/>
  <c r="D4549"/>
  <c r="D4551"/>
  <c r="D4553"/>
  <c r="D4555"/>
  <c r="D4557"/>
  <c r="D4559"/>
  <c r="D4561"/>
  <c r="D4563"/>
  <c r="D4565"/>
  <c r="D4567"/>
  <c r="D4569"/>
  <c r="D4571"/>
  <c r="D4573"/>
  <c r="D4575"/>
  <c r="D4577"/>
  <c r="D4579"/>
  <c r="D4581"/>
  <c r="D4583"/>
  <c r="D4585"/>
  <c r="D4587"/>
  <c r="D4589"/>
  <c r="D4591"/>
  <c r="D4593"/>
  <c r="D4595"/>
  <c r="D4597"/>
  <c r="D4599"/>
  <c r="D4601"/>
  <c r="D4603"/>
  <c r="D4605"/>
  <c r="D4607"/>
  <c r="D4609"/>
  <c r="D4611"/>
  <c r="D4613"/>
  <c r="D4615"/>
  <c r="D4617"/>
  <c r="D4619"/>
  <c r="D4621"/>
  <c r="D4623"/>
  <c r="D4625"/>
  <c r="D4627"/>
  <c r="D4629"/>
  <c r="D4631"/>
  <c r="D4633"/>
  <c r="D4635"/>
  <c r="D4637"/>
  <c r="D4639"/>
  <c r="D4641"/>
  <c r="D4643"/>
  <c r="D4645"/>
  <c r="D4647"/>
  <c r="D4649"/>
  <c r="D4651"/>
  <c r="D4653"/>
  <c r="D4655"/>
  <c r="D4657"/>
  <c r="D4659"/>
  <c r="D4661"/>
  <c r="D4663"/>
  <c r="D4665"/>
  <c r="D4667"/>
  <c r="D4669"/>
  <c r="D4671"/>
  <c r="D4673"/>
  <c r="D4675"/>
  <c r="D4677"/>
  <c r="D4679"/>
  <c r="D4681"/>
  <c r="D4683"/>
  <c r="D4685"/>
  <c r="D4687"/>
  <c r="D4689"/>
  <c r="D4691"/>
  <c r="D4693"/>
  <c r="D4695"/>
  <c r="D4697"/>
  <c r="D4699"/>
  <c r="D4701"/>
  <c r="D4703"/>
  <c r="D4705"/>
  <c r="D4707"/>
  <c r="D4709"/>
  <c r="D4711"/>
  <c r="D4713"/>
  <c r="D4715"/>
  <c r="D4717"/>
  <c r="D4719"/>
  <c r="D4721"/>
  <c r="D4723"/>
  <c r="D4725"/>
  <c r="D4727"/>
  <c r="D4729"/>
  <c r="D4731"/>
  <c r="D4733"/>
  <c r="D4735"/>
  <c r="D4737"/>
  <c r="D4739"/>
  <c r="D4741"/>
  <c r="D4743"/>
  <c r="D4745"/>
  <c r="D4747"/>
  <c r="D4749"/>
  <c r="D4751"/>
  <c r="D4753"/>
  <c r="D4755"/>
  <c r="D4757"/>
  <c r="D4759"/>
  <c r="D4761"/>
  <c r="D4763"/>
  <c r="D4765"/>
  <c r="D4767"/>
  <c r="D4769"/>
  <c r="D4771"/>
  <c r="D4773"/>
  <c r="D4775"/>
  <c r="D4777"/>
  <c r="D4779"/>
  <c r="D4781"/>
  <c r="D4783"/>
  <c r="D4785"/>
  <c r="D4787"/>
  <c r="D4789"/>
  <c r="D4791"/>
  <c r="D4793"/>
  <c r="D4795"/>
  <c r="D4797"/>
  <c r="D4799"/>
  <c r="D4801"/>
  <c r="D4803"/>
  <c r="D4805"/>
  <c r="D4807"/>
  <c r="D4809"/>
  <c r="D4811"/>
  <c r="D4813"/>
  <c r="D4815"/>
  <c r="D4817"/>
  <c r="D4819"/>
  <c r="D4821"/>
  <c r="D4823"/>
  <c r="D4825"/>
  <c r="D4827"/>
  <c r="D4829"/>
  <c r="D4831"/>
  <c r="D4833"/>
  <c r="D4835"/>
  <c r="D4837"/>
  <c r="D4839"/>
  <c r="D4841"/>
  <c r="D4843"/>
  <c r="D4845"/>
  <c r="D4847"/>
  <c r="D4849"/>
  <c r="D4851"/>
  <c r="D4853"/>
  <c r="D4855"/>
  <c r="D4857"/>
  <c r="D4859"/>
  <c r="D4861"/>
  <c r="D4863"/>
  <c r="D4865"/>
  <c r="D4867"/>
  <c r="D4869"/>
  <c r="D4871"/>
  <c r="D4873"/>
  <c r="D4875"/>
  <c r="D4877"/>
  <c r="D4879"/>
  <c r="D4881"/>
  <c r="D4883"/>
  <c r="D4885"/>
  <c r="D4887"/>
  <c r="D4889"/>
  <c r="D4891"/>
  <c r="D4893"/>
  <c r="D4895"/>
  <c r="D4897"/>
  <c r="D4899"/>
  <c r="D4901"/>
  <c r="D4903"/>
  <c r="D4905"/>
  <c r="D4907"/>
  <c r="D4909"/>
  <c r="D4911"/>
  <c r="D4913"/>
  <c r="D4915"/>
  <c r="D4917"/>
  <c r="D4919"/>
  <c r="D4921"/>
  <c r="D4923"/>
  <c r="D4925"/>
  <c r="D4927"/>
  <c r="D4929"/>
  <c r="D4931"/>
  <c r="D4933"/>
  <c r="D4935"/>
  <c r="D4937"/>
  <c r="D4939"/>
  <c r="D4941"/>
  <c r="D4943"/>
  <c r="D4945"/>
  <c r="D4947"/>
  <c r="D4949"/>
  <c r="D4951"/>
  <c r="D4953"/>
  <c r="D4955"/>
  <c r="D4957"/>
  <c r="D4959"/>
  <c r="D4961"/>
  <c r="D4963"/>
  <c r="D4965"/>
  <c r="D4967"/>
  <c r="D4969"/>
  <c r="D4971"/>
  <c r="D4973"/>
  <c r="D4975"/>
  <c r="D4977"/>
  <c r="D4979"/>
  <c r="D4981"/>
  <c r="D4983"/>
  <c r="D4985"/>
  <c r="D4987"/>
  <c r="D4989"/>
  <c r="D4991"/>
  <c r="D4993"/>
  <c r="D4995"/>
  <c r="D4997"/>
  <c r="D4999"/>
  <c r="D5001"/>
  <c r="D5003"/>
  <c r="D5005"/>
  <c r="D5007"/>
  <c r="D5009"/>
  <c r="D5011"/>
  <c r="D5013"/>
  <c r="D5015"/>
  <c r="D5017"/>
  <c r="D5019"/>
  <c r="D5021"/>
  <c r="D5023"/>
  <c r="D5025"/>
  <c r="D5027"/>
  <c r="D5029"/>
  <c r="D5031"/>
  <c r="D5033"/>
  <c r="D5035"/>
  <c r="D5037"/>
  <c r="D5039"/>
  <c r="D5041"/>
  <c r="D5043"/>
  <c r="D5045"/>
  <c r="D5047"/>
  <c r="D5049"/>
  <c r="D5051"/>
  <c r="D5053"/>
  <c r="D5055"/>
  <c r="D5057"/>
  <c r="D5059"/>
  <c r="D5061"/>
  <c r="D5063"/>
  <c r="D5065"/>
  <c r="D5067"/>
  <c r="D5069"/>
  <c r="D5071"/>
  <c r="D5073"/>
  <c r="D5075"/>
  <c r="D5077"/>
  <c r="D5079"/>
  <c r="D5081"/>
  <c r="D5083"/>
  <c r="D5085"/>
  <c r="D5087"/>
  <c r="D5089"/>
  <c r="D5091"/>
  <c r="D4349"/>
  <c r="D4350"/>
  <c r="D4352"/>
  <c r="D4354"/>
  <c r="D4356"/>
  <c r="D4358"/>
  <c r="D4360"/>
  <c r="D4362"/>
  <c r="D4364"/>
  <c r="D4366"/>
  <c r="D4368"/>
  <c r="D4370"/>
  <c r="D4372"/>
  <c r="D4374"/>
  <c r="D4376"/>
  <c r="D4378"/>
  <c r="D4380"/>
  <c r="D4382"/>
  <c r="D4384"/>
  <c r="D4386"/>
  <c r="D4388"/>
  <c r="D4390"/>
  <c r="D4392"/>
  <c r="D4394"/>
  <c r="D4396"/>
  <c r="D4398"/>
  <c r="D4400"/>
  <c r="D4402"/>
  <c r="D4404"/>
  <c r="D4406"/>
  <c r="D4408"/>
  <c r="D4410"/>
  <c r="D4412"/>
  <c r="D4414"/>
  <c r="D4416"/>
  <c r="D4418"/>
  <c r="D4420"/>
  <c r="D4422"/>
  <c r="D4424"/>
  <c r="D4426"/>
  <c r="D4428"/>
  <c r="D4430"/>
  <c r="D4432"/>
  <c r="D4434"/>
  <c r="D4436"/>
  <c r="D4438"/>
  <c r="D4440"/>
  <c r="D4442"/>
  <c r="D4444"/>
  <c r="D4446"/>
  <c r="D4448"/>
  <c r="D4450"/>
  <c r="D4452"/>
  <c r="D4454"/>
  <c r="D4456"/>
  <c r="D4458"/>
  <c r="D4460"/>
  <c r="D4462"/>
  <c r="D4464"/>
  <c r="D4466"/>
  <c r="D4468"/>
  <c r="D4470"/>
  <c r="D4472"/>
  <c r="D4474"/>
  <c r="D4476"/>
  <c r="D4478"/>
  <c r="D4480"/>
  <c r="D4482"/>
  <c r="D4484"/>
  <c r="D4486"/>
  <c r="D4488"/>
  <c r="D4490"/>
  <c r="D4492"/>
  <c r="D4494"/>
  <c r="D4496"/>
  <c r="D4498"/>
  <c r="D4500"/>
  <c r="D4502"/>
  <c r="D4504"/>
  <c r="D4506"/>
  <c r="D4508"/>
  <c r="D4510"/>
  <c r="D4512"/>
  <c r="D4514"/>
  <c r="D4516"/>
  <c r="D4518"/>
  <c r="D4520"/>
  <c r="D4522"/>
  <c r="D4524"/>
  <c r="D4526"/>
  <c r="D4528"/>
  <c r="D4530"/>
  <c r="D4532"/>
  <c r="D4534"/>
  <c r="D4536"/>
  <c r="D4538"/>
  <c r="D4540"/>
  <c r="D4542"/>
  <c r="D4544"/>
  <c r="D4546"/>
  <c r="D4548"/>
  <c r="D4550"/>
  <c r="D4552"/>
  <c r="D4554"/>
  <c r="D4556"/>
  <c r="D4558"/>
  <c r="D4560"/>
  <c r="D4562"/>
  <c r="D4564"/>
  <c r="D4566"/>
  <c r="D4568"/>
  <c r="D4570"/>
  <c r="D4572"/>
  <c r="D4574"/>
  <c r="D4576"/>
  <c r="D4578"/>
  <c r="D4580"/>
  <c r="D4582"/>
  <c r="D4584"/>
  <c r="D4586"/>
  <c r="D4588"/>
  <c r="D4590"/>
  <c r="D4592"/>
  <c r="D4594"/>
  <c r="D4596"/>
  <c r="D4598"/>
  <c r="D4600"/>
  <c r="D4602"/>
  <c r="D4604"/>
  <c r="D4606"/>
  <c r="D4608"/>
  <c r="D4610"/>
  <c r="D4612"/>
  <c r="D4614"/>
  <c r="D4616"/>
  <c r="D4618"/>
  <c r="D4620"/>
  <c r="D4622"/>
  <c r="D4624"/>
  <c r="D4626"/>
  <c r="D4628"/>
  <c r="D4630"/>
  <c r="D4632"/>
  <c r="D4634"/>
  <c r="D4636"/>
  <c r="D4638"/>
  <c r="D4640"/>
  <c r="D4642"/>
  <c r="D4644"/>
  <c r="D4646"/>
  <c r="D4648"/>
  <c r="D4650"/>
  <c r="D4652"/>
  <c r="D4654"/>
  <c r="D4656"/>
  <c r="D4658"/>
  <c r="D4660"/>
  <c r="D4662"/>
  <c r="D4664"/>
  <c r="D4666"/>
  <c r="D4668"/>
  <c r="D4670"/>
  <c r="D4672"/>
  <c r="D4674"/>
  <c r="D4676"/>
  <c r="D4678"/>
  <c r="D4680"/>
  <c r="D4682"/>
  <c r="D4684"/>
  <c r="D4686"/>
  <c r="D4688"/>
  <c r="D4690"/>
  <c r="D4692"/>
  <c r="D4694"/>
  <c r="D4696"/>
  <c r="D4698"/>
  <c r="D4700"/>
  <c r="D4702"/>
  <c r="D4704"/>
  <c r="D4706"/>
  <c r="D4708"/>
  <c r="D4710"/>
  <c r="D4712"/>
  <c r="D4714"/>
  <c r="D4716"/>
  <c r="D4718"/>
  <c r="D4720"/>
  <c r="D4722"/>
  <c r="D4724"/>
  <c r="D4726"/>
  <c r="D4728"/>
  <c r="D4730"/>
  <c r="D4732"/>
  <c r="D4734"/>
  <c r="D4736"/>
  <c r="D4738"/>
  <c r="D4740"/>
  <c r="D4742"/>
  <c r="D4744"/>
  <c r="D4746"/>
  <c r="D4748"/>
  <c r="D4750"/>
  <c r="D4752"/>
  <c r="D4754"/>
  <c r="D4756"/>
  <c r="D4758"/>
  <c r="D4760"/>
  <c r="D4762"/>
  <c r="D4764"/>
  <c r="D4766"/>
  <c r="D4768"/>
  <c r="D4770"/>
  <c r="D4772"/>
  <c r="D4774"/>
  <c r="D4776"/>
  <c r="D4778"/>
  <c r="D4780"/>
  <c r="D4782"/>
  <c r="D4784"/>
  <c r="D4786"/>
  <c r="D4788"/>
  <c r="D4790"/>
  <c r="D4792"/>
  <c r="D4794"/>
  <c r="D4796"/>
  <c r="D4798"/>
  <c r="D4800"/>
  <c r="D4802"/>
  <c r="D4804"/>
  <c r="D4806"/>
  <c r="D4808"/>
  <c r="D4810"/>
  <c r="D4812"/>
  <c r="D4814"/>
  <c r="D4816"/>
  <c r="D4818"/>
  <c r="D4820"/>
  <c r="D4822"/>
  <c r="D4824"/>
  <c r="D4826"/>
  <c r="D4828"/>
  <c r="D4830"/>
  <c r="D4832"/>
  <c r="D4834"/>
  <c r="D4836"/>
  <c r="D4838"/>
  <c r="D4840"/>
  <c r="D4842"/>
  <c r="D4844"/>
  <c r="D4846"/>
  <c r="D4848"/>
  <c r="D4850"/>
  <c r="D4852"/>
  <c r="D4854"/>
  <c r="D4856"/>
  <c r="D4858"/>
  <c r="D4860"/>
  <c r="D4862"/>
  <c r="D4864"/>
  <c r="D4866"/>
  <c r="D4868"/>
  <c r="D4870"/>
  <c r="D4872"/>
  <c r="D4874"/>
  <c r="D4876"/>
  <c r="D4878"/>
  <c r="D4880"/>
  <c r="D4882"/>
  <c r="D4884"/>
  <c r="D4886"/>
  <c r="D4888"/>
  <c r="D4890"/>
  <c r="D4892"/>
  <c r="D4894"/>
  <c r="D4896"/>
  <c r="D4898"/>
  <c r="D4900"/>
  <c r="D4902"/>
  <c r="D4904"/>
  <c r="D4906"/>
  <c r="D4908"/>
  <c r="D4910"/>
  <c r="D4912"/>
  <c r="D4914"/>
  <c r="D4916"/>
  <c r="D4918"/>
  <c r="D4920"/>
  <c r="D4922"/>
  <c r="D4924"/>
  <c r="D4926"/>
  <c r="D4928"/>
  <c r="D4930"/>
  <c r="D4932"/>
  <c r="D4934"/>
  <c r="D4936"/>
  <c r="D4938"/>
  <c r="D4940"/>
  <c r="D4942"/>
  <c r="D4944"/>
  <c r="D4946"/>
  <c r="D4948"/>
  <c r="D4950"/>
  <c r="D4952"/>
  <c r="D4954"/>
  <c r="D4956"/>
  <c r="D4958"/>
  <c r="D4960"/>
  <c r="D4962"/>
  <c r="D4964"/>
  <c r="D4966"/>
  <c r="D4968"/>
  <c r="D4970"/>
  <c r="D4972"/>
  <c r="D4974"/>
  <c r="D4976"/>
  <c r="D4978"/>
  <c r="D4980"/>
  <c r="D4982"/>
  <c r="D4984"/>
  <c r="D4986"/>
  <c r="D4988"/>
  <c r="D4990"/>
  <c r="D4992"/>
  <c r="D4994"/>
  <c r="D4996"/>
  <c r="D4998"/>
  <c r="D5000"/>
  <c r="D5002"/>
  <c r="D5004"/>
  <c r="D5006"/>
  <c r="D5008"/>
  <c r="D5010"/>
  <c r="D5012"/>
  <c r="D5014"/>
  <c r="D5016"/>
  <c r="D5018"/>
  <c r="D5020"/>
  <c r="D5022"/>
  <c r="D5024"/>
  <c r="D5026"/>
  <c r="D5028"/>
  <c r="D5030"/>
  <c r="D5032"/>
  <c r="D5034"/>
  <c r="D5036"/>
  <c r="D5038"/>
  <c r="D5040"/>
  <c r="D5042"/>
  <c r="D5044"/>
  <c r="D5046"/>
  <c r="D5048"/>
  <c r="D5050"/>
  <c r="D5052"/>
  <c r="D5054"/>
  <c r="D5056"/>
  <c r="D5058"/>
  <c r="D5060"/>
  <c r="D5062"/>
  <c r="D5064"/>
  <c r="D5066"/>
  <c r="D5068"/>
  <c r="D5070"/>
  <c r="D5072"/>
  <c r="D5074"/>
  <c r="D5076"/>
  <c r="D5078"/>
  <c r="D5080"/>
  <c r="D5082"/>
  <c r="D5084"/>
  <c r="D5086"/>
  <c r="D5088"/>
  <c r="D5090"/>
  <c r="D5092"/>
  <c r="D5838"/>
  <c r="D5840"/>
  <c r="D5842"/>
  <c r="D5844"/>
  <c r="D5846"/>
  <c r="D5848"/>
  <c r="D5850"/>
  <c r="D5852"/>
  <c r="D5854"/>
  <c r="D5856"/>
  <c r="D5858"/>
  <c r="D5860"/>
  <c r="D5862"/>
  <c r="D5864"/>
  <c r="D5866"/>
  <c r="D5868"/>
  <c r="D5870"/>
  <c r="D5872"/>
  <c r="D5874"/>
  <c r="D5876"/>
  <c r="D5878"/>
  <c r="D5880"/>
  <c r="D5882"/>
  <c r="D5884"/>
  <c r="D5886"/>
  <c r="D5888"/>
  <c r="D5890"/>
  <c r="D5892"/>
  <c r="D5894"/>
  <c r="D5896"/>
  <c r="D5898"/>
  <c r="D5900"/>
  <c r="D5902"/>
  <c r="D5904"/>
  <c r="D5906"/>
  <c r="D5908"/>
  <c r="D5910"/>
  <c r="D5912"/>
  <c r="D5914"/>
  <c r="D5916"/>
  <c r="D5918"/>
  <c r="D5920"/>
  <c r="D5922"/>
  <c r="D5924"/>
  <c r="D5926"/>
  <c r="D5928"/>
  <c r="D5930"/>
  <c r="D5932"/>
  <c r="D5934"/>
  <c r="D5936"/>
  <c r="D5938"/>
  <c r="D5940"/>
  <c r="D5942"/>
  <c r="D5944"/>
  <c r="D5946"/>
  <c r="D5948"/>
  <c r="D5950"/>
  <c r="D5952"/>
  <c r="D5954"/>
  <c r="D5956"/>
  <c r="D5958"/>
  <c r="D5960"/>
  <c r="D5962"/>
  <c r="D5964"/>
  <c r="D5966"/>
  <c r="D5968"/>
  <c r="D5970"/>
  <c r="D5972"/>
  <c r="D5974"/>
  <c r="D5976"/>
  <c r="D5978"/>
  <c r="D5980"/>
  <c r="D5982"/>
  <c r="D5984"/>
  <c r="D5986"/>
  <c r="D5988"/>
  <c r="D5990"/>
  <c r="D5992"/>
  <c r="D5994"/>
  <c r="D5996"/>
  <c r="D5998"/>
  <c r="D6000"/>
  <c r="D6002"/>
  <c r="D6004"/>
  <c r="D6006"/>
  <c r="D6008"/>
  <c r="D6010"/>
  <c r="D6012"/>
  <c r="D6014"/>
  <c r="D6016"/>
  <c r="D6018"/>
  <c r="D6020"/>
  <c r="D6022"/>
  <c r="D6024"/>
  <c r="D6026"/>
  <c r="D6028"/>
  <c r="D6030"/>
  <c r="D6032"/>
  <c r="D6034"/>
  <c r="D6036"/>
  <c r="D6038"/>
  <c r="D6040"/>
  <c r="D6042"/>
  <c r="D6044"/>
  <c r="D6046"/>
  <c r="D6048"/>
  <c r="D6050"/>
  <c r="D6052"/>
  <c r="D6054"/>
  <c r="D6056"/>
  <c r="D6058"/>
  <c r="D6060"/>
  <c r="D6062"/>
  <c r="D6064"/>
  <c r="D6066"/>
  <c r="D6068"/>
  <c r="D6070"/>
  <c r="D6072"/>
  <c r="D6074"/>
  <c r="D6076"/>
  <c r="D6078"/>
  <c r="D6080"/>
  <c r="D6082"/>
  <c r="D6084"/>
  <c r="D6086"/>
  <c r="D6088"/>
  <c r="D6090"/>
  <c r="D6092"/>
  <c r="D6094"/>
  <c r="D6096"/>
  <c r="D6098"/>
  <c r="D6100"/>
  <c r="D6102"/>
  <c r="D6104"/>
  <c r="D6106"/>
  <c r="D6108"/>
  <c r="D6110"/>
  <c r="D6112"/>
  <c r="D6114"/>
  <c r="D6116"/>
  <c r="D6118"/>
  <c r="D6120"/>
  <c r="D6122"/>
  <c r="D6124"/>
  <c r="D6126"/>
  <c r="D6128"/>
  <c r="D6130"/>
  <c r="D6132"/>
  <c r="D6134"/>
  <c r="D6136"/>
  <c r="D6138"/>
  <c r="D6140"/>
  <c r="D6142"/>
  <c r="D6144"/>
  <c r="D6146"/>
  <c r="D6148"/>
  <c r="D6150"/>
  <c r="D6152"/>
  <c r="D6154"/>
  <c r="D6156"/>
  <c r="D6158"/>
  <c r="D6160"/>
  <c r="D6162"/>
  <c r="D6164"/>
  <c r="D6166"/>
  <c r="D6168"/>
  <c r="D5839"/>
  <c r="D5841"/>
  <c r="D5843"/>
  <c r="D5845"/>
  <c r="D5847"/>
  <c r="D5849"/>
  <c r="D5851"/>
  <c r="D5853"/>
  <c r="D5855"/>
  <c r="D5857"/>
  <c r="D5859"/>
  <c r="D5861"/>
  <c r="D5863"/>
  <c r="D5865"/>
  <c r="D5867"/>
  <c r="D5869"/>
  <c r="D5871"/>
  <c r="D5873"/>
  <c r="D5875"/>
  <c r="D5877"/>
  <c r="D5879"/>
  <c r="D5881"/>
  <c r="D5883"/>
  <c r="D5885"/>
  <c r="D5887"/>
  <c r="D5889"/>
  <c r="D5891"/>
  <c r="D5893"/>
  <c r="D5895"/>
  <c r="D5897"/>
  <c r="D5899"/>
  <c r="D5901"/>
  <c r="D5903"/>
  <c r="D5905"/>
  <c r="D5907"/>
  <c r="D5909"/>
  <c r="D5911"/>
  <c r="D5913"/>
  <c r="D5915"/>
  <c r="D5917"/>
  <c r="D5919"/>
  <c r="D5921"/>
  <c r="D5923"/>
  <c r="D5925"/>
  <c r="D5927"/>
  <c r="D5929"/>
  <c r="D5931"/>
  <c r="D5933"/>
  <c r="D5935"/>
  <c r="D5937"/>
  <c r="D5939"/>
  <c r="D5941"/>
  <c r="D5943"/>
  <c r="D5945"/>
  <c r="D5947"/>
  <c r="D5949"/>
  <c r="D5951"/>
  <c r="D5953"/>
  <c r="D5955"/>
  <c r="D5957"/>
  <c r="D5959"/>
  <c r="D5961"/>
  <c r="D5963"/>
  <c r="D5965"/>
  <c r="D5967"/>
  <c r="D5969"/>
  <c r="D5971"/>
  <c r="D5973"/>
  <c r="D5975"/>
  <c r="D5977"/>
  <c r="D5979"/>
  <c r="D5981"/>
  <c r="D5983"/>
  <c r="D5985"/>
  <c r="D5987"/>
  <c r="D5989"/>
  <c r="D5991"/>
  <c r="D5993"/>
  <c r="D5995"/>
  <c r="D5997"/>
  <c r="D5999"/>
  <c r="D6001"/>
  <c r="D6003"/>
  <c r="D6005"/>
  <c r="D6007"/>
  <c r="D6009"/>
  <c r="D6011"/>
  <c r="D6013"/>
  <c r="D6015"/>
  <c r="D6017"/>
  <c r="D6019"/>
  <c r="D6021"/>
  <c r="D6023"/>
  <c r="D6025"/>
  <c r="D6027"/>
  <c r="D6029"/>
  <c r="D6031"/>
  <c r="D6033"/>
  <c r="D6035"/>
  <c r="D6037"/>
  <c r="D6039"/>
  <c r="D6041"/>
  <c r="D6043"/>
  <c r="D6045"/>
  <c r="D6047"/>
  <c r="D6049"/>
  <c r="D6051"/>
  <c r="D6053"/>
  <c r="D6055"/>
  <c r="D6057"/>
  <c r="D6059"/>
  <c r="D6061"/>
  <c r="D6063"/>
  <c r="D6065"/>
  <c r="D6067"/>
  <c r="D6069"/>
  <c r="D6071"/>
  <c r="D6073"/>
  <c r="D6075"/>
  <c r="D6077"/>
  <c r="D6079"/>
  <c r="D6081"/>
  <c r="D6083"/>
  <c r="D6085"/>
  <c r="D6087"/>
  <c r="D6089"/>
  <c r="D6091"/>
  <c r="D6093"/>
  <c r="D6095"/>
  <c r="D6097"/>
  <c r="D6099"/>
  <c r="D6101"/>
  <c r="D6103"/>
  <c r="D6105"/>
  <c r="D6107"/>
  <c r="D6109"/>
  <c r="D6111"/>
  <c r="D6113"/>
  <c r="D6115"/>
  <c r="D6117"/>
  <c r="D6119"/>
  <c r="D6121"/>
  <c r="D6123"/>
  <c r="D6125"/>
  <c r="D6127"/>
  <c r="D6129"/>
  <c r="D6131"/>
  <c r="D6133"/>
  <c r="D6135"/>
  <c r="D6137"/>
  <c r="D6139"/>
  <c r="D6141"/>
  <c r="D6143"/>
  <c r="D6145"/>
  <c r="D6147"/>
  <c r="D6149"/>
  <c r="D6151"/>
  <c r="D6153"/>
  <c r="D6155"/>
  <c r="D6157"/>
  <c r="D6159"/>
  <c r="D6161"/>
  <c r="D6163"/>
  <c r="D6165"/>
  <c r="D6167"/>
  <c r="D6169"/>
  <c r="D6171"/>
  <c r="D6173"/>
  <c r="D6175"/>
  <c r="D6177"/>
  <c r="D6179"/>
  <c r="D6181"/>
  <c r="D6183"/>
  <c r="D6185"/>
  <c r="D6187"/>
  <c r="D6189"/>
  <c r="D6191"/>
  <c r="D6193"/>
  <c r="D6195"/>
  <c r="D6197"/>
  <c r="D6199"/>
  <c r="D6201"/>
  <c r="D6203"/>
  <c r="D6205"/>
  <c r="D6172"/>
  <c r="D6176"/>
  <c r="D6180"/>
  <c r="D6184"/>
  <c r="D6188"/>
  <c r="D6192"/>
  <c r="D6196"/>
  <c r="D6200"/>
  <c r="D6204"/>
  <c r="D6207"/>
  <c r="D6209"/>
  <c r="D6211"/>
  <c r="D6213"/>
  <c r="D6215"/>
  <c r="D6217"/>
  <c r="D6219"/>
  <c r="D6221"/>
  <c r="D6223"/>
  <c r="D6225"/>
  <c r="D6227"/>
  <c r="D6229"/>
  <c r="D6231"/>
  <c r="D6233"/>
  <c r="D6235"/>
  <c r="D6237"/>
  <c r="D6239"/>
  <c r="D6241"/>
  <c r="D6243"/>
  <c r="D6245"/>
  <c r="D6247"/>
  <c r="D6249"/>
  <c r="D6251"/>
  <c r="D6253"/>
  <c r="D6255"/>
  <c r="D6257"/>
  <c r="D6259"/>
  <c r="D6261"/>
  <c r="D6263"/>
  <c r="D6265"/>
  <c r="D6267"/>
  <c r="D6269"/>
  <c r="D6271"/>
  <c r="D6273"/>
  <c r="D6275"/>
  <c r="D6277"/>
  <c r="D6279"/>
  <c r="D6281"/>
  <c r="D6283"/>
  <c r="D6285"/>
  <c r="D6287"/>
  <c r="D6289"/>
  <c r="D6291"/>
  <c r="D6293"/>
  <c r="D6295"/>
  <c r="D6297"/>
  <c r="D6299"/>
  <c r="D6301"/>
  <c r="D6303"/>
  <c r="D6305"/>
  <c r="D6307"/>
  <c r="D6309"/>
  <c r="D6311"/>
  <c r="D6313"/>
  <c r="D6315"/>
  <c r="D6317"/>
  <c r="D6319"/>
  <c r="D6321"/>
  <c r="D6323"/>
  <c r="D6325"/>
  <c r="D6327"/>
  <c r="D6329"/>
  <c r="D6331"/>
  <c r="D6333"/>
  <c r="D6335"/>
  <c r="D6337"/>
  <c r="D6339"/>
  <c r="D6341"/>
  <c r="D6343"/>
  <c r="D6345"/>
  <c r="D6347"/>
  <c r="D6349"/>
  <c r="D6351"/>
  <c r="D6353"/>
  <c r="D6355"/>
  <c r="D6357"/>
  <c r="D6359"/>
  <c r="D6361"/>
  <c r="D6363"/>
  <c r="D6365"/>
  <c r="D6367"/>
  <c r="D6369"/>
  <c r="D6371"/>
  <c r="D6373"/>
  <c r="D6375"/>
  <c r="D6377"/>
  <c r="D6379"/>
  <c r="D6381"/>
  <c r="D6383"/>
  <c r="D6385"/>
  <c r="D6387"/>
  <c r="D6389"/>
  <c r="D6391"/>
  <c r="D6393"/>
  <c r="D6395"/>
  <c r="D6397"/>
  <c r="D6399"/>
  <c r="D6401"/>
  <c r="D6403"/>
  <c r="D6405"/>
  <c r="D6407"/>
  <c r="D6409"/>
  <c r="D6411"/>
  <c r="D6413"/>
  <c r="D6415"/>
  <c r="D6417"/>
  <c r="D6419"/>
  <c r="D6421"/>
  <c r="D6423"/>
  <c r="D6425"/>
  <c r="D6427"/>
  <c r="D6429"/>
  <c r="D6431"/>
  <c r="D6433"/>
  <c r="D6435"/>
  <c r="D6437"/>
  <c r="D6439"/>
  <c r="D6441"/>
  <c r="D6443"/>
  <c r="D6445"/>
  <c r="D6447"/>
  <c r="D6449"/>
  <c r="D6451"/>
  <c r="D6453"/>
  <c r="D6455"/>
  <c r="D6457"/>
  <c r="D6459"/>
  <c r="D6461"/>
  <c r="D6463"/>
  <c r="D6465"/>
  <c r="D6467"/>
  <c r="D6469"/>
  <c r="D6471"/>
  <c r="D6473"/>
  <c r="D6475"/>
  <c r="D6477"/>
  <c r="D6479"/>
  <c r="D6481"/>
  <c r="D6483"/>
  <c r="D6485"/>
  <c r="D6487"/>
  <c r="D6489"/>
  <c r="D6491"/>
  <c r="D6493"/>
  <c r="D6495"/>
  <c r="D6497"/>
  <c r="D6499"/>
  <c r="D6501"/>
  <c r="D6503"/>
  <c r="D6505"/>
  <c r="D6507"/>
  <c r="D6509"/>
  <c r="D6511"/>
  <c r="D6513"/>
  <c r="D6515"/>
  <c r="D6517"/>
  <c r="D6519"/>
  <c r="D6521"/>
  <c r="D6523"/>
  <c r="D6525"/>
  <c r="D6527"/>
  <c r="D6529"/>
  <c r="D6531"/>
  <c r="D6533"/>
  <c r="D6535"/>
  <c r="D6537"/>
  <c r="D6539"/>
  <c r="D6541"/>
  <c r="D6543"/>
  <c r="D6545"/>
  <c r="D6547"/>
  <c r="D6549"/>
  <c r="D6551"/>
  <c r="D6553"/>
  <c r="D6555"/>
  <c r="D5837"/>
  <c r="D6170"/>
  <c r="D6174"/>
  <c r="D6178"/>
  <c r="D6182"/>
  <c r="D6186"/>
  <c r="D6190"/>
  <c r="D6194"/>
  <c r="D6198"/>
  <c r="D6202"/>
  <c r="D6206"/>
  <c r="D6208"/>
  <c r="D6210"/>
  <c r="D6212"/>
  <c r="D6214"/>
  <c r="D6216"/>
  <c r="D6218"/>
  <c r="D6220"/>
  <c r="D6222"/>
  <c r="D6224"/>
  <c r="D6226"/>
  <c r="D6228"/>
  <c r="D6230"/>
  <c r="D6232"/>
  <c r="D6234"/>
  <c r="D6236"/>
  <c r="D6238"/>
  <c r="D6240"/>
  <c r="D6242"/>
  <c r="D6244"/>
  <c r="D6246"/>
  <c r="D6248"/>
  <c r="D6250"/>
  <c r="D6252"/>
  <c r="D6254"/>
  <c r="D6256"/>
  <c r="D6258"/>
  <c r="D6260"/>
  <c r="D6262"/>
  <c r="D6264"/>
  <c r="D6266"/>
  <c r="D6268"/>
  <c r="D6270"/>
  <c r="D6272"/>
  <c r="D6274"/>
  <c r="D6276"/>
  <c r="D6278"/>
  <c r="D6280"/>
  <c r="D6282"/>
  <c r="D6284"/>
  <c r="D6286"/>
  <c r="D6288"/>
  <c r="D6290"/>
  <c r="D6292"/>
  <c r="D6294"/>
  <c r="D6296"/>
  <c r="D6298"/>
  <c r="D6300"/>
  <c r="D6302"/>
  <c r="D6304"/>
  <c r="D6306"/>
  <c r="D6308"/>
  <c r="D6310"/>
  <c r="D6312"/>
  <c r="D6314"/>
  <c r="D6316"/>
  <c r="D6318"/>
  <c r="D6320"/>
  <c r="D6322"/>
  <c r="D6324"/>
  <c r="D6326"/>
  <c r="D6328"/>
  <c r="D6330"/>
  <c r="D6332"/>
  <c r="D6334"/>
  <c r="D6336"/>
  <c r="D6338"/>
  <c r="D6340"/>
  <c r="D6342"/>
  <c r="D6344"/>
  <c r="D6346"/>
  <c r="D6348"/>
  <c r="D6350"/>
  <c r="D6352"/>
  <c r="D6354"/>
  <c r="D6356"/>
  <c r="D6358"/>
  <c r="D6360"/>
  <c r="D6362"/>
  <c r="D6364"/>
  <c r="D6366"/>
  <c r="D6368"/>
  <c r="D6370"/>
  <c r="D6372"/>
  <c r="D6374"/>
  <c r="D6376"/>
  <c r="D6378"/>
  <c r="D6380"/>
  <c r="D6382"/>
  <c r="D6384"/>
  <c r="D6386"/>
  <c r="D6388"/>
  <c r="D6390"/>
  <c r="D6392"/>
  <c r="D6394"/>
  <c r="D6396"/>
  <c r="D6398"/>
  <c r="D6400"/>
  <c r="D6402"/>
  <c r="D6404"/>
  <c r="D6406"/>
  <c r="D6408"/>
  <c r="D6410"/>
  <c r="D6412"/>
  <c r="D6414"/>
  <c r="D6416"/>
  <c r="D6418"/>
  <c r="D6420"/>
  <c r="D6422"/>
  <c r="D6424"/>
  <c r="D6426"/>
  <c r="D6428"/>
  <c r="D6430"/>
  <c r="D6432"/>
  <c r="D6434"/>
  <c r="D6436"/>
  <c r="D6438"/>
  <c r="D6440"/>
  <c r="D6442"/>
  <c r="D6444"/>
  <c r="D6446"/>
  <c r="D6448"/>
  <c r="D6450"/>
  <c r="D6452"/>
  <c r="D6454"/>
  <c r="D6456"/>
  <c r="D6458"/>
  <c r="D6460"/>
  <c r="D6462"/>
  <c r="D6464"/>
  <c r="D6466"/>
  <c r="D6468"/>
  <c r="D6470"/>
  <c r="D6472"/>
  <c r="D6474"/>
  <c r="D6476"/>
  <c r="D6478"/>
  <c r="D6480"/>
  <c r="D6482"/>
  <c r="D6484"/>
  <c r="D6486"/>
  <c r="D6488"/>
  <c r="D6490"/>
  <c r="D6492"/>
  <c r="D6494"/>
  <c r="D6496"/>
  <c r="D6498"/>
  <c r="D6500"/>
  <c r="D6502"/>
  <c r="D6504"/>
  <c r="D6506"/>
  <c r="D6508"/>
  <c r="D6510"/>
  <c r="D6512"/>
  <c r="D6514"/>
  <c r="D6516"/>
  <c r="D6518"/>
  <c r="D6520"/>
  <c r="D6522"/>
  <c r="D6524"/>
  <c r="D6526"/>
  <c r="D6528"/>
  <c r="D6530"/>
  <c r="D6532"/>
  <c r="D6534"/>
  <c r="D6536"/>
  <c r="D6538"/>
  <c r="D6540"/>
  <c r="D6542"/>
  <c r="D6544"/>
  <c r="D6546"/>
  <c r="D6548"/>
  <c r="D6550"/>
  <c r="D6552"/>
  <c r="D6554"/>
  <c r="D6556"/>
  <c r="D7303"/>
  <c r="D7305"/>
  <c r="D7307"/>
  <c r="D7309"/>
  <c r="D7311"/>
  <c r="D7313"/>
  <c r="D7315"/>
  <c r="D7317"/>
  <c r="D7319"/>
  <c r="D7321"/>
  <c r="D7323"/>
  <c r="D7325"/>
  <c r="D7327"/>
  <c r="D7329"/>
  <c r="D7331"/>
  <c r="D7333"/>
  <c r="D7335"/>
  <c r="D7337"/>
  <c r="D7339"/>
  <c r="D7341"/>
  <c r="D7343"/>
  <c r="D7345"/>
  <c r="D7347"/>
  <c r="D7349"/>
  <c r="D7351"/>
  <c r="D7353"/>
  <c r="D7355"/>
  <c r="D7357"/>
  <c r="D7359"/>
  <c r="D7361"/>
  <c r="D7363"/>
  <c r="D7365"/>
  <c r="D7367"/>
  <c r="D7369"/>
  <c r="D7371"/>
  <c r="D7373"/>
  <c r="D7375"/>
  <c r="D7377"/>
  <c r="D7379"/>
  <c r="D7381"/>
  <c r="D7383"/>
  <c r="D7385"/>
  <c r="D7387"/>
  <c r="D7389"/>
  <c r="D7391"/>
  <c r="D7393"/>
  <c r="D7395"/>
  <c r="D7397"/>
  <c r="D7399"/>
  <c r="D7401"/>
  <c r="D7403"/>
  <c r="D7405"/>
  <c r="D7407"/>
  <c r="D7409"/>
  <c r="D7411"/>
  <c r="D7413"/>
  <c r="D7415"/>
  <c r="D7417"/>
  <c r="D7419"/>
  <c r="D7421"/>
  <c r="D7423"/>
  <c r="D7425"/>
  <c r="D7427"/>
  <c r="D7429"/>
  <c r="D7431"/>
  <c r="D7433"/>
  <c r="D7435"/>
  <c r="D7437"/>
  <c r="D7439"/>
  <c r="D7441"/>
  <c r="D7443"/>
  <c r="D7445"/>
  <c r="D7447"/>
  <c r="D7449"/>
  <c r="D7451"/>
  <c r="D7453"/>
  <c r="D7455"/>
  <c r="D7457"/>
  <c r="D7459"/>
  <c r="D7461"/>
  <c r="D7463"/>
  <c r="D7465"/>
  <c r="D7467"/>
  <c r="D7469"/>
  <c r="D7471"/>
  <c r="D7473"/>
  <c r="D7475"/>
  <c r="D7477"/>
  <c r="D7479"/>
  <c r="D7481"/>
  <c r="D7483"/>
  <c r="D7485"/>
  <c r="D7487"/>
  <c r="D7489"/>
  <c r="D7491"/>
  <c r="D7493"/>
  <c r="D7495"/>
  <c r="D7497"/>
  <c r="D7499"/>
  <c r="D7501"/>
  <c r="D7503"/>
  <c r="D7505"/>
  <c r="D7507"/>
  <c r="D7509"/>
  <c r="D7511"/>
  <c r="D7513"/>
  <c r="D7515"/>
  <c r="D7517"/>
  <c r="D7519"/>
  <c r="D7521"/>
  <c r="D7523"/>
  <c r="D7525"/>
  <c r="D7527"/>
  <c r="D7529"/>
  <c r="D7531"/>
  <c r="D7533"/>
  <c r="D7535"/>
  <c r="D7537"/>
  <c r="D7539"/>
  <c r="D7541"/>
  <c r="D7543"/>
  <c r="D7545"/>
  <c r="D7547"/>
  <c r="D7549"/>
  <c r="D7551"/>
  <c r="D7553"/>
  <c r="D7555"/>
  <c r="D7557"/>
  <c r="D7559"/>
  <c r="D7561"/>
  <c r="D7563"/>
  <c r="D7565"/>
  <c r="D7567"/>
  <c r="D7569"/>
  <c r="D7571"/>
  <c r="D7573"/>
  <c r="D7575"/>
  <c r="D7577"/>
  <c r="D7579"/>
  <c r="D7581"/>
  <c r="D7583"/>
  <c r="D7585"/>
  <c r="D7587"/>
  <c r="D7589"/>
  <c r="D7591"/>
  <c r="D7593"/>
  <c r="D7595"/>
  <c r="D7597"/>
  <c r="D7599"/>
  <c r="D7601"/>
  <c r="D7603"/>
  <c r="D7605"/>
  <c r="D7607"/>
  <c r="D7609"/>
  <c r="D7611"/>
  <c r="D7613"/>
  <c r="D7615"/>
  <c r="D7617"/>
  <c r="D7619"/>
  <c r="D7621"/>
  <c r="D7623"/>
  <c r="D7625"/>
  <c r="D7627"/>
  <c r="D7629"/>
  <c r="D7631"/>
  <c r="D7633"/>
  <c r="D7635"/>
  <c r="D7637"/>
  <c r="D7639"/>
  <c r="D7641"/>
  <c r="D7643"/>
  <c r="D7645"/>
  <c r="D7647"/>
  <c r="D7649"/>
  <c r="D7651"/>
  <c r="D7653"/>
  <c r="D7655"/>
  <c r="D7657"/>
  <c r="D7659"/>
  <c r="D7661"/>
  <c r="D7663"/>
  <c r="D7665"/>
  <c r="D7667"/>
  <c r="D7669"/>
  <c r="D7671"/>
  <c r="D7673"/>
  <c r="D7675"/>
  <c r="D7677"/>
  <c r="D7679"/>
  <c r="D7681"/>
  <c r="D7683"/>
  <c r="D7685"/>
  <c r="D7687"/>
  <c r="D7689"/>
  <c r="D7691"/>
  <c r="D7693"/>
  <c r="D7695"/>
  <c r="D7697"/>
  <c r="D7699"/>
  <c r="D7701"/>
  <c r="D7703"/>
  <c r="D7705"/>
  <c r="D7707"/>
  <c r="D7709"/>
  <c r="D7711"/>
  <c r="D7713"/>
  <c r="D7715"/>
  <c r="D7717"/>
  <c r="D7719"/>
  <c r="D7721"/>
  <c r="D7723"/>
  <c r="D7725"/>
  <c r="D7727"/>
  <c r="D7729"/>
  <c r="D7731"/>
  <c r="D7733"/>
  <c r="D7735"/>
  <c r="D7737"/>
  <c r="D7739"/>
  <c r="D7741"/>
  <c r="D7743"/>
  <c r="D7745"/>
  <c r="D7747"/>
  <c r="D7749"/>
  <c r="D7751"/>
  <c r="D7753"/>
  <c r="D7755"/>
  <c r="D7757"/>
  <c r="D7759"/>
  <c r="D7761"/>
  <c r="D7763"/>
  <c r="D7765"/>
  <c r="D7767"/>
  <c r="D7769"/>
  <c r="D7771"/>
  <c r="D7773"/>
  <c r="D7775"/>
  <c r="D7777"/>
  <c r="D7779"/>
  <c r="D7781"/>
  <c r="D7783"/>
  <c r="D7785"/>
  <c r="D7787"/>
  <c r="D7789"/>
  <c r="D7791"/>
  <c r="D7793"/>
  <c r="D7795"/>
  <c r="D7797"/>
  <c r="D7799"/>
  <c r="D7801"/>
  <c r="D7803"/>
  <c r="D7805"/>
  <c r="D7807"/>
  <c r="D7809"/>
  <c r="D7811"/>
  <c r="D7813"/>
  <c r="D7815"/>
  <c r="D7817"/>
  <c r="D7819"/>
  <c r="D7821"/>
  <c r="D7823"/>
  <c r="D7825"/>
  <c r="D7827"/>
  <c r="D7829"/>
  <c r="D7831"/>
  <c r="D7833"/>
  <c r="D7835"/>
  <c r="D7837"/>
  <c r="D7839"/>
  <c r="D7841"/>
  <c r="D7843"/>
  <c r="D7845"/>
  <c r="D7847"/>
  <c r="D7849"/>
  <c r="D7851"/>
  <c r="D7853"/>
  <c r="D7855"/>
  <c r="D7857"/>
  <c r="D7859"/>
  <c r="D7861"/>
  <c r="D7863"/>
  <c r="D7865"/>
  <c r="D7867"/>
  <c r="D7869"/>
  <c r="D7871"/>
  <c r="D7873"/>
  <c r="D7875"/>
  <c r="D7877"/>
  <c r="D7879"/>
  <c r="D7881"/>
  <c r="D7883"/>
  <c r="D7885"/>
  <c r="D7887"/>
  <c r="D7889"/>
  <c r="D7891"/>
  <c r="D7893"/>
  <c r="D7895"/>
  <c r="D7897"/>
  <c r="D7899"/>
  <c r="D7901"/>
  <c r="D7903"/>
  <c r="D7905"/>
  <c r="D7907"/>
  <c r="D7909"/>
  <c r="D7911"/>
  <c r="D7913"/>
  <c r="D7915"/>
  <c r="D7917"/>
  <c r="D7919"/>
  <c r="D7921"/>
  <c r="D7923"/>
  <c r="D7925"/>
  <c r="D7927"/>
  <c r="D7929"/>
  <c r="D7931"/>
  <c r="D7933"/>
  <c r="D7935"/>
  <c r="D7937"/>
  <c r="D7939"/>
  <c r="D7941"/>
  <c r="D7943"/>
  <c r="D7945"/>
  <c r="D7947"/>
  <c r="D7949"/>
  <c r="D7951"/>
  <c r="D7953"/>
  <c r="D7955"/>
  <c r="D7957"/>
  <c r="D7959"/>
  <c r="D7961"/>
  <c r="D7963"/>
  <c r="D7965"/>
  <c r="D7967"/>
  <c r="D7969"/>
  <c r="D7971"/>
  <c r="D7973"/>
  <c r="D7975"/>
  <c r="D7977"/>
  <c r="D7979"/>
  <c r="D7981"/>
  <c r="D7983"/>
  <c r="D7985"/>
  <c r="D7987"/>
  <c r="D7989"/>
  <c r="D7991"/>
  <c r="D7993"/>
  <c r="D7995"/>
  <c r="D7997"/>
  <c r="D7999"/>
  <c r="D8001"/>
  <c r="D8003"/>
  <c r="D8005"/>
  <c r="D8007"/>
  <c r="D8009"/>
  <c r="D8011"/>
  <c r="D8013"/>
  <c r="D8015"/>
  <c r="D8017"/>
  <c r="D8019"/>
  <c r="D7301"/>
  <c r="D7302"/>
  <c r="D7304"/>
  <c r="D7306"/>
  <c r="D7308"/>
  <c r="D7310"/>
  <c r="D7312"/>
  <c r="D7314"/>
  <c r="D7316"/>
  <c r="D7318"/>
  <c r="D7320"/>
  <c r="D7322"/>
  <c r="D7324"/>
  <c r="D7326"/>
  <c r="D7328"/>
  <c r="D7330"/>
  <c r="D7332"/>
  <c r="D7334"/>
  <c r="D7336"/>
  <c r="D7338"/>
  <c r="D7340"/>
  <c r="D7342"/>
  <c r="D7344"/>
  <c r="D7346"/>
  <c r="D7348"/>
  <c r="D7350"/>
  <c r="D7352"/>
  <c r="D7354"/>
  <c r="D7356"/>
  <c r="D7358"/>
  <c r="D7360"/>
  <c r="D7362"/>
  <c r="D7364"/>
  <c r="D7366"/>
  <c r="D7368"/>
  <c r="D7370"/>
  <c r="D7372"/>
  <c r="D7374"/>
  <c r="D7376"/>
  <c r="D7378"/>
  <c r="D7380"/>
  <c r="D7382"/>
  <c r="D7384"/>
  <c r="D7386"/>
  <c r="D7388"/>
  <c r="D7390"/>
  <c r="D7392"/>
  <c r="D7394"/>
  <c r="D7396"/>
  <c r="D7398"/>
  <c r="D7400"/>
  <c r="D7402"/>
  <c r="D7404"/>
  <c r="D7406"/>
  <c r="D7408"/>
  <c r="D7410"/>
  <c r="D7412"/>
  <c r="D7414"/>
  <c r="D7416"/>
  <c r="D7418"/>
  <c r="D7420"/>
  <c r="D7422"/>
  <c r="D7424"/>
  <c r="D7426"/>
  <c r="D7428"/>
  <c r="D7430"/>
  <c r="D7432"/>
  <c r="D7434"/>
  <c r="D7436"/>
  <c r="D7438"/>
  <c r="D7440"/>
  <c r="D7442"/>
  <c r="D7444"/>
  <c r="D7446"/>
  <c r="D7448"/>
  <c r="D7450"/>
  <c r="D7452"/>
  <c r="D7454"/>
  <c r="D7456"/>
  <c r="D7458"/>
  <c r="D7460"/>
  <c r="D7462"/>
  <c r="D7464"/>
  <c r="D7466"/>
  <c r="D7468"/>
  <c r="D7470"/>
  <c r="D7472"/>
  <c r="D7474"/>
  <c r="D7476"/>
  <c r="D7478"/>
  <c r="D7480"/>
  <c r="D7482"/>
  <c r="D7484"/>
  <c r="D7486"/>
  <c r="D7488"/>
  <c r="D7490"/>
  <c r="D7492"/>
  <c r="D7494"/>
  <c r="D7496"/>
  <c r="D7498"/>
  <c r="D7500"/>
  <c r="D7502"/>
  <c r="D7504"/>
  <c r="D7506"/>
  <c r="D7508"/>
  <c r="D7510"/>
  <c r="D7512"/>
  <c r="D7514"/>
  <c r="D7516"/>
  <c r="D7518"/>
  <c r="D7520"/>
  <c r="D7522"/>
  <c r="D7524"/>
  <c r="D7526"/>
  <c r="D7528"/>
  <c r="D7530"/>
  <c r="D7532"/>
  <c r="D7534"/>
  <c r="D7536"/>
  <c r="D7538"/>
  <c r="D7540"/>
  <c r="D7542"/>
  <c r="D7544"/>
  <c r="D7546"/>
  <c r="D7548"/>
  <c r="D7550"/>
  <c r="D7552"/>
  <c r="D7554"/>
  <c r="D7556"/>
  <c r="D7558"/>
  <c r="D7560"/>
  <c r="D7562"/>
  <c r="D7564"/>
  <c r="D7566"/>
  <c r="D7568"/>
  <c r="D7570"/>
  <c r="D7572"/>
  <c r="D7574"/>
  <c r="D7576"/>
  <c r="D7578"/>
  <c r="D7580"/>
  <c r="D7582"/>
  <c r="D7584"/>
  <c r="D7586"/>
  <c r="D7588"/>
  <c r="D7590"/>
  <c r="D7592"/>
  <c r="D7594"/>
  <c r="D7596"/>
  <c r="D7598"/>
  <c r="D7600"/>
  <c r="D7602"/>
  <c r="D7604"/>
  <c r="D7606"/>
  <c r="D7608"/>
  <c r="D7610"/>
  <c r="D7612"/>
  <c r="D7614"/>
  <c r="D7616"/>
  <c r="D7618"/>
  <c r="D7620"/>
  <c r="D7622"/>
  <c r="D7624"/>
  <c r="D7626"/>
  <c r="D7628"/>
  <c r="D7630"/>
  <c r="D7632"/>
  <c r="D7634"/>
  <c r="D7636"/>
  <c r="D7638"/>
  <c r="D7640"/>
  <c r="D7642"/>
  <c r="D7644"/>
  <c r="D7646"/>
  <c r="D7648"/>
  <c r="D7650"/>
  <c r="D7652"/>
  <c r="D7654"/>
  <c r="D7656"/>
  <c r="D7658"/>
  <c r="D7660"/>
  <c r="D7662"/>
  <c r="D7664"/>
  <c r="D7666"/>
  <c r="D7668"/>
  <c r="D7670"/>
  <c r="D7672"/>
  <c r="D7674"/>
  <c r="D7676"/>
  <c r="D7678"/>
  <c r="D7680"/>
  <c r="D7682"/>
  <c r="D7684"/>
  <c r="D7686"/>
  <c r="D7688"/>
  <c r="D7690"/>
  <c r="D7692"/>
  <c r="D7694"/>
  <c r="D7696"/>
  <c r="D7698"/>
  <c r="D7700"/>
  <c r="D7702"/>
  <c r="D7704"/>
  <c r="D7706"/>
  <c r="D7708"/>
  <c r="D7710"/>
  <c r="D7712"/>
  <c r="D7714"/>
  <c r="D7716"/>
  <c r="D7718"/>
  <c r="D7720"/>
  <c r="D7722"/>
  <c r="D7724"/>
  <c r="D7726"/>
  <c r="D7728"/>
  <c r="D7730"/>
  <c r="D7732"/>
  <c r="D7734"/>
  <c r="D7736"/>
  <c r="D7738"/>
  <c r="D7740"/>
  <c r="D7742"/>
  <c r="D7744"/>
  <c r="D7746"/>
  <c r="D7748"/>
  <c r="D7750"/>
  <c r="D7752"/>
  <c r="D7754"/>
  <c r="D7756"/>
  <c r="D7758"/>
  <c r="D7760"/>
  <c r="D7762"/>
  <c r="D7764"/>
  <c r="D7766"/>
  <c r="D7768"/>
  <c r="D7770"/>
  <c r="D7772"/>
  <c r="D7774"/>
  <c r="D7776"/>
  <c r="D7778"/>
  <c r="D7780"/>
  <c r="D7782"/>
  <c r="D7784"/>
  <c r="D7786"/>
  <c r="D7788"/>
  <c r="D7790"/>
  <c r="D7792"/>
  <c r="D7794"/>
  <c r="D7796"/>
  <c r="D7798"/>
  <c r="D7800"/>
  <c r="D7802"/>
  <c r="D7804"/>
  <c r="D7806"/>
  <c r="D7808"/>
  <c r="D7810"/>
  <c r="D7812"/>
  <c r="D7814"/>
  <c r="D7816"/>
  <c r="D7818"/>
  <c r="D7820"/>
  <c r="D7822"/>
  <c r="D7824"/>
  <c r="D7826"/>
  <c r="D7828"/>
  <c r="D7830"/>
  <c r="D7832"/>
  <c r="D7834"/>
  <c r="D7836"/>
  <c r="D7838"/>
  <c r="D7840"/>
  <c r="D7842"/>
  <c r="D7844"/>
  <c r="D7846"/>
  <c r="D7848"/>
  <c r="D7850"/>
  <c r="D7852"/>
  <c r="D7854"/>
  <c r="D7856"/>
  <c r="D7858"/>
  <c r="D7860"/>
  <c r="D7862"/>
  <c r="D7864"/>
  <c r="D7866"/>
  <c r="D7868"/>
  <c r="D7870"/>
  <c r="D7872"/>
  <c r="D7874"/>
  <c r="D7876"/>
  <c r="D7878"/>
  <c r="D7880"/>
  <c r="D7882"/>
  <c r="D7884"/>
  <c r="D7886"/>
  <c r="D7888"/>
  <c r="D7890"/>
  <c r="D7892"/>
  <c r="D7894"/>
  <c r="D7896"/>
  <c r="D7898"/>
  <c r="D7900"/>
  <c r="D7902"/>
  <c r="D7904"/>
  <c r="D7906"/>
  <c r="D7908"/>
  <c r="D7910"/>
  <c r="D7912"/>
  <c r="D7914"/>
  <c r="D7916"/>
  <c r="D7918"/>
  <c r="D7920"/>
  <c r="D7922"/>
  <c r="D7924"/>
  <c r="D7926"/>
  <c r="D7928"/>
  <c r="D7930"/>
  <c r="D7932"/>
  <c r="D7934"/>
  <c r="D7936"/>
  <c r="D7938"/>
  <c r="D7940"/>
  <c r="D7942"/>
  <c r="D7944"/>
  <c r="D7946"/>
  <c r="D7948"/>
  <c r="D7950"/>
  <c r="D7952"/>
  <c r="D7954"/>
  <c r="D7956"/>
  <c r="D7958"/>
  <c r="D7960"/>
  <c r="D7962"/>
  <c r="D7964"/>
  <c r="D7966"/>
  <c r="D7968"/>
  <c r="D7970"/>
  <c r="D7972"/>
  <c r="D7974"/>
  <c r="D7976"/>
  <c r="D7978"/>
  <c r="D7980"/>
  <c r="D7982"/>
  <c r="D7984"/>
  <c r="D7986"/>
  <c r="D7988"/>
  <c r="D7990"/>
  <c r="D7992"/>
  <c r="D7994"/>
  <c r="D7996"/>
  <c r="D7998"/>
  <c r="D8000"/>
  <c r="D8002"/>
  <c r="D8004"/>
  <c r="D8006"/>
  <c r="D8008"/>
  <c r="D8010"/>
  <c r="D8012"/>
  <c r="D8014"/>
  <c r="D8016"/>
  <c r="D8018"/>
  <c r="D8020"/>
  <c r="D1423"/>
  <c r="D1425"/>
  <c r="D1427"/>
  <c r="D1429"/>
  <c r="D1431"/>
  <c r="D1433"/>
  <c r="D1435"/>
  <c r="D1437"/>
  <c r="D1439"/>
  <c r="D1441"/>
  <c r="D1443"/>
  <c r="D1445"/>
  <c r="D1447"/>
  <c r="D1449"/>
  <c r="D1451"/>
  <c r="D1453"/>
  <c r="D1455"/>
  <c r="D1457"/>
  <c r="D1459"/>
  <c r="D1461"/>
  <c r="D1463"/>
  <c r="D1465"/>
  <c r="D1467"/>
  <c r="D1469"/>
  <c r="D1471"/>
  <c r="D1473"/>
  <c r="D1475"/>
  <c r="D1477"/>
  <c r="D1479"/>
  <c r="D1481"/>
  <c r="D1483"/>
  <c r="D1485"/>
  <c r="D1487"/>
  <c r="D1489"/>
  <c r="D1491"/>
  <c r="D1493"/>
  <c r="D1495"/>
  <c r="D1497"/>
  <c r="D1499"/>
  <c r="D1501"/>
  <c r="D1503"/>
  <c r="D1505"/>
  <c r="D1507"/>
  <c r="D1509"/>
  <c r="D1511"/>
  <c r="D1513"/>
  <c r="D1515"/>
  <c r="D1517"/>
  <c r="D1519"/>
  <c r="D1521"/>
  <c r="D1523"/>
  <c r="D1525"/>
  <c r="D1527"/>
  <c r="D1529"/>
  <c r="D1531"/>
  <c r="D1533"/>
  <c r="D1535"/>
  <c r="D1537"/>
  <c r="D1539"/>
  <c r="D1541"/>
  <c r="D1543"/>
  <c r="D1545"/>
  <c r="D1547"/>
  <c r="D1549"/>
  <c r="D1551"/>
  <c r="D1553"/>
  <c r="D1555"/>
  <c r="D1557"/>
  <c r="D1559"/>
  <c r="D1561"/>
  <c r="D1563"/>
  <c r="D1565"/>
  <c r="D1567"/>
  <c r="D1569"/>
  <c r="D1571"/>
  <c r="D1573"/>
  <c r="D1575"/>
  <c r="D1577"/>
  <c r="D1579"/>
  <c r="D1581"/>
  <c r="D1583"/>
  <c r="D1585"/>
  <c r="D1587"/>
  <c r="D1589"/>
  <c r="D1591"/>
  <c r="D1593"/>
  <c r="D1595"/>
  <c r="D1597"/>
  <c r="D1599"/>
  <c r="D1601"/>
  <c r="D1603"/>
  <c r="D1605"/>
  <c r="D1607"/>
  <c r="D1609"/>
  <c r="D1611"/>
  <c r="D1613"/>
  <c r="D1615"/>
  <c r="D1617"/>
  <c r="D1619"/>
  <c r="D1621"/>
  <c r="D1623"/>
  <c r="D1625"/>
  <c r="D1627"/>
  <c r="D1629"/>
  <c r="D1631"/>
  <c r="D1633"/>
  <c r="D1635"/>
  <c r="D1637"/>
  <c r="D1639"/>
  <c r="D1641"/>
  <c r="D1643"/>
  <c r="D1645"/>
  <c r="D1647"/>
  <c r="D1649"/>
  <c r="D1651"/>
  <c r="D1653"/>
  <c r="D1655"/>
  <c r="D1657"/>
  <c r="D1659"/>
  <c r="D1661"/>
  <c r="D1663"/>
  <c r="D1665"/>
  <c r="D1667"/>
  <c r="D1669"/>
  <c r="D1671"/>
  <c r="D1673"/>
  <c r="D1675"/>
  <c r="D1677"/>
  <c r="D1679"/>
  <c r="D1681"/>
  <c r="D1683"/>
  <c r="D1685"/>
  <c r="D1687"/>
  <c r="D1689"/>
  <c r="D1691"/>
  <c r="D1693"/>
  <c r="D1695"/>
  <c r="D1697"/>
  <c r="D1699"/>
  <c r="D1701"/>
  <c r="D1703"/>
  <c r="D1705"/>
  <c r="D1707"/>
  <c r="D1709"/>
  <c r="D1711"/>
  <c r="D1713"/>
  <c r="D1715"/>
  <c r="D1717"/>
  <c r="D1719"/>
  <c r="D1721"/>
  <c r="D1723"/>
  <c r="D1725"/>
  <c r="D1727"/>
  <c r="D1729"/>
  <c r="D1731"/>
  <c r="D1733"/>
  <c r="D1735"/>
  <c r="D1737"/>
  <c r="D1739"/>
  <c r="D1741"/>
  <c r="D1743"/>
  <c r="D1745"/>
  <c r="D1747"/>
  <c r="D1749"/>
  <c r="D1751"/>
  <c r="D1753"/>
  <c r="D1755"/>
  <c r="D1757"/>
  <c r="D1759"/>
  <c r="D1761"/>
  <c r="D1763"/>
  <c r="D1765"/>
  <c r="D1767"/>
  <c r="D1769"/>
  <c r="D1771"/>
  <c r="D1773"/>
  <c r="D1775"/>
  <c r="D1777"/>
  <c r="D1779"/>
  <c r="D1781"/>
  <c r="D1783"/>
  <c r="D1785"/>
  <c r="D1787"/>
  <c r="D1789"/>
  <c r="D1791"/>
  <c r="D1793"/>
  <c r="D1795"/>
  <c r="D1797"/>
  <c r="D1799"/>
  <c r="D1801"/>
  <c r="D1803"/>
  <c r="D1805"/>
  <c r="D1807"/>
  <c r="D1809"/>
  <c r="D1811"/>
  <c r="D1813"/>
  <c r="D1815"/>
  <c r="D1817"/>
  <c r="D1819"/>
  <c r="D1821"/>
  <c r="D1823"/>
  <c r="D1825"/>
  <c r="D1827"/>
  <c r="D1829"/>
  <c r="D1831"/>
  <c r="D1833"/>
  <c r="D1835"/>
  <c r="D1837"/>
  <c r="D1839"/>
  <c r="D1841"/>
  <c r="D1843"/>
  <c r="D1845"/>
  <c r="D1847"/>
  <c r="D1849"/>
  <c r="D1851"/>
  <c r="D1853"/>
  <c r="D1855"/>
  <c r="D1857"/>
  <c r="D1859"/>
  <c r="D1861"/>
  <c r="D1863"/>
  <c r="D1865"/>
  <c r="D1867"/>
  <c r="D1869"/>
  <c r="D1871"/>
  <c r="D1873"/>
  <c r="D1875"/>
  <c r="D1877"/>
  <c r="D1879"/>
  <c r="D1881"/>
  <c r="D1883"/>
  <c r="D1885"/>
  <c r="D1887"/>
  <c r="D1889"/>
  <c r="D1891"/>
  <c r="D1893"/>
  <c r="D1895"/>
  <c r="D1897"/>
  <c r="D1899"/>
  <c r="D1901"/>
  <c r="D1903"/>
  <c r="D1905"/>
  <c r="D1907"/>
  <c r="D1909"/>
  <c r="D1911"/>
  <c r="D1913"/>
  <c r="D1915"/>
  <c r="D1917"/>
  <c r="D1919"/>
  <c r="D1921"/>
  <c r="D1923"/>
  <c r="D1925"/>
  <c r="D1927"/>
  <c r="D1929"/>
  <c r="D1931"/>
  <c r="D1933"/>
  <c r="D1935"/>
  <c r="D1937"/>
  <c r="D1939"/>
  <c r="D1941"/>
  <c r="D1943"/>
  <c r="D1945"/>
  <c r="D1947"/>
  <c r="D1949"/>
  <c r="D1951"/>
  <c r="D1953"/>
  <c r="D1955"/>
  <c r="D1957"/>
  <c r="D1959"/>
  <c r="D1961"/>
  <c r="D1963"/>
  <c r="D1965"/>
  <c r="D1967"/>
  <c r="D1969"/>
  <c r="D1971"/>
  <c r="D1973"/>
  <c r="D1975"/>
  <c r="D1977"/>
  <c r="D1979"/>
  <c r="D1981"/>
  <c r="D1983"/>
  <c r="D1985"/>
  <c r="D1987"/>
  <c r="D1989"/>
  <c r="D1991"/>
  <c r="D1993"/>
  <c r="D1995"/>
  <c r="D1997"/>
  <c r="D1999"/>
  <c r="D2001"/>
  <c r="D2003"/>
  <c r="D2005"/>
  <c r="D2007"/>
  <c r="D2009"/>
  <c r="D2011"/>
  <c r="D2013"/>
  <c r="D2015"/>
  <c r="D2017"/>
  <c r="D2019"/>
  <c r="D2021"/>
  <c r="D2023"/>
  <c r="D2025"/>
  <c r="D2027"/>
  <c r="D2029"/>
  <c r="D2031"/>
  <c r="D2033"/>
  <c r="D2035"/>
  <c r="D2037"/>
  <c r="D2039"/>
  <c r="D2041"/>
  <c r="D2043"/>
  <c r="D2045"/>
  <c r="D2047"/>
  <c r="D2049"/>
  <c r="D2051"/>
  <c r="D2053"/>
  <c r="D2055"/>
  <c r="D2057"/>
  <c r="D2059"/>
  <c r="D2061"/>
  <c r="D2063"/>
  <c r="D2065"/>
  <c r="D2067"/>
  <c r="D2069"/>
  <c r="D2071"/>
  <c r="D2073"/>
  <c r="D2075"/>
  <c r="D2077"/>
  <c r="D2079"/>
  <c r="D2081"/>
  <c r="D2083"/>
  <c r="D2085"/>
  <c r="D2087"/>
  <c r="D2089"/>
  <c r="D2091"/>
  <c r="D2093"/>
  <c r="D2095"/>
  <c r="D2097"/>
  <c r="D2099"/>
  <c r="D2101"/>
  <c r="D2103"/>
  <c r="D2105"/>
  <c r="D2107"/>
  <c r="D2109"/>
  <c r="D2111"/>
  <c r="D2113"/>
  <c r="D2115"/>
  <c r="D2117"/>
  <c r="D2119"/>
  <c r="D2121"/>
  <c r="D2123"/>
  <c r="D2125"/>
  <c r="D2127"/>
  <c r="D2129"/>
  <c r="D2131"/>
  <c r="D2133"/>
  <c r="D2135"/>
  <c r="D2137"/>
  <c r="D2139"/>
  <c r="D2141"/>
  <c r="D2143"/>
  <c r="D2145"/>
  <c r="D2147"/>
  <c r="D2149"/>
  <c r="D2151"/>
  <c r="D2153"/>
  <c r="D2155"/>
  <c r="D2157"/>
  <c r="D2159"/>
  <c r="D2161"/>
  <c r="D2163"/>
  <c r="D1421"/>
  <c r="D1422"/>
  <c r="D1424"/>
  <c r="D1426"/>
  <c r="D1428"/>
  <c r="D1430"/>
  <c r="D1432"/>
  <c r="D1434"/>
  <c r="D1436"/>
  <c r="D1438"/>
  <c r="D1440"/>
  <c r="D1442"/>
  <c r="D1444"/>
  <c r="D1446"/>
  <c r="D1448"/>
  <c r="D1450"/>
  <c r="D1452"/>
  <c r="D1454"/>
  <c r="D1456"/>
  <c r="D1458"/>
  <c r="D1460"/>
  <c r="D1462"/>
  <c r="D1464"/>
  <c r="D1466"/>
  <c r="W17"/>
  <c r="D1418"/>
  <c r="D1416"/>
  <c r="D1414"/>
  <c r="D1412"/>
  <c r="D1410"/>
  <c r="D1408"/>
  <c r="D1406"/>
  <c r="D1404"/>
  <c r="D1402"/>
  <c r="D1400"/>
  <c r="D1398"/>
  <c r="D1396"/>
  <c r="D1394"/>
  <c r="D1392"/>
  <c r="D1390"/>
  <c r="D1388"/>
  <c r="D1386"/>
  <c r="D1384"/>
  <c r="D1382"/>
  <c r="D1380"/>
  <c r="D1378"/>
  <c r="D1376"/>
  <c r="D1374"/>
  <c r="D1372"/>
  <c r="D1370"/>
  <c r="D1368"/>
  <c r="D1366"/>
  <c r="D1364"/>
  <c r="D1362"/>
  <c r="D1360"/>
  <c r="D1358"/>
  <c r="D1356"/>
  <c r="D1352"/>
  <c r="D1348"/>
  <c r="D1344"/>
  <c r="D1340"/>
  <c r="D1336"/>
  <c r="D1332"/>
  <c r="D1328"/>
  <c r="D1324"/>
  <c r="D1320"/>
  <c r="D1316"/>
  <c r="D1312"/>
  <c r="D1308"/>
  <c r="D1304"/>
  <c r="D1300"/>
  <c r="D1296"/>
  <c r="D1292"/>
  <c r="D1288"/>
  <c r="D1284"/>
  <c r="D1280"/>
  <c r="D1276"/>
  <c r="D1272"/>
  <c r="D1268"/>
  <c r="D1264"/>
  <c r="D1260"/>
  <c r="D1256"/>
  <c r="D1252"/>
  <c r="D1248"/>
  <c r="D1244"/>
  <c r="D1240"/>
  <c r="D1236"/>
  <c r="D1232"/>
  <c r="D1228"/>
  <c r="D1224"/>
  <c r="D1220"/>
  <c r="D1216"/>
  <c r="D1212"/>
  <c r="D1208"/>
  <c r="D1204"/>
  <c r="D1200"/>
  <c r="D1196"/>
  <c r="D1192"/>
  <c r="D1188"/>
  <c r="D1184"/>
  <c r="D1180"/>
  <c r="D1176"/>
  <c r="D1172"/>
  <c r="D1168"/>
  <c r="D1164"/>
  <c r="D1160"/>
  <c r="D1156"/>
  <c r="D1152"/>
  <c r="D1148"/>
  <c r="D1144"/>
  <c r="D1140"/>
  <c r="D1136"/>
  <c r="D1132"/>
  <c r="D1128"/>
  <c r="D1124"/>
  <c r="D1120"/>
  <c r="D1116"/>
  <c r="D1112"/>
  <c r="D1108"/>
  <c r="D1104"/>
  <c r="D1100"/>
  <c r="D1096"/>
  <c r="D1092"/>
  <c r="D1088"/>
  <c r="D1084"/>
  <c r="D1080"/>
  <c r="D1076"/>
  <c r="D1072"/>
  <c r="D1068"/>
  <c r="D1064"/>
  <c r="D1060"/>
  <c r="D1056"/>
  <c r="D1052"/>
  <c r="D1048"/>
  <c r="D1044"/>
  <c r="D1040"/>
  <c r="D1036"/>
  <c r="D1032"/>
  <c r="D1028"/>
  <c r="D1024"/>
  <c r="D1020"/>
  <c r="D1016"/>
  <c r="D1012"/>
  <c r="D1008"/>
  <c r="D1004"/>
  <c r="D1000"/>
  <c r="D996"/>
  <c r="D992"/>
  <c r="D988"/>
  <c r="D984"/>
  <c r="D980"/>
  <c r="D976"/>
  <c r="D972"/>
  <c r="D968"/>
  <c r="D964"/>
  <c r="D960"/>
  <c r="D956"/>
  <c r="D952"/>
  <c r="D948"/>
  <c r="D944"/>
  <c r="D940"/>
  <c r="D936"/>
  <c r="D932"/>
  <c r="D928"/>
  <c r="D924"/>
  <c r="D920"/>
  <c r="D916"/>
  <c r="D912"/>
  <c r="D908"/>
  <c r="D904"/>
  <c r="D900"/>
  <c r="D896"/>
  <c r="D892"/>
  <c r="D888"/>
  <c r="D884"/>
  <c r="D880"/>
  <c r="D876"/>
  <c r="D872"/>
  <c r="D868"/>
  <c r="D864"/>
  <c r="D860"/>
  <c r="D856"/>
  <c r="D852"/>
  <c r="D848"/>
  <c r="D844"/>
  <c r="D840"/>
  <c r="D836"/>
  <c r="D832"/>
  <c r="D828"/>
  <c r="D824"/>
  <c r="D820"/>
  <c r="D816"/>
  <c r="D812"/>
  <c r="D808"/>
  <c r="D804"/>
  <c r="D800"/>
  <c r="D796"/>
  <c r="D792"/>
  <c r="D788"/>
  <c r="D784"/>
  <c r="D780"/>
  <c r="D776"/>
  <c r="D772"/>
  <c r="D768"/>
  <c r="D764"/>
  <c r="D760"/>
  <c r="D756"/>
  <c r="D752"/>
  <c r="D1420"/>
  <c r="D2162"/>
  <c r="D2158"/>
  <c r="D2154"/>
  <c r="D2150"/>
  <c r="D2146"/>
  <c r="D2142"/>
  <c r="D2138"/>
  <c r="D2134"/>
  <c r="D2130"/>
  <c r="D2126"/>
  <c r="D2122"/>
  <c r="D2118"/>
  <c r="D2114"/>
  <c r="D2110"/>
  <c r="D2106"/>
  <c r="D2102"/>
  <c r="D2098"/>
  <c r="D2094"/>
  <c r="D2090"/>
  <c r="D2086"/>
  <c r="D2082"/>
  <c r="D2078"/>
  <c r="D2074"/>
  <c r="D2070"/>
  <c r="D2066"/>
  <c r="D2062"/>
  <c r="D2058"/>
  <c r="D2054"/>
  <c r="D2050"/>
  <c r="D2046"/>
  <c r="D2042"/>
  <c r="D2038"/>
  <c r="D2034"/>
  <c r="D2030"/>
  <c r="D2026"/>
  <c r="D2022"/>
  <c r="D2018"/>
  <c r="D2014"/>
  <c r="D2010"/>
  <c r="D2006"/>
  <c r="D2002"/>
  <c r="D1998"/>
  <c r="D1994"/>
  <c r="D1990"/>
  <c r="D1986"/>
  <c r="D1982"/>
  <c r="D1978"/>
  <c r="D1974"/>
  <c r="D1970"/>
  <c r="D1966"/>
  <c r="D1962"/>
  <c r="D1958"/>
  <c r="D1954"/>
  <c r="D1950"/>
  <c r="D1946"/>
  <c r="D1942"/>
  <c r="D1938"/>
  <c r="D1934"/>
  <c r="D1930"/>
  <c r="D1926"/>
  <c r="D1922"/>
  <c r="D1918"/>
  <c r="D1914"/>
  <c r="D1910"/>
  <c r="D1906"/>
  <c r="D1902"/>
  <c r="D1898"/>
  <c r="D1894"/>
  <c r="D1890"/>
  <c r="D1886"/>
  <c r="D1882"/>
  <c r="D1878"/>
  <c r="D1874"/>
  <c r="D1870"/>
  <c r="D1866"/>
  <c r="D1862"/>
  <c r="D1858"/>
  <c r="D1854"/>
  <c r="D1850"/>
  <c r="D1846"/>
  <c r="D1842"/>
  <c r="D1838"/>
  <c r="D1834"/>
  <c r="D1830"/>
  <c r="D1826"/>
  <c r="D1822"/>
  <c r="D1818"/>
  <c r="D1814"/>
  <c r="D1810"/>
  <c r="D1806"/>
  <c r="D1802"/>
  <c r="D1798"/>
  <c r="D1794"/>
  <c r="D1790"/>
  <c r="D1786"/>
  <c r="D1782"/>
  <c r="D1778"/>
  <c r="D1774"/>
  <c r="D1770"/>
  <c r="D1766"/>
  <c r="D1762"/>
  <c r="D1758"/>
  <c r="D1754"/>
  <c r="D1750"/>
  <c r="D1746"/>
  <c r="D1742"/>
  <c r="D1738"/>
  <c r="D1734"/>
  <c r="D1730"/>
  <c r="D1726"/>
  <c r="D1722"/>
  <c r="D1718"/>
  <c r="D1714"/>
  <c r="D1710"/>
  <c r="D1706"/>
  <c r="D1702"/>
  <c r="D1698"/>
  <c r="D1694"/>
  <c r="D1690"/>
  <c r="D1686"/>
  <c r="D1682"/>
  <c r="D1678"/>
  <c r="D1674"/>
  <c r="D1670"/>
  <c r="D1666"/>
  <c r="D1662"/>
  <c r="D1658"/>
  <c r="D1654"/>
  <c r="D1650"/>
  <c r="D1646"/>
  <c r="D1642"/>
  <c r="D1638"/>
  <c r="D1634"/>
  <c r="D1630"/>
  <c r="D1626"/>
  <c r="D1622"/>
  <c r="D1618"/>
  <c r="D1614"/>
  <c r="D1610"/>
  <c r="D1606"/>
  <c r="D1602"/>
  <c r="D1598"/>
  <c r="D1594"/>
  <c r="D1590"/>
  <c r="D1586"/>
  <c r="D1582"/>
  <c r="D1578"/>
  <c r="D1574"/>
  <c r="D1570"/>
  <c r="D1566"/>
  <c r="D1562"/>
  <c r="D1558"/>
  <c r="D1554"/>
  <c r="D1550"/>
  <c r="D1546"/>
  <c r="D1542"/>
  <c r="D1538"/>
  <c r="D1534"/>
  <c r="D1530"/>
  <c r="D1526"/>
  <c r="D1522"/>
  <c r="D1518"/>
  <c r="D1514"/>
  <c r="D1510"/>
  <c r="D1506"/>
  <c r="D1502"/>
  <c r="D1498"/>
  <c r="D1494"/>
  <c r="D1490"/>
  <c r="D1486"/>
  <c r="D1482"/>
  <c r="D1478"/>
  <c r="D1474"/>
  <c r="D1470"/>
  <c r="E5149"/>
  <c r="E5147"/>
  <c r="E5145"/>
  <c r="E5143"/>
  <c r="E5141"/>
  <c r="E5139"/>
  <c r="E5137"/>
  <c r="E5135"/>
  <c r="E5133"/>
  <c r="E5131"/>
  <c r="E5129"/>
  <c r="E5127"/>
  <c r="E5125"/>
  <c r="E5123"/>
  <c r="E5121"/>
  <c r="E5119"/>
  <c r="E5117"/>
  <c r="E5115"/>
  <c r="E5113"/>
  <c r="E5111"/>
  <c r="E5109"/>
  <c r="E5107"/>
  <c r="E5105"/>
  <c r="E5103"/>
  <c r="E5101"/>
  <c r="E5099"/>
  <c r="E5097"/>
  <c r="E5095"/>
  <c r="E6814"/>
  <c r="E6816"/>
  <c r="E6818"/>
  <c r="E6820"/>
  <c r="E6822"/>
  <c r="E6824"/>
  <c r="E6826"/>
  <c r="E6828"/>
  <c r="E6830"/>
  <c r="E6832"/>
  <c r="E6834"/>
  <c r="E6836"/>
  <c r="E6838"/>
  <c r="E6840"/>
  <c r="E6842"/>
  <c r="E6844"/>
  <c r="E6846"/>
  <c r="E6848"/>
  <c r="E6850"/>
  <c r="E6852"/>
  <c r="E6854"/>
  <c r="E6856"/>
  <c r="E6858"/>
  <c r="E6860"/>
  <c r="E6862"/>
  <c r="E6864"/>
  <c r="E6866"/>
  <c r="E6868"/>
  <c r="E6870"/>
  <c r="E6872"/>
  <c r="E6874"/>
  <c r="E6877"/>
  <c r="E6881"/>
  <c r="E6885"/>
  <c r="E6889"/>
  <c r="E6893"/>
  <c r="E6897"/>
  <c r="E6901"/>
  <c r="E6905"/>
  <c r="E6909"/>
  <c r="E6913"/>
  <c r="E6917"/>
  <c r="E6921"/>
  <c r="E6925"/>
  <c r="E6929"/>
  <c r="E6933"/>
  <c r="E6937"/>
  <c r="E6941"/>
  <c r="E6945"/>
  <c r="E6949"/>
  <c r="E6953"/>
  <c r="E6957"/>
  <c r="E6961"/>
  <c r="E6965"/>
  <c r="E6969"/>
  <c r="E6973"/>
  <c r="E6977"/>
  <c r="E6981"/>
  <c r="E6985"/>
  <c r="E6989"/>
  <c r="E6993"/>
  <c r="E6997"/>
  <c r="E7001"/>
  <c r="E7005"/>
  <c r="E7009"/>
  <c r="E7013"/>
  <c r="E7017"/>
  <c r="E7021"/>
  <c r="E7025"/>
  <c r="E7029"/>
  <c r="E7033"/>
  <c r="E7037"/>
  <c r="E7041"/>
  <c r="E7045"/>
  <c r="E7049"/>
  <c r="E7053"/>
  <c r="E7057"/>
  <c r="E7061"/>
  <c r="E7065"/>
  <c r="E7069"/>
  <c r="E7073"/>
  <c r="E7077"/>
  <c r="E7081"/>
  <c r="E7085"/>
  <c r="E7089"/>
  <c r="E7093"/>
  <c r="E7097"/>
  <c r="E7101"/>
  <c r="E7105"/>
  <c r="E7109"/>
  <c r="E7113"/>
  <c r="E7117"/>
  <c r="E7121"/>
  <c r="E7125"/>
  <c r="E7129"/>
  <c r="E7133"/>
  <c r="E7137"/>
  <c r="E7141"/>
  <c r="E7145"/>
  <c r="E7149"/>
  <c r="E7153"/>
  <c r="E7157"/>
  <c r="E7161"/>
  <c r="E7165"/>
  <c r="E7169"/>
  <c r="E7173"/>
  <c r="E7177"/>
  <c r="E7181"/>
  <c r="E7185"/>
  <c r="E7189"/>
  <c r="E7193"/>
  <c r="E7197"/>
  <c r="E7201"/>
  <c r="E7205"/>
  <c r="E7209"/>
  <c r="E7213"/>
  <c r="E7218"/>
  <c r="E7226"/>
  <c r="E7234"/>
  <c r="E7242"/>
  <c r="E7250"/>
  <c r="E7258"/>
  <c r="E7266"/>
  <c r="E7274"/>
  <c r="E7282"/>
  <c r="E7290"/>
  <c r="E7298"/>
  <c r="E6809"/>
  <c r="E6801"/>
  <c r="E6793"/>
  <c r="E6785"/>
  <c r="E6777"/>
  <c r="E6769"/>
  <c r="E6761"/>
  <c r="E6753"/>
  <c r="E6745"/>
  <c r="E6737"/>
  <c r="E6729"/>
  <c r="E6721"/>
  <c r="E6713"/>
  <c r="E6705"/>
  <c r="E6697"/>
  <c r="E6689"/>
  <c r="E6681"/>
  <c r="E6673"/>
  <c r="E6665"/>
  <c r="E6657"/>
  <c r="E6649"/>
  <c r="E6641"/>
  <c r="E6633"/>
  <c r="E6625"/>
  <c r="E6617"/>
  <c r="E6609"/>
  <c r="E6601"/>
  <c r="E6593"/>
  <c r="E6585"/>
  <c r="E6577"/>
  <c r="E6569"/>
  <c r="E6558"/>
  <c r="E6559"/>
  <c r="E6563"/>
  <c r="E6567"/>
  <c r="E6571"/>
  <c r="E6575"/>
  <c r="E6579"/>
  <c r="E6583"/>
  <c r="E6587"/>
  <c r="E6591"/>
  <c r="E6595"/>
  <c r="E6599"/>
  <c r="E6603"/>
  <c r="E6607"/>
  <c r="E6611"/>
  <c r="E6615"/>
  <c r="E6619"/>
  <c r="E6623"/>
  <c r="E6627"/>
  <c r="E6631"/>
  <c r="E6635"/>
  <c r="E6639"/>
  <c r="E6643"/>
  <c r="E6647"/>
  <c r="E6651"/>
  <c r="E6655"/>
  <c r="E6659"/>
  <c r="E6663"/>
  <c r="E6667"/>
  <c r="E6671"/>
  <c r="E6675"/>
  <c r="E6679"/>
  <c r="E6683"/>
  <c r="E6687"/>
  <c r="E6691"/>
  <c r="E6695"/>
  <c r="E6699"/>
  <c r="E6703"/>
  <c r="E6707"/>
  <c r="E6711"/>
  <c r="E6715"/>
  <c r="E6719"/>
  <c r="E6723"/>
  <c r="E6727"/>
  <c r="E6731"/>
  <c r="E6735"/>
  <c r="E6739"/>
  <c r="E6743"/>
  <c r="E6747"/>
  <c r="E6751"/>
  <c r="E6755"/>
  <c r="E6759"/>
  <c r="E6763"/>
  <c r="E6767"/>
  <c r="E6771"/>
  <c r="E6775"/>
  <c r="E6779"/>
  <c r="E6783"/>
  <c r="E6787"/>
  <c r="E6791"/>
  <c r="E6795"/>
  <c r="E6799"/>
  <c r="E6803"/>
  <c r="E6807"/>
  <c r="E6811"/>
  <c r="E7300"/>
  <c r="E7296"/>
  <c r="E7292"/>
  <c r="E7288"/>
  <c r="E7284"/>
  <c r="E7280"/>
  <c r="E7276"/>
  <c r="E7272"/>
  <c r="E7268"/>
  <c r="E7264"/>
  <c r="E7260"/>
  <c r="E7256"/>
  <c r="E7252"/>
  <c r="E7248"/>
  <c r="E7244"/>
  <c r="E7240"/>
  <c r="E7236"/>
  <c r="E7232"/>
  <c r="E7228"/>
  <c r="E7224"/>
  <c r="E7220"/>
  <c r="E7216"/>
  <c r="E7214"/>
  <c r="E7212"/>
  <c r="E7210"/>
  <c r="E7208"/>
  <c r="E7206"/>
  <c r="E7204"/>
  <c r="E7202"/>
  <c r="E7200"/>
  <c r="E7198"/>
  <c r="E7196"/>
  <c r="E7194"/>
  <c r="E7192"/>
  <c r="E7190"/>
  <c r="E7188"/>
  <c r="E7186"/>
  <c r="E7184"/>
  <c r="E7182"/>
  <c r="E7180"/>
  <c r="E7178"/>
  <c r="E7176"/>
  <c r="E7174"/>
  <c r="E7172"/>
  <c r="E7170"/>
  <c r="E7168"/>
  <c r="E7166"/>
  <c r="E7164"/>
  <c r="E7162"/>
  <c r="E7160"/>
  <c r="E7158"/>
  <c r="E7156"/>
  <c r="E7154"/>
  <c r="E7152"/>
  <c r="E7150"/>
  <c r="E7148"/>
  <c r="E7146"/>
  <c r="E7144"/>
  <c r="E7142"/>
  <c r="E7140"/>
  <c r="E7138"/>
  <c r="E7136"/>
  <c r="E7134"/>
  <c r="E7132"/>
  <c r="E7130"/>
  <c r="E7128"/>
  <c r="E7126"/>
  <c r="E7124"/>
  <c r="E7122"/>
  <c r="E7120"/>
  <c r="E7118"/>
  <c r="E7116"/>
  <c r="E7114"/>
  <c r="E7112"/>
  <c r="E7110"/>
  <c r="E7108"/>
  <c r="E7106"/>
  <c r="E7104"/>
  <c r="E7102"/>
  <c r="E7100"/>
  <c r="E7098"/>
  <c r="E7096"/>
  <c r="E7094"/>
  <c r="E7092"/>
  <c r="E7090"/>
  <c r="E7088"/>
  <c r="E7086"/>
  <c r="E7084"/>
  <c r="E7082"/>
  <c r="E7080"/>
  <c r="E7078"/>
  <c r="E7076"/>
  <c r="E7074"/>
  <c r="E7072"/>
  <c r="E7070"/>
  <c r="E7068"/>
  <c r="E7066"/>
  <c r="E7064"/>
  <c r="E7062"/>
  <c r="E7060"/>
  <c r="E7058"/>
  <c r="E7056"/>
  <c r="E7054"/>
  <c r="E7052"/>
  <c r="E7050"/>
  <c r="E7048"/>
  <c r="E7046"/>
  <c r="E7044"/>
  <c r="E7042"/>
  <c r="E7040"/>
  <c r="E7038"/>
  <c r="E7036"/>
  <c r="E7034"/>
  <c r="E7032"/>
  <c r="E7030"/>
  <c r="E7028"/>
  <c r="E7026"/>
  <c r="E7024"/>
  <c r="E7022"/>
  <c r="E7020"/>
  <c r="E7018"/>
  <c r="E7016"/>
  <c r="E7014"/>
  <c r="E7012"/>
  <c r="E7010"/>
  <c r="E7008"/>
  <c r="E7006"/>
  <c r="E7004"/>
  <c r="E7002"/>
  <c r="E7000"/>
  <c r="E6998"/>
  <c r="E6996"/>
  <c r="E6994"/>
  <c r="E6992"/>
  <c r="E6990"/>
  <c r="E6988"/>
  <c r="E6986"/>
  <c r="E6984"/>
  <c r="E6982"/>
  <c r="E6980"/>
  <c r="E6978"/>
  <c r="E6976"/>
  <c r="E6974"/>
  <c r="E6972"/>
  <c r="E6970"/>
  <c r="E6968"/>
  <c r="E6966"/>
  <c r="E6964"/>
  <c r="E6962"/>
  <c r="E6960"/>
  <c r="E6958"/>
  <c r="E6956"/>
  <c r="E6954"/>
  <c r="E6952"/>
  <c r="E6950"/>
  <c r="E6948"/>
  <c r="E6946"/>
  <c r="E6944"/>
  <c r="E6942"/>
  <c r="E6940"/>
  <c r="E6938"/>
  <c r="E6936"/>
  <c r="E6934"/>
  <c r="E6932"/>
  <c r="E6930"/>
  <c r="E6928"/>
  <c r="E6926"/>
  <c r="E6924"/>
  <c r="E6922"/>
  <c r="E6920"/>
  <c r="E6918"/>
  <c r="E6916"/>
  <c r="E6914"/>
  <c r="E6912"/>
  <c r="E6910"/>
  <c r="E6908"/>
  <c r="E6906"/>
  <c r="E6904"/>
  <c r="E6902"/>
  <c r="E6900"/>
  <c r="E6898"/>
  <c r="E6896"/>
  <c r="E6894"/>
  <c r="E6892"/>
  <c r="E6890"/>
  <c r="E6888"/>
  <c r="E6886"/>
  <c r="E6884"/>
  <c r="E6882"/>
  <c r="E6880"/>
  <c r="E6878"/>
  <c r="E6876"/>
  <c r="Q5"/>
  <c r="S5" s="1"/>
  <c r="F5" i="11"/>
  <c r="B24"/>
  <c r="B18"/>
  <c r="D20"/>
  <c r="D28"/>
  <c r="D24"/>
  <c r="D27"/>
  <c r="D25"/>
  <c r="D23"/>
  <c r="D21"/>
  <c r="D19"/>
  <c r="K112" i="39"/>
  <c r="L112" s="1"/>
  <c r="CW12" i="9"/>
  <c r="L26" i="12"/>
  <c r="H11"/>
  <c r="J20" i="46" s="1"/>
  <c r="G4" i="12"/>
  <c r="I22"/>
  <c r="H7"/>
  <c r="F20" i="14" s="1"/>
  <c r="E36" i="25"/>
  <c r="H9" i="12"/>
  <c r="D20" i="14"/>
  <c r="E20"/>
  <c r="G20"/>
  <c r="G8" i="12"/>
  <c r="I50" i="36"/>
  <c r="J50" s="1"/>
  <c r="CT13" i="9"/>
  <c r="L18" i="6"/>
  <c r="CT32" i="9"/>
  <c r="CW14"/>
  <c r="CT49"/>
  <c r="I48" i="36"/>
  <c r="J48" s="1"/>
  <c r="H20" i="14"/>
  <c r="I29" i="12"/>
  <c r="L20"/>
  <c r="I21"/>
  <c r="I20"/>
  <c r="O20"/>
  <c r="O21"/>
  <c r="M21"/>
  <c r="K21"/>
  <c r="L29"/>
  <c r="L27"/>
  <c r="I51" i="36"/>
  <c r="J51" s="1"/>
  <c r="H10" i="12"/>
  <c r="I20" i="46" s="1"/>
  <c r="CT16" i="9"/>
  <c r="CT30"/>
  <c r="M22" i="12"/>
  <c r="K22"/>
  <c r="K29"/>
  <c r="L24"/>
  <c r="L23"/>
  <c r="J23"/>
  <c r="L122" i="40"/>
  <c r="M90"/>
  <c r="N90" s="1"/>
  <c r="M82"/>
  <c r="N82" s="1"/>
  <c r="G9" i="12"/>
  <c r="C11"/>
  <c r="G11" s="1"/>
  <c r="K82" i="39"/>
  <c r="L82" s="1"/>
  <c r="D161"/>
  <c r="Q8" i="44"/>
  <c r="S8" s="1"/>
  <c r="Q129" i="14"/>
  <c r="J11" i="10"/>
  <c r="H25" i="12" s="1"/>
  <c r="O46" i="14"/>
  <c r="N46"/>
  <c r="C24" i="10"/>
  <c r="E25" i="14"/>
  <c r="E31" s="1"/>
  <c r="C23" i="10"/>
  <c r="H90" i="14"/>
  <c r="G46"/>
  <c r="G187" s="1"/>
  <c r="F74"/>
  <c r="F78" s="1"/>
  <c r="H23" i="10"/>
  <c r="G23"/>
  <c r="E58" i="14"/>
  <c r="E63" s="1"/>
  <c r="E68" s="1"/>
  <c r="E35"/>
  <c r="G26" i="10"/>
  <c r="G25"/>
  <c r="L22" i="12"/>
  <c r="I23"/>
  <c r="M23"/>
  <c r="O23"/>
  <c r="I24"/>
  <c r="M24"/>
  <c r="O24"/>
  <c r="J8" i="10"/>
  <c r="H22" i="12" s="1"/>
  <c r="J9" i="10"/>
  <c r="J10"/>
  <c r="H24" i="12" s="1"/>
  <c r="C31" i="10"/>
  <c r="I30"/>
  <c r="M25" i="12"/>
  <c r="H26" i="10"/>
  <c r="E7217" i="44"/>
  <c r="E7219"/>
  <c r="E7221"/>
  <c r="E7223"/>
  <c r="E7225"/>
  <c r="E7227"/>
  <c r="E7229"/>
  <c r="E7231"/>
  <c r="E7233"/>
  <c r="E7235"/>
  <c r="E7237"/>
  <c r="E7239"/>
  <c r="E7241"/>
  <c r="E7243"/>
  <c r="E7245"/>
  <c r="E7247"/>
  <c r="E7249"/>
  <c r="E7251"/>
  <c r="E7253"/>
  <c r="E7255"/>
  <c r="E7257"/>
  <c r="E7259"/>
  <c r="E7261"/>
  <c r="E7263"/>
  <c r="E7265"/>
  <c r="E7267"/>
  <c r="E7269"/>
  <c r="E7271"/>
  <c r="E7273"/>
  <c r="E7275"/>
  <c r="E7277"/>
  <c r="E7279"/>
  <c r="E7281"/>
  <c r="E7283"/>
  <c r="E7285"/>
  <c r="E7287"/>
  <c r="E7289"/>
  <c r="E7291"/>
  <c r="E7293"/>
  <c r="E7295"/>
  <c r="E7297"/>
  <c r="E7299"/>
  <c r="E6557"/>
  <c r="E6812"/>
  <c r="E6810"/>
  <c r="E6808"/>
  <c r="E6806"/>
  <c r="E6804"/>
  <c r="E6802"/>
  <c r="E6800"/>
  <c r="E6798"/>
  <c r="E6796"/>
  <c r="E6794"/>
  <c r="E6792"/>
  <c r="E6790"/>
  <c r="E6788"/>
  <c r="E6786"/>
  <c r="E6784"/>
  <c r="E6782"/>
  <c r="E6780"/>
  <c r="E6778"/>
  <c r="E6776"/>
  <c r="E6774"/>
  <c r="E6772"/>
  <c r="E6770"/>
  <c r="E6768"/>
  <c r="E6766"/>
  <c r="E6764"/>
  <c r="E6762"/>
  <c r="E6760"/>
  <c r="E6758"/>
  <c r="E6756"/>
  <c r="E6754"/>
  <c r="E6752"/>
  <c r="E6750"/>
  <c r="E6748"/>
  <c r="E6746"/>
  <c r="E6744"/>
  <c r="E6742"/>
  <c r="E6740"/>
  <c r="E6738"/>
  <c r="E6736"/>
  <c r="E6734"/>
  <c r="E6732"/>
  <c r="E6730"/>
  <c r="E6728"/>
  <c r="E6726"/>
  <c r="E6724"/>
  <c r="E6722"/>
  <c r="E6720"/>
  <c r="E6718"/>
  <c r="E6716"/>
  <c r="E6714"/>
  <c r="E6712"/>
  <c r="E6710"/>
  <c r="E6708"/>
  <c r="E6706"/>
  <c r="E6704"/>
  <c r="E6702"/>
  <c r="E6700"/>
  <c r="E6698"/>
  <c r="E6696"/>
  <c r="E6694"/>
  <c r="E6692"/>
  <c r="E6690"/>
  <c r="E6688"/>
  <c r="E6686"/>
  <c r="E6684"/>
  <c r="E6682"/>
  <c r="E6680"/>
  <c r="E6678"/>
  <c r="E6676"/>
  <c r="E6674"/>
  <c r="E6672"/>
  <c r="E6670"/>
  <c r="E6668"/>
  <c r="E6666"/>
  <c r="E6664"/>
  <c r="E6662"/>
  <c r="E6660"/>
  <c r="E6658"/>
  <c r="E6656"/>
  <c r="E6654"/>
  <c r="E6652"/>
  <c r="E6650"/>
  <c r="E6648"/>
  <c r="E6646"/>
  <c r="E6644"/>
  <c r="E6642"/>
  <c r="E6640"/>
  <c r="E6638"/>
  <c r="E6636"/>
  <c r="E6634"/>
  <c r="E6632"/>
  <c r="E6630"/>
  <c r="E6628"/>
  <c r="E6626"/>
  <c r="E6624"/>
  <c r="E6622"/>
  <c r="E6620"/>
  <c r="E6618"/>
  <c r="E6616"/>
  <c r="E6614"/>
  <c r="E6612"/>
  <c r="E6610"/>
  <c r="E6608"/>
  <c r="E6606"/>
  <c r="E6604"/>
  <c r="E6602"/>
  <c r="E6600"/>
  <c r="E6598"/>
  <c r="E6596"/>
  <c r="E6594"/>
  <c r="E6592"/>
  <c r="E6590"/>
  <c r="E6588"/>
  <c r="E6586"/>
  <c r="E6584"/>
  <c r="E6582"/>
  <c r="E6580"/>
  <c r="E6578"/>
  <c r="E6576"/>
  <c r="E6574"/>
  <c r="E6572"/>
  <c r="E6570"/>
  <c r="E6568"/>
  <c r="E6566"/>
  <c r="E6564"/>
  <c r="E6562"/>
  <c r="E6560"/>
  <c r="K37" i="12"/>
  <c r="J118" i="40"/>
  <c r="L118" s="1"/>
  <c r="M118" s="1"/>
  <c r="N118" s="1"/>
  <c r="M130" i="27"/>
  <c r="M126"/>
  <c r="J114" i="40"/>
  <c r="L114" s="1"/>
  <c r="M114" s="1"/>
  <c r="N114" s="1"/>
  <c r="J109"/>
  <c r="L109" s="1"/>
  <c r="M121" i="27"/>
  <c r="J105" i="40"/>
  <c r="L105" s="1"/>
  <c r="M117" i="27"/>
  <c r="M114"/>
  <c r="J102" i="40"/>
  <c r="L102" s="1"/>
  <c r="M102" s="1"/>
  <c r="N102" s="1"/>
  <c r="J121"/>
  <c r="L121" s="1"/>
  <c r="M133" i="27"/>
  <c r="J119" i="40"/>
  <c r="L119" s="1"/>
  <c r="M131" i="27"/>
  <c r="J117" i="40"/>
  <c r="L117" s="1"/>
  <c r="M117" s="1"/>
  <c r="N117" s="1"/>
  <c r="M129" i="27"/>
  <c r="J115" i="40"/>
  <c r="L115" s="1"/>
  <c r="M115" s="1"/>
  <c r="N115" s="1"/>
  <c r="M127" i="27"/>
  <c r="J113" i="40"/>
  <c r="L113" s="1"/>
  <c r="M113" s="1"/>
  <c r="N113" s="1"/>
  <c r="M125" i="27"/>
  <c r="J111" i="40"/>
  <c r="L111" s="1"/>
  <c r="M123" i="27"/>
  <c r="M122"/>
  <c r="J110" i="40"/>
  <c r="L110" s="1"/>
  <c r="M110" s="1"/>
  <c r="N110" s="1"/>
  <c r="M118" i="27"/>
  <c r="J106" i="40"/>
  <c r="L106" s="1"/>
  <c r="M106" s="1"/>
  <c r="N106" s="1"/>
  <c r="M116" i="27"/>
  <c r="J104" i="40"/>
  <c r="L104" s="1"/>
  <c r="M104" s="1"/>
  <c r="N104" s="1"/>
  <c r="J103"/>
  <c r="L103" s="1"/>
  <c r="M115" i="27"/>
  <c r="J101" i="40"/>
  <c r="L101" s="1"/>
  <c r="M101" s="1"/>
  <c r="N101" s="1"/>
  <c r="M113" i="27"/>
  <c r="J99" i="40"/>
  <c r="L99" s="1"/>
  <c r="M111" i="27"/>
  <c r="E7304" i="44"/>
  <c r="E7306"/>
  <c r="E7314"/>
  <c r="E7322"/>
  <c r="E7330"/>
  <c r="E7338"/>
  <c r="E7346"/>
  <c r="E7354"/>
  <c r="E7362"/>
  <c r="E7370"/>
  <c r="E7378"/>
  <c r="E7386"/>
  <c r="E7394"/>
  <c r="E7402"/>
  <c r="E7410"/>
  <c r="E7418"/>
  <c r="E7426"/>
  <c r="E7434"/>
  <c r="E7442"/>
  <c r="E7450"/>
  <c r="E7458"/>
  <c r="E7466"/>
  <c r="E7474"/>
  <c r="E7482"/>
  <c r="E7490"/>
  <c r="E7498"/>
  <c r="E7506"/>
  <c r="E7514"/>
  <c r="E7522"/>
  <c r="E7530"/>
  <c r="E7538"/>
  <c r="E7542"/>
  <c r="E7546"/>
  <c r="E7550"/>
  <c r="E7554"/>
  <c r="E7301"/>
  <c r="E8017"/>
  <c r="E8013"/>
  <c r="E8009"/>
  <c r="E8005"/>
  <c r="E8001"/>
  <c r="E7997"/>
  <c r="E7993"/>
  <c r="E7989"/>
  <c r="E7985"/>
  <c r="E7981"/>
  <c r="E7977"/>
  <c r="E7973"/>
  <c r="E7969"/>
  <c r="E7965"/>
  <c r="E7961"/>
  <c r="E7957"/>
  <c r="E7953"/>
  <c r="E7949"/>
  <c r="E7945"/>
  <c r="E7941"/>
  <c r="E7937"/>
  <c r="E7933"/>
  <c r="E7929"/>
  <c r="E7925"/>
  <c r="E7921"/>
  <c r="E7917"/>
  <c r="E7913"/>
  <c r="E7909"/>
  <c r="E7907"/>
  <c r="E7905"/>
  <c r="E7903"/>
  <c r="E7901"/>
  <c r="E7899"/>
  <c r="E7897"/>
  <c r="E7895"/>
  <c r="E7893"/>
  <c r="E7891"/>
  <c r="E7889"/>
  <c r="E7887"/>
  <c r="E7885"/>
  <c r="E7883"/>
  <c r="E7881"/>
  <c r="E7879"/>
  <c r="E7877"/>
  <c r="E7875"/>
  <c r="E7873"/>
  <c r="E7871"/>
  <c r="E7869"/>
  <c r="E7867"/>
  <c r="E7865"/>
  <c r="E7863"/>
  <c r="E7861"/>
  <c r="E7859"/>
  <c r="E7857"/>
  <c r="E7855"/>
  <c r="E7853"/>
  <c r="E7851"/>
  <c r="E7849"/>
  <c r="E7847"/>
  <c r="E7845"/>
  <c r="E7843"/>
  <c r="E7841"/>
  <c r="E7839"/>
  <c r="E7837"/>
  <c r="E7835"/>
  <c r="E7833"/>
  <c r="E7831"/>
  <c r="E7829"/>
  <c r="E7827"/>
  <c r="E7825"/>
  <c r="E7823"/>
  <c r="E7821"/>
  <c r="E7819"/>
  <c r="E7817"/>
  <c r="E7815"/>
  <c r="E7813"/>
  <c r="E7811"/>
  <c r="E7809"/>
  <c r="E7807"/>
  <c r="E7805"/>
  <c r="E7803"/>
  <c r="E7801"/>
  <c r="E7799"/>
  <c r="E7797"/>
  <c r="E7795"/>
  <c r="E7793"/>
  <c r="E7791"/>
  <c r="E7789"/>
  <c r="E7787"/>
  <c r="E7785"/>
  <c r="E7783"/>
  <c r="E7781"/>
  <c r="E7779"/>
  <c r="E7777"/>
  <c r="E7775"/>
  <c r="E7773"/>
  <c r="E7771"/>
  <c r="E7769"/>
  <c r="E7767"/>
  <c r="E7765"/>
  <c r="E7763"/>
  <c r="E7761"/>
  <c r="E7759"/>
  <c r="E7757"/>
  <c r="E7755"/>
  <c r="E7753"/>
  <c r="E7751"/>
  <c r="E7749"/>
  <c r="E7747"/>
  <c r="E7745"/>
  <c r="E7743"/>
  <c r="E7741"/>
  <c r="E7739"/>
  <c r="E7737"/>
  <c r="E7735"/>
  <c r="E7733"/>
  <c r="E7731"/>
  <c r="E7729"/>
  <c r="E7727"/>
  <c r="E7725"/>
  <c r="E7723"/>
  <c r="E7721"/>
  <c r="E7719"/>
  <c r="E7717"/>
  <c r="E7715"/>
  <c r="E7713"/>
  <c r="E7711"/>
  <c r="E7709"/>
  <c r="E7707"/>
  <c r="E7705"/>
  <c r="E7703"/>
  <c r="E7701"/>
  <c r="E7699"/>
  <c r="E7697"/>
  <c r="E7695"/>
  <c r="E7693"/>
  <c r="E7691"/>
  <c r="E7689"/>
  <c r="E7687"/>
  <c r="E7685"/>
  <c r="E7683"/>
  <c r="E7681"/>
  <c r="E7679"/>
  <c r="E7677"/>
  <c r="E7675"/>
  <c r="E7673"/>
  <c r="E7671"/>
  <c r="E7669"/>
  <c r="E7667"/>
  <c r="E7665"/>
  <c r="E7663"/>
  <c r="E7661"/>
  <c r="E7659"/>
  <c r="E7657"/>
  <c r="E7655"/>
  <c r="E7653"/>
  <c r="E7651"/>
  <c r="E7649"/>
  <c r="E7647"/>
  <c r="E7645"/>
  <c r="E7643"/>
  <c r="E7641"/>
  <c r="E7639"/>
  <c r="E7637"/>
  <c r="E7635"/>
  <c r="E7633"/>
  <c r="E7631"/>
  <c r="E7629"/>
  <c r="E7627"/>
  <c r="E7625"/>
  <c r="E7623"/>
  <c r="E7621"/>
  <c r="E7619"/>
  <c r="E7617"/>
  <c r="E7615"/>
  <c r="E7613"/>
  <c r="E7611"/>
  <c r="E7609"/>
  <c r="E7607"/>
  <c r="E7605"/>
  <c r="E7603"/>
  <c r="E7601"/>
  <c r="E7599"/>
  <c r="E7597"/>
  <c r="E7595"/>
  <c r="E7593"/>
  <c r="E7591"/>
  <c r="E7589"/>
  <c r="O30" i="12"/>
  <c r="K26"/>
  <c r="F30" i="10"/>
  <c r="I24"/>
  <c r="H27"/>
  <c r="D28"/>
  <c r="F28"/>
  <c r="J27" i="12"/>
  <c r="O108" i="14"/>
  <c r="F24" i="10"/>
  <c r="N108" i="14"/>
  <c r="O29" i="12"/>
  <c r="K20"/>
  <c r="M20"/>
  <c r="O22"/>
  <c r="J24"/>
  <c r="J120" i="40"/>
  <c r="L120" s="1"/>
  <c r="M132" i="27"/>
  <c r="J116" i="40"/>
  <c r="L116" s="1"/>
  <c r="M116" s="1"/>
  <c r="N116" s="1"/>
  <c r="M128" i="27"/>
  <c r="M124"/>
  <c r="J112" i="40"/>
  <c r="L112" s="1"/>
  <c r="M112" s="1"/>
  <c r="N112" s="1"/>
  <c r="J107"/>
  <c r="L107" s="1"/>
  <c r="M119" i="27"/>
  <c r="M120"/>
  <c r="J108" i="40"/>
  <c r="L108" s="1"/>
  <c r="M108" s="1"/>
  <c r="N108" s="1"/>
  <c r="M112" i="27"/>
  <c r="J100" i="40"/>
  <c r="L100" s="1"/>
  <c r="E7788" i="44"/>
  <c r="E7792"/>
  <c r="E7796"/>
  <c r="E7800"/>
  <c r="E7804"/>
  <c r="E7808"/>
  <c r="E7812"/>
  <c r="E7816"/>
  <c r="E7820"/>
  <c r="E7824"/>
  <c r="E7828"/>
  <c r="E7832"/>
  <c r="E7836"/>
  <c r="E7840"/>
  <c r="E7844"/>
  <c r="E7848"/>
  <c r="E7852"/>
  <c r="E7856"/>
  <c r="E7860"/>
  <c r="E7864"/>
  <c r="E7868"/>
  <c r="E7872"/>
  <c r="E7876"/>
  <c r="E7880"/>
  <c r="E7884"/>
  <c r="E7888"/>
  <c r="E7892"/>
  <c r="E7896"/>
  <c r="E7900"/>
  <c r="E7904"/>
  <c r="E7908"/>
  <c r="E7915"/>
  <c r="E7923"/>
  <c r="E7931"/>
  <c r="E7939"/>
  <c r="E7947"/>
  <c r="E7955"/>
  <c r="E7963"/>
  <c r="E7971"/>
  <c r="E7979"/>
  <c r="E7987"/>
  <c r="E7995"/>
  <c r="E8003"/>
  <c r="E8011"/>
  <c r="E8019"/>
  <c r="E7552"/>
  <c r="E7544"/>
  <c r="E7534"/>
  <c r="E7518"/>
  <c r="E7502"/>
  <c r="E7486"/>
  <c r="E7470"/>
  <c r="E7454"/>
  <c r="E7438"/>
  <c r="E7422"/>
  <c r="E7406"/>
  <c r="E7390"/>
  <c r="E7374"/>
  <c r="E7358"/>
  <c r="E7342"/>
  <c r="E7326"/>
  <c r="E7310"/>
  <c r="M88" i="40"/>
  <c r="N88" s="1"/>
  <c r="M16"/>
  <c r="N16" s="1"/>
  <c r="M40"/>
  <c r="N40" s="1"/>
  <c r="J36" i="12"/>
  <c r="J37"/>
  <c r="J6" i="10"/>
  <c r="H20" i="12" s="1"/>
  <c r="C22" i="10"/>
  <c r="C108" i="14"/>
  <c r="D108"/>
  <c r="D74"/>
  <c r="D186" s="1"/>
  <c r="D46"/>
  <c r="E108"/>
  <c r="F115" s="1"/>
  <c r="F122" s="1"/>
  <c r="G24" i="10"/>
  <c r="E74" i="14"/>
  <c r="E23" i="10"/>
  <c r="H25" i="14"/>
  <c r="C26" i="10"/>
  <c r="I25" i="12"/>
  <c r="J13" i="10"/>
  <c r="J25" i="14"/>
  <c r="I27" i="12"/>
  <c r="O25"/>
  <c r="H108" i="14"/>
  <c r="F27" i="10"/>
  <c r="J25" i="12"/>
  <c r="D26" i="10"/>
  <c r="H35" i="14"/>
  <c r="H25" i="10"/>
  <c r="N24" i="12"/>
  <c r="F25" i="10"/>
  <c r="G58" i="14"/>
  <c r="G62" s="1"/>
  <c r="F90"/>
  <c r="N23" i="12"/>
  <c r="F58" i="14"/>
  <c r="D24" i="10"/>
  <c r="N30" i="12"/>
  <c r="O90" i="14"/>
  <c r="J30" i="12"/>
  <c r="O35" i="14"/>
  <c r="J16" i="10"/>
  <c r="J12"/>
  <c r="I25" i="14"/>
  <c r="C27" i="10"/>
  <c r="J14"/>
  <c r="C29"/>
  <c r="I29"/>
  <c r="M74" i="14"/>
  <c r="G29" i="10"/>
  <c r="G30"/>
  <c r="E29"/>
  <c r="J108" i="14"/>
  <c r="I28" i="10"/>
  <c r="O27" i="12"/>
  <c r="M27"/>
  <c r="G28" i="10"/>
  <c r="J46" i="14"/>
  <c r="J48" s="1"/>
  <c r="K27" i="12"/>
  <c r="I27" i="10"/>
  <c r="O26" i="12"/>
  <c r="I74" i="14"/>
  <c r="I79" s="1"/>
  <c r="I84" s="1"/>
  <c r="D27" i="10"/>
  <c r="K25" i="12"/>
  <c r="E27" i="10"/>
  <c r="K30" i="12"/>
  <c r="L30"/>
  <c r="M64" i="40"/>
  <c r="N64" s="1"/>
  <c r="J7" i="10"/>
  <c r="O58" i="14"/>
  <c r="I26" i="10"/>
  <c r="C25" i="14"/>
  <c r="H58"/>
  <c r="G35"/>
  <c r="F35"/>
  <c r="I23" i="10"/>
  <c r="E46" i="14"/>
  <c r="D25" i="10"/>
  <c r="H24"/>
  <c r="E24"/>
  <c r="G22"/>
  <c r="E22"/>
  <c r="C74" i="14"/>
  <c r="C77" s="1"/>
  <c r="C46"/>
  <c r="K39" i="12"/>
  <c r="I22" i="10"/>
  <c r="H31"/>
  <c r="G31"/>
  <c r="F31"/>
  <c r="D31"/>
  <c r="N20" i="12"/>
  <c r="N21"/>
  <c r="N22"/>
  <c r="Q7" i="44"/>
  <c r="S7" s="1"/>
  <c r="N29" i="12"/>
  <c r="N27"/>
  <c r="N25"/>
  <c r="E7910" i="44"/>
  <c r="E7912"/>
  <c r="E7914"/>
  <c r="E7916"/>
  <c r="E7918"/>
  <c r="E7920"/>
  <c r="E7922"/>
  <c r="E7924"/>
  <c r="E7926"/>
  <c r="E7928"/>
  <c r="E7930"/>
  <c r="E7932"/>
  <c r="E7934"/>
  <c r="E7936"/>
  <c r="E7938"/>
  <c r="E7940"/>
  <c r="E7942"/>
  <c r="E7944"/>
  <c r="E7946"/>
  <c r="E7948"/>
  <c r="E7950"/>
  <c r="E7952"/>
  <c r="E7954"/>
  <c r="E7956"/>
  <c r="E7958"/>
  <c r="E7960"/>
  <c r="E7962"/>
  <c r="E7964"/>
  <c r="E7966"/>
  <c r="E7968"/>
  <c r="E7970"/>
  <c r="E7972"/>
  <c r="E7974"/>
  <c r="E7976"/>
  <c r="E7978"/>
  <c r="E7980"/>
  <c r="E7982"/>
  <c r="E7984"/>
  <c r="E7986"/>
  <c r="E7988"/>
  <c r="E7990"/>
  <c r="E7992"/>
  <c r="E7994"/>
  <c r="E7996"/>
  <c r="E7998"/>
  <c r="E8000"/>
  <c r="E8002"/>
  <c r="E8004"/>
  <c r="E8006"/>
  <c r="E8008"/>
  <c r="E8010"/>
  <c r="E8012"/>
  <c r="E8014"/>
  <c r="E8016"/>
  <c r="E8018"/>
  <c r="E8020"/>
  <c r="E7557"/>
  <c r="E7555"/>
  <c r="E7553"/>
  <c r="E7551"/>
  <c r="E7549"/>
  <c r="E7547"/>
  <c r="E7545"/>
  <c r="E7543"/>
  <c r="E7541"/>
  <c r="E7539"/>
  <c r="E7536"/>
  <c r="E7532"/>
  <c r="E7528"/>
  <c r="E7524"/>
  <c r="E7520"/>
  <c r="E7516"/>
  <c r="E7512"/>
  <c r="E7508"/>
  <c r="E7504"/>
  <c r="E7500"/>
  <c r="E7496"/>
  <c r="E7492"/>
  <c r="E7488"/>
  <c r="E7484"/>
  <c r="E7480"/>
  <c r="E7476"/>
  <c r="E7472"/>
  <c r="E7468"/>
  <c r="E7464"/>
  <c r="E7460"/>
  <c r="E7456"/>
  <c r="E7452"/>
  <c r="E7448"/>
  <c r="E7444"/>
  <c r="E7440"/>
  <c r="E7436"/>
  <c r="E7432"/>
  <c r="E7428"/>
  <c r="E7424"/>
  <c r="E7420"/>
  <c r="E7416"/>
  <c r="E7412"/>
  <c r="E7408"/>
  <c r="E7404"/>
  <c r="E7400"/>
  <c r="E7396"/>
  <c r="E7392"/>
  <c r="E7388"/>
  <c r="E7384"/>
  <c r="E7380"/>
  <c r="E7376"/>
  <c r="E7372"/>
  <c r="E7368"/>
  <c r="E7364"/>
  <c r="E7360"/>
  <c r="E7356"/>
  <c r="E7352"/>
  <c r="E7348"/>
  <c r="E7344"/>
  <c r="E7340"/>
  <c r="E7336"/>
  <c r="E7332"/>
  <c r="E7328"/>
  <c r="E7324"/>
  <c r="E7320"/>
  <c r="E7316"/>
  <c r="E7312"/>
  <c r="E7308"/>
  <c r="E8024"/>
  <c r="E8026"/>
  <c r="E8034"/>
  <c r="E8042"/>
  <c r="E8050"/>
  <c r="E8058"/>
  <c r="E8066"/>
  <c r="E8074"/>
  <c r="E8082"/>
  <c r="E8090"/>
  <c r="E8098"/>
  <c r="E8106"/>
  <c r="E8114"/>
  <c r="E8122"/>
  <c r="E8130"/>
  <c r="E8138"/>
  <c r="E8146"/>
  <c r="E8154"/>
  <c r="E8162"/>
  <c r="E8170"/>
  <c r="E8178"/>
  <c r="E8186"/>
  <c r="E8194"/>
  <c r="E8202"/>
  <c r="E8210"/>
  <c r="E8218"/>
  <c r="E8226"/>
  <c r="E8234"/>
  <c r="E8242"/>
  <c r="E8250"/>
  <c r="E8258"/>
  <c r="E8266"/>
  <c r="E8274"/>
  <c r="E8761"/>
  <c r="E8753"/>
  <c r="E8745"/>
  <c r="E8737"/>
  <c r="E8729"/>
  <c r="E8721"/>
  <c r="E8713"/>
  <c r="E8705"/>
  <c r="E8697"/>
  <c r="E8689"/>
  <c r="E8681"/>
  <c r="E8673"/>
  <c r="E8665"/>
  <c r="E8657"/>
  <c r="E8649"/>
  <c r="E8641"/>
  <c r="E8633"/>
  <c r="E8625"/>
  <c r="E8617"/>
  <c r="E8609"/>
  <c r="E8601"/>
  <c r="E8593"/>
  <c r="E8585"/>
  <c r="E8577"/>
  <c r="E8569"/>
  <c r="E8561"/>
  <c r="E8553"/>
  <c r="E8545"/>
  <c r="E8537"/>
  <c r="E8533"/>
  <c r="E8529"/>
  <c r="E8525"/>
  <c r="E8521"/>
  <c r="E8517"/>
  <c r="E8513"/>
  <c r="E8509"/>
  <c r="E8505"/>
  <c r="E8501"/>
  <c r="E8497"/>
  <c r="E8493"/>
  <c r="E8489"/>
  <c r="E8485"/>
  <c r="E8481"/>
  <c r="E8477"/>
  <c r="E8473"/>
  <c r="E8469"/>
  <c r="E8465"/>
  <c r="E8461"/>
  <c r="E8457"/>
  <c r="E8453"/>
  <c r="E8449"/>
  <c r="E8445"/>
  <c r="E8441"/>
  <c r="E8437"/>
  <c r="E8433"/>
  <c r="E8429"/>
  <c r="E8425"/>
  <c r="E8421"/>
  <c r="E8417"/>
  <c r="E8413"/>
  <c r="E8409"/>
  <c r="E8405"/>
  <c r="E8401"/>
  <c r="E8397"/>
  <c r="E8393"/>
  <c r="E8389"/>
  <c r="E8385"/>
  <c r="E8381"/>
  <c r="E8377"/>
  <c r="E8373"/>
  <c r="E8369"/>
  <c r="E8365"/>
  <c r="E8361"/>
  <c r="E8357"/>
  <c r="E8353"/>
  <c r="E8349"/>
  <c r="E8345"/>
  <c r="E8341"/>
  <c r="E8337"/>
  <c r="E8333"/>
  <c r="E8329"/>
  <c r="E8325"/>
  <c r="E8321"/>
  <c r="E8317"/>
  <c r="E8313"/>
  <c r="E8309"/>
  <c r="E8305"/>
  <c r="E8301"/>
  <c r="E8297"/>
  <c r="E8293"/>
  <c r="E8289"/>
  <c r="E8285"/>
  <c r="E8281"/>
  <c r="E8022"/>
  <c r="E8030"/>
  <c r="E8038"/>
  <c r="E8046"/>
  <c r="E8054"/>
  <c r="E8062"/>
  <c r="E8070"/>
  <c r="E8078"/>
  <c r="E8086"/>
  <c r="E8094"/>
  <c r="E8102"/>
  <c r="E8110"/>
  <c r="E8118"/>
  <c r="E8126"/>
  <c r="E8134"/>
  <c r="E8142"/>
  <c r="E8150"/>
  <c r="E8158"/>
  <c r="E8166"/>
  <c r="E8174"/>
  <c r="E8182"/>
  <c r="E8190"/>
  <c r="E8198"/>
  <c r="E8206"/>
  <c r="E8214"/>
  <c r="E8222"/>
  <c r="E8230"/>
  <c r="E8238"/>
  <c r="E8246"/>
  <c r="E8254"/>
  <c r="E8262"/>
  <c r="E8270"/>
  <c r="E8021"/>
  <c r="E8757"/>
  <c r="E8749"/>
  <c r="E8741"/>
  <c r="E8733"/>
  <c r="E8725"/>
  <c r="E8717"/>
  <c r="E8709"/>
  <c r="E8701"/>
  <c r="E8693"/>
  <c r="E8685"/>
  <c r="E8677"/>
  <c r="E8669"/>
  <c r="E8661"/>
  <c r="E8653"/>
  <c r="E8645"/>
  <c r="E8637"/>
  <c r="E8629"/>
  <c r="E8621"/>
  <c r="E8613"/>
  <c r="E8605"/>
  <c r="E8597"/>
  <c r="E8589"/>
  <c r="E8581"/>
  <c r="E8573"/>
  <c r="E8565"/>
  <c r="E8557"/>
  <c r="E8549"/>
  <c r="E8541"/>
  <c r="E8535"/>
  <c r="E8531"/>
  <c r="E8527"/>
  <c r="E8523"/>
  <c r="E8519"/>
  <c r="E8515"/>
  <c r="E8511"/>
  <c r="E8507"/>
  <c r="E8503"/>
  <c r="E8499"/>
  <c r="E8495"/>
  <c r="E8491"/>
  <c r="E8487"/>
  <c r="E8483"/>
  <c r="E8479"/>
  <c r="E8475"/>
  <c r="E8471"/>
  <c r="E8467"/>
  <c r="E8463"/>
  <c r="E8459"/>
  <c r="E8455"/>
  <c r="E8451"/>
  <c r="E8447"/>
  <c r="E8443"/>
  <c r="E8439"/>
  <c r="E8435"/>
  <c r="E8431"/>
  <c r="E8427"/>
  <c r="E8423"/>
  <c r="E8419"/>
  <c r="E8415"/>
  <c r="E8411"/>
  <c r="E8407"/>
  <c r="E8403"/>
  <c r="E8399"/>
  <c r="E8395"/>
  <c r="E8391"/>
  <c r="E8387"/>
  <c r="E8383"/>
  <c r="E8379"/>
  <c r="E8375"/>
  <c r="E8371"/>
  <c r="E8367"/>
  <c r="E8363"/>
  <c r="E8359"/>
  <c r="E8355"/>
  <c r="E8351"/>
  <c r="E8347"/>
  <c r="E8343"/>
  <c r="E8339"/>
  <c r="E8335"/>
  <c r="E8331"/>
  <c r="E8327"/>
  <c r="E8323"/>
  <c r="E8319"/>
  <c r="E8315"/>
  <c r="E8311"/>
  <c r="E8307"/>
  <c r="E8303"/>
  <c r="E8299"/>
  <c r="E8295"/>
  <c r="E8291"/>
  <c r="E8287"/>
  <c r="E8283"/>
  <c r="E8279"/>
  <c r="E4350"/>
  <c r="E4352"/>
  <c r="E4354"/>
  <c r="E4356"/>
  <c r="E4358"/>
  <c r="E4360"/>
  <c r="E4362"/>
  <c r="E4364"/>
  <c r="E4366"/>
  <c r="E4368"/>
  <c r="E4370"/>
  <c r="E4372"/>
  <c r="E4374"/>
  <c r="E4376"/>
  <c r="E4378"/>
  <c r="E4380"/>
  <c r="E4382"/>
  <c r="E4384"/>
  <c r="E4386"/>
  <c r="E4388"/>
  <c r="E4390"/>
  <c r="E4392"/>
  <c r="E4394"/>
  <c r="E4396"/>
  <c r="E4398"/>
  <c r="E4400"/>
  <c r="E4402"/>
  <c r="E4404"/>
  <c r="E4406"/>
  <c r="E4408"/>
  <c r="E4410"/>
  <c r="E4412"/>
  <c r="E4414"/>
  <c r="E4416"/>
  <c r="E4418"/>
  <c r="E4420"/>
  <c r="E4422"/>
  <c r="E4424"/>
  <c r="E4426"/>
  <c r="E4428"/>
  <c r="E4430"/>
  <c r="E4432"/>
  <c r="E4434"/>
  <c r="E4436"/>
  <c r="E4438"/>
  <c r="E4440"/>
  <c r="E4442"/>
  <c r="E4444"/>
  <c r="E4446"/>
  <c r="E4448"/>
  <c r="E4450"/>
  <c r="E4452"/>
  <c r="E4454"/>
  <c r="E4456"/>
  <c r="E4458"/>
  <c r="E4460"/>
  <c r="E4462"/>
  <c r="E4464"/>
  <c r="E4466"/>
  <c r="E4468"/>
  <c r="E4470"/>
  <c r="E4472"/>
  <c r="E4474"/>
  <c r="E4476"/>
  <c r="E4478"/>
  <c r="E4480"/>
  <c r="E4482"/>
  <c r="E4484"/>
  <c r="E4486"/>
  <c r="E4488"/>
  <c r="E4490"/>
  <c r="E4492"/>
  <c r="E4494"/>
  <c r="E4496"/>
  <c r="E4498"/>
  <c r="E4500"/>
  <c r="E4502"/>
  <c r="E4504"/>
  <c r="E4506"/>
  <c r="E4508"/>
  <c r="E4510"/>
  <c r="E4512"/>
  <c r="E4514"/>
  <c r="E4516"/>
  <c r="E4518"/>
  <c r="E4520"/>
  <c r="E4522"/>
  <c r="E4524"/>
  <c r="E4526"/>
  <c r="E4528"/>
  <c r="E4530"/>
  <c r="E4532"/>
  <c r="E4534"/>
  <c r="E4536"/>
  <c r="E4538"/>
  <c r="E4540"/>
  <c r="E4542"/>
  <c r="E4544"/>
  <c r="E4546"/>
  <c r="E4548"/>
  <c r="E4550"/>
  <c r="E4552"/>
  <c r="E4554"/>
  <c r="E4556"/>
  <c r="E4558"/>
  <c r="E4560"/>
  <c r="E4562"/>
  <c r="E4564"/>
  <c r="E4566"/>
  <c r="E4568"/>
  <c r="E4570"/>
  <c r="E4572"/>
  <c r="E4574"/>
  <c r="E4576"/>
  <c r="E4578"/>
  <c r="E4580"/>
  <c r="E4582"/>
  <c r="E4584"/>
  <c r="E4586"/>
  <c r="E4588"/>
  <c r="E8539"/>
  <c r="E8543"/>
  <c r="E8547"/>
  <c r="E8551"/>
  <c r="E8555"/>
  <c r="E8559"/>
  <c r="E8563"/>
  <c r="E8567"/>
  <c r="E8571"/>
  <c r="E8575"/>
  <c r="E8579"/>
  <c r="E8583"/>
  <c r="E8587"/>
  <c r="E8591"/>
  <c r="E8595"/>
  <c r="E8599"/>
  <c r="E8603"/>
  <c r="E8607"/>
  <c r="E8611"/>
  <c r="E8615"/>
  <c r="E8619"/>
  <c r="E8623"/>
  <c r="E8627"/>
  <c r="E8631"/>
  <c r="E8635"/>
  <c r="E8639"/>
  <c r="E8643"/>
  <c r="E8647"/>
  <c r="E8651"/>
  <c r="E8655"/>
  <c r="E8659"/>
  <c r="E8663"/>
  <c r="E8667"/>
  <c r="E8671"/>
  <c r="E8675"/>
  <c r="E8679"/>
  <c r="E8683"/>
  <c r="E8687"/>
  <c r="E8691"/>
  <c r="E8695"/>
  <c r="E8699"/>
  <c r="E8703"/>
  <c r="E8707"/>
  <c r="E8711"/>
  <c r="E8715"/>
  <c r="E8719"/>
  <c r="E8723"/>
  <c r="E8727"/>
  <c r="E8731"/>
  <c r="E8735"/>
  <c r="E8739"/>
  <c r="E8743"/>
  <c r="E8747"/>
  <c r="E8751"/>
  <c r="E8755"/>
  <c r="E8759"/>
  <c r="E8763"/>
  <c r="E8276"/>
  <c r="E8272"/>
  <c r="E8268"/>
  <c r="E8264"/>
  <c r="E8260"/>
  <c r="E8256"/>
  <c r="E8252"/>
  <c r="E8248"/>
  <c r="E8244"/>
  <c r="E8240"/>
  <c r="E8236"/>
  <c r="E8232"/>
  <c r="E8228"/>
  <c r="E8224"/>
  <c r="E8220"/>
  <c r="E8216"/>
  <c r="E8212"/>
  <c r="E8208"/>
  <c r="E8204"/>
  <c r="E8200"/>
  <c r="E8196"/>
  <c r="E8192"/>
  <c r="E8188"/>
  <c r="E8184"/>
  <c r="E8180"/>
  <c r="E8176"/>
  <c r="E8172"/>
  <c r="E8168"/>
  <c r="E8164"/>
  <c r="E8160"/>
  <c r="E8156"/>
  <c r="E8152"/>
  <c r="E8148"/>
  <c r="E8144"/>
  <c r="E8140"/>
  <c r="E8136"/>
  <c r="E8132"/>
  <c r="E8128"/>
  <c r="E8124"/>
  <c r="E8120"/>
  <c r="E8116"/>
  <c r="E8112"/>
  <c r="E8108"/>
  <c r="E8104"/>
  <c r="E8100"/>
  <c r="E8096"/>
  <c r="E8092"/>
  <c r="E8088"/>
  <c r="E8084"/>
  <c r="E8080"/>
  <c r="E8076"/>
  <c r="E8072"/>
  <c r="E8068"/>
  <c r="E8064"/>
  <c r="E8060"/>
  <c r="E8056"/>
  <c r="E8052"/>
  <c r="E8048"/>
  <c r="E8044"/>
  <c r="E8040"/>
  <c r="E8036"/>
  <c r="E8032"/>
  <c r="E8028"/>
  <c r="E7303"/>
  <c r="E7305"/>
  <c r="E7307"/>
  <c r="E7309"/>
  <c r="E7311"/>
  <c r="E7313"/>
  <c r="E7315"/>
  <c r="E7317"/>
  <c r="E7319"/>
  <c r="E7321"/>
  <c r="E7323"/>
  <c r="E7325"/>
  <c r="E7327"/>
  <c r="E7329"/>
  <c r="E7331"/>
  <c r="E7333"/>
  <c r="E7335"/>
  <c r="E7337"/>
  <c r="E7339"/>
  <c r="E7341"/>
  <c r="E7343"/>
  <c r="E7345"/>
  <c r="E7347"/>
  <c r="E7349"/>
  <c r="E7351"/>
  <c r="E7353"/>
  <c r="E7355"/>
  <c r="E7357"/>
  <c r="E7359"/>
  <c r="E7361"/>
  <c r="E7363"/>
  <c r="E7365"/>
  <c r="E7367"/>
  <c r="E7369"/>
  <c r="E7371"/>
  <c r="E7373"/>
  <c r="E7375"/>
  <c r="E7377"/>
  <c r="E7379"/>
  <c r="E7381"/>
  <c r="E7383"/>
  <c r="E7385"/>
  <c r="E7387"/>
  <c r="E7389"/>
  <c r="E7391"/>
  <c r="E7393"/>
  <c r="E7395"/>
  <c r="E7397"/>
  <c r="E7399"/>
  <c r="E7401"/>
  <c r="E7403"/>
  <c r="E7405"/>
  <c r="E7407"/>
  <c r="E7409"/>
  <c r="E7411"/>
  <c r="E7413"/>
  <c r="E7415"/>
  <c r="E7417"/>
  <c r="E7419"/>
  <c r="E7421"/>
  <c r="E7423"/>
  <c r="E7425"/>
  <c r="E7427"/>
  <c r="E7429"/>
  <c r="E7431"/>
  <c r="E7433"/>
  <c r="E7435"/>
  <c r="E7437"/>
  <c r="E7439"/>
  <c r="E7441"/>
  <c r="E7443"/>
  <c r="E7445"/>
  <c r="E7447"/>
  <c r="E7449"/>
  <c r="E7451"/>
  <c r="E7453"/>
  <c r="E7455"/>
  <c r="E7457"/>
  <c r="E7459"/>
  <c r="E7461"/>
  <c r="E7463"/>
  <c r="E7465"/>
  <c r="E7467"/>
  <c r="E7469"/>
  <c r="E7471"/>
  <c r="E7473"/>
  <c r="E7475"/>
  <c r="E7477"/>
  <c r="E7479"/>
  <c r="E7481"/>
  <c r="E7483"/>
  <c r="E7485"/>
  <c r="E7487"/>
  <c r="E7489"/>
  <c r="E7491"/>
  <c r="E7493"/>
  <c r="E7495"/>
  <c r="E7497"/>
  <c r="E7499"/>
  <c r="E7501"/>
  <c r="E7503"/>
  <c r="E7505"/>
  <c r="E7507"/>
  <c r="E7509"/>
  <c r="E7511"/>
  <c r="E7513"/>
  <c r="E7515"/>
  <c r="E7517"/>
  <c r="E7519"/>
  <c r="E7521"/>
  <c r="E7523"/>
  <c r="E7525"/>
  <c r="E7527"/>
  <c r="E7529"/>
  <c r="E7531"/>
  <c r="E7533"/>
  <c r="E7535"/>
  <c r="E7537"/>
  <c r="E8023"/>
  <c r="E8025"/>
  <c r="E8027"/>
  <c r="E8029"/>
  <c r="E8031"/>
  <c r="E8033"/>
  <c r="E8035"/>
  <c r="E8037"/>
  <c r="E8039"/>
  <c r="E8041"/>
  <c r="E8043"/>
  <c r="E8045"/>
  <c r="E8047"/>
  <c r="E8049"/>
  <c r="E8051"/>
  <c r="E8053"/>
  <c r="E8055"/>
  <c r="E8057"/>
  <c r="E8059"/>
  <c r="E8061"/>
  <c r="E8063"/>
  <c r="E8065"/>
  <c r="E8067"/>
  <c r="E8069"/>
  <c r="E8071"/>
  <c r="E8073"/>
  <c r="E8075"/>
  <c r="E8077"/>
  <c r="E8079"/>
  <c r="E8081"/>
  <c r="E8083"/>
  <c r="E8085"/>
  <c r="E8087"/>
  <c r="E8089"/>
  <c r="E8091"/>
  <c r="E8093"/>
  <c r="E8095"/>
  <c r="E8097"/>
  <c r="E8099"/>
  <c r="E8101"/>
  <c r="E8103"/>
  <c r="E8105"/>
  <c r="E8107"/>
  <c r="E8109"/>
  <c r="E8111"/>
  <c r="E8113"/>
  <c r="E8115"/>
  <c r="E8117"/>
  <c r="E8119"/>
  <c r="E8121"/>
  <c r="E8123"/>
  <c r="E8125"/>
  <c r="E8127"/>
  <c r="E8129"/>
  <c r="E8131"/>
  <c r="E8133"/>
  <c r="E8135"/>
  <c r="E8137"/>
  <c r="E8139"/>
  <c r="E8141"/>
  <c r="E8143"/>
  <c r="E8145"/>
  <c r="E8147"/>
  <c r="E8149"/>
  <c r="E8151"/>
  <c r="E8153"/>
  <c r="E8155"/>
  <c r="E8157"/>
  <c r="E8159"/>
  <c r="E8161"/>
  <c r="E8163"/>
  <c r="E8165"/>
  <c r="E8167"/>
  <c r="E8169"/>
  <c r="E8171"/>
  <c r="E8173"/>
  <c r="E8175"/>
  <c r="E8177"/>
  <c r="E8179"/>
  <c r="E8181"/>
  <c r="E8183"/>
  <c r="E8185"/>
  <c r="E8187"/>
  <c r="E8189"/>
  <c r="E8191"/>
  <c r="E8193"/>
  <c r="E8195"/>
  <c r="E8197"/>
  <c r="E8199"/>
  <c r="E8201"/>
  <c r="E8203"/>
  <c r="E8205"/>
  <c r="E8207"/>
  <c r="E8209"/>
  <c r="E8211"/>
  <c r="E8213"/>
  <c r="E8215"/>
  <c r="E8217"/>
  <c r="E8219"/>
  <c r="E8221"/>
  <c r="E8223"/>
  <c r="E8225"/>
  <c r="E8227"/>
  <c r="E8229"/>
  <c r="E8231"/>
  <c r="E8233"/>
  <c r="E8235"/>
  <c r="E8237"/>
  <c r="E8239"/>
  <c r="E8241"/>
  <c r="E8243"/>
  <c r="E8245"/>
  <c r="E8247"/>
  <c r="E8249"/>
  <c r="E8251"/>
  <c r="E8253"/>
  <c r="E8255"/>
  <c r="E8257"/>
  <c r="E8259"/>
  <c r="E8261"/>
  <c r="E8263"/>
  <c r="E8265"/>
  <c r="E8267"/>
  <c r="E8269"/>
  <c r="E8271"/>
  <c r="E8273"/>
  <c r="E8275"/>
  <c r="E8277"/>
  <c r="E8764"/>
  <c r="E8762"/>
  <c r="E8760"/>
  <c r="E8758"/>
  <c r="E8756"/>
  <c r="E8754"/>
  <c r="E8752"/>
  <c r="E8750"/>
  <c r="E8748"/>
  <c r="E8746"/>
  <c r="E8744"/>
  <c r="E8742"/>
  <c r="E8740"/>
  <c r="E8738"/>
  <c r="E8736"/>
  <c r="E8734"/>
  <c r="E8732"/>
  <c r="E8730"/>
  <c r="E8728"/>
  <c r="E8726"/>
  <c r="E8724"/>
  <c r="E8722"/>
  <c r="E8720"/>
  <c r="E8718"/>
  <c r="E8716"/>
  <c r="E8714"/>
  <c r="E8712"/>
  <c r="E8710"/>
  <c r="E8708"/>
  <c r="E8706"/>
  <c r="E8704"/>
  <c r="E8702"/>
  <c r="E8700"/>
  <c r="E8698"/>
  <c r="E8696"/>
  <c r="E8694"/>
  <c r="E8692"/>
  <c r="E8690"/>
  <c r="E8688"/>
  <c r="E8686"/>
  <c r="E8684"/>
  <c r="E8682"/>
  <c r="E8680"/>
  <c r="E8678"/>
  <c r="E8676"/>
  <c r="E8674"/>
  <c r="E8672"/>
  <c r="E8670"/>
  <c r="E8668"/>
  <c r="E8666"/>
  <c r="E8664"/>
  <c r="E8662"/>
  <c r="E8660"/>
  <c r="E8658"/>
  <c r="E8656"/>
  <c r="E8654"/>
  <c r="E8652"/>
  <c r="E8650"/>
  <c r="E8648"/>
  <c r="E8646"/>
  <c r="E8644"/>
  <c r="E8642"/>
  <c r="E8640"/>
  <c r="E8638"/>
  <c r="E8636"/>
  <c r="E8634"/>
  <c r="E8632"/>
  <c r="E8630"/>
  <c r="E8628"/>
  <c r="E8626"/>
  <c r="E8624"/>
  <c r="E8622"/>
  <c r="E8620"/>
  <c r="E8618"/>
  <c r="E8616"/>
  <c r="E8614"/>
  <c r="E8612"/>
  <c r="E8610"/>
  <c r="E8608"/>
  <c r="E8606"/>
  <c r="E8604"/>
  <c r="E8602"/>
  <c r="E8600"/>
  <c r="E8598"/>
  <c r="E8596"/>
  <c r="E8594"/>
  <c r="E8592"/>
  <c r="E8590"/>
  <c r="E8588"/>
  <c r="E8586"/>
  <c r="E8584"/>
  <c r="E8582"/>
  <c r="E8580"/>
  <c r="E8578"/>
  <c r="E8576"/>
  <c r="E8574"/>
  <c r="E8572"/>
  <c r="E8570"/>
  <c r="E8568"/>
  <c r="E8566"/>
  <c r="E8564"/>
  <c r="E8562"/>
  <c r="E8560"/>
  <c r="E8558"/>
  <c r="E8556"/>
  <c r="E8554"/>
  <c r="E8552"/>
  <c r="E8550"/>
  <c r="E8548"/>
  <c r="E8546"/>
  <c r="E8544"/>
  <c r="E8542"/>
  <c r="E8540"/>
  <c r="E8538"/>
  <c r="E8536"/>
  <c r="E8534"/>
  <c r="E8532"/>
  <c r="E8530"/>
  <c r="E8528"/>
  <c r="E8526"/>
  <c r="E8524"/>
  <c r="E8522"/>
  <c r="E8520"/>
  <c r="E8518"/>
  <c r="E8516"/>
  <c r="E8514"/>
  <c r="E8512"/>
  <c r="E8510"/>
  <c r="E8508"/>
  <c r="E8506"/>
  <c r="E8504"/>
  <c r="E8502"/>
  <c r="E8500"/>
  <c r="E8498"/>
  <c r="E8496"/>
  <c r="E8494"/>
  <c r="E8492"/>
  <c r="E8490"/>
  <c r="E8488"/>
  <c r="E8486"/>
  <c r="E8484"/>
  <c r="E8482"/>
  <c r="E8480"/>
  <c r="E8478"/>
  <c r="E8476"/>
  <c r="E8474"/>
  <c r="E8472"/>
  <c r="E8470"/>
  <c r="E8468"/>
  <c r="E8466"/>
  <c r="E8464"/>
  <c r="E8462"/>
  <c r="E8460"/>
  <c r="E8458"/>
  <c r="E8456"/>
  <c r="E8454"/>
  <c r="E8452"/>
  <c r="E8450"/>
  <c r="E8448"/>
  <c r="E8446"/>
  <c r="E8444"/>
  <c r="E8442"/>
  <c r="E8440"/>
  <c r="E8438"/>
  <c r="E8436"/>
  <c r="E8434"/>
  <c r="E8432"/>
  <c r="E8430"/>
  <c r="E8428"/>
  <c r="E8426"/>
  <c r="E8424"/>
  <c r="E8422"/>
  <c r="E8420"/>
  <c r="E8418"/>
  <c r="E8416"/>
  <c r="E8414"/>
  <c r="E8412"/>
  <c r="E8410"/>
  <c r="E8408"/>
  <c r="E8406"/>
  <c r="E8404"/>
  <c r="E8402"/>
  <c r="E8400"/>
  <c r="E8398"/>
  <c r="E8396"/>
  <c r="E8394"/>
  <c r="E8392"/>
  <c r="E8390"/>
  <c r="E8388"/>
  <c r="E8386"/>
  <c r="E8384"/>
  <c r="E8382"/>
  <c r="E8380"/>
  <c r="E8378"/>
  <c r="E8376"/>
  <c r="E8374"/>
  <c r="E8372"/>
  <c r="E8370"/>
  <c r="E8368"/>
  <c r="E8366"/>
  <c r="E8364"/>
  <c r="E8362"/>
  <c r="E8360"/>
  <c r="E8358"/>
  <c r="E8356"/>
  <c r="E8354"/>
  <c r="E8352"/>
  <c r="E8350"/>
  <c r="E8348"/>
  <c r="E8346"/>
  <c r="E8344"/>
  <c r="E8342"/>
  <c r="E8340"/>
  <c r="E8338"/>
  <c r="E8336"/>
  <c r="E8334"/>
  <c r="E8332"/>
  <c r="E8330"/>
  <c r="E8328"/>
  <c r="E8326"/>
  <c r="E8324"/>
  <c r="E8322"/>
  <c r="E8320"/>
  <c r="E8318"/>
  <c r="E8316"/>
  <c r="E8314"/>
  <c r="E8312"/>
  <c r="E8310"/>
  <c r="E8308"/>
  <c r="E8306"/>
  <c r="E8304"/>
  <c r="E8302"/>
  <c r="E8300"/>
  <c r="E8298"/>
  <c r="E8296"/>
  <c r="E8294"/>
  <c r="E8292"/>
  <c r="E8290"/>
  <c r="E8288"/>
  <c r="E8286"/>
  <c r="E8284"/>
  <c r="E8282"/>
  <c r="E8280"/>
  <c r="E8278"/>
  <c r="D6"/>
  <c r="D8"/>
  <c r="D10"/>
  <c r="D12"/>
  <c r="D14"/>
  <c r="D16"/>
  <c r="D18"/>
  <c r="D20"/>
  <c r="D22"/>
  <c r="D24"/>
  <c r="D26"/>
  <c r="D28"/>
  <c r="D30"/>
  <c r="D32"/>
  <c r="D34"/>
  <c r="D36"/>
  <c r="D38"/>
  <c r="D40"/>
  <c r="D42"/>
  <c r="D44"/>
  <c r="D46"/>
  <c r="D48"/>
  <c r="D50"/>
  <c r="D52"/>
  <c r="D54"/>
  <c r="D56"/>
  <c r="D58"/>
  <c r="D60"/>
  <c r="D62"/>
  <c r="D64"/>
  <c r="D66"/>
  <c r="D68"/>
  <c r="D70"/>
  <c r="D72"/>
  <c r="D74"/>
  <c r="D76"/>
  <c r="D78"/>
  <c r="D80"/>
  <c r="D82"/>
  <c r="D84"/>
  <c r="D86"/>
  <c r="D88"/>
  <c r="D90"/>
  <c r="D92"/>
  <c r="D94"/>
  <c r="D96"/>
  <c r="D98"/>
  <c r="D100"/>
  <c r="D102"/>
  <c r="D104"/>
  <c r="D106"/>
  <c r="D108"/>
  <c r="D110"/>
  <c r="D112"/>
  <c r="D114"/>
  <c r="D116"/>
  <c r="D118"/>
  <c r="D120"/>
  <c r="D122"/>
  <c r="D124"/>
  <c r="D126"/>
  <c r="D128"/>
  <c r="D130"/>
  <c r="D132"/>
  <c r="D134"/>
  <c r="D136"/>
  <c r="D138"/>
  <c r="D140"/>
  <c r="D142"/>
  <c r="D144"/>
  <c r="D146"/>
  <c r="D148"/>
  <c r="D150"/>
  <c r="D152"/>
  <c r="D154"/>
  <c r="D156"/>
  <c r="D158"/>
  <c r="D160"/>
  <c r="D162"/>
  <c r="D164"/>
  <c r="D166"/>
  <c r="D168"/>
  <c r="D170"/>
  <c r="D172"/>
  <c r="D174"/>
  <c r="D176"/>
  <c r="D178"/>
  <c r="D180"/>
  <c r="D182"/>
  <c r="D184"/>
  <c r="D186"/>
  <c r="D188"/>
  <c r="D190"/>
  <c r="D192"/>
  <c r="D194"/>
  <c r="D196"/>
  <c r="D198"/>
  <c r="D200"/>
  <c r="D202"/>
  <c r="D204"/>
  <c r="D206"/>
  <c r="D208"/>
  <c r="D210"/>
  <c r="D212"/>
  <c r="D214"/>
  <c r="D216"/>
  <c r="D218"/>
  <c r="D220"/>
  <c r="D222"/>
  <c r="D224"/>
  <c r="D226"/>
  <c r="D228"/>
  <c r="D230"/>
  <c r="D232"/>
  <c r="D234"/>
  <c r="D236"/>
  <c r="D238"/>
  <c r="D240"/>
  <c r="D242"/>
  <c r="D244"/>
  <c r="D246"/>
  <c r="D248"/>
  <c r="D250"/>
  <c r="D252"/>
  <c r="D254"/>
  <c r="D256"/>
  <c r="D258"/>
  <c r="D260"/>
  <c r="D262"/>
  <c r="D264"/>
  <c r="D266"/>
  <c r="D268"/>
  <c r="D270"/>
  <c r="D272"/>
  <c r="D274"/>
  <c r="D276"/>
  <c r="D278"/>
  <c r="D280"/>
  <c r="D282"/>
  <c r="D284"/>
  <c r="D286"/>
  <c r="D288"/>
  <c r="D290"/>
  <c r="D292"/>
  <c r="D294"/>
  <c r="D296"/>
  <c r="D298"/>
  <c r="D300"/>
  <c r="D302"/>
  <c r="D304"/>
  <c r="D306"/>
  <c r="D308"/>
  <c r="D310"/>
  <c r="D312"/>
  <c r="D314"/>
  <c r="D316"/>
  <c r="D318"/>
  <c r="D320"/>
  <c r="D322"/>
  <c r="D324"/>
  <c r="D326"/>
  <c r="D328"/>
  <c r="D330"/>
  <c r="D332"/>
  <c r="D334"/>
  <c r="D336"/>
  <c r="D338"/>
  <c r="D340"/>
  <c r="D342"/>
  <c r="D344"/>
  <c r="D346"/>
  <c r="D348"/>
  <c r="D350"/>
  <c r="D352"/>
  <c r="D354"/>
  <c r="D356"/>
  <c r="D358"/>
  <c r="D360"/>
  <c r="D362"/>
  <c r="D364"/>
  <c r="D366"/>
  <c r="D368"/>
  <c r="D370"/>
  <c r="D372"/>
  <c r="D374"/>
  <c r="D376"/>
  <c r="D378"/>
  <c r="D380"/>
  <c r="D382"/>
  <c r="D384"/>
  <c r="D386"/>
  <c r="D388"/>
  <c r="D390"/>
  <c r="D392"/>
  <c r="D394"/>
  <c r="D396"/>
  <c r="D398"/>
  <c r="D400"/>
  <c r="D402"/>
  <c r="D404"/>
  <c r="D406"/>
  <c r="D408"/>
  <c r="D410"/>
  <c r="D412"/>
  <c r="D414"/>
  <c r="D416"/>
  <c r="D418"/>
  <c r="D420"/>
  <c r="D422"/>
  <c r="D424"/>
  <c r="D426"/>
  <c r="D428"/>
  <c r="D430"/>
  <c r="D432"/>
  <c r="D434"/>
  <c r="D436"/>
  <c r="D438"/>
  <c r="D440"/>
  <c r="D442"/>
  <c r="D444"/>
  <c r="D446"/>
  <c r="D448"/>
  <c r="D450"/>
  <c r="D452"/>
  <c r="D454"/>
  <c r="D456"/>
  <c r="D458"/>
  <c r="D460"/>
  <c r="D462"/>
  <c r="D464"/>
  <c r="D466"/>
  <c r="D468"/>
  <c r="D470"/>
  <c r="D472"/>
  <c r="D474"/>
  <c r="O135" i="27"/>
  <c r="Q144"/>
  <c r="DB51" i="9"/>
  <c r="N129" i="14"/>
  <c r="J129"/>
  <c r="J188" s="1"/>
  <c r="K67" i="39" l="1"/>
  <c r="L67" s="1"/>
  <c r="D158"/>
  <c r="E158" s="1"/>
  <c r="F158" s="1"/>
  <c r="D153"/>
  <c r="E153" s="1"/>
  <c r="F153" s="1"/>
  <c r="K3"/>
  <c r="L3" s="1"/>
  <c r="D168"/>
  <c r="K51"/>
  <c r="L51" s="1"/>
  <c r="D157"/>
  <c r="E157" s="1"/>
  <c r="F157" s="1"/>
  <c r="K83"/>
  <c r="L83" s="1"/>
  <c r="D159"/>
  <c r="E159" s="1"/>
  <c r="F159" s="1"/>
  <c r="K117"/>
  <c r="L117" s="1"/>
  <c r="D162"/>
  <c r="M53" i="40"/>
  <c r="N53" s="1"/>
  <c r="D157"/>
  <c r="E157" s="1"/>
  <c r="F157" s="1"/>
  <c r="M39"/>
  <c r="N39" s="1"/>
  <c r="D156"/>
  <c r="E156" s="1"/>
  <c r="F156" s="1"/>
  <c r="M95"/>
  <c r="N95" s="1"/>
  <c r="D160"/>
  <c r="K41" i="39"/>
  <c r="L41" s="1"/>
  <c r="D156"/>
  <c r="E156" s="1"/>
  <c r="F156" s="1"/>
  <c r="K93"/>
  <c r="L93" s="1"/>
  <c r="D160"/>
  <c r="M65" i="40"/>
  <c r="N65" s="1"/>
  <c r="D158"/>
  <c r="E158" s="1"/>
  <c r="F158" s="1"/>
  <c r="M33"/>
  <c r="N33" s="1"/>
  <c r="D155"/>
  <c r="E155" s="1"/>
  <c r="F155" s="1"/>
  <c r="M17"/>
  <c r="N17" s="1"/>
  <c r="D154"/>
  <c r="E154" s="1"/>
  <c r="F154" s="1"/>
  <c r="M9"/>
  <c r="N9" s="1"/>
  <c r="D153"/>
  <c r="E153" s="1"/>
  <c r="F153" s="1"/>
  <c r="D159"/>
  <c r="E159" s="1"/>
  <c r="F159" s="1"/>
  <c r="M75"/>
  <c r="N75" s="1"/>
  <c r="J31" i="14"/>
  <c r="J28"/>
  <c r="M119"/>
  <c r="M126" s="1"/>
  <c r="O28" i="46"/>
  <c r="O31" s="1"/>
  <c r="O27"/>
  <c r="K118"/>
  <c r="K125" s="1"/>
  <c r="M118"/>
  <c r="M125" s="1"/>
  <c r="CN38" i="9"/>
  <c r="CN16"/>
  <c r="K50" i="46"/>
  <c r="K54" s="1"/>
  <c r="M48"/>
  <c r="M50"/>
  <c r="M54" s="1"/>
  <c r="M115" i="14"/>
  <c r="M122" s="1"/>
  <c r="K115"/>
  <c r="K122" s="1"/>
  <c r="H23" i="12"/>
  <c r="H38" s="1"/>
  <c r="K95" i="14"/>
  <c r="K100" s="1"/>
  <c r="K134"/>
  <c r="K139" s="1"/>
  <c r="D95"/>
  <c r="D100" s="1"/>
  <c r="D155" i="39"/>
  <c r="E155" s="1"/>
  <c r="F155" s="1"/>
  <c r="J88" i="38"/>
  <c r="J106"/>
  <c r="K106" s="1"/>
  <c r="L106" s="1"/>
  <c r="J71"/>
  <c r="K71" s="1"/>
  <c r="L71" s="1"/>
  <c r="J55"/>
  <c r="K55" s="1"/>
  <c r="L55" s="1"/>
  <c r="J31"/>
  <c r="K31" s="1"/>
  <c r="L31" s="1"/>
  <c r="J6" i="46"/>
  <c r="J10" s="1"/>
  <c r="J52"/>
  <c r="J56" s="1"/>
  <c r="M63" i="14"/>
  <c r="M68" s="1"/>
  <c r="K63"/>
  <c r="K68" s="1"/>
  <c r="M31"/>
  <c r="K31"/>
  <c r="K28"/>
  <c r="M38"/>
  <c r="M41" s="1"/>
  <c r="K38"/>
  <c r="K41"/>
  <c r="M66" i="46"/>
  <c r="M71" s="1"/>
  <c r="K33"/>
  <c r="K30"/>
  <c r="M30"/>
  <c r="M33"/>
  <c r="I115"/>
  <c r="I111"/>
  <c r="I118" s="1"/>
  <c r="K98"/>
  <c r="K103" s="1"/>
  <c r="M98"/>
  <c r="M103" s="1"/>
  <c r="CW25" i="9"/>
  <c r="CT42"/>
  <c r="O66" i="46"/>
  <c r="O71" s="1"/>
  <c r="N66"/>
  <c r="N71" s="1"/>
  <c r="K41"/>
  <c r="K38"/>
  <c r="M37"/>
  <c r="M38"/>
  <c r="M41" s="1"/>
  <c r="H40" i="12"/>
  <c r="J79" i="14"/>
  <c r="J118" i="46"/>
  <c r="J125" s="1"/>
  <c r="O82"/>
  <c r="O87" s="1"/>
  <c r="K50" i="14"/>
  <c r="K54" s="1"/>
  <c r="M137"/>
  <c r="M142" s="1"/>
  <c r="K142"/>
  <c r="K137"/>
  <c r="I79" i="46"/>
  <c r="I77"/>
  <c r="I82" s="1"/>
  <c r="CW22" i="9"/>
  <c r="CW39" s="1"/>
  <c r="CT39"/>
  <c r="G7" i="12"/>
  <c r="G112" i="14"/>
  <c r="E95"/>
  <c r="E100" s="1"/>
  <c r="J123" i="38"/>
  <c r="J104"/>
  <c r="K104" s="1"/>
  <c r="L104" s="1"/>
  <c r="J92"/>
  <c r="J56"/>
  <c r="K56" s="1"/>
  <c r="L56" s="1"/>
  <c r="J85"/>
  <c r="K85" s="1"/>
  <c r="L85" s="1"/>
  <c r="J27"/>
  <c r="K78"/>
  <c r="L78" s="1"/>
  <c r="J39"/>
  <c r="K39" s="1"/>
  <c r="L39" s="1"/>
  <c r="J35"/>
  <c r="K35" s="1"/>
  <c r="L35" s="1"/>
  <c r="J12"/>
  <c r="K12" s="1"/>
  <c r="L12" s="1"/>
  <c r="O186" i="46"/>
  <c r="J15" i="38"/>
  <c r="N40" i="46"/>
  <c r="N43" s="1"/>
  <c r="CK43" i="9"/>
  <c r="J79" i="46"/>
  <c r="J84" s="1"/>
  <c r="CW42" i="9"/>
  <c r="CN39"/>
  <c r="O136" i="27"/>
  <c r="O137" s="1"/>
  <c r="O138" s="1"/>
  <c r="O139" s="1"/>
  <c r="O140" s="1"/>
  <c r="O141" s="1"/>
  <c r="O142" s="1"/>
  <c r="O143" s="1"/>
  <c r="O144" s="1"/>
  <c r="O145" s="1"/>
  <c r="O146" s="1"/>
  <c r="P107" i="46"/>
  <c r="P114" s="1"/>
  <c r="P121" s="1"/>
  <c r="M79" i="14"/>
  <c r="M84" s="1"/>
  <c r="K79"/>
  <c r="K84" s="1"/>
  <c r="M149"/>
  <c r="M152" s="1"/>
  <c r="K152"/>
  <c r="K149"/>
  <c r="K82" i="46"/>
  <c r="K87" s="1"/>
  <c r="M82"/>
  <c r="M87" s="1"/>
  <c r="J30"/>
  <c r="J33"/>
  <c r="I186"/>
  <c r="I93"/>
  <c r="I98" s="1"/>
  <c r="I95"/>
  <c r="N28"/>
  <c r="N31" s="1"/>
  <c r="N27"/>
  <c r="J63"/>
  <c r="J68" s="1"/>
  <c r="J61"/>
  <c r="J66" s="1"/>
  <c r="J71" s="1"/>
  <c r="E12" i="14"/>
  <c r="E17" s="1"/>
  <c r="C6" i="12"/>
  <c r="G6" s="1"/>
  <c r="E6" i="14"/>
  <c r="CK34" i="9"/>
  <c r="M13" i="12" s="1"/>
  <c r="CN21" i="9"/>
  <c r="CN34" s="1"/>
  <c r="CN60" s="1"/>
  <c r="CN62" s="1"/>
  <c r="N77" i="46"/>
  <c r="N82" s="1"/>
  <c r="N87" s="1"/>
  <c r="N79"/>
  <c r="N84" s="1"/>
  <c r="D71" i="14"/>
  <c r="M50"/>
  <c r="M54" s="1"/>
  <c r="N130" i="46"/>
  <c r="N135" s="1"/>
  <c r="N140" s="1"/>
  <c r="M130"/>
  <c r="M93" i="40"/>
  <c r="N93" s="1"/>
  <c r="K106" i="39"/>
  <c r="L106" s="1"/>
  <c r="D158" i="38"/>
  <c r="D10" i="12" s="1"/>
  <c r="E10" s="1"/>
  <c r="F10" s="1"/>
  <c r="D154" i="39"/>
  <c r="E154" s="1"/>
  <c r="F154" s="1"/>
  <c r="J137"/>
  <c r="K137" s="1"/>
  <c r="J140"/>
  <c r="K140" s="1"/>
  <c r="J100" i="38"/>
  <c r="K100" s="1"/>
  <c r="L100" s="1"/>
  <c r="J76"/>
  <c r="M86" i="40"/>
  <c r="N86" s="1"/>
  <c r="J52" i="38"/>
  <c r="J28"/>
  <c r="K28" s="1"/>
  <c r="L28" s="1"/>
  <c r="J36"/>
  <c r="K36" s="1"/>
  <c r="L36" s="1"/>
  <c r="K89"/>
  <c r="L89" s="1"/>
  <c r="J45"/>
  <c r="K45" s="1"/>
  <c r="L45" s="1"/>
  <c r="J37"/>
  <c r="K37" s="1"/>
  <c r="L37" s="1"/>
  <c r="J42"/>
  <c r="K42" s="1"/>
  <c r="L42" s="1"/>
  <c r="J50"/>
  <c r="K50" s="1"/>
  <c r="L50" s="1"/>
  <c r="J34"/>
  <c r="K34" s="1"/>
  <c r="L34" s="1"/>
  <c r="J7"/>
  <c r="K7" s="1"/>
  <c r="L7" s="1"/>
  <c r="J18"/>
  <c r="K18" s="1"/>
  <c r="L18" s="1"/>
  <c r="J26"/>
  <c r="K26" s="1"/>
  <c r="L26" s="1"/>
  <c r="J19"/>
  <c r="K19" s="1"/>
  <c r="L19" s="1"/>
  <c r="N52" i="46"/>
  <c r="N56" s="1"/>
  <c r="O40"/>
  <c r="O43" s="1"/>
  <c r="I187"/>
  <c r="N98"/>
  <c r="N103" s="1"/>
  <c r="J82"/>
  <c r="J87" s="1"/>
  <c r="O118"/>
  <c r="O125" s="1"/>
  <c r="K97" i="39"/>
  <c r="L97" s="1"/>
  <c r="P147" i="14"/>
  <c r="P150" s="1"/>
  <c r="Q147"/>
  <c r="Q150" s="1"/>
  <c r="P147" i="46"/>
  <c r="P150" s="1"/>
  <c r="Q147"/>
  <c r="Q150" s="1"/>
  <c r="CB49" i="9"/>
  <c r="CE32"/>
  <c r="CE49" s="1"/>
  <c r="CB47"/>
  <c r="CE30"/>
  <c r="CE47" s="1"/>
  <c r="CB45"/>
  <c r="CE28"/>
  <c r="CE45" s="1"/>
  <c r="CB43"/>
  <c r="CB34"/>
  <c r="CB51" s="1"/>
  <c r="CE26"/>
  <c r="C92" i="40"/>
  <c r="C92" i="39"/>
  <c r="C92" i="38"/>
  <c r="C100"/>
  <c r="C100" i="40"/>
  <c r="C100" i="39"/>
  <c r="P17" i="6"/>
  <c r="C87" i="38"/>
  <c r="C87" i="39"/>
  <c r="C87" i="40"/>
  <c r="P16" i="6"/>
  <c r="C94" i="38"/>
  <c r="K94" s="1"/>
  <c r="L94" s="1"/>
  <c r="C94" i="40"/>
  <c r="C94" i="39"/>
  <c r="M100" i="40"/>
  <c r="N100" s="1"/>
  <c r="K92" i="39"/>
  <c r="L92" s="1"/>
  <c r="K100"/>
  <c r="L100" s="1"/>
  <c r="M92" i="40"/>
  <c r="N92" s="1"/>
  <c r="M94"/>
  <c r="N94" s="1"/>
  <c r="M87"/>
  <c r="N87" s="1"/>
  <c r="C5" i="12"/>
  <c r="D6" i="14"/>
  <c r="CB48" i="9"/>
  <c r="CE31"/>
  <c r="CE48" s="1"/>
  <c r="CB46"/>
  <c r="CE29"/>
  <c r="CE46" s="1"/>
  <c r="CB44"/>
  <c r="CE27"/>
  <c r="CE44" s="1"/>
  <c r="C103" i="39"/>
  <c r="K103" s="1"/>
  <c r="L103" s="1"/>
  <c r="C103" i="40"/>
  <c r="C103" i="38"/>
  <c r="K103" s="1"/>
  <c r="L103" s="1"/>
  <c r="C107" i="39"/>
  <c r="K107" s="1"/>
  <c r="L107" s="1"/>
  <c r="C107" i="40"/>
  <c r="C107" i="38"/>
  <c r="C105"/>
  <c r="K105" s="1"/>
  <c r="L105" s="1"/>
  <c r="C105" i="39"/>
  <c r="C105" i="40"/>
  <c r="C109" i="38"/>
  <c r="K109" s="1"/>
  <c r="L109" s="1"/>
  <c r="C109" i="39"/>
  <c r="K109" s="1"/>
  <c r="L109" s="1"/>
  <c r="C109" i="40"/>
  <c r="M107"/>
  <c r="N107" s="1"/>
  <c r="M103"/>
  <c r="N103" s="1"/>
  <c r="M105"/>
  <c r="N105" s="1"/>
  <c r="M109"/>
  <c r="N109" s="1"/>
  <c r="K94" i="39"/>
  <c r="L94" s="1"/>
  <c r="K92" i="38"/>
  <c r="L92" s="1"/>
  <c r="K107"/>
  <c r="L107" s="1"/>
  <c r="K87"/>
  <c r="L87" s="1"/>
  <c r="K87" i="39"/>
  <c r="L87" s="1"/>
  <c r="K105"/>
  <c r="L105" s="1"/>
  <c r="O13" i="46"/>
  <c r="O7" s="1"/>
  <c r="O13" i="14"/>
  <c r="K101" i="38"/>
  <c r="L101" s="1"/>
  <c r="D161"/>
  <c r="D13" i="12" s="1"/>
  <c r="K52" i="38"/>
  <c r="L52" s="1"/>
  <c r="D157"/>
  <c r="D156"/>
  <c r="D155"/>
  <c r="K27"/>
  <c r="L27" s="1"/>
  <c r="K123"/>
  <c r="E124" i="40"/>
  <c r="E136" s="1"/>
  <c r="E124" i="38"/>
  <c r="C135" i="5"/>
  <c r="E128" i="40"/>
  <c r="E140" s="1"/>
  <c r="E128" i="38"/>
  <c r="C139" i="5"/>
  <c r="E132" i="40"/>
  <c r="E144" s="1"/>
  <c r="E132" i="38"/>
  <c r="C143" i="5"/>
  <c r="J134" i="38"/>
  <c r="K134" s="1"/>
  <c r="E146"/>
  <c r="J146" s="1"/>
  <c r="K146" s="1"/>
  <c r="E127" i="40"/>
  <c r="E139" s="1"/>
  <c r="E127" i="38"/>
  <c r="C138" i="5"/>
  <c r="E131" i="40"/>
  <c r="E143" s="1"/>
  <c r="E131" i="38"/>
  <c r="C142" i="5"/>
  <c r="B144"/>
  <c r="D133" i="38"/>
  <c r="D133" i="40"/>
  <c r="D145" s="1"/>
  <c r="B142" i="5"/>
  <c r="D131" i="38"/>
  <c r="D131" i="40"/>
  <c r="D143" s="1"/>
  <c r="B140" i="5"/>
  <c r="D129" i="38"/>
  <c r="D129" i="40"/>
  <c r="D141" s="1"/>
  <c r="B138" i="5"/>
  <c r="D127" i="40"/>
  <c r="D139" s="1"/>
  <c r="D127" i="38"/>
  <c r="B136" i="5"/>
  <c r="D125" i="40"/>
  <c r="D137" s="1"/>
  <c r="D125" i="38"/>
  <c r="D164" i="39"/>
  <c r="K135"/>
  <c r="N12" i="14"/>
  <c r="N17" s="1"/>
  <c r="E126" i="40"/>
  <c r="E138" s="1"/>
  <c r="E126" i="38"/>
  <c r="C137" i="5"/>
  <c r="E130" i="40"/>
  <c r="E142" s="1"/>
  <c r="E130" i="38"/>
  <c r="C141" i="5"/>
  <c r="E135" i="38"/>
  <c r="J135" s="1"/>
  <c r="E125" i="40"/>
  <c r="E137" s="1"/>
  <c r="E125" i="38"/>
  <c r="C136" i="5"/>
  <c r="E129" i="40"/>
  <c r="E141" s="1"/>
  <c r="E129" i="38"/>
  <c r="C140" i="5"/>
  <c r="E133" i="40"/>
  <c r="E145" s="1"/>
  <c r="E133" i="38"/>
  <c r="C144" i="5"/>
  <c r="B143"/>
  <c r="D132" i="40"/>
  <c r="D144" s="1"/>
  <c r="D132" i="38"/>
  <c r="B141" i="5"/>
  <c r="D130" i="40"/>
  <c r="D142" s="1"/>
  <c r="D130" i="38"/>
  <c r="B139" i="5"/>
  <c r="D128" i="40"/>
  <c r="D140" s="1"/>
  <c r="D128" i="38"/>
  <c r="D126"/>
  <c r="B137" i="5"/>
  <c r="D126" i="40"/>
  <c r="D138" s="1"/>
  <c r="D124" i="38"/>
  <c r="B135" i="5"/>
  <c r="D124" i="40"/>
  <c r="D136" s="1"/>
  <c r="I12" i="14"/>
  <c r="I17" s="1"/>
  <c r="K123" i="39"/>
  <c r="D163"/>
  <c r="D162" i="38"/>
  <c r="J112" i="46"/>
  <c r="J117"/>
  <c r="J124" s="1"/>
  <c r="C93" i="14"/>
  <c r="J94"/>
  <c r="F187"/>
  <c r="N31"/>
  <c r="H28"/>
  <c r="H31"/>
  <c r="J94" i="46"/>
  <c r="J97"/>
  <c r="J102" s="1"/>
  <c r="M132"/>
  <c r="M135"/>
  <c r="M140" s="1"/>
  <c r="I112"/>
  <c r="I119" s="1"/>
  <c r="I117"/>
  <c r="I189"/>
  <c r="O132"/>
  <c r="P135"/>
  <c r="P140" s="1"/>
  <c r="I31" i="14"/>
  <c r="D31"/>
  <c r="I81" i="46"/>
  <c r="I78"/>
  <c r="I83" s="1"/>
  <c r="G27" i="14"/>
  <c r="G33" s="1"/>
  <c r="G31"/>
  <c r="I94"/>
  <c r="I186"/>
  <c r="J78" i="46"/>
  <c r="J81"/>
  <c r="J86" s="1"/>
  <c r="I97"/>
  <c r="I94"/>
  <c r="I99" s="1"/>
  <c r="J62"/>
  <c r="J67" s="1"/>
  <c r="J72" s="1"/>
  <c r="J65"/>
  <c r="J70" s="1"/>
  <c r="J93" i="14"/>
  <c r="F31"/>
  <c r="J130" i="46"/>
  <c r="E38" i="14"/>
  <c r="E41" s="1"/>
  <c r="E28"/>
  <c r="H78"/>
  <c r="H83" s="1"/>
  <c r="H88" s="1"/>
  <c r="F111"/>
  <c r="J38" i="12"/>
  <c r="J24" i="10"/>
  <c r="M37" i="12"/>
  <c r="H79" i="14"/>
  <c r="H84" s="1"/>
  <c r="L37" i="12"/>
  <c r="I36"/>
  <c r="H39"/>
  <c r="F112" i="14"/>
  <c r="D38"/>
  <c r="D41" s="1"/>
  <c r="M36" i="12"/>
  <c r="G115" i="14"/>
  <c r="G122" s="1"/>
  <c r="X13" i="44"/>
  <c r="Z13" s="1"/>
  <c r="X10"/>
  <c r="Z10" s="1"/>
  <c r="X8"/>
  <c r="Z8" s="1"/>
  <c r="X15"/>
  <c r="Z15" s="1"/>
  <c r="M40" i="12"/>
  <c r="L38"/>
  <c r="L36"/>
  <c r="O63" i="14"/>
  <c r="O68" s="1"/>
  <c r="I28"/>
  <c r="J39" i="12"/>
  <c r="I37"/>
  <c r="Q12" i="44"/>
  <c r="S12" s="1"/>
  <c r="X7"/>
  <c r="Z7" s="1"/>
  <c r="X11"/>
  <c r="Z11" s="1"/>
  <c r="X9"/>
  <c r="Z9" s="1"/>
  <c r="X6"/>
  <c r="Z6" s="1"/>
  <c r="X16"/>
  <c r="Z16" s="1"/>
  <c r="H187" i="14"/>
  <c r="Q9" i="44"/>
  <c r="S9" s="1"/>
  <c r="L40" i="12"/>
  <c r="L41"/>
  <c r="M39"/>
  <c r="K38"/>
  <c r="O36"/>
  <c r="L42"/>
  <c r="L39"/>
  <c r="N187" i="14"/>
  <c r="N38"/>
  <c r="N41" s="1"/>
  <c r="Q10" i="44"/>
  <c r="S10" s="1"/>
  <c r="Q13"/>
  <c r="S13" s="1"/>
  <c r="C48" i="14"/>
  <c r="C187"/>
  <c r="F50"/>
  <c r="F54" s="1"/>
  <c r="E187"/>
  <c r="O38" i="12"/>
  <c r="O187" i="14"/>
  <c r="J187"/>
  <c r="M41" i="12"/>
  <c r="E186" i="14"/>
  <c r="J25" i="10"/>
  <c r="O39" i="12"/>
  <c r="D187" i="14"/>
  <c r="I39" i="12"/>
  <c r="J26" i="10"/>
  <c r="I45" i="12"/>
  <c r="M38"/>
  <c r="J186" i="14"/>
  <c r="F95"/>
  <c r="F100" s="1"/>
  <c r="F186"/>
  <c r="M95"/>
  <c r="M100" s="1"/>
  <c r="M186"/>
  <c r="N186"/>
  <c r="O95"/>
  <c r="O100" s="1"/>
  <c r="O186"/>
  <c r="H95"/>
  <c r="H100" s="1"/>
  <c r="H186"/>
  <c r="C186"/>
  <c r="G186"/>
  <c r="N149"/>
  <c r="N152" s="1"/>
  <c r="O149"/>
  <c r="O152" s="1"/>
  <c r="G118"/>
  <c r="G125" s="1"/>
  <c r="G119"/>
  <c r="G126" s="1"/>
  <c r="N137"/>
  <c r="N142" s="1"/>
  <c r="J137"/>
  <c r="J142" s="1"/>
  <c r="N131"/>
  <c r="N134"/>
  <c r="N139" s="1"/>
  <c r="J20"/>
  <c r="J134"/>
  <c r="J139" s="1"/>
  <c r="J131"/>
  <c r="J136" s="1"/>
  <c r="J141" s="1"/>
  <c r="Q134"/>
  <c r="Q139" s="1"/>
  <c r="O137"/>
  <c r="O142" s="1"/>
  <c r="P137"/>
  <c r="P142" s="1"/>
  <c r="M131"/>
  <c r="M134"/>
  <c r="M139" s="1"/>
  <c r="O134"/>
  <c r="O139" s="1"/>
  <c r="P136"/>
  <c r="P141" s="1"/>
  <c r="H111"/>
  <c r="H118" s="1"/>
  <c r="H125" s="1"/>
  <c r="H115"/>
  <c r="H122" s="1"/>
  <c r="J111"/>
  <c r="J118" s="1"/>
  <c r="J125" s="1"/>
  <c r="J115"/>
  <c r="J122" s="1"/>
  <c r="E111"/>
  <c r="F118" s="1"/>
  <c r="F125" s="1"/>
  <c r="E115"/>
  <c r="E122" s="1"/>
  <c r="O112"/>
  <c r="O115"/>
  <c r="O122" s="1"/>
  <c r="N115"/>
  <c r="N122" s="1"/>
  <c r="I115"/>
  <c r="I122" s="1"/>
  <c r="H82"/>
  <c r="H87" s="1"/>
  <c r="D111"/>
  <c r="D115"/>
  <c r="D122" s="1"/>
  <c r="E112"/>
  <c r="H112"/>
  <c r="H119" s="1"/>
  <c r="H126" s="1"/>
  <c r="C112"/>
  <c r="C111"/>
  <c r="D112"/>
  <c r="N112"/>
  <c r="N119" s="1"/>
  <c r="N126" s="1"/>
  <c r="J112"/>
  <c r="J119" s="1"/>
  <c r="J126" s="1"/>
  <c r="F63"/>
  <c r="F68" s="1"/>
  <c r="M94"/>
  <c r="E99"/>
  <c r="E104" s="1"/>
  <c r="E98"/>
  <c r="E103" s="1"/>
  <c r="G95"/>
  <c r="G100" s="1"/>
  <c r="H93"/>
  <c r="I98" s="1"/>
  <c r="I103" s="1"/>
  <c r="N95"/>
  <c r="N100" s="1"/>
  <c r="J98"/>
  <c r="J103" s="1"/>
  <c r="O94"/>
  <c r="I95"/>
  <c r="I100" s="1"/>
  <c r="H94"/>
  <c r="F93"/>
  <c r="F94"/>
  <c r="D98"/>
  <c r="D103" s="1"/>
  <c r="D67"/>
  <c r="O62"/>
  <c r="O67" s="1"/>
  <c r="O72" s="1"/>
  <c r="D99"/>
  <c r="D104" s="1"/>
  <c r="E79"/>
  <c r="E84" s="1"/>
  <c r="N63"/>
  <c r="N68" s="1"/>
  <c r="D66"/>
  <c r="E62"/>
  <c r="N79"/>
  <c r="N84" s="1"/>
  <c r="H63"/>
  <c r="H68" s="1"/>
  <c r="F62"/>
  <c r="D79"/>
  <c r="D84" s="1"/>
  <c r="G83"/>
  <c r="G88" s="1"/>
  <c r="D77"/>
  <c r="D82" s="1"/>
  <c r="D87" s="1"/>
  <c r="J84"/>
  <c r="I63"/>
  <c r="I68" s="1"/>
  <c r="I77"/>
  <c r="I82" s="1"/>
  <c r="I87" s="1"/>
  <c r="C78"/>
  <c r="O78"/>
  <c r="I78"/>
  <c r="H62"/>
  <c r="G61"/>
  <c r="E77"/>
  <c r="M62"/>
  <c r="J66"/>
  <c r="J67"/>
  <c r="E78"/>
  <c r="J78"/>
  <c r="G63"/>
  <c r="G68" s="1"/>
  <c r="F79"/>
  <c r="F84" s="1"/>
  <c r="G79"/>
  <c r="G84" s="1"/>
  <c r="M78"/>
  <c r="F77"/>
  <c r="H61"/>
  <c r="H71" s="1"/>
  <c r="F61"/>
  <c r="J77"/>
  <c r="E61"/>
  <c r="E71" s="1"/>
  <c r="D78"/>
  <c r="G30"/>
  <c r="O38"/>
  <c r="O41" s="1"/>
  <c r="D40"/>
  <c r="J50"/>
  <c r="J54" s="1"/>
  <c r="G48"/>
  <c r="G50"/>
  <c r="G54" s="1"/>
  <c r="O50"/>
  <c r="O54" s="1"/>
  <c r="I48"/>
  <c r="I50"/>
  <c r="I54" s="1"/>
  <c r="E48"/>
  <c r="E56" s="1"/>
  <c r="E50"/>
  <c r="E54" s="1"/>
  <c r="N50"/>
  <c r="N54" s="1"/>
  <c r="H48"/>
  <c r="H56" s="1"/>
  <c r="H50"/>
  <c r="H54" s="1"/>
  <c r="D50"/>
  <c r="D54" s="1"/>
  <c r="D48"/>
  <c r="D56" s="1"/>
  <c r="F38"/>
  <c r="F41" s="1"/>
  <c r="E37"/>
  <c r="E43" s="1"/>
  <c r="G38"/>
  <c r="G41" s="1"/>
  <c r="H38"/>
  <c r="H41" s="1"/>
  <c r="D28"/>
  <c r="M28"/>
  <c r="F37"/>
  <c r="F43" s="1"/>
  <c r="H37"/>
  <c r="I38"/>
  <c r="I41" s="1"/>
  <c r="G37"/>
  <c r="J37"/>
  <c r="J43" s="1"/>
  <c r="E27"/>
  <c r="E33" s="1"/>
  <c r="F28"/>
  <c r="J27"/>
  <c r="N28"/>
  <c r="H27"/>
  <c r="H33" s="1"/>
  <c r="I27"/>
  <c r="I33" s="1"/>
  <c r="C27"/>
  <c r="D30" s="1"/>
  <c r="E749" i="44"/>
  <c r="E751"/>
  <c r="E753"/>
  <c r="E755"/>
  <c r="E757"/>
  <c r="E759"/>
  <c r="E761"/>
  <c r="E763"/>
  <c r="E765"/>
  <c r="E767"/>
  <c r="E769"/>
  <c r="E771"/>
  <c r="E773"/>
  <c r="E775"/>
  <c r="E777"/>
  <c r="E779"/>
  <c r="E781"/>
  <c r="E783"/>
  <c r="E785"/>
  <c r="E787"/>
  <c r="E789"/>
  <c r="E791"/>
  <c r="E793"/>
  <c r="E795"/>
  <c r="E797"/>
  <c r="E799"/>
  <c r="E801"/>
  <c r="E803"/>
  <c r="E805"/>
  <c r="E807"/>
  <c r="E809"/>
  <c r="E811"/>
  <c r="E813"/>
  <c r="E815"/>
  <c r="E817"/>
  <c r="E819"/>
  <c r="E821"/>
  <c r="E823"/>
  <c r="E825"/>
  <c r="E827"/>
  <c r="E829"/>
  <c r="E831"/>
  <c r="E833"/>
  <c r="E835"/>
  <c r="E837"/>
  <c r="E839"/>
  <c r="E841"/>
  <c r="E843"/>
  <c r="E845"/>
  <c r="E847"/>
  <c r="E849"/>
  <c r="E851"/>
  <c r="E853"/>
  <c r="E855"/>
  <c r="E857"/>
  <c r="E859"/>
  <c r="E861"/>
  <c r="E863"/>
  <c r="E865"/>
  <c r="E867"/>
  <c r="E869"/>
  <c r="E871"/>
  <c r="E873"/>
  <c r="E875"/>
  <c r="E877"/>
  <c r="E879"/>
  <c r="E881"/>
  <c r="E883"/>
  <c r="E885"/>
  <c r="E887"/>
  <c r="E889"/>
  <c r="E891"/>
  <c r="E893"/>
  <c r="E895"/>
  <c r="E897"/>
  <c r="E899"/>
  <c r="E901"/>
  <c r="E903"/>
  <c r="E905"/>
  <c r="E907"/>
  <c r="E909"/>
  <c r="E911"/>
  <c r="E913"/>
  <c r="E915"/>
  <c r="E917"/>
  <c r="E919"/>
  <c r="E921"/>
  <c r="E923"/>
  <c r="E925"/>
  <c r="E927"/>
  <c r="E929"/>
  <c r="E931"/>
  <c r="E933"/>
  <c r="E935"/>
  <c r="E937"/>
  <c r="E939"/>
  <c r="E941"/>
  <c r="E943"/>
  <c r="E945"/>
  <c r="E947"/>
  <c r="E949"/>
  <c r="E951"/>
  <c r="E953"/>
  <c r="E955"/>
  <c r="E957"/>
  <c r="E959"/>
  <c r="E961"/>
  <c r="E963"/>
  <c r="E965"/>
  <c r="E967"/>
  <c r="E969"/>
  <c r="E971"/>
  <c r="E973"/>
  <c r="E975"/>
  <c r="E977"/>
  <c r="E979"/>
  <c r="E981"/>
  <c r="E983"/>
  <c r="E985"/>
  <c r="E987"/>
  <c r="E989"/>
  <c r="E991"/>
  <c r="E993"/>
  <c r="E995"/>
  <c r="E997"/>
  <c r="E999"/>
  <c r="E1001"/>
  <c r="E1003"/>
  <c r="E1420"/>
  <c r="E1418"/>
  <c r="E1416"/>
  <c r="E1414"/>
  <c r="E1412"/>
  <c r="E1410"/>
  <c r="E1408"/>
  <c r="E1406"/>
  <c r="E1404"/>
  <c r="E1402"/>
  <c r="E1400"/>
  <c r="E1398"/>
  <c r="E1396"/>
  <c r="E1394"/>
  <c r="E1392"/>
  <c r="E1390"/>
  <c r="E1388"/>
  <c r="E1386"/>
  <c r="E1384"/>
  <c r="E1382"/>
  <c r="E1380"/>
  <c r="E1378"/>
  <c r="E1376"/>
  <c r="E1374"/>
  <c r="E1372"/>
  <c r="E1370"/>
  <c r="E1368"/>
  <c r="E1366"/>
  <c r="E1364"/>
  <c r="E1362"/>
  <c r="E1360"/>
  <c r="E1358"/>
  <c r="E1356"/>
  <c r="E1354"/>
  <c r="E1352"/>
  <c r="E1350"/>
  <c r="E1348"/>
  <c r="E1346"/>
  <c r="E1344"/>
  <c r="E1342"/>
  <c r="E1340"/>
  <c r="E1338"/>
  <c r="E1336"/>
  <c r="E1334"/>
  <c r="E1332"/>
  <c r="E1330"/>
  <c r="E1328"/>
  <c r="E1326"/>
  <c r="E1324"/>
  <c r="E1322"/>
  <c r="E1320"/>
  <c r="E1318"/>
  <c r="E1316"/>
  <c r="E1314"/>
  <c r="E1312"/>
  <c r="E1310"/>
  <c r="E1308"/>
  <c r="E1306"/>
  <c r="E1304"/>
  <c r="E1302"/>
  <c r="E1300"/>
  <c r="E1298"/>
  <c r="E1296"/>
  <c r="E1294"/>
  <c r="E1292"/>
  <c r="E1290"/>
  <c r="E1288"/>
  <c r="E1286"/>
  <c r="E1284"/>
  <c r="E1282"/>
  <c r="E1280"/>
  <c r="E1278"/>
  <c r="E1276"/>
  <c r="E1274"/>
  <c r="E1272"/>
  <c r="E1270"/>
  <c r="E1268"/>
  <c r="E1266"/>
  <c r="E1264"/>
  <c r="E1262"/>
  <c r="E1260"/>
  <c r="E1258"/>
  <c r="E1256"/>
  <c r="E1254"/>
  <c r="E1252"/>
  <c r="E1250"/>
  <c r="E1248"/>
  <c r="E1246"/>
  <c r="E1244"/>
  <c r="E1242"/>
  <c r="E1240"/>
  <c r="E1238"/>
  <c r="E1236"/>
  <c r="E1234"/>
  <c r="E1232"/>
  <c r="E1230"/>
  <c r="E1228"/>
  <c r="E1226"/>
  <c r="E1224"/>
  <c r="E1222"/>
  <c r="E1220"/>
  <c r="E1218"/>
  <c r="E1216"/>
  <c r="E1214"/>
  <c r="E1212"/>
  <c r="E1210"/>
  <c r="E1208"/>
  <c r="E1206"/>
  <c r="E1204"/>
  <c r="E1202"/>
  <c r="E1200"/>
  <c r="E1198"/>
  <c r="E1196"/>
  <c r="E1194"/>
  <c r="E1192"/>
  <c r="E1190"/>
  <c r="E1188"/>
  <c r="E1186"/>
  <c r="E1184"/>
  <c r="E1182"/>
  <c r="E1180"/>
  <c r="E1178"/>
  <c r="E1176"/>
  <c r="E1174"/>
  <c r="E1172"/>
  <c r="E1170"/>
  <c r="E1168"/>
  <c r="E1166"/>
  <c r="E1164"/>
  <c r="E1162"/>
  <c r="E1160"/>
  <c r="E1158"/>
  <c r="E1156"/>
  <c r="E1154"/>
  <c r="E1152"/>
  <c r="E1150"/>
  <c r="E1148"/>
  <c r="E1146"/>
  <c r="E1144"/>
  <c r="E1142"/>
  <c r="E1140"/>
  <c r="E1138"/>
  <c r="E1136"/>
  <c r="E1134"/>
  <c r="E1132"/>
  <c r="E1130"/>
  <c r="E1128"/>
  <c r="E1126"/>
  <c r="E1124"/>
  <c r="E1122"/>
  <c r="E1120"/>
  <c r="E1118"/>
  <c r="E1116"/>
  <c r="E1114"/>
  <c r="E1112"/>
  <c r="E1110"/>
  <c r="E1108"/>
  <c r="E1106"/>
  <c r="E1104"/>
  <c r="E1102"/>
  <c r="E1100"/>
  <c r="E1098"/>
  <c r="E1096"/>
  <c r="E1094"/>
  <c r="E1092"/>
  <c r="E1090"/>
  <c r="E1088"/>
  <c r="E1086"/>
  <c r="E1084"/>
  <c r="E1082"/>
  <c r="E1080"/>
  <c r="E1078"/>
  <c r="E1076"/>
  <c r="E1074"/>
  <c r="E1072"/>
  <c r="E1070"/>
  <c r="E1068"/>
  <c r="E1066"/>
  <c r="E1064"/>
  <c r="E1062"/>
  <c r="E1060"/>
  <c r="E1058"/>
  <c r="E1056"/>
  <c r="E1054"/>
  <c r="E1052"/>
  <c r="E1050"/>
  <c r="E1048"/>
  <c r="E1046"/>
  <c r="E1044"/>
  <c r="E1042"/>
  <c r="E1040"/>
  <c r="E1038"/>
  <c r="E1036"/>
  <c r="E1034"/>
  <c r="E1032"/>
  <c r="E1030"/>
  <c r="E1028"/>
  <c r="E1026"/>
  <c r="E1024"/>
  <c r="E1022"/>
  <c r="E1020"/>
  <c r="E1018"/>
  <c r="E1016"/>
  <c r="E1014"/>
  <c r="E1012"/>
  <c r="E1010"/>
  <c r="E1008"/>
  <c r="E1006"/>
  <c r="E750"/>
  <c r="E752"/>
  <c r="E754"/>
  <c r="E756"/>
  <c r="E758"/>
  <c r="E760"/>
  <c r="E762"/>
  <c r="E764"/>
  <c r="E766"/>
  <c r="E768"/>
  <c r="E770"/>
  <c r="E772"/>
  <c r="E774"/>
  <c r="E776"/>
  <c r="E778"/>
  <c r="E780"/>
  <c r="E782"/>
  <c r="E784"/>
  <c r="E786"/>
  <c r="E788"/>
  <c r="E790"/>
  <c r="E792"/>
  <c r="E794"/>
  <c r="E796"/>
  <c r="E798"/>
  <c r="E800"/>
  <c r="E802"/>
  <c r="E804"/>
  <c r="E806"/>
  <c r="E808"/>
  <c r="E810"/>
  <c r="E812"/>
  <c r="E814"/>
  <c r="E816"/>
  <c r="E818"/>
  <c r="E820"/>
  <c r="E822"/>
  <c r="E824"/>
  <c r="E826"/>
  <c r="E828"/>
  <c r="E830"/>
  <c r="E832"/>
  <c r="E834"/>
  <c r="E836"/>
  <c r="E838"/>
  <c r="E840"/>
  <c r="E842"/>
  <c r="E844"/>
  <c r="E846"/>
  <c r="E848"/>
  <c r="E850"/>
  <c r="E852"/>
  <c r="E854"/>
  <c r="E856"/>
  <c r="E858"/>
  <c r="E860"/>
  <c r="E862"/>
  <c r="E864"/>
  <c r="E866"/>
  <c r="E868"/>
  <c r="E870"/>
  <c r="E872"/>
  <c r="E874"/>
  <c r="E876"/>
  <c r="E878"/>
  <c r="E880"/>
  <c r="E882"/>
  <c r="E884"/>
  <c r="E886"/>
  <c r="E888"/>
  <c r="E890"/>
  <c r="E892"/>
  <c r="E894"/>
  <c r="E896"/>
  <c r="E898"/>
  <c r="E900"/>
  <c r="E902"/>
  <c r="E904"/>
  <c r="E906"/>
  <c r="E908"/>
  <c r="E910"/>
  <c r="E912"/>
  <c r="E914"/>
  <c r="E916"/>
  <c r="E918"/>
  <c r="E920"/>
  <c r="E922"/>
  <c r="E924"/>
  <c r="E926"/>
  <c r="E928"/>
  <c r="E930"/>
  <c r="E932"/>
  <c r="E934"/>
  <c r="E936"/>
  <c r="E938"/>
  <c r="E940"/>
  <c r="E942"/>
  <c r="E944"/>
  <c r="E946"/>
  <c r="E948"/>
  <c r="E950"/>
  <c r="E952"/>
  <c r="E954"/>
  <c r="E956"/>
  <c r="E958"/>
  <c r="E960"/>
  <c r="E962"/>
  <c r="E964"/>
  <c r="E966"/>
  <c r="E968"/>
  <c r="E970"/>
  <c r="E972"/>
  <c r="E974"/>
  <c r="E976"/>
  <c r="E978"/>
  <c r="E980"/>
  <c r="E982"/>
  <c r="E984"/>
  <c r="E986"/>
  <c r="E988"/>
  <c r="E990"/>
  <c r="E992"/>
  <c r="E994"/>
  <c r="E996"/>
  <c r="E998"/>
  <c r="E1000"/>
  <c r="E1002"/>
  <c r="E1004"/>
  <c r="E1419"/>
  <c r="E1417"/>
  <c r="E1415"/>
  <c r="E1413"/>
  <c r="E1411"/>
  <c r="E1409"/>
  <c r="E1407"/>
  <c r="E1405"/>
  <c r="E1403"/>
  <c r="E1401"/>
  <c r="E1399"/>
  <c r="E1397"/>
  <c r="E1395"/>
  <c r="E1393"/>
  <c r="E1391"/>
  <c r="E1389"/>
  <c r="E1387"/>
  <c r="E1385"/>
  <c r="E1383"/>
  <c r="E1381"/>
  <c r="E1379"/>
  <c r="E1377"/>
  <c r="E1375"/>
  <c r="E1373"/>
  <c r="E1371"/>
  <c r="E1369"/>
  <c r="E1367"/>
  <c r="E1365"/>
  <c r="E1363"/>
  <c r="E1361"/>
  <c r="E1359"/>
  <c r="E1357"/>
  <c r="E1355"/>
  <c r="E1353"/>
  <c r="E1351"/>
  <c r="E1349"/>
  <c r="E1347"/>
  <c r="E1345"/>
  <c r="E1343"/>
  <c r="E1341"/>
  <c r="E1339"/>
  <c r="E1337"/>
  <c r="E1335"/>
  <c r="E1333"/>
  <c r="E1331"/>
  <c r="E1329"/>
  <c r="E1327"/>
  <c r="E1325"/>
  <c r="E1323"/>
  <c r="E1321"/>
  <c r="E1319"/>
  <c r="E1317"/>
  <c r="E1315"/>
  <c r="E1313"/>
  <c r="E1311"/>
  <c r="E1309"/>
  <c r="E1307"/>
  <c r="E1305"/>
  <c r="E1303"/>
  <c r="E1301"/>
  <c r="E1299"/>
  <c r="E1297"/>
  <c r="E1295"/>
  <c r="E1293"/>
  <c r="E1291"/>
  <c r="E1289"/>
  <c r="E1287"/>
  <c r="E1285"/>
  <c r="E1283"/>
  <c r="E1281"/>
  <c r="E1279"/>
  <c r="E1277"/>
  <c r="E1275"/>
  <c r="E1273"/>
  <c r="E1271"/>
  <c r="E1269"/>
  <c r="E1267"/>
  <c r="E1265"/>
  <c r="E1263"/>
  <c r="E1261"/>
  <c r="E1259"/>
  <c r="E1257"/>
  <c r="E1255"/>
  <c r="E1253"/>
  <c r="E1251"/>
  <c r="E1249"/>
  <c r="E1247"/>
  <c r="E1245"/>
  <c r="E1243"/>
  <c r="E1241"/>
  <c r="E1239"/>
  <c r="E1237"/>
  <c r="E1235"/>
  <c r="E1233"/>
  <c r="E1231"/>
  <c r="E1229"/>
  <c r="E1227"/>
  <c r="E1225"/>
  <c r="E1223"/>
  <c r="E1221"/>
  <c r="E1219"/>
  <c r="E1217"/>
  <c r="E1215"/>
  <c r="E1213"/>
  <c r="E1211"/>
  <c r="E1209"/>
  <c r="E1207"/>
  <c r="E1205"/>
  <c r="E1203"/>
  <c r="E1201"/>
  <c r="E1199"/>
  <c r="E1197"/>
  <c r="E1195"/>
  <c r="E1193"/>
  <c r="E1191"/>
  <c r="E1189"/>
  <c r="E1187"/>
  <c r="E1185"/>
  <c r="E1183"/>
  <c r="E1181"/>
  <c r="E1179"/>
  <c r="E1177"/>
  <c r="E1175"/>
  <c r="E1173"/>
  <c r="E1171"/>
  <c r="E1169"/>
  <c r="E1167"/>
  <c r="E1165"/>
  <c r="E1163"/>
  <c r="E1161"/>
  <c r="E1159"/>
  <c r="E1157"/>
  <c r="E1155"/>
  <c r="E1153"/>
  <c r="E1151"/>
  <c r="E1149"/>
  <c r="E1147"/>
  <c r="E1145"/>
  <c r="E1143"/>
  <c r="E1141"/>
  <c r="E1139"/>
  <c r="E1137"/>
  <c r="E1135"/>
  <c r="E1133"/>
  <c r="E1131"/>
  <c r="E1129"/>
  <c r="E1127"/>
  <c r="E1125"/>
  <c r="E1123"/>
  <c r="E1121"/>
  <c r="E1119"/>
  <c r="E1117"/>
  <c r="E1115"/>
  <c r="E1113"/>
  <c r="E1111"/>
  <c r="E1109"/>
  <c r="E1107"/>
  <c r="E1105"/>
  <c r="E1103"/>
  <c r="E1101"/>
  <c r="E1099"/>
  <c r="E1097"/>
  <c r="E1095"/>
  <c r="E1093"/>
  <c r="E1091"/>
  <c r="E1089"/>
  <c r="E1087"/>
  <c r="E1085"/>
  <c r="E1083"/>
  <c r="E1081"/>
  <c r="E1079"/>
  <c r="E1077"/>
  <c r="E1075"/>
  <c r="E1073"/>
  <c r="E1071"/>
  <c r="E1069"/>
  <c r="E1067"/>
  <c r="E1065"/>
  <c r="E1063"/>
  <c r="E1061"/>
  <c r="E1059"/>
  <c r="E1057"/>
  <c r="E1055"/>
  <c r="E1053"/>
  <c r="E1051"/>
  <c r="E1049"/>
  <c r="E1047"/>
  <c r="E1045"/>
  <c r="E1043"/>
  <c r="E1041"/>
  <c r="E1039"/>
  <c r="E1037"/>
  <c r="E1035"/>
  <c r="E1033"/>
  <c r="E1031"/>
  <c r="E1029"/>
  <c r="E1027"/>
  <c r="E1025"/>
  <c r="E1023"/>
  <c r="E1021"/>
  <c r="E1019"/>
  <c r="E1017"/>
  <c r="E1015"/>
  <c r="E1013"/>
  <c r="E1011"/>
  <c r="E1009"/>
  <c r="E1007"/>
  <c r="E1005"/>
  <c r="X12"/>
  <c r="Z12" s="1"/>
  <c r="CW32" i="9"/>
  <c r="CW49" s="1"/>
  <c r="CW13"/>
  <c r="CT31"/>
  <c r="CT48" s="1"/>
  <c r="J42" i="12"/>
  <c r="CT47" i="9"/>
  <c r="CT34"/>
  <c r="M14" i="12" s="1"/>
  <c r="CW30" i="9"/>
  <c r="G10" i="12"/>
  <c r="I20" i="14"/>
  <c r="N18" i="6"/>
  <c r="K18"/>
  <c r="K48" i="36"/>
  <c r="K49" s="1"/>
  <c r="C120" i="39"/>
  <c r="K120" s="1"/>
  <c r="L120" s="1"/>
  <c r="C120" i="38"/>
  <c r="K120" s="1"/>
  <c r="L120" s="1"/>
  <c r="C120" i="40"/>
  <c r="M120" s="1"/>
  <c r="N120" s="1"/>
  <c r="M18" i="6"/>
  <c r="K50" i="36"/>
  <c r="K51" s="1"/>
  <c r="Q14" i="44"/>
  <c r="S14" s="1"/>
  <c r="H32" i="10"/>
  <c r="I38" i="12"/>
  <c r="D161" i="40"/>
  <c r="M99"/>
  <c r="N99" s="1"/>
  <c r="M111"/>
  <c r="N111" s="1"/>
  <c r="D162"/>
  <c r="O37" i="12"/>
  <c r="O45"/>
  <c r="X5" i="44"/>
  <c r="D168" i="40"/>
  <c r="K36" i="12"/>
  <c r="N42"/>
  <c r="N37"/>
  <c r="I32" i="10"/>
  <c r="K45" i="12"/>
  <c r="O42"/>
  <c r="J29" i="10"/>
  <c r="J30"/>
  <c r="H26" i="12"/>
  <c r="H41" s="1"/>
  <c r="J27" i="10"/>
  <c r="N45" i="12"/>
  <c r="J40"/>
  <c r="C32" i="10"/>
  <c r="E32"/>
  <c r="N40" i="12"/>
  <c r="N36"/>
  <c r="H21"/>
  <c r="J22" i="10"/>
  <c r="J23"/>
  <c r="L45" i="12"/>
  <c r="K40"/>
  <c r="K41"/>
  <c r="O41"/>
  <c r="K42"/>
  <c r="M42"/>
  <c r="J31" i="10"/>
  <c r="J45" i="12"/>
  <c r="N38"/>
  <c r="N39"/>
  <c r="D32" i="10"/>
  <c r="O40" i="12"/>
  <c r="I42"/>
  <c r="J28" i="10"/>
  <c r="H27" i="12"/>
  <c r="I40"/>
  <c r="I41"/>
  <c r="O147" i="27"/>
  <c r="G32" i="10"/>
  <c r="F32"/>
  <c r="J41" i="12"/>
  <c r="N41"/>
  <c r="Q11" i="44"/>
  <c r="S11" s="1"/>
  <c r="D8765"/>
  <c r="Q16"/>
  <c r="S16" s="1"/>
  <c r="Q15"/>
  <c r="O148" i="27" l="1"/>
  <c r="O149" s="1"/>
  <c r="O150" s="1"/>
  <c r="O151" s="1"/>
  <c r="O152" s="1"/>
  <c r="O153" s="1"/>
  <c r="O154" s="1"/>
  <c r="O155" s="1"/>
  <c r="O156" s="1"/>
  <c r="O157" s="1"/>
  <c r="O158" s="1"/>
  <c r="H67" i="14"/>
  <c r="H72"/>
  <c r="K88" i="38"/>
  <c r="L88" s="1"/>
  <c r="D160"/>
  <c r="I40" i="14"/>
  <c r="H43"/>
  <c r="M137" i="46"/>
  <c r="M142" s="1"/>
  <c r="K76" i="38"/>
  <c r="L76" s="1"/>
  <c r="D159"/>
  <c r="C27" i="11"/>
  <c r="H13" i="12"/>
  <c r="M29"/>
  <c r="K15" i="38"/>
  <c r="L15" s="1"/>
  <c r="D154"/>
  <c r="O30" i="46"/>
  <c r="O33"/>
  <c r="H42" i="12"/>
  <c r="I56" i="14"/>
  <c r="G71"/>
  <c r="N132" i="46"/>
  <c r="E158" i="38"/>
  <c r="N12" i="46"/>
  <c r="N17" s="1"/>
  <c r="D153" i="38"/>
  <c r="K135" i="46"/>
  <c r="K140" s="1"/>
  <c r="I72" i="14"/>
  <c r="P107"/>
  <c r="P114" s="1"/>
  <c r="P121" s="1"/>
  <c r="F56"/>
  <c r="CK51" i="9"/>
  <c r="CN51"/>
  <c r="G52" i="14"/>
  <c r="G56"/>
  <c r="G67"/>
  <c r="F72"/>
  <c r="M136"/>
  <c r="M141" s="1"/>
  <c r="K141"/>
  <c r="K136"/>
  <c r="F71"/>
  <c r="O135" i="46"/>
  <c r="O140" s="1"/>
  <c r="I12"/>
  <c r="I17" s="1"/>
  <c r="I18" s="1"/>
  <c r="I71" i="14"/>
  <c r="G72"/>
  <c r="E18"/>
  <c r="J56"/>
  <c r="M67"/>
  <c r="K72"/>
  <c r="K67"/>
  <c r="M72"/>
  <c r="E67"/>
  <c r="E72"/>
  <c r="M99"/>
  <c r="M104" s="1"/>
  <c r="K104"/>
  <c r="K99"/>
  <c r="N30" i="46"/>
  <c r="N33"/>
  <c r="K40"/>
  <c r="K43"/>
  <c r="M40"/>
  <c r="M43" s="1"/>
  <c r="K52"/>
  <c r="K56"/>
  <c r="M52"/>
  <c r="M56" s="1"/>
  <c r="J30" i="14"/>
  <c r="G43"/>
  <c r="I83"/>
  <c r="I88" s="1"/>
  <c r="J99"/>
  <c r="J104" s="1"/>
  <c r="D168" i="38"/>
  <c r="J98" i="46"/>
  <c r="J103" s="1"/>
  <c r="I43" i="14"/>
  <c r="K66" i="46"/>
  <c r="K71" s="1"/>
  <c r="K119" i="14"/>
  <c r="K126" s="1"/>
  <c r="C160" i="39"/>
  <c r="E160" s="1"/>
  <c r="F160" s="1"/>
  <c r="C160" i="40"/>
  <c r="E160" s="1"/>
  <c r="F160" s="1"/>
  <c r="C160" i="38"/>
  <c r="C161" i="39"/>
  <c r="E161" s="1"/>
  <c r="F161" s="1"/>
  <c r="C161" i="38"/>
  <c r="K88" i="14"/>
  <c r="K83"/>
  <c r="G5" i="12"/>
  <c r="CE34" i="9"/>
  <c r="CE43"/>
  <c r="C161" i="40"/>
  <c r="E161" s="1"/>
  <c r="F161" s="1"/>
  <c r="O7" i="14"/>
  <c r="D12"/>
  <c r="D17" s="1"/>
  <c r="E153" i="38"/>
  <c r="D5" i="12"/>
  <c r="E5" s="1"/>
  <c r="F5" s="1"/>
  <c r="E155" i="38"/>
  <c r="D7" i="12"/>
  <c r="E7" s="1"/>
  <c r="F7" s="1"/>
  <c r="F12" i="14"/>
  <c r="F17" s="1"/>
  <c r="E157" i="38"/>
  <c r="D9" i="12"/>
  <c r="E9" s="1"/>
  <c r="F9" s="1"/>
  <c r="H12" i="14"/>
  <c r="H17" s="1"/>
  <c r="I21" s="1"/>
  <c r="E156" i="38"/>
  <c r="D8" i="12"/>
  <c r="E8" s="1"/>
  <c r="F8" s="1"/>
  <c r="G12" i="14"/>
  <c r="G17" s="1"/>
  <c r="I18"/>
  <c r="F158" i="38"/>
  <c r="D138"/>
  <c r="J126"/>
  <c r="K126" s="1"/>
  <c r="J130"/>
  <c r="K130" s="1"/>
  <c r="D142"/>
  <c r="E141"/>
  <c r="K135"/>
  <c r="E138"/>
  <c r="D137"/>
  <c r="J125"/>
  <c r="K125" s="1"/>
  <c r="D143"/>
  <c r="J131"/>
  <c r="K131" s="1"/>
  <c r="E143"/>
  <c r="E140"/>
  <c r="O12" i="46"/>
  <c r="O17" s="1"/>
  <c r="D14" i="12"/>
  <c r="O12" i="14"/>
  <c r="O17" s="1"/>
  <c r="O21" s="1"/>
  <c r="J124" i="38"/>
  <c r="D136"/>
  <c r="D140"/>
  <c r="J128"/>
  <c r="K128" s="1"/>
  <c r="D144"/>
  <c r="J132"/>
  <c r="K132" s="1"/>
  <c r="E145"/>
  <c r="E137"/>
  <c r="E142"/>
  <c r="J127"/>
  <c r="K127" s="1"/>
  <c r="D139"/>
  <c r="J129"/>
  <c r="K129" s="1"/>
  <c r="D141"/>
  <c r="J141" s="1"/>
  <c r="K141" s="1"/>
  <c r="D145"/>
  <c r="J133"/>
  <c r="K133" s="1"/>
  <c r="E139"/>
  <c r="E144"/>
  <c r="E136"/>
  <c r="J83" i="46"/>
  <c r="J88" s="1"/>
  <c r="N137"/>
  <c r="N142" s="1"/>
  <c r="J33" i="14"/>
  <c r="I99"/>
  <c r="I104" s="1"/>
  <c r="F33"/>
  <c r="J132" i="46"/>
  <c r="J137" s="1"/>
  <c r="J142" s="1"/>
  <c r="J135"/>
  <c r="J140" s="1"/>
  <c r="J119"/>
  <c r="J126" s="1"/>
  <c r="P137"/>
  <c r="P142" s="1"/>
  <c r="O137"/>
  <c r="O142" s="1"/>
  <c r="D33" i="14"/>
  <c r="J99" i="46"/>
  <c r="J104" s="1"/>
  <c r="J189"/>
  <c r="D52" i="14"/>
  <c r="E8765" i="44"/>
  <c r="J32" i="10"/>
  <c r="X17" i="44"/>
  <c r="H17" i="10"/>
  <c r="P90" i="46" s="1"/>
  <c r="I118" i="14"/>
  <c r="I125" s="1"/>
  <c r="N136"/>
  <c r="N141" s="1"/>
  <c r="D118"/>
  <c r="D125" s="1"/>
  <c r="Q133"/>
  <c r="Q138" s="1"/>
  <c r="Q132"/>
  <c r="Q137" s="1"/>
  <c r="Q142" s="1"/>
  <c r="Q131"/>
  <c r="Q136" s="1"/>
  <c r="Q141" s="1"/>
  <c r="O136"/>
  <c r="O141" s="1"/>
  <c r="I119"/>
  <c r="I126" s="1"/>
  <c r="E119"/>
  <c r="E126" s="1"/>
  <c r="F119"/>
  <c r="F126" s="1"/>
  <c r="E118"/>
  <c r="E125" s="1"/>
  <c r="O119"/>
  <c r="O126" s="1"/>
  <c r="D119"/>
  <c r="D126" s="1"/>
  <c r="N99"/>
  <c r="N104" s="1"/>
  <c r="H98"/>
  <c r="H103" s="1"/>
  <c r="H99"/>
  <c r="H104" s="1"/>
  <c r="G98"/>
  <c r="G103" s="1"/>
  <c r="F98"/>
  <c r="F103" s="1"/>
  <c r="G99"/>
  <c r="G104" s="1"/>
  <c r="F99"/>
  <c r="F104" s="1"/>
  <c r="O99"/>
  <c r="O104" s="1"/>
  <c r="H66"/>
  <c r="F67"/>
  <c r="J82"/>
  <c r="J87" s="1"/>
  <c r="I67"/>
  <c r="J83"/>
  <c r="J88" s="1"/>
  <c r="E82"/>
  <c r="E87" s="1"/>
  <c r="F66"/>
  <c r="E66"/>
  <c r="O83"/>
  <c r="O88" s="1"/>
  <c r="N83"/>
  <c r="N88" s="1"/>
  <c r="M83"/>
  <c r="M88" s="1"/>
  <c r="E83"/>
  <c r="E88" s="1"/>
  <c r="F83"/>
  <c r="F88" s="1"/>
  <c r="G66"/>
  <c r="I66"/>
  <c r="N67"/>
  <c r="N72" s="1"/>
  <c r="G82"/>
  <c r="G87" s="1"/>
  <c r="F82"/>
  <c r="F87" s="1"/>
  <c r="D83"/>
  <c r="D88" s="1"/>
  <c r="E52"/>
  <c r="G40"/>
  <c r="H52"/>
  <c r="J52"/>
  <c r="F52"/>
  <c r="J40"/>
  <c r="I52"/>
  <c r="E30"/>
  <c r="H40"/>
  <c r="I30"/>
  <c r="F30"/>
  <c r="E40"/>
  <c r="H30"/>
  <c r="F40"/>
  <c r="Q6" i="44"/>
  <c r="S6" s="1"/>
  <c r="Z5"/>
  <c r="Z17" s="1"/>
  <c r="C121" i="39"/>
  <c r="K121" s="1"/>
  <c r="L121" s="1"/>
  <c r="C121" i="38"/>
  <c r="K121" s="1"/>
  <c r="L121" s="1"/>
  <c r="C121" i="40"/>
  <c r="M121" s="1"/>
  <c r="N121" s="1"/>
  <c r="C28" i="11"/>
  <c r="M30" i="12"/>
  <c r="H14"/>
  <c r="CW31" i="9"/>
  <c r="CW48" s="1"/>
  <c r="C119" i="39"/>
  <c r="C119" i="38"/>
  <c r="C119" i="40"/>
  <c r="P18" i="6"/>
  <c r="C122" i="40"/>
  <c r="M122" s="1"/>
  <c r="N122" s="1"/>
  <c r="C122" i="38"/>
  <c r="K122" s="1"/>
  <c r="L122" s="1"/>
  <c r="C122" i="39"/>
  <c r="K122" s="1"/>
  <c r="L122" s="1"/>
  <c r="CW34" i="9"/>
  <c r="CW60" s="1"/>
  <c r="CW62" s="1"/>
  <c r="CW47"/>
  <c r="CW16"/>
  <c r="CT51"/>
  <c r="F17" i="10"/>
  <c r="P58" i="46" s="1"/>
  <c r="P63" s="1"/>
  <c r="P68" s="1"/>
  <c r="D17" i="10"/>
  <c r="P35" i="46" s="1"/>
  <c r="P38" s="1"/>
  <c r="P41" s="1"/>
  <c r="G17" i="10"/>
  <c r="P74" i="46" s="1"/>
  <c r="P79" s="1"/>
  <c r="P84" s="1"/>
  <c r="H36" i="12"/>
  <c r="H37"/>
  <c r="H18" i="10"/>
  <c r="Q90" i="46" s="1"/>
  <c r="C17" i="10"/>
  <c r="P25" i="46" s="1"/>
  <c r="P28" s="1"/>
  <c r="P31" s="1"/>
  <c r="I17" i="10"/>
  <c r="P108" i="46" s="1"/>
  <c r="P115" s="1"/>
  <c r="P122" s="1"/>
  <c r="N40" i="25"/>
  <c r="E17" i="10"/>
  <c r="P46" i="46" s="1"/>
  <c r="S15" i="44"/>
  <c r="P145" i="14"/>
  <c r="P95" i="46" l="1"/>
  <c r="P100" s="1"/>
  <c r="P186"/>
  <c r="J12"/>
  <c r="J17" s="1"/>
  <c r="J12" i="14"/>
  <c r="J17" s="1"/>
  <c r="D11" i="12"/>
  <c r="E11" s="1"/>
  <c r="F11" s="1"/>
  <c r="E159" i="38"/>
  <c r="F159" s="1"/>
  <c r="Q107" i="46"/>
  <c r="Q114" s="1"/>
  <c r="Q121" s="1"/>
  <c r="E154" i="38"/>
  <c r="F154" s="1"/>
  <c r="D6" i="12"/>
  <c r="E6" s="1"/>
  <c r="F6" s="1"/>
  <c r="M12" i="46"/>
  <c r="M17" s="1"/>
  <c r="M12" i="14"/>
  <c r="M17" s="1"/>
  <c r="D12" i="12"/>
  <c r="K142" i="46"/>
  <c r="Q107" i="14"/>
  <c r="Q114" s="1"/>
  <c r="Q121" s="1"/>
  <c r="P187" i="46"/>
  <c r="P50"/>
  <c r="P54" s="1"/>
  <c r="Q95"/>
  <c r="Q100" s="1"/>
  <c r="N20"/>
  <c r="H29" i="12"/>
  <c r="N20" i="14"/>
  <c r="J145" i="38"/>
  <c r="K145" s="1"/>
  <c r="K137" i="46"/>
  <c r="P16" i="14"/>
  <c r="P16" i="46"/>
  <c r="P145"/>
  <c r="Q82" i="12"/>
  <c r="Q87" s="1"/>
  <c r="CE51" i="9"/>
  <c r="CE60"/>
  <c r="CE62" s="1"/>
  <c r="N6" i="46"/>
  <c r="N10" s="1"/>
  <c r="N18" s="1"/>
  <c r="C13" i="12"/>
  <c r="N6" i="14"/>
  <c r="N10" s="1"/>
  <c r="N18" s="1"/>
  <c r="E161" i="38"/>
  <c r="M6" i="46"/>
  <c r="M10" s="1"/>
  <c r="M18" s="1"/>
  <c r="C12" i="12"/>
  <c r="M6" i="14"/>
  <c r="M10" s="1"/>
  <c r="M18" s="1"/>
  <c r="E160" i="38"/>
  <c r="O20" i="46"/>
  <c r="O20" i="14"/>
  <c r="J140" i="38"/>
  <c r="K140" s="1"/>
  <c r="F153"/>
  <c r="D18" i="14"/>
  <c r="E21"/>
  <c r="J143" i="38"/>
  <c r="K143" s="1"/>
  <c r="H21" i="14"/>
  <c r="H18"/>
  <c r="F155" i="38"/>
  <c r="G21" i="14"/>
  <c r="G18"/>
  <c r="F156" i="38"/>
  <c r="F157"/>
  <c r="F21" i="14"/>
  <c r="F18"/>
  <c r="J136" i="38"/>
  <c r="K136" s="1"/>
  <c r="K124"/>
  <c r="D163"/>
  <c r="J139"/>
  <c r="K139" s="1"/>
  <c r="J144"/>
  <c r="K144" s="1"/>
  <c r="J137"/>
  <c r="K137" s="1"/>
  <c r="O21" i="46"/>
  <c r="J142" i="38"/>
  <c r="K142" s="1"/>
  <c r="J138"/>
  <c r="K138" s="1"/>
  <c r="S17" i="44"/>
  <c r="Q17"/>
  <c r="P90" i="14"/>
  <c r="H135" i="27"/>
  <c r="P148" i="14"/>
  <c r="P151" s="1"/>
  <c r="P146"/>
  <c r="P149" s="1"/>
  <c r="P152" s="1"/>
  <c r="P95"/>
  <c r="P100" s="1"/>
  <c r="CW51" i="9"/>
  <c r="CW17"/>
  <c r="C168" i="40"/>
  <c r="E168" s="1"/>
  <c r="C162"/>
  <c r="E162" s="1"/>
  <c r="F162" s="1"/>
  <c r="M119"/>
  <c r="N119" s="1"/>
  <c r="C162" i="39"/>
  <c r="E162" s="1"/>
  <c r="F162" s="1"/>
  <c r="K119"/>
  <c r="L119" s="1"/>
  <c r="C168"/>
  <c r="E168" s="1"/>
  <c r="H30" i="12"/>
  <c r="H45" s="1"/>
  <c r="C168" i="38"/>
  <c r="E168" s="1"/>
  <c r="K119"/>
  <c r="L119" s="1"/>
  <c r="C162"/>
  <c r="M45" i="12"/>
  <c r="E135" i="27"/>
  <c r="E136" s="1"/>
  <c r="E137" s="1"/>
  <c r="E138" s="1"/>
  <c r="E139" s="1"/>
  <c r="E140" s="1"/>
  <c r="E141" s="1"/>
  <c r="E142" s="1"/>
  <c r="E143" s="1"/>
  <c r="E144" s="1"/>
  <c r="E145" s="1"/>
  <c r="E146" s="1"/>
  <c r="P46" i="14"/>
  <c r="E18" i="10"/>
  <c r="Q46" i="46" s="1"/>
  <c r="P108" i="14"/>
  <c r="P115" s="1"/>
  <c r="P122" s="1"/>
  <c r="I18" i="10"/>
  <c r="Q108" i="46" s="1"/>
  <c r="Q115" s="1"/>
  <c r="Q122" s="1"/>
  <c r="I135" i="27"/>
  <c r="I136" s="1"/>
  <c r="I137" s="1"/>
  <c r="I138" s="1"/>
  <c r="I139" s="1"/>
  <c r="I140" s="1"/>
  <c r="I141" s="1"/>
  <c r="I142" s="1"/>
  <c r="I143" s="1"/>
  <c r="I144" s="1"/>
  <c r="I145" s="1"/>
  <c r="I146" s="1"/>
  <c r="G18" i="10"/>
  <c r="Q74" i="46" s="1"/>
  <c r="Q79" s="1"/>
  <c r="Q84" s="1"/>
  <c r="P74" i="14"/>
  <c r="G135" i="27"/>
  <c r="J17" i="10"/>
  <c r="P25" i="14"/>
  <c r="P28" s="1"/>
  <c r="P31" s="1"/>
  <c r="C135" i="27"/>
  <c r="C18" i="10"/>
  <c r="Q25" i="46" s="1"/>
  <c r="Q28" s="1"/>
  <c r="Q31" s="1"/>
  <c r="Q90" i="14"/>
  <c r="P35"/>
  <c r="D18" i="10"/>
  <c r="Q35" i="46" s="1"/>
  <c r="Q38" s="1"/>
  <c r="Q41" s="1"/>
  <c r="D135" i="27"/>
  <c r="F18" i="10"/>
  <c r="Q58" i="46" s="1"/>
  <c r="Q63" s="1"/>
  <c r="Q68" s="1"/>
  <c r="P58" i="14"/>
  <c r="P63" s="1"/>
  <c r="P68" s="1"/>
  <c r="F135" i="27"/>
  <c r="Q145" i="14"/>
  <c r="H82" i="12"/>
  <c r="S82"/>
  <c r="Q187" i="46" l="1"/>
  <c r="Q50"/>
  <c r="Q54" s="1"/>
  <c r="M21"/>
  <c r="N21"/>
  <c r="Q186"/>
  <c r="M21" i="14"/>
  <c r="N21"/>
  <c r="J18" i="46"/>
  <c r="J21"/>
  <c r="J21" i="14"/>
  <c r="J18"/>
  <c r="Q145" i="46"/>
  <c r="P148"/>
  <c r="P151" s="1"/>
  <c r="P146"/>
  <c r="P149" s="1"/>
  <c r="P152" s="1"/>
  <c r="Q16" i="14"/>
  <c r="Q16" i="46"/>
  <c r="F160" i="38"/>
  <c r="E12" i="12"/>
  <c r="F12" s="1"/>
  <c r="F161" i="38"/>
  <c r="G13" i="12"/>
  <c r="E13"/>
  <c r="F13" s="1"/>
  <c r="BX66" i="9"/>
  <c r="DD77"/>
  <c r="DA77"/>
  <c r="CY77"/>
  <c r="DD76"/>
  <c r="DA76"/>
  <c r="CY76"/>
  <c r="DD75"/>
  <c r="DA75"/>
  <c r="CY75"/>
  <c r="DD74"/>
  <c r="DA74"/>
  <c r="CY74"/>
  <c r="DD73"/>
  <c r="DA73"/>
  <c r="CY73"/>
  <c r="DD72"/>
  <c r="DA72"/>
  <c r="CY72"/>
  <c r="DD71"/>
  <c r="DA71"/>
  <c r="CY71"/>
  <c r="DD70"/>
  <c r="DA70"/>
  <c r="CY70"/>
  <c r="CZ69"/>
  <c r="DE68"/>
  <c r="DB68"/>
  <c r="CZ68"/>
  <c r="DE67"/>
  <c r="DB67"/>
  <c r="CZ67"/>
  <c r="DE66"/>
  <c r="DB66"/>
  <c r="DD69"/>
  <c r="CV77"/>
  <c r="CR77"/>
  <c r="CP77"/>
  <c r="CS76"/>
  <c r="CQ76"/>
  <c r="CV75"/>
  <c r="CR75"/>
  <c r="CP75"/>
  <c r="CU73"/>
  <c r="CS73"/>
  <c r="CQ73"/>
  <c r="CU72"/>
  <c r="CS72"/>
  <c r="CQ72"/>
  <c r="CU71"/>
  <c r="CS71"/>
  <c r="CQ71"/>
  <c r="CU70"/>
  <c r="CQ70"/>
  <c r="CR69"/>
  <c r="CP69"/>
  <c r="CP67"/>
  <c r="CU69"/>
  <c r="CS69"/>
  <c r="CU68"/>
  <c r="CS68"/>
  <c r="CV67"/>
  <c r="CT67"/>
  <c r="CQ67"/>
  <c r="CU66"/>
  <c r="CS66"/>
  <c r="CR67"/>
  <c r="CR68"/>
  <c r="CR66"/>
  <c r="CL77"/>
  <c r="CJ77"/>
  <c r="CM76"/>
  <c r="CK76"/>
  <c r="CG76"/>
  <c r="CL75"/>
  <c r="CJ75"/>
  <c r="CM74"/>
  <c r="CK74"/>
  <c r="CG74"/>
  <c r="CL73"/>
  <c r="CJ73"/>
  <c r="CM72"/>
  <c r="CK72"/>
  <c r="CG72"/>
  <c r="CL71"/>
  <c r="CJ71"/>
  <c r="CM70"/>
  <c r="CK70"/>
  <c r="CG70"/>
  <c r="CL69"/>
  <c r="CJ69"/>
  <c r="CM68"/>
  <c r="CK68"/>
  <c r="CG68"/>
  <c r="CL67"/>
  <c r="CJ67"/>
  <c r="CM66"/>
  <c r="CK66"/>
  <c r="CJ66"/>
  <c r="CH77"/>
  <c r="CH75"/>
  <c r="CH73"/>
  <c r="CH71"/>
  <c r="CH69"/>
  <c r="CH67"/>
  <c r="CD77"/>
  <c r="BZ77"/>
  <c r="BX77"/>
  <c r="CC76"/>
  <c r="CA76"/>
  <c r="BY76"/>
  <c r="CD75"/>
  <c r="BZ75"/>
  <c r="BX75"/>
  <c r="CC74"/>
  <c r="CA74"/>
  <c r="BY74"/>
  <c r="CD73"/>
  <c r="BZ73"/>
  <c r="BX73"/>
  <c r="CC72"/>
  <c r="CA72"/>
  <c r="BY72"/>
  <c r="CD71"/>
  <c r="BZ71"/>
  <c r="BX71"/>
  <c r="CC70"/>
  <c r="CA70"/>
  <c r="BY70"/>
  <c r="CD69"/>
  <c r="CB69"/>
  <c r="BZ69"/>
  <c r="BX69"/>
  <c r="CC68"/>
  <c r="CA68"/>
  <c r="BY68"/>
  <c r="CD67"/>
  <c r="CB67"/>
  <c r="BZ67"/>
  <c r="BX67"/>
  <c r="CC66"/>
  <c r="CA66"/>
  <c r="BY66"/>
  <c r="CV74"/>
  <c r="DE77"/>
  <c r="DB77"/>
  <c r="CZ77"/>
  <c r="DE76"/>
  <c r="DB76"/>
  <c r="CZ76"/>
  <c r="DE75"/>
  <c r="DB75"/>
  <c r="CZ75"/>
  <c r="DE74"/>
  <c r="DB74"/>
  <c r="CZ74"/>
  <c r="DE73"/>
  <c r="DB73"/>
  <c r="CZ73"/>
  <c r="DE72"/>
  <c r="DB72"/>
  <c r="CZ72"/>
  <c r="DE71"/>
  <c r="DB71"/>
  <c r="CZ71"/>
  <c r="DE70"/>
  <c r="DB70"/>
  <c r="CZ70"/>
  <c r="DA69"/>
  <c r="CY69"/>
  <c r="DD68"/>
  <c r="DA68"/>
  <c r="CY68"/>
  <c r="DD67"/>
  <c r="DA67"/>
  <c r="CY67"/>
  <c r="DD66"/>
  <c r="DA66"/>
  <c r="CZ66"/>
  <c r="CY66"/>
  <c r="CP66"/>
  <c r="CS77"/>
  <c r="CQ77"/>
  <c r="CV76"/>
  <c r="CR76"/>
  <c r="CP76"/>
  <c r="CS75"/>
  <c r="CQ75"/>
  <c r="CV73"/>
  <c r="CT73"/>
  <c r="CR73"/>
  <c r="CP73"/>
  <c r="CV72"/>
  <c r="CT72"/>
  <c r="CR72"/>
  <c r="CP72"/>
  <c r="CV71"/>
  <c r="CT71"/>
  <c r="CR71"/>
  <c r="CP71"/>
  <c r="CV70"/>
  <c r="CR70"/>
  <c r="CP70"/>
  <c r="CQ69"/>
  <c r="CP68"/>
  <c r="CV69"/>
  <c r="CT69"/>
  <c r="CV68"/>
  <c r="CT68"/>
  <c r="CQ68"/>
  <c r="CU67"/>
  <c r="CS67"/>
  <c r="CV66"/>
  <c r="CT66"/>
  <c r="CQ66"/>
  <c r="CM77"/>
  <c r="CK77"/>
  <c r="CG77"/>
  <c r="CL76"/>
  <c r="CJ76"/>
  <c r="CM75"/>
  <c r="CK75"/>
  <c r="CG75"/>
  <c r="CL74"/>
  <c r="CJ74"/>
  <c r="CM73"/>
  <c r="CK73"/>
  <c r="CG73"/>
  <c r="CL72"/>
  <c r="CJ72"/>
  <c r="CM71"/>
  <c r="CK71"/>
  <c r="CG71"/>
  <c r="CL70"/>
  <c r="CJ70"/>
  <c r="CM69"/>
  <c r="CK69"/>
  <c r="CG69"/>
  <c r="CL68"/>
  <c r="CJ68"/>
  <c r="CM67"/>
  <c r="CK67"/>
  <c r="CG67"/>
  <c r="CL66"/>
  <c r="CG66"/>
  <c r="CH76"/>
  <c r="CH74"/>
  <c r="CH72"/>
  <c r="CH70"/>
  <c r="CH68"/>
  <c r="CH66"/>
  <c r="CC77"/>
  <c r="CA77"/>
  <c r="BY77"/>
  <c r="CD76"/>
  <c r="BZ76"/>
  <c r="BX76"/>
  <c r="CC75"/>
  <c r="CA75"/>
  <c r="BY75"/>
  <c r="CD74"/>
  <c r="BZ74"/>
  <c r="BX74"/>
  <c r="CC73"/>
  <c r="CA73"/>
  <c r="BY73"/>
  <c r="CD72"/>
  <c r="BZ72"/>
  <c r="BX72"/>
  <c r="CC71"/>
  <c r="CA71"/>
  <c r="BY71"/>
  <c r="CD70"/>
  <c r="CB70"/>
  <c r="BZ70"/>
  <c r="BX70"/>
  <c r="CC69"/>
  <c r="CA69"/>
  <c r="BY69"/>
  <c r="CD68"/>
  <c r="CB68"/>
  <c r="BZ68"/>
  <c r="BX68"/>
  <c r="CC67"/>
  <c r="CA67"/>
  <c r="BY67"/>
  <c r="CD66"/>
  <c r="CB66"/>
  <c r="BZ66"/>
  <c r="CI67"/>
  <c r="CI68"/>
  <c r="CI69"/>
  <c r="CI70"/>
  <c r="CI71"/>
  <c r="CI72"/>
  <c r="CI73"/>
  <c r="CI74"/>
  <c r="CI75"/>
  <c r="CI76"/>
  <c r="CI77"/>
  <c r="CI66"/>
  <c r="DE69"/>
  <c r="CR74"/>
  <c r="CS74"/>
  <c r="CT74"/>
  <c r="DC73"/>
  <c r="DF73" s="1"/>
  <c r="DC76"/>
  <c r="CU77"/>
  <c r="DB69"/>
  <c r="CS70"/>
  <c r="CP74"/>
  <c r="CQ74"/>
  <c r="CU74"/>
  <c r="DC70"/>
  <c r="DC71"/>
  <c r="DC72"/>
  <c r="DC68"/>
  <c r="DC69"/>
  <c r="DC67"/>
  <c r="DC66"/>
  <c r="DC74"/>
  <c r="DC75"/>
  <c r="DC77"/>
  <c r="CU75"/>
  <c r="CU76"/>
  <c r="CT70"/>
  <c r="CB75"/>
  <c r="CB74"/>
  <c r="CT77"/>
  <c r="CT75"/>
  <c r="CB77"/>
  <c r="CB73"/>
  <c r="CB71"/>
  <c r="CB76"/>
  <c r="CB72"/>
  <c r="CT76"/>
  <c r="O6" i="46"/>
  <c r="O10" s="1"/>
  <c r="O18" s="1"/>
  <c r="D164" i="38"/>
  <c r="P12" i="46"/>
  <c r="D15" i="12"/>
  <c r="P12" i="14"/>
  <c r="Q83" i="12"/>
  <c r="P187" i="14"/>
  <c r="H136" i="27"/>
  <c r="P186" i="14"/>
  <c r="Q95"/>
  <c r="Q100" s="1"/>
  <c r="Q148"/>
  <c r="Q151" s="1"/>
  <c r="Q146"/>
  <c r="Q149" s="1"/>
  <c r="Q152" s="1"/>
  <c r="P79"/>
  <c r="P84" s="1"/>
  <c r="P50"/>
  <c r="P54" s="1"/>
  <c r="P38"/>
  <c r="P41" s="1"/>
  <c r="G136" i="27"/>
  <c r="D136"/>
  <c r="F136"/>
  <c r="E162" i="38"/>
  <c r="C14" i="12"/>
  <c r="O6" i="14"/>
  <c r="O10" s="1"/>
  <c r="O18" s="1"/>
  <c r="I147" i="27"/>
  <c r="I148" s="1"/>
  <c r="I149" s="1"/>
  <c r="I150" s="1"/>
  <c r="I151" s="1"/>
  <c r="I152" s="1"/>
  <c r="I153" s="1"/>
  <c r="I154" s="1"/>
  <c r="I155" s="1"/>
  <c r="I156" s="1"/>
  <c r="I157" s="1"/>
  <c r="I158" s="1"/>
  <c r="Q35" i="14"/>
  <c r="Q38" s="1"/>
  <c r="Q41" s="1"/>
  <c r="J18" i="10"/>
  <c r="Q25" i="14"/>
  <c r="Q28" s="1"/>
  <c r="Q31" s="1"/>
  <c r="Q108"/>
  <c r="Q115" s="1"/>
  <c r="Q122" s="1"/>
  <c r="Q58"/>
  <c r="Q63" s="1"/>
  <c r="Q68" s="1"/>
  <c r="J123" i="40"/>
  <c r="L123" s="1"/>
  <c r="C136" i="27"/>
  <c r="M135"/>
  <c r="Q74" i="14"/>
  <c r="Q79" s="1"/>
  <c r="Q84" s="1"/>
  <c r="Q46"/>
  <c r="E147" i="27"/>
  <c r="E148" s="1"/>
  <c r="E149" s="1"/>
  <c r="E150" s="1"/>
  <c r="E151" s="1"/>
  <c r="E152" s="1"/>
  <c r="E153" s="1"/>
  <c r="E154" s="1"/>
  <c r="E155" s="1"/>
  <c r="E156" s="1"/>
  <c r="E157" s="1"/>
  <c r="E158" s="1"/>
  <c r="S83" i="12"/>
  <c r="CW76" i="9" l="1"/>
  <c r="CE70"/>
  <c r="CL79"/>
  <c r="CW71"/>
  <c r="CW72"/>
  <c r="CW73"/>
  <c r="DA79"/>
  <c r="H83" i="12"/>
  <c r="Q88"/>
  <c r="Q146" i="46"/>
  <c r="Q149" s="1"/>
  <c r="Q152" s="1"/>
  <c r="Q148"/>
  <c r="Q151" s="1"/>
  <c r="CG79" i="9"/>
  <c r="CN66"/>
  <c r="CW66"/>
  <c r="CP79"/>
  <c r="BX79"/>
  <c r="CE66"/>
  <c r="CW77"/>
  <c r="CW74"/>
  <c r="CI79"/>
  <c r="BZ79"/>
  <c r="CD79"/>
  <c r="CE68"/>
  <c r="CE72"/>
  <c r="CE74"/>
  <c r="CE76"/>
  <c r="CH79"/>
  <c r="CN67"/>
  <c r="CN71"/>
  <c r="CN75"/>
  <c r="CQ79"/>
  <c r="CV79"/>
  <c r="CW68"/>
  <c r="CW70"/>
  <c r="CZ79"/>
  <c r="DD79"/>
  <c r="DF68"/>
  <c r="BY79"/>
  <c r="CC79"/>
  <c r="CE69"/>
  <c r="CJ79"/>
  <c r="CM79"/>
  <c r="CN70"/>
  <c r="CN74"/>
  <c r="CR79"/>
  <c r="CU79"/>
  <c r="CW67"/>
  <c r="CW75"/>
  <c r="DE79"/>
  <c r="DF70"/>
  <c r="DF72"/>
  <c r="DF74"/>
  <c r="DF76"/>
  <c r="N91" i="14"/>
  <c r="CY79" i="9"/>
  <c r="DF66"/>
  <c r="DC79"/>
  <c r="CB79"/>
  <c r="CN69"/>
  <c r="CN73"/>
  <c r="CN77"/>
  <c r="CT79"/>
  <c r="O75" i="14" s="1"/>
  <c r="DF67" i="9"/>
  <c r="DF69"/>
  <c r="CA79"/>
  <c r="CE67"/>
  <c r="CE71"/>
  <c r="CE73"/>
  <c r="CE75"/>
  <c r="CE77"/>
  <c r="CK79"/>
  <c r="N75" i="14" s="1"/>
  <c r="CN68" i="9"/>
  <c r="CN72"/>
  <c r="CN76"/>
  <c r="CS79"/>
  <c r="CW69"/>
  <c r="DB79"/>
  <c r="DF71"/>
  <c r="DF75"/>
  <c r="DF77"/>
  <c r="O76" i="46"/>
  <c r="Q12"/>
  <c r="Q12" i="14"/>
  <c r="D16" i="12"/>
  <c r="Q50" i="14"/>
  <c r="Q54" s="1"/>
  <c r="Q187"/>
  <c r="D8" i="48" s="1"/>
  <c r="H137" i="27"/>
  <c r="H138" s="1"/>
  <c r="Q186" i="14"/>
  <c r="D7" i="48" s="1"/>
  <c r="F137" i="27"/>
  <c r="D137"/>
  <c r="G137"/>
  <c r="F162" i="38"/>
  <c r="E14" i="12"/>
  <c r="F14" s="1"/>
  <c r="G14"/>
  <c r="C137" i="27"/>
  <c r="J124" i="40"/>
  <c r="L124" s="1"/>
  <c r="M124" s="1"/>
  <c r="M136" i="27"/>
  <c r="M123" i="40"/>
  <c r="E8" i="48" l="1"/>
  <c r="F8"/>
  <c r="DF79" i="9"/>
  <c r="E7" i="48"/>
  <c r="F7"/>
  <c r="O77" i="14"/>
  <c r="O80"/>
  <c r="O85" s="1"/>
  <c r="M75"/>
  <c r="M12" i="12"/>
  <c r="O36" i="14"/>
  <c r="N59"/>
  <c r="N12" i="12"/>
  <c r="M91" i="14"/>
  <c r="K96" s="1"/>
  <c r="K101" s="1"/>
  <c r="O47"/>
  <c r="N47"/>
  <c r="M36"/>
  <c r="J12" i="12"/>
  <c r="J28" s="1"/>
  <c r="I12"/>
  <c r="M26" i="14"/>
  <c r="N26"/>
  <c r="CW79" i="9"/>
  <c r="O59" i="14"/>
  <c r="N76" i="46"/>
  <c r="O81" s="1"/>
  <c r="O86" s="1"/>
  <c r="N80" i="14"/>
  <c r="N85" s="1"/>
  <c r="N77"/>
  <c r="M59"/>
  <c r="L12" i="12"/>
  <c r="N92" i="46"/>
  <c r="N96" i="14"/>
  <c r="N101" s="1"/>
  <c r="N93"/>
  <c r="O91"/>
  <c r="N109"/>
  <c r="K12" i="12"/>
  <c r="K28" s="1"/>
  <c r="M47" i="14"/>
  <c r="O109"/>
  <c r="O12" i="12"/>
  <c r="M109" i="14"/>
  <c r="K116" s="1"/>
  <c r="K123" s="1"/>
  <c r="N36"/>
  <c r="O26"/>
  <c r="CE79" i="9"/>
  <c r="CN79"/>
  <c r="O78" i="46"/>
  <c r="G138" i="27"/>
  <c r="D138"/>
  <c r="H139"/>
  <c r="F138"/>
  <c r="J125" i="40"/>
  <c r="L125" s="1"/>
  <c r="C138" i="27"/>
  <c r="M137"/>
  <c r="O188" i="14" l="1"/>
  <c r="M77"/>
  <c r="M76" i="46"/>
  <c r="K81" s="1"/>
  <c r="K86" s="1"/>
  <c r="O29" i="14"/>
  <c r="O32" s="1"/>
  <c r="O27"/>
  <c r="N39"/>
  <c r="N42" s="1"/>
  <c r="N37"/>
  <c r="M116"/>
  <c r="M123" s="1"/>
  <c r="M110" i="46"/>
  <c r="K117" s="1"/>
  <c r="K124" s="1"/>
  <c r="M111" i="14"/>
  <c r="M188"/>
  <c r="K44" i="12"/>
  <c r="K43"/>
  <c r="N188" i="14"/>
  <c r="N110" i="46"/>
  <c r="N116" i="14"/>
  <c r="N123" s="1"/>
  <c r="N111"/>
  <c r="N118" s="1"/>
  <c r="N125" s="1"/>
  <c r="O92" i="46"/>
  <c r="O96" i="14"/>
  <c r="O101" s="1"/>
  <c r="O93"/>
  <c r="O98" s="1"/>
  <c r="O103" s="1"/>
  <c r="N94" i="46"/>
  <c r="K64" i="14"/>
  <c r="K69" s="1"/>
  <c r="M60" i="46"/>
  <c r="K65" s="1"/>
  <c r="K70" s="1"/>
  <c r="M64" i="14"/>
  <c r="M69" s="1"/>
  <c r="M61"/>
  <c r="N78" i="46"/>
  <c r="O83" s="1"/>
  <c r="O88" s="1"/>
  <c r="O64" i="14"/>
  <c r="O69" s="1"/>
  <c r="O60" i="46"/>
  <c r="O61" i="14"/>
  <c r="I28" i="12"/>
  <c r="H12"/>
  <c r="J44"/>
  <c r="J43"/>
  <c r="D26" i="11"/>
  <c r="N28" i="12"/>
  <c r="N64" i="14"/>
  <c r="N69" s="1"/>
  <c r="N60" i="46"/>
  <c r="N61" i="14"/>
  <c r="N66" s="1"/>
  <c r="N71" s="1"/>
  <c r="O39"/>
  <c r="O42" s="1"/>
  <c r="O37"/>
  <c r="M28" i="12"/>
  <c r="C26" i="11"/>
  <c r="E26"/>
  <c r="O28" i="12"/>
  <c r="O110" i="46"/>
  <c r="O116" i="14"/>
  <c r="O123" s="1"/>
  <c r="O111"/>
  <c r="O118" s="1"/>
  <c r="O125" s="1"/>
  <c r="K51"/>
  <c r="K55" s="1"/>
  <c r="M48"/>
  <c r="M51"/>
  <c r="M55" s="1"/>
  <c r="B26" i="11"/>
  <c r="L28" i="12"/>
  <c r="N29" i="14"/>
  <c r="N32" s="1"/>
  <c r="N27"/>
  <c r="K29"/>
  <c r="K32"/>
  <c r="M29"/>
  <c r="M32" s="1"/>
  <c r="M27"/>
  <c r="K39"/>
  <c r="K42"/>
  <c r="M39"/>
  <c r="M42" s="1"/>
  <c r="M37"/>
  <c r="N51"/>
  <c r="N55" s="1"/>
  <c r="N48"/>
  <c r="O51"/>
  <c r="O55" s="1"/>
  <c r="O48"/>
  <c r="M92" i="46"/>
  <c r="K97" s="1"/>
  <c r="K102" s="1"/>
  <c r="M96" i="14"/>
  <c r="M101" s="1"/>
  <c r="M93"/>
  <c r="K80"/>
  <c r="K85" s="1"/>
  <c r="M80"/>
  <c r="M85" s="1"/>
  <c r="O82"/>
  <c r="O87" s="1"/>
  <c r="F139" i="27"/>
  <c r="H140"/>
  <c r="D139"/>
  <c r="G139"/>
  <c r="M125" i="40"/>
  <c r="C139" i="27"/>
  <c r="J126" i="40"/>
  <c r="L126" s="1"/>
  <c r="M126" s="1"/>
  <c r="M138" i="27"/>
  <c r="M98" i="14" l="1"/>
  <c r="M103" s="1"/>
  <c r="K98"/>
  <c r="K103"/>
  <c r="M118"/>
  <c r="M125" s="1"/>
  <c r="K118"/>
  <c r="K125" s="1"/>
  <c r="M78" i="46"/>
  <c r="M81"/>
  <c r="M86" s="1"/>
  <c r="K87" i="14"/>
  <c r="K82"/>
  <c r="M82"/>
  <c r="M87" s="1"/>
  <c r="O56"/>
  <c r="O52"/>
  <c r="N52"/>
  <c r="N56"/>
  <c r="M40"/>
  <c r="K43"/>
  <c r="K40"/>
  <c r="M43"/>
  <c r="K33"/>
  <c r="K30"/>
  <c r="M33"/>
  <c r="M30"/>
  <c r="N33"/>
  <c r="N30"/>
  <c r="L44" i="12"/>
  <c r="L43"/>
  <c r="K56" i="14"/>
  <c r="K52"/>
  <c r="M52"/>
  <c r="M56"/>
  <c r="O117" i="46"/>
  <c r="O124" s="1"/>
  <c r="O112"/>
  <c r="O189"/>
  <c r="E29" i="11"/>
  <c r="M43" i="12"/>
  <c r="M44"/>
  <c r="O43" i="14"/>
  <c r="O40"/>
  <c r="D29" i="11"/>
  <c r="J47" i="12"/>
  <c r="I43"/>
  <c r="I44"/>
  <c r="O62" i="46"/>
  <c r="O65"/>
  <c r="O70" s="1"/>
  <c r="M66" i="14"/>
  <c r="M71" s="1"/>
  <c r="K71"/>
  <c r="K66"/>
  <c r="M65" i="46"/>
  <c r="M70" s="1"/>
  <c r="M62"/>
  <c r="O97"/>
  <c r="O102" s="1"/>
  <c r="O94"/>
  <c r="O99" s="1"/>
  <c r="O104" s="1"/>
  <c r="N82" i="14"/>
  <c r="N87" s="1"/>
  <c r="N83" i="46"/>
  <c r="N88" s="1"/>
  <c r="M94"/>
  <c r="M97"/>
  <c r="M102" s="1"/>
  <c r="B29" i="11"/>
  <c r="O44" i="12"/>
  <c r="O43"/>
  <c r="C29" i="11"/>
  <c r="N65" i="46"/>
  <c r="N70" s="1"/>
  <c r="N62"/>
  <c r="N67" s="1"/>
  <c r="N72" s="1"/>
  <c r="N44" i="12"/>
  <c r="N43"/>
  <c r="M20" i="46"/>
  <c r="M20" i="14"/>
  <c r="H28" i="12"/>
  <c r="G12"/>
  <c r="G17"/>
  <c r="N189" i="46"/>
  <c r="N117"/>
  <c r="N124" s="1"/>
  <c r="N112"/>
  <c r="K47" i="12"/>
  <c r="M112" i="46"/>
  <c r="M117"/>
  <c r="M124" s="1"/>
  <c r="M189"/>
  <c r="N43" i="14"/>
  <c r="N40"/>
  <c r="O33"/>
  <c r="O30"/>
  <c r="N98"/>
  <c r="N103" s="1"/>
  <c r="O66"/>
  <c r="O71" s="1"/>
  <c r="N81" i="46"/>
  <c r="N86" s="1"/>
  <c r="N97"/>
  <c r="N102" s="1"/>
  <c r="G140" i="27"/>
  <c r="D140"/>
  <c r="H141"/>
  <c r="F140"/>
  <c r="J127" i="40"/>
  <c r="L127" s="1"/>
  <c r="C140" i="27"/>
  <c r="M139"/>
  <c r="M119" i="46" l="1"/>
  <c r="M126" s="1"/>
  <c r="K119"/>
  <c r="K126" s="1"/>
  <c r="M67"/>
  <c r="M72" s="1"/>
  <c r="K67"/>
  <c r="K72" s="1"/>
  <c r="M99"/>
  <c r="M104" s="1"/>
  <c r="K99"/>
  <c r="K104" s="1"/>
  <c r="M83"/>
  <c r="M88" s="1"/>
  <c r="K83"/>
  <c r="K88" s="1"/>
  <c r="N119"/>
  <c r="N126" s="1"/>
  <c r="H15" i="12"/>
  <c r="H54" s="1"/>
  <c r="H16"/>
  <c r="H55" s="1"/>
  <c r="H44"/>
  <c r="H43"/>
  <c r="H47" s="1"/>
  <c r="N47"/>
  <c r="I47"/>
  <c r="J31"/>
  <c r="O67" i="46"/>
  <c r="O72" s="1"/>
  <c r="K31" i="12"/>
  <c r="O47"/>
  <c r="M47"/>
  <c r="L47"/>
  <c r="N99" i="46"/>
  <c r="N104" s="1"/>
  <c r="O119"/>
  <c r="O126" s="1"/>
  <c r="F141" i="27"/>
  <c r="H142"/>
  <c r="D141"/>
  <c r="G141"/>
  <c r="C141"/>
  <c r="J128" i="40"/>
  <c r="L128" s="1"/>
  <c r="M128" s="1"/>
  <c r="M140" i="27"/>
  <c r="M127" i="40"/>
  <c r="L31" i="12" l="1"/>
  <c r="H43" i="25"/>
  <c r="D43" s="1"/>
  <c r="H47"/>
  <c r="D47" s="1"/>
  <c r="H51"/>
  <c r="D51" s="1"/>
  <c r="G48"/>
  <c r="G51"/>
  <c r="H42"/>
  <c r="D42" s="1"/>
  <c r="H46"/>
  <c r="D46" s="1"/>
  <c r="H50"/>
  <c r="D50" s="1"/>
  <c r="G46"/>
  <c r="G40"/>
  <c r="H41"/>
  <c r="D41" s="1"/>
  <c r="H45"/>
  <c r="D45" s="1"/>
  <c r="H49"/>
  <c r="D49" s="1"/>
  <c r="G44"/>
  <c r="G42"/>
  <c r="G49"/>
  <c r="H44"/>
  <c r="D44" s="1"/>
  <c r="H48"/>
  <c r="D48" s="1"/>
  <c r="H40"/>
  <c r="H69" s="1"/>
  <c r="G50"/>
  <c r="G47"/>
  <c r="G45"/>
  <c r="M31" i="12"/>
  <c r="G41" i="25"/>
  <c r="G43"/>
  <c r="O31" i="12"/>
  <c r="K50"/>
  <c r="K32"/>
  <c r="K51" s="1"/>
  <c r="J50"/>
  <c r="J32"/>
  <c r="J51" s="1"/>
  <c r="I31"/>
  <c r="N31"/>
  <c r="G142" i="27"/>
  <c r="D142"/>
  <c r="H143"/>
  <c r="F142"/>
  <c r="J129" i="40"/>
  <c r="L129" s="1"/>
  <c r="M141" i="27"/>
  <c r="C142"/>
  <c r="G69" i="25" l="1"/>
  <c r="J59" i="12"/>
  <c r="K59"/>
  <c r="C41" i="25"/>
  <c r="E41" s="1"/>
  <c r="I41"/>
  <c r="I45"/>
  <c r="C45"/>
  <c r="E45" s="1"/>
  <c r="C50"/>
  <c r="E50" s="1"/>
  <c r="I50"/>
  <c r="I49"/>
  <c r="C49"/>
  <c r="E49" s="1"/>
  <c r="C44"/>
  <c r="E44" s="1"/>
  <c r="I44"/>
  <c r="G57"/>
  <c r="G59"/>
  <c r="G61"/>
  <c r="G62"/>
  <c r="G54"/>
  <c r="G60"/>
  <c r="G55"/>
  <c r="G58"/>
  <c r="G52"/>
  <c r="G63"/>
  <c r="C40"/>
  <c r="G56"/>
  <c r="I40"/>
  <c r="G53"/>
  <c r="C48"/>
  <c r="E48" s="1"/>
  <c r="I48"/>
  <c r="N32" i="12"/>
  <c r="N51" s="1"/>
  <c r="N50"/>
  <c r="I50"/>
  <c r="I32"/>
  <c r="I51" s="1"/>
  <c r="J60"/>
  <c r="K60"/>
  <c r="O50"/>
  <c r="O32"/>
  <c r="O51" s="1"/>
  <c r="I43" i="25"/>
  <c r="C43"/>
  <c r="E43" s="1"/>
  <c r="M50" i="12"/>
  <c r="M32"/>
  <c r="M51" s="1"/>
  <c r="C47" i="25"/>
  <c r="E47" s="1"/>
  <c r="I47"/>
  <c r="D40"/>
  <c r="D69" s="1"/>
  <c r="H57"/>
  <c r="D57" s="1"/>
  <c r="H60"/>
  <c r="D60" s="1"/>
  <c r="H52"/>
  <c r="H53"/>
  <c r="D53" s="1"/>
  <c r="H61"/>
  <c r="D61" s="1"/>
  <c r="H58"/>
  <c r="D58" s="1"/>
  <c r="H56"/>
  <c r="D56" s="1"/>
  <c r="H54"/>
  <c r="D54" s="1"/>
  <c r="H62"/>
  <c r="D62" s="1"/>
  <c r="H55"/>
  <c r="D55" s="1"/>
  <c r="H63"/>
  <c r="D63" s="1"/>
  <c r="H59"/>
  <c r="D59" s="1"/>
  <c r="C42"/>
  <c r="E42" s="1"/>
  <c r="I42"/>
  <c r="C46"/>
  <c r="E46" s="1"/>
  <c r="I46"/>
  <c r="I51"/>
  <c r="C51"/>
  <c r="E51" s="1"/>
  <c r="L32" i="12"/>
  <c r="L51" s="1"/>
  <c r="L50"/>
  <c r="F143" i="27"/>
  <c r="H144"/>
  <c r="D143"/>
  <c r="G143"/>
  <c r="C143"/>
  <c r="M142"/>
  <c r="J130" i="40"/>
  <c r="L130" s="1"/>
  <c r="M130" s="1"/>
  <c r="M129"/>
  <c r="D52" i="25" l="1"/>
  <c r="D70" s="1"/>
  <c r="H70"/>
  <c r="H71" s="1"/>
  <c r="I69"/>
  <c r="D71"/>
  <c r="C69"/>
  <c r="G70"/>
  <c r="I70" s="1"/>
  <c r="L59" i="12"/>
  <c r="M59"/>
  <c r="O59"/>
  <c r="I59"/>
  <c r="S50"/>
  <c r="H50"/>
  <c r="H59" s="1"/>
  <c r="N60"/>
  <c r="C52" i="25"/>
  <c r="I52"/>
  <c r="C55"/>
  <c r="E55" s="1"/>
  <c r="I55"/>
  <c r="C54"/>
  <c r="E54" s="1"/>
  <c r="I54"/>
  <c r="C61"/>
  <c r="E61" s="1"/>
  <c r="I61"/>
  <c r="I57"/>
  <c r="C57"/>
  <c r="E57" s="1"/>
  <c r="M73" i="12"/>
  <c r="E40" i="25"/>
  <c r="L60" i="12"/>
  <c r="M60"/>
  <c r="O60"/>
  <c r="I60"/>
  <c r="H51"/>
  <c r="H60" s="1"/>
  <c r="S51"/>
  <c r="N59"/>
  <c r="C53" i="25"/>
  <c r="E53" s="1"/>
  <c r="I53"/>
  <c r="I56"/>
  <c r="C56"/>
  <c r="E56" s="1"/>
  <c r="I63"/>
  <c r="C63"/>
  <c r="E63" s="1"/>
  <c r="I58"/>
  <c r="C58"/>
  <c r="E58" s="1"/>
  <c r="I60"/>
  <c r="C60"/>
  <c r="E60" s="1"/>
  <c r="C62"/>
  <c r="E62" s="1"/>
  <c r="I62"/>
  <c r="I59"/>
  <c r="C59"/>
  <c r="E59" s="1"/>
  <c r="G144" i="27"/>
  <c r="D144"/>
  <c r="H145"/>
  <c r="F144"/>
  <c r="M143"/>
  <c r="C144"/>
  <c r="J131" i="40"/>
  <c r="L131" s="1"/>
  <c r="E69" i="25" l="1"/>
  <c r="E52"/>
  <c r="C70"/>
  <c r="E70" s="1"/>
  <c r="I71"/>
  <c r="G71"/>
  <c r="P13" i="14"/>
  <c r="P13" i="46"/>
  <c r="P17" s="1"/>
  <c r="P21" s="1"/>
  <c r="Q13"/>
  <c r="Q17" s="1"/>
  <c r="Q13" i="14"/>
  <c r="S59" i="12"/>
  <c r="M63"/>
  <c r="I63"/>
  <c r="O63"/>
  <c r="L63"/>
  <c r="S60"/>
  <c r="L64" s="1"/>
  <c r="H73"/>
  <c r="S73"/>
  <c r="N63"/>
  <c r="M74"/>
  <c r="F145" i="27"/>
  <c r="H146"/>
  <c r="D145"/>
  <c r="G145"/>
  <c r="M131" i="40"/>
  <c r="C145" i="27"/>
  <c r="M144"/>
  <c r="J132" i="40"/>
  <c r="L132" s="1"/>
  <c r="M132" s="1"/>
  <c r="I64" i="12" l="1"/>
  <c r="I55" s="1"/>
  <c r="M64"/>
  <c r="E71" i="25"/>
  <c r="O64" i="12"/>
  <c r="C71" i="25"/>
  <c r="L55" i="12"/>
  <c r="L78" s="1"/>
  <c r="K64"/>
  <c r="J64"/>
  <c r="O54"/>
  <c r="O77" s="1"/>
  <c r="K63"/>
  <c r="J63"/>
  <c r="H63" s="1"/>
  <c r="P17" i="14"/>
  <c r="P21" s="1"/>
  <c r="N64" i="12"/>
  <c r="Q21" i="46"/>
  <c r="H74" i="12"/>
  <c r="S74"/>
  <c r="O55"/>
  <c r="O78" s="1"/>
  <c r="N54"/>
  <c r="N77" s="1"/>
  <c r="M55"/>
  <c r="M78" s="1"/>
  <c r="L54"/>
  <c r="L77" s="1"/>
  <c r="S63"/>
  <c r="I54"/>
  <c r="M54"/>
  <c r="M77" s="1"/>
  <c r="Q17" i="14"/>
  <c r="G146" i="27"/>
  <c r="D146"/>
  <c r="H147"/>
  <c r="F146"/>
  <c r="M145"/>
  <c r="J133" i="40"/>
  <c r="L133" s="1"/>
  <c r="M133" s="1"/>
  <c r="C146" i="27"/>
  <c r="H64" i="12" l="1"/>
  <c r="Q21" i="14"/>
  <c r="K54" i="12"/>
  <c r="K77" s="1"/>
  <c r="K55"/>
  <c r="K78" s="1"/>
  <c r="P75" i="46"/>
  <c r="M87" i="12"/>
  <c r="C14" i="11"/>
  <c r="P75" i="14"/>
  <c r="I77" i="12"/>
  <c r="L87"/>
  <c r="B14" i="11"/>
  <c r="P59" i="46"/>
  <c r="P59" i="14"/>
  <c r="M88" i="12"/>
  <c r="C15" i="11"/>
  <c r="Q75" i="46"/>
  <c r="Q75" i="14"/>
  <c r="N87" i="12"/>
  <c r="P91" i="46"/>
  <c r="P91" i="14"/>
  <c r="D14" i="11"/>
  <c r="O88" i="12"/>
  <c r="Q109" i="46"/>
  <c r="Q109" i="14"/>
  <c r="E15" i="11"/>
  <c r="N55" i="12"/>
  <c r="N78" s="1"/>
  <c r="J54"/>
  <c r="J77" s="1"/>
  <c r="O87"/>
  <c r="P109" i="46"/>
  <c r="E14" i="11"/>
  <c r="P109" i="14"/>
  <c r="J55" i="12"/>
  <c r="J78" s="1"/>
  <c r="I78"/>
  <c r="Q59" i="14"/>
  <c r="L88" i="12"/>
  <c r="Q59" i="46"/>
  <c r="B15" i="11"/>
  <c r="S64" i="12"/>
  <c r="F147" i="27"/>
  <c r="H148"/>
  <c r="D147"/>
  <c r="G147"/>
  <c r="C147"/>
  <c r="J134" i="40"/>
  <c r="L134" s="1"/>
  <c r="M134" s="1"/>
  <c r="M146" i="27"/>
  <c r="S55" i="12" l="1"/>
  <c r="P116" i="46"/>
  <c r="P123" s="1"/>
  <c r="P111"/>
  <c r="P118" s="1"/>
  <c r="P125" s="1"/>
  <c r="P92" i="14"/>
  <c r="P92" i="46"/>
  <c r="Q80"/>
  <c r="Q85" s="1"/>
  <c r="Q77"/>
  <c r="P61"/>
  <c r="P66" s="1"/>
  <c r="P71" s="1"/>
  <c r="P64"/>
  <c r="P69" s="1"/>
  <c r="I87" i="12"/>
  <c r="P26" i="46"/>
  <c r="H77" i="12"/>
  <c r="P26" i="14"/>
  <c r="S77" i="12"/>
  <c r="P77" i="14"/>
  <c r="P82" s="1"/>
  <c r="P87" s="1"/>
  <c r="P80"/>
  <c r="P85" s="1"/>
  <c r="Q60" i="46"/>
  <c r="Q62" s="1"/>
  <c r="Q60" i="14"/>
  <c r="Q61" i="46"/>
  <c r="Q64"/>
  <c r="Q69" s="1"/>
  <c r="Q61" i="14"/>
  <c r="Q64"/>
  <c r="Q69" s="1"/>
  <c r="Q26"/>
  <c r="I88" i="12"/>
  <c r="Q26" i="46"/>
  <c r="Q27" s="1"/>
  <c r="H78" i="12"/>
  <c r="S78"/>
  <c r="P110" i="14"/>
  <c r="P110" i="46"/>
  <c r="J87" i="12"/>
  <c r="P36" i="14"/>
  <c r="P36" i="46"/>
  <c r="N88" i="12"/>
  <c r="Q91" i="14"/>
  <c r="Q188" s="1"/>
  <c r="D6" i="48" s="1"/>
  <c r="D15" i="11"/>
  <c r="Q91" i="46"/>
  <c r="Q110" i="14"/>
  <c r="Q110" i="46"/>
  <c r="Q116"/>
  <c r="Q123" s="1"/>
  <c r="Q111"/>
  <c r="Q118" s="1"/>
  <c r="Q125" s="1"/>
  <c r="P93" i="14"/>
  <c r="P98" s="1"/>
  <c r="P103" s="1"/>
  <c r="P96"/>
  <c r="P101" s="1"/>
  <c r="P96" i="46"/>
  <c r="P101" s="1"/>
  <c r="P93"/>
  <c r="P98" s="1"/>
  <c r="P103" s="1"/>
  <c r="Q80" i="14"/>
  <c r="Q85" s="1"/>
  <c r="Q77"/>
  <c r="Q82" s="1"/>
  <c r="Q87" s="1"/>
  <c r="Q76" i="46"/>
  <c r="Q76" i="14"/>
  <c r="P64"/>
  <c r="P69" s="1"/>
  <c r="P61"/>
  <c r="P66" s="1"/>
  <c r="P71" s="1"/>
  <c r="P60"/>
  <c r="P60" i="46"/>
  <c r="F14" i="11"/>
  <c r="P76" i="14"/>
  <c r="P76" i="46"/>
  <c r="P77"/>
  <c r="P82" s="1"/>
  <c r="P87" s="1"/>
  <c r="P80"/>
  <c r="P85" s="1"/>
  <c r="Q47"/>
  <c r="K88" i="12"/>
  <c r="Q47" i="14"/>
  <c r="P47"/>
  <c r="K87" i="12"/>
  <c r="P47" i="46"/>
  <c r="S54" i="12"/>
  <c r="J88"/>
  <c r="Q36" i="14"/>
  <c r="Q36" i="46"/>
  <c r="P111" i="14"/>
  <c r="P118" s="1"/>
  <c r="P125" s="1"/>
  <c r="P116"/>
  <c r="P123" s="1"/>
  <c r="Q111"/>
  <c r="Q116"/>
  <c r="Q123" s="1"/>
  <c r="D148" i="27"/>
  <c r="G148"/>
  <c r="H149"/>
  <c r="F148"/>
  <c r="C148"/>
  <c r="J135" i="40"/>
  <c r="L135" s="1"/>
  <c r="M147" i="27"/>
  <c r="H88" i="12" l="1"/>
  <c r="P188" i="46"/>
  <c r="Q66"/>
  <c r="Q71" s="1"/>
  <c r="Q37"/>
  <c r="Q39"/>
  <c r="Q42" s="1"/>
  <c r="Q48"/>
  <c r="Q51"/>
  <c r="Q55" s="1"/>
  <c r="P78" i="14"/>
  <c r="P83" s="1"/>
  <c r="P88" s="1"/>
  <c r="P81"/>
  <c r="P86" s="1"/>
  <c r="Q65" i="46"/>
  <c r="Q70" s="1"/>
  <c r="P65"/>
  <c r="P70" s="1"/>
  <c r="P62"/>
  <c r="P67" s="1"/>
  <c r="P72" s="1"/>
  <c r="Q81" i="14"/>
  <c r="Q86" s="1"/>
  <c r="Q78"/>
  <c r="Q83" s="1"/>
  <c r="Q88" s="1"/>
  <c r="Q117" i="46"/>
  <c r="Q124" s="1"/>
  <c r="Q112"/>
  <c r="Q93"/>
  <c r="Q98" s="1"/>
  <c r="Q103" s="1"/>
  <c r="Q96"/>
  <c r="Q101" s="1"/>
  <c r="Q92"/>
  <c r="Q92" i="14"/>
  <c r="P39" i="46"/>
  <c r="P42" s="1"/>
  <c r="P37"/>
  <c r="P40" s="1"/>
  <c r="P43" s="1"/>
  <c r="P37" i="14"/>
  <c r="P39"/>
  <c r="P42" s="1"/>
  <c r="Q27"/>
  <c r="Q29"/>
  <c r="Q32" s="1"/>
  <c r="P188"/>
  <c r="P29"/>
  <c r="P32" s="1"/>
  <c r="P27"/>
  <c r="H87" i="12"/>
  <c r="S87"/>
  <c r="P97" i="46"/>
  <c r="P102" s="1"/>
  <c r="P94"/>
  <c r="P99" s="1"/>
  <c r="P104" s="1"/>
  <c r="P97" i="14"/>
  <c r="P102" s="1"/>
  <c r="P94"/>
  <c r="P99" s="1"/>
  <c r="P104" s="1"/>
  <c r="Q118"/>
  <c r="Q125" s="1"/>
  <c r="Q188" i="46"/>
  <c r="Q66" i="14"/>
  <c r="Q71" s="1"/>
  <c r="F15" i="11"/>
  <c r="Q82" i="46"/>
  <c r="Q87" s="1"/>
  <c r="E6" i="48"/>
  <c r="F6"/>
  <c r="Q37" i="14"/>
  <c r="Q39"/>
  <c r="Q42" s="1"/>
  <c r="P48" i="46"/>
  <c r="P52" s="1"/>
  <c r="P56" s="1"/>
  <c r="P51"/>
  <c r="P55" s="1"/>
  <c r="P51" i="14"/>
  <c r="P55" s="1"/>
  <c r="P48"/>
  <c r="Q51"/>
  <c r="Q55" s="1"/>
  <c r="Q48"/>
  <c r="P81" i="46"/>
  <c r="P86" s="1"/>
  <c r="P78"/>
  <c r="P83" s="1"/>
  <c r="P88" s="1"/>
  <c r="P62" i="14"/>
  <c r="P67" s="1"/>
  <c r="P72" s="1"/>
  <c r="P65"/>
  <c r="P70" s="1"/>
  <c r="Q189" i="46"/>
  <c r="Q81"/>
  <c r="Q86" s="1"/>
  <c r="Q78"/>
  <c r="Q112" i="14"/>
  <c r="Q117"/>
  <c r="Q124" s="1"/>
  <c r="Q93"/>
  <c r="Q98" s="1"/>
  <c r="Q103" s="1"/>
  <c r="Q96"/>
  <c r="Q101" s="1"/>
  <c r="P112" i="46"/>
  <c r="P119" s="1"/>
  <c r="P126" s="1"/>
  <c r="P117"/>
  <c r="P124" s="1"/>
  <c r="P189"/>
  <c r="P189" i="14"/>
  <c r="P112"/>
  <c r="P119" s="1"/>
  <c r="P126" s="1"/>
  <c r="P117"/>
  <c r="P124" s="1"/>
  <c r="Q20"/>
  <c r="Q20" i="46"/>
  <c r="Q189" i="14"/>
  <c r="Q65"/>
  <c r="Q70" s="1"/>
  <c r="Q62"/>
  <c r="Q67" s="1"/>
  <c r="Q72" s="1"/>
  <c r="P20"/>
  <c r="P20" i="46"/>
  <c r="Q29"/>
  <c r="Q32" s="1"/>
  <c r="P29"/>
  <c r="P32" s="1"/>
  <c r="P27"/>
  <c r="Q33"/>
  <c r="S88" i="12"/>
  <c r="F149" i="27"/>
  <c r="H150"/>
  <c r="G149"/>
  <c r="D149"/>
  <c r="J136" i="40"/>
  <c r="L136" s="1"/>
  <c r="M136" s="1"/>
  <c r="M148" i="27"/>
  <c r="C149"/>
  <c r="M135" i="40"/>
  <c r="Q67" i="46" l="1"/>
  <c r="Q72" s="1"/>
  <c r="Q83"/>
  <c r="Q88" s="1"/>
  <c r="Q56" i="14"/>
  <c r="Q52"/>
  <c r="Q30"/>
  <c r="Q33"/>
  <c r="P43"/>
  <c r="P40"/>
  <c r="Q97"/>
  <c r="Q102" s="1"/>
  <c r="Q94"/>
  <c r="Q99" s="1"/>
  <c r="Q104" s="1"/>
  <c r="Q119"/>
  <c r="Q126" s="1"/>
  <c r="Q119" i="46"/>
  <c r="Q126" s="1"/>
  <c r="Q52"/>
  <c r="Q56" s="1"/>
  <c r="Q40"/>
  <c r="Q43" s="1"/>
  <c r="Q30"/>
  <c r="P33"/>
  <c r="P30"/>
  <c r="P52" i="14"/>
  <c r="P56"/>
  <c r="Q40"/>
  <c r="Q43"/>
  <c r="P30"/>
  <c r="P33"/>
  <c r="Q94" i="46"/>
  <c r="Q99" s="1"/>
  <c r="Q104" s="1"/>
  <c r="Q97"/>
  <c r="Q102" s="1"/>
  <c r="D150" i="27"/>
  <c r="G150"/>
  <c r="H151"/>
  <c r="F150"/>
  <c r="C150"/>
  <c r="M149"/>
  <c r="J137" i="40"/>
  <c r="L137" s="1"/>
  <c r="F151" i="27" l="1"/>
  <c r="H152"/>
  <c r="G151"/>
  <c r="D151"/>
  <c r="M137" i="40"/>
  <c r="J138"/>
  <c r="L138" s="1"/>
  <c r="M138" s="1"/>
  <c r="C151" i="27"/>
  <c r="M150"/>
  <c r="D152" l="1"/>
  <c r="G152"/>
  <c r="H153"/>
  <c r="F152"/>
  <c r="C152"/>
  <c r="M151"/>
  <c r="J139" i="40"/>
  <c r="L139" s="1"/>
  <c r="F153" i="27" l="1"/>
  <c r="H154"/>
  <c r="G153"/>
  <c r="D153"/>
  <c r="M139" i="40"/>
  <c r="J140"/>
  <c r="L140" s="1"/>
  <c r="M140" s="1"/>
  <c r="M152" i="27"/>
  <c r="C153"/>
  <c r="D154" l="1"/>
  <c r="G154"/>
  <c r="H155"/>
  <c r="F154"/>
  <c r="C154"/>
  <c r="M153"/>
  <c r="J141" i="40"/>
  <c r="L141" s="1"/>
  <c r="F155" i="27" l="1"/>
  <c r="H156"/>
  <c r="G155"/>
  <c r="D155"/>
  <c r="M141" i="40"/>
  <c r="J142"/>
  <c r="L142" s="1"/>
  <c r="M142" s="1"/>
  <c r="C155" i="27"/>
  <c r="M154"/>
  <c r="D156" l="1"/>
  <c r="G156"/>
  <c r="H157"/>
  <c r="F156"/>
  <c r="C156"/>
  <c r="J143" i="40"/>
  <c r="L143" s="1"/>
  <c r="M155" i="27"/>
  <c r="F157" l="1"/>
  <c r="H158"/>
  <c r="G157"/>
  <c r="D157"/>
  <c r="M143" i="40"/>
  <c r="M156" i="27"/>
  <c r="J144" i="40"/>
  <c r="L144" s="1"/>
  <c r="M144" s="1"/>
  <c r="C157" i="27"/>
  <c r="D158" l="1"/>
  <c r="G158"/>
  <c r="F158"/>
  <c r="C158"/>
  <c r="J145" i="40"/>
  <c r="L145" s="1"/>
  <c r="M145" s="1"/>
  <c r="M157" i="27"/>
  <c r="M158" l="1"/>
  <c r="J146" i="40"/>
  <c r="L146" s="1"/>
  <c r="M146" l="1"/>
  <c r="D163"/>
  <c r="D164"/>
</calcChain>
</file>

<file path=xl/comments1.xml><?xml version="1.0" encoding="utf-8"?>
<comments xmlns="http://schemas.openxmlformats.org/spreadsheetml/2006/main">
  <authors>
    <author>ayan</author>
    <author>Smiller</author>
  </authors>
  <commentList>
    <comment ref="B15" authorId="0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Actual COP Report 2010 190111</t>
        </r>
      </text>
    </comment>
    <comment ref="B16" authorId="0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par-pak energy added</t>
        </r>
      </text>
    </comment>
    <comment ref="B20" authorId="0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HOB Energy Forcast 2011-2016 from planning and Standards or RRR Filing (RA)</t>
        </r>
      </text>
    </comment>
    <comment ref="G90" authorId="1">
      <text>
        <r>
          <rPr>
            <b/>
            <sz val="10"/>
            <color indexed="81"/>
            <rFont val="Tahoma"/>
            <family val="2"/>
          </rPr>
          <t>Smiller:</t>
        </r>
        <r>
          <rPr>
            <sz val="10"/>
            <color indexed="81"/>
            <rFont val="Tahoma"/>
            <family val="2"/>
          </rPr>
          <t xml:space="preserve">
Note.  JYTS was not set up via MV-90  Must use Planning's data</t>
        </r>
      </text>
    </comment>
  </commentList>
</comments>
</file>

<file path=xl/comments2.xml><?xml version="1.0" encoding="utf-8"?>
<comments xmlns="http://schemas.openxmlformats.org/spreadsheetml/2006/main">
  <authors>
    <author>ayan</author>
  </authors>
  <commentList>
    <comment ref="G1" authorId="0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Wholesale on peak hours with IESO 16hrs</t>
        </r>
      </text>
    </comment>
  </commentList>
</comments>
</file>

<file path=xl/comments3.xml><?xml version="1.0" encoding="utf-8"?>
<comments xmlns="http://schemas.openxmlformats.org/spreadsheetml/2006/main">
  <authors>
    <author>dsullivan</author>
    <author>ayan</author>
  </authors>
  <commentList>
    <comment ref="C4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See Ontario Economic Outlook document in 2014 Budget Folder. (Same folder as this file).</t>
        </r>
      </text>
    </comment>
    <comment ref="D4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See Ontario Economic Outlook document in the 2014 Budget folder. (Same folder as this file).</t>
        </r>
      </text>
    </comment>
    <comment ref="A9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http://cansim2.statcan.gc.ca/cgi-win/cnsmcgi.pgm Chained (2002) Dollars Table 384-00023,4 - Gross domestic product (GDP), expenditure-based, provincial economic accounts, annual (dollars x 1,000,000)</t>
        </r>
      </text>
    </comment>
    <comment ref="E10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base year</t>
        </r>
      </text>
    </comment>
  </commentList>
</comments>
</file>

<file path=xl/comments4.xml><?xml version="1.0" encoding="utf-8"?>
<comments xmlns="http://schemas.openxmlformats.org/spreadsheetml/2006/main">
  <authors>
    <author>dgapic</author>
    <author>ayan</author>
    <author>dsullivan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dgapic:</t>
        </r>
        <r>
          <rPr>
            <sz val="8"/>
            <color indexed="81"/>
            <rFont val="Tahoma"/>
            <family val="2"/>
          </rPr>
          <t xml:space="preserve">
Extrapolated between actuals for 2001 and 2003 population data.</t>
        </r>
      </text>
    </comment>
    <comment ref="C14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actual population</t>
        </r>
      </text>
    </comment>
    <comment ref="C15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calculation based on 2011 and city of brampton's forecast</t>
        </r>
      </text>
    </comment>
    <comment ref="AD26" authorId="2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Forecast of 3,600 customers taken from Scott's 2014 Budget.</t>
        </r>
      </text>
    </comment>
    <comment ref="AC30" authorId="2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Forecast of 135,265 taken from Scott's 2014 Budget. Numbers for Jan. to Apr. are actual.</t>
        </r>
      </text>
    </comment>
  </commentList>
</comments>
</file>

<file path=xl/comments5.xml><?xml version="1.0" encoding="utf-8"?>
<comments xmlns="http://schemas.openxmlformats.org/spreadsheetml/2006/main">
  <authors>
    <author>dsullivan</author>
    <author>ayan</author>
    <author>jrobinson</author>
  </authors>
  <commentList>
    <comment ref="CP3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Billing Stats for 2013</t>
        </r>
      </text>
    </comment>
    <comment ref="CY3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2014 Budget
</t>
        </r>
      </text>
    </comment>
    <comment ref="BO19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AS400 9450</t>
        </r>
      </text>
    </comment>
    <comment ref="BY20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Per 2011 RRR filing-Customers, Demand and Revenues</t>
        </r>
      </text>
    </comment>
    <comment ref="CP21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Billing Stats for 2013
</t>
        </r>
      </text>
    </comment>
    <comment ref="CY21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Adjusted 2014 Budget
</t>
        </r>
      </text>
    </comment>
    <comment ref="B54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backup to 2004 Mearie Report can be located in kWh Sold Binder located in Regulatory</t>
        </r>
      </text>
    </comment>
    <comment ref="BJ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BR56" authorId="1">
      <text>
        <r>
          <rPr>
            <b/>
            <sz val="9"/>
            <color indexed="81"/>
            <rFont val="Tahoma"/>
            <family val="2"/>
          </rPr>
          <t>ayan: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BS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CB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CK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CT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  <comment ref="DC56" authorId="2">
      <text>
        <r>
          <rPr>
            <b/>
            <sz val="9"/>
            <color indexed="81"/>
            <rFont val="Tahoma"/>
            <family val="2"/>
          </rPr>
          <t>jrobinson:</t>
        </r>
        <r>
          <rPr>
            <sz val="9"/>
            <color indexed="81"/>
            <rFont val="Tahoma"/>
            <family val="2"/>
          </rPr>
          <t xml:space="preserve">
made a change to the amt to reconcile to the total </t>
        </r>
      </text>
    </comment>
  </commentList>
</comments>
</file>

<file path=xl/comments6.xml><?xml version="1.0" encoding="utf-8"?>
<comments xmlns="http://schemas.openxmlformats.org/spreadsheetml/2006/main">
  <authors>
    <author>dsullivan</author>
  </authors>
  <commentList>
    <comment ref="BE4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2012 Billing Stats</t>
        </r>
      </text>
    </comment>
    <comment ref="BK4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2013 Billing Statistics
</t>
        </r>
      </text>
    </comment>
    <comment ref="BQ4" authorId="0">
      <text>
        <r>
          <rPr>
            <b/>
            <sz val="9"/>
            <color indexed="81"/>
            <rFont val="Tahoma"/>
            <family val="2"/>
          </rPr>
          <t>dsullivan:</t>
        </r>
        <r>
          <rPr>
            <sz val="9"/>
            <color indexed="81"/>
            <rFont val="Tahoma"/>
            <family val="2"/>
          </rPr>
          <t xml:space="preserve">
2014 Budget
</t>
        </r>
      </text>
    </comment>
  </commentList>
</comments>
</file>

<file path=xl/sharedStrings.xml><?xml version="1.0" encoding="utf-8"?>
<sst xmlns="http://schemas.openxmlformats.org/spreadsheetml/2006/main" count="2115" uniqueCount="352">
  <si>
    <t xml:space="preserve"> </t>
  </si>
  <si>
    <t>HDD</t>
  </si>
  <si>
    <t>CDD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</si>
  <si>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</si>
  <si>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</si>
  <si>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</si>
  <si>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</si>
  <si>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</si>
  <si>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</si>
  <si>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</si>
  <si>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</si>
  <si>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</si>
  <si>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November</t>
  </si>
  <si>
    <t>December</t>
  </si>
  <si>
    <t>Brampton Population</t>
  </si>
  <si>
    <t>Year</t>
  </si>
  <si>
    <t>Population</t>
  </si>
  <si>
    <t>Source</t>
  </si>
  <si>
    <t>Total Change</t>
  </si>
  <si>
    <t xml:space="preserve"># of Years </t>
  </si>
  <si>
    <t># of Months</t>
  </si>
  <si>
    <t>Monthly Change</t>
  </si>
  <si>
    <t>City of Brampton</t>
  </si>
  <si>
    <t>October</t>
  </si>
  <si>
    <t>Ontario GDP Forecast</t>
  </si>
  <si>
    <t>Ministry of Finance</t>
  </si>
  <si>
    <t>Average</t>
  </si>
  <si>
    <t>Growth/Month</t>
  </si>
  <si>
    <t>Ontario GDP in Millions</t>
  </si>
  <si>
    <t>Heating Degree Days</t>
  </si>
  <si>
    <t>Cooling Degree Days</t>
  </si>
  <si>
    <t>Number of Days in Month</t>
  </si>
  <si>
    <t>Spring Fall Flag</t>
  </si>
  <si>
    <t>Blackout Flag</t>
  </si>
  <si>
    <t>Number of Peak Hours</t>
  </si>
  <si>
    <t>GDP</t>
  </si>
  <si>
    <t>Weather Normalized</t>
  </si>
  <si>
    <t xml:space="preserve">Purchased kWh </t>
  </si>
  <si>
    <t>Annual Total</t>
  </si>
  <si>
    <t>Planning and Standards</t>
  </si>
  <si>
    <t>MV-90</t>
  </si>
  <si>
    <t>Jim Yarrow came on line in 2002, but data was not available on the MV-90 until September.</t>
  </si>
  <si>
    <t>Difference</t>
  </si>
  <si>
    <t>Algonquin</t>
  </si>
  <si>
    <t>Snelgrove</t>
  </si>
  <si>
    <t>RES</t>
  </si>
  <si>
    <t>USL</t>
  </si>
  <si>
    <t>GS&lt;50</t>
  </si>
  <si>
    <t xml:space="preserve">GS&gt;50 </t>
  </si>
  <si>
    <t>Intermediate</t>
  </si>
  <si>
    <t>LU</t>
  </si>
  <si>
    <t>ST</t>
  </si>
  <si>
    <t>TOTAL</t>
  </si>
  <si>
    <t>Residential</t>
  </si>
  <si>
    <t>GS&gt;50</t>
  </si>
  <si>
    <t>Large Use</t>
  </si>
  <si>
    <t>2003 Uplifted</t>
  </si>
  <si>
    <t>2004 Uplifted</t>
  </si>
  <si>
    <t>2005 Uplifted</t>
  </si>
  <si>
    <t>2006 Uplifted</t>
  </si>
  <si>
    <t>2007 Uplifted</t>
  </si>
  <si>
    <t>2008 Uplifted</t>
  </si>
  <si>
    <t>2009 Uplifted</t>
  </si>
  <si>
    <t>Unmetered</t>
  </si>
  <si>
    <t>Uplifted kWh</t>
  </si>
  <si>
    <t>Total</t>
  </si>
  <si>
    <t>2003 Non Uplifted</t>
  </si>
  <si>
    <t>2004 Non Uplifted</t>
  </si>
  <si>
    <t>2005 Non Uplifted</t>
  </si>
  <si>
    <t>2006 Non Uplifted</t>
  </si>
  <si>
    <t>2007 Non Uplift</t>
  </si>
  <si>
    <t>2008 Non Uplift</t>
  </si>
  <si>
    <t>2009 Non Uplift</t>
  </si>
  <si>
    <t>Raw kWh</t>
  </si>
  <si>
    <t>Calculated Loss Factor</t>
  </si>
  <si>
    <t>LossFactor</t>
  </si>
  <si>
    <t>YTD Loss Factor</t>
  </si>
  <si>
    <t>Mearie Report 2003</t>
  </si>
  <si>
    <t>RRR Filling</t>
  </si>
  <si>
    <t>Wholesale</t>
  </si>
  <si>
    <t>Retail</t>
  </si>
  <si>
    <t>Adjustment Factor</t>
  </si>
  <si>
    <t>2003 Adjusted</t>
  </si>
  <si>
    <t>2004 Adjusted</t>
  </si>
  <si>
    <t>2005 Adjusted</t>
  </si>
  <si>
    <t>2006 Adjusted</t>
  </si>
  <si>
    <t>2007 Adjusted</t>
  </si>
  <si>
    <t>2008 Adjusted</t>
  </si>
  <si>
    <t>2009 Adjusted</t>
  </si>
  <si>
    <t>Number of Customers by Class</t>
  </si>
  <si>
    <t>Growth in Customer Numbers</t>
  </si>
  <si>
    <t xml:space="preserve">Geomean </t>
  </si>
  <si>
    <t>kW/kWh</t>
  </si>
  <si>
    <t>Purchases</t>
  </si>
  <si>
    <t>Modeled Purchases</t>
  </si>
  <si>
    <t>% Difference</t>
  </si>
  <si>
    <t>Loss Factor</t>
  </si>
  <si>
    <t>Total Billed</t>
  </si>
  <si>
    <t>SL</t>
  </si>
  <si>
    <t>Growth in AVG Use</t>
  </si>
  <si>
    <t>Allocation of Consumption Adjustment</t>
  </si>
  <si>
    <t>Purchased</t>
  </si>
  <si>
    <t>Ontario Real GDP Monthly %</t>
  </si>
  <si>
    <t xml:space="preserve">Predicted Purchases </t>
  </si>
  <si>
    <t>Variances (kWh)</t>
  </si>
  <si>
    <t>% Variance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</si>
  <si>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</si>
  <si>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</si>
  <si>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</si>
  <si>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</si>
  <si>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</si>
  <si>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</si>
  <si>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</si>
  <si>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</si>
  <si>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df</t>
  </si>
  <si>
    <t>SS</t>
  </si>
  <si>
    <t>MS</t>
  </si>
  <si>
    <t>F</t>
  </si>
  <si>
    <t>Significance F</t>
  </si>
  <si>
    <t>Regression</t>
  </si>
  <si>
    <t>Residual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</si>
  <si>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</si>
  <si>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</si>
  <si>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</si>
  <si>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</si>
  <si>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</si>
  <si>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</si>
  <si>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</si>
  <si>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Intercept</t>
  </si>
  <si>
    <t>Actual</t>
  </si>
  <si>
    <t>Predicted</t>
  </si>
  <si>
    <t>Variance (kWh)</t>
  </si>
  <si>
    <t>Variace %</t>
  </si>
  <si>
    <t xml:space="preserve">2003 Actual </t>
  </si>
  <si>
    <t xml:space="preserve">2004 Actual </t>
  </si>
  <si>
    <t xml:space="preserve">2005 Actual </t>
  </si>
  <si>
    <t xml:space="preserve">2006 Actual </t>
  </si>
  <si>
    <t xml:space="preserve">2007 Actual </t>
  </si>
  <si>
    <t>2008 Actual</t>
  </si>
  <si>
    <t>2009 Actual</t>
  </si>
  <si>
    <t>% Difference (Predicted/Actual)</t>
  </si>
  <si>
    <t>Billed kWh</t>
  </si>
  <si>
    <t>By Class</t>
  </si>
  <si>
    <t xml:space="preserve">  Customers</t>
  </si>
  <si>
    <t xml:space="preserve">  kWh</t>
  </si>
  <si>
    <t xml:space="preserve">  Connections</t>
  </si>
  <si>
    <t xml:space="preserve">  kW</t>
  </si>
  <si>
    <t xml:space="preserve">  kW </t>
  </si>
  <si>
    <t>SLR</t>
  </si>
  <si>
    <t xml:space="preserve">  kW from applicable classes</t>
  </si>
  <si>
    <t>HOBNI Rate Class Energy Model</t>
  </si>
  <si>
    <t>Rate Class Load Model</t>
  </si>
  <si>
    <t>2010 Uplifted</t>
  </si>
  <si>
    <t>2010 Non Uplift</t>
  </si>
  <si>
    <t>2010 Adjusted</t>
  </si>
  <si>
    <t>2011 Uplifted</t>
  </si>
  <si>
    <t>2011 Non Uplift</t>
  </si>
  <si>
    <t>2011 Adjusted</t>
  </si>
  <si>
    <t>2013</t>
  </si>
  <si>
    <t>2010 Actual</t>
  </si>
  <si>
    <t>2011 Actual</t>
  </si>
  <si>
    <t>2012 Uplifted</t>
  </si>
  <si>
    <t>2012 Non Uplift</t>
  </si>
  <si>
    <t>2012 Adjusted</t>
  </si>
  <si>
    <t>2014</t>
  </si>
  <si>
    <t>2013 Uplifted</t>
  </si>
  <si>
    <t>2013 Non Uplift</t>
  </si>
  <si>
    <t>2013 Adjusted</t>
  </si>
  <si>
    <t>Actual Cost of Power</t>
  </si>
  <si>
    <t>Par-Pak</t>
  </si>
  <si>
    <t>Loblaw</t>
  </si>
  <si>
    <t>2012 Actual</t>
  </si>
  <si>
    <t>2014 Weather Normal</t>
  </si>
  <si>
    <t>Large User</t>
  </si>
  <si>
    <t>Street Lighting</t>
  </si>
  <si>
    <t>2015</t>
  </si>
  <si>
    <t>2014 Uplifted</t>
  </si>
  <si>
    <t>2015 Weather Normal</t>
  </si>
  <si>
    <t>2013 Actual</t>
  </si>
  <si>
    <t>2014 Non Uplift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</si>
  <si>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</si>
  <si>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</si>
  <si>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</si>
  <si>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</si>
  <si>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</si>
  <si>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</si>
  <si>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</si>
  <si>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</si>
  <si>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</si>
  <si>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</si>
  <si>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</si>
  <si>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</si>
  <si>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 xml:space="preserve">Uplifted </t>
  </si>
  <si>
    <t>Month</t>
  </si>
  <si>
    <t>Number of Customers</t>
  </si>
  <si>
    <t>Date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</si>
  <si>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</si>
  <si>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</si>
  <si>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</si>
  <si>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</si>
  <si>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</si>
  <si>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</si>
  <si>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</si>
  <si>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</si>
  <si>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</si>
  <si>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</si>
  <si>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</si>
  <si>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 xml:space="preserve">Non-Uplifted </t>
  </si>
  <si>
    <t>IESO</t>
  </si>
  <si>
    <t>FIT/Micro-Fit</t>
  </si>
  <si>
    <t>Load Transfer</t>
  </si>
  <si>
    <t>Acc/Year</t>
  </si>
  <si>
    <t>Public Holidays</t>
  </si>
  <si>
    <t>CDM Adjustment</t>
  </si>
  <si>
    <t>Wholesale Market Participant Adjustment</t>
  </si>
  <si>
    <t>Snelgrove kWh Uplifted</t>
  </si>
  <si>
    <t xml:space="preserve"> DATE</t>
  </si>
  <si>
    <t xml:space="preserve"> HOUR</t>
  </si>
  <si>
    <t>2015 Forecasted Monthly Peak kW</t>
  </si>
  <si>
    <t>2015 Forecasted Hourly kWh</t>
  </si>
  <si>
    <t>Embedded Distributor</t>
  </si>
  <si>
    <t>2013 Autual Monthly Peak kW</t>
  </si>
  <si>
    <t xml:space="preserve"> 2013     KW</t>
  </si>
  <si>
    <t>2015 Forecasted Number of Customers</t>
  </si>
  <si>
    <t>2013 Actual Number of Customers</t>
  </si>
  <si>
    <t>Distributed Generation</t>
  </si>
  <si>
    <t>2014 Forecasted Number of Customers</t>
  </si>
  <si>
    <t>2014 Forecasted Monthly Peak kW</t>
  </si>
  <si>
    <t>2014 Forecasted Monthly kWh</t>
  </si>
  <si>
    <t>2014 Forecasted Hourly kWh</t>
  </si>
  <si>
    <t>Wholesale Market Participants</t>
  </si>
  <si>
    <t>2015 Forecasted Monthly Billed kWh</t>
  </si>
  <si>
    <t>2015 Forecasted Monthly kWh (Uplifted)</t>
  </si>
  <si>
    <t>Predicted kWh Purchases from Regression</t>
  </si>
  <si>
    <t>2015 Forecasted Monthly Uplifted kWh</t>
  </si>
  <si>
    <t>Total Predicted Purchases</t>
  </si>
  <si>
    <t>Energy from Waste Generation</t>
  </si>
  <si>
    <t>Energy From Waste Generation</t>
  </si>
  <si>
    <t>FIT/Micro-Fit (Sales)</t>
  </si>
  <si>
    <t>2014 Forecasted Monthly Uplifted kWh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</si>
  <si>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</si>
  <si>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</si>
  <si>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</si>
  <si>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</si>
  <si>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</si>
  <si>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</si>
  <si>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</si>
  <si>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</si>
  <si>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</si>
  <si>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</si>
  <si>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</si>
  <si>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Street Lights</t>
  </si>
  <si>
    <t>Energy from Waste Genneration</t>
  </si>
  <si>
    <t>Total Actual Purchases</t>
  </si>
  <si>
    <t>Actual Purchases Excluding Adjustments</t>
  </si>
  <si>
    <t>Weather Normalized Billed Energy Forecast from Regression</t>
  </si>
  <si>
    <t>Weather Normalized Billed Energy Forecast - Not from Regression</t>
  </si>
  <si>
    <t>Back-up/Standby Power</t>
  </si>
  <si>
    <t>Street Light- Lamps</t>
  </si>
  <si>
    <t>Street Light - Connections</t>
  </si>
  <si>
    <t>kW</t>
  </si>
  <si>
    <t>Embedded Distributor Forecast</t>
  </si>
  <si>
    <t>Distributed Generation Forcast</t>
  </si>
  <si>
    <t>Historical kW for Embedded Distributor</t>
  </si>
  <si>
    <t>Regression Model Using 20 Year HDD and CDD Averages</t>
  </si>
  <si>
    <t>2011 Board Approved</t>
  </si>
  <si>
    <t xml:space="preserve">  Customer Change Y/Y</t>
  </si>
  <si>
    <t xml:space="preserve">  Customer Change Y/Y %</t>
  </si>
  <si>
    <t xml:space="preserve">  kWh Change Y/Y </t>
  </si>
  <si>
    <t xml:space="preserve">  kWh Change Y/Y %</t>
  </si>
  <si>
    <t xml:space="preserve">  Average kWh Usage</t>
  </si>
  <si>
    <t xml:space="preserve">  Average kWh Usage Change %</t>
  </si>
  <si>
    <t xml:space="preserve">  Connection Change Y/Y</t>
  </si>
  <si>
    <t xml:space="preserve">  Connection Change Y/Y %</t>
  </si>
  <si>
    <t xml:space="preserve">  Average kWh Usage Change Y/Y</t>
  </si>
  <si>
    <t xml:space="preserve">  Average kW Usage</t>
  </si>
  <si>
    <t xml:space="preserve">  kW Change Y/Y </t>
  </si>
  <si>
    <t xml:space="preserve">  Average kW Usage Change Y/Y</t>
  </si>
  <si>
    <t xml:space="preserve">  kW Change Y/Y %</t>
  </si>
  <si>
    <t xml:space="preserve">  Average kW Usage Change %</t>
  </si>
  <si>
    <t xml:space="preserve">  Lamps</t>
  </si>
  <si>
    <t xml:space="preserve">  Lamp Change Y/Y</t>
  </si>
  <si>
    <t xml:space="preserve">  Lamp Change Y/Y %</t>
  </si>
  <si>
    <t>USL - Connections</t>
  </si>
  <si>
    <t>Street Light- Customers</t>
  </si>
  <si>
    <t>USL - Customers</t>
  </si>
  <si>
    <t>2009 Weather Normalized</t>
  </si>
  <si>
    <t>2010 Weather Normalized</t>
  </si>
  <si>
    <t>2011 Weather Normalized</t>
  </si>
  <si>
    <t>2012 Weather Normalized</t>
  </si>
  <si>
    <t>2013 Weather Normalized</t>
  </si>
  <si>
    <t>2011 Actual vs 2010 Actual</t>
  </si>
  <si>
    <t xml:space="preserve">  Average kWh Usage Change</t>
  </si>
  <si>
    <t xml:space="preserve">  Average kW Usage Change</t>
  </si>
  <si>
    <t>Regression Model # One</t>
  </si>
  <si>
    <t>Regression Model # Two</t>
  </si>
  <si>
    <t>Description</t>
  </si>
  <si>
    <t xml:space="preserve">2011 Board Approved </t>
  </si>
  <si>
    <t>2015 Test Year</t>
  </si>
  <si>
    <t>Change</t>
  </si>
  <si>
    <t>Percentage Change</t>
  </si>
  <si>
    <t>Retail Metered kWh*</t>
  </si>
  <si>
    <t>Average Number of Customers**</t>
  </si>
  <si>
    <t>Average Number of Connections***</t>
  </si>
  <si>
    <t>Note:</t>
  </si>
  <si>
    <t>*   2011 OEB approved 3,815,870,096 kWh. For comparative purposes HOBNI added volumes for Embedded Distributor class.</t>
  </si>
  <si>
    <t xml:space="preserve">**  2011 OEB approved 134,537 customers. For comparative purposes HOBNI added new class counts. </t>
  </si>
  <si>
    <t>HOBNI Weather Normalized Historical and Forecasted Load, Customer and Connection for 2015 Rate Application</t>
  </si>
  <si>
    <t>HOBNI Historical and Forecasted Load, Customer and Connection Counts for 2015 Rate Application</t>
  </si>
  <si>
    <t>10 Year Average - 1994 to 2013</t>
  </si>
  <si>
    <t>20 Year Average - 1994 to 2013</t>
  </si>
  <si>
    <t>10 Year Average - 2004 to 2013</t>
  </si>
  <si>
    <t>`</t>
  </si>
  <si>
    <t>Heating Degree Days and Cooling Degree Days Data</t>
  </si>
  <si>
    <t>Average kWh Usage by Rate Class</t>
  </si>
  <si>
    <t>Historical kWh Usage Growth Rate by Rate Class</t>
  </si>
  <si>
    <t>Customer Class Average Consumption Forecast (Non-Normalized)</t>
  </si>
  <si>
    <t>Adjusted Consumption Forecast for Weather Sensitivity Before CDM and Wholesale Market Participant Adjustments</t>
  </si>
  <si>
    <t>Weather Sensitivity Factors</t>
  </si>
  <si>
    <t>Total Forecasted Billed Energy for all Rate Classes</t>
  </si>
  <si>
    <t>Number of Customers and Connections by Month</t>
  </si>
  <si>
    <t>Ontario Real Gross Domestic Product</t>
  </si>
  <si>
    <t xml:space="preserve">Weather Normalized Data </t>
  </si>
  <si>
    <t>Weather Normalized Billed Quantities (kWh) Non-Uplifted</t>
  </si>
  <si>
    <t>Summary (Uplifted kWh)</t>
  </si>
  <si>
    <t>Historical Uplifted kWh</t>
  </si>
  <si>
    <t xml:space="preserve">*** 2011 OEB approved 1,300 connections for Unmetered Scattered Load and 42,158 Street Light lamps, for comparative purposes </t>
  </si>
  <si>
    <t xml:space="preserve">      HOBNI used 21,219 Street Light connections.</t>
  </si>
  <si>
    <t>Distribution Rates</t>
  </si>
  <si>
    <t>Class</t>
  </si>
  <si>
    <t>Metric</t>
  </si>
  <si>
    <t>2011 Approved Distribution Rates</t>
  </si>
  <si>
    <t>2015 Proposed Distribution Rates</t>
  </si>
  <si>
    <t>Customer</t>
  </si>
  <si>
    <t>kWh</t>
  </si>
  <si>
    <t>GS &lt;50 kW</t>
  </si>
  <si>
    <t>kWh Tx Credit</t>
  </si>
  <si>
    <t>GS&gt;50 kW</t>
  </si>
  <si>
    <t>kW Tx Credit</t>
  </si>
  <si>
    <t>Large Use &gt;5MW</t>
  </si>
  <si>
    <t>Street Light</t>
  </si>
  <si>
    <t>Connection</t>
  </si>
  <si>
    <t>Unmetered Scattered Load</t>
  </si>
  <si>
    <t>Distributed Generation Class</t>
  </si>
  <si>
    <t>Backup/Standby Power</t>
  </si>
  <si>
    <t xml:space="preserve">2009 Approved Distribution Rates </t>
  </si>
  <si>
    <t xml:space="preserve">2010 Approved Distribution Rates </t>
  </si>
  <si>
    <t xml:space="preserve">2011 Approved Distribution Rates </t>
  </si>
  <si>
    <t xml:space="preserve">2012 Approved Distribution Rates </t>
  </si>
  <si>
    <t>2013 Approved Distribution Rates</t>
  </si>
  <si>
    <t xml:space="preserve">2014 Approved Distribution Rates </t>
  </si>
  <si>
    <t>Table 1: Load and Customer Growth - 2015 Test Year vs 2011 Board Approved</t>
  </si>
</sst>
</file>

<file path=xl/styles.xml><?xml version="1.0" encoding="utf-8"?>
<styleSheet xmlns="http://schemas.openxmlformats.org/spreadsheetml/2006/main">
  <numFmts count="5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&quot;$&quot;#,##0.00_);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000%"/>
    <numFmt numFmtId="169" formatCode="0.000%"/>
    <numFmt numFmtId="170" formatCode="0.0_)"/>
    <numFmt numFmtId="171" formatCode="#,##0.00000"/>
    <numFmt numFmtId="172" formatCode="0.0%"/>
    <numFmt numFmtId="173" formatCode="_-* #,##0_-;\-* #,##0_-;_-* &quot;-&quot;??_-;_-@_-"/>
    <numFmt numFmtId="174" formatCode="0.0000"/>
    <numFmt numFmtId="175" formatCode="_(* #,##0_);_(* \(#,##0\);_(* &quot;-&quot;??_);_(@_)"/>
    <numFmt numFmtId="176" formatCode="#,##0.0000"/>
    <numFmt numFmtId="177" formatCode="0.000000"/>
    <numFmt numFmtId="178" formatCode="_-* #,##0.0000_-;\-* #,##0.0000_-;_-* &quot;-&quot;??_-;_-@_-"/>
    <numFmt numFmtId="179" formatCode="#,##0.000000"/>
    <numFmt numFmtId="180" formatCode="0.00000000"/>
    <numFmt numFmtId="181" formatCode="#,##0.000000000"/>
    <numFmt numFmtId="182" formatCode="#,##0;\(#,##0\)"/>
    <numFmt numFmtId="183" formatCode="0.0000000"/>
    <numFmt numFmtId="184" formatCode="_(&quot;$&quot;* #,##0_);_(&quot;$&quot;* \(#,##0\);_(&quot;$&quot;* &quot;-&quot;??_);_(@_)"/>
    <numFmt numFmtId="185" formatCode="[$-F800]dddd\,\ mmmm\ dd\,\ yyyy"/>
    <numFmt numFmtId="186" formatCode="_(* #,##0.0_);_(* \(#,##0.0\);_(* &quot;-&quot;??_);_(@_)"/>
    <numFmt numFmtId="187" formatCode="#,##0.0_);\(#,##0.0\)"/>
    <numFmt numFmtId="188" formatCode="#,##0.00000_);\(#,##0.00000\)"/>
    <numFmt numFmtId="189" formatCode="0.0\x"/>
    <numFmt numFmtId="190" formatCode="#,##0.000_);\(#,##0.000\)"/>
    <numFmt numFmtId="191" formatCode="#,##0;&quot;\&quot;&quot;\&quot;&quot;\&quot;&quot;\&quot;\(#,##0&quot;\&quot;&quot;\&quot;&quot;\&quot;&quot;\&quot;\)"/>
    <numFmt numFmtId="192" formatCode="&quot;\&quot;&quot;\&quot;&quot;\&quot;&quot;\&quot;\$#,##0.00;&quot;\&quot;&quot;\&quot;&quot;\&quot;&quot;\&quot;\(&quot;\&quot;&quot;\&quot;&quot;\&quot;&quot;\&quot;\$#,##0.00&quot;\&quot;&quot;\&quot;&quot;\&quot;&quot;\&quot;\)"/>
    <numFmt numFmtId="193" formatCode="&quot;\&quot;&quot;\&quot;&quot;\&quot;&quot;\&quot;\$#,##0;&quot;\&quot;&quot;\&quot;&quot;\&quot;&quot;\&quot;\(&quot;\&quot;&quot;\&quot;&quot;\&quot;&quot;\&quot;\$#,##0&quot;\&quot;&quot;\&quot;&quot;\&quot;&quot;\&quot;\)"/>
    <numFmt numFmtId="194" formatCode="#,##0.000"/>
    <numFmt numFmtId="195" formatCode="0.00\x"/>
    <numFmt numFmtId="196" formatCode="0.0\ \ "/>
    <numFmt numFmtId="197" formatCode="#,##0.0"/>
    <numFmt numFmtId="198" formatCode="&quot;£ &quot;#,##0.00;[Red]\-&quot;£ &quot;#,##0.00"/>
    <numFmt numFmtId="199" formatCode="##\-#"/>
    <numFmt numFmtId="200" formatCode="mm/dd/yyyy"/>
    <numFmt numFmtId="201" formatCode="0\-0"/>
    <numFmt numFmtId="202" formatCode="_(* #,##0.000000_);_(* \(#,##0.000000\);_(* &quot;-&quot;??_);_(@_)"/>
    <numFmt numFmtId="204" formatCode="0.00000000%"/>
    <numFmt numFmtId="205" formatCode="0.0000000000%"/>
    <numFmt numFmtId="206" formatCode="_(* #,##0.0000_);_(* \(#,##0.0000\);_(* &quot;-&quot;??_);_(@_)"/>
    <numFmt numFmtId="207" formatCode="0.00000%"/>
    <numFmt numFmtId="208" formatCode="_(* #,##0.00000_);_(* \(#,##0.00000\);_(* &quot;-&quot;??_);_(@_)"/>
    <numFmt numFmtId="209" formatCode="_(* #,##0.000_);_(* \(#,##0.000\);_(* &quot;-&quot;??_);_(@_)"/>
    <numFmt numFmtId="210" formatCode="#,##0.0000_);\(#,##0.0000\)"/>
    <numFmt numFmtId="211" formatCode="#,##0.00;[Red]\(#,##0.00\)"/>
    <numFmt numFmtId="212" formatCode="#,##0.0000;[Red]\(#,##0.0000\)"/>
  </numFmts>
  <fonts count="137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b/>
      <sz val="10"/>
      <color indexed="9"/>
      <name val="Arial"/>
      <family val="2"/>
    </font>
    <font>
      <sz val="16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u/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1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color indexed="9"/>
      <name val="Arial"/>
      <family val="2"/>
    </font>
    <font>
      <sz val="9"/>
      <color indexed="8"/>
      <name val="Calibri"/>
      <family val="2"/>
    </font>
    <font>
      <sz val="11"/>
      <name val="Arial"/>
      <family val="2"/>
    </font>
    <font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indexed="9"/>
      <name val="Calibri"/>
      <family val="2"/>
    </font>
    <font>
      <u/>
      <sz val="10"/>
      <name val="Arial"/>
      <family val="2"/>
    </font>
    <font>
      <i/>
      <sz val="10"/>
      <name val="Arial"/>
      <family val="2"/>
    </font>
    <font>
      <b/>
      <sz val="10"/>
      <color theme="0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2"/>
      <color theme="0"/>
      <name val="Arial"/>
      <family val="2"/>
    </font>
    <font>
      <sz val="9"/>
      <color rgb="FF000000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u/>
      <sz val="10"/>
      <color indexed="12"/>
      <name val="Arial"/>
      <family val="2"/>
    </font>
    <font>
      <sz val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Calibri"/>
      <family val="2"/>
    </font>
    <font>
      <u/>
      <sz val="9.6"/>
      <color indexed="12"/>
      <name val="Arial"/>
      <family val="2"/>
    </font>
    <font>
      <sz val="10"/>
      <name val="Tahoma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name val="SWISS"/>
    </font>
    <font>
      <sz val="9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theme="1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indexed="20"/>
      <name val="Calibri"/>
      <family val="2"/>
    </font>
    <font>
      <b/>
      <sz val="11"/>
      <color indexed="56"/>
      <name val="Calibri"/>
      <family val="2"/>
    </font>
    <font>
      <sz val="12"/>
      <color theme="1"/>
      <name val="Calibri"/>
      <family val="2"/>
      <charset val="129"/>
      <scheme val="minor"/>
    </font>
    <font>
      <b/>
      <sz val="14"/>
      <name val="Arial"/>
      <family val="2"/>
    </font>
    <font>
      <b/>
      <sz val="12"/>
      <color indexed="8"/>
      <name val="Calibri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i/>
      <sz val="7"/>
      <color theme="1"/>
      <name val="Arial"/>
      <family val="2"/>
    </font>
    <font>
      <sz val="7"/>
      <color theme="1"/>
      <name val="Arial"/>
      <family val="2"/>
    </font>
    <font>
      <i/>
      <sz val="8"/>
      <color theme="1"/>
      <name val="Arial"/>
      <family val="2"/>
    </font>
    <font>
      <sz val="8"/>
      <color theme="1"/>
      <name val="Arial"/>
      <family val="2"/>
    </font>
    <font>
      <b/>
      <sz val="14"/>
      <color indexed="8"/>
      <name val="Arial"/>
      <family val="2"/>
    </font>
    <font>
      <b/>
      <sz val="14"/>
      <color theme="1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9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</borders>
  <cellStyleXfs count="29719">
    <xf numFmtId="0" fontId="0" fillId="0" borderId="0"/>
    <xf numFmtId="167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0" borderId="0"/>
    <xf numFmtId="167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84" fontId="52" fillId="0" borderId="0"/>
    <xf numFmtId="187" fontId="27" fillId="0" borderId="0" applyFont="0" applyFill="0" applyBorder="0" applyAlignment="0" applyProtection="0"/>
    <xf numFmtId="187" fontId="27" fillId="0" borderId="0" applyFont="0" applyFill="0" applyBorder="0" applyAlignment="0" applyProtection="0"/>
    <xf numFmtId="186" fontId="27" fillId="0" borderId="0" applyFont="0" applyFill="0" applyBorder="0" applyAlignment="0" applyProtection="0"/>
    <xf numFmtId="186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91" fontId="57" fillId="0" borderId="0"/>
    <xf numFmtId="191" fontId="57" fillId="0" borderId="0"/>
    <xf numFmtId="191" fontId="5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92" fontId="57" fillId="0" borderId="0"/>
    <xf numFmtId="192" fontId="57" fillId="0" borderId="0"/>
    <xf numFmtId="192" fontId="57" fillId="0" borderId="0"/>
    <xf numFmtId="14" fontId="56" fillId="0" borderId="0" applyFont="0" applyFill="0" applyBorder="0" applyAlignment="0" applyProtection="0"/>
    <xf numFmtId="193" fontId="57" fillId="0" borderId="0"/>
    <xf numFmtId="193" fontId="57" fillId="0" borderId="0"/>
    <xf numFmtId="193" fontId="57" fillId="0" borderId="0"/>
    <xf numFmtId="38" fontId="56" fillId="3" borderId="0" applyNumberFormat="0" applyBorder="0" applyAlignment="0" applyProtection="0"/>
    <xf numFmtId="0" fontId="51" fillId="0" borderId="2" applyNumberFormat="0" applyAlignment="0" applyProtection="0">
      <alignment horizontal="left" vertical="center"/>
    </xf>
    <xf numFmtId="0" fontId="51" fillId="0" borderId="17">
      <alignment horizontal="left" vertical="center"/>
    </xf>
    <xf numFmtId="0" fontId="58" fillId="0" borderId="0" applyNumberFormat="0" applyFill="0" applyBorder="0" applyAlignment="0" applyProtection="0">
      <alignment vertical="top"/>
      <protection locked="0"/>
    </xf>
    <xf numFmtId="10" fontId="56" fillId="9" borderId="18" applyNumberFormat="0" applyBorder="0" applyAlignment="0" applyProtection="0"/>
    <xf numFmtId="44" fontId="52" fillId="0" borderId="0"/>
    <xf numFmtId="194" fontId="27" fillId="0" borderId="0"/>
    <xf numFmtId="194" fontId="27" fillId="0" borderId="0"/>
    <xf numFmtId="194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5" fontId="57" fillId="0" borderId="0"/>
    <xf numFmtId="37" fontId="59" fillId="10" borderId="0">
      <alignment horizontal="right"/>
    </xf>
    <xf numFmtId="10" fontId="27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0" fillId="0" borderId="0" applyNumberFormat="0" applyFont="0" applyFill="0" applyBorder="0" applyAlignment="0" applyProtection="0">
      <alignment horizontal="left"/>
    </xf>
    <xf numFmtId="15" fontId="60" fillId="0" borderId="0" applyFont="0" applyFill="0" applyBorder="0" applyAlignment="0" applyProtection="0"/>
    <xf numFmtId="4" fontId="60" fillId="0" borderId="0" applyFont="0" applyFill="0" applyBorder="0" applyAlignment="0" applyProtection="0"/>
    <xf numFmtId="0" fontId="61" fillId="0" borderId="5">
      <alignment horizontal="center"/>
    </xf>
    <xf numFmtId="3" fontId="60" fillId="0" borderId="0" applyFont="0" applyFill="0" applyBorder="0" applyAlignment="0" applyProtection="0"/>
    <xf numFmtId="0" fontId="60" fillId="11" borderId="0" applyNumberFormat="0" applyFont="0" applyBorder="0" applyAlignment="0" applyProtection="0"/>
    <xf numFmtId="1" fontId="27" fillId="0" borderId="0"/>
    <xf numFmtId="1" fontId="27" fillId="0" borderId="0"/>
    <xf numFmtId="1" fontId="27" fillId="0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66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84" fontId="52" fillId="0" borderId="0"/>
    <xf numFmtId="9" fontId="52" fillId="0" borderId="0" applyFont="0" applyFill="0" applyBorder="0" applyAlignment="0" applyProtection="0"/>
    <xf numFmtId="196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27" fillId="0" borderId="0" applyFont="0" applyFill="0" applyBorder="0" applyAlignment="0" applyProtection="0"/>
    <xf numFmtId="0" fontId="51" fillId="0" borderId="17">
      <alignment horizontal="left" vertical="center"/>
    </xf>
    <xf numFmtId="0" fontId="63" fillId="0" borderId="0" applyNumberFormat="0" applyFill="0" applyBorder="0" applyAlignment="0" applyProtection="0">
      <alignment vertical="top"/>
      <protection locked="0"/>
    </xf>
    <xf numFmtId="44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6" fillId="0" borderId="0"/>
    <xf numFmtId="166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67" fontId="26" fillId="0" borderId="0" applyFont="0" applyFill="0" applyBorder="0" applyAlignment="0" applyProtection="0"/>
    <xf numFmtId="166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51" fillId="0" borderId="17">
      <alignment horizontal="left" vertical="center"/>
    </xf>
    <xf numFmtId="44" fontId="52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43" fontId="26" fillId="0" borderId="0" applyFont="0" applyFill="0" applyBorder="0" applyAlignment="0" applyProtection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84" fontId="52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167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64" fillId="0" borderId="0"/>
    <xf numFmtId="0" fontId="64" fillId="0" borderId="0"/>
    <xf numFmtId="166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9" fontId="25" fillId="0" borderId="0" applyFont="0" applyFill="0" applyBorder="0" applyAlignment="0" applyProtection="0"/>
    <xf numFmtId="166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167" fontId="25" fillId="0" borderId="0" applyFont="0" applyFill="0" applyBorder="0" applyAlignment="0" applyProtection="0"/>
    <xf numFmtId="186" fontId="27" fillId="0" borderId="0"/>
    <xf numFmtId="197" fontId="27" fillId="0" borderId="0"/>
    <xf numFmtId="200" fontId="27" fillId="0" borderId="0"/>
    <xf numFmtId="201" fontId="27" fillId="0" borderId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19" borderId="0" applyNumberFormat="0" applyBorder="0" applyAlignment="0" applyProtection="0"/>
    <xf numFmtId="0" fontId="41" fillId="20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28" borderId="0" applyNumberFormat="0" applyBorder="0" applyAlignment="0" applyProtection="0"/>
    <xf numFmtId="0" fontId="41" fillId="23" borderId="0" applyNumberFormat="0" applyBorder="0" applyAlignment="0" applyProtection="0"/>
    <xf numFmtId="0" fontId="41" fillId="24" borderId="0" applyNumberFormat="0" applyBorder="0" applyAlignment="0" applyProtection="0"/>
    <xf numFmtId="0" fontId="41" fillId="29" borderId="0" applyNumberFormat="0" applyBorder="0" applyAlignment="0" applyProtection="0"/>
    <xf numFmtId="0" fontId="65" fillId="13" borderId="0" applyNumberFormat="0" applyBorder="0" applyAlignment="0" applyProtection="0"/>
    <xf numFmtId="0" fontId="66" fillId="30" borderId="19" applyNumberFormat="0" applyAlignment="0" applyProtection="0"/>
    <xf numFmtId="0" fontId="28" fillId="31" borderId="20" applyNumberFormat="0" applyAlignment="0" applyProtection="0"/>
    <xf numFmtId="43" fontId="27" fillId="0" borderId="0" applyFont="0" applyFill="0" applyBorder="0" applyAlignment="0" applyProtection="0"/>
    <xf numFmtId="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4" fontId="27" fillId="0" borderId="0" applyFont="0" applyFill="0" applyBorder="0" applyAlignment="0" applyProtection="0"/>
    <xf numFmtId="14" fontId="27" fillId="0" borderId="0" applyFont="0" applyFill="0" applyBorder="0" applyAlignment="0" applyProtection="0"/>
    <xf numFmtId="0" fontId="67" fillId="0" borderId="0" applyNumberFormat="0" applyFill="0" applyBorder="0" applyAlignment="0" applyProtection="0"/>
    <xf numFmtId="2" fontId="27" fillId="0" borderId="0" applyFont="0" applyFill="0" applyBorder="0" applyAlignment="0" applyProtection="0"/>
    <xf numFmtId="0" fontId="68" fillId="14" borderId="0" applyNumberFormat="0" applyBorder="0" applyAlignment="0" applyProtection="0"/>
    <xf numFmtId="0" fontId="69" fillId="0" borderId="21" applyNumberFormat="0" applyFill="0" applyAlignment="0" applyProtection="0"/>
    <xf numFmtId="0" fontId="70" fillId="0" borderId="22" applyNumberFormat="0" applyFill="0" applyAlignment="0" applyProtection="0"/>
    <xf numFmtId="0" fontId="71" fillId="0" borderId="23" applyNumberFormat="0" applyFill="0" applyAlignment="0" applyProtection="0"/>
    <xf numFmtId="0" fontId="71" fillId="0" borderId="0" applyNumberFormat="0" applyFill="0" applyBorder="0" applyAlignment="0" applyProtection="0"/>
    <xf numFmtId="0" fontId="72" fillId="17" borderId="19" applyNumberFormat="0" applyAlignment="0" applyProtection="0"/>
    <xf numFmtId="10" fontId="56" fillId="9" borderId="18" applyNumberFormat="0" applyBorder="0" applyAlignment="0" applyProtection="0"/>
    <xf numFmtId="0" fontId="73" fillId="0" borderId="24" applyNumberFormat="0" applyFill="0" applyAlignment="0" applyProtection="0"/>
    <xf numFmtId="199" fontId="27" fillId="0" borderId="0"/>
    <xf numFmtId="175" fontId="27" fillId="0" borderId="0"/>
    <xf numFmtId="0" fontId="74" fillId="32" borderId="0" applyNumberFormat="0" applyBorder="0" applyAlignment="0" applyProtection="0"/>
    <xf numFmtId="198" fontId="27" fillId="0" borderId="0"/>
    <xf numFmtId="0" fontId="27" fillId="33" borderId="25" applyNumberFormat="0" applyFont="0" applyAlignment="0" applyProtection="0"/>
    <xf numFmtId="0" fontId="75" fillId="30" borderId="26" applyNumberFormat="0" applyAlignment="0" applyProtection="0"/>
    <xf numFmtId="0" fontId="76" fillId="0" borderId="0" applyNumberFormat="0" applyFill="0" applyBorder="0" applyAlignment="0" applyProtection="0"/>
    <xf numFmtId="0" fontId="37" fillId="0" borderId="27" applyNumberFormat="0" applyFill="0" applyAlignment="0" applyProtection="0"/>
    <xf numFmtId="0" fontId="77" fillId="0" borderId="0" applyNumberForma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10" fontId="56" fillId="9" borderId="28" applyNumberFormat="0" applyBorder="0" applyAlignment="0" applyProtection="0"/>
    <xf numFmtId="0" fontId="24" fillId="0" borderId="0"/>
    <xf numFmtId="167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78" fillId="0" borderId="0" applyNumberFormat="0" applyFill="0" applyBorder="0" applyAlignment="0" applyProtection="0"/>
    <xf numFmtId="0" fontId="79" fillId="0" borderId="29" applyNumberFormat="0" applyFill="0" applyAlignment="0" applyProtection="0"/>
    <xf numFmtId="0" fontId="80" fillId="0" borderId="30" applyNumberFormat="0" applyFill="0" applyAlignment="0" applyProtection="0"/>
    <xf numFmtId="0" fontId="81" fillId="0" borderId="31" applyNumberFormat="0" applyFill="0" applyAlignment="0" applyProtection="0"/>
    <xf numFmtId="0" fontId="81" fillId="0" borderId="0" applyNumberFormat="0" applyFill="0" applyBorder="0" applyAlignment="0" applyProtection="0"/>
    <xf numFmtId="0" fontId="82" fillId="34" borderId="0" applyNumberFormat="0" applyBorder="0" applyAlignment="0" applyProtection="0"/>
    <xf numFmtId="0" fontId="83" fillId="35" borderId="0" applyNumberFormat="0" applyBorder="0" applyAlignment="0" applyProtection="0"/>
    <xf numFmtId="0" fontId="84" fillId="36" borderId="0" applyNumberFormat="0" applyBorder="0" applyAlignment="0" applyProtection="0"/>
    <xf numFmtId="0" fontId="85" fillId="37" borderId="32" applyNumberFormat="0" applyAlignment="0" applyProtection="0"/>
    <xf numFmtId="0" fontId="86" fillId="38" borderId="33" applyNumberFormat="0" applyAlignment="0" applyProtection="0"/>
    <xf numFmtId="0" fontId="87" fillId="38" borderId="32" applyNumberFormat="0" applyAlignment="0" applyProtection="0"/>
    <xf numFmtId="0" fontId="88" fillId="0" borderId="34" applyNumberFormat="0" applyFill="0" applyAlignment="0" applyProtection="0"/>
    <xf numFmtId="0" fontId="89" fillId="39" borderId="35" applyNumberFormat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7" applyNumberFormat="0" applyFill="0" applyAlignment="0" applyProtection="0"/>
    <xf numFmtId="0" fontId="93" fillId="41" borderId="0" applyNumberFormat="0" applyBorder="0" applyAlignment="0" applyProtection="0"/>
    <xf numFmtId="0" fontId="23" fillId="42" borderId="0" applyNumberFormat="0" applyBorder="0" applyAlignment="0" applyProtection="0"/>
    <xf numFmtId="0" fontId="23" fillId="43" borderId="0" applyNumberFormat="0" applyBorder="0" applyAlignment="0" applyProtection="0"/>
    <xf numFmtId="0" fontId="93" fillId="44" borderId="0" applyNumberFormat="0" applyBorder="0" applyAlignment="0" applyProtection="0"/>
    <xf numFmtId="0" fontId="93" fillId="45" borderId="0" applyNumberFormat="0" applyBorder="0" applyAlignment="0" applyProtection="0"/>
    <xf numFmtId="0" fontId="23" fillId="46" borderId="0" applyNumberFormat="0" applyBorder="0" applyAlignment="0" applyProtection="0"/>
    <xf numFmtId="0" fontId="23" fillId="47" borderId="0" applyNumberFormat="0" applyBorder="0" applyAlignment="0" applyProtection="0"/>
    <xf numFmtId="0" fontId="93" fillId="48" borderId="0" applyNumberFormat="0" applyBorder="0" applyAlignment="0" applyProtection="0"/>
    <xf numFmtId="0" fontId="93" fillId="49" borderId="0" applyNumberFormat="0" applyBorder="0" applyAlignment="0" applyProtection="0"/>
    <xf numFmtId="0" fontId="23" fillId="50" borderId="0" applyNumberFormat="0" applyBorder="0" applyAlignment="0" applyProtection="0"/>
    <xf numFmtId="0" fontId="23" fillId="51" borderId="0" applyNumberFormat="0" applyBorder="0" applyAlignment="0" applyProtection="0"/>
    <xf numFmtId="0" fontId="93" fillId="52" borderId="0" applyNumberFormat="0" applyBorder="0" applyAlignment="0" applyProtection="0"/>
    <xf numFmtId="0" fontId="93" fillId="53" borderId="0" applyNumberFormat="0" applyBorder="0" applyAlignment="0" applyProtection="0"/>
    <xf numFmtId="0" fontId="23" fillId="54" borderId="0" applyNumberFormat="0" applyBorder="0" applyAlignment="0" applyProtection="0"/>
    <xf numFmtId="0" fontId="23" fillId="55" borderId="0" applyNumberFormat="0" applyBorder="0" applyAlignment="0" applyProtection="0"/>
    <xf numFmtId="0" fontId="93" fillId="56" borderId="0" applyNumberFormat="0" applyBorder="0" applyAlignment="0" applyProtection="0"/>
    <xf numFmtId="0" fontId="93" fillId="57" borderId="0" applyNumberFormat="0" applyBorder="0" applyAlignment="0" applyProtection="0"/>
    <xf numFmtId="0" fontId="23" fillId="58" borderId="0" applyNumberFormat="0" applyBorder="0" applyAlignment="0" applyProtection="0"/>
    <xf numFmtId="0" fontId="23" fillId="59" borderId="0" applyNumberFormat="0" applyBorder="0" applyAlignment="0" applyProtection="0"/>
    <xf numFmtId="0" fontId="93" fillId="60" borderId="0" applyNumberFormat="0" applyBorder="0" applyAlignment="0" applyProtection="0"/>
    <xf numFmtId="0" fontId="93" fillId="61" borderId="0" applyNumberFormat="0" applyBorder="0" applyAlignment="0" applyProtection="0"/>
    <xf numFmtId="0" fontId="23" fillId="62" borderId="0" applyNumberFormat="0" applyBorder="0" applyAlignment="0" applyProtection="0"/>
    <xf numFmtId="0" fontId="23" fillId="63" borderId="0" applyNumberFormat="0" applyBorder="0" applyAlignment="0" applyProtection="0"/>
    <xf numFmtId="0" fontId="93" fillId="64" borderId="0" applyNumberFormat="0" applyBorder="0" applyAlignment="0" applyProtection="0"/>
    <xf numFmtId="0" fontId="23" fillId="0" borderId="0"/>
    <xf numFmtId="167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3" fillId="0" borderId="0"/>
    <xf numFmtId="167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61" fillId="0" borderId="38">
      <alignment horizontal="center"/>
    </xf>
    <xf numFmtId="0" fontId="23" fillId="40" borderId="36" applyNumberFormat="0" applyFont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167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3" fillId="0" borderId="0" applyFont="0" applyFill="0" applyBorder="0" applyAlignment="0" applyProtection="0"/>
    <xf numFmtId="0" fontId="27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167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4" fillId="0" borderId="0"/>
    <xf numFmtId="0" fontId="95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75" fontId="27" fillId="0" borderId="0"/>
    <xf numFmtId="184" fontId="52" fillId="0" borderId="0"/>
    <xf numFmtId="0" fontId="52" fillId="0" borderId="0"/>
    <xf numFmtId="0" fontId="52" fillId="0" borderId="0"/>
    <xf numFmtId="184" fontId="52" fillId="0" borderId="0"/>
    <xf numFmtId="187" fontId="27" fillId="0" borderId="0" applyFont="0" applyFill="0" applyBorder="0" applyAlignment="0" applyProtection="0"/>
    <xf numFmtId="186" fontId="27" fillId="0" borderId="0" applyFont="0" applyFill="0" applyBorder="0" applyAlignment="0" applyProtection="0"/>
    <xf numFmtId="39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4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8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89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190" fontId="27" fillId="0" borderId="0" applyFont="0" applyFill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50" borderId="0" applyNumberFormat="0" applyBorder="0" applyAlignment="0" applyProtection="0"/>
    <xf numFmtId="0" fontId="22" fillId="50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2" fillId="58" borderId="0" applyNumberFormat="0" applyBorder="0" applyAlignment="0" applyProtection="0"/>
    <xf numFmtId="0" fontId="22" fillId="62" borderId="0" applyNumberFormat="0" applyBorder="0" applyAlignment="0" applyProtection="0"/>
    <xf numFmtId="0" fontId="22" fillId="62" borderId="0" applyNumberFormat="0" applyBorder="0" applyAlignment="0" applyProtection="0"/>
    <xf numFmtId="0" fontId="22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55" borderId="0" applyNumberFormat="0" applyBorder="0" applyAlignment="0" applyProtection="0"/>
    <xf numFmtId="0" fontId="22" fillId="55" borderId="0" applyNumberFormat="0" applyBorder="0" applyAlignment="0" applyProtection="0"/>
    <xf numFmtId="0" fontId="22" fillId="59" borderId="0" applyNumberFormat="0" applyBorder="0" applyAlignment="0" applyProtection="0"/>
    <xf numFmtId="0" fontId="22" fillId="59" borderId="0" applyNumberFormat="0" applyBorder="0" applyAlignment="0" applyProtection="0"/>
    <xf numFmtId="0" fontId="22" fillId="63" borderId="0" applyNumberFormat="0" applyBorder="0" applyAlignment="0" applyProtection="0"/>
    <xf numFmtId="0" fontId="22" fillId="63" borderId="0" applyNumberFormat="0" applyBorder="0" applyAlignment="0" applyProtection="0"/>
    <xf numFmtId="0" fontId="93" fillId="44" borderId="0" applyNumberFormat="0" applyBorder="0" applyAlignment="0" applyProtection="0"/>
    <xf numFmtId="0" fontId="93" fillId="48" borderId="0" applyNumberFormat="0" applyBorder="0" applyAlignment="0" applyProtection="0"/>
    <xf numFmtId="0" fontId="93" fillId="52" borderId="0" applyNumberFormat="0" applyBorder="0" applyAlignment="0" applyProtection="0"/>
    <xf numFmtId="0" fontId="93" fillId="56" borderId="0" applyNumberFormat="0" applyBorder="0" applyAlignment="0" applyProtection="0"/>
    <xf numFmtId="0" fontId="93" fillId="60" borderId="0" applyNumberFormat="0" applyBorder="0" applyAlignment="0" applyProtection="0"/>
    <xf numFmtId="0" fontId="93" fillId="64" borderId="0" applyNumberFormat="0" applyBorder="0" applyAlignment="0" applyProtection="0"/>
    <xf numFmtId="0" fontId="93" fillId="41" borderId="0" applyNumberFormat="0" applyBorder="0" applyAlignment="0" applyProtection="0"/>
    <xf numFmtId="0" fontId="93" fillId="45" borderId="0" applyNumberFormat="0" applyBorder="0" applyAlignment="0" applyProtection="0"/>
    <xf numFmtId="0" fontId="93" fillId="49" borderId="0" applyNumberFormat="0" applyBorder="0" applyAlignment="0" applyProtection="0"/>
    <xf numFmtId="0" fontId="93" fillId="53" borderId="0" applyNumberFormat="0" applyBorder="0" applyAlignment="0" applyProtection="0"/>
    <xf numFmtId="0" fontId="93" fillId="57" borderId="0" applyNumberFormat="0" applyBorder="0" applyAlignment="0" applyProtection="0"/>
    <xf numFmtId="0" fontId="93" fillId="61" borderId="0" applyNumberFormat="0" applyBorder="0" applyAlignment="0" applyProtection="0"/>
    <xf numFmtId="0" fontId="83" fillId="35" borderId="0" applyNumberFormat="0" applyBorder="0" applyAlignment="0" applyProtection="0"/>
    <xf numFmtId="0" fontId="87" fillId="38" borderId="32" applyNumberFormat="0" applyAlignment="0" applyProtection="0"/>
    <xf numFmtId="0" fontId="89" fillId="39" borderId="35" applyNumberFormat="0" applyAlignment="0" applyProtection="0"/>
    <xf numFmtId="167" fontId="9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36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96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36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0" fontId="57" fillId="0" borderId="0"/>
    <xf numFmtId="166" fontId="95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57" fillId="0" borderId="0"/>
    <xf numFmtId="0" fontId="57" fillId="0" borderId="0"/>
    <xf numFmtId="0" fontId="91" fillId="0" borderId="0" applyNumberFormat="0" applyFill="0" applyBorder="0" applyAlignment="0" applyProtection="0"/>
    <xf numFmtId="0" fontId="82" fillId="34" borderId="0" applyNumberFormat="0" applyBorder="0" applyAlignment="0" applyProtection="0"/>
    <xf numFmtId="38" fontId="56" fillId="3" borderId="0" applyNumberFormat="0" applyBorder="0" applyAlignment="0" applyProtection="0"/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79" fillId="0" borderId="29" applyNumberFormat="0" applyFill="0" applyAlignment="0" applyProtection="0"/>
    <xf numFmtId="0" fontId="96" fillId="0" borderId="21" applyNumberFormat="0" applyFill="0" applyAlignment="0" applyProtection="0"/>
    <xf numFmtId="0" fontId="80" fillId="0" borderId="30" applyNumberFormat="0" applyFill="0" applyAlignment="0" applyProtection="0"/>
    <xf numFmtId="0" fontId="51" fillId="0" borderId="0" applyNumberFormat="0" applyFont="0" applyFill="0" applyAlignment="0" applyProtection="0"/>
    <xf numFmtId="0" fontId="97" fillId="0" borderId="22" applyNumberFormat="0" applyFill="0" applyAlignment="0" applyProtection="0"/>
    <xf numFmtId="0" fontId="81" fillId="0" borderId="31" applyNumberFormat="0" applyFill="0" applyAlignment="0" applyProtection="0"/>
    <xf numFmtId="0" fontId="81" fillId="0" borderId="0" applyNumberFormat="0" applyFill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0" fontId="85" fillId="37" borderId="32" applyNumberFormat="0" applyAlignment="0" applyProtection="0"/>
    <xf numFmtId="0" fontId="85" fillId="37" borderId="32" applyNumberFormat="0" applyAlignment="0" applyProtection="0"/>
    <xf numFmtId="0" fontId="85" fillId="37" borderId="32" applyNumberFormat="0" applyAlignment="0" applyProtection="0"/>
    <xf numFmtId="0" fontId="85" fillId="37" borderId="32" applyNumberFormat="0" applyAlignment="0" applyProtection="0"/>
    <xf numFmtId="0" fontId="88" fillId="0" borderId="34" applyNumberFormat="0" applyFill="0" applyAlignment="0" applyProtection="0"/>
    <xf numFmtId="44" fontId="52" fillId="0" borderId="0"/>
    <xf numFmtId="0" fontId="52" fillId="0" borderId="0"/>
    <xf numFmtId="0" fontId="52" fillId="0" borderId="0"/>
    <xf numFmtId="44" fontId="52" fillId="0" borderId="0"/>
    <xf numFmtId="0" fontId="84" fillId="36" borderId="0" applyNumberFormat="0" applyBorder="0" applyAlignment="0" applyProtection="0"/>
    <xf numFmtId="194" fontId="27" fillId="0" borderId="0"/>
    <xf numFmtId="202" fontId="27" fillId="0" borderId="0"/>
    <xf numFmtId="0" fontId="27" fillId="0" borderId="0" applyFont="0" applyFill="0" applyBorder="0" applyAlignment="0" applyProtection="0"/>
    <xf numFmtId="0" fontId="27" fillId="0" borderId="0"/>
    <xf numFmtId="0" fontId="52" fillId="0" borderId="0"/>
    <xf numFmtId="0" fontId="5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36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36" fillId="0" borderId="0"/>
    <xf numFmtId="0" fontId="27" fillId="0" borderId="0"/>
    <xf numFmtId="0" fontId="36" fillId="0" borderId="0"/>
    <xf numFmtId="0" fontId="27" fillId="0" borderId="0"/>
    <xf numFmtId="0" fontId="22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52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>
      <alignment vertical="top"/>
    </xf>
    <xf numFmtId="0" fontId="64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36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36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36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95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52" fillId="0" borderId="0"/>
    <xf numFmtId="0" fontId="22" fillId="0" borderId="0"/>
    <xf numFmtId="0" fontId="27" fillId="0" borderId="0"/>
    <xf numFmtId="0" fontId="52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22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52" fillId="0" borderId="0"/>
    <xf numFmtId="0" fontId="27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7" fillId="0" borderId="0"/>
    <xf numFmtId="0" fontId="27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22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7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52" fillId="0" borderId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27" fillId="0" borderId="0"/>
    <xf numFmtId="0" fontId="86" fillId="38" borderId="33" applyNumberFormat="0" applyAlignment="0" applyProtection="0"/>
    <xf numFmtId="9" fontId="95" fillId="0" borderId="0" applyFont="0" applyFill="0" applyBorder="0" applyAlignment="0" applyProtection="0"/>
    <xf numFmtId="10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22" fillId="0" borderId="0"/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1" fontId="27" fillId="0" borderId="0"/>
    <xf numFmtId="0" fontId="27" fillId="0" borderId="0" applyFont="0" applyFill="0" applyBorder="0" applyAlignment="0" applyProtection="0"/>
    <xf numFmtId="0" fontId="27" fillId="0" borderId="0">
      <alignment vertical="top"/>
    </xf>
    <xf numFmtId="0" fontId="27" fillId="0" borderId="0">
      <alignment vertical="top"/>
    </xf>
    <xf numFmtId="0" fontId="78" fillId="0" borderId="0" applyNumberFormat="0" applyFill="0" applyBorder="0" applyAlignment="0" applyProtection="0"/>
    <xf numFmtId="0" fontId="92" fillId="0" borderId="37" applyNumberFormat="0" applyFill="0" applyAlignment="0" applyProtection="0"/>
    <xf numFmtId="0" fontId="98" fillId="0" borderId="27" applyNumberFormat="0" applyFill="0" applyAlignment="0" applyProtection="0"/>
    <xf numFmtId="0" fontId="90" fillId="0" borderId="0" applyNumberFormat="0" applyFill="0" applyBorder="0" applyAlignment="0" applyProtection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95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0" fontId="27" fillId="0" borderId="0"/>
    <xf numFmtId="195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95" fontId="27" fillId="0" borderId="0"/>
    <xf numFmtId="195" fontId="27" fillId="0" borderId="0"/>
    <xf numFmtId="195" fontId="27" fillId="0" borderId="0"/>
    <xf numFmtId="195" fontId="27" fillId="0" borderId="0"/>
    <xf numFmtId="0" fontId="27" fillId="0" borderId="0"/>
    <xf numFmtId="195" fontId="27" fillId="0" borderId="0"/>
    <xf numFmtId="167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2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44" fontId="22" fillId="0" borderId="0" applyFont="0" applyFill="0" applyBorder="0" applyAlignment="0" applyProtection="0"/>
    <xf numFmtId="166" fontId="27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44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10" fontId="56" fillId="9" borderId="28" applyNumberFormat="0" applyBorder="0" applyAlignment="0" applyProtection="0"/>
    <xf numFmtId="0" fontId="52" fillId="0" borderId="0"/>
    <xf numFmtId="0" fontId="22" fillId="0" borderId="0"/>
    <xf numFmtId="0" fontId="52" fillId="0" borderId="0"/>
    <xf numFmtId="0" fontId="22" fillId="0" borderId="0"/>
    <xf numFmtId="0" fontId="52" fillId="0" borderId="0"/>
    <xf numFmtId="0" fontId="22" fillId="0" borderId="0"/>
    <xf numFmtId="0" fontId="52" fillId="0" borderId="0"/>
    <xf numFmtId="0" fontId="2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52" fillId="0" borderId="0"/>
    <xf numFmtId="0" fontId="22" fillId="0" borderId="0"/>
    <xf numFmtId="0" fontId="52" fillId="0" borderId="0"/>
    <xf numFmtId="0" fontId="27" fillId="0" borderId="0"/>
    <xf numFmtId="0" fontId="2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2" fillId="0" borderId="0"/>
    <xf numFmtId="0" fontId="27" fillId="0" borderId="0"/>
    <xf numFmtId="0" fontId="22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27" fillId="0" borderId="0"/>
    <xf numFmtId="0" fontId="52" fillId="0" borderId="0"/>
    <xf numFmtId="0" fontId="27" fillId="0" borderId="0"/>
    <xf numFmtId="0" fontId="52" fillId="0" borderId="0"/>
    <xf numFmtId="0" fontId="52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52" fillId="0" borderId="0"/>
    <xf numFmtId="0" fontId="52" fillId="0" borderId="0"/>
    <xf numFmtId="9" fontId="95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2" fillId="40" borderId="36" applyNumberFormat="0" applyFont="0" applyAlignment="0" applyProtection="0"/>
    <xf numFmtId="0" fontId="62" fillId="40" borderId="36" applyNumberFormat="0" applyFont="0" applyAlignment="0" applyProtection="0"/>
    <xf numFmtId="0" fontId="22" fillId="40" borderId="36" applyNumberFormat="0" applyFont="0" applyAlignment="0" applyProtection="0"/>
    <xf numFmtId="0" fontId="62" fillId="40" borderId="36" applyNumberFormat="0" applyFont="0" applyAlignment="0" applyProtection="0"/>
    <xf numFmtId="0" fontId="22" fillId="40" borderId="36" applyNumberFormat="0" applyFont="0" applyAlignment="0" applyProtection="0"/>
    <xf numFmtId="0" fontId="62" fillId="40" borderId="36" applyNumberFormat="0" applyFont="0" applyAlignment="0" applyProtection="0"/>
    <xf numFmtId="9" fontId="2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61" fillId="0" borderId="5">
      <alignment horizontal="center"/>
    </xf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6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10" fontId="56" fillId="9" borderId="42" applyNumberFormat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4" borderId="0" applyNumberFormat="0" applyBorder="0" applyAlignment="0" applyProtection="0"/>
    <xf numFmtId="0" fontId="21" fillId="54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62" borderId="0" applyNumberFormat="0" applyBorder="0" applyAlignment="0" applyProtection="0"/>
    <xf numFmtId="0" fontId="21" fillId="62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7" borderId="0" applyNumberFormat="0" applyBorder="0" applyAlignment="0" applyProtection="0"/>
    <xf numFmtId="0" fontId="21" fillId="47" borderId="0" applyNumberFormat="0" applyBorder="0" applyAlignment="0" applyProtection="0"/>
    <xf numFmtId="0" fontId="21" fillId="51" borderId="0" applyNumberFormat="0" applyBorder="0" applyAlignment="0" applyProtection="0"/>
    <xf numFmtId="0" fontId="21" fillId="5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9" borderId="0" applyNumberFormat="0" applyBorder="0" applyAlignment="0" applyProtection="0"/>
    <xf numFmtId="0" fontId="21" fillId="59" borderId="0" applyNumberFormat="0" applyBorder="0" applyAlignment="0" applyProtection="0"/>
    <xf numFmtId="0" fontId="21" fillId="63" borderId="0" applyNumberFormat="0" applyBorder="0" applyAlignment="0" applyProtection="0"/>
    <xf numFmtId="0" fontId="21" fillId="63" borderId="0" applyNumberFormat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10" fontId="56" fillId="9" borderId="42" applyNumberFormat="0" applyBorder="0" applyAlignment="0" applyProtection="0"/>
    <xf numFmtId="0" fontId="21" fillId="40" borderId="36" applyNumberFormat="0" applyFont="0" applyAlignment="0" applyProtection="0"/>
    <xf numFmtId="0" fontId="21" fillId="40" borderId="36" applyNumberFormat="0" applyFont="0" applyAlignment="0" applyProtection="0"/>
    <xf numFmtId="10" fontId="56" fillId="9" borderId="42" applyNumberFormat="0" applyBorder="0" applyAlignment="0" applyProtection="0"/>
    <xf numFmtId="167" fontId="21" fillId="0" borderId="0" applyFont="0" applyFill="0" applyBorder="0" applyAlignment="0" applyProtection="0"/>
    <xf numFmtId="0" fontId="21" fillId="0" borderId="0"/>
    <xf numFmtId="0" fontId="21" fillId="40" borderId="36" applyNumberFormat="0" applyFont="0" applyAlignment="0" applyProtection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0" fontId="56" fillId="9" borderId="42" applyNumberFormat="0" applyBorder="0" applyAlignment="0" applyProtection="0"/>
    <xf numFmtId="16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20" fillId="0" borderId="0"/>
    <xf numFmtId="0" fontId="20" fillId="42" borderId="0" applyNumberFormat="0" applyBorder="0" applyAlignment="0" applyProtection="0"/>
    <xf numFmtId="0" fontId="20" fillId="42" borderId="0" applyNumberFormat="0" applyBorder="0" applyAlignment="0" applyProtection="0"/>
    <xf numFmtId="0" fontId="20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50" borderId="0" applyNumberFormat="0" applyBorder="0" applyAlignment="0" applyProtection="0"/>
    <xf numFmtId="0" fontId="20" fillId="50" borderId="0" applyNumberFormat="0" applyBorder="0" applyAlignment="0" applyProtection="0"/>
    <xf numFmtId="0" fontId="20" fillId="54" borderId="0" applyNumberFormat="0" applyBorder="0" applyAlignment="0" applyProtection="0"/>
    <xf numFmtId="0" fontId="20" fillId="54" borderId="0" applyNumberFormat="0" applyBorder="0" applyAlignment="0" applyProtection="0"/>
    <xf numFmtId="0" fontId="20" fillId="58" borderId="0" applyNumberFormat="0" applyBorder="0" applyAlignment="0" applyProtection="0"/>
    <xf numFmtId="0" fontId="20" fillId="58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47" borderId="0" applyNumberFormat="0" applyBorder="0" applyAlignment="0" applyProtection="0"/>
    <xf numFmtId="0" fontId="20" fillId="47" borderId="0" applyNumberFormat="0" applyBorder="0" applyAlignment="0" applyProtection="0"/>
    <xf numFmtId="0" fontId="20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55" borderId="0" applyNumberFormat="0" applyBorder="0" applyAlignment="0" applyProtection="0"/>
    <xf numFmtId="0" fontId="20" fillId="55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40" borderId="36" applyNumberFormat="0" applyFont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40" borderId="36" applyNumberFormat="0" applyFont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20" fillId="40" borderId="36" applyNumberFormat="0" applyFont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20" fillId="0" borderId="0" applyFont="0" applyFill="0" applyBorder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20" fillId="0" borderId="0" applyFont="0" applyFill="0" applyBorder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42" borderId="0" applyNumberFormat="0" applyBorder="0" applyAlignment="0" applyProtection="0"/>
    <xf numFmtId="0" fontId="19" fillId="42" borderId="0" applyNumberFormat="0" applyBorder="0" applyAlignment="0" applyProtection="0"/>
    <xf numFmtId="0" fontId="19" fillId="46" borderId="0" applyNumberFormat="0" applyBorder="0" applyAlignment="0" applyProtection="0"/>
    <xf numFmtId="0" fontId="19" fillId="46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62" borderId="0" applyNumberFormat="0" applyBorder="0" applyAlignment="0" applyProtection="0"/>
    <xf numFmtId="0" fontId="19" fillId="62" borderId="0" applyNumberFormat="0" applyBorder="0" applyAlignment="0" applyProtection="0"/>
    <xf numFmtId="0" fontId="19" fillId="43" borderId="0" applyNumberFormat="0" applyBorder="0" applyAlignment="0" applyProtection="0"/>
    <xf numFmtId="0" fontId="19" fillId="43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9" borderId="0" applyNumberFormat="0" applyBorder="0" applyAlignment="0" applyProtection="0"/>
    <xf numFmtId="0" fontId="19" fillId="59" borderId="0" applyNumberFormat="0" applyBorder="0" applyAlignment="0" applyProtection="0"/>
    <xf numFmtId="0" fontId="19" fillId="63" borderId="0" applyNumberFormat="0" applyBorder="0" applyAlignment="0" applyProtection="0"/>
    <xf numFmtId="0" fontId="19" fillId="63" borderId="0" applyNumberFormat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167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40" borderId="36" applyNumberFormat="0" applyFont="0" applyAlignment="0" applyProtection="0"/>
    <xf numFmtId="0" fontId="19" fillId="40" borderId="36" applyNumberFormat="0" applyFont="0" applyAlignment="0" applyProtection="0"/>
    <xf numFmtId="0" fontId="19" fillId="40" borderId="36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9" fontId="18" fillId="0" borderId="0" applyFont="0" applyFill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167" fontId="27" fillId="0" borderId="0" applyFont="0" applyFill="0" applyBorder="0" applyAlignment="0" applyProtection="0"/>
    <xf numFmtId="0" fontId="18" fillId="0" borderId="0"/>
    <xf numFmtId="0" fontId="18" fillId="0" borderId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0" fontId="18" fillId="0" borderId="0"/>
    <xf numFmtId="167" fontId="52" fillId="0" borderId="0" applyFont="0" applyFill="0" applyBorder="0" applyAlignment="0" applyProtection="0"/>
    <xf numFmtId="43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18" fillId="0" borderId="0"/>
    <xf numFmtId="167" fontId="52" fillId="0" borderId="0" applyFont="0" applyFill="0" applyBorder="0" applyAlignment="0" applyProtection="0"/>
    <xf numFmtId="0" fontId="18" fillId="63" borderId="0" applyNumberFormat="0" applyBorder="0" applyAlignment="0" applyProtection="0"/>
    <xf numFmtId="0" fontId="18" fillId="59" borderId="0" applyNumberFormat="0" applyBorder="0" applyAlignment="0" applyProtection="0"/>
    <xf numFmtId="0" fontId="18" fillId="55" borderId="0" applyNumberFormat="0" applyBorder="0" applyAlignment="0" applyProtection="0"/>
    <xf numFmtId="0" fontId="18" fillId="51" borderId="0" applyNumberFormat="0" applyBorder="0" applyAlignment="0" applyProtection="0"/>
    <xf numFmtId="0" fontId="18" fillId="47" borderId="0" applyNumberFormat="0" applyBorder="0" applyAlignment="0" applyProtection="0"/>
    <xf numFmtId="0" fontId="18" fillId="43" borderId="0" applyNumberFormat="0" applyBorder="0" applyAlignment="0" applyProtection="0"/>
    <xf numFmtId="0" fontId="18" fillId="62" borderId="0" applyNumberFormat="0" applyBorder="0" applyAlignment="0" applyProtection="0"/>
    <xf numFmtId="0" fontId="18" fillId="58" borderId="0" applyNumberFormat="0" applyBorder="0" applyAlignment="0" applyProtection="0"/>
    <xf numFmtId="0" fontId="18" fillId="54" borderId="0" applyNumberFormat="0" applyBorder="0" applyAlignment="0" applyProtection="0"/>
    <xf numFmtId="0" fontId="18" fillId="50" borderId="0" applyNumberFormat="0" applyBorder="0" applyAlignment="0" applyProtection="0"/>
    <xf numFmtId="0" fontId="18" fillId="46" borderId="0" applyNumberFormat="0" applyBorder="0" applyAlignment="0" applyProtection="0"/>
    <xf numFmtId="0" fontId="18" fillId="42" borderId="0" applyNumberFormat="0" applyBorder="0" applyAlignment="0" applyProtection="0"/>
    <xf numFmtId="0" fontId="52" fillId="0" borderId="0"/>
    <xf numFmtId="0" fontId="52" fillId="0" borderId="0"/>
    <xf numFmtId="0" fontId="5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7" fillId="0" borderId="0"/>
    <xf numFmtId="0" fontId="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8" fillId="0" borderId="0"/>
    <xf numFmtId="9" fontId="62" fillId="0" borderId="0" applyFont="0" applyFill="0" applyBorder="0" applyAlignment="0" applyProtection="0"/>
    <xf numFmtId="0" fontId="18" fillId="0" borderId="0"/>
    <xf numFmtId="9" fontId="62" fillId="0" borderId="0" applyFont="0" applyFill="0" applyBorder="0" applyAlignment="0" applyProtection="0"/>
    <xf numFmtId="0" fontId="18" fillId="0" borderId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8" fillId="0" borderId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8" fillId="40" borderId="36" applyNumberFormat="0" applyFont="0" applyAlignment="0" applyProtection="0"/>
    <xf numFmtId="9" fontId="1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9" fontId="62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0" fontId="37" fillId="0" borderId="43" applyNumberFormat="0" applyFill="0" applyAlignment="0" applyProtection="0"/>
    <xf numFmtId="0" fontId="75" fillId="30" borderId="46" applyNumberFormat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52" fillId="0" borderId="0"/>
    <xf numFmtId="0" fontId="18" fillId="0" borderId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52" fillId="0" borderId="0" applyFont="0" applyFill="0" applyBorder="0" applyAlignment="0" applyProtection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10" fontId="56" fillId="9" borderId="45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10" fontId="56" fillId="9" borderId="45" applyNumberFormat="0" applyBorder="0" applyAlignment="0" applyProtection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10" fontId="56" fillId="9" borderId="45" applyNumberFormat="0" applyBorder="0" applyAlignment="0" applyProtection="0"/>
    <xf numFmtId="167" fontId="18" fillId="0" borderId="0" applyFont="0" applyFill="0" applyBorder="0" applyAlignment="0" applyProtection="0"/>
    <xf numFmtId="0" fontId="18" fillId="0" borderId="0"/>
    <xf numFmtId="0" fontId="18" fillId="40" borderId="36" applyNumberFormat="0" applyFont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0" fontId="56" fillId="9" borderId="45" applyNumberFormat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2" borderId="0" applyNumberFormat="0" applyBorder="0" applyAlignment="0" applyProtection="0"/>
    <xf numFmtId="0" fontId="18" fillId="42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8" borderId="0" applyNumberFormat="0" applyBorder="0" applyAlignment="0" applyProtection="0"/>
    <xf numFmtId="0" fontId="18" fillId="58" borderId="0" applyNumberFormat="0" applyBorder="0" applyAlignment="0" applyProtection="0"/>
    <xf numFmtId="0" fontId="18" fillId="62" borderId="0" applyNumberFormat="0" applyBorder="0" applyAlignment="0" applyProtection="0"/>
    <xf numFmtId="0" fontId="18" fillId="62" borderId="0" applyNumberFormat="0" applyBorder="0" applyAlignment="0" applyProtection="0"/>
    <xf numFmtId="0" fontId="18" fillId="43" borderId="0" applyNumberFormat="0" applyBorder="0" applyAlignment="0" applyProtection="0"/>
    <xf numFmtId="0" fontId="18" fillId="43" borderId="0" applyNumberFormat="0" applyBorder="0" applyAlignment="0" applyProtection="0"/>
    <xf numFmtId="0" fontId="18" fillId="47" borderId="0" applyNumberFormat="0" applyBorder="0" applyAlignment="0" applyProtection="0"/>
    <xf numFmtId="0" fontId="18" fillId="47" borderId="0" applyNumberFormat="0" applyBorder="0" applyAlignment="0" applyProtection="0"/>
    <xf numFmtId="0" fontId="18" fillId="51" borderId="0" applyNumberFormat="0" applyBorder="0" applyAlignment="0" applyProtection="0"/>
    <xf numFmtId="0" fontId="18" fillId="51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9" borderId="0" applyNumberFormat="0" applyBorder="0" applyAlignment="0" applyProtection="0"/>
    <xf numFmtId="0" fontId="18" fillId="59" borderId="0" applyNumberFormat="0" applyBorder="0" applyAlignment="0" applyProtection="0"/>
    <xf numFmtId="0" fontId="18" fillId="63" borderId="0" applyNumberFormat="0" applyBorder="0" applyAlignment="0" applyProtection="0"/>
    <xf numFmtId="0" fontId="18" fillId="63" borderId="0" applyNumberFormat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0" fontId="18" fillId="40" borderId="36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167" fontId="17" fillId="0" borderId="0" applyFont="0" applyFill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54" borderId="0" applyNumberFormat="0" applyBorder="0" applyAlignment="0" applyProtection="0"/>
    <xf numFmtId="0" fontId="17" fillId="55" borderId="0" applyNumberFormat="0" applyBorder="0" applyAlignment="0" applyProtection="0"/>
    <xf numFmtId="0" fontId="17" fillId="58" borderId="0" applyNumberFormat="0" applyBorder="0" applyAlignment="0" applyProtection="0"/>
    <xf numFmtId="0" fontId="17" fillId="59" borderId="0" applyNumberFormat="0" applyBorder="0" applyAlignment="0" applyProtection="0"/>
    <xf numFmtId="0" fontId="17" fillId="62" borderId="0" applyNumberFormat="0" applyBorder="0" applyAlignment="0" applyProtection="0"/>
    <xf numFmtId="0" fontId="17" fillId="63" borderId="0" applyNumberFormat="0" applyBorder="0" applyAlignment="0" applyProtection="0"/>
    <xf numFmtId="0" fontId="27" fillId="0" borderId="0"/>
    <xf numFmtId="167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27" fillId="0" borderId="0" applyFont="0" applyFill="0" applyBorder="0" applyAlignment="0" applyProtection="0"/>
    <xf numFmtId="0" fontId="27" fillId="0" borderId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40" borderId="36" applyNumberFormat="0" applyFont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9" fontId="17" fillId="0" borderId="0" applyFont="0" applyFill="0" applyBorder="0" applyAlignment="0" applyProtection="0"/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9" fontId="17" fillId="0" borderId="0" applyFont="0" applyFill="0" applyBorder="0" applyAlignment="0" applyProtection="0"/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0" fontId="51" fillId="0" borderId="39">
      <alignment horizontal="left" vertical="center"/>
    </xf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98" fillId="0" borderId="27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61" fillId="0" borderId="38">
      <alignment horizontal="center"/>
    </xf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1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27" fillId="0" borderId="0"/>
    <xf numFmtId="9" fontId="27" fillId="0" borderId="0" applyFont="0" applyFill="0" applyBorder="0" applyAlignment="0" applyProtection="0"/>
    <xf numFmtId="0" fontId="52" fillId="0" borderId="0"/>
    <xf numFmtId="9" fontId="17" fillId="0" borderId="0" applyFont="0" applyFill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63" borderId="0" applyNumberFormat="0" applyBorder="0" applyAlignment="0" applyProtection="0"/>
    <xf numFmtId="0" fontId="17" fillId="59" borderId="0" applyNumberFormat="0" applyBorder="0" applyAlignment="0" applyProtection="0"/>
    <xf numFmtId="0" fontId="17" fillId="55" borderId="0" applyNumberFormat="0" applyBorder="0" applyAlignment="0" applyProtection="0"/>
    <xf numFmtId="0" fontId="17" fillId="51" borderId="0" applyNumberFormat="0" applyBorder="0" applyAlignment="0" applyProtection="0"/>
    <xf numFmtId="0" fontId="17" fillId="47" borderId="0" applyNumberFormat="0" applyBorder="0" applyAlignment="0" applyProtection="0"/>
    <xf numFmtId="0" fontId="17" fillId="43" borderId="0" applyNumberFormat="0" applyBorder="0" applyAlignment="0" applyProtection="0"/>
    <xf numFmtId="0" fontId="17" fillId="62" borderId="0" applyNumberFormat="0" applyBorder="0" applyAlignment="0" applyProtection="0"/>
    <xf numFmtId="0" fontId="17" fillId="58" borderId="0" applyNumberFormat="0" applyBorder="0" applyAlignment="0" applyProtection="0"/>
    <xf numFmtId="0" fontId="17" fillId="54" borderId="0" applyNumberFormat="0" applyBorder="0" applyAlignment="0" applyProtection="0"/>
    <xf numFmtId="0" fontId="17" fillId="50" borderId="0" applyNumberFormat="0" applyBorder="0" applyAlignment="0" applyProtection="0"/>
    <xf numFmtId="0" fontId="17" fillId="46" borderId="0" applyNumberFormat="0" applyBorder="0" applyAlignment="0" applyProtection="0"/>
    <xf numFmtId="0" fontId="17" fillId="42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5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37" fillId="0" borderId="27" applyNumberFormat="0" applyFill="0" applyAlignment="0" applyProtection="0"/>
    <xf numFmtId="0" fontId="75" fillId="30" borderId="26" applyNumberFormat="0" applyAlignment="0" applyProtection="0"/>
    <xf numFmtId="167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6" borderId="0" applyNumberFormat="0" applyBorder="0" applyAlignment="0" applyProtection="0"/>
    <xf numFmtId="0" fontId="17" fillId="46" borderId="0" applyNumberFormat="0" applyBorder="0" applyAlignment="0" applyProtection="0"/>
    <xf numFmtId="0" fontId="17" fillId="50" borderId="0" applyNumberFormat="0" applyBorder="0" applyAlignment="0" applyProtection="0"/>
    <xf numFmtId="0" fontId="17" fillId="50" borderId="0" applyNumberFormat="0" applyBorder="0" applyAlignment="0" applyProtection="0"/>
    <xf numFmtId="0" fontId="17" fillId="54" borderId="0" applyNumberFormat="0" applyBorder="0" applyAlignment="0" applyProtection="0"/>
    <xf numFmtId="0" fontId="17" fillId="54" borderId="0" applyNumberFormat="0" applyBorder="0" applyAlignment="0" applyProtection="0"/>
    <xf numFmtId="0" fontId="17" fillId="58" borderId="0" applyNumberFormat="0" applyBorder="0" applyAlignment="0" applyProtection="0"/>
    <xf numFmtId="0" fontId="17" fillId="58" borderId="0" applyNumberFormat="0" applyBorder="0" applyAlignment="0" applyProtection="0"/>
    <xf numFmtId="0" fontId="17" fillId="62" borderId="0" applyNumberFormat="0" applyBorder="0" applyAlignment="0" applyProtection="0"/>
    <xf numFmtId="0" fontId="17" fillId="62" borderId="0" applyNumberFormat="0" applyBorder="0" applyAlignment="0" applyProtection="0"/>
    <xf numFmtId="0" fontId="17" fillId="43" borderId="0" applyNumberFormat="0" applyBorder="0" applyAlignment="0" applyProtection="0"/>
    <xf numFmtId="0" fontId="17" fillId="43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51" borderId="0" applyNumberFormat="0" applyBorder="0" applyAlignment="0" applyProtection="0"/>
    <xf numFmtId="0" fontId="17" fillId="51" borderId="0" applyNumberFormat="0" applyBorder="0" applyAlignment="0" applyProtection="0"/>
    <xf numFmtId="0" fontId="17" fillId="55" borderId="0" applyNumberFormat="0" applyBorder="0" applyAlignment="0" applyProtection="0"/>
    <xf numFmtId="0" fontId="17" fillId="55" borderId="0" applyNumberFormat="0" applyBorder="0" applyAlignment="0" applyProtection="0"/>
    <xf numFmtId="0" fontId="17" fillId="59" borderId="0" applyNumberFormat="0" applyBorder="0" applyAlignment="0" applyProtection="0"/>
    <xf numFmtId="0" fontId="17" fillId="59" borderId="0" applyNumberFormat="0" applyBorder="0" applyAlignment="0" applyProtection="0"/>
    <xf numFmtId="0" fontId="17" fillId="63" borderId="0" applyNumberFormat="0" applyBorder="0" applyAlignment="0" applyProtection="0"/>
    <xf numFmtId="0" fontId="17" fillId="63" borderId="0" applyNumberFormat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0" fontId="17" fillId="40" borderId="36" applyNumberFormat="0" applyFon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7" fillId="0" borderId="0"/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0" fontId="61" fillId="0" borderId="5">
      <alignment horizontal="center"/>
    </xf>
    <xf numFmtId="9" fontId="17" fillId="0" borderId="0" applyFont="0" applyFill="0" applyBorder="0" applyAlignment="0" applyProtection="0"/>
    <xf numFmtId="0" fontId="16" fillId="0" borderId="0"/>
    <xf numFmtId="0" fontId="16" fillId="42" borderId="0" applyNumberFormat="0" applyBorder="0" applyAlignment="0" applyProtection="0"/>
    <xf numFmtId="0" fontId="16" fillId="42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6" fillId="50" borderId="0" applyNumberFormat="0" applyBorder="0" applyAlignment="0" applyProtection="0"/>
    <xf numFmtId="0" fontId="16" fillId="50" borderId="0" applyNumberFormat="0" applyBorder="0" applyAlignment="0" applyProtection="0"/>
    <xf numFmtId="0" fontId="16" fillId="54" borderId="0" applyNumberFormat="0" applyBorder="0" applyAlignment="0" applyProtection="0"/>
    <xf numFmtId="0" fontId="16" fillId="54" borderId="0" applyNumberFormat="0" applyBorder="0" applyAlignment="0" applyProtection="0"/>
    <xf numFmtId="0" fontId="16" fillId="58" borderId="0" applyNumberFormat="0" applyBorder="0" applyAlignment="0" applyProtection="0"/>
    <xf numFmtId="0" fontId="16" fillId="58" borderId="0" applyNumberFormat="0" applyBorder="0" applyAlignment="0" applyProtection="0"/>
    <xf numFmtId="0" fontId="16" fillId="62" borderId="0" applyNumberFormat="0" applyBorder="0" applyAlignment="0" applyProtection="0"/>
    <xf numFmtId="0" fontId="16" fillId="62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6" fillId="47" borderId="0" applyNumberFormat="0" applyBorder="0" applyAlignment="0" applyProtection="0"/>
    <xf numFmtId="0" fontId="16" fillId="47" borderId="0" applyNumberFormat="0" applyBorder="0" applyAlignment="0" applyProtection="0"/>
    <xf numFmtId="0" fontId="16" fillId="51" borderId="0" applyNumberFormat="0" applyBorder="0" applyAlignment="0" applyProtection="0"/>
    <xf numFmtId="0" fontId="16" fillId="51" borderId="0" applyNumberFormat="0" applyBorder="0" applyAlignment="0" applyProtection="0"/>
    <xf numFmtId="0" fontId="16" fillId="55" borderId="0" applyNumberFormat="0" applyBorder="0" applyAlignment="0" applyProtection="0"/>
    <xf numFmtId="0" fontId="16" fillId="55" borderId="0" applyNumberFormat="0" applyBorder="0" applyAlignment="0" applyProtection="0"/>
    <xf numFmtId="0" fontId="16" fillId="59" borderId="0" applyNumberFormat="0" applyBorder="0" applyAlignment="0" applyProtection="0"/>
    <xf numFmtId="0" fontId="16" fillId="59" borderId="0" applyNumberFormat="0" applyBorder="0" applyAlignment="0" applyProtection="0"/>
    <xf numFmtId="0" fontId="16" fillId="63" borderId="0" applyNumberFormat="0" applyBorder="0" applyAlignment="0" applyProtection="0"/>
    <xf numFmtId="0" fontId="16" fillId="63" borderId="0" applyNumberFormat="0" applyBorder="0" applyAlignment="0" applyProtection="0"/>
    <xf numFmtId="167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40" borderId="36" applyNumberFormat="0" applyFont="0" applyAlignment="0" applyProtection="0"/>
    <xf numFmtId="0" fontId="16" fillId="40" borderId="36" applyNumberFormat="0" applyFont="0" applyAlignment="0" applyProtection="0"/>
    <xf numFmtId="0" fontId="16" fillId="40" borderId="36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167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5" fillId="58" borderId="0" applyNumberFormat="0" applyBorder="0" applyAlignment="0" applyProtection="0"/>
    <xf numFmtId="0" fontId="15" fillId="59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66" fillId="30" borderId="47" applyNumberFormat="0" applyAlignment="0" applyProtection="0"/>
    <xf numFmtId="0" fontId="72" fillId="17" borderId="47" applyNumberFormat="0" applyAlignment="0" applyProtection="0"/>
    <xf numFmtId="0" fontId="27" fillId="33" borderId="48" applyNumberFormat="0" applyFont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40" borderId="36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40" borderId="36" applyNumberFormat="0" applyFont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40" borderId="36" applyNumberFormat="0" applyFont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63" borderId="0" applyNumberFormat="0" applyBorder="0" applyAlignment="0" applyProtection="0"/>
    <xf numFmtId="0" fontId="15" fillId="59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43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4" borderId="0" applyNumberFormat="0" applyBorder="0" applyAlignment="0" applyProtection="0"/>
    <xf numFmtId="0" fontId="15" fillId="50" borderId="0" applyNumberFormat="0" applyBorder="0" applyAlignment="0" applyProtection="0"/>
    <xf numFmtId="0" fontId="15" fillId="46" borderId="0" applyNumberFormat="0" applyBorder="0" applyAlignment="0" applyProtection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0" fontId="56" fillId="9" borderId="42" applyNumberFormat="0" applyBorder="0" applyAlignment="0" applyProtection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10" fontId="56" fillId="9" borderId="42" applyNumberFormat="0" applyBorder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10" fontId="56" fillId="9" borderId="42" applyNumberFormat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0" fontId="56" fillId="9" borderId="42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10" fontId="56" fillId="9" borderId="42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7" fillId="0" borderId="0"/>
    <xf numFmtId="9" fontId="27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5" fillId="58" borderId="0" applyNumberFormat="0" applyBorder="0" applyAlignment="0" applyProtection="0"/>
    <xf numFmtId="0" fontId="15" fillId="59" borderId="0" applyNumberFormat="0" applyBorder="0" applyAlignment="0" applyProtection="0"/>
    <xf numFmtId="0" fontId="15" fillId="62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40" borderId="36" applyNumberFormat="0" applyFont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15" fillId="0" borderId="0" applyFont="0" applyFill="0" applyBorder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15" fillId="0" borderId="0" applyFont="0" applyFill="0" applyBorder="0" applyAlignment="0" applyProtection="0"/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0" fontId="51" fillId="0" borderId="44">
      <alignment horizontal="left" vertical="center"/>
    </xf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98" fillId="0" borderId="43" applyNumberFormat="0" applyFill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63" borderId="0" applyNumberFormat="0" applyBorder="0" applyAlignment="0" applyProtection="0"/>
    <xf numFmtId="0" fontId="15" fillId="59" borderId="0" applyNumberFormat="0" applyBorder="0" applyAlignment="0" applyProtection="0"/>
    <xf numFmtId="0" fontId="15" fillId="55" borderId="0" applyNumberFormat="0" applyBorder="0" applyAlignment="0" applyProtection="0"/>
    <xf numFmtId="0" fontId="15" fillId="51" borderId="0" applyNumberFormat="0" applyBorder="0" applyAlignment="0" applyProtection="0"/>
    <xf numFmtId="0" fontId="15" fillId="47" borderId="0" applyNumberFormat="0" applyBorder="0" applyAlignment="0" applyProtection="0"/>
    <xf numFmtId="0" fontId="15" fillId="43" borderId="0" applyNumberFormat="0" applyBorder="0" applyAlignment="0" applyProtection="0"/>
    <xf numFmtId="0" fontId="15" fillId="62" borderId="0" applyNumberFormat="0" applyBorder="0" applyAlignment="0" applyProtection="0"/>
    <xf numFmtId="0" fontId="15" fillId="58" borderId="0" applyNumberFormat="0" applyBorder="0" applyAlignment="0" applyProtection="0"/>
    <xf numFmtId="0" fontId="15" fillId="54" borderId="0" applyNumberFormat="0" applyBorder="0" applyAlignment="0" applyProtection="0"/>
    <xf numFmtId="0" fontId="15" fillId="50" borderId="0" applyNumberFormat="0" applyBorder="0" applyAlignment="0" applyProtection="0"/>
    <xf numFmtId="0" fontId="15" fillId="46" borderId="0" applyNumberFormat="0" applyBorder="0" applyAlignment="0" applyProtection="0"/>
    <xf numFmtId="0" fontId="15" fillId="42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37" fillId="0" borderId="43" applyNumberFormat="0" applyFill="0" applyAlignment="0" applyProtection="0"/>
    <xf numFmtId="0" fontId="75" fillId="30" borderId="46" applyNumberFormat="0" applyAlignment="0" applyProtection="0"/>
    <xf numFmtId="167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167" fontId="15" fillId="0" borderId="0" applyFont="0" applyFill="0" applyBorder="0" applyAlignment="0" applyProtection="0"/>
    <xf numFmtId="0" fontId="15" fillId="0" borderId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0" fontId="61" fillId="0" borderId="38">
      <alignment horizontal="center"/>
    </xf>
    <xf numFmtId="9" fontId="15" fillId="0" borderId="0" applyFont="0" applyFill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42" borderId="0" applyNumberFormat="0" applyBorder="0" applyAlignment="0" applyProtection="0"/>
    <xf numFmtId="0" fontId="15" fillId="46" borderId="0" applyNumberFormat="0" applyBorder="0" applyAlignment="0" applyProtection="0"/>
    <xf numFmtId="0" fontId="15" fillId="46" borderId="0" applyNumberFormat="0" applyBorder="0" applyAlignment="0" applyProtection="0"/>
    <xf numFmtId="0" fontId="15" fillId="50" borderId="0" applyNumberFormat="0" applyBorder="0" applyAlignment="0" applyProtection="0"/>
    <xf numFmtId="0" fontId="15" fillId="50" borderId="0" applyNumberFormat="0" applyBorder="0" applyAlignment="0" applyProtection="0"/>
    <xf numFmtId="0" fontId="15" fillId="54" borderId="0" applyNumberFormat="0" applyBorder="0" applyAlignment="0" applyProtection="0"/>
    <xf numFmtId="0" fontId="15" fillId="54" borderId="0" applyNumberFormat="0" applyBorder="0" applyAlignment="0" applyProtection="0"/>
    <xf numFmtId="0" fontId="15" fillId="58" borderId="0" applyNumberFormat="0" applyBorder="0" applyAlignment="0" applyProtection="0"/>
    <xf numFmtId="0" fontId="15" fillId="58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43" borderId="0" applyNumberFormat="0" applyBorder="0" applyAlignment="0" applyProtection="0"/>
    <xf numFmtId="0" fontId="15" fillId="43" borderId="0" applyNumberFormat="0" applyBorder="0" applyAlignment="0" applyProtection="0"/>
    <xf numFmtId="0" fontId="15" fillId="47" borderId="0" applyNumberFormat="0" applyBorder="0" applyAlignment="0" applyProtection="0"/>
    <xf numFmtId="0" fontId="15" fillId="47" borderId="0" applyNumberFormat="0" applyBorder="0" applyAlignment="0" applyProtection="0"/>
    <xf numFmtId="0" fontId="15" fillId="51" borderId="0" applyNumberFormat="0" applyBorder="0" applyAlignment="0" applyProtection="0"/>
    <xf numFmtId="0" fontId="15" fillId="51" borderId="0" applyNumberFormat="0" applyBorder="0" applyAlignment="0" applyProtection="0"/>
    <xf numFmtId="0" fontId="15" fillId="55" borderId="0" applyNumberFormat="0" applyBorder="0" applyAlignment="0" applyProtection="0"/>
    <xf numFmtId="0" fontId="15" fillId="55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0" fontId="15" fillId="40" borderId="36" applyNumberFormat="0" applyFon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16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3" borderId="0" applyNumberFormat="0" applyBorder="0" applyAlignment="0" applyProtection="0"/>
    <xf numFmtId="0" fontId="13" fillId="0" borderId="0"/>
    <xf numFmtId="0" fontId="13" fillId="59" borderId="0" applyNumberFormat="0" applyBorder="0" applyAlignment="0" applyProtection="0"/>
    <xf numFmtId="0" fontId="13" fillId="55" borderId="0" applyNumberFormat="0" applyBorder="0" applyAlignment="0" applyProtection="0"/>
    <xf numFmtId="0" fontId="13" fillId="51" borderId="0" applyNumberFormat="0" applyBorder="0" applyAlignment="0" applyProtection="0"/>
    <xf numFmtId="0" fontId="13" fillId="47" borderId="0" applyNumberFormat="0" applyBorder="0" applyAlignment="0" applyProtection="0"/>
    <xf numFmtId="0" fontId="13" fillId="43" borderId="0" applyNumberFormat="0" applyBorder="0" applyAlignment="0" applyProtection="0"/>
    <xf numFmtId="0" fontId="13" fillId="62" borderId="0" applyNumberFormat="0" applyBorder="0" applyAlignment="0" applyProtection="0"/>
    <xf numFmtId="0" fontId="13" fillId="0" borderId="0"/>
    <xf numFmtId="0" fontId="13" fillId="0" borderId="0"/>
    <xf numFmtId="0" fontId="13" fillId="5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54" borderId="0" applyNumberFormat="0" applyBorder="0" applyAlignment="0" applyProtection="0"/>
    <xf numFmtId="0" fontId="13" fillId="0" borderId="0"/>
    <xf numFmtId="0" fontId="13" fillId="0" borderId="0"/>
    <xf numFmtId="0" fontId="13" fillId="50" borderId="0" applyNumberFormat="0" applyBorder="0" applyAlignment="0" applyProtection="0"/>
    <xf numFmtId="0" fontId="13" fillId="46" borderId="0" applyNumberFormat="0" applyBorder="0" applyAlignment="0" applyProtection="0"/>
    <xf numFmtId="0" fontId="13" fillId="4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13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43" fontId="13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00" fillId="0" borderId="0"/>
    <xf numFmtId="43" fontId="100" fillId="0" borderId="0" applyFont="0" applyFill="0" applyBorder="0" applyAlignment="0" applyProtection="0"/>
    <xf numFmtId="44" fontId="100" fillId="0" borderId="0" applyFont="0" applyFill="0" applyBorder="0" applyAlignment="0" applyProtection="0"/>
    <xf numFmtId="9" fontId="10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3" borderId="0" applyNumberFormat="0" applyBorder="0" applyAlignment="0" applyProtection="0"/>
    <xf numFmtId="0" fontId="13" fillId="59" borderId="0" applyNumberFormat="0" applyBorder="0" applyAlignment="0" applyProtection="0"/>
    <xf numFmtId="0" fontId="13" fillId="55" borderId="0" applyNumberFormat="0" applyBorder="0" applyAlignment="0" applyProtection="0"/>
    <xf numFmtId="0" fontId="13" fillId="51" borderId="0" applyNumberFormat="0" applyBorder="0" applyAlignment="0" applyProtection="0"/>
    <xf numFmtId="0" fontId="13" fillId="47" borderId="0" applyNumberFormat="0" applyBorder="0" applyAlignment="0" applyProtection="0"/>
    <xf numFmtId="0" fontId="13" fillId="43" borderId="0" applyNumberFormat="0" applyBorder="0" applyAlignment="0" applyProtection="0"/>
    <xf numFmtId="0" fontId="13" fillId="62" borderId="0" applyNumberFormat="0" applyBorder="0" applyAlignment="0" applyProtection="0"/>
    <xf numFmtId="0" fontId="13" fillId="58" borderId="0" applyNumberFormat="0" applyBorder="0" applyAlignment="0" applyProtection="0"/>
    <xf numFmtId="0" fontId="13" fillId="54" borderId="0" applyNumberFormat="0" applyBorder="0" applyAlignment="0" applyProtection="0"/>
    <xf numFmtId="0" fontId="13" fillId="50" borderId="0" applyNumberFormat="0" applyBorder="0" applyAlignment="0" applyProtection="0"/>
    <xf numFmtId="0" fontId="13" fillId="46" borderId="0" applyNumberFormat="0" applyBorder="0" applyAlignment="0" applyProtection="0"/>
    <xf numFmtId="0" fontId="13" fillId="4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54" borderId="0" applyNumberFormat="0" applyBorder="0" applyAlignment="0" applyProtection="0"/>
    <xf numFmtId="0" fontId="13" fillId="55" borderId="0" applyNumberFormat="0" applyBorder="0" applyAlignment="0" applyProtection="0"/>
    <xf numFmtId="0" fontId="13" fillId="58" borderId="0" applyNumberFormat="0" applyBorder="0" applyAlignment="0" applyProtection="0"/>
    <xf numFmtId="0" fontId="13" fillId="59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40" borderId="36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63" borderId="0" applyNumberFormat="0" applyBorder="0" applyAlignment="0" applyProtection="0"/>
    <xf numFmtId="0" fontId="13" fillId="59" borderId="0" applyNumberFormat="0" applyBorder="0" applyAlignment="0" applyProtection="0"/>
    <xf numFmtId="0" fontId="13" fillId="55" borderId="0" applyNumberFormat="0" applyBorder="0" applyAlignment="0" applyProtection="0"/>
    <xf numFmtId="0" fontId="13" fillId="51" borderId="0" applyNumberFormat="0" applyBorder="0" applyAlignment="0" applyProtection="0"/>
    <xf numFmtId="0" fontId="13" fillId="47" borderId="0" applyNumberFormat="0" applyBorder="0" applyAlignment="0" applyProtection="0"/>
    <xf numFmtId="0" fontId="13" fillId="43" borderId="0" applyNumberFormat="0" applyBorder="0" applyAlignment="0" applyProtection="0"/>
    <xf numFmtId="0" fontId="13" fillId="62" borderId="0" applyNumberFormat="0" applyBorder="0" applyAlignment="0" applyProtection="0"/>
    <xf numFmtId="0" fontId="13" fillId="58" borderId="0" applyNumberFormat="0" applyBorder="0" applyAlignment="0" applyProtection="0"/>
    <xf numFmtId="0" fontId="13" fillId="54" borderId="0" applyNumberFormat="0" applyBorder="0" applyAlignment="0" applyProtection="0"/>
    <xf numFmtId="0" fontId="13" fillId="50" borderId="0" applyNumberFormat="0" applyBorder="0" applyAlignment="0" applyProtection="0"/>
    <xf numFmtId="0" fontId="13" fillId="46" borderId="0" applyNumberFormat="0" applyBorder="0" applyAlignment="0" applyProtection="0"/>
    <xf numFmtId="0" fontId="13" fillId="4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6" borderId="0" applyNumberFormat="0" applyBorder="0" applyAlignment="0" applyProtection="0"/>
    <xf numFmtId="0" fontId="13" fillId="46" borderId="0" applyNumberFormat="0" applyBorder="0" applyAlignment="0" applyProtection="0"/>
    <xf numFmtId="0" fontId="13" fillId="50" borderId="0" applyNumberFormat="0" applyBorder="0" applyAlignment="0" applyProtection="0"/>
    <xf numFmtId="0" fontId="13" fillId="50" borderId="0" applyNumberFormat="0" applyBorder="0" applyAlignment="0" applyProtection="0"/>
    <xf numFmtId="0" fontId="13" fillId="54" borderId="0" applyNumberFormat="0" applyBorder="0" applyAlignment="0" applyProtection="0"/>
    <xf numFmtId="0" fontId="13" fillId="54" borderId="0" applyNumberFormat="0" applyBorder="0" applyAlignment="0" applyProtection="0"/>
    <xf numFmtId="0" fontId="13" fillId="58" borderId="0" applyNumberFormat="0" applyBorder="0" applyAlignment="0" applyProtection="0"/>
    <xf numFmtId="0" fontId="13" fillId="58" borderId="0" applyNumberFormat="0" applyBorder="0" applyAlignment="0" applyProtection="0"/>
    <xf numFmtId="0" fontId="13" fillId="62" borderId="0" applyNumberFormat="0" applyBorder="0" applyAlignment="0" applyProtection="0"/>
    <xf numFmtId="0" fontId="13" fillId="6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7" borderId="0" applyNumberFormat="0" applyBorder="0" applyAlignment="0" applyProtection="0"/>
    <xf numFmtId="0" fontId="13" fillId="47" borderId="0" applyNumberFormat="0" applyBorder="0" applyAlignment="0" applyProtection="0"/>
    <xf numFmtId="0" fontId="13" fillId="51" borderId="0" applyNumberFormat="0" applyBorder="0" applyAlignment="0" applyProtection="0"/>
    <xf numFmtId="0" fontId="13" fillId="51" borderId="0" applyNumberFormat="0" applyBorder="0" applyAlignment="0" applyProtection="0"/>
    <xf numFmtId="0" fontId="13" fillId="55" borderId="0" applyNumberFormat="0" applyBorder="0" applyAlignment="0" applyProtection="0"/>
    <xf numFmtId="0" fontId="13" fillId="55" borderId="0" applyNumberFormat="0" applyBorder="0" applyAlignment="0" applyProtection="0"/>
    <xf numFmtId="0" fontId="13" fillId="59" borderId="0" applyNumberFormat="0" applyBorder="0" applyAlignment="0" applyProtection="0"/>
    <xf numFmtId="0" fontId="13" fillId="59" borderId="0" applyNumberFormat="0" applyBorder="0" applyAlignment="0" applyProtection="0"/>
    <xf numFmtId="0" fontId="13" fillId="63" borderId="0" applyNumberFormat="0" applyBorder="0" applyAlignment="0" applyProtection="0"/>
    <xf numFmtId="0" fontId="13" fillId="63" borderId="0" applyNumberFormat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0" fontId="13" fillId="40" borderId="36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16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42" borderId="0" applyNumberFormat="0" applyBorder="0" applyAlignment="0" applyProtection="0"/>
    <xf numFmtId="0" fontId="12" fillId="42" borderId="0" applyNumberFormat="0" applyBorder="0" applyAlignment="0" applyProtection="0"/>
    <xf numFmtId="0" fontId="12" fillId="46" borderId="0" applyNumberFormat="0" applyBorder="0" applyAlignment="0" applyProtection="0"/>
    <xf numFmtId="0" fontId="12" fillId="46" borderId="0" applyNumberFormat="0" applyBorder="0" applyAlignment="0" applyProtection="0"/>
    <xf numFmtId="0" fontId="12" fillId="50" borderId="0" applyNumberFormat="0" applyBorder="0" applyAlignment="0" applyProtection="0"/>
    <xf numFmtId="0" fontId="12" fillId="50" borderId="0" applyNumberFormat="0" applyBorder="0" applyAlignment="0" applyProtection="0"/>
    <xf numFmtId="0" fontId="12" fillId="54" borderId="0" applyNumberFormat="0" applyBorder="0" applyAlignment="0" applyProtection="0"/>
    <xf numFmtId="0" fontId="12" fillId="54" borderId="0" applyNumberFormat="0" applyBorder="0" applyAlignment="0" applyProtection="0"/>
    <xf numFmtId="0" fontId="12" fillId="58" borderId="0" applyNumberFormat="0" applyBorder="0" applyAlignment="0" applyProtection="0"/>
    <xf numFmtId="0" fontId="12" fillId="58" borderId="0" applyNumberFormat="0" applyBorder="0" applyAlignment="0" applyProtection="0"/>
    <xf numFmtId="0" fontId="12" fillId="62" borderId="0" applyNumberFormat="0" applyBorder="0" applyAlignment="0" applyProtection="0"/>
    <xf numFmtId="0" fontId="12" fillId="62" borderId="0" applyNumberFormat="0" applyBorder="0" applyAlignment="0" applyProtection="0"/>
    <xf numFmtId="0" fontId="12" fillId="43" borderId="0" applyNumberFormat="0" applyBorder="0" applyAlignment="0" applyProtection="0"/>
    <xf numFmtId="0" fontId="12" fillId="43" borderId="0" applyNumberFormat="0" applyBorder="0" applyAlignment="0" applyProtection="0"/>
    <xf numFmtId="0" fontId="12" fillId="47" borderId="0" applyNumberFormat="0" applyBorder="0" applyAlignment="0" applyProtection="0"/>
    <xf numFmtId="0" fontId="12" fillId="47" borderId="0" applyNumberFormat="0" applyBorder="0" applyAlignment="0" applyProtection="0"/>
    <xf numFmtId="0" fontId="12" fillId="51" borderId="0" applyNumberFormat="0" applyBorder="0" applyAlignment="0" applyProtection="0"/>
    <xf numFmtId="0" fontId="12" fillId="51" borderId="0" applyNumberFormat="0" applyBorder="0" applyAlignment="0" applyProtection="0"/>
    <xf numFmtId="0" fontId="12" fillId="55" borderId="0" applyNumberFormat="0" applyBorder="0" applyAlignment="0" applyProtection="0"/>
    <xf numFmtId="0" fontId="12" fillId="55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2" fillId="63" borderId="0" applyNumberFormat="0" applyBorder="0" applyAlignment="0" applyProtection="0"/>
    <xf numFmtId="0" fontId="12" fillId="63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12" fillId="0" borderId="0"/>
    <xf numFmtId="10" fontId="56" fillId="9" borderId="50" applyNumberFormat="0" applyBorder="0" applyAlignment="0" applyProtection="0"/>
    <xf numFmtId="0" fontId="12" fillId="40" borderId="36" applyNumberFormat="0" applyFont="0" applyAlignment="0" applyProtection="0"/>
    <xf numFmtId="0" fontId="12" fillId="40" borderId="36" applyNumberFormat="0" applyFont="0" applyAlignment="0" applyProtection="0"/>
    <xf numFmtId="10" fontId="56" fillId="9" borderId="50" applyNumberFormat="0" applyBorder="0" applyAlignment="0" applyProtection="0"/>
    <xf numFmtId="0" fontId="51" fillId="0" borderId="17">
      <alignment horizontal="left" vertical="center"/>
    </xf>
    <xf numFmtId="167" fontId="12" fillId="0" borderId="0" applyFont="0" applyFill="0" applyBorder="0" applyAlignment="0" applyProtection="0"/>
    <xf numFmtId="0" fontId="12" fillId="0" borderId="0"/>
    <xf numFmtId="0" fontId="12" fillId="40" borderId="36" applyNumberFormat="0" applyFont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1" fillId="0" borderId="17">
      <alignment horizontal="left" vertical="center"/>
    </xf>
    <xf numFmtId="10" fontId="56" fillId="9" borderId="50" applyNumberFormat="0" applyBorder="0" applyAlignment="0" applyProtection="0"/>
    <xf numFmtId="0" fontId="51" fillId="0" borderId="17">
      <alignment horizontal="left" vertical="center"/>
    </xf>
    <xf numFmtId="16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62" borderId="0" applyNumberFormat="0" applyBorder="0" applyAlignment="0" applyProtection="0"/>
    <xf numFmtId="0" fontId="11" fillId="62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3" borderId="0" applyNumberFormat="0" applyBorder="0" applyAlignment="0" applyProtection="0"/>
    <xf numFmtId="0" fontId="11" fillId="63" borderId="0" applyNumberFormat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40" borderId="36" applyNumberFormat="0" applyFont="0" applyAlignment="0" applyProtection="0"/>
    <xf numFmtId="0" fontId="11" fillId="40" borderId="36" applyNumberFormat="0" applyFont="0" applyAlignment="0" applyProtection="0"/>
    <xf numFmtId="0" fontId="11" fillId="40" borderId="36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42" borderId="0" applyNumberFormat="0" applyBorder="0" applyAlignment="0" applyProtection="0"/>
    <xf numFmtId="0" fontId="10" fillId="46" borderId="0" applyNumberFormat="0" applyBorder="0" applyAlignment="0" applyProtection="0"/>
    <xf numFmtId="0" fontId="10" fillId="50" borderId="0" applyNumberFormat="0" applyBorder="0" applyAlignment="0" applyProtection="0"/>
    <xf numFmtId="0" fontId="10" fillId="54" borderId="0" applyNumberFormat="0" applyBorder="0" applyAlignment="0" applyProtection="0"/>
    <xf numFmtId="0" fontId="10" fillId="58" borderId="0" applyNumberFormat="0" applyBorder="0" applyAlignment="0" applyProtection="0"/>
    <xf numFmtId="0" fontId="10" fillId="62" borderId="0" applyNumberFormat="0" applyBorder="0" applyAlignment="0" applyProtection="0"/>
    <xf numFmtId="0" fontId="10" fillId="43" borderId="0" applyNumberFormat="0" applyBorder="0" applyAlignment="0" applyProtection="0"/>
    <xf numFmtId="0" fontId="10" fillId="47" borderId="0" applyNumberFormat="0" applyBorder="0" applyAlignment="0" applyProtection="0"/>
    <xf numFmtId="0" fontId="10" fillId="51" borderId="0" applyNumberFormat="0" applyBorder="0" applyAlignment="0" applyProtection="0"/>
    <xf numFmtId="0" fontId="10" fillId="55" borderId="0" applyNumberFormat="0" applyBorder="0" applyAlignment="0" applyProtection="0"/>
    <xf numFmtId="0" fontId="10" fillId="59" borderId="0" applyNumberFormat="0" applyBorder="0" applyAlignment="0" applyProtection="0"/>
    <xf numFmtId="0" fontId="10" fillId="63" borderId="0" applyNumberFormat="0" applyBorder="0" applyAlignment="0" applyProtection="0"/>
    <xf numFmtId="167" fontId="10" fillId="0" borderId="0" applyFont="0" applyFill="0" applyBorder="0" applyAlignment="0" applyProtection="0"/>
    <xf numFmtId="0" fontId="10" fillId="40" borderId="36" applyNumberFormat="0" applyFont="0" applyAlignment="0" applyProtection="0"/>
    <xf numFmtId="0" fontId="10" fillId="0" borderId="0"/>
    <xf numFmtId="0" fontId="9" fillId="0" borderId="0"/>
    <xf numFmtId="167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40" borderId="36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3" borderId="0" applyNumberFormat="0" applyBorder="0" applyAlignment="0" applyProtection="0"/>
    <xf numFmtId="0" fontId="9" fillId="59" borderId="0" applyNumberFormat="0" applyBorder="0" applyAlignment="0" applyProtection="0"/>
    <xf numFmtId="0" fontId="9" fillId="55" borderId="0" applyNumberFormat="0" applyBorder="0" applyAlignment="0" applyProtection="0"/>
    <xf numFmtId="0" fontId="9" fillId="51" borderId="0" applyNumberFormat="0" applyBorder="0" applyAlignment="0" applyProtection="0"/>
    <xf numFmtId="0" fontId="9" fillId="47" borderId="0" applyNumberFormat="0" applyBorder="0" applyAlignment="0" applyProtection="0"/>
    <xf numFmtId="0" fontId="9" fillId="43" borderId="0" applyNumberFormat="0" applyBorder="0" applyAlignment="0" applyProtection="0"/>
    <xf numFmtId="0" fontId="9" fillId="62" borderId="0" applyNumberFormat="0" applyBorder="0" applyAlignment="0" applyProtection="0"/>
    <xf numFmtId="0" fontId="9" fillId="58" borderId="0" applyNumberFormat="0" applyBorder="0" applyAlignment="0" applyProtection="0"/>
    <xf numFmtId="0" fontId="9" fillId="54" borderId="0" applyNumberFormat="0" applyBorder="0" applyAlignment="0" applyProtection="0"/>
    <xf numFmtId="0" fontId="9" fillId="50" borderId="0" applyNumberFormat="0" applyBorder="0" applyAlignment="0" applyProtection="0"/>
    <xf numFmtId="0" fontId="9" fillId="46" borderId="0" applyNumberFormat="0" applyBorder="0" applyAlignment="0" applyProtection="0"/>
    <xf numFmtId="0" fontId="9" fillId="4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3" borderId="0" applyNumberFormat="0" applyBorder="0" applyAlignment="0" applyProtection="0"/>
    <xf numFmtId="0" fontId="9" fillId="46" borderId="0" applyNumberFormat="0" applyBorder="0" applyAlignment="0" applyProtection="0"/>
    <xf numFmtId="0" fontId="9" fillId="47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40" borderId="36" applyNumberFormat="0" applyFont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63" borderId="0" applyNumberFormat="0" applyBorder="0" applyAlignment="0" applyProtection="0"/>
    <xf numFmtId="0" fontId="9" fillId="59" borderId="0" applyNumberFormat="0" applyBorder="0" applyAlignment="0" applyProtection="0"/>
    <xf numFmtId="0" fontId="9" fillId="55" borderId="0" applyNumberFormat="0" applyBorder="0" applyAlignment="0" applyProtection="0"/>
    <xf numFmtId="0" fontId="9" fillId="51" borderId="0" applyNumberFormat="0" applyBorder="0" applyAlignment="0" applyProtection="0"/>
    <xf numFmtId="0" fontId="9" fillId="47" borderId="0" applyNumberFormat="0" applyBorder="0" applyAlignment="0" applyProtection="0"/>
    <xf numFmtId="0" fontId="9" fillId="43" borderId="0" applyNumberFormat="0" applyBorder="0" applyAlignment="0" applyProtection="0"/>
    <xf numFmtId="0" fontId="9" fillId="62" borderId="0" applyNumberFormat="0" applyBorder="0" applyAlignment="0" applyProtection="0"/>
    <xf numFmtId="0" fontId="9" fillId="58" borderId="0" applyNumberFormat="0" applyBorder="0" applyAlignment="0" applyProtection="0"/>
    <xf numFmtId="0" fontId="9" fillId="54" borderId="0" applyNumberFormat="0" applyBorder="0" applyAlignment="0" applyProtection="0"/>
    <xf numFmtId="0" fontId="9" fillId="50" borderId="0" applyNumberFormat="0" applyBorder="0" applyAlignment="0" applyProtection="0"/>
    <xf numFmtId="0" fontId="9" fillId="46" borderId="0" applyNumberFormat="0" applyBorder="0" applyAlignment="0" applyProtection="0"/>
    <xf numFmtId="0" fontId="9" fillId="4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42" borderId="0" applyNumberFormat="0" applyBorder="0" applyAlignment="0" applyProtection="0"/>
    <xf numFmtId="0" fontId="9" fillId="42" borderId="0" applyNumberFormat="0" applyBorder="0" applyAlignment="0" applyProtection="0"/>
    <xf numFmtId="0" fontId="9" fillId="46" borderId="0" applyNumberFormat="0" applyBorder="0" applyAlignment="0" applyProtection="0"/>
    <xf numFmtId="0" fontId="9" fillId="46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62" borderId="0" applyNumberFormat="0" applyBorder="0" applyAlignment="0" applyProtection="0"/>
    <xf numFmtId="0" fontId="9" fillId="62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7" borderId="0" applyNumberFormat="0" applyBorder="0" applyAlignment="0" applyProtection="0"/>
    <xf numFmtId="0" fontId="9" fillId="47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3" borderId="0" applyNumberFormat="0" applyBorder="0" applyAlignment="0" applyProtection="0"/>
    <xf numFmtId="0" fontId="9" fillId="63" borderId="0" applyNumberFormat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0" fontId="9" fillId="40" borderId="36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2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46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42" borderId="0" applyNumberFormat="0" applyBorder="0" applyAlignment="0" applyProtection="0"/>
    <xf numFmtId="0" fontId="7" fillId="43" borderId="0" applyNumberFormat="0" applyBorder="0" applyAlignment="0" applyProtection="0"/>
    <xf numFmtId="0" fontId="7" fillId="46" borderId="0" applyNumberFormat="0" applyBorder="0" applyAlignment="0" applyProtection="0"/>
    <xf numFmtId="0" fontId="7" fillId="47" borderId="0" applyNumberFormat="0" applyBorder="0" applyAlignment="0" applyProtection="0"/>
    <xf numFmtId="0" fontId="7" fillId="50" borderId="0" applyNumberFormat="0" applyBorder="0" applyAlignment="0" applyProtection="0"/>
    <xf numFmtId="0" fontId="7" fillId="51" borderId="0" applyNumberFormat="0" applyBorder="0" applyAlignment="0" applyProtection="0"/>
    <xf numFmtId="0" fontId="7" fillId="54" borderId="0" applyNumberFormat="0" applyBorder="0" applyAlignment="0" applyProtection="0"/>
    <xf numFmtId="0" fontId="7" fillId="55" borderId="0" applyNumberFormat="0" applyBorder="0" applyAlignment="0" applyProtection="0"/>
    <xf numFmtId="0" fontId="7" fillId="58" borderId="0" applyNumberFormat="0" applyBorder="0" applyAlignment="0" applyProtection="0"/>
    <xf numFmtId="0" fontId="7" fillId="59" borderId="0" applyNumberFormat="0" applyBorder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27" fillId="0" borderId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7" fillId="46" borderId="0" applyNumberFormat="0" applyBorder="0" applyAlignment="0" applyProtection="0"/>
    <xf numFmtId="0" fontId="7" fillId="46" borderId="0" applyNumberFormat="0" applyBorder="0" applyAlignment="0" applyProtection="0"/>
    <xf numFmtId="0" fontId="7" fillId="50" borderId="0" applyNumberFormat="0" applyBorder="0" applyAlignment="0" applyProtection="0"/>
    <xf numFmtId="0" fontId="7" fillId="50" borderId="0" applyNumberFormat="0" applyBorder="0" applyAlignment="0" applyProtection="0"/>
    <xf numFmtId="0" fontId="7" fillId="54" borderId="0" applyNumberFormat="0" applyBorder="0" applyAlignment="0" applyProtection="0"/>
    <xf numFmtId="0" fontId="7" fillId="54" borderId="0" applyNumberFormat="0" applyBorder="0" applyAlignment="0" applyProtection="0"/>
    <xf numFmtId="0" fontId="7" fillId="58" borderId="0" applyNumberFormat="0" applyBorder="0" applyAlignment="0" applyProtection="0"/>
    <xf numFmtId="0" fontId="7" fillId="58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43" borderId="0" applyNumberFormat="0" applyBorder="0" applyAlignment="0" applyProtection="0"/>
    <xf numFmtId="0" fontId="7" fillId="43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51" borderId="0" applyNumberFormat="0" applyBorder="0" applyAlignment="0" applyProtection="0"/>
    <xf numFmtId="0" fontId="7" fillId="51" borderId="0" applyNumberFormat="0" applyBorder="0" applyAlignment="0" applyProtection="0"/>
    <xf numFmtId="0" fontId="7" fillId="55" borderId="0" applyNumberFormat="0" applyBorder="0" applyAlignment="0" applyProtection="0"/>
    <xf numFmtId="0" fontId="7" fillId="55" borderId="0" applyNumberFormat="0" applyBorder="0" applyAlignment="0" applyProtection="0"/>
    <xf numFmtId="0" fontId="7" fillId="59" borderId="0" applyNumberFormat="0" applyBorder="0" applyAlignment="0" applyProtection="0"/>
    <xf numFmtId="0" fontId="7" fillId="59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167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43" fontId="27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62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166" fontId="5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44" fontId="62" fillId="0" borderId="0" applyFont="0" applyFill="0" applyBorder="0" applyAlignment="0" applyProtection="0"/>
    <xf numFmtId="0" fontId="2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2" fillId="0" borderId="0"/>
    <xf numFmtId="0" fontId="7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0" fontId="62" fillId="40" borderId="36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94" fillId="0" borderId="0"/>
    <xf numFmtId="0" fontId="6" fillId="0" borderId="0"/>
    <xf numFmtId="167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40" borderId="36" applyNumberFormat="0" applyFont="0" applyAlignment="0" applyProtection="0"/>
    <xf numFmtId="0" fontId="6" fillId="0" borderId="0"/>
    <xf numFmtId="0" fontId="6" fillId="42" borderId="0" applyNumberFormat="0" applyBorder="0" applyAlignment="0" applyProtection="0"/>
    <xf numFmtId="0" fontId="6" fillId="43" borderId="0" applyNumberFormat="0" applyBorder="0" applyAlignment="0" applyProtection="0"/>
    <xf numFmtId="0" fontId="6" fillId="46" borderId="0" applyNumberFormat="0" applyBorder="0" applyAlignment="0" applyProtection="0"/>
    <xf numFmtId="0" fontId="6" fillId="47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0" borderId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0" borderId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42" borderId="0" applyNumberFormat="0" applyBorder="0" applyAlignment="0" applyProtection="0"/>
    <xf numFmtId="0" fontId="5" fillId="46" borderId="0" applyNumberFormat="0" applyBorder="0" applyAlignment="0" applyProtection="0"/>
    <xf numFmtId="0" fontId="5" fillId="50" borderId="0" applyNumberFormat="0" applyBorder="0" applyAlignment="0" applyProtection="0"/>
    <xf numFmtId="0" fontId="5" fillId="54" borderId="0" applyNumberFormat="0" applyBorder="0" applyAlignment="0" applyProtection="0"/>
    <xf numFmtId="0" fontId="5" fillId="58" borderId="0" applyNumberFormat="0" applyBorder="0" applyAlignment="0" applyProtection="0"/>
    <xf numFmtId="0" fontId="5" fillId="62" borderId="0" applyNumberFormat="0" applyBorder="0" applyAlignment="0" applyProtection="0"/>
    <xf numFmtId="0" fontId="5" fillId="43" borderId="0" applyNumberFormat="0" applyBorder="0" applyAlignment="0" applyProtection="0"/>
    <xf numFmtId="0" fontId="5" fillId="47" borderId="0" applyNumberFormat="0" applyBorder="0" applyAlignment="0" applyProtection="0"/>
    <xf numFmtId="0" fontId="5" fillId="51" borderId="0" applyNumberFormat="0" applyBorder="0" applyAlignment="0" applyProtection="0"/>
    <xf numFmtId="0" fontId="5" fillId="55" borderId="0" applyNumberFormat="0" applyBorder="0" applyAlignment="0" applyProtection="0"/>
    <xf numFmtId="0" fontId="5" fillId="59" borderId="0" applyNumberFormat="0" applyBorder="0" applyAlignment="0" applyProtection="0"/>
    <xf numFmtId="0" fontId="5" fillId="63" borderId="0" applyNumberFormat="0" applyBorder="0" applyAlignment="0" applyProtection="0"/>
    <xf numFmtId="0" fontId="5" fillId="40" borderId="36" applyNumberFormat="0" applyFont="0" applyAlignment="0" applyProtection="0"/>
    <xf numFmtId="0" fontId="5" fillId="0" borderId="0"/>
    <xf numFmtId="0" fontId="5" fillId="0" borderId="0"/>
    <xf numFmtId="0" fontId="105" fillId="0" borderId="0"/>
    <xf numFmtId="0" fontId="62" fillId="71" borderId="0" applyNumberFormat="0" applyBorder="0" applyAlignment="0" applyProtection="0"/>
    <xf numFmtId="0" fontId="62" fillId="17" borderId="0" applyNumberFormat="0" applyBorder="0" applyAlignment="0" applyProtection="0"/>
    <xf numFmtId="0" fontId="62" fillId="12" borderId="0" applyNumberFormat="0" applyBorder="0" applyAlignment="0" applyProtection="0"/>
    <xf numFmtId="0" fontId="62" fillId="71" borderId="0" applyNumberFormat="0" applyBorder="0" applyAlignment="0" applyProtection="0"/>
    <xf numFmtId="0" fontId="62" fillId="72" borderId="0" applyNumberFormat="0" applyBorder="0" applyAlignment="0" applyProtection="0"/>
    <xf numFmtId="0" fontId="62" fillId="17" borderId="0" applyNumberFormat="0" applyBorder="0" applyAlignment="0" applyProtection="0"/>
    <xf numFmtId="0" fontId="62" fillId="30" borderId="0" applyNumberFormat="0" applyBorder="0" applyAlignment="0" applyProtection="0"/>
    <xf numFmtId="0" fontId="62" fillId="17" borderId="0" applyNumberFormat="0" applyBorder="0" applyAlignment="0" applyProtection="0"/>
    <xf numFmtId="0" fontId="62" fillId="12" borderId="0" applyNumberFormat="0" applyBorder="0" applyAlignment="0" applyProtection="0"/>
    <xf numFmtId="0" fontId="62" fillId="30" borderId="0" applyNumberFormat="0" applyBorder="0" applyAlignment="0" applyProtection="0"/>
    <xf numFmtId="0" fontId="62" fillId="18" borderId="0" applyNumberFormat="0" applyBorder="0" applyAlignment="0" applyProtection="0"/>
    <xf numFmtId="0" fontId="62" fillId="17" borderId="0" applyNumberFormat="0" applyBorder="0" applyAlignment="0" applyProtection="0"/>
    <xf numFmtId="0" fontId="107" fillId="24" borderId="0" applyNumberFormat="0" applyBorder="0" applyAlignment="0" applyProtection="0"/>
    <xf numFmtId="0" fontId="107" fillId="19" borderId="0" applyNumberFormat="0" applyBorder="0" applyAlignment="0" applyProtection="0"/>
    <xf numFmtId="0" fontId="107" fillId="12" borderId="0" applyNumberFormat="0" applyBorder="0" applyAlignment="0" applyProtection="0"/>
    <xf numFmtId="0" fontId="107" fillId="30" borderId="0" applyNumberFormat="0" applyBorder="0" applyAlignment="0" applyProtection="0"/>
    <xf numFmtId="0" fontId="107" fillId="24" borderId="0" applyNumberFormat="0" applyBorder="0" applyAlignment="0" applyProtection="0"/>
    <xf numFmtId="0" fontId="107" fillId="17" borderId="0" applyNumberFormat="0" applyBorder="0" applyAlignment="0" applyProtection="0"/>
    <xf numFmtId="0" fontId="107" fillId="24" borderId="0" applyNumberFormat="0" applyBorder="0" applyAlignment="0" applyProtection="0"/>
    <xf numFmtId="0" fontId="107" fillId="73" borderId="0" applyNumberFormat="0" applyBorder="0" applyAlignment="0" applyProtection="0"/>
    <xf numFmtId="0" fontId="107" fillId="12" borderId="0" applyNumberFormat="0" applyBorder="0" applyAlignment="0" applyProtection="0"/>
    <xf numFmtId="0" fontId="107" fillId="74" borderId="0" applyNumberFormat="0" applyBorder="0" applyAlignment="0" applyProtection="0"/>
    <xf numFmtId="0" fontId="107" fillId="24" borderId="0" applyNumberFormat="0" applyBorder="0" applyAlignment="0" applyProtection="0"/>
    <xf numFmtId="0" fontId="107" fillId="19" borderId="0" applyNumberFormat="0" applyBorder="0" applyAlignment="0" applyProtection="0"/>
    <xf numFmtId="0" fontId="108" fillId="13" borderId="0" applyNumberFormat="0" applyBorder="0" applyAlignment="0" applyProtection="0"/>
    <xf numFmtId="0" fontId="109" fillId="71" borderId="47" applyNumberFormat="0" applyAlignment="0" applyProtection="0"/>
    <xf numFmtId="0" fontId="47" fillId="31" borderId="20" applyNumberFormat="0" applyAlignment="0" applyProtection="0"/>
    <xf numFmtId="0" fontId="110" fillId="0" borderId="0" applyNumberFormat="0" applyFill="0" applyBorder="0" applyAlignment="0" applyProtection="0"/>
    <xf numFmtId="0" fontId="111" fillId="14" borderId="0" applyNumberFormat="0" applyBorder="0" applyAlignment="0" applyProtection="0"/>
    <xf numFmtId="0" fontId="112" fillId="0" borderId="55" applyNumberFormat="0" applyFill="0" applyAlignment="0" applyProtection="0"/>
    <xf numFmtId="0" fontId="113" fillId="0" borderId="22" applyNumberFormat="0" applyFill="0" applyAlignment="0" applyProtection="0"/>
    <xf numFmtId="0" fontId="114" fillId="0" borderId="56" applyNumberFormat="0" applyFill="0" applyAlignment="0" applyProtection="0"/>
    <xf numFmtId="0" fontId="114" fillId="0" borderId="0" applyNumberFormat="0" applyFill="0" applyBorder="0" applyAlignment="0" applyProtection="0"/>
    <xf numFmtId="0" fontId="115" fillId="17" borderId="47" applyNumberFormat="0" applyAlignment="0" applyProtection="0"/>
    <xf numFmtId="0" fontId="116" fillId="0" borderId="24" applyNumberFormat="0" applyFill="0" applyAlignment="0" applyProtection="0"/>
    <xf numFmtId="0" fontId="117" fillId="33" borderId="0" applyNumberFormat="0" applyBorder="0" applyAlignment="0" applyProtection="0"/>
    <xf numFmtId="0" fontId="105" fillId="32" borderId="48" applyNumberFormat="0" applyFont="0" applyAlignment="0" applyProtection="0"/>
    <xf numFmtId="0" fontId="118" fillId="71" borderId="46" applyNumberFormat="0" applyAlignment="0" applyProtection="0"/>
    <xf numFmtId="0" fontId="119" fillId="0" borderId="0" applyNumberFormat="0" applyFill="0" applyBorder="0" applyAlignment="0" applyProtection="0"/>
    <xf numFmtId="0" fontId="98" fillId="0" borderId="57" applyNumberFormat="0" applyFill="0" applyAlignment="0" applyProtection="0"/>
    <xf numFmtId="0" fontId="120" fillId="0" borderId="0" applyNumberFormat="0" applyFill="0" applyBorder="0" applyAlignment="0" applyProtection="0"/>
    <xf numFmtId="0" fontId="106" fillId="0" borderId="0"/>
    <xf numFmtId="167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0" fontId="106" fillId="0" borderId="0"/>
    <xf numFmtId="0" fontId="106" fillId="0" borderId="0"/>
    <xf numFmtId="0" fontId="105" fillId="0" borderId="0"/>
    <xf numFmtId="0" fontId="105" fillId="0" borderId="0"/>
    <xf numFmtId="199" fontId="27" fillId="0" borderId="0"/>
    <xf numFmtId="199" fontId="27" fillId="0" borderId="0"/>
    <xf numFmtId="199" fontId="27" fillId="0" borderId="0"/>
    <xf numFmtId="199" fontId="27" fillId="0" borderId="0"/>
    <xf numFmtId="186" fontId="27" fillId="0" borderId="0"/>
    <xf numFmtId="186" fontId="27" fillId="0" borderId="0"/>
    <xf numFmtId="186" fontId="27" fillId="0" borderId="0"/>
    <xf numFmtId="186" fontId="27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63" borderId="0" applyNumberFormat="0" applyBorder="0" applyAlignment="0" applyProtection="0"/>
    <xf numFmtId="0" fontId="4" fillId="62" borderId="0" applyNumberFormat="0" applyBorder="0" applyAlignment="0" applyProtection="0"/>
    <xf numFmtId="0" fontId="4" fillId="59" borderId="0" applyNumberFormat="0" applyBorder="0" applyAlignment="0" applyProtection="0"/>
    <xf numFmtId="0" fontId="4" fillId="58" borderId="0" applyNumberFormat="0" applyBorder="0" applyAlignment="0" applyProtection="0"/>
    <xf numFmtId="0" fontId="4" fillId="55" borderId="0" applyNumberFormat="0" applyBorder="0" applyAlignment="0" applyProtection="0"/>
    <xf numFmtId="0" fontId="4" fillId="54" borderId="0" applyNumberFormat="0" applyBorder="0" applyAlignment="0" applyProtection="0"/>
    <xf numFmtId="0" fontId="4" fillId="51" borderId="0" applyNumberFormat="0" applyBorder="0" applyAlignment="0" applyProtection="0"/>
    <xf numFmtId="0" fontId="4" fillId="50" borderId="0" applyNumberFormat="0" applyBorder="0" applyAlignment="0" applyProtection="0"/>
    <xf numFmtId="0" fontId="4" fillId="47" borderId="0" applyNumberFormat="0" applyBorder="0" applyAlignment="0" applyProtection="0"/>
    <xf numFmtId="0" fontId="4" fillId="46" borderId="0" applyNumberFormat="0" applyBorder="0" applyAlignment="0" applyProtection="0"/>
    <xf numFmtId="0" fontId="4" fillId="43" borderId="0" applyNumberFormat="0" applyBorder="0" applyAlignment="0" applyProtection="0"/>
    <xf numFmtId="0" fontId="4" fillId="42" borderId="0" applyNumberFormat="0" applyBorder="0" applyAlignment="0" applyProtection="0"/>
    <xf numFmtId="0" fontId="4" fillId="40" borderId="36" applyNumberFormat="0" applyFont="0" applyAlignment="0" applyProtection="0"/>
    <xf numFmtId="0" fontId="98" fillId="0" borderId="61" applyNumberFormat="0" applyFill="0" applyAlignment="0" applyProtection="0"/>
    <xf numFmtId="0" fontId="115" fillId="17" borderId="58" applyNumberFormat="0" applyAlignment="0" applyProtection="0"/>
    <xf numFmtId="9" fontId="105" fillId="0" borderId="0" applyFont="0" applyFill="0" applyBorder="0" applyAlignment="0" applyProtection="0"/>
    <xf numFmtId="0" fontId="4" fillId="0" borderId="0"/>
    <xf numFmtId="0" fontId="105" fillId="32" borderId="59" applyNumberFormat="0" applyFont="0" applyAlignment="0" applyProtection="0"/>
    <xf numFmtId="9" fontId="105" fillId="0" borderId="0" applyFont="0" applyFill="0" applyBorder="0" applyAlignment="0" applyProtection="0"/>
    <xf numFmtId="0" fontId="115" fillId="17" borderId="47" applyNumberFormat="0" applyAlignment="0" applyProtection="0"/>
    <xf numFmtId="0" fontId="115" fillId="17" borderId="47" applyNumberFormat="0" applyAlignment="0" applyProtection="0"/>
    <xf numFmtId="0" fontId="105" fillId="0" borderId="0"/>
    <xf numFmtId="9" fontId="105" fillId="0" borderId="0" applyFont="0" applyFill="0" applyBorder="0" applyAlignment="0" applyProtection="0"/>
    <xf numFmtId="0" fontId="118" fillId="30" borderId="46" applyNumberFormat="0" applyAlignment="0" applyProtection="0"/>
    <xf numFmtId="0" fontId="117" fillId="32" borderId="0" applyNumberFormat="0" applyBorder="0" applyAlignment="0" applyProtection="0"/>
    <xf numFmtId="0" fontId="115" fillId="17" borderId="47" applyNumberFormat="0" applyAlignment="0" applyProtection="0"/>
    <xf numFmtId="0" fontId="124" fillId="0" borderId="0" applyNumberFormat="0" applyFill="0" applyBorder="0" applyAlignment="0" applyProtection="0"/>
    <xf numFmtId="0" fontId="124" fillId="0" borderId="23" applyNumberFormat="0" applyFill="0" applyAlignment="0" applyProtection="0"/>
    <xf numFmtId="0" fontId="115" fillId="17" borderId="47" applyNumberFormat="0" applyAlignment="0" applyProtection="0"/>
    <xf numFmtId="0" fontId="118" fillId="71" borderId="60" applyNumberFormat="0" applyAlignment="0" applyProtection="0"/>
    <xf numFmtId="9" fontId="105" fillId="0" borderId="0" applyFont="0" applyFill="0" applyBorder="0" applyAlignment="0" applyProtection="0"/>
    <xf numFmtId="0" fontId="109" fillId="30" borderId="47" applyNumberFormat="0" applyAlignment="0" applyProtection="0"/>
    <xf numFmtId="0" fontId="123" fillId="13" borderId="0" applyNumberFormat="0" applyBorder="0" applyAlignment="0" applyProtection="0"/>
    <xf numFmtId="0" fontId="107" fillId="29" borderId="0" applyNumberFormat="0" applyBorder="0" applyAlignment="0" applyProtection="0"/>
    <xf numFmtId="0" fontId="107" fillId="23" borderId="0" applyNumberFormat="0" applyBorder="0" applyAlignment="0" applyProtection="0"/>
    <xf numFmtId="0" fontId="107" fillId="28" borderId="0" applyNumberFormat="0" applyBorder="0" applyAlignment="0" applyProtection="0"/>
    <xf numFmtId="0" fontId="107" fillId="27" borderId="0" applyNumberFormat="0" applyBorder="0" applyAlignment="0" applyProtection="0"/>
    <xf numFmtId="0" fontId="107" fillId="26" borderId="0" applyNumberFormat="0" applyBorder="0" applyAlignment="0" applyProtection="0"/>
    <xf numFmtId="0" fontId="107" fillId="25" borderId="0" applyNumberFormat="0" applyBorder="0" applyAlignment="0" applyProtection="0"/>
    <xf numFmtId="0" fontId="107" fillId="23" borderId="0" applyNumberFormat="0" applyBorder="0" applyAlignment="0" applyProtection="0"/>
    <xf numFmtId="0" fontId="107" fillId="20" borderId="0" applyNumberFormat="0" applyBorder="0" applyAlignment="0" applyProtection="0"/>
    <xf numFmtId="0" fontId="107" fillId="22" borderId="0" applyNumberFormat="0" applyBorder="0" applyAlignment="0" applyProtection="0"/>
    <xf numFmtId="0" fontId="62" fillId="21" borderId="0" applyNumberFormat="0" applyBorder="0" applyAlignment="0" applyProtection="0"/>
    <xf numFmtId="0" fontId="62" fillId="15" borderId="0" applyNumberFormat="0" applyBorder="0" applyAlignment="0" applyProtection="0"/>
    <xf numFmtId="0" fontId="62" fillId="20" borderId="0" applyNumberFormat="0" applyBorder="0" applyAlignment="0" applyProtection="0"/>
    <xf numFmtId="0" fontId="62" fillId="19" borderId="0" applyNumberFormat="0" applyBorder="0" applyAlignment="0" applyProtection="0"/>
    <xf numFmtId="0" fontId="62" fillId="18" borderId="0" applyNumberFormat="0" applyBorder="0" applyAlignment="0" applyProtection="0"/>
    <xf numFmtId="0" fontId="62" fillId="16" borderId="0" applyNumberFormat="0" applyBorder="0" applyAlignment="0" applyProtection="0"/>
    <xf numFmtId="0" fontId="62" fillId="15" borderId="0" applyNumberFormat="0" applyBorder="0" applyAlignment="0" applyProtection="0"/>
    <xf numFmtId="0" fontId="62" fillId="14" borderId="0" applyNumberFormat="0" applyBorder="0" applyAlignment="0" applyProtection="0"/>
    <xf numFmtId="0" fontId="62" fillId="13" borderId="0" applyNumberFormat="0" applyBorder="0" applyAlignment="0" applyProtection="0"/>
    <xf numFmtId="0" fontId="62" fillId="12" borderId="0" applyNumberFormat="0" applyBorder="0" applyAlignment="0" applyProtection="0"/>
    <xf numFmtId="0" fontId="109" fillId="71" borderId="58" applyNumberFormat="0" applyAlignment="0" applyProtection="0"/>
    <xf numFmtId="0" fontId="105" fillId="0" borderId="0"/>
    <xf numFmtId="0" fontId="105" fillId="0" borderId="0"/>
    <xf numFmtId="9" fontId="105" fillId="0" borderId="0" applyFont="0" applyFill="0" applyBorder="0" applyAlignment="0" applyProtection="0"/>
    <xf numFmtId="10" fontId="56" fillId="9" borderId="68" applyNumberFormat="0" applyBorder="0" applyAlignment="0" applyProtection="0"/>
    <xf numFmtId="0" fontId="115" fillId="17" borderId="58" applyNumberFormat="0" applyAlignment="0" applyProtection="0"/>
    <xf numFmtId="9" fontId="105" fillId="0" borderId="0" applyFont="0" applyFill="0" applyBorder="0" applyAlignment="0" applyProtection="0"/>
    <xf numFmtId="10" fontId="56" fillId="9" borderId="68" applyNumberFormat="0" applyBorder="0" applyAlignment="0" applyProtection="0"/>
    <xf numFmtId="0" fontId="115" fillId="17" borderId="58" applyNumberFormat="0" applyAlignment="0" applyProtection="0"/>
    <xf numFmtId="0" fontId="105" fillId="0" borderId="0"/>
    <xf numFmtId="0" fontId="105" fillId="0" borderId="0"/>
    <xf numFmtId="0" fontId="27" fillId="0" borderId="0"/>
    <xf numFmtId="167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27" fillId="0" borderId="0"/>
    <xf numFmtId="10" fontId="56" fillId="9" borderId="68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1" fillId="0" borderId="63">
      <alignment horizontal="left" vertical="center"/>
    </xf>
    <xf numFmtId="0" fontId="51" fillId="0" borderId="63">
      <alignment horizontal="left" vertical="center"/>
    </xf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52" fillId="0" borderId="0"/>
    <xf numFmtId="0" fontId="27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0" fontId="56" fillId="9" borderId="68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43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66" fillId="30" borderId="58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72" fillId="17" borderId="58" applyNumberFormat="0" applyAlignment="0" applyProtection="0"/>
    <xf numFmtId="0" fontId="27" fillId="33" borderId="66" applyNumberFormat="0" applyFont="0" applyAlignment="0" applyProtection="0"/>
    <xf numFmtId="0" fontId="27" fillId="33" borderId="59" applyNumberFormat="0" applyFont="0" applyAlignment="0" applyProtection="0"/>
    <xf numFmtId="0" fontId="75" fillId="30" borderId="60" applyNumberFormat="0" applyAlignment="0" applyProtection="0"/>
    <xf numFmtId="0" fontId="37" fillId="0" borderId="62" applyNumberFormat="0" applyFill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78" fillId="0" borderId="0" applyNumberFormat="0" applyFill="0" applyBorder="0" applyAlignment="0" applyProtection="0"/>
    <xf numFmtId="0" fontId="79" fillId="0" borderId="29" applyNumberFormat="0" applyFill="0" applyAlignment="0" applyProtection="0"/>
    <xf numFmtId="0" fontId="80" fillId="0" borderId="30" applyNumberFormat="0" applyFill="0" applyAlignment="0" applyProtection="0"/>
    <xf numFmtId="0" fontId="81" fillId="0" borderId="31" applyNumberFormat="0" applyFill="0" applyAlignment="0" applyProtection="0"/>
    <xf numFmtId="0" fontId="81" fillId="0" borderId="0" applyNumberFormat="0" applyFill="0" applyBorder="0" applyAlignment="0" applyProtection="0"/>
    <xf numFmtId="0" fontId="82" fillId="34" borderId="0" applyNumberFormat="0" applyBorder="0" applyAlignment="0" applyProtection="0"/>
    <xf numFmtId="0" fontId="83" fillId="35" borderId="0" applyNumberFormat="0" applyBorder="0" applyAlignment="0" applyProtection="0"/>
    <xf numFmtId="0" fontId="84" fillId="36" borderId="0" applyNumberFormat="0" applyBorder="0" applyAlignment="0" applyProtection="0"/>
    <xf numFmtId="0" fontId="85" fillId="37" borderId="32" applyNumberFormat="0" applyAlignment="0" applyProtection="0"/>
    <xf numFmtId="0" fontId="86" fillId="38" borderId="33" applyNumberFormat="0" applyAlignment="0" applyProtection="0"/>
    <xf numFmtId="0" fontId="87" fillId="38" borderId="32" applyNumberFormat="0" applyAlignment="0" applyProtection="0"/>
    <xf numFmtId="0" fontId="88" fillId="0" borderId="34" applyNumberFormat="0" applyFill="0" applyAlignment="0" applyProtection="0"/>
    <xf numFmtId="0" fontId="89" fillId="39" borderId="35" applyNumberFormat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37" applyNumberFormat="0" applyFill="0" applyAlignment="0" applyProtection="0"/>
    <xf numFmtId="0" fontId="93" fillId="41" borderId="0" applyNumberFormat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93" fillId="44" borderId="0" applyNumberFormat="0" applyBorder="0" applyAlignment="0" applyProtection="0"/>
    <xf numFmtId="0" fontId="93" fillId="45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93" fillId="48" borderId="0" applyNumberFormat="0" applyBorder="0" applyAlignment="0" applyProtection="0"/>
    <xf numFmtId="0" fontId="93" fillId="49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93" fillId="52" borderId="0" applyNumberFormat="0" applyBorder="0" applyAlignment="0" applyProtection="0"/>
    <xf numFmtId="0" fontId="93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93" fillId="56" borderId="0" applyNumberFormat="0" applyBorder="0" applyAlignment="0" applyProtection="0"/>
    <xf numFmtId="0" fontId="93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93" fillId="60" borderId="0" applyNumberFormat="0" applyBorder="0" applyAlignment="0" applyProtection="0"/>
    <xf numFmtId="0" fontId="93" fillId="61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93" fillId="64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0" fontId="4" fillId="0" borderId="0"/>
    <xf numFmtId="10" fontId="56" fillId="9" borderId="68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9" fillId="71" borderId="65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98" fillId="0" borderId="62" applyNumberFormat="0" applyFill="0" applyAlignment="0" applyProtection="0"/>
    <xf numFmtId="10" fontId="56" fillId="9" borderId="68" applyNumberFormat="0" applyBorder="0" applyAlignment="0" applyProtection="0"/>
    <xf numFmtId="0" fontId="115" fillId="17" borderId="65" applyNumberFormat="0" applyAlignment="0" applyProtection="0"/>
    <xf numFmtId="9" fontId="105" fillId="0" borderId="0" applyFont="0" applyFill="0" applyBorder="0" applyAlignment="0" applyProtection="0"/>
    <xf numFmtId="0" fontId="115" fillId="17" borderId="65" applyNumberFormat="0" applyAlignment="0" applyProtection="0"/>
    <xf numFmtId="0" fontId="105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105" fillId="0" borderId="0" applyFont="0" applyFill="0" applyBorder="0" applyAlignment="0" applyProtection="0"/>
    <xf numFmtId="10" fontId="56" fillId="9" borderId="68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0" fontId="56" fillId="9" borderId="68" applyNumberFormat="0" applyBorder="0" applyAlignment="0" applyProtection="0"/>
    <xf numFmtId="0" fontId="115" fillId="17" borderId="65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0" fontId="4" fillId="0" borderId="0"/>
    <xf numFmtId="10" fontId="56" fillId="9" borderId="68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7" fillId="0" borderId="62" applyNumberFormat="0" applyFill="0" applyAlignment="0" applyProtection="0"/>
    <xf numFmtId="0" fontId="75" fillId="30" borderId="60" applyNumberFormat="0" applyAlignment="0" applyProtection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0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7" fillId="0" borderId="62" applyNumberFormat="0" applyFill="0" applyAlignment="0" applyProtection="0"/>
    <xf numFmtId="0" fontId="75" fillId="30" borderId="60" applyNumberFormat="0" applyAlignment="0" applyProtection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66" fillId="30" borderId="58" applyNumberFormat="0" applyAlignment="0" applyProtection="0"/>
    <xf numFmtId="0" fontId="72" fillId="17" borderId="58" applyNumberFormat="0" applyAlignment="0" applyProtection="0"/>
    <xf numFmtId="0" fontId="27" fillId="33" borderId="59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10" fontId="56" fillId="9" borderId="45" applyNumberFormat="0" applyBorder="0" applyAlignment="0" applyProtection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40" borderId="36" applyNumberFormat="0" applyFont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40" borderId="36" applyNumberFormat="0" applyFont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0" fontId="56" fillId="9" borderId="45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0" fontId="56" fillId="9" borderId="45" applyNumberFormat="0" applyBorder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0" fontId="56" fillId="9" borderId="45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0" fontId="56" fillId="9" borderId="45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10" fontId="56" fillId="9" borderId="45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98" fillId="0" borderId="62" applyNumberFormat="0" applyFill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37" fillId="0" borderId="62" applyNumberFormat="0" applyFill="0" applyAlignment="0" applyProtection="0"/>
    <xf numFmtId="0" fontId="75" fillId="30" borderId="60" applyNumberFormat="0" applyAlignment="0" applyProtection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0" borderId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0" borderId="0"/>
    <xf numFmtId="0" fontId="4" fillId="0" borderId="0"/>
    <xf numFmtId="0" fontId="4" fillId="5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4" borderId="0" applyNumberFormat="0" applyBorder="0" applyAlignment="0" applyProtection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0" fontId="56" fillId="9" borderId="45" applyNumberFormat="0" applyBorder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0" fontId="56" fillId="9" borderId="45" applyNumberFormat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0" fontId="56" fillId="9" borderId="45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63" borderId="0" applyNumberFormat="0" applyBorder="0" applyAlignment="0" applyProtection="0"/>
    <xf numFmtId="0" fontId="4" fillId="59" borderId="0" applyNumberFormat="0" applyBorder="0" applyAlignment="0" applyProtection="0"/>
    <xf numFmtId="0" fontId="4" fillId="55" borderId="0" applyNumberFormat="0" applyBorder="0" applyAlignment="0" applyProtection="0"/>
    <xf numFmtId="0" fontId="4" fillId="51" borderId="0" applyNumberFormat="0" applyBorder="0" applyAlignment="0" applyProtection="0"/>
    <xf numFmtId="0" fontId="4" fillId="47" borderId="0" applyNumberFormat="0" applyBorder="0" applyAlignment="0" applyProtection="0"/>
    <xf numFmtId="0" fontId="4" fillId="43" borderId="0" applyNumberFormat="0" applyBorder="0" applyAlignment="0" applyProtection="0"/>
    <xf numFmtId="0" fontId="4" fillId="62" borderId="0" applyNumberFormat="0" applyBorder="0" applyAlignment="0" applyProtection="0"/>
    <xf numFmtId="0" fontId="4" fillId="58" borderId="0" applyNumberFormat="0" applyBorder="0" applyAlignment="0" applyProtection="0"/>
    <xf numFmtId="0" fontId="4" fillId="54" borderId="0" applyNumberFormat="0" applyBorder="0" applyAlignment="0" applyProtection="0"/>
    <xf numFmtId="0" fontId="4" fillId="50" borderId="0" applyNumberFormat="0" applyBorder="0" applyAlignment="0" applyProtection="0"/>
    <xf numFmtId="0" fontId="4" fillId="46" borderId="0" applyNumberFormat="0" applyBorder="0" applyAlignment="0" applyProtection="0"/>
    <xf numFmtId="0" fontId="4" fillId="4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167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0" fontId="4" fillId="40" borderId="36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42" borderId="0" applyNumberFormat="0" applyBorder="0" applyAlignment="0" applyProtection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6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67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40" borderId="36" applyNumberFormat="0" applyFont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3" borderId="0" applyNumberFormat="0" applyBorder="0" applyAlignment="0" applyProtection="0"/>
    <xf numFmtId="0" fontId="4" fillId="46" borderId="0" applyNumberFormat="0" applyBorder="0" applyAlignment="0" applyProtection="0"/>
    <xf numFmtId="0" fontId="4" fillId="47" borderId="0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0" borderId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0" borderId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42" borderId="0" applyNumberFormat="0" applyBorder="0" applyAlignment="0" applyProtection="0"/>
    <xf numFmtId="0" fontId="4" fillId="46" borderId="0" applyNumberFormat="0" applyBorder="0" applyAlignment="0" applyProtection="0"/>
    <xf numFmtId="0" fontId="4" fillId="50" borderId="0" applyNumberFormat="0" applyBorder="0" applyAlignment="0" applyProtection="0"/>
    <xf numFmtId="0" fontId="4" fillId="54" borderId="0" applyNumberFormat="0" applyBorder="0" applyAlignment="0" applyProtection="0"/>
    <xf numFmtId="0" fontId="4" fillId="58" borderId="0" applyNumberFormat="0" applyBorder="0" applyAlignment="0" applyProtection="0"/>
    <xf numFmtId="0" fontId="4" fillId="62" borderId="0" applyNumberFormat="0" applyBorder="0" applyAlignment="0" applyProtection="0"/>
    <xf numFmtId="0" fontId="4" fillId="43" borderId="0" applyNumberFormat="0" applyBorder="0" applyAlignment="0" applyProtection="0"/>
    <xf numFmtId="0" fontId="4" fillId="47" borderId="0" applyNumberFormat="0" applyBorder="0" applyAlignment="0" applyProtection="0"/>
    <xf numFmtId="0" fontId="4" fillId="51" borderId="0" applyNumberFormat="0" applyBorder="0" applyAlignment="0" applyProtection="0"/>
    <xf numFmtId="0" fontId="4" fillId="55" borderId="0" applyNumberFormat="0" applyBorder="0" applyAlignment="0" applyProtection="0"/>
    <xf numFmtId="0" fontId="4" fillId="59" borderId="0" applyNumberFormat="0" applyBorder="0" applyAlignment="0" applyProtection="0"/>
    <xf numFmtId="0" fontId="4" fillId="63" borderId="0" applyNumberFormat="0" applyBorder="0" applyAlignment="0" applyProtection="0"/>
    <xf numFmtId="0" fontId="4" fillId="40" borderId="36" applyNumberFormat="0" applyFont="0" applyAlignment="0" applyProtection="0"/>
    <xf numFmtId="0" fontId="4" fillId="0" borderId="0"/>
    <xf numFmtId="0" fontId="4" fillId="0" borderId="0"/>
    <xf numFmtId="0" fontId="109" fillId="71" borderId="58" applyNumberFormat="0" applyAlignment="0" applyProtection="0"/>
    <xf numFmtId="0" fontId="115" fillId="17" borderId="58" applyNumberFormat="0" applyAlignment="0" applyProtection="0"/>
    <xf numFmtId="0" fontId="105" fillId="32" borderId="59" applyNumberFormat="0" applyFont="0" applyAlignment="0" applyProtection="0"/>
    <xf numFmtId="0" fontId="118" fillId="71" borderId="60" applyNumberFormat="0" applyAlignment="0" applyProtection="0"/>
    <xf numFmtId="0" fontId="98" fillId="0" borderId="61" applyNumberFormat="0" applyFill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115" fillId="17" borderId="58" applyNumberFormat="0" applyAlignment="0" applyProtection="0"/>
    <xf numFmtId="0" fontId="115" fillId="17" borderId="58" applyNumberFormat="0" applyAlignment="0" applyProtection="0"/>
    <xf numFmtId="10" fontId="56" fillId="9" borderId="68" applyNumberFormat="0" applyBorder="0" applyAlignment="0" applyProtection="0"/>
    <xf numFmtId="0" fontId="118" fillId="30" borderId="60" applyNumberFormat="0" applyAlignment="0" applyProtection="0"/>
    <xf numFmtId="0" fontId="115" fillId="17" borderId="58" applyNumberFormat="0" applyAlignment="0" applyProtection="0"/>
    <xf numFmtId="0" fontId="115" fillId="17" borderId="58" applyNumberFormat="0" applyAlignment="0" applyProtection="0"/>
    <xf numFmtId="0" fontId="109" fillId="30" borderId="58" applyNumberFormat="0" applyAlignment="0" applyProtection="0"/>
    <xf numFmtId="0" fontId="27" fillId="0" borderId="0"/>
    <xf numFmtId="9" fontId="27" fillId="0" borderId="0" applyFont="0" applyFill="0" applyBorder="0" applyAlignment="0" applyProtection="0"/>
    <xf numFmtId="0" fontId="118" fillId="71" borderId="60" applyNumberFormat="0" applyAlignment="0" applyProtection="0"/>
    <xf numFmtId="0" fontId="85" fillId="37" borderId="32" applyNumberFormat="0" applyAlignment="0" applyProtection="0"/>
    <xf numFmtId="0" fontId="105" fillId="32" borderId="59" applyNumberFormat="0" applyFont="0" applyAlignment="0" applyProtection="0"/>
    <xf numFmtId="0" fontId="98" fillId="0" borderId="61" applyNumberFormat="0" applyFill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9" fontId="27" fillId="0" borderId="0" applyFont="0" applyFill="0" applyBorder="0" applyAlignment="0" applyProtection="0"/>
    <xf numFmtId="0" fontId="27" fillId="0" borderId="0"/>
    <xf numFmtId="0" fontId="85" fillId="37" borderId="32" applyNumberFormat="0" applyAlignment="0" applyProtection="0"/>
    <xf numFmtId="0" fontId="51" fillId="0" borderId="17">
      <alignment horizontal="left" vertical="center"/>
    </xf>
    <xf numFmtId="0" fontId="51" fillId="0" borderId="17">
      <alignment horizontal="left" vertical="center"/>
    </xf>
    <xf numFmtId="0" fontId="51" fillId="0" borderId="17">
      <alignment horizontal="left" vertical="center"/>
    </xf>
    <xf numFmtId="0" fontId="98" fillId="0" borderId="61" applyNumberFormat="0" applyFill="0" applyAlignment="0" applyProtection="0"/>
    <xf numFmtId="0" fontId="98" fillId="0" borderId="61" applyNumberFormat="0" applyFill="0" applyAlignment="0" applyProtection="0"/>
    <xf numFmtId="0" fontId="115" fillId="17" borderId="58" applyNumberFormat="0" applyAlignment="0" applyProtection="0"/>
    <xf numFmtId="0" fontId="98" fillId="0" borderId="61" applyNumberFormat="0" applyFill="0" applyAlignment="0" applyProtection="0"/>
    <xf numFmtId="0" fontId="115" fillId="17" borderId="58" applyNumberFormat="0" applyAlignment="0" applyProtection="0"/>
    <xf numFmtId="0" fontId="105" fillId="32" borderId="59" applyNumberFormat="0" applyFont="0" applyAlignment="0" applyProtection="0"/>
    <xf numFmtId="0" fontId="118" fillId="71" borderId="60" applyNumberFormat="0" applyAlignment="0" applyProtection="0"/>
    <xf numFmtId="0" fontId="109" fillId="71" borderId="58" applyNumberFormat="0" applyAlignment="0" applyProtection="0"/>
    <xf numFmtId="0" fontId="109" fillId="71" borderId="58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66" fillId="30" borderId="65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75" fillId="30" borderId="67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66" fillId="30" borderId="65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0" fontId="51" fillId="0" borderId="63">
      <alignment horizontal="left" vertical="center"/>
    </xf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27" fillId="33" borderId="66" applyNumberFormat="0" applyFont="0" applyAlignment="0" applyProtection="0"/>
    <xf numFmtId="10" fontId="56" fillId="9" borderId="68" applyNumberFormat="0" applyBorder="0" applyAlignment="0" applyProtection="0"/>
    <xf numFmtId="0" fontId="75" fillId="30" borderId="67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72" fillId="17" borderId="65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9" fontId="4" fillId="0" borderId="0" applyFont="0" applyFill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75" fillId="30" borderId="67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75" fillId="30" borderId="67" applyNumberFormat="0" applyAlignment="0" applyProtection="0"/>
    <xf numFmtId="0" fontId="72" fillId="17" borderId="65" applyNumberFormat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4" fillId="0" borderId="0"/>
    <xf numFmtId="10" fontId="56" fillId="9" borderId="68" applyNumberFormat="0" applyBorder="0" applyAlignment="0" applyProtection="0"/>
    <xf numFmtId="10" fontId="56" fillId="9" borderId="68" applyNumberFormat="0" applyBorder="0" applyAlignment="0" applyProtection="0"/>
    <xf numFmtId="0" fontId="118" fillId="71" borderId="67" applyNumberFormat="0" applyAlignment="0" applyProtection="0"/>
    <xf numFmtId="0" fontId="105" fillId="32" borderId="66" applyNumberFormat="0" applyFont="0" applyAlignment="0" applyProtection="0"/>
    <xf numFmtId="0" fontId="98" fillId="0" borderId="64" applyNumberFormat="0" applyFill="0" applyAlignment="0" applyProtection="0"/>
    <xf numFmtId="10" fontId="56" fillId="9" borderId="68" applyNumberFormat="0" applyBorder="0" applyAlignment="0" applyProtection="0"/>
    <xf numFmtId="0" fontId="98" fillId="0" borderId="64" applyNumberFormat="0" applyFill="0" applyAlignment="0" applyProtection="0"/>
    <xf numFmtId="0" fontId="98" fillId="0" borderId="64" applyNumberFormat="0" applyFill="0" applyAlignment="0" applyProtection="0"/>
    <xf numFmtId="0" fontId="115" fillId="17" borderId="65" applyNumberFormat="0" applyAlignment="0" applyProtection="0"/>
    <xf numFmtId="0" fontId="98" fillId="0" borderId="64" applyNumberFormat="0" applyFill="0" applyAlignment="0" applyProtection="0"/>
    <xf numFmtId="0" fontId="115" fillId="17" borderId="65" applyNumberFormat="0" applyAlignment="0" applyProtection="0"/>
    <xf numFmtId="0" fontId="105" fillId="32" borderId="66" applyNumberFormat="0" applyFont="0" applyAlignment="0" applyProtection="0"/>
    <xf numFmtId="0" fontId="118" fillId="71" borderId="67" applyNumberFormat="0" applyAlignment="0" applyProtection="0"/>
    <xf numFmtId="0" fontId="109" fillId="71" borderId="65" applyNumberFormat="0" applyAlignment="0" applyProtection="0"/>
    <xf numFmtId="0" fontId="109" fillId="71" borderId="65" applyNumberFormat="0" applyAlignment="0" applyProtection="0"/>
    <xf numFmtId="0" fontId="105" fillId="32" borderId="66" applyNumberFormat="0" applyFont="0" applyAlignment="0" applyProtection="0"/>
    <xf numFmtId="0" fontId="118" fillId="71" borderId="67" applyNumberFormat="0" applyAlignment="0" applyProtection="0"/>
    <xf numFmtId="0" fontId="115" fillId="17" borderId="65" applyNumberFormat="0" applyAlignment="0" applyProtection="0"/>
    <xf numFmtId="0" fontId="115" fillId="17" borderId="65" applyNumberFormat="0" applyAlignment="0" applyProtection="0"/>
    <xf numFmtId="0" fontId="118" fillId="30" borderId="67" applyNumberFormat="0" applyAlignment="0" applyProtection="0"/>
    <xf numFmtId="0" fontId="115" fillId="17" borderId="65" applyNumberFormat="0" applyAlignment="0" applyProtection="0"/>
    <xf numFmtId="0" fontId="115" fillId="17" borderId="65" applyNumberFormat="0" applyAlignment="0" applyProtection="0"/>
    <xf numFmtId="0" fontId="109" fillId="30" borderId="65" applyNumberFormat="0" applyAlignment="0" applyProtection="0"/>
    <xf numFmtId="0" fontId="52" fillId="0" borderId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62" borderId="0" applyNumberFormat="0" applyBorder="0" applyAlignment="0" applyProtection="0"/>
    <xf numFmtId="0" fontId="3" fillId="62" borderId="0" applyNumberFormat="0" applyBorder="0" applyAlignment="0" applyProtection="0"/>
    <xf numFmtId="0" fontId="3" fillId="43" borderId="0" applyNumberFormat="0" applyBorder="0" applyAlignment="0" applyProtection="0"/>
    <xf numFmtId="0" fontId="3" fillId="43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63" borderId="0" applyNumberFormat="0" applyBorder="0" applyAlignment="0" applyProtection="0"/>
    <xf numFmtId="0" fontId="3" fillId="63" borderId="0" applyNumberFormat="0" applyBorder="0" applyAlignment="0" applyProtection="0"/>
    <xf numFmtId="167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166" fontId="6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52" fillId="0" borderId="0" applyFont="0" applyFill="0" applyBorder="0" applyAlignment="0" applyProtection="0"/>
    <xf numFmtId="9" fontId="62" fillId="0" borderId="0" applyFont="0" applyFill="0" applyBorder="0" applyAlignment="0" applyProtection="0"/>
    <xf numFmtId="0" fontId="125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7" fontId="106" fillId="0" borderId="0" applyFont="0" applyFill="0" applyBorder="0" applyAlignment="0" applyProtection="0"/>
    <xf numFmtId="9" fontId="106" fillId="0" borderId="0" applyFont="0" applyFill="0" applyBorder="0" applyAlignment="0" applyProtection="0"/>
  </cellStyleXfs>
  <cellXfs count="1018">
    <xf numFmtId="0" fontId="0" fillId="0" borderId="0" xfId="0"/>
    <xf numFmtId="0" fontId="29" fillId="0" borderId="0" xfId="0" applyFont="1"/>
    <xf numFmtId="0" fontId="29" fillId="0" borderId="0" xfId="0" applyFont="1" applyBorder="1"/>
    <xf numFmtId="0" fontId="27" fillId="0" borderId="0" xfId="0" applyFont="1"/>
    <xf numFmtId="0" fontId="0" fillId="0" borderId="0" xfId="0" applyBorder="1"/>
    <xf numFmtId="0" fontId="29" fillId="0" borderId="7" xfId="0" applyFont="1" applyBorder="1"/>
    <xf numFmtId="0" fontId="29" fillId="0" borderId="8" xfId="0" applyFont="1" applyBorder="1"/>
    <xf numFmtId="0" fontId="29" fillId="0" borderId="9" xfId="0" applyFont="1" applyBorder="1"/>
    <xf numFmtId="0" fontId="0" fillId="0" borderId="10" xfId="0" applyBorder="1"/>
    <xf numFmtId="0" fontId="31" fillId="2" borderId="7" xfId="0" applyFont="1" applyFill="1" applyBorder="1"/>
    <xf numFmtId="0" fontId="31" fillId="2" borderId="8" xfId="0" applyFont="1" applyFill="1" applyBorder="1"/>
    <xf numFmtId="0" fontId="31" fillId="2" borderId="9" xfId="0" applyFont="1" applyFill="1" applyBorder="1"/>
    <xf numFmtId="0" fontId="31" fillId="2" borderId="12" xfId="0" applyFont="1" applyFill="1" applyBorder="1"/>
    <xf numFmtId="0" fontId="31" fillId="2" borderId="3" xfId="0" applyFont="1" applyFill="1" applyBorder="1"/>
    <xf numFmtId="0" fontId="0" fillId="0" borderId="11" xfId="0" applyBorder="1"/>
    <xf numFmtId="17" fontId="29" fillId="0" borderId="10" xfId="0" applyNumberFormat="1" applyFont="1" applyFill="1" applyBorder="1"/>
    <xf numFmtId="37" fontId="29" fillId="0" borderId="0" xfId="0" applyNumberFormat="1" applyFont="1" applyFill="1" applyBorder="1" applyAlignment="1">
      <alignment horizontal="right"/>
    </xf>
    <xf numFmtId="0" fontId="27" fillId="0" borderId="0" xfId="0" applyFont="1" applyFill="1" applyBorder="1"/>
    <xf numFmtId="0" fontId="29" fillId="0" borderId="13" xfId="0" applyFont="1" applyBorder="1"/>
    <xf numFmtId="3" fontId="27" fillId="0" borderId="0" xfId="0" applyNumberFormat="1" applyFont="1" applyBorder="1"/>
    <xf numFmtId="3" fontId="27" fillId="0" borderId="11" xfId="0" applyNumberFormat="1" applyFont="1" applyBorder="1"/>
    <xf numFmtId="37" fontId="0" fillId="0" borderId="0" xfId="0" applyNumberFormat="1" applyBorder="1"/>
    <xf numFmtId="3" fontId="0" fillId="0" borderId="0" xfId="0" applyNumberFormat="1" applyBorder="1"/>
    <xf numFmtId="3" fontId="29" fillId="2" borderId="10" xfId="0" applyNumberFormat="1" applyFont="1" applyFill="1" applyBorder="1"/>
    <xf numFmtId="17" fontId="29" fillId="0" borderId="4" xfId="0" applyNumberFormat="1" applyFont="1" applyFill="1" applyBorder="1"/>
    <xf numFmtId="0" fontId="0" fillId="0" borderId="5" xfId="0" applyBorder="1"/>
    <xf numFmtId="3" fontId="0" fillId="0" borderId="5" xfId="0" applyNumberFormat="1" applyBorder="1"/>
    <xf numFmtId="0" fontId="0" fillId="0" borderId="6" xfId="0" applyBorder="1"/>
    <xf numFmtId="0" fontId="29" fillId="0" borderId="14" xfId="0" applyFont="1" applyBorder="1"/>
    <xf numFmtId="3" fontId="29" fillId="3" borderId="4" xfId="0" applyNumberFormat="1" applyFont="1" applyFill="1" applyBorder="1"/>
    <xf numFmtId="3" fontId="27" fillId="0" borderId="5" xfId="0" applyNumberFormat="1" applyFont="1" applyBorder="1"/>
    <xf numFmtId="3" fontId="27" fillId="0" borderId="6" xfId="0" applyNumberFormat="1" applyFont="1" applyBorder="1"/>
    <xf numFmtId="3" fontId="29" fillId="0" borderId="0" xfId="0" applyNumberFormat="1" applyFont="1" applyFill="1" applyBorder="1"/>
    <xf numFmtId="0" fontId="0" fillId="3" borderId="13" xfId="0" applyFill="1" applyBorder="1"/>
    <xf numFmtId="0" fontId="0" fillId="0" borderId="4" xfId="0" applyBorder="1"/>
    <xf numFmtId="0" fontId="0" fillId="3" borderId="14" xfId="0" applyFill="1" applyBorder="1"/>
    <xf numFmtId="10" fontId="0" fillId="0" borderId="0" xfId="2" applyNumberFormat="1" applyFont="1"/>
    <xf numFmtId="0" fontId="27" fillId="5" borderId="7" xfId="0" applyFont="1" applyFill="1" applyBorder="1" applyAlignment="1"/>
    <xf numFmtId="0" fontId="27" fillId="5" borderId="8" xfId="0" applyFont="1" applyFill="1" applyBorder="1" applyAlignment="1"/>
    <xf numFmtId="10" fontId="50" fillId="5" borderId="7" xfId="2" applyNumberFormat="1" applyFont="1" applyFill="1" applyBorder="1" applyAlignment="1">
      <alignment horizontal="center"/>
    </xf>
    <xf numFmtId="0" fontId="50" fillId="5" borderId="9" xfId="0" applyFont="1" applyFill="1" applyBorder="1" applyAlignment="1">
      <alignment horizontal="center"/>
    </xf>
    <xf numFmtId="0" fontId="27" fillId="5" borderId="10" xfId="0" applyFont="1" applyFill="1" applyBorder="1" applyAlignment="1"/>
    <xf numFmtId="0" fontId="27" fillId="5" borderId="0" xfId="0" applyFont="1" applyFill="1" applyBorder="1" applyAlignment="1"/>
    <xf numFmtId="49" fontId="50" fillId="5" borderId="10" xfId="2" applyNumberFormat="1" applyFont="1" applyFill="1" applyBorder="1" applyAlignment="1">
      <alignment horizontal="center"/>
    </xf>
    <xf numFmtId="49" fontId="50" fillId="5" borderId="11" xfId="0" applyNumberFormat="1" applyFont="1" applyFill="1" applyBorder="1" applyAlignment="1">
      <alignment horizontal="center"/>
    </xf>
    <xf numFmtId="0" fontId="27" fillId="0" borderId="10" xfId="0" applyFont="1" applyFill="1" applyBorder="1" applyAlignment="1"/>
    <xf numFmtId="0" fontId="27" fillId="0" borderId="0" xfId="0" applyFont="1" applyFill="1" applyBorder="1" applyAlignment="1"/>
    <xf numFmtId="10" fontId="0" fillId="0" borderId="11" xfId="2" applyNumberFormat="1" applyFont="1" applyBorder="1"/>
    <xf numFmtId="0" fontId="27" fillId="0" borderId="1" xfId="0" applyFont="1" applyBorder="1" applyAlignment="1"/>
    <xf numFmtId="0" fontId="0" fillId="0" borderId="3" xfId="0" applyBorder="1" applyAlignment="1"/>
    <xf numFmtId="168" fontId="0" fillId="0" borderId="1" xfId="2" applyNumberFormat="1" applyFont="1" applyBorder="1"/>
    <xf numFmtId="168" fontId="0" fillId="0" borderId="3" xfId="2" applyNumberFormat="1" applyFont="1" applyBorder="1"/>
    <xf numFmtId="0" fontId="27" fillId="0" borderId="0" xfId="0" applyFont="1" applyAlignment="1"/>
    <xf numFmtId="0" fontId="0" fillId="0" borderId="0" xfId="0" applyAlignment="1"/>
    <xf numFmtId="168" fontId="0" fillId="0" borderId="0" xfId="2" applyNumberFormat="1" applyFont="1"/>
    <xf numFmtId="0" fontId="0" fillId="0" borderId="0" xfId="0" applyAlignment="1">
      <alignment horizontal="center"/>
    </xf>
    <xf numFmtId="1" fontId="29" fillId="0" borderId="0" xfId="0" applyNumberFormat="1" applyFont="1" applyFill="1" applyBorder="1"/>
    <xf numFmtId="0" fontId="29" fillId="0" borderId="10" xfId="0" applyFont="1" applyBorder="1"/>
    <xf numFmtId="169" fontId="0" fillId="0" borderId="0" xfId="2" applyNumberFormat="1" applyFont="1" applyBorder="1"/>
    <xf numFmtId="169" fontId="0" fillId="0" borderId="11" xfId="2" applyNumberFormat="1" applyFont="1" applyBorder="1"/>
    <xf numFmtId="0" fontId="29" fillId="0" borderId="4" xfId="0" applyFont="1" applyBorder="1"/>
    <xf numFmtId="169" fontId="0" fillId="0" borderId="5" xfId="2" applyNumberFormat="1" applyFont="1" applyBorder="1"/>
    <xf numFmtId="169" fontId="0" fillId="0" borderId="6" xfId="2" applyNumberFormat="1" applyFont="1" applyBorder="1"/>
    <xf numFmtId="0" fontId="31" fillId="2" borderId="0" xfId="0" applyFont="1" applyFill="1"/>
    <xf numFmtId="0" fontId="35" fillId="2" borderId="0" xfId="0" applyFont="1" applyFill="1" applyAlignment="1">
      <alignment horizontal="center" wrapText="1"/>
    </xf>
    <xf numFmtId="3" fontId="0" fillId="0" borderId="0" xfId="0" applyNumberFormat="1" applyFill="1" applyAlignment="1">
      <alignment horizontal="center"/>
    </xf>
    <xf numFmtId="0" fontId="0" fillId="0" borderId="0" xfId="0" applyFill="1"/>
    <xf numFmtId="17" fontId="29" fillId="0" borderId="0" xfId="0" applyNumberFormat="1" applyFont="1" applyFill="1"/>
    <xf numFmtId="170" fontId="0" fillId="0" borderId="0" xfId="0" applyNumberFormat="1" applyBorder="1" applyProtection="1"/>
    <xf numFmtId="37" fontId="27" fillId="0" borderId="0" xfId="0" applyNumberFormat="1" applyFont="1" applyAlignment="1">
      <alignment horizontal="center"/>
    </xf>
    <xf numFmtId="37" fontId="27" fillId="0" borderId="0" xfId="0" applyNumberFormat="1" applyFont="1" applyFill="1" applyAlignment="1">
      <alignment horizontal="center"/>
    </xf>
    <xf numFmtId="171" fontId="0" fillId="0" borderId="0" xfId="0" applyNumberFormat="1" applyFill="1" applyAlignment="1">
      <alignment horizontal="center"/>
    </xf>
    <xf numFmtId="10" fontId="0" fillId="0" borderId="0" xfId="2" applyNumberFormat="1" applyFont="1" applyFill="1" applyAlignment="1">
      <alignment horizontal="center"/>
    </xf>
    <xf numFmtId="0" fontId="27" fillId="0" borderId="0" xfId="0" applyFont="1" applyFill="1"/>
    <xf numFmtId="170" fontId="0" fillId="0" borderId="0" xfId="0" applyNumberFormat="1" applyFill="1" applyBorder="1" applyProtection="1"/>
    <xf numFmtId="17" fontId="0" fillId="0" borderId="0" xfId="0" applyNumberFormat="1" applyFill="1"/>
    <xf numFmtId="0" fontId="0" fillId="0" borderId="0" xfId="0" applyFill="1" applyAlignment="1">
      <alignment horizontal="center"/>
    </xf>
    <xf numFmtId="0" fontId="36" fillId="0" borderId="0" xfId="0" applyFont="1" applyBorder="1"/>
    <xf numFmtId="0" fontId="37" fillId="0" borderId="0" xfId="0" applyFont="1" applyBorder="1"/>
    <xf numFmtId="17" fontId="37" fillId="0" borderId="15" xfId="0" applyNumberFormat="1" applyFont="1" applyBorder="1"/>
    <xf numFmtId="3" fontId="36" fillId="0" borderId="15" xfId="0" applyNumberFormat="1" applyFont="1" applyBorder="1"/>
    <xf numFmtId="17" fontId="37" fillId="0" borderId="13" xfId="0" applyNumberFormat="1" applyFont="1" applyBorder="1"/>
    <xf numFmtId="3" fontId="36" fillId="0" borderId="13" xfId="0" applyNumberFormat="1" applyFont="1" applyBorder="1"/>
    <xf numFmtId="0" fontId="37" fillId="4" borderId="7" xfId="0" applyFont="1" applyFill="1" applyBorder="1"/>
    <xf numFmtId="0" fontId="37" fillId="4" borderId="8" xfId="0" applyFont="1" applyFill="1" applyBorder="1"/>
    <xf numFmtId="0" fontId="37" fillId="4" borderId="9" xfId="0" applyFont="1" applyFill="1" applyBorder="1"/>
    <xf numFmtId="3" fontId="36" fillId="0" borderId="0" xfId="0" applyNumberFormat="1" applyFont="1" applyBorder="1"/>
    <xf numFmtId="0" fontId="37" fillId="4" borderId="10" xfId="0" applyFont="1" applyFill="1" applyBorder="1"/>
    <xf numFmtId="3" fontId="36" fillId="0" borderId="0" xfId="0" applyNumberFormat="1" applyFont="1" applyFill="1" applyBorder="1"/>
    <xf numFmtId="3" fontId="36" fillId="0" borderId="11" xfId="0" applyNumberFormat="1" applyFont="1" applyFill="1" applyBorder="1"/>
    <xf numFmtId="3" fontId="36" fillId="0" borderId="0" xfId="1" applyNumberFormat="1" applyFont="1" applyBorder="1"/>
    <xf numFmtId="0" fontId="37" fillId="4" borderId="4" xfId="0" applyFont="1" applyFill="1" applyBorder="1"/>
    <xf numFmtId="3" fontId="36" fillId="0" borderId="5" xfId="1" applyNumberFormat="1" applyFont="1" applyBorder="1"/>
    <xf numFmtId="3" fontId="36" fillId="0" borderId="6" xfId="1" applyNumberFormat="1" applyFont="1" applyBorder="1"/>
    <xf numFmtId="0" fontId="37" fillId="0" borderId="8" xfId="0" applyFont="1" applyBorder="1"/>
    <xf numFmtId="3" fontId="37" fillId="0" borderId="0" xfId="0" applyNumberFormat="1" applyFont="1" applyFill="1" applyBorder="1"/>
    <xf numFmtId="3" fontId="36" fillId="0" borderId="11" xfId="0" applyNumberFormat="1" applyFont="1" applyBorder="1"/>
    <xf numFmtId="0" fontId="36" fillId="0" borderId="0" xfId="0" applyFont="1" applyFill="1" applyBorder="1"/>
    <xf numFmtId="3" fontId="36" fillId="0" borderId="5" xfId="0" applyNumberFormat="1" applyFont="1" applyBorder="1"/>
    <xf numFmtId="3" fontId="36" fillId="0" borderId="6" xfId="0" applyNumberFormat="1" applyFont="1" applyBorder="1"/>
    <xf numFmtId="10" fontId="36" fillId="0" borderId="0" xfId="2" applyNumberFormat="1" applyFont="1" applyFill="1" applyBorder="1"/>
    <xf numFmtId="10" fontId="36" fillId="0" borderId="11" xfId="2" applyNumberFormat="1" applyFont="1" applyFill="1" applyBorder="1"/>
    <xf numFmtId="10" fontId="37" fillId="0" borderId="0" xfId="2" applyNumberFormat="1" applyFont="1" applyFill="1" applyBorder="1"/>
    <xf numFmtId="10" fontId="29" fillId="0" borderId="0" xfId="2" applyNumberFormat="1" applyFont="1" applyFill="1" applyBorder="1"/>
    <xf numFmtId="3" fontId="37" fillId="0" borderId="0" xfId="0" applyNumberFormat="1" applyFont="1" applyBorder="1"/>
    <xf numFmtId="0" fontId="37" fillId="2" borderId="9" xfId="0" applyFont="1" applyFill="1" applyBorder="1"/>
    <xf numFmtId="0" fontId="41" fillId="2" borderId="9" xfId="0" applyFont="1" applyFill="1" applyBorder="1"/>
    <xf numFmtId="0" fontId="31" fillId="2" borderId="9" xfId="0" applyFont="1" applyFill="1" applyBorder="1" applyAlignment="1">
      <alignment horizontal="center"/>
    </xf>
    <xf numFmtId="0" fontId="31" fillId="2" borderId="10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31" fillId="2" borderId="11" xfId="0" applyFont="1" applyFill="1" applyBorder="1" applyAlignment="1">
      <alignment horizontal="center"/>
    </xf>
    <xf numFmtId="0" fontId="31" fillId="2" borderId="10" xfId="0" applyFont="1" applyFill="1" applyBorder="1"/>
    <xf numFmtId="0" fontId="31" fillId="2" borderId="0" xfId="0" applyFont="1" applyFill="1" applyBorder="1"/>
    <xf numFmtId="0" fontId="31" fillId="2" borderId="0" xfId="0" applyFont="1" applyFill="1" applyBorder="1" applyAlignment="1"/>
    <xf numFmtId="173" fontId="31" fillId="2" borderId="11" xfId="1" applyNumberFormat="1" applyFont="1" applyFill="1" applyBorder="1" applyAlignment="1">
      <alignment horizontal="center"/>
    </xf>
    <xf numFmtId="0" fontId="35" fillId="2" borderId="11" xfId="0" applyFont="1" applyFill="1" applyBorder="1" applyAlignment="1">
      <alignment horizontal="center"/>
    </xf>
    <xf numFmtId="0" fontId="27" fillId="0" borderId="0" xfId="0" applyFont="1" applyBorder="1"/>
    <xf numFmtId="0" fontId="27" fillId="0" borderId="10" xfId="0" applyFont="1" applyBorder="1"/>
    <xf numFmtId="0" fontId="29" fillId="0" borderId="5" xfId="0" applyFont="1" applyBorder="1"/>
    <xf numFmtId="0" fontId="27" fillId="0" borderId="5" xfId="0" applyFont="1" applyBorder="1"/>
    <xf numFmtId="0" fontId="27" fillId="0" borderId="4" xfId="0" applyFont="1" applyBorder="1"/>
    <xf numFmtId="0" fontId="36" fillId="0" borderId="5" xfId="0" applyFont="1" applyBorder="1"/>
    <xf numFmtId="0" fontId="36" fillId="0" borderId="0" xfId="0" applyFont="1"/>
    <xf numFmtId="174" fontId="27" fillId="0" borderId="0" xfId="0" applyNumberFormat="1" applyFont="1" applyBorder="1"/>
    <xf numFmtId="0" fontId="29" fillId="0" borderId="0" xfId="0" applyFont="1" applyFill="1" applyBorder="1"/>
    <xf numFmtId="174" fontId="27" fillId="0" borderId="0" xfId="0" applyNumberFormat="1" applyFont="1"/>
    <xf numFmtId="0" fontId="29" fillId="0" borderId="0" xfId="0" applyFont="1" applyFill="1"/>
    <xf numFmtId="0" fontId="31" fillId="2" borderId="8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27" fillId="0" borderId="11" xfId="0" applyFont="1" applyBorder="1"/>
    <xf numFmtId="0" fontId="27" fillId="0" borderId="6" xfId="0" applyFont="1" applyBorder="1"/>
    <xf numFmtId="0" fontId="27" fillId="0" borderId="1" xfId="0" applyFont="1" applyBorder="1"/>
    <xf numFmtId="0" fontId="27" fillId="0" borderId="2" xfId="0" applyFont="1" applyBorder="1"/>
    <xf numFmtId="0" fontId="36" fillId="0" borderId="2" xfId="0" applyFont="1" applyBorder="1"/>
    <xf numFmtId="0" fontId="31" fillId="2" borderId="10" xfId="0" applyFont="1" applyFill="1" applyBorder="1" applyAlignment="1"/>
    <xf numFmtId="0" fontId="37" fillId="0" borderId="15" xfId="0" applyFont="1" applyBorder="1"/>
    <xf numFmtId="173" fontId="36" fillId="0" borderId="10" xfId="1" applyNumberFormat="1" applyFont="1" applyBorder="1"/>
    <xf numFmtId="173" fontId="36" fillId="0" borderId="0" xfId="1" applyNumberFormat="1" applyFont="1" applyBorder="1"/>
    <xf numFmtId="173" fontId="36" fillId="0" borderId="11" xfId="1" applyNumberFormat="1" applyFont="1" applyBorder="1"/>
    <xf numFmtId="173" fontId="27" fillId="0" borderId="0" xfId="1" applyNumberFormat="1" applyFont="1" applyBorder="1"/>
    <xf numFmtId="0" fontId="37" fillId="0" borderId="13" xfId="0" applyFont="1" applyBorder="1"/>
    <xf numFmtId="0" fontId="37" fillId="0" borderId="14" xfId="0" applyFont="1" applyBorder="1"/>
    <xf numFmtId="173" fontId="27" fillId="0" borderId="11" xfId="1" applyNumberFormat="1" applyFont="1" applyBorder="1"/>
    <xf numFmtId="0" fontId="37" fillId="0" borderId="0" xfId="0" applyFont="1" applyFill="1"/>
    <xf numFmtId="173" fontId="37" fillId="0" borderId="1" xfId="1" applyNumberFormat="1" applyFont="1" applyFill="1" applyBorder="1"/>
    <xf numFmtId="173" fontId="37" fillId="0" borderId="2" xfId="1" applyNumberFormat="1" applyFont="1" applyFill="1" applyBorder="1"/>
    <xf numFmtId="173" fontId="37" fillId="0" borderId="3" xfId="0" applyNumberFormat="1" applyFont="1" applyFill="1" applyBorder="1"/>
    <xf numFmtId="173" fontId="37" fillId="0" borderId="3" xfId="1" applyNumberFormat="1" applyFont="1" applyFill="1" applyBorder="1"/>
    <xf numFmtId="173" fontId="36" fillId="0" borderId="1" xfId="0" applyNumberFormat="1" applyFont="1" applyBorder="1"/>
    <xf numFmtId="0" fontId="27" fillId="0" borderId="3" xfId="0" applyFont="1" applyBorder="1"/>
    <xf numFmtId="173" fontId="36" fillId="0" borderId="4" xfId="0" applyNumberFormat="1" applyFont="1" applyBorder="1"/>
    <xf numFmtId="0" fontId="37" fillId="0" borderId="5" xfId="0" applyFont="1" applyBorder="1"/>
    <xf numFmtId="0" fontId="37" fillId="0" borderId="6" xfId="0" applyFont="1" applyBorder="1"/>
    <xf numFmtId="173" fontId="27" fillId="0" borderId="6" xfId="1" applyNumberFormat="1" applyFont="1" applyBorder="1"/>
    <xf numFmtId="173" fontId="27" fillId="0" borderId="4" xfId="0" applyNumberFormat="1" applyFont="1" applyBorder="1"/>
    <xf numFmtId="0" fontId="42" fillId="0" borderId="0" xfId="0" applyFont="1" applyFill="1"/>
    <xf numFmtId="0" fontId="0" fillId="0" borderId="0" xfId="0" applyFont="1" applyFill="1"/>
    <xf numFmtId="0" fontId="43" fillId="0" borderId="0" xfId="0" applyFont="1" applyFill="1"/>
    <xf numFmtId="0" fontId="44" fillId="0" borderId="0" xfId="0" applyFont="1" applyFill="1"/>
    <xf numFmtId="173" fontId="42" fillId="0" borderId="0" xfId="0" applyNumberFormat="1" applyFont="1" applyFill="1"/>
    <xf numFmtId="0" fontId="42" fillId="0" borderId="0" xfId="0" applyFont="1"/>
    <xf numFmtId="0" fontId="0" fillId="0" borderId="0" xfId="0" applyFont="1"/>
    <xf numFmtId="0" fontId="43" fillId="0" borderId="0" xfId="0" applyFont="1"/>
    <xf numFmtId="0" fontId="44" fillId="0" borderId="0" xfId="0" applyFont="1"/>
    <xf numFmtId="3" fontId="27" fillId="0" borderId="7" xfId="0" applyNumberFormat="1" applyFont="1" applyBorder="1"/>
    <xf numFmtId="175" fontId="27" fillId="0" borderId="0" xfId="0" applyNumberFormat="1" applyFont="1"/>
    <xf numFmtId="3" fontId="27" fillId="0" borderId="8" xfId="0" applyNumberFormat="1" applyFont="1" applyBorder="1"/>
    <xf numFmtId="3" fontId="36" fillId="0" borderId="8" xfId="0" applyNumberFormat="1" applyFont="1" applyBorder="1"/>
    <xf numFmtId="3" fontId="27" fillId="0" borderId="9" xfId="0" applyNumberFormat="1" applyFont="1" applyBorder="1"/>
    <xf numFmtId="3" fontId="27" fillId="0" borderId="0" xfId="0" applyNumberFormat="1" applyFont="1"/>
    <xf numFmtId="3" fontId="36" fillId="0" borderId="0" xfId="0" applyNumberFormat="1" applyFont="1"/>
    <xf numFmtId="3" fontId="27" fillId="0" borderId="10" xfId="0" applyNumberFormat="1" applyFont="1" applyBorder="1"/>
    <xf numFmtId="175" fontId="27" fillId="0" borderId="0" xfId="0" applyNumberFormat="1" applyFont="1" applyBorder="1"/>
    <xf numFmtId="3" fontId="27" fillId="0" borderId="4" xfId="0" applyNumberFormat="1" applyFont="1" applyBorder="1"/>
    <xf numFmtId="175" fontId="27" fillId="0" borderId="5" xfId="0" applyNumberFormat="1" applyFont="1" applyBorder="1"/>
    <xf numFmtId="3" fontId="29" fillId="0" borderId="1" xfId="0" applyNumberFormat="1" applyFont="1" applyBorder="1"/>
    <xf numFmtId="3" fontId="29" fillId="0" borderId="2" xfId="0" applyNumberFormat="1" applyFont="1" applyBorder="1"/>
    <xf numFmtId="3" fontId="37" fillId="0" borderId="2" xfId="0" applyNumberFormat="1" applyFont="1" applyBorder="1"/>
    <xf numFmtId="3" fontId="29" fillId="0" borderId="3" xfId="0" applyNumberFormat="1" applyFont="1" applyBorder="1"/>
    <xf numFmtId="3" fontId="29" fillId="0" borderId="0" xfId="0" applyNumberFormat="1" applyFont="1"/>
    <xf numFmtId="0" fontId="37" fillId="0" borderId="12" xfId="0" applyFont="1" applyFill="1" applyBorder="1"/>
    <xf numFmtId="0" fontId="37" fillId="0" borderId="0" xfId="0" applyFont="1" applyFill="1" applyBorder="1"/>
    <xf numFmtId="3" fontId="29" fillId="0" borderId="0" xfId="0" applyNumberFormat="1" applyFont="1" applyBorder="1"/>
    <xf numFmtId="0" fontId="31" fillId="2" borderId="7" xfId="0" applyFont="1" applyFill="1" applyBorder="1" applyAlignment="1">
      <alignment horizontal="center"/>
    </xf>
    <xf numFmtId="0" fontId="41" fillId="2" borderId="8" xfId="0" applyFont="1" applyFill="1" applyBorder="1" applyAlignment="1">
      <alignment horizontal="center"/>
    </xf>
    <xf numFmtId="0" fontId="41" fillId="2" borderId="0" xfId="0" applyFont="1" applyFill="1" applyBorder="1" applyAlignment="1">
      <alignment horizontal="center"/>
    </xf>
    <xf numFmtId="173" fontId="27" fillId="0" borderId="11" xfId="0" applyNumberFormat="1" applyFont="1" applyBorder="1"/>
    <xf numFmtId="173" fontId="27" fillId="0" borderId="10" xfId="1" applyNumberFormat="1" applyFont="1" applyBorder="1"/>
    <xf numFmtId="173" fontId="27" fillId="0" borderId="7" xfId="1" applyNumberFormat="1" applyFont="1" applyBorder="1"/>
    <xf numFmtId="173" fontId="27" fillId="0" borderId="8" xfId="1" applyNumberFormat="1" applyFont="1" applyBorder="1"/>
    <xf numFmtId="173" fontId="36" fillId="0" borderId="8" xfId="1" applyNumberFormat="1" applyFont="1" applyBorder="1"/>
    <xf numFmtId="173" fontId="27" fillId="0" borderId="9" xfId="0" applyNumberFormat="1" applyFont="1" applyBorder="1"/>
    <xf numFmtId="173" fontId="27" fillId="0" borderId="0" xfId="1" applyNumberFormat="1" applyFont="1" applyFill="1" applyBorder="1"/>
    <xf numFmtId="173" fontId="27" fillId="0" borderId="10" xfId="1" applyNumberFormat="1" applyFont="1" applyFill="1" applyBorder="1"/>
    <xf numFmtId="173" fontId="36" fillId="0" borderId="0" xfId="1" applyNumberFormat="1" applyFont="1" applyFill="1" applyBorder="1"/>
    <xf numFmtId="173" fontId="27" fillId="0" borderId="0" xfId="0" applyNumberFormat="1" applyFont="1" applyBorder="1"/>
    <xf numFmtId="173" fontId="27" fillId="0" borderId="0" xfId="0" applyNumberFormat="1" applyFont="1" applyFill="1" applyBorder="1"/>
    <xf numFmtId="173" fontId="37" fillId="0" borderId="10" xfId="1" applyNumberFormat="1" applyFont="1" applyBorder="1"/>
    <xf numFmtId="173" fontId="37" fillId="0" borderId="0" xfId="1" applyNumberFormat="1" applyFont="1" applyBorder="1"/>
    <xf numFmtId="0" fontId="37" fillId="0" borderId="11" xfId="0" applyFont="1" applyBorder="1"/>
    <xf numFmtId="0" fontId="37" fillId="0" borderId="12" xfId="0" applyFont="1" applyBorder="1"/>
    <xf numFmtId="173" fontId="37" fillId="0" borderId="1" xfId="1" applyNumberFormat="1" applyFont="1" applyBorder="1"/>
    <xf numFmtId="173" fontId="37" fillId="0" borderId="2" xfId="1" applyNumberFormat="1" applyFont="1" applyBorder="1"/>
    <xf numFmtId="173" fontId="37" fillId="0" borderId="3" xfId="0" applyNumberFormat="1" applyFont="1" applyBorder="1"/>
    <xf numFmtId="173" fontId="37" fillId="0" borderId="7" xfId="1" applyNumberFormat="1" applyFont="1" applyBorder="1"/>
    <xf numFmtId="173" fontId="37" fillId="0" borderId="8" xfId="1" applyNumberFormat="1" applyFont="1" applyBorder="1"/>
    <xf numFmtId="173" fontId="37" fillId="0" borderId="9" xfId="0" applyNumberFormat="1" applyFont="1" applyBorder="1"/>
    <xf numFmtId="173" fontId="37" fillId="0" borderId="9" xfId="1" applyNumberFormat="1" applyFont="1" applyBorder="1"/>
    <xf numFmtId="173" fontId="37" fillId="0" borderId="7" xfId="0" applyNumberFormat="1" applyFont="1" applyBorder="1"/>
    <xf numFmtId="173" fontId="37" fillId="0" borderId="8" xfId="0" applyNumberFormat="1" applyFont="1" applyBorder="1"/>
    <xf numFmtId="173" fontId="37" fillId="0" borderId="11" xfId="0" applyNumberFormat="1" applyFont="1" applyBorder="1"/>
    <xf numFmtId="173" fontId="37" fillId="0" borderId="11" xfId="1" applyNumberFormat="1" applyFont="1" applyBorder="1"/>
    <xf numFmtId="173" fontId="37" fillId="0" borderId="10" xfId="0" applyNumberFormat="1" applyFont="1" applyBorder="1"/>
    <xf numFmtId="173" fontId="37" fillId="0" borderId="0" xfId="0" applyNumberFormat="1" applyFont="1" applyBorder="1"/>
    <xf numFmtId="0" fontId="37" fillId="0" borderId="9" xfId="0" applyFont="1" applyBorder="1"/>
    <xf numFmtId="176" fontId="36" fillId="0" borderId="10" xfId="1" applyNumberFormat="1" applyFont="1" applyBorder="1"/>
    <xf numFmtId="176" fontId="36" fillId="0" borderId="0" xfId="1" applyNumberFormat="1" applyFont="1" applyBorder="1"/>
    <xf numFmtId="176" fontId="36" fillId="0" borderId="11" xfId="1" applyNumberFormat="1" applyFont="1" applyBorder="1"/>
    <xf numFmtId="174" fontId="27" fillId="0" borderId="0" xfId="0" applyNumberFormat="1" applyFont="1" applyFill="1" applyBorder="1" applyAlignment="1">
      <alignment horizontal="center"/>
    </xf>
    <xf numFmtId="177" fontId="27" fillId="0" borderId="0" xfId="0" applyNumberFormat="1" applyFont="1" applyFill="1" applyBorder="1" applyAlignment="1"/>
    <xf numFmtId="174" fontId="27" fillId="0" borderId="0" xfId="0" applyNumberFormat="1" applyFont="1" applyBorder="1" applyAlignment="1">
      <alignment horizontal="center"/>
    </xf>
    <xf numFmtId="176" fontId="36" fillId="0" borderId="1" xfId="1" applyNumberFormat="1" applyFont="1" applyBorder="1"/>
    <xf numFmtId="176" fontId="36" fillId="0" borderId="2" xfId="1" applyNumberFormat="1" applyFont="1" applyBorder="1"/>
    <xf numFmtId="176" fontId="36" fillId="0" borderId="3" xfId="1" applyNumberFormat="1" applyFont="1" applyBorder="1"/>
    <xf numFmtId="173" fontId="37" fillId="0" borderId="0" xfId="1" applyNumberFormat="1" applyFont="1" applyFill="1"/>
    <xf numFmtId="173" fontId="29" fillId="0" borderId="0" xfId="1" applyNumberFormat="1" applyFont="1" applyFill="1"/>
    <xf numFmtId="173" fontId="36" fillId="0" borderId="0" xfId="1" applyNumberFormat="1" applyFont="1" applyFill="1"/>
    <xf numFmtId="173" fontId="29" fillId="0" borderId="0" xfId="0" applyNumberFormat="1" applyFont="1" applyFill="1"/>
    <xf numFmtId="173" fontId="27" fillId="0" borderId="0" xfId="0" applyNumberFormat="1" applyFont="1"/>
    <xf numFmtId="173" fontId="36" fillId="0" borderId="0" xfId="1" applyNumberFormat="1" applyFont="1"/>
    <xf numFmtId="173" fontId="37" fillId="0" borderId="0" xfId="1" applyNumberFormat="1" applyFont="1"/>
    <xf numFmtId="173" fontId="27" fillId="0" borderId="0" xfId="0" applyNumberFormat="1" applyFont="1" applyFill="1"/>
    <xf numFmtId="173" fontId="27" fillId="0" borderId="0" xfId="1" applyNumberFormat="1" applyFont="1" applyFill="1"/>
    <xf numFmtId="173" fontId="37" fillId="0" borderId="0" xfId="1" applyNumberFormat="1" applyFont="1" applyFill="1" applyBorder="1"/>
    <xf numFmtId="173" fontId="29" fillId="0" borderId="0" xfId="0" applyNumberFormat="1" applyFont="1" applyFill="1" applyBorder="1"/>
    <xf numFmtId="173" fontId="29" fillId="0" borderId="0" xfId="1" applyNumberFormat="1" applyFont="1"/>
    <xf numFmtId="173" fontId="27" fillId="0" borderId="0" xfId="1" applyNumberFormat="1" applyFont="1"/>
    <xf numFmtId="178" fontId="37" fillId="0" borderId="0" xfId="1" applyNumberFormat="1" applyFont="1"/>
    <xf numFmtId="173" fontId="29" fillId="0" borderId="0" xfId="0" applyNumberFormat="1" applyFont="1" applyBorder="1"/>
    <xf numFmtId="173" fontId="29" fillId="0" borderId="0" xfId="1" applyNumberFormat="1" applyFont="1" applyFill="1" applyBorder="1"/>
    <xf numFmtId="0" fontId="37" fillId="0" borderId="0" xfId="0" applyFont="1"/>
    <xf numFmtId="0" fontId="41" fillId="2" borderId="0" xfId="0" applyFont="1" applyFill="1" applyBorder="1" applyAlignment="1"/>
    <xf numFmtId="0" fontId="41" fillId="2" borderId="10" xfId="0" applyFont="1" applyFill="1" applyBorder="1" applyAlignment="1">
      <alignment horizontal="center"/>
    </xf>
    <xf numFmtId="0" fontId="41" fillId="2" borderId="0" xfId="0" applyFont="1" applyFill="1"/>
    <xf numFmtId="173" fontId="27" fillId="0" borderId="9" xfId="1" applyNumberFormat="1" applyFont="1" applyBorder="1"/>
    <xf numFmtId="173" fontId="27" fillId="0" borderId="4" xfId="1" applyNumberFormat="1" applyFont="1" applyBorder="1"/>
    <xf numFmtId="173" fontId="27" fillId="0" borderId="5" xfId="1" applyNumberFormat="1" applyFont="1" applyBorder="1"/>
    <xf numFmtId="175" fontId="27" fillId="0" borderId="0" xfId="1" applyNumberFormat="1" applyFont="1"/>
    <xf numFmtId="167" fontId="27" fillId="0" borderId="0" xfId="0" applyNumberFormat="1" applyFont="1"/>
    <xf numFmtId="0" fontId="47" fillId="2" borderId="10" xfId="0" applyFont="1" applyFill="1" applyBorder="1" applyAlignment="1">
      <alignment horizontal="right"/>
    </xf>
    <xf numFmtId="0" fontId="47" fillId="2" borderId="0" xfId="0" applyFont="1" applyFill="1" applyBorder="1" applyAlignment="1">
      <alignment horizontal="right"/>
    </xf>
    <xf numFmtId="0" fontId="47" fillId="2" borderId="11" xfId="0" applyFont="1" applyFill="1" applyBorder="1" applyAlignment="1">
      <alignment horizontal="right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73" fontId="0" fillId="2" borderId="0" xfId="1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10" fontId="0" fillId="0" borderId="0" xfId="2" applyNumberFormat="1" applyFont="1" applyAlignment="1">
      <alignment horizontal="right"/>
    </xf>
    <xf numFmtId="10" fontId="29" fillId="0" borderId="0" xfId="2" applyNumberFormat="1" applyFont="1" applyAlignment="1">
      <alignment horizontal="right"/>
    </xf>
    <xf numFmtId="176" fontId="0" fillId="0" borderId="0" xfId="0" applyNumberFormat="1" applyAlignment="1">
      <alignment horizontal="right"/>
    </xf>
    <xf numFmtId="9" fontId="0" fillId="0" borderId="0" xfId="0" applyNumberFormat="1" applyAlignment="1">
      <alignment horizontal="right"/>
    </xf>
    <xf numFmtId="10" fontId="0" fillId="0" borderId="0" xfId="0" applyNumberFormat="1" applyAlignment="1">
      <alignment horizontal="right"/>
    </xf>
    <xf numFmtId="0" fontId="0" fillId="0" borderId="7" xfId="0" applyBorder="1"/>
    <xf numFmtId="0" fontId="28" fillId="2" borderId="7" xfId="0" applyFont="1" applyFill="1" applyBorder="1" applyAlignment="1">
      <alignment horizontal="center"/>
    </xf>
    <xf numFmtId="0" fontId="28" fillId="2" borderId="8" xfId="0" applyFont="1" applyFill="1" applyBorder="1" applyAlignment="1">
      <alignment horizontal="center"/>
    </xf>
    <xf numFmtId="0" fontId="28" fillId="2" borderId="9" xfId="0" applyFont="1" applyFill="1" applyBorder="1" applyAlignment="1">
      <alignment horizontal="center"/>
    </xf>
    <xf numFmtId="0" fontId="0" fillId="0" borderId="10" xfId="0" applyBorder="1" applyAlignment="1">
      <alignment horizontal="right"/>
    </xf>
    <xf numFmtId="3" fontId="27" fillId="0" borderId="7" xfId="0" applyNumberFormat="1" applyFont="1" applyFill="1" applyBorder="1" applyAlignment="1">
      <alignment horizontal="center"/>
    </xf>
    <xf numFmtId="3" fontId="27" fillId="0" borderId="8" xfId="0" applyNumberFormat="1" applyFont="1" applyFill="1" applyBorder="1" applyAlignment="1">
      <alignment horizontal="center"/>
    </xf>
    <xf numFmtId="3" fontId="27" fillId="0" borderId="10" xfId="0" applyNumberFormat="1" applyFont="1" applyFill="1" applyBorder="1" applyAlignment="1">
      <alignment horizontal="center"/>
    </xf>
    <xf numFmtId="3" fontId="27" fillId="0" borderId="0" xfId="0" applyNumberFormat="1" applyFont="1" applyFill="1" applyBorder="1" applyAlignment="1">
      <alignment horizontal="center"/>
    </xf>
    <xf numFmtId="0" fontId="0" fillId="0" borderId="4" xfId="0" applyBorder="1" applyAlignment="1">
      <alignment horizontal="right"/>
    </xf>
    <xf numFmtId="3" fontId="0" fillId="0" borderId="0" xfId="0" applyNumberFormat="1" applyBorder="1" applyAlignment="1">
      <alignment horizontal="center"/>
    </xf>
    <xf numFmtId="172" fontId="0" fillId="0" borderId="7" xfId="0" applyNumberFormat="1" applyBorder="1" applyAlignment="1">
      <alignment horizontal="center"/>
    </xf>
    <xf numFmtId="172" fontId="0" fillId="0" borderId="8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168" fontId="0" fillId="0" borderId="0" xfId="0" applyNumberFormat="1" applyBorder="1" applyAlignment="1">
      <alignment horizontal="center" vertical="center"/>
    </xf>
    <xf numFmtId="168" fontId="0" fillId="0" borderId="11" xfId="0" applyNumberFormat="1" applyBorder="1" applyAlignment="1">
      <alignment horizontal="center" vertical="center"/>
    </xf>
    <xf numFmtId="181" fontId="0" fillId="0" borderId="0" xfId="0" applyNumberFormat="1" applyAlignment="1">
      <alignment horizontal="center"/>
    </xf>
    <xf numFmtId="0" fontId="0" fillId="2" borderId="0" xfId="0" applyFill="1"/>
    <xf numFmtId="3" fontId="0" fillId="2" borderId="0" xfId="0" applyNumberFormat="1" applyFill="1" applyAlignment="1">
      <alignment horizontal="center"/>
    </xf>
    <xf numFmtId="0" fontId="28" fillId="2" borderId="0" xfId="0" applyFont="1" applyFill="1"/>
    <xf numFmtId="0" fontId="35" fillId="2" borderId="0" xfId="0" applyFont="1" applyFill="1" applyAlignment="1">
      <alignment horizontal="center"/>
    </xf>
    <xf numFmtId="3" fontId="35" fillId="2" borderId="0" xfId="0" applyNumberFormat="1" applyFont="1" applyFill="1" applyAlignment="1">
      <alignment horizontal="center"/>
    </xf>
    <xf numFmtId="3" fontId="35" fillId="2" borderId="0" xfId="0" applyNumberFormat="1" applyFont="1" applyFill="1" applyAlignment="1">
      <alignment horizontal="center" wrapText="1"/>
    </xf>
    <xf numFmtId="3" fontId="0" fillId="0" borderId="8" xfId="0" applyNumberFormat="1" applyBorder="1" applyAlignment="1">
      <alignment horizontal="center"/>
    </xf>
    <xf numFmtId="182" fontId="0" fillId="0" borderId="8" xfId="0" applyNumberFormat="1" applyBorder="1" applyAlignment="1">
      <alignment horizontal="center"/>
    </xf>
    <xf numFmtId="10" fontId="0" fillId="0" borderId="8" xfId="0" applyNumberFormat="1" applyBorder="1" applyAlignment="1">
      <alignment horizontal="center"/>
    </xf>
    <xf numFmtId="174" fontId="0" fillId="0" borderId="8" xfId="0" applyNumberFormat="1" applyBorder="1" applyAlignment="1">
      <alignment horizontal="center"/>
    </xf>
    <xf numFmtId="3" fontId="0" fillId="0" borderId="8" xfId="0" applyNumberFormat="1" applyFill="1" applyBorder="1" applyAlignment="1">
      <alignment horizontal="center"/>
    </xf>
    <xf numFmtId="3" fontId="0" fillId="0" borderId="9" xfId="0" applyNumberFormat="1" applyFill="1" applyBorder="1" applyAlignment="1">
      <alignment horizontal="center"/>
    </xf>
    <xf numFmtId="3" fontId="0" fillId="0" borderId="0" xfId="0" applyNumberFormat="1"/>
    <xf numFmtId="182" fontId="0" fillId="0" borderId="0" xfId="0" applyNumberFormat="1" applyBorder="1" applyAlignment="1">
      <alignment horizontal="center"/>
    </xf>
    <xf numFmtId="10" fontId="0" fillId="0" borderId="0" xfId="0" applyNumberFormat="1" applyBorder="1" applyAlignment="1">
      <alignment horizontal="center"/>
    </xf>
    <xf numFmtId="174" fontId="0" fillId="0" borderId="0" xfId="0" applyNumberFormat="1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0" fillId="0" borderId="11" xfId="0" applyNumberFormat="1" applyFill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29" fillId="0" borderId="0" xfId="0" applyFont="1" applyFill="1" applyBorder="1" applyAlignment="1">
      <alignment vertical="center" textRotation="90"/>
    </xf>
    <xf numFmtId="0" fontId="29" fillId="0" borderId="0" xfId="0" applyFont="1" applyBorder="1" applyAlignment="1">
      <alignment horizontal="right"/>
    </xf>
    <xf numFmtId="171" fontId="0" fillId="0" borderId="0" xfId="0" applyNumberFormat="1" applyFill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176" fontId="0" fillId="0" borderId="8" xfId="0" applyNumberFormat="1" applyBorder="1" applyAlignment="1">
      <alignment horizontal="center"/>
    </xf>
    <xf numFmtId="176" fontId="0" fillId="0" borderId="9" xfId="0" applyNumberFormat="1" applyBorder="1" applyAlignment="1">
      <alignment horizontal="center"/>
    </xf>
    <xf numFmtId="174" fontId="0" fillId="0" borderId="11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3" fontId="29" fillId="6" borderId="4" xfId="0" applyNumberFormat="1" applyFont="1" applyFill="1" applyBorder="1" applyAlignment="1">
      <alignment horizontal="center"/>
    </xf>
    <xf numFmtId="0" fontId="29" fillId="0" borderId="10" xfId="0" applyFont="1" applyFill="1" applyBorder="1"/>
    <xf numFmtId="10" fontId="35" fillId="2" borderId="0" xfId="2" applyNumberFormat="1" applyFont="1" applyFill="1" applyAlignment="1">
      <alignment horizontal="center" wrapText="1"/>
    </xf>
    <xf numFmtId="10" fontId="29" fillId="0" borderId="0" xfId="2" applyNumberFormat="1" applyFont="1" applyFill="1" applyAlignment="1">
      <alignment horizontal="center"/>
    </xf>
    <xf numFmtId="0" fontId="49" fillId="0" borderId="16" xfId="0" applyFont="1" applyFill="1" applyBorder="1" applyAlignment="1">
      <alignment horizontal="centerContinuous"/>
    </xf>
    <xf numFmtId="0" fontId="0" fillId="0" borderId="0" xfId="0" applyFill="1" applyBorder="1" applyAlignment="1"/>
    <xf numFmtId="0" fontId="49" fillId="0" borderId="16" xfId="0" applyFont="1" applyFill="1" applyBorder="1" applyAlignment="1">
      <alignment horizontal="center"/>
    </xf>
    <xf numFmtId="37" fontId="27" fillId="0" borderId="0" xfId="0" applyNumberFormat="1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37" fontId="0" fillId="0" borderId="0" xfId="0" applyNumberFormat="1" applyFill="1" applyAlignment="1">
      <alignment horizontal="center"/>
    </xf>
    <xf numFmtId="17" fontId="0" fillId="0" borderId="7" xfId="0" applyNumberFormat="1" applyFill="1" applyBorder="1"/>
    <xf numFmtId="0" fontId="29" fillId="0" borderId="8" xfId="0" applyFont="1" applyFill="1" applyBorder="1" applyAlignment="1">
      <alignment horizontal="center"/>
    </xf>
    <xf numFmtId="10" fontId="29" fillId="0" borderId="9" xfId="2" applyNumberFormat="1" applyFont="1" applyFill="1" applyBorder="1" applyAlignment="1">
      <alignment horizontal="center"/>
    </xf>
    <xf numFmtId="1" fontId="29" fillId="0" borderId="10" xfId="0" applyNumberFormat="1" applyFont="1" applyFill="1" applyBorder="1"/>
    <xf numFmtId="37" fontId="0" fillId="0" borderId="0" xfId="0" applyNumberFormat="1" applyFill="1" applyBorder="1" applyAlignment="1">
      <alignment horizontal="center"/>
    </xf>
    <xf numFmtId="10" fontId="0" fillId="0" borderId="11" xfId="2" applyNumberFormat="1" applyFont="1" applyFill="1" applyBorder="1" applyAlignment="1">
      <alignment horizontal="center"/>
    </xf>
    <xf numFmtId="182" fontId="0" fillId="0" borderId="0" xfId="0" applyNumberFormat="1" applyFill="1" applyAlignment="1">
      <alignment horizontal="center"/>
    </xf>
    <xf numFmtId="172" fontId="0" fillId="0" borderId="0" xfId="0" applyNumberFormat="1" applyFill="1" applyAlignment="1">
      <alignment horizontal="center"/>
    </xf>
    <xf numFmtId="0" fontId="50" fillId="0" borderId="0" xfId="0" applyFont="1" applyFill="1" applyBorder="1" applyAlignment="1">
      <alignment horizontal="center"/>
    </xf>
    <xf numFmtId="3" fontId="29" fillId="0" borderId="8" xfId="0" applyNumberFormat="1" applyFont="1" applyFill="1" applyBorder="1" applyAlignment="1">
      <alignment horizontal="center"/>
    </xf>
    <xf numFmtId="37" fontId="29" fillId="0" borderId="0" xfId="0" applyNumberFormat="1" applyFont="1" applyFill="1" applyBorder="1" applyAlignment="1">
      <alignment horizontal="center"/>
    </xf>
    <xf numFmtId="3" fontId="29" fillId="0" borderId="0" xfId="0" applyNumberFormat="1" applyFont="1" applyFill="1" applyBorder="1" applyAlignment="1">
      <alignment horizontal="center"/>
    </xf>
    <xf numFmtId="0" fontId="29" fillId="0" borderId="1" xfId="0" applyFont="1" applyFill="1" applyBorder="1"/>
    <xf numFmtId="3" fontId="0" fillId="0" borderId="2" xfId="0" applyNumberFormat="1" applyFill="1" applyBorder="1" applyAlignment="1">
      <alignment horizontal="center"/>
    </xf>
    <xf numFmtId="3" fontId="0" fillId="0" borderId="3" xfId="0" applyNumberFormat="1" applyFill="1" applyBorder="1" applyAlignment="1">
      <alignment horizontal="center"/>
    </xf>
    <xf numFmtId="10" fontId="27" fillId="0" borderId="0" xfId="2" applyNumberFormat="1" applyFont="1" applyFill="1" applyAlignment="1">
      <alignment horizontal="center"/>
    </xf>
    <xf numFmtId="0" fontId="0" fillId="0" borderId="8" xfId="0" applyBorder="1"/>
    <xf numFmtId="172" fontId="36" fillId="0" borderId="0" xfId="2" applyNumberFormat="1" applyFont="1" applyFill="1" applyBorder="1"/>
    <xf numFmtId="172" fontId="36" fillId="0" borderId="11" xfId="2" applyNumberFormat="1" applyFont="1" applyFill="1" applyBorder="1"/>
    <xf numFmtId="10" fontId="38" fillId="0" borderId="0" xfId="2" applyNumberFormat="1" applyFont="1" applyFill="1" applyBorder="1"/>
    <xf numFmtId="174" fontId="37" fillId="6" borderId="0" xfId="0" applyNumberFormat="1" applyFont="1" applyFill="1"/>
    <xf numFmtId="173" fontId="37" fillId="6" borderId="3" xfId="0" applyNumberFormat="1" applyFont="1" applyFill="1" applyBorder="1"/>
    <xf numFmtId="179" fontId="29" fillId="6" borderId="0" xfId="1" applyNumberFormat="1" applyFont="1" applyFill="1"/>
    <xf numFmtId="173" fontId="37" fillId="6" borderId="3" xfId="1" applyNumberFormat="1" applyFont="1" applyFill="1" applyBorder="1"/>
    <xf numFmtId="0" fontId="37" fillId="6" borderId="0" xfId="0" applyFont="1" applyFill="1"/>
    <xf numFmtId="180" fontId="37" fillId="6" borderId="0" xfId="0" applyNumberFormat="1" applyFont="1" applyFill="1"/>
    <xf numFmtId="170" fontId="0" fillId="7" borderId="10" xfId="0" applyNumberFormat="1" applyFill="1" applyBorder="1" applyProtection="1"/>
    <xf numFmtId="170" fontId="0" fillId="7" borderId="11" xfId="0" applyNumberFormat="1" applyFill="1" applyBorder="1" applyProtection="1"/>
    <xf numFmtId="0" fontId="51" fillId="0" borderId="0" xfId="0" applyFont="1"/>
    <xf numFmtId="0" fontId="0" fillId="0" borderId="0" xfId="0" applyAlignment="1">
      <alignment vertical="center"/>
    </xf>
    <xf numFmtId="0" fontId="0" fillId="2" borderId="0" xfId="0" applyFill="1" applyAlignment="1">
      <alignment vertical="center"/>
    </xf>
    <xf numFmtId="0" fontId="28" fillId="2" borderId="0" xfId="0" applyFont="1" applyFill="1" applyAlignment="1">
      <alignment horizontal="center" vertical="center" wrapText="1"/>
    </xf>
    <xf numFmtId="0" fontId="28" fillId="0" borderId="0" xfId="0" applyFont="1" applyFill="1" applyAlignment="1">
      <alignment horizontal="center" wrapText="1"/>
    </xf>
    <xf numFmtId="0" fontId="52" fillId="0" borderId="0" xfId="0" applyFont="1"/>
    <xf numFmtId="0" fontId="53" fillId="0" borderId="0" xfId="0" applyFont="1" applyBorder="1"/>
    <xf numFmtId="0" fontId="52" fillId="0" borderId="0" xfId="0" applyFont="1" applyFill="1"/>
    <xf numFmtId="3" fontId="29" fillId="0" borderId="8" xfId="0" applyNumberFormat="1" applyFont="1" applyBorder="1"/>
    <xf numFmtId="0" fontId="27" fillId="0" borderId="8" xfId="0" applyFont="1" applyFill="1" applyBorder="1"/>
    <xf numFmtId="10" fontId="27" fillId="0" borderId="0" xfId="2" applyNumberFormat="1" applyFont="1" applyFill="1" applyBorder="1" applyAlignment="1">
      <alignment horizontal="center"/>
    </xf>
    <xf numFmtId="10" fontId="0" fillId="0" borderId="0" xfId="2" applyNumberFormat="1" applyFont="1" applyBorder="1" applyAlignment="1">
      <alignment horizontal="center"/>
    </xf>
    <xf numFmtId="0" fontId="0" fillId="0" borderId="8" xfId="0" applyFill="1" applyBorder="1" applyAlignment="1">
      <alignment horizontal="center"/>
    </xf>
    <xf numFmtId="3" fontId="52" fillId="0" borderId="0" xfId="0" applyNumberFormat="1" applyFont="1" applyAlignment="1">
      <alignment horizontal="center"/>
    </xf>
    <xf numFmtId="3" fontId="27" fillId="0" borderId="0" xfId="0" applyNumberFormat="1" applyFont="1" applyFill="1"/>
    <xf numFmtId="169" fontId="29" fillId="0" borderId="0" xfId="2" applyNumberFormat="1" applyFont="1" applyFill="1" applyBorder="1" applyAlignment="1">
      <alignment horizontal="center"/>
    </xf>
    <xf numFmtId="3" fontId="29" fillId="0" borderId="0" xfId="0" applyNumberFormat="1" applyFont="1" applyBorder="1" applyAlignment="1">
      <alignment horizontal="center"/>
    </xf>
    <xf numFmtId="3" fontId="27" fillId="2" borderId="7" xfId="0" applyNumberFormat="1" applyFont="1" applyFill="1" applyBorder="1" applyAlignment="1">
      <alignment horizontal="right"/>
    </xf>
    <xf numFmtId="3" fontId="27" fillId="2" borderId="8" xfId="0" applyNumberFormat="1" applyFont="1" applyFill="1" applyBorder="1" applyAlignment="1">
      <alignment horizontal="right"/>
    </xf>
    <xf numFmtId="3" fontId="0" fillId="2" borderId="8" xfId="0" applyNumberFormat="1" applyFill="1" applyBorder="1" applyAlignment="1">
      <alignment horizontal="right"/>
    </xf>
    <xf numFmtId="3" fontId="0" fillId="2" borderId="9" xfId="0" applyNumberFormat="1" applyFill="1" applyBorder="1" applyAlignment="1">
      <alignment horizontal="right"/>
    </xf>
    <xf numFmtId="3" fontId="0" fillId="2" borderId="10" xfId="0" applyNumberFormat="1" applyFill="1" applyBorder="1" applyAlignment="1">
      <alignment horizontal="right"/>
    </xf>
    <xf numFmtId="3" fontId="0" fillId="2" borderId="0" xfId="0" applyNumberFormat="1" applyFill="1" applyBorder="1" applyAlignment="1">
      <alignment horizontal="right"/>
    </xf>
    <xf numFmtId="3" fontId="27" fillId="2" borderId="0" xfId="0" applyNumberFormat="1" applyFont="1" applyFill="1" applyBorder="1" applyAlignment="1">
      <alignment horizontal="right"/>
    </xf>
    <xf numFmtId="3" fontId="0" fillId="2" borderId="11" xfId="0" applyNumberFormat="1" applyFill="1" applyBorder="1" applyAlignment="1">
      <alignment horizontal="right"/>
    </xf>
    <xf numFmtId="3" fontId="27" fillId="2" borderId="10" xfId="0" applyNumberFormat="1" applyFont="1" applyFill="1" applyBorder="1" applyAlignment="1">
      <alignment horizontal="right"/>
    </xf>
    <xf numFmtId="173" fontId="0" fillId="2" borderId="10" xfId="1" applyNumberFormat="1" applyFont="1" applyFill="1" applyBorder="1" applyAlignment="1">
      <alignment horizontal="right"/>
    </xf>
    <xf numFmtId="3" fontId="27" fillId="0" borderId="10" xfId="0" applyNumberFormat="1" applyFont="1" applyFill="1" applyBorder="1" applyAlignment="1">
      <alignment horizontal="right"/>
    </xf>
    <xf numFmtId="3" fontId="27" fillId="0" borderId="0" xfId="0" applyNumberFormat="1" applyFont="1" applyFill="1" applyBorder="1" applyAlignment="1">
      <alignment horizontal="right"/>
    </xf>
    <xf numFmtId="173" fontId="0" fillId="0" borderId="11" xfId="1" applyNumberFormat="1" applyFont="1" applyFill="1" applyBorder="1" applyAlignment="1">
      <alignment horizontal="right"/>
    </xf>
    <xf numFmtId="3" fontId="0" fillId="0" borderId="10" xfId="0" applyNumberForma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10" fontId="0" fillId="0" borderId="10" xfId="2" applyNumberFormat="1" applyFont="1" applyBorder="1" applyAlignment="1">
      <alignment horizontal="right"/>
    </xf>
    <xf numFmtId="10" fontId="0" fillId="0" borderId="0" xfId="2" applyNumberFormat="1" applyFont="1" applyBorder="1" applyAlignment="1">
      <alignment horizontal="right"/>
    </xf>
    <xf numFmtId="3" fontId="0" fillId="0" borderId="0" xfId="0" applyNumberFormat="1" applyBorder="1" applyAlignment="1">
      <alignment horizontal="right"/>
    </xf>
    <xf numFmtId="10" fontId="0" fillId="0" borderId="11" xfId="2" applyNumberFormat="1" applyFont="1" applyBorder="1" applyAlignment="1">
      <alignment horizontal="right"/>
    </xf>
    <xf numFmtId="10" fontId="29" fillId="0" borderId="1" xfId="2" applyNumberFormat="1" applyFont="1" applyBorder="1" applyAlignment="1">
      <alignment horizontal="right"/>
    </xf>
    <xf numFmtId="0" fontId="0" fillId="0" borderId="7" xfId="0" applyBorder="1" applyAlignment="1">
      <alignment horizontal="right"/>
    </xf>
    <xf numFmtId="0" fontId="36" fillId="0" borderId="0" xfId="0" applyFont="1" applyFill="1"/>
    <xf numFmtId="174" fontId="36" fillId="0" borderId="0" xfId="0" applyNumberFormat="1" applyFont="1" applyFill="1"/>
    <xf numFmtId="174" fontId="36" fillId="0" borderId="0" xfId="0" applyNumberFormat="1" applyFont="1" applyFill="1" applyBorder="1"/>
    <xf numFmtId="0" fontId="31" fillId="2" borderId="1" xfId="0" applyFont="1" applyFill="1" applyBorder="1"/>
    <xf numFmtId="0" fontId="35" fillId="2" borderId="2" xfId="0" applyFont="1" applyFill="1" applyBorder="1" applyAlignment="1">
      <alignment horizontal="center" wrapText="1"/>
    </xf>
    <xf numFmtId="0" fontId="35" fillId="2" borderId="3" xfId="0" applyFont="1" applyFill="1" applyBorder="1" applyAlignment="1">
      <alignment horizontal="center" wrapText="1"/>
    </xf>
    <xf numFmtId="0" fontId="31" fillId="2" borderId="9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31" fillId="2" borderId="9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173" fontId="37" fillId="0" borderId="0" xfId="1" applyNumberFormat="1" applyFont="1" applyFill="1" applyBorder="1" applyAlignment="1"/>
    <xf numFmtId="0" fontId="0" fillId="0" borderId="0" xfId="0" applyAlignment="1">
      <alignment horizontal="center"/>
    </xf>
    <xf numFmtId="167" fontId="0" fillId="0" borderId="0" xfId="1" applyFont="1" applyFill="1" applyAlignment="1">
      <alignment horizontal="center"/>
    </xf>
    <xf numFmtId="0" fontId="37" fillId="4" borderId="0" xfId="0" applyFont="1" applyFill="1" applyBorder="1"/>
    <xf numFmtId="185" fontId="0" fillId="0" borderId="0" xfId="0" applyNumberFormat="1" applyFill="1" applyAlignment="1">
      <alignment horizontal="center"/>
    </xf>
    <xf numFmtId="175" fontId="0" fillId="0" borderId="0" xfId="1" applyNumberFormat="1" applyFont="1" applyBorder="1"/>
    <xf numFmtId="0" fontId="0" fillId="0" borderId="0" xfId="0" applyAlignment="1">
      <alignment horizontal="center"/>
    </xf>
    <xf numFmtId="0" fontId="0" fillId="0" borderId="0" xfId="0" applyFill="1" applyBorder="1"/>
    <xf numFmtId="37" fontId="0" fillId="0" borderId="0" xfId="0" applyNumberFormat="1" applyFill="1" applyBorder="1"/>
    <xf numFmtId="167" fontId="55" fillId="0" borderId="0" xfId="1" applyFont="1" applyBorder="1" applyAlignment="1">
      <alignment horizontal="right" wrapText="1"/>
    </xf>
    <xf numFmtId="0" fontId="37" fillId="4" borderId="11" xfId="0" applyFont="1" applyFill="1" applyBorder="1"/>
    <xf numFmtId="9" fontId="0" fillId="0" borderId="0" xfId="2" applyFont="1" applyFill="1" applyBorder="1" applyAlignment="1">
      <alignment horizontal="center"/>
    </xf>
    <xf numFmtId="0" fontId="29" fillId="3" borderId="0" xfId="0" applyFont="1" applyFill="1" applyBorder="1" applyAlignment="1">
      <alignment vertical="center" textRotation="90"/>
    </xf>
    <xf numFmtId="0" fontId="29" fillId="3" borderId="10" xfId="0" applyFont="1" applyFill="1" applyBorder="1" applyAlignment="1">
      <alignment vertical="center" textRotation="90"/>
    </xf>
    <xf numFmtId="0" fontId="29" fillId="0" borderId="0" xfId="0" applyFont="1" applyBorder="1" applyAlignment="1">
      <alignment horizontal="center"/>
    </xf>
    <xf numFmtId="0" fontId="0" fillId="0" borderId="0" xfId="0" applyBorder="1" applyAlignment="1">
      <alignment horizontal="right"/>
    </xf>
    <xf numFmtId="0" fontId="29" fillId="0" borderId="0" xfId="0" applyFont="1" applyBorder="1" applyAlignment="1"/>
    <xf numFmtId="3" fontId="27" fillId="0" borderId="7" xfId="0" applyNumberFormat="1" applyFont="1" applyFill="1" applyBorder="1" applyAlignment="1">
      <alignment horizontal="right"/>
    </xf>
    <xf numFmtId="3" fontId="27" fillId="0" borderId="8" xfId="0" applyNumberFormat="1" applyFont="1" applyFill="1" applyBorder="1" applyAlignment="1">
      <alignment horizontal="right"/>
    </xf>
    <xf numFmtId="173" fontId="0" fillId="0" borderId="9" xfId="1" applyNumberFormat="1" applyFont="1" applyFill="1" applyBorder="1" applyAlignment="1">
      <alignment horizontal="right"/>
    </xf>
    <xf numFmtId="0" fontId="29" fillId="0" borderId="14" xfId="0" applyFont="1" applyBorder="1" applyAlignment="1">
      <alignment horizontal="right"/>
    </xf>
    <xf numFmtId="3" fontId="0" fillId="0" borderId="11" xfId="0" applyNumberFormat="1" applyFont="1" applyFill="1" applyBorder="1" applyAlignment="1">
      <alignment horizontal="center"/>
    </xf>
    <xf numFmtId="3" fontId="0" fillId="0" borderId="9" xfId="0" applyNumberFormat="1" applyFont="1" applyFill="1" applyBorder="1" applyAlignment="1">
      <alignment horizontal="center"/>
    </xf>
    <xf numFmtId="0" fontId="36" fillId="0" borderId="0" xfId="0" applyFont="1" applyBorder="1"/>
    <xf numFmtId="0" fontId="31" fillId="2" borderId="9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173" fontId="36" fillId="8" borderId="0" xfId="1" applyNumberFormat="1" applyFont="1" applyFill="1" applyBorder="1"/>
    <xf numFmtId="173" fontId="27" fillId="8" borderId="10" xfId="1" applyNumberFormat="1" applyFont="1" applyFill="1" applyBorder="1"/>
    <xf numFmtId="3" fontId="0" fillId="0" borderId="0" xfId="0" applyNumberFormat="1" applyFont="1" applyFill="1" applyBorder="1" applyAlignment="1">
      <alignment horizontal="center"/>
    </xf>
    <xf numFmtId="0" fontId="0" fillId="0" borderId="38" xfId="0" applyFill="1" applyBorder="1" applyAlignment="1"/>
    <xf numFmtId="17" fontId="29" fillId="0" borderId="7" xfId="0" applyNumberFormat="1" applyFont="1" applyFill="1" applyBorder="1"/>
    <xf numFmtId="37" fontId="29" fillId="0" borderId="8" xfId="0" applyNumberFormat="1" applyFont="1" applyFill="1" applyBorder="1" applyAlignment="1">
      <alignment horizontal="right"/>
    </xf>
    <xf numFmtId="0" fontId="0" fillId="2" borderId="8" xfId="0" applyFill="1" applyBorder="1"/>
    <xf numFmtId="0" fontId="0" fillId="0" borderId="9" xfId="0" applyBorder="1"/>
    <xf numFmtId="37" fontId="0" fillId="0" borderId="38" xfId="0" applyNumberFormat="1" applyFill="1" applyBorder="1"/>
    <xf numFmtId="37" fontId="0" fillId="0" borderId="38" xfId="0" applyNumberFormat="1" applyBorder="1"/>
    <xf numFmtId="0" fontId="0" fillId="0" borderId="38" xfId="0" applyBorder="1"/>
    <xf numFmtId="3" fontId="0" fillId="0" borderId="38" xfId="0" applyNumberFormat="1" applyBorder="1"/>
    <xf numFmtId="3" fontId="27" fillId="2" borderId="10" xfId="0" applyNumberFormat="1" applyFont="1" applyFill="1" applyBorder="1"/>
    <xf numFmtId="3" fontId="27" fillId="0" borderId="38" xfId="0" applyNumberFormat="1" applyFont="1" applyBorder="1"/>
    <xf numFmtId="175" fontId="0" fillId="0" borderId="0" xfId="1" applyNumberFormat="1" applyFont="1"/>
    <xf numFmtId="0" fontId="31" fillId="2" borderId="9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29" fillId="3" borderId="10" xfId="0" applyFont="1" applyFill="1" applyBorder="1" applyAlignment="1">
      <alignment vertical="center" textRotation="90"/>
    </xf>
    <xf numFmtId="173" fontId="36" fillId="0" borderId="10" xfId="1" applyNumberFormat="1" applyFont="1" applyFill="1" applyBorder="1"/>
    <xf numFmtId="175" fontId="44" fillId="0" borderId="0" xfId="772" applyNumberFormat="1" applyFont="1" applyFill="1" applyBorder="1"/>
    <xf numFmtId="175" fontId="44" fillId="0" borderId="0" xfId="784" applyNumberFormat="1" applyFont="1"/>
    <xf numFmtId="175" fontId="44" fillId="0" borderId="0" xfId="784" applyNumberFormat="1" applyFont="1"/>
    <xf numFmtId="175" fontId="44" fillId="0" borderId="0" xfId="784" applyNumberFormat="1" applyFont="1"/>
    <xf numFmtId="0" fontId="0" fillId="0" borderId="0" xfId="0" applyAlignment="1">
      <alignment horizontal="center" vertical="center"/>
    </xf>
    <xf numFmtId="173" fontId="27" fillId="0" borderId="11" xfId="0" applyNumberFormat="1" applyFont="1" applyFill="1" applyBorder="1"/>
    <xf numFmtId="167" fontId="0" fillId="0" borderId="0" xfId="0" applyNumberFormat="1"/>
    <xf numFmtId="173" fontId="0" fillId="0" borderId="0" xfId="1" applyNumberFormat="1" applyFont="1" applyFill="1" applyBorder="1"/>
    <xf numFmtId="3" fontId="0" fillId="0" borderId="0" xfId="0" applyNumberFormat="1" applyFont="1"/>
    <xf numFmtId="168" fontId="0" fillId="0" borderId="10" xfId="0" applyNumberFormat="1" applyBorder="1" applyAlignment="1">
      <alignment horizontal="center" vertical="center"/>
    </xf>
    <xf numFmtId="3" fontId="29" fillId="6" borderId="40" xfId="0" applyNumberFormat="1" applyFont="1" applyFill="1" applyBorder="1" applyAlignment="1">
      <alignment horizontal="center"/>
    </xf>
    <xf numFmtId="3" fontId="29" fillId="6" borderId="38" xfId="0" applyNumberFormat="1" applyFont="1" applyFill="1" applyBorder="1" applyAlignment="1">
      <alignment horizontal="center"/>
    </xf>
    <xf numFmtId="3" fontId="29" fillId="6" borderId="0" xfId="0" applyNumberFormat="1" applyFont="1" applyFill="1" applyBorder="1" applyAlignment="1">
      <alignment horizontal="center"/>
    </xf>
    <xf numFmtId="3" fontId="0" fillId="0" borderId="38" xfId="0" applyNumberFormat="1" applyFill="1" applyBorder="1" applyAlignment="1">
      <alignment horizontal="right"/>
    </xf>
    <xf numFmtId="169" fontId="0" fillId="0" borderId="0" xfId="2" applyNumberFormat="1" applyFont="1" applyFill="1" applyBorder="1"/>
    <xf numFmtId="204" fontId="0" fillId="0" borderId="0" xfId="2" applyNumberFormat="1" applyFont="1"/>
    <xf numFmtId="205" fontId="0" fillId="0" borderId="0" xfId="2" applyNumberFormat="1" applyFont="1" applyFill="1" applyBorder="1"/>
    <xf numFmtId="172" fontId="0" fillId="0" borderId="0" xfId="2" applyNumberFormat="1" applyFont="1" applyBorder="1" applyAlignment="1">
      <alignment horizontal="right"/>
    </xf>
    <xf numFmtId="167" fontId="0" fillId="0" borderId="0" xfId="1" applyFont="1"/>
    <xf numFmtId="10" fontId="0" fillId="0" borderId="0" xfId="0" applyNumberFormat="1"/>
    <xf numFmtId="0" fontId="31" fillId="2" borderId="9" xfId="0" applyFont="1" applyFill="1" applyBorder="1" applyAlignment="1">
      <alignment horizontal="center"/>
    </xf>
    <xf numFmtId="0" fontId="31" fillId="2" borderId="0" xfId="0" applyFont="1" applyFill="1" applyBorder="1" applyAlignment="1">
      <alignment horizontal="center"/>
    </xf>
    <xf numFmtId="0" fontId="0" fillId="8" borderId="0" xfId="0" applyFill="1"/>
    <xf numFmtId="175" fontId="27" fillId="0" borderId="0" xfId="1" applyNumberFormat="1" applyFont="1" applyBorder="1"/>
    <xf numFmtId="185" fontId="0" fillId="8" borderId="0" xfId="0" applyNumberFormat="1" applyFill="1" applyAlignment="1">
      <alignment horizontal="center"/>
    </xf>
    <xf numFmtId="175" fontId="0" fillId="8" borderId="0" xfId="1" applyNumberFormat="1" applyFont="1" applyFill="1"/>
    <xf numFmtId="0" fontId="0" fillId="0" borderId="40" xfId="0" applyBorder="1"/>
    <xf numFmtId="3" fontId="27" fillId="2" borderId="7" xfId="0" applyNumberFormat="1" applyFont="1" applyFill="1" applyBorder="1"/>
    <xf numFmtId="3" fontId="27" fillId="0" borderId="40" xfId="0" applyNumberFormat="1" applyFont="1" applyBorder="1"/>
    <xf numFmtId="170" fontId="0" fillId="7" borderId="0" xfId="0" applyNumberFormat="1" applyFill="1" applyBorder="1" applyProtection="1"/>
    <xf numFmtId="3" fontId="0" fillId="0" borderId="38" xfId="0" applyNumberFormat="1" applyFill="1" applyBorder="1" applyAlignment="1">
      <alignment horizontal="center"/>
    </xf>
    <xf numFmtId="3" fontId="29" fillId="0" borderId="38" xfId="0" applyNumberFormat="1" applyFont="1" applyFill="1" applyBorder="1" applyAlignment="1">
      <alignment horizontal="center"/>
    </xf>
    <xf numFmtId="37" fontId="0" fillId="0" borderId="38" xfId="0" applyNumberFormat="1" applyFill="1" applyBorder="1" applyAlignment="1">
      <alignment horizontal="center"/>
    </xf>
    <xf numFmtId="9" fontId="0" fillId="0" borderId="40" xfId="2" applyFont="1" applyFill="1" applyBorder="1" applyAlignment="1">
      <alignment horizontal="center"/>
    </xf>
    <xf numFmtId="3" fontId="0" fillId="0" borderId="0" xfId="0" applyNumberFormat="1" applyFill="1"/>
    <xf numFmtId="172" fontId="0" fillId="0" borderId="0" xfId="0" applyNumberFormat="1" applyBorder="1" applyAlignment="1">
      <alignment horizontal="right"/>
    </xf>
    <xf numFmtId="172" fontId="27" fillId="0" borderId="0" xfId="0" applyNumberFormat="1" applyFont="1" applyBorder="1" applyAlignment="1">
      <alignment horizontal="right"/>
    </xf>
    <xf numFmtId="0" fontId="0" fillId="66" borderId="0" xfId="0" applyFill="1" applyAlignment="1">
      <alignment horizontal="left" vertical="top" wrapText="1"/>
    </xf>
    <xf numFmtId="3" fontId="29" fillId="6" borderId="10" xfId="0" applyNumberFormat="1" applyFont="1" applyFill="1" applyBorder="1" applyAlignment="1">
      <alignment horizontal="center"/>
    </xf>
    <xf numFmtId="3" fontId="29" fillId="6" borderId="11" xfId="0" applyNumberFormat="1" applyFont="1" applyFill="1" applyBorder="1" applyAlignment="1">
      <alignment horizontal="center"/>
    </xf>
    <xf numFmtId="175" fontId="0" fillId="0" borderId="7" xfId="1" applyNumberFormat="1" applyFont="1" applyBorder="1"/>
    <xf numFmtId="175" fontId="0" fillId="0" borderId="8" xfId="1" applyNumberFormat="1" applyFont="1" applyBorder="1"/>
    <xf numFmtId="175" fontId="27" fillId="0" borderId="9" xfId="1" applyNumberFormat="1" applyFont="1" applyFill="1" applyBorder="1"/>
    <xf numFmtId="175" fontId="0" fillId="0" borderId="10" xfId="1" applyNumberFormat="1" applyFont="1" applyBorder="1"/>
    <xf numFmtId="175" fontId="27" fillId="0" borderId="11" xfId="1" applyNumberFormat="1" applyFont="1" applyFill="1" applyBorder="1"/>
    <xf numFmtId="175" fontId="0" fillId="0" borderId="4" xfId="1" applyNumberFormat="1" applyFont="1" applyBorder="1"/>
    <xf numFmtId="175" fontId="0" fillId="0" borderId="38" xfId="1" applyNumberFormat="1" applyFont="1" applyBorder="1"/>
    <xf numFmtId="175" fontId="27" fillId="0" borderId="40" xfId="1" applyNumberFormat="1" applyFont="1" applyFill="1" applyBorder="1"/>
    <xf numFmtId="3" fontId="0" fillId="0" borderId="0" xfId="0" applyNumberFormat="1" applyFont="1" applyFill="1"/>
    <xf numFmtId="175" fontId="18" fillId="0" borderId="0" xfId="3189" applyNumberFormat="1" applyFill="1" applyBorder="1"/>
    <xf numFmtId="3" fontId="0" fillId="0" borderId="0" xfId="0" applyNumberFormat="1" applyFill="1" applyBorder="1"/>
    <xf numFmtId="175" fontId="18" fillId="0" borderId="0" xfId="3771" applyNumberFormat="1" applyFill="1" applyBorder="1"/>
    <xf numFmtId="3" fontId="27" fillId="0" borderId="0" xfId="0" applyNumberFormat="1" applyFont="1"/>
    <xf numFmtId="173" fontId="27" fillId="0" borderId="0" xfId="1" applyNumberFormat="1" applyFont="1" applyFill="1" applyBorder="1"/>
    <xf numFmtId="173" fontId="27" fillId="0" borderId="10" xfId="1" applyNumberFormat="1" applyFont="1" applyFill="1" applyBorder="1"/>
    <xf numFmtId="173" fontId="36" fillId="0" borderId="0" xfId="1" applyNumberFormat="1" applyFont="1" applyFill="1" applyBorder="1"/>
    <xf numFmtId="3" fontId="0" fillId="0" borderId="0" xfId="0" applyNumberFormat="1"/>
    <xf numFmtId="3" fontId="27" fillId="0" borderId="0" xfId="0" applyNumberFormat="1" applyFont="1" applyFill="1"/>
    <xf numFmtId="0" fontId="0" fillId="0" borderId="0" xfId="0" applyFill="1" applyBorder="1"/>
    <xf numFmtId="173" fontId="36" fillId="0" borderId="10" xfId="1" applyNumberFormat="1" applyFont="1" applyFill="1" applyBorder="1"/>
    <xf numFmtId="173" fontId="27" fillId="0" borderId="11" xfId="0" applyNumberFormat="1" applyFont="1" applyFill="1" applyBorder="1"/>
    <xf numFmtId="10" fontId="0" fillId="0" borderId="0" xfId="2" applyNumberFormat="1" applyFont="1" applyFill="1" applyBorder="1" applyAlignment="1"/>
    <xf numFmtId="10" fontId="0" fillId="0" borderId="0" xfId="2" applyNumberFormat="1" applyFont="1" applyAlignment="1">
      <alignment horizontal="center"/>
    </xf>
    <xf numFmtId="176" fontId="29" fillId="0" borderId="0" xfId="0" applyNumberFormat="1" applyFont="1" applyBorder="1"/>
    <xf numFmtId="9" fontId="0" fillId="0" borderId="0" xfId="2" applyFont="1"/>
    <xf numFmtId="178" fontId="37" fillId="0" borderId="8" xfId="0" applyNumberFormat="1" applyFont="1" applyBorder="1"/>
    <xf numFmtId="0" fontId="15" fillId="0" borderId="0" xfId="5616"/>
    <xf numFmtId="17" fontId="15" fillId="0" borderId="0" xfId="5616" applyNumberFormat="1" applyAlignment="1">
      <alignment horizontal="right"/>
    </xf>
    <xf numFmtId="10" fontId="29" fillId="0" borderId="0" xfId="1" applyNumberFormat="1" applyFont="1" applyAlignment="1">
      <alignment horizontal="right"/>
    </xf>
    <xf numFmtId="0" fontId="49" fillId="0" borderId="0" xfId="0" applyFont="1" applyFill="1" applyBorder="1" applyAlignment="1">
      <alignment horizontal="center"/>
    </xf>
    <xf numFmtId="175" fontId="27" fillId="0" borderId="0" xfId="2" applyNumberFormat="1" applyFont="1" applyFill="1" applyAlignment="1">
      <alignment horizontal="center"/>
    </xf>
    <xf numFmtId="175" fontId="0" fillId="0" borderId="0" xfId="1" applyNumberFormat="1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3" fontId="29" fillId="0" borderId="14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186" fontId="0" fillId="0" borderId="0" xfId="1" applyNumberFormat="1" applyFont="1" applyFill="1" applyAlignment="1">
      <alignment horizontal="center"/>
    </xf>
    <xf numFmtId="0" fontId="50" fillId="5" borderId="3" xfId="0" applyFont="1" applyFill="1" applyBorder="1" applyAlignment="1">
      <alignment horizontal="center"/>
    </xf>
    <xf numFmtId="0" fontId="29" fillId="3" borderId="10" xfId="0" applyFont="1" applyFill="1" applyBorder="1" applyAlignment="1">
      <alignment vertical="center" textRotation="90"/>
    </xf>
    <xf numFmtId="167" fontId="0" fillId="0" borderId="0" xfId="1" applyFont="1" applyAlignment="1">
      <alignment horizontal="right"/>
    </xf>
    <xf numFmtId="173" fontId="0" fillId="0" borderId="40" xfId="1" applyNumberFormat="1" applyFont="1" applyFill="1" applyBorder="1" applyAlignment="1">
      <alignment horizontal="right"/>
    </xf>
    <xf numFmtId="10" fontId="0" fillId="0" borderId="7" xfId="2" applyNumberFormat="1" applyFont="1" applyBorder="1" applyAlignment="1">
      <alignment horizontal="right"/>
    </xf>
    <xf numFmtId="10" fontId="0" fillId="0" borderId="8" xfId="2" applyNumberFormat="1" applyFont="1" applyBorder="1" applyAlignment="1">
      <alignment horizontal="right"/>
    </xf>
    <xf numFmtId="3" fontId="0" fillId="0" borderId="8" xfId="0" applyNumberFormat="1" applyBorder="1" applyAlignment="1">
      <alignment horizontal="right"/>
    </xf>
    <xf numFmtId="3" fontId="0" fillId="0" borderId="9" xfId="0" applyNumberFormat="1" applyBorder="1" applyAlignment="1">
      <alignment horizontal="right"/>
    </xf>
    <xf numFmtId="0" fontId="0" fillId="0" borderId="38" xfId="0" applyBorder="1" applyAlignment="1">
      <alignment horizontal="center"/>
    </xf>
    <xf numFmtId="3" fontId="0" fillId="0" borderId="38" xfId="0" applyNumberFormat="1" applyBorder="1" applyAlignment="1">
      <alignment horizontal="center"/>
    </xf>
    <xf numFmtId="3" fontId="0" fillId="0" borderId="40" xfId="0" applyNumberFormat="1" applyFill="1" applyBorder="1" applyAlignment="1">
      <alignment horizontal="center"/>
    </xf>
    <xf numFmtId="176" fontId="0" fillId="0" borderId="38" xfId="0" applyNumberFormat="1" applyBorder="1" applyAlignment="1">
      <alignment horizontal="center"/>
    </xf>
    <xf numFmtId="176" fontId="0" fillId="0" borderId="40" xfId="0" applyNumberForma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ill="1" applyBorder="1" applyAlignment="1">
      <alignment horizontal="center"/>
    </xf>
    <xf numFmtId="0" fontId="0" fillId="0" borderId="38" xfId="0" applyFill="1" applyBorder="1" applyAlignment="1">
      <alignment horizontal="center"/>
    </xf>
    <xf numFmtId="0" fontId="29" fillId="0" borderId="4" xfId="0" applyFont="1" applyFill="1" applyBorder="1" applyAlignment="1">
      <alignment vertical="center" textRotation="90"/>
    </xf>
    <xf numFmtId="0" fontId="0" fillId="0" borderId="0" xfId="0" applyBorder="1" applyAlignment="1">
      <alignment horizontal="center"/>
    </xf>
    <xf numFmtId="3" fontId="29" fillId="0" borderId="9" xfId="0" applyNumberFormat="1" applyFont="1" applyBorder="1"/>
    <xf numFmtId="3" fontId="29" fillId="0" borderId="40" xfId="0" applyNumberFormat="1" applyFont="1" applyBorder="1"/>
    <xf numFmtId="3" fontId="0" fillId="0" borderId="40" xfId="0" applyNumberFormat="1" applyBorder="1" applyAlignment="1">
      <alignment horizontal="center"/>
    </xf>
    <xf numFmtId="0" fontId="29" fillId="0" borderId="10" xfId="0" applyFont="1" applyBorder="1" applyAlignment="1">
      <alignment vertical="center" textRotation="90"/>
    </xf>
    <xf numFmtId="176" fontId="0" fillId="0" borderId="0" xfId="0" applyNumberFormat="1" applyBorder="1" applyAlignment="1">
      <alignment horizontal="center"/>
    </xf>
    <xf numFmtId="175" fontId="0" fillId="0" borderId="0" xfId="0" applyNumberFormat="1"/>
    <xf numFmtId="175" fontId="99" fillId="0" borderId="0" xfId="8935" applyNumberFormat="1" applyFont="1"/>
    <xf numFmtId="175" fontId="29" fillId="0" borderId="0" xfId="0" applyNumberFormat="1" applyFont="1" applyBorder="1"/>
    <xf numFmtId="175" fontId="13" fillId="0" borderId="0" xfId="9127" applyNumberFormat="1" applyBorder="1"/>
    <xf numFmtId="0" fontId="13" fillId="0" borderId="0" xfId="8898"/>
    <xf numFmtId="175" fontId="101" fillId="67" borderId="0" xfId="8935" applyNumberFormat="1" applyFont="1" applyFill="1" applyBorder="1"/>
    <xf numFmtId="0" fontId="50" fillId="5" borderId="4" xfId="4584" applyFont="1" applyFill="1" applyBorder="1"/>
    <xf numFmtId="0" fontId="50" fillId="5" borderId="38" xfId="4584" applyFont="1" applyFill="1" applyBorder="1"/>
    <xf numFmtId="0" fontId="50" fillId="5" borderId="40" xfId="4584" applyFont="1" applyFill="1" applyBorder="1"/>
    <xf numFmtId="17" fontId="0" fillId="0" borderId="0" xfId="0" applyNumberFormat="1" applyAlignment="1">
      <alignment horizontal="right"/>
    </xf>
    <xf numFmtId="2" fontId="27" fillId="0" borderId="0" xfId="4627" applyNumberFormat="1" applyFont="1" applyBorder="1"/>
    <xf numFmtId="2" fontId="27" fillId="0" borderId="0" xfId="4604" applyNumberFormat="1" applyFont="1" applyBorder="1"/>
    <xf numFmtId="2" fontId="27" fillId="0" borderId="0" xfId="4574" applyNumberFormat="1" applyFont="1" applyBorder="1"/>
    <xf numFmtId="2" fontId="27" fillId="0" borderId="0" xfId="4626" applyNumberFormat="1" applyFont="1" applyBorder="1"/>
    <xf numFmtId="2" fontId="27" fillId="0" borderId="0" xfId="4602" applyNumberFormat="1" applyFont="1" applyBorder="1"/>
    <xf numFmtId="2" fontId="27" fillId="0" borderId="0" xfId="4631" applyNumberFormat="1" applyFont="1" applyBorder="1"/>
    <xf numFmtId="2" fontId="27" fillId="0" borderId="0" xfId="4573" applyNumberFormat="1" applyFont="1" applyBorder="1"/>
    <xf numFmtId="2" fontId="27" fillId="0" borderId="0" xfId="4581" applyNumberFormat="1" applyFont="1" applyBorder="1"/>
    <xf numFmtId="2" fontId="27" fillId="0" borderId="0" xfId="4560" applyNumberFormat="1" applyFont="1" applyBorder="1"/>
    <xf numFmtId="2" fontId="27" fillId="0" borderId="0" xfId="4580" applyNumberFormat="1" applyFont="1" applyBorder="1"/>
    <xf numFmtId="2" fontId="27" fillId="0" borderId="0" xfId="4622" applyNumberFormat="1" applyFont="1" applyBorder="1"/>
    <xf numFmtId="2" fontId="27" fillId="0" borderId="0" xfId="4632" applyNumberFormat="1" applyFont="1" applyBorder="1"/>
    <xf numFmtId="2" fontId="27" fillId="0" borderId="0" xfId="4611" applyNumberFormat="1" applyFont="1" applyBorder="1"/>
    <xf numFmtId="2" fontId="27" fillId="0" borderId="0" xfId="4603" applyNumberFormat="1" applyFont="1" applyBorder="1"/>
    <xf numFmtId="2" fontId="27" fillId="0" borderId="0" xfId="4577" applyNumberFormat="1" applyFont="1" applyBorder="1"/>
    <xf numFmtId="2" fontId="27" fillId="0" borderId="0" xfId="4591" applyNumberFormat="1" applyFont="1" applyBorder="1"/>
    <xf numFmtId="2" fontId="27" fillId="0" borderId="0" xfId="4568" applyNumberFormat="1" applyFont="1" applyBorder="1"/>
    <xf numFmtId="2" fontId="27" fillId="0" borderId="0" xfId="4609" applyNumberFormat="1" applyFont="1" applyBorder="1"/>
    <xf numFmtId="2" fontId="27" fillId="0" borderId="0" xfId="4608" applyNumberFormat="1" applyFont="1" applyFill="1" applyBorder="1"/>
    <xf numFmtId="17" fontId="0" fillId="0" borderId="0" xfId="0" applyNumberFormat="1" applyFont="1" applyFill="1"/>
    <xf numFmtId="167" fontId="0" fillId="0" borderId="0" xfId="2" applyNumberFormat="1" applyFont="1" applyFill="1" applyAlignment="1">
      <alignment horizontal="center"/>
    </xf>
    <xf numFmtId="10" fontId="0" fillId="0" borderId="15" xfId="2" applyNumberFormat="1" applyFont="1" applyBorder="1"/>
    <xf numFmtId="10" fontId="0" fillId="0" borderId="13" xfId="2" applyNumberFormat="1" applyFont="1" applyBorder="1"/>
    <xf numFmtId="10" fontId="0" fillId="0" borderId="14" xfId="2" applyNumberFormat="1" applyFont="1" applyBorder="1"/>
    <xf numFmtId="175" fontId="27" fillId="0" borderId="15" xfId="1" applyNumberFormat="1" applyFont="1" applyFill="1" applyBorder="1"/>
    <xf numFmtId="175" fontId="27" fillId="0" borderId="13" xfId="1" applyNumberFormat="1" applyFont="1" applyFill="1" applyBorder="1"/>
    <xf numFmtId="175" fontId="27" fillId="0" borderId="14" xfId="1" applyNumberFormat="1" applyFont="1" applyFill="1" applyBorder="1"/>
    <xf numFmtId="49" fontId="50" fillId="0" borderId="0" xfId="0" applyNumberFormat="1" applyFont="1" applyFill="1" applyBorder="1" applyAlignment="1">
      <alignment horizontal="center"/>
    </xf>
    <xf numFmtId="10" fontId="0" fillId="0" borderId="0" xfId="2" applyNumberFormat="1" applyFont="1" applyFill="1" applyBorder="1"/>
    <xf numFmtId="168" fontId="0" fillId="0" borderId="0" xfId="2" applyNumberFormat="1" applyFont="1" applyFill="1" applyBorder="1"/>
    <xf numFmtId="10" fontId="0" fillId="0" borderId="0" xfId="2" applyNumberFormat="1" applyFont="1" applyFill="1"/>
    <xf numFmtId="10" fontId="0" fillId="0" borderId="0" xfId="0" applyNumberFormat="1" applyFill="1"/>
    <xf numFmtId="0" fontId="13" fillId="0" borderId="0" xfId="8898" applyFill="1"/>
    <xf numFmtId="17" fontId="13" fillId="0" borderId="0" xfId="8898" applyNumberFormat="1" applyFill="1" applyAlignment="1">
      <alignment horizontal="right"/>
    </xf>
    <xf numFmtId="175" fontId="101" fillId="0" borderId="0" xfId="8935" applyNumberFormat="1" applyFont="1" applyFill="1" applyBorder="1"/>
    <xf numFmtId="175" fontId="13" fillId="0" borderId="0" xfId="8935" applyNumberFormat="1" applyFont="1" applyFill="1"/>
    <xf numFmtId="167" fontId="36" fillId="0" borderId="0" xfId="1" applyFont="1" applyBorder="1"/>
    <xf numFmtId="167" fontId="37" fillId="0" borderId="0" xfId="1" applyFont="1" applyBorder="1"/>
    <xf numFmtId="167" fontId="36" fillId="0" borderId="0" xfId="0" applyNumberFormat="1" applyFont="1" applyBorder="1"/>
    <xf numFmtId="169" fontId="0" fillId="0" borderId="0" xfId="0" applyNumberFormat="1"/>
    <xf numFmtId="37" fontId="0" fillId="0" borderId="0" xfId="0" applyNumberFormat="1"/>
    <xf numFmtId="206" fontId="0" fillId="0" borderId="0" xfId="0" applyNumberFormat="1"/>
    <xf numFmtId="0" fontId="0" fillId="0" borderId="0" xfId="0" applyAlignment="1">
      <alignment horizontal="center"/>
    </xf>
    <xf numFmtId="10" fontId="0" fillId="0" borderId="11" xfId="2" applyNumberFormat="1" applyFont="1" applyFill="1" applyBorder="1"/>
    <xf numFmtId="167" fontId="0" fillId="0" borderId="0" xfId="0" applyNumberFormat="1" applyFill="1"/>
    <xf numFmtId="3" fontId="48" fillId="0" borderId="0" xfId="0" applyNumberFormat="1" applyFont="1" applyFill="1" applyBorder="1" applyAlignment="1">
      <alignment horizontal="center" wrapText="1"/>
    </xf>
    <xf numFmtId="0" fontId="49" fillId="0" borderId="0" xfId="0" applyFont="1" applyFill="1" applyBorder="1" applyAlignment="1">
      <alignment horizontal="centerContinuous"/>
    </xf>
    <xf numFmtId="0" fontId="15" fillId="0" borderId="0" xfId="5616" applyFill="1"/>
    <xf numFmtId="17" fontId="15" fillId="0" borderId="0" xfId="5616" applyNumberFormat="1" applyFill="1" applyAlignment="1">
      <alignment horizontal="right"/>
    </xf>
    <xf numFmtId="175" fontId="0" fillId="0" borderId="0" xfId="1" applyNumberFormat="1" applyFont="1" applyFill="1"/>
    <xf numFmtId="169" fontId="0" fillId="0" borderId="0" xfId="2" applyNumberFormat="1" applyFont="1"/>
    <xf numFmtId="3" fontId="36" fillId="0" borderId="40" xfId="0" applyNumberFormat="1" applyFont="1" applyFill="1" applyBorder="1"/>
    <xf numFmtId="0" fontId="36" fillId="0" borderId="38" xfId="0" applyFont="1" applyBorder="1"/>
    <xf numFmtId="0" fontId="36" fillId="0" borderId="8" xfId="0" applyFont="1" applyBorder="1"/>
    <xf numFmtId="3" fontId="36" fillId="0" borderId="38" xfId="1" applyNumberFormat="1" applyFont="1" applyBorder="1"/>
    <xf numFmtId="0" fontId="37" fillId="4" borderId="49" xfId="0" applyFont="1" applyFill="1" applyBorder="1"/>
    <xf numFmtId="167" fontId="36" fillId="0" borderId="0" xfId="0" applyNumberFormat="1" applyFont="1" applyFill="1" applyBorder="1"/>
    <xf numFmtId="206" fontId="0" fillId="0" borderId="0" xfId="1" applyNumberFormat="1" applyFont="1"/>
    <xf numFmtId="207" fontId="37" fillId="0" borderId="11" xfId="2" applyNumberFormat="1" applyFont="1" applyBorder="1"/>
    <xf numFmtId="179" fontId="27" fillId="0" borderId="0" xfId="0" applyNumberFormat="1" applyFont="1"/>
    <xf numFmtId="167" fontId="0" fillId="0" borderId="45" xfId="1" applyFont="1" applyBorder="1"/>
    <xf numFmtId="0" fontId="0" fillId="0" borderId="45" xfId="0" applyBorder="1"/>
    <xf numFmtId="175" fontId="0" fillId="0" borderId="0" xfId="2" applyNumberFormat="1" applyFont="1"/>
    <xf numFmtId="0" fontId="92" fillId="68" borderId="0" xfId="15233" applyFont="1" applyFill="1" applyAlignment="1">
      <alignment horizontal="center"/>
    </xf>
    <xf numFmtId="175" fontId="103" fillId="0" borderId="0" xfId="1" applyNumberFormat="1" applyFont="1" applyFill="1" applyBorder="1" applyAlignment="1">
      <alignment horizontal="right"/>
    </xf>
    <xf numFmtId="175" fontId="103" fillId="0" borderId="0" xfId="0" applyNumberFormat="1" applyFont="1" applyFill="1" applyBorder="1" applyAlignment="1">
      <alignment horizontal="right"/>
    </xf>
    <xf numFmtId="175" fontId="103" fillId="0" borderId="0" xfId="0" applyNumberFormat="1" applyFont="1" applyFill="1" applyBorder="1"/>
    <xf numFmtId="3" fontId="29" fillId="6" borderId="7" xfId="0" applyNumberFormat="1" applyFont="1" applyFill="1" applyBorder="1" applyAlignment="1">
      <alignment horizontal="center"/>
    </xf>
    <xf numFmtId="3" fontId="29" fillId="6" borderId="49" xfId="0" applyNumberFormat="1" applyFont="1" applyFill="1" applyBorder="1" applyAlignment="1">
      <alignment horizontal="center"/>
    </xf>
    <xf numFmtId="168" fontId="0" fillId="0" borderId="0" xfId="2" applyNumberFormat="1" applyFont="1" applyFill="1" applyBorder="1" applyAlignment="1">
      <alignment horizontal="center"/>
    </xf>
    <xf numFmtId="172" fontId="0" fillId="0" borderId="0" xfId="2" applyNumberFormat="1" applyFont="1" applyBorder="1" applyAlignment="1">
      <alignment horizontal="center"/>
    </xf>
    <xf numFmtId="169" fontId="0" fillId="0" borderId="0" xfId="2" applyNumberFormat="1" applyFont="1" applyAlignment="1">
      <alignment horizontal="center"/>
    </xf>
    <xf numFmtId="173" fontId="27" fillId="0" borderId="10" xfId="7" applyNumberFormat="1" applyFont="1" applyFill="1" applyBorder="1"/>
    <xf numFmtId="173" fontId="27" fillId="0" borderId="0" xfId="7" applyNumberFormat="1" applyFont="1" applyFill="1" applyBorder="1"/>
    <xf numFmtId="173" fontId="36" fillId="0" borderId="0" xfId="7" applyNumberFormat="1" applyFont="1" applyFill="1" applyBorder="1"/>
    <xf numFmtId="171" fontId="29" fillId="0" borderId="0" xfId="0" applyNumberFormat="1" applyFont="1" applyBorder="1"/>
    <xf numFmtId="175" fontId="104" fillId="0" borderId="0" xfId="8935" applyNumberFormat="1" applyFont="1" applyFill="1" applyBorder="1" applyAlignment="1">
      <alignment horizontal="center" vertical="center"/>
    </xf>
    <xf numFmtId="175" fontId="44" fillId="0" borderId="0" xfId="15643" applyNumberFormat="1" applyFont="1" applyFill="1" applyBorder="1"/>
    <xf numFmtId="175" fontId="44" fillId="0" borderId="0" xfId="15643" applyNumberFormat="1" applyFont="1" applyFill="1" applyBorder="1" applyAlignment="1">
      <alignment horizontal="right"/>
    </xf>
    <xf numFmtId="175" fontId="44" fillId="0" borderId="0" xfId="815" applyNumberFormat="1" applyFont="1" applyFill="1" applyBorder="1" applyAlignment="1">
      <alignment horizontal="right"/>
    </xf>
    <xf numFmtId="206" fontId="36" fillId="0" borderId="0" xfId="1" applyNumberFormat="1" applyFont="1" applyBorder="1"/>
    <xf numFmtId="175" fontId="99" fillId="0" borderId="0" xfId="15657" applyNumberFormat="1" applyFont="1" applyFill="1" applyBorder="1"/>
    <xf numFmtId="175" fontId="92" fillId="0" borderId="0" xfId="8935" applyNumberFormat="1" applyFont="1" applyFill="1" applyBorder="1" applyAlignment="1">
      <alignment horizontal="center" vertical="center"/>
    </xf>
    <xf numFmtId="0" fontId="13" fillId="0" borderId="0" xfId="8898" applyBorder="1"/>
    <xf numFmtId="175" fontId="92" fillId="0" borderId="0" xfId="1" applyNumberFormat="1" applyFont="1" applyBorder="1"/>
    <xf numFmtId="175" fontId="92" fillId="69" borderId="45" xfId="1" applyNumberFormat="1" applyFont="1" applyFill="1" applyBorder="1"/>
    <xf numFmtId="175" fontId="0" fillId="0" borderId="45" xfId="0" applyNumberFormat="1" applyBorder="1"/>
    <xf numFmtId="175" fontId="92" fillId="69" borderId="0" xfId="1" applyNumberFormat="1" applyFont="1" applyFill="1" applyBorder="1"/>
    <xf numFmtId="175" fontId="29" fillId="7" borderId="41" xfId="0" applyNumberFormat="1" applyFont="1" applyFill="1" applyBorder="1"/>
    <xf numFmtId="0" fontId="92" fillId="69" borderId="41" xfId="0" applyFont="1" applyFill="1" applyBorder="1"/>
    <xf numFmtId="167" fontId="0" fillId="0" borderId="0" xfId="1" applyNumberFormat="1" applyFont="1"/>
    <xf numFmtId="175" fontId="99" fillId="0" borderId="45" xfId="1" applyNumberFormat="1" applyFont="1" applyBorder="1"/>
    <xf numFmtId="0" fontId="99" fillId="0" borderId="45" xfId="15702" applyFont="1" applyBorder="1"/>
    <xf numFmtId="0" fontId="99" fillId="0" borderId="45" xfId="15701" applyFont="1" applyBorder="1"/>
    <xf numFmtId="175" fontId="27" fillId="8" borderId="45" xfId="1" applyNumberFormat="1" applyFont="1" applyFill="1" applyBorder="1"/>
    <xf numFmtId="175" fontId="27" fillId="0" borderId="45" xfId="1" applyNumberFormat="1" applyFont="1" applyBorder="1"/>
    <xf numFmtId="0" fontId="92" fillId="0" borderId="0" xfId="0" applyFont="1" applyFill="1" applyBorder="1"/>
    <xf numFmtId="167" fontId="92" fillId="69" borderId="41" xfId="1" applyFont="1" applyFill="1" applyBorder="1"/>
    <xf numFmtId="167" fontId="0" fillId="70" borderId="0" xfId="1" applyNumberFormat="1" applyFont="1" applyFill="1"/>
    <xf numFmtId="175" fontId="29" fillId="7" borderId="41" xfId="1" applyNumberFormat="1" applyFont="1" applyFill="1" applyBorder="1"/>
    <xf numFmtId="0" fontId="0" fillId="70" borderId="0" xfId="0" applyFill="1"/>
    <xf numFmtId="167" fontId="0" fillId="70" borderId="0" xfId="1" applyFont="1" applyFill="1"/>
    <xf numFmtId="175" fontId="121" fillId="0" borderId="0" xfId="15746" applyNumberFormat="1" applyFont="1" applyFill="1" applyBorder="1" applyAlignment="1">
      <alignment vertical="center"/>
    </xf>
    <xf numFmtId="43" fontId="122" fillId="0" borderId="0" xfId="15766" applyNumberFormat="1" applyFont="1" applyFill="1" applyBorder="1" applyAlignment="1">
      <alignment horizontal="center" vertical="center"/>
    </xf>
    <xf numFmtId="175" fontId="36" fillId="0" borderId="0" xfId="1" applyNumberFormat="1" applyFont="1" applyBorder="1"/>
    <xf numFmtId="0" fontId="36" fillId="8" borderId="0" xfId="0" applyFont="1" applyFill="1" applyBorder="1"/>
    <xf numFmtId="0" fontId="0" fillId="8" borderId="0" xfId="0" applyFont="1" applyFill="1"/>
    <xf numFmtId="0" fontId="36" fillId="8" borderId="0" xfId="0" applyFont="1" applyFill="1"/>
    <xf numFmtId="176" fontId="36" fillId="8" borderId="0" xfId="1" applyNumberFormat="1" applyFont="1" applyFill="1" applyBorder="1"/>
    <xf numFmtId="173" fontId="36" fillId="8" borderId="0" xfId="1" applyNumberFormat="1" applyFont="1" applyFill="1"/>
    <xf numFmtId="167" fontId="0" fillId="0" borderId="0" xfId="1" applyFont="1" applyFill="1" applyBorder="1" applyAlignment="1"/>
    <xf numFmtId="206" fontId="0" fillId="0" borderId="0" xfId="1" applyNumberFormat="1" applyFont="1" applyFill="1" applyBorder="1" applyAlignment="1"/>
    <xf numFmtId="208" fontId="0" fillId="0" borderId="0" xfId="1" applyNumberFormat="1" applyFont="1" applyFill="1" applyBorder="1" applyAlignment="1"/>
    <xf numFmtId="174" fontId="0" fillId="0" borderId="0" xfId="0" applyNumberFormat="1" applyFill="1" applyBorder="1" applyAlignment="1">
      <alignment horizontal="center"/>
    </xf>
    <xf numFmtId="175" fontId="0" fillId="0" borderId="0" xfId="1" applyNumberFormat="1" applyFont="1" applyAlignment="1">
      <alignment horizontal="center"/>
    </xf>
    <xf numFmtId="0" fontId="0" fillId="0" borderId="0" xfId="0" applyAlignment="1">
      <alignment horizontal="center"/>
    </xf>
    <xf numFmtId="168" fontId="0" fillId="0" borderId="49" xfId="0" applyNumberFormat="1" applyBorder="1" applyAlignment="1">
      <alignment horizontal="center" vertical="center"/>
    </xf>
    <xf numFmtId="168" fontId="0" fillId="0" borderId="38" xfId="0" applyNumberFormat="1" applyBorder="1" applyAlignment="1">
      <alignment horizontal="center" vertical="center"/>
    </xf>
    <xf numFmtId="168" fontId="0" fillId="0" borderId="40" xfId="0" applyNumberFormat="1" applyBorder="1" applyAlignment="1">
      <alignment horizontal="center" vertical="center"/>
    </xf>
    <xf numFmtId="0" fontId="0" fillId="0" borderId="5" xfId="0" applyFill="1" applyBorder="1"/>
    <xf numFmtId="167" fontId="103" fillId="0" borderId="0" xfId="815" applyFont="1" applyFill="1" applyBorder="1" applyAlignment="1">
      <alignment vertical="top"/>
    </xf>
    <xf numFmtId="10" fontId="29" fillId="0" borderId="2" xfId="2" applyNumberFormat="1" applyFont="1" applyBorder="1" applyAlignment="1">
      <alignment horizontal="right"/>
    </xf>
    <xf numFmtId="10" fontId="29" fillId="0" borderId="3" xfId="2" applyNumberFormat="1" applyFont="1" applyBorder="1" applyAlignment="1">
      <alignment horizontal="right"/>
    </xf>
    <xf numFmtId="9" fontId="29" fillId="0" borderId="8" xfId="2" applyFont="1" applyFill="1" applyBorder="1" applyAlignment="1">
      <alignment horizontal="center"/>
    </xf>
    <xf numFmtId="167" fontId="0" fillId="0" borderId="0" xfId="1" applyFont="1" applyFill="1" applyBorder="1" applyAlignment="1">
      <alignment horizontal="center"/>
    </xf>
    <xf numFmtId="10" fontId="0" fillId="0" borderId="0" xfId="2" applyNumberFormat="1" applyFont="1" applyFill="1" applyBorder="1" applyAlignment="1">
      <alignment horizontal="center"/>
    </xf>
    <xf numFmtId="206" fontId="0" fillId="0" borderId="8" xfId="1" applyNumberFormat="1" applyFont="1" applyFill="1" applyBorder="1" applyAlignment="1">
      <alignment horizontal="center"/>
    </xf>
    <xf numFmtId="206" fontId="0" fillId="0" borderId="38" xfId="1" applyNumberFormat="1" applyFont="1" applyFill="1" applyBorder="1" applyAlignment="1">
      <alignment horizontal="center"/>
    </xf>
    <xf numFmtId="167" fontId="0" fillId="0" borderId="11" xfId="1" applyFont="1" applyFill="1" applyBorder="1" applyAlignment="1">
      <alignment horizontal="center"/>
    </xf>
    <xf numFmtId="0" fontId="29" fillId="0" borderId="0" xfId="0" applyFont="1" applyBorder="1" applyAlignment="1">
      <alignment wrapText="1"/>
    </xf>
    <xf numFmtId="9" fontId="29" fillId="0" borderId="0" xfId="2" applyFont="1" applyFill="1" applyBorder="1" applyAlignment="1">
      <alignment horizontal="center"/>
    </xf>
    <xf numFmtId="9" fontId="29" fillId="0" borderId="9" xfId="2" applyFont="1" applyFill="1" applyBorder="1" applyAlignment="1">
      <alignment horizontal="center"/>
    </xf>
    <xf numFmtId="9" fontId="29" fillId="0" borderId="11" xfId="2" applyFont="1" applyFill="1" applyBorder="1" applyAlignment="1">
      <alignment horizontal="center"/>
    </xf>
    <xf numFmtId="3" fontId="29" fillId="0" borderId="15" xfId="0" applyNumberFormat="1" applyFont="1" applyBorder="1" applyAlignment="1">
      <alignment horizontal="center"/>
    </xf>
    <xf numFmtId="3" fontId="29" fillId="0" borderId="14" xfId="0" applyNumberFormat="1" applyFont="1" applyBorder="1" applyAlignment="1">
      <alignment horizontal="center"/>
    </xf>
    <xf numFmtId="0" fontId="29" fillId="0" borderId="15" xfId="0" applyNumberFormat="1" applyFont="1" applyFill="1" applyBorder="1" applyAlignment="1">
      <alignment horizontal="center"/>
    </xf>
    <xf numFmtId="0" fontId="29" fillId="0" borderId="13" xfId="0" applyNumberFormat="1" applyFont="1" applyFill="1" applyBorder="1" applyAlignment="1">
      <alignment horizontal="center"/>
    </xf>
    <xf numFmtId="3" fontId="29" fillId="6" borderId="15" xfId="0" applyNumberFormat="1" applyFont="1" applyFill="1" applyBorder="1" applyAlignment="1">
      <alignment horizontal="center"/>
    </xf>
    <xf numFmtId="3" fontId="29" fillId="6" borderId="14" xfId="0" applyNumberFormat="1" applyFont="1" applyFill="1" applyBorder="1" applyAlignment="1">
      <alignment horizontal="center"/>
    </xf>
    <xf numFmtId="3" fontId="29" fillId="0" borderId="15" xfId="0" applyNumberFormat="1" applyFont="1" applyFill="1" applyBorder="1" applyAlignment="1">
      <alignment horizontal="center"/>
    </xf>
    <xf numFmtId="3" fontId="0" fillId="0" borderId="7" xfId="0" applyNumberFormat="1" applyFill="1" applyBorder="1" applyAlignment="1">
      <alignment horizontal="center"/>
    </xf>
    <xf numFmtId="3" fontId="0" fillId="0" borderId="49" xfId="0" applyNumberFormat="1" applyFill="1" applyBorder="1" applyAlignment="1">
      <alignment horizontal="center"/>
    </xf>
    <xf numFmtId="3" fontId="0" fillId="0" borderId="7" xfId="0" applyNumberFormat="1" applyBorder="1" applyAlignment="1">
      <alignment horizontal="center"/>
    </xf>
    <xf numFmtId="182" fontId="0" fillId="0" borderId="38" xfId="0" applyNumberFormat="1" applyBorder="1" applyAlignment="1">
      <alignment horizontal="center"/>
    </xf>
    <xf numFmtId="10" fontId="0" fillId="0" borderId="38" xfId="0" applyNumberFormat="1" applyBorder="1" applyAlignment="1">
      <alignment horizontal="center"/>
    </xf>
    <xf numFmtId="183" fontId="29" fillId="6" borderId="38" xfId="0" applyNumberFormat="1" applyFont="1" applyFill="1" applyBorder="1" applyAlignment="1">
      <alignment horizontal="center"/>
    </xf>
    <xf numFmtId="167" fontId="0" fillId="0" borderId="38" xfId="1" applyFont="1" applyBorder="1" applyAlignment="1">
      <alignment horizontal="center"/>
    </xf>
    <xf numFmtId="0" fontId="29" fillId="0" borderId="15" xfId="0" applyFont="1" applyBorder="1"/>
    <xf numFmtId="0" fontId="0" fillId="0" borderId="49" xfId="0" applyBorder="1"/>
    <xf numFmtId="0" fontId="29" fillId="0" borderId="7" xfId="0" applyNumberFormat="1" applyFont="1" applyBorder="1"/>
    <xf numFmtId="0" fontId="29" fillId="0" borderId="10" xfId="0" applyNumberFormat="1" applyFont="1" applyBorder="1"/>
    <xf numFmtId="0" fontId="29" fillId="0" borderId="10" xfId="0" applyNumberFormat="1" applyFont="1" applyFill="1" applyBorder="1"/>
    <xf numFmtId="0" fontId="0" fillId="0" borderId="10" xfId="0" applyNumberFormat="1" applyBorder="1"/>
    <xf numFmtId="176" fontId="0" fillId="0" borderId="11" xfId="0" applyNumberFormat="1" applyBorder="1" applyAlignment="1">
      <alignment horizontal="center"/>
    </xf>
    <xf numFmtId="0" fontId="29" fillId="0" borderId="49" xfId="0" applyFont="1" applyBorder="1"/>
    <xf numFmtId="0" fontId="29" fillId="0" borderId="38" xfId="0" applyFont="1" applyBorder="1"/>
    <xf numFmtId="3" fontId="29" fillId="0" borderId="15" xfId="0" applyNumberFormat="1" applyFont="1" applyBorder="1"/>
    <xf numFmtId="3" fontId="29" fillId="0" borderId="14" xfId="0" applyNumberFormat="1" applyFont="1" applyBorder="1"/>
    <xf numFmtId="172" fontId="0" fillId="0" borderId="0" xfId="2" applyNumberFormat="1" applyFont="1" applyAlignment="1">
      <alignment horizontal="center"/>
    </xf>
    <xf numFmtId="175" fontId="0" fillId="0" borderId="0" xfId="2" applyNumberFormat="1" applyFont="1" applyAlignment="1">
      <alignment horizontal="center"/>
    </xf>
    <xf numFmtId="0" fontId="47" fillId="2" borderId="0" xfId="0" applyFont="1" applyFill="1" applyBorder="1" applyAlignment="1">
      <alignment horizontal="right" wrapText="1"/>
    </xf>
    <xf numFmtId="3" fontId="0" fillId="0" borderId="49" xfId="0" applyNumberFormat="1" applyFill="1" applyBorder="1" applyAlignment="1">
      <alignment horizontal="right"/>
    </xf>
    <xf numFmtId="176" fontId="0" fillId="0" borderId="0" xfId="0" applyNumberFormat="1" applyAlignment="1">
      <alignment horizontal="center"/>
    </xf>
    <xf numFmtId="17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50" fillId="5" borderId="3" xfId="0" applyFont="1" applyFill="1" applyBorder="1" applyAlignment="1">
      <alignment horizontal="center"/>
    </xf>
    <xf numFmtId="167" fontId="0" fillId="0" borderId="38" xfId="1" applyFont="1" applyFill="1" applyBorder="1" applyAlignment="1"/>
    <xf numFmtId="206" fontId="0" fillId="0" borderId="38" xfId="1" applyNumberFormat="1" applyFont="1" applyFill="1" applyBorder="1" applyAlignment="1"/>
    <xf numFmtId="0" fontId="29" fillId="0" borderId="0" xfId="0" applyFont="1" applyBorder="1" applyAlignment="1">
      <alignment horizontal="left" vertical="top" wrapText="1"/>
    </xf>
    <xf numFmtId="3" fontId="0" fillId="0" borderId="15" xfId="0" applyNumberFormat="1" applyBorder="1"/>
    <xf numFmtId="3" fontId="0" fillId="0" borderId="14" xfId="0" applyNumberFormat="1" applyBorder="1"/>
    <xf numFmtId="167" fontId="0" fillId="0" borderId="0" xfId="1" applyFont="1" applyFill="1"/>
    <xf numFmtId="206" fontId="0" fillId="0" borderId="0" xfId="1" applyNumberFormat="1" applyFont="1" applyFill="1"/>
    <xf numFmtId="167" fontId="0" fillId="0" borderId="0" xfId="1" applyFont="1" applyAlignment="1">
      <alignment horizontal="center"/>
    </xf>
    <xf numFmtId="175" fontId="0" fillId="0" borderId="0" xfId="1" applyNumberFormat="1" applyFont="1" applyFill="1" applyBorder="1" applyAlignment="1"/>
    <xf numFmtId="175" fontId="0" fillId="0" borderId="38" xfId="1" applyNumberFormat="1" applyFont="1" applyFill="1" applyBorder="1" applyAlignment="1"/>
    <xf numFmtId="176" fontId="0" fillId="0" borderId="0" xfId="0" applyNumberFormat="1" applyFill="1" applyBorder="1" applyAlignment="1">
      <alignment horizontal="center"/>
    </xf>
    <xf numFmtId="10" fontId="0" fillId="0" borderId="0" xfId="2" applyNumberFormat="1" applyFont="1" applyBorder="1"/>
    <xf numFmtId="175" fontId="0" fillId="0" borderId="0" xfId="1" applyNumberFormat="1" applyFont="1" applyFill="1" applyBorder="1" applyAlignment="1">
      <alignment horizontal="center"/>
    </xf>
    <xf numFmtId="37" fontId="27" fillId="0" borderId="0" xfId="0" applyNumberFormat="1" applyFont="1" applyBorder="1" applyAlignment="1">
      <alignment horizontal="center"/>
    </xf>
    <xf numFmtId="0" fontId="29" fillId="0" borderId="49" xfId="0" applyFont="1" applyFill="1" applyBorder="1"/>
    <xf numFmtId="167" fontId="0" fillId="0" borderId="0" xfId="0" applyNumberFormat="1" applyFill="1" applyBorder="1" applyAlignment="1">
      <alignment horizontal="center"/>
    </xf>
    <xf numFmtId="0" fontId="35" fillId="0" borderId="0" xfId="0" applyFont="1" applyFill="1" applyAlignment="1">
      <alignment horizontal="center" vertical="center" wrapText="1"/>
    </xf>
    <xf numFmtId="175" fontId="27" fillId="0" borderId="0" xfId="1" applyNumberFormat="1" applyFont="1" applyFill="1" applyAlignment="1">
      <alignment horizontal="center"/>
    </xf>
    <xf numFmtId="172" fontId="0" fillId="0" borderId="0" xfId="0" applyNumberFormat="1" applyFill="1" applyBorder="1" applyAlignment="1">
      <alignment horizontal="center"/>
    </xf>
    <xf numFmtId="175" fontId="27" fillId="0" borderId="0" xfId="2" applyNumberFormat="1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 vertical="center" wrapText="1"/>
    </xf>
    <xf numFmtId="175" fontId="27" fillId="0" borderId="0" xfId="1" applyNumberFormat="1" applyFont="1" applyFill="1" applyBorder="1" applyAlignment="1">
      <alignment horizontal="center"/>
    </xf>
    <xf numFmtId="0" fontId="92" fillId="0" borderId="0" xfId="15233" applyFont="1" applyFill="1" applyAlignment="1">
      <alignment horizontal="center"/>
    </xf>
    <xf numFmtId="175" fontId="0" fillId="0" borderId="0" xfId="0" applyNumberFormat="1" applyFill="1"/>
    <xf numFmtId="168" fontId="0" fillId="0" borderId="0" xfId="2" applyNumberFormat="1" applyFont="1" applyFill="1"/>
    <xf numFmtId="0" fontId="0" fillId="0" borderId="0" xfId="1" applyNumberFormat="1" applyFont="1" applyFill="1"/>
    <xf numFmtId="169" fontId="0" fillId="0" borderId="0" xfId="2" applyNumberFormat="1" applyFont="1" applyFill="1"/>
    <xf numFmtId="169" fontId="0" fillId="0" borderId="0" xfId="0" applyNumberFormat="1" applyFill="1"/>
    <xf numFmtId="207" fontId="0" fillId="0" borderId="0" xfId="2" applyNumberFormat="1" applyFont="1" applyFill="1"/>
    <xf numFmtId="10" fontId="29" fillId="0" borderId="0" xfId="2" applyNumberFormat="1" applyFont="1" applyFill="1"/>
    <xf numFmtId="0" fontId="13" fillId="0" borderId="45" xfId="8898" applyBorder="1"/>
    <xf numFmtId="17" fontId="13" fillId="0" borderId="45" xfId="8898" applyNumberFormat="1" applyBorder="1" applyAlignment="1">
      <alignment horizontal="right"/>
    </xf>
    <xf numFmtId="175" fontId="101" fillId="67" borderId="45" xfId="8935" applyNumberFormat="1" applyFont="1" applyFill="1" applyBorder="1"/>
    <xf numFmtId="175" fontId="102" fillId="67" borderId="45" xfId="8935" applyNumberFormat="1" applyFont="1" applyFill="1" applyBorder="1"/>
    <xf numFmtId="175" fontId="13" fillId="0" borderId="45" xfId="8935" applyNumberFormat="1" applyFont="1" applyBorder="1"/>
    <xf numFmtId="175" fontId="1" fillId="0" borderId="45" xfId="8935" applyNumberFormat="1" applyFont="1" applyBorder="1"/>
    <xf numFmtId="175" fontId="101" fillId="0" borderId="45" xfId="7" applyNumberFormat="1" applyFont="1" applyFill="1" applyBorder="1"/>
    <xf numFmtId="175" fontId="101" fillId="0" borderId="45" xfId="8935" applyNumberFormat="1" applyFont="1" applyFill="1" applyBorder="1"/>
    <xf numFmtId="175" fontId="8" fillId="0" borderId="45" xfId="8935" applyNumberFormat="1" applyFont="1" applyFill="1" applyBorder="1"/>
    <xf numFmtId="175" fontId="1" fillId="0" borderId="45" xfId="8935" applyNumberFormat="1" applyFont="1" applyFill="1" applyBorder="1"/>
    <xf numFmtId="175" fontId="8" fillId="0" borderId="45" xfId="1" applyNumberFormat="1" applyFont="1" applyBorder="1"/>
    <xf numFmtId="175" fontId="13" fillId="0" borderId="45" xfId="8935" applyNumberFormat="1" applyFont="1" applyFill="1" applyBorder="1"/>
    <xf numFmtId="17" fontId="13" fillId="0" borderId="45" xfId="8898" applyNumberFormat="1" applyFill="1" applyBorder="1" applyAlignment="1">
      <alignment horizontal="right"/>
    </xf>
    <xf numFmtId="175" fontId="101" fillId="0" borderId="45" xfId="1" applyNumberFormat="1" applyFont="1" applyFill="1" applyBorder="1"/>
    <xf numFmtId="0" fontId="92" fillId="8" borderId="45" xfId="8898" applyFont="1" applyFill="1" applyBorder="1" applyAlignment="1">
      <alignment horizontal="center" wrapText="1"/>
    </xf>
    <xf numFmtId="167" fontId="0" fillId="0" borderId="0" xfId="1" applyFont="1" applyFill="1" applyBorder="1"/>
    <xf numFmtId="175" fontId="0" fillId="0" borderId="0" xfId="0" applyNumberFormat="1" applyFill="1" applyBorder="1"/>
    <xf numFmtId="175" fontId="0" fillId="0" borderId="45" xfId="1" applyNumberFormat="1" applyFont="1" applyBorder="1"/>
    <xf numFmtId="175" fontId="0" fillId="8" borderId="45" xfId="1" applyNumberFormat="1" applyFont="1" applyFill="1" applyBorder="1"/>
    <xf numFmtId="175" fontId="92" fillId="0" borderId="45" xfId="1" applyNumberFormat="1" applyFont="1" applyFill="1" applyBorder="1"/>
    <xf numFmtId="208" fontId="0" fillId="0" borderId="0" xfId="0" applyNumberFormat="1"/>
    <xf numFmtId="0" fontId="0" fillId="0" borderId="0" xfId="0" applyAlignment="1">
      <alignment horizontal="center"/>
    </xf>
    <xf numFmtId="3" fontId="0" fillId="0" borderId="0" xfId="0" applyNumberFormat="1" applyFont="1" applyBorder="1"/>
    <xf numFmtId="10" fontId="0" fillId="0" borderId="5" xfId="2" applyNumberFormat="1" applyFont="1" applyBorder="1" applyAlignment="1">
      <alignment horizontal="right"/>
    </xf>
    <xf numFmtId="0" fontId="0" fillId="0" borderId="8" xfId="0" applyFill="1" applyBorder="1" applyAlignment="1">
      <alignment horizontal="right"/>
    </xf>
    <xf numFmtId="3" fontId="0" fillId="0" borderId="8" xfId="0" applyNumberFormat="1" applyFont="1" applyFill="1" applyBorder="1" applyAlignment="1">
      <alignment horizontal="right"/>
    </xf>
    <xf numFmtId="0" fontId="0" fillId="0" borderId="8" xfId="0" applyBorder="1" applyAlignment="1">
      <alignment horizontal="right"/>
    </xf>
    <xf numFmtId="0" fontId="27" fillId="0" borderId="8" xfId="0" applyFont="1" applyFill="1" applyBorder="1" applyAlignment="1">
      <alignment horizontal="right"/>
    </xf>
    <xf numFmtId="175" fontId="0" fillId="0" borderId="0" xfId="0" applyNumberFormat="1" applyAlignment="1">
      <alignment horizontal="right"/>
    </xf>
    <xf numFmtId="3" fontId="27" fillId="0" borderId="0" xfId="0" applyNumberFormat="1" applyFont="1" applyFill="1" applyAlignment="1">
      <alignment horizontal="right"/>
    </xf>
    <xf numFmtId="0" fontId="27" fillId="0" borderId="0" xfId="0" applyFont="1" applyFill="1" applyAlignment="1">
      <alignment horizontal="right"/>
    </xf>
    <xf numFmtId="0" fontId="0" fillId="0" borderId="5" xfId="0" applyBorder="1" applyAlignment="1">
      <alignment horizontal="right"/>
    </xf>
    <xf numFmtId="0" fontId="27" fillId="0" borderId="5" xfId="0" applyFont="1" applyFill="1" applyBorder="1" applyAlignment="1">
      <alignment horizontal="right"/>
    </xf>
    <xf numFmtId="175" fontId="0" fillId="0" borderId="0" xfId="1" applyNumberFormat="1" applyFont="1" applyAlignment="1">
      <alignment horizontal="right"/>
    </xf>
    <xf numFmtId="173" fontId="36" fillId="0" borderId="0" xfId="1" applyNumberFormat="1" applyFont="1" applyFill="1" applyBorder="1" applyAlignment="1">
      <alignment horizontal="right"/>
    </xf>
    <xf numFmtId="43" fontId="0" fillId="0" borderId="0" xfId="0" applyNumberFormat="1" applyAlignment="1">
      <alignment horizontal="right"/>
    </xf>
    <xf numFmtId="173" fontId="27" fillId="0" borderId="0" xfId="1" applyNumberFormat="1" applyFont="1" applyFill="1" applyBorder="1" applyAlignment="1">
      <alignment horizontal="right"/>
    </xf>
    <xf numFmtId="173" fontId="0" fillId="0" borderId="0" xfId="0" applyNumberFormat="1" applyAlignment="1">
      <alignment horizontal="right"/>
    </xf>
    <xf numFmtId="3" fontId="0" fillId="0" borderId="8" xfId="0" applyNumberFormat="1" applyBorder="1" applyAlignment="1">
      <alignment horizontal="right" wrapText="1"/>
    </xf>
    <xf numFmtId="3" fontId="0" fillId="0" borderId="8" xfId="0" applyNumberFormat="1" applyFill="1" applyBorder="1" applyAlignment="1">
      <alignment horizontal="right" vertical="center" wrapText="1"/>
    </xf>
    <xf numFmtId="3" fontId="0" fillId="0" borderId="8" xfId="0" applyNumberFormat="1" applyFill="1" applyBorder="1" applyAlignment="1">
      <alignment horizontal="right" wrapText="1"/>
    </xf>
    <xf numFmtId="3" fontId="27" fillId="0" borderId="8" xfId="0" applyNumberFormat="1" applyFont="1" applyFill="1" applyBorder="1" applyAlignment="1">
      <alignment horizontal="right" wrapText="1"/>
    </xf>
    <xf numFmtId="3" fontId="27" fillId="0" borderId="0" xfId="0" applyNumberFormat="1" applyFont="1" applyFill="1" applyBorder="1" applyAlignment="1">
      <alignment horizontal="right" wrapText="1"/>
    </xf>
    <xf numFmtId="3" fontId="0" fillId="0" borderId="0" xfId="0" applyNumberFormat="1" applyBorder="1" applyAlignment="1">
      <alignment horizontal="right" wrapText="1"/>
    </xf>
    <xf numFmtId="175" fontId="27" fillId="0" borderId="0" xfId="1" applyNumberFormat="1" applyFont="1" applyFill="1" applyBorder="1" applyAlignment="1">
      <alignment horizontal="right" wrapText="1"/>
    </xf>
    <xf numFmtId="175" fontId="0" fillId="0" borderId="0" xfId="1" applyNumberFormat="1" applyFont="1" applyBorder="1" applyAlignment="1">
      <alignment horizontal="right" wrapText="1"/>
    </xf>
    <xf numFmtId="175" fontId="0" fillId="0" borderId="0" xfId="1" applyNumberFormat="1" applyFont="1" applyFill="1" applyBorder="1" applyAlignment="1">
      <alignment horizontal="right" wrapText="1"/>
    </xf>
    <xf numFmtId="175" fontId="0" fillId="0" borderId="0" xfId="0" applyNumberFormat="1" applyBorder="1" applyAlignment="1">
      <alignment horizontal="right" wrapText="1"/>
    </xf>
    <xf numFmtId="172" fontId="0" fillId="0" borderId="0" xfId="0" applyNumberFormat="1" applyFont="1" applyBorder="1" applyAlignment="1">
      <alignment horizontal="right" wrapText="1"/>
    </xf>
    <xf numFmtId="172" fontId="0" fillId="0" borderId="0" xfId="0" applyNumberFormat="1" applyFont="1" applyFill="1" applyBorder="1" applyAlignment="1">
      <alignment horizontal="right" wrapText="1"/>
    </xf>
    <xf numFmtId="172" fontId="52" fillId="0" borderId="0" xfId="0" applyNumberFormat="1" applyFont="1" applyFill="1" applyBorder="1" applyAlignment="1">
      <alignment horizontal="right" wrapText="1"/>
    </xf>
    <xf numFmtId="0" fontId="0" fillId="0" borderId="0" xfId="0" applyBorder="1" applyAlignment="1">
      <alignment horizontal="right" wrapText="1"/>
    </xf>
    <xf numFmtId="0" fontId="0" fillId="0" borderId="0" xfId="0" applyFill="1" applyBorder="1" applyAlignment="1">
      <alignment horizontal="right" wrapText="1"/>
    </xf>
    <xf numFmtId="0" fontId="27" fillId="0" borderId="0" xfId="0" applyFont="1" applyFill="1" applyBorder="1" applyAlignment="1">
      <alignment horizontal="right"/>
    </xf>
    <xf numFmtId="3" fontId="0" fillId="0" borderId="5" xfId="0" applyNumberFormat="1" applyBorder="1" applyAlignment="1">
      <alignment horizontal="right" wrapText="1"/>
    </xf>
    <xf numFmtId="3" fontId="0" fillId="0" borderId="5" xfId="0" applyNumberFormat="1" applyFill="1" applyBorder="1" applyAlignment="1">
      <alignment horizontal="right" wrapText="1"/>
    </xf>
    <xf numFmtId="3" fontId="27" fillId="0" borderId="5" xfId="0" applyNumberFormat="1" applyFont="1" applyFill="1" applyBorder="1" applyAlignment="1">
      <alignment horizontal="right" wrapText="1"/>
    </xf>
    <xf numFmtId="169" fontId="0" fillId="0" borderId="0" xfId="2" applyNumberFormat="1" applyFont="1" applyBorder="1" applyAlignment="1">
      <alignment horizontal="right" wrapText="1"/>
    </xf>
    <xf numFmtId="0" fontId="0" fillId="0" borderId="0" xfId="2" applyNumberFormat="1" applyFont="1" applyBorder="1" applyAlignment="1">
      <alignment horizontal="right" wrapText="1"/>
    </xf>
    <xf numFmtId="0" fontId="27" fillId="0" borderId="38" xfId="0" applyFont="1" applyFill="1" applyBorder="1" applyAlignment="1">
      <alignment horizontal="right"/>
    </xf>
    <xf numFmtId="3" fontId="52" fillId="0" borderId="5" xfId="0" applyNumberFormat="1" applyFont="1" applyBorder="1" applyAlignment="1">
      <alignment horizontal="right"/>
    </xf>
    <xf numFmtId="3" fontId="29" fillId="0" borderId="8" xfId="0" applyNumberFormat="1" applyFont="1" applyFill="1" applyBorder="1" applyAlignment="1">
      <alignment horizontal="right"/>
    </xf>
    <xf numFmtId="3" fontId="52" fillId="0" borderId="0" xfId="0" applyNumberFormat="1" applyFont="1" applyBorder="1" applyAlignment="1">
      <alignment horizontal="right"/>
    </xf>
    <xf numFmtId="167" fontId="0" fillId="0" borderId="0" xfId="1" applyFont="1" applyBorder="1" applyAlignment="1">
      <alignment horizontal="right"/>
    </xf>
    <xf numFmtId="175" fontId="0" fillId="0" borderId="0" xfId="1" applyNumberFormat="1" applyFont="1" applyBorder="1" applyAlignment="1">
      <alignment horizontal="right"/>
    </xf>
    <xf numFmtId="3" fontId="0" fillId="0" borderId="0" xfId="0" applyNumberFormat="1" applyFill="1" applyBorder="1" applyAlignment="1">
      <alignment horizontal="right" wrapText="1"/>
    </xf>
    <xf numFmtId="10" fontId="27" fillId="0" borderId="0" xfId="2" applyNumberFormat="1" applyFont="1" applyBorder="1" applyAlignment="1">
      <alignment horizontal="right"/>
    </xf>
    <xf numFmtId="10" fontId="27" fillId="0" borderId="0" xfId="2" applyNumberFormat="1" applyFont="1" applyFill="1" applyBorder="1" applyAlignment="1">
      <alignment horizontal="right"/>
    </xf>
    <xf numFmtId="3" fontId="52" fillId="0" borderId="0" xfId="0" applyNumberFormat="1" applyFont="1" applyFill="1" applyBorder="1" applyAlignment="1">
      <alignment horizontal="right"/>
    </xf>
    <xf numFmtId="175" fontId="27" fillId="0" borderId="0" xfId="1" applyNumberFormat="1" applyFont="1" applyFill="1" applyBorder="1" applyAlignment="1">
      <alignment horizontal="right"/>
    </xf>
    <xf numFmtId="0" fontId="0" fillId="0" borderId="0" xfId="2" applyNumberFormat="1" applyFont="1" applyBorder="1" applyAlignment="1">
      <alignment horizontal="right"/>
    </xf>
    <xf numFmtId="175" fontId="27" fillId="0" borderId="0" xfId="1" applyNumberFormat="1" applyFont="1" applyFill="1" applyAlignment="1">
      <alignment horizontal="right"/>
    </xf>
    <xf numFmtId="0" fontId="0" fillId="0" borderId="68" xfId="0" applyBorder="1"/>
    <xf numFmtId="17" fontId="0" fillId="0" borderId="68" xfId="0" applyNumberFormat="1" applyBorder="1" applyAlignment="1">
      <alignment horizontal="right"/>
    </xf>
    <xf numFmtId="175" fontId="0" fillId="0" borderId="68" xfId="1" applyNumberFormat="1" applyFont="1" applyBorder="1"/>
    <xf numFmtId="0" fontId="0" fillId="0" borderId="68" xfId="0" applyFill="1" applyBorder="1"/>
    <xf numFmtId="17" fontId="0" fillId="0" borderId="68" xfId="0" applyNumberFormat="1" applyFill="1" applyBorder="1" applyAlignment="1">
      <alignment horizontal="right"/>
    </xf>
    <xf numFmtId="175" fontId="0" fillId="0" borderId="68" xfId="1" applyNumberFormat="1" applyFont="1" applyFill="1" applyBorder="1"/>
    <xf numFmtId="0" fontId="28" fillId="0" borderId="5" xfId="0" applyFont="1" applyFill="1" applyBorder="1" applyAlignment="1">
      <alignment horizontal="center" wrapText="1"/>
    </xf>
    <xf numFmtId="209" fontId="0" fillId="0" borderId="0" xfId="1" applyNumberFormat="1" applyFont="1" applyBorder="1" applyAlignment="1">
      <alignment horizontal="right"/>
    </xf>
    <xf numFmtId="206" fontId="0" fillId="0" borderId="0" xfId="1" applyNumberFormat="1" applyFont="1" applyBorder="1" applyAlignment="1">
      <alignment horizontal="right"/>
    </xf>
    <xf numFmtId="0" fontId="29" fillId="0" borderId="0" xfId="0" applyFont="1" applyAlignment="1">
      <alignment wrapText="1"/>
    </xf>
    <xf numFmtId="0" fontId="29" fillId="0" borderId="0" xfId="0" applyFont="1" applyFill="1" applyAlignment="1">
      <alignment horizontal="center" wrapText="1"/>
    </xf>
    <xf numFmtId="3" fontId="29" fillId="0" borderId="12" xfId="0" applyNumberFormat="1" applyFont="1" applyFill="1" applyBorder="1" applyAlignment="1">
      <alignment horizontal="center"/>
    </xf>
    <xf numFmtId="0" fontId="126" fillId="0" borderId="0" xfId="0" applyFont="1" applyFill="1" applyAlignment="1">
      <alignment wrapText="1"/>
    </xf>
    <xf numFmtId="0" fontId="130" fillId="0" borderId="0" xfId="0" applyFont="1"/>
    <xf numFmtId="0" fontId="129" fillId="0" borderId="0" xfId="0" applyFont="1" applyAlignment="1">
      <alignment horizontal="center" vertical="center" wrapText="1"/>
    </xf>
    <xf numFmtId="0" fontId="130" fillId="0" borderId="68" xfId="0" applyFont="1" applyBorder="1"/>
    <xf numFmtId="3" fontId="130" fillId="0" borderId="68" xfId="0" applyNumberFormat="1" applyFont="1" applyBorder="1"/>
    <xf numFmtId="10" fontId="130" fillId="0" borderId="68" xfId="2" applyNumberFormat="1" applyFont="1" applyBorder="1"/>
    <xf numFmtId="3" fontId="130" fillId="0" borderId="68" xfId="0" applyNumberFormat="1" applyFont="1" applyFill="1" applyBorder="1"/>
    <xf numFmtId="0" fontId="131" fillId="0" borderId="0" xfId="0" applyFont="1"/>
    <xf numFmtId="0" fontId="132" fillId="0" borderId="0" xfId="0" applyFont="1"/>
    <xf numFmtId="0" fontId="133" fillId="0" borderId="0" xfId="0" applyFont="1"/>
    <xf numFmtId="0" fontId="134" fillId="0" borderId="0" xfId="0" applyFont="1"/>
    <xf numFmtId="3" fontId="27" fillId="0" borderId="0" xfId="4584" applyNumberFormat="1" applyFont="1" applyFill="1" applyBorder="1" applyAlignment="1">
      <alignment horizontal="center"/>
    </xf>
    <xf numFmtId="167" fontId="0" fillId="0" borderId="68" xfId="0" applyNumberFormat="1" applyBorder="1"/>
    <xf numFmtId="0" fontId="29" fillId="0" borderId="68" xfId="0" applyFont="1" applyFill="1" applyBorder="1"/>
    <xf numFmtId="167" fontId="0" fillId="0" borderId="72" xfId="1" applyFont="1" applyBorder="1"/>
    <xf numFmtId="167" fontId="29" fillId="0" borderId="71" xfId="0" applyNumberFormat="1" applyFont="1" applyBorder="1"/>
    <xf numFmtId="49" fontId="50" fillId="5" borderId="10" xfId="4584" applyNumberFormat="1" applyFont="1" applyFill="1" applyBorder="1" applyAlignment="1">
      <alignment horizontal="center"/>
    </xf>
    <xf numFmtId="49" fontId="50" fillId="5" borderId="0" xfId="4584" applyNumberFormat="1" applyFont="1" applyFill="1" applyBorder="1" applyAlignment="1">
      <alignment horizontal="center"/>
    </xf>
    <xf numFmtId="49" fontId="50" fillId="5" borderId="11" xfId="4584" applyNumberFormat="1" applyFont="1" applyFill="1" applyBorder="1" applyAlignment="1">
      <alignment horizontal="center"/>
    </xf>
    <xf numFmtId="0" fontId="50" fillId="5" borderId="0" xfId="4584" applyFont="1" applyFill="1" applyBorder="1" applyAlignment="1">
      <alignment horizontal="center"/>
    </xf>
    <xf numFmtId="0" fontId="50" fillId="5" borderId="11" xfId="4584" applyFont="1" applyFill="1" applyBorder="1" applyAlignment="1">
      <alignment horizontal="center"/>
    </xf>
    <xf numFmtId="0" fontId="50" fillId="5" borderId="10" xfId="4584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175" fontId="0" fillId="0" borderId="68" xfId="0" applyNumberFormat="1" applyBorder="1"/>
    <xf numFmtId="0" fontId="29" fillId="0" borderId="68" xfId="0" applyFont="1" applyBorder="1" applyAlignment="1">
      <alignment horizontal="center"/>
    </xf>
    <xf numFmtId="175" fontId="0" fillId="0" borderId="73" xfId="0" applyNumberFormat="1" applyBorder="1"/>
    <xf numFmtId="175" fontId="29" fillId="0" borderId="71" xfId="0" applyNumberFormat="1" applyFont="1" applyBorder="1"/>
    <xf numFmtId="37" fontId="0" fillId="0" borderId="0" xfId="0" applyNumberFormat="1" applyFill="1"/>
    <xf numFmtId="0" fontId="51" fillId="0" borderId="0" xfId="0" applyFont="1" applyAlignment="1">
      <alignment wrapText="1"/>
    </xf>
    <xf numFmtId="0" fontId="29" fillId="0" borderId="68" xfId="0" applyFont="1" applyFill="1" applyBorder="1" applyAlignment="1">
      <alignment vertical="center" wrapText="1"/>
    </xf>
    <xf numFmtId="0" fontId="15" fillId="0" borderId="68" xfId="5616" applyBorder="1"/>
    <xf numFmtId="17" fontId="15" fillId="0" borderId="68" xfId="5616" applyNumberFormat="1" applyBorder="1" applyAlignment="1">
      <alignment horizontal="right"/>
    </xf>
    <xf numFmtId="0" fontId="15" fillId="0" borderId="68" xfId="5616" applyFill="1" applyBorder="1"/>
    <xf numFmtId="17" fontId="15" fillId="0" borderId="68" xfId="5616" applyNumberFormat="1" applyFill="1" applyBorder="1" applyAlignment="1">
      <alignment horizontal="right"/>
    </xf>
    <xf numFmtId="175" fontId="10" fillId="0" borderId="68" xfId="1" applyNumberFormat="1" applyFont="1" applyBorder="1"/>
    <xf numFmtId="0" fontId="92" fillId="0" borderId="68" xfId="5616" applyFont="1" applyBorder="1" applyAlignment="1">
      <alignment horizontal="center"/>
    </xf>
    <xf numFmtId="0" fontId="29" fillId="0" borderId="0" xfId="0" applyFont="1" applyFill="1" applyAlignment="1">
      <alignment wrapText="1"/>
    </xf>
    <xf numFmtId="175" fontId="29" fillId="0" borderId="0" xfId="0" applyNumberFormat="1" applyFont="1" applyFill="1" applyBorder="1"/>
    <xf numFmtId="0" fontId="92" fillId="0" borderId="0" xfId="5616" applyFont="1" applyAlignment="1">
      <alignment horizontal="center"/>
    </xf>
    <xf numFmtId="167" fontId="29" fillId="0" borderId="0" xfId="1" applyFont="1" applyAlignment="1">
      <alignment horizontal="center"/>
    </xf>
    <xf numFmtId="175" fontId="36" fillId="0" borderId="0" xfId="1" applyNumberFormat="1" applyFont="1" applyFill="1" applyBorder="1"/>
    <xf numFmtId="0" fontId="92" fillId="8" borderId="68" xfId="8898" applyFont="1" applyFill="1" applyBorder="1" applyAlignment="1">
      <alignment horizontal="center" wrapText="1"/>
    </xf>
    <xf numFmtId="0" fontId="92" fillId="8" borderId="68" xfId="8898" applyFont="1" applyFill="1" applyBorder="1"/>
    <xf numFmtId="175" fontId="13" fillId="0" borderId="68" xfId="8935" applyNumberFormat="1" applyFont="1" applyBorder="1"/>
    <xf numFmtId="175" fontId="101" fillId="0" borderId="68" xfId="1" applyNumberFormat="1" applyFont="1" applyFill="1" applyBorder="1"/>
    <xf numFmtId="169" fontId="0" fillId="0" borderId="68" xfId="2" applyNumberFormat="1" applyFont="1" applyBorder="1"/>
    <xf numFmtId="10" fontId="0" fillId="0" borderId="68" xfId="2" applyNumberFormat="1" applyFont="1" applyBorder="1"/>
    <xf numFmtId="10" fontId="29" fillId="0" borderId="68" xfId="2" applyNumberFormat="1" applyFont="1" applyBorder="1"/>
    <xf numFmtId="0" fontId="92" fillId="76" borderId="68" xfId="0" applyFont="1" applyFill="1" applyBorder="1" applyAlignment="1">
      <alignment horizontal="center" vertical="center" wrapText="1"/>
    </xf>
    <xf numFmtId="175" fontId="100" fillId="0" borderId="0" xfId="0" applyNumberFormat="1" applyFont="1"/>
    <xf numFmtId="0" fontId="51" fillId="0" borderId="68" xfId="0" applyFont="1" applyBorder="1"/>
    <xf numFmtId="0" fontId="51" fillId="0" borderId="68" xfId="0" applyFont="1" applyBorder="1" applyAlignment="1">
      <alignment horizontal="center" wrapText="1"/>
    </xf>
    <xf numFmtId="0" fontId="92" fillId="0" borderId="68" xfId="5616" applyFont="1" applyBorder="1" applyAlignment="1">
      <alignment horizontal="center" vertical="center" wrapText="1"/>
    </xf>
    <xf numFmtId="0" fontId="29" fillId="0" borderId="68" xfId="0" applyFont="1" applyBorder="1" applyAlignment="1">
      <alignment horizontal="center" vertical="center" wrapText="1"/>
    </xf>
    <xf numFmtId="175" fontId="0" fillId="75" borderId="68" xfId="0" applyNumberFormat="1" applyFill="1" applyBorder="1"/>
    <xf numFmtId="0" fontId="0" fillId="76" borderId="68" xfId="0" applyFill="1" applyBorder="1"/>
    <xf numFmtId="37" fontId="29" fillId="0" borderId="38" xfId="0" applyNumberFormat="1" applyFont="1" applyFill="1" applyBorder="1" applyAlignment="1">
      <alignment horizontal="right"/>
    </xf>
    <xf numFmtId="0" fontId="126" fillId="0" borderId="0" xfId="0" applyFont="1" applyAlignment="1"/>
    <xf numFmtId="0" fontId="29" fillId="0" borderId="5" xfId="0" applyFont="1" applyBorder="1" applyAlignment="1"/>
    <xf numFmtId="0" fontId="50" fillId="5" borderId="45" xfId="0" applyFont="1" applyFill="1" applyBorder="1" applyAlignment="1">
      <alignment horizontal="center" wrapText="1"/>
    </xf>
    <xf numFmtId="0" fontId="50" fillId="5" borderId="76" xfId="0" applyFont="1" applyFill="1" applyBorder="1" applyAlignment="1">
      <alignment horizontal="center" wrapText="1"/>
    </xf>
    <xf numFmtId="0" fontId="29" fillId="0" borderId="78" xfId="0" applyFont="1" applyFill="1" applyBorder="1"/>
    <xf numFmtId="39" fontId="27" fillId="77" borderId="76" xfId="0" applyNumberFormat="1" applyFont="1" applyFill="1" applyBorder="1" applyAlignment="1">
      <alignment horizontal="right"/>
    </xf>
    <xf numFmtId="0" fontId="29" fillId="0" borderId="80" xfId="0" applyFont="1" applyFill="1" applyBorder="1"/>
    <xf numFmtId="210" fontId="27" fillId="77" borderId="81" xfId="0" applyNumberFormat="1" applyFont="1" applyFill="1" applyBorder="1" applyAlignment="1">
      <alignment horizontal="right"/>
    </xf>
    <xf numFmtId="0" fontId="29" fillId="0" borderId="82" xfId="0" applyFont="1" applyFill="1" applyBorder="1" applyAlignment="1"/>
    <xf numFmtId="211" fontId="27" fillId="77" borderId="83" xfId="1" applyNumberFormat="1" applyFont="1" applyFill="1" applyBorder="1" applyAlignment="1">
      <alignment horizontal="right"/>
    </xf>
    <xf numFmtId="211" fontId="27" fillId="77" borderId="76" xfId="1" applyNumberFormat="1" applyFont="1" applyFill="1" applyBorder="1" applyAlignment="1">
      <alignment horizontal="right"/>
    </xf>
    <xf numFmtId="0" fontId="29" fillId="0" borderId="84" xfId="0" applyFont="1" applyFill="1" applyBorder="1" applyAlignment="1"/>
    <xf numFmtId="0" fontId="29" fillId="0" borderId="80" xfId="0" applyFont="1" applyFill="1" applyBorder="1" applyProtection="1">
      <protection locked="0"/>
    </xf>
    <xf numFmtId="212" fontId="27" fillId="77" borderId="85" xfId="1" applyNumberFormat="1" applyFont="1" applyFill="1" applyBorder="1" applyAlignment="1">
      <alignment horizontal="right"/>
    </xf>
    <xf numFmtId="212" fontId="27" fillId="77" borderId="86" xfId="1" applyNumberFormat="1" applyFont="1" applyFill="1" applyBorder="1" applyAlignment="1">
      <alignment horizontal="right"/>
    </xf>
    <xf numFmtId="0" fontId="29" fillId="0" borderId="79" xfId="0" applyFont="1" applyFill="1" applyBorder="1" applyAlignment="1"/>
    <xf numFmtId="212" fontId="27" fillId="77" borderId="87" xfId="1" applyNumberFormat="1" applyFont="1" applyFill="1" applyBorder="1" applyAlignment="1">
      <alignment horizontal="right"/>
    </xf>
    <xf numFmtId="212" fontId="27" fillId="77" borderId="81" xfId="1" applyNumberFormat="1" applyFont="1" applyFill="1" applyBorder="1" applyAlignment="1">
      <alignment horizontal="right"/>
    </xf>
    <xf numFmtId="39" fontId="27" fillId="77" borderId="83" xfId="1" applyNumberFormat="1" applyFont="1" applyFill="1" applyBorder="1" applyAlignment="1">
      <alignment horizontal="right"/>
    </xf>
    <xf numFmtId="39" fontId="27" fillId="77" borderId="76" xfId="1" applyNumberFormat="1" applyFont="1" applyFill="1" applyBorder="1" applyAlignment="1">
      <alignment horizontal="right"/>
    </xf>
    <xf numFmtId="210" fontId="27" fillId="77" borderId="85" xfId="1" applyNumberFormat="1" applyFont="1" applyFill="1" applyBorder="1" applyAlignment="1">
      <alignment horizontal="right"/>
    </xf>
    <xf numFmtId="210" fontId="27" fillId="77" borderId="86" xfId="1" applyNumberFormat="1" applyFont="1" applyFill="1" applyBorder="1" applyAlignment="1">
      <alignment horizontal="right"/>
    </xf>
    <xf numFmtId="39" fontId="27" fillId="77" borderId="87" xfId="1" applyNumberFormat="1" applyFont="1" applyFill="1" applyBorder="1" applyAlignment="1">
      <alignment horizontal="right"/>
    </xf>
    <xf numFmtId="39" fontId="27" fillId="77" borderId="81" xfId="1" applyNumberFormat="1" applyFont="1" applyFill="1" applyBorder="1" applyAlignment="1">
      <alignment horizontal="right"/>
    </xf>
    <xf numFmtId="0" fontId="29" fillId="0" borderId="84" xfId="0" applyFont="1" applyFill="1" applyBorder="1"/>
    <xf numFmtId="39" fontId="27" fillId="77" borderId="85" xfId="1" applyNumberFormat="1" applyFont="1" applyFill="1" applyBorder="1" applyAlignment="1">
      <alignment horizontal="right"/>
    </xf>
    <xf numFmtId="39" fontId="27" fillId="77" borderId="86" xfId="1" applyNumberFormat="1" applyFont="1" applyFill="1" applyBorder="1" applyAlignment="1">
      <alignment horizontal="right"/>
    </xf>
    <xf numFmtId="39" fontId="27" fillId="77" borderId="88" xfId="1" applyNumberFormat="1" applyFont="1" applyFill="1" applyBorder="1" applyAlignment="1">
      <alignment horizontal="right"/>
    </xf>
    <xf numFmtId="39" fontId="27" fillId="77" borderId="89" xfId="1" applyNumberFormat="1" applyFont="1" applyFill="1" applyBorder="1" applyAlignment="1">
      <alignment horizontal="right"/>
    </xf>
    <xf numFmtId="0" fontId="29" fillId="0" borderId="93" xfId="0" applyFont="1" applyFill="1" applyBorder="1"/>
    <xf numFmtId="0" fontId="29" fillId="0" borderId="94" xfId="0" applyFont="1" applyFill="1" applyBorder="1"/>
    <xf numFmtId="211" fontId="27" fillId="77" borderId="85" xfId="1" applyNumberFormat="1" applyFont="1" applyFill="1" applyBorder="1" applyAlignment="1">
      <alignment horizontal="right"/>
    </xf>
    <xf numFmtId="211" fontId="27" fillId="77" borderId="86" xfId="1" applyNumberFormat="1" applyFont="1" applyFill="1" applyBorder="1" applyAlignment="1">
      <alignment horizontal="right"/>
    </xf>
    <xf numFmtId="0" fontId="29" fillId="0" borderId="83" xfId="0" applyFont="1" applyFill="1" applyBorder="1"/>
    <xf numFmtId="0" fontId="29" fillId="0" borderId="85" xfId="0" applyFont="1" applyFill="1" applyBorder="1"/>
    <xf numFmtId="0" fontId="29" fillId="0" borderId="87" xfId="0" applyFont="1" applyFill="1" applyBorder="1"/>
    <xf numFmtId="210" fontId="27" fillId="77" borderId="81" xfId="1" applyNumberFormat="1" applyFont="1" applyFill="1" applyBorder="1" applyAlignment="1">
      <alignment horizontal="right"/>
    </xf>
    <xf numFmtId="0" fontId="29" fillId="0" borderId="75" xfId="0" applyFont="1" applyFill="1" applyBorder="1" applyAlignment="1"/>
    <xf numFmtId="0" fontId="0" fillId="0" borderId="0" xfId="0" applyFill="1"/>
    <xf numFmtId="0" fontId="130" fillId="0" borderId="0" xfId="0" applyFont="1" applyFill="1"/>
    <xf numFmtId="175" fontId="130" fillId="0" borderId="0" xfId="0" applyNumberFormat="1" applyFont="1" applyFill="1"/>
    <xf numFmtId="175" fontId="0" fillId="0" borderId="0" xfId="0" applyNumberFormat="1" applyFill="1" applyAlignment="1">
      <alignment horizontal="center"/>
    </xf>
    <xf numFmtId="175" fontId="130" fillId="0" borderId="0" xfId="1" applyNumberFormat="1" applyFont="1" applyFill="1"/>
    <xf numFmtId="167" fontId="130" fillId="0" borderId="0" xfId="1" applyFont="1" applyFill="1"/>
    <xf numFmtId="1" fontId="130" fillId="0" borderId="0" xfId="0" applyNumberFormat="1" applyFont="1" applyFill="1"/>
    <xf numFmtId="3" fontId="130" fillId="0" borderId="0" xfId="0" applyNumberFormat="1" applyFont="1" applyFill="1"/>
    <xf numFmtId="169" fontId="0" fillId="0" borderId="11" xfId="2" applyNumberFormat="1" applyFont="1" applyFill="1" applyBorder="1"/>
    <xf numFmtId="175" fontId="0" fillId="0" borderId="0" xfId="1" applyNumberFormat="1" applyFont="1" applyFill="1" applyBorder="1" applyAlignment="1">
      <alignment horizontal="right"/>
    </xf>
    <xf numFmtId="0" fontId="29" fillId="0" borderId="5" xfId="0" applyFont="1" applyBorder="1" applyAlignment="1">
      <alignment horizontal="center"/>
    </xf>
    <xf numFmtId="0" fontId="126" fillId="0" borderId="0" xfId="0" applyFont="1" applyAlignment="1">
      <alignment horizontal="center" wrapText="1"/>
    </xf>
    <xf numFmtId="0" fontId="129" fillId="0" borderId="0" xfId="0" applyFont="1" applyAlignment="1">
      <alignment horizontal="center" vertical="center" wrapText="1"/>
    </xf>
    <xf numFmtId="0" fontId="128" fillId="6" borderId="68" xfId="0" applyFont="1" applyFill="1" applyBorder="1" applyAlignment="1">
      <alignment horizontal="center" wrapText="1"/>
    </xf>
    <xf numFmtId="0" fontId="29" fillId="7" borderId="1" xfId="0" applyFont="1" applyFill="1" applyBorder="1" applyAlignment="1">
      <alignment horizontal="center"/>
    </xf>
    <xf numFmtId="0" fontId="29" fillId="7" borderId="3" xfId="0" applyFont="1" applyFill="1" applyBorder="1" applyAlignment="1">
      <alignment horizontal="center"/>
    </xf>
    <xf numFmtId="0" fontId="126" fillId="0" borderId="0" xfId="0" applyFont="1" applyFill="1" applyAlignment="1">
      <alignment horizontal="center" wrapText="1"/>
    </xf>
    <xf numFmtId="0" fontId="126" fillId="7" borderId="0" xfId="0" applyFont="1" applyFill="1" applyAlignment="1">
      <alignment horizontal="center"/>
    </xf>
    <xf numFmtId="49" fontId="50" fillId="5" borderId="7" xfId="4584" applyNumberFormat="1" applyFont="1" applyFill="1" applyBorder="1" applyAlignment="1">
      <alignment horizontal="center"/>
    </xf>
    <xf numFmtId="49" fontId="50" fillId="5" borderId="8" xfId="4584" applyNumberFormat="1" applyFont="1" applyFill="1" applyBorder="1" applyAlignment="1">
      <alignment horizontal="center"/>
    </xf>
    <xf numFmtId="49" fontId="50" fillId="5" borderId="9" xfId="4584" applyNumberFormat="1" applyFont="1" applyFill="1" applyBorder="1" applyAlignment="1">
      <alignment horizontal="center"/>
    </xf>
    <xf numFmtId="0" fontId="126" fillId="7" borderId="0" xfId="0" applyFont="1" applyFill="1" applyAlignment="1">
      <alignment horizontal="center" wrapText="1"/>
    </xf>
    <xf numFmtId="0" fontId="29" fillId="3" borderId="7" xfId="0" applyFont="1" applyFill="1" applyBorder="1" applyAlignment="1">
      <alignment vertical="center" textRotation="90"/>
    </xf>
    <xf numFmtId="0" fontId="29" fillId="3" borderId="10" xfId="0" applyFont="1" applyFill="1" applyBorder="1" applyAlignment="1">
      <alignment vertical="center" textRotation="90"/>
    </xf>
    <xf numFmtId="0" fontId="54" fillId="2" borderId="0" xfId="0" applyFont="1" applyFill="1" applyAlignment="1">
      <alignment horizontal="center"/>
    </xf>
    <xf numFmtId="0" fontId="51" fillId="0" borderId="0" xfId="0" applyFont="1" applyAlignment="1">
      <alignment horizontal="center"/>
    </xf>
    <xf numFmtId="0" fontId="51" fillId="0" borderId="0" xfId="0" applyFont="1" applyBorder="1" applyAlignment="1">
      <alignment horizontal="center"/>
    </xf>
    <xf numFmtId="3" fontId="29" fillId="0" borderId="69" xfId="0" applyNumberFormat="1" applyFont="1" applyFill="1" applyBorder="1" applyAlignment="1">
      <alignment horizontal="center" textRotation="90"/>
    </xf>
    <xf numFmtId="3" fontId="29" fillId="0" borderId="70" xfId="0" applyNumberFormat="1" applyFont="1" applyFill="1" applyBorder="1" applyAlignment="1">
      <alignment horizontal="center" textRotation="90"/>
    </xf>
    <xf numFmtId="3" fontId="35" fillId="2" borderId="0" xfId="0" applyNumberFormat="1" applyFont="1" applyFill="1" applyBorder="1" applyAlignment="1">
      <alignment horizontal="center" wrapText="1"/>
    </xf>
    <xf numFmtId="0" fontId="126" fillId="0" borderId="5" xfId="0" applyFont="1" applyBorder="1" applyAlignment="1">
      <alignment horizontal="center" wrapText="1"/>
    </xf>
    <xf numFmtId="0" fontId="29" fillId="3" borderId="4" xfId="0" applyFont="1" applyFill="1" applyBorder="1" applyAlignment="1">
      <alignment vertical="center" textRotation="90"/>
    </xf>
    <xf numFmtId="0" fontId="29" fillId="3" borderId="8" xfId="0" applyFont="1" applyFill="1" applyBorder="1" applyAlignment="1">
      <alignment horizontal="center" vertical="center" textRotation="90"/>
    </xf>
    <xf numFmtId="0" fontId="29" fillId="3" borderId="0" xfId="0" applyFont="1" applyFill="1" applyBorder="1" applyAlignment="1">
      <alignment horizontal="center" vertical="center" textRotation="90"/>
    </xf>
    <xf numFmtId="0" fontId="29" fillId="76" borderId="68" xfId="0" applyFont="1" applyFill="1" applyBorder="1" applyAlignment="1">
      <alignment horizontal="center" vertical="center" wrapText="1"/>
    </xf>
    <xf numFmtId="0" fontId="51" fillId="0" borderId="68" xfId="0" applyFont="1" applyBorder="1" applyAlignment="1">
      <alignment horizontal="center" wrapText="1"/>
    </xf>
    <xf numFmtId="0" fontId="51" fillId="0" borderId="0" xfId="0" applyFont="1" applyAlignment="1">
      <alignment horizontal="center" wrapText="1"/>
    </xf>
    <xf numFmtId="0" fontId="29" fillId="76" borderId="0" xfId="0" applyFont="1" applyFill="1" applyAlignment="1">
      <alignment horizontal="center" wrapText="1"/>
    </xf>
    <xf numFmtId="0" fontId="92" fillId="65" borderId="45" xfId="0" applyFont="1" applyFill="1" applyBorder="1" applyAlignment="1">
      <alignment horizontal="center" vertical="center" wrapText="1"/>
    </xf>
    <xf numFmtId="175" fontId="92" fillId="65" borderId="45" xfId="1" applyNumberFormat="1" applyFont="1" applyFill="1" applyBorder="1" applyAlignment="1">
      <alignment horizontal="center" vertical="center" wrapText="1"/>
    </xf>
    <xf numFmtId="0" fontId="92" fillId="65" borderId="45" xfId="0" applyFont="1" applyFill="1" applyBorder="1" applyAlignment="1">
      <alignment horizontal="center" vertical="center"/>
    </xf>
    <xf numFmtId="0" fontId="92" fillId="69" borderId="53" xfId="0" applyFont="1" applyFill="1" applyBorder="1" applyAlignment="1">
      <alignment horizontal="center" vertical="center" wrapText="1"/>
    </xf>
    <xf numFmtId="0" fontId="92" fillId="69" borderId="54" xfId="0" applyFont="1" applyFill="1" applyBorder="1" applyAlignment="1">
      <alignment horizontal="center" vertical="center" wrapText="1"/>
    </xf>
    <xf numFmtId="0" fontId="92" fillId="69" borderId="51" xfId="0" applyFont="1" applyFill="1" applyBorder="1" applyAlignment="1">
      <alignment horizontal="center" vertical="center" wrapText="1"/>
    </xf>
    <xf numFmtId="0" fontId="92" fillId="69" borderId="52" xfId="0" applyFont="1" applyFill="1" applyBorder="1" applyAlignment="1">
      <alignment horizontal="center" vertical="center" wrapText="1"/>
    </xf>
    <xf numFmtId="167" fontId="92" fillId="0" borderId="0" xfId="1" applyFont="1" applyAlignment="1">
      <alignment horizontal="center" wrapText="1"/>
    </xf>
    <xf numFmtId="0" fontId="92" fillId="69" borderId="15" xfId="0" applyFont="1" applyFill="1" applyBorder="1" applyAlignment="1">
      <alignment horizontal="center" vertical="center" wrapText="1"/>
    </xf>
    <xf numFmtId="0" fontId="92" fillId="69" borderId="13" xfId="0" applyFont="1" applyFill="1" applyBorder="1" applyAlignment="1">
      <alignment horizontal="center" vertical="center" wrapText="1"/>
    </xf>
    <xf numFmtId="0" fontId="29" fillId="76" borderId="0" xfId="0" applyFont="1" applyFill="1" applyAlignment="1">
      <alignment horizontal="center" vertical="center" wrapText="1"/>
    </xf>
    <xf numFmtId="3" fontId="54" fillId="5" borderId="5" xfId="0" applyNumberFormat="1" applyFont="1" applyFill="1" applyBorder="1" applyAlignment="1">
      <alignment horizontal="center"/>
    </xf>
    <xf numFmtId="0" fontId="35" fillId="2" borderId="7" xfId="0" applyFont="1" applyFill="1" applyBorder="1" applyAlignment="1">
      <alignment horizontal="center"/>
    </xf>
    <xf numFmtId="0" fontId="27" fillId="0" borderId="8" xfId="0" applyFont="1" applyBorder="1" applyAlignment="1"/>
    <xf numFmtId="0" fontId="27" fillId="0" borderId="9" xfId="0" applyFont="1" applyBorder="1" applyAlignment="1"/>
    <xf numFmtId="0" fontId="35" fillId="2" borderId="8" xfId="0" applyFont="1" applyFill="1" applyBorder="1" applyAlignment="1">
      <alignment horizontal="center"/>
    </xf>
    <xf numFmtId="0" fontId="31" fillId="2" borderId="15" xfId="0" applyFont="1" applyFill="1" applyBorder="1" applyAlignment="1">
      <alignment vertical="center" textRotation="90"/>
    </xf>
    <xf numFmtId="0" fontId="31" fillId="2" borderId="13" xfId="0" applyFont="1" applyFill="1" applyBorder="1" applyAlignment="1">
      <alignment vertical="center" textRotation="90"/>
    </xf>
    <xf numFmtId="0" fontId="41" fillId="2" borderId="14" xfId="0" applyFont="1" applyFill="1" applyBorder="1" applyAlignment="1"/>
    <xf numFmtId="173" fontId="37" fillId="0" borderId="0" xfId="1" applyNumberFormat="1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173" fontId="37" fillId="0" borderId="0" xfId="1" applyNumberFormat="1" applyFont="1" applyFill="1" applyAlignment="1"/>
    <xf numFmtId="0" fontId="27" fillId="0" borderId="0" xfId="0" applyFont="1" applyFill="1" applyAlignment="1"/>
    <xf numFmtId="0" fontId="27" fillId="0" borderId="0" xfId="0" applyFont="1" applyFill="1" applyAlignment="1">
      <alignment horizontal="center"/>
    </xf>
    <xf numFmtId="0" fontId="31" fillId="2" borderId="14" xfId="0" applyFont="1" applyFill="1" applyBorder="1" applyAlignment="1">
      <alignment vertical="center" textRotation="90"/>
    </xf>
    <xf numFmtId="0" fontId="31" fillId="2" borderId="7" xfId="0" applyFont="1" applyFill="1" applyBorder="1" applyAlignment="1">
      <alignment horizontal="center"/>
    </xf>
    <xf numFmtId="0" fontId="31" fillId="2" borderId="8" xfId="0" applyFont="1" applyFill="1" applyBorder="1" applyAlignment="1">
      <alignment horizontal="center"/>
    </xf>
    <xf numFmtId="0" fontId="31" fillId="2" borderId="9" xfId="0" applyFont="1" applyFill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31" fillId="2" borderId="1" xfId="0" applyFont="1" applyFill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7" fillId="0" borderId="2" xfId="0" applyFont="1" applyBorder="1" applyAlignment="1"/>
    <xf numFmtId="0" fontId="27" fillId="0" borderId="3" xfId="0" applyFont="1" applyBorder="1" applyAlignment="1"/>
    <xf numFmtId="173" fontId="37" fillId="0" borderId="0" xfId="1" applyNumberFormat="1" applyFont="1" applyFill="1" applyBorder="1" applyAlignment="1">
      <alignment horizontal="center"/>
    </xf>
    <xf numFmtId="0" fontId="127" fillId="0" borderId="0" xfId="0" applyFont="1" applyAlignment="1">
      <alignment horizontal="center" wrapText="1"/>
    </xf>
    <xf numFmtId="175" fontId="12" fillId="0" borderId="0" xfId="11938" applyNumberFormat="1" applyFont="1" applyFill="1" applyBorder="1" applyAlignment="1"/>
    <xf numFmtId="0" fontId="135" fillId="0" borderId="5" xfId="0" applyFont="1" applyBorder="1" applyAlignment="1">
      <alignment horizontal="center" wrapText="1"/>
    </xf>
    <xf numFmtId="0" fontId="136" fillId="0" borderId="74" xfId="0" applyFont="1" applyBorder="1" applyAlignment="1">
      <alignment horizontal="center" wrapText="1"/>
    </xf>
    <xf numFmtId="0" fontId="51" fillId="0" borderId="68" xfId="0" applyFont="1" applyBorder="1" applyAlignment="1">
      <alignment horizontal="center" vertical="center"/>
    </xf>
    <xf numFmtId="0" fontId="50" fillId="5" borderId="4" xfId="0" applyFont="1" applyFill="1" applyBorder="1" applyAlignment="1">
      <alignment horizontal="center"/>
    </xf>
    <xf numFmtId="0" fontId="50" fillId="5" borderId="38" xfId="0" applyFont="1" applyFill="1" applyBorder="1" applyAlignment="1">
      <alignment horizontal="center"/>
    </xf>
    <xf numFmtId="0" fontId="30" fillId="3" borderId="15" xfId="0" applyFont="1" applyFill="1" applyBorder="1" applyAlignment="1">
      <alignment vertical="center" textRotation="90"/>
    </xf>
    <xf numFmtId="0" fontId="32" fillId="3" borderId="13" xfId="0" applyFont="1" applyFill="1" applyBorder="1" applyAlignment="1">
      <alignment vertical="center" textRotation="90"/>
    </xf>
    <xf numFmtId="0" fontId="54" fillId="5" borderId="0" xfId="0" applyFont="1" applyFill="1" applyAlignment="1">
      <alignment horizontal="center"/>
    </xf>
    <xf numFmtId="0" fontId="29" fillId="0" borderId="77" xfId="0" applyFont="1" applyFill="1" applyBorder="1"/>
    <xf numFmtId="0" fontId="29" fillId="0" borderId="79" xfId="0" applyFont="1" applyFill="1" applyBorder="1"/>
    <xf numFmtId="0" fontId="29" fillId="0" borderId="82" xfId="0" applyFont="1" applyFill="1" applyBorder="1"/>
    <xf numFmtId="0" fontId="29" fillId="0" borderId="84" xfId="0" applyFont="1" applyFill="1" applyBorder="1"/>
    <xf numFmtId="0" fontId="29" fillId="0" borderId="82" xfId="0" applyFont="1" applyFill="1" applyBorder="1" applyAlignment="1">
      <alignment horizontal="left" wrapText="1"/>
    </xf>
    <xf numFmtId="0" fontId="29" fillId="0" borderId="84" xfId="0" applyFont="1" applyFill="1" applyBorder="1" applyAlignment="1">
      <alignment horizontal="left" wrapText="1"/>
    </xf>
    <xf numFmtId="0" fontId="29" fillId="0" borderId="79" xfId="0" applyFont="1" applyFill="1" applyBorder="1" applyAlignment="1">
      <alignment horizontal="left" wrapText="1"/>
    </xf>
    <xf numFmtId="0" fontId="0" fillId="0" borderId="0" xfId="0" applyFill="1"/>
    <xf numFmtId="0" fontId="126" fillId="0" borderId="0" xfId="0" applyFont="1" applyFill="1" applyAlignment="1">
      <alignment wrapText="1"/>
    </xf>
    <xf numFmtId="0" fontId="29" fillId="0" borderId="90" xfId="0" applyFont="1" applyFill="1" applyBorder="1"/>
    <xf numFmtId="0" fontId="29" fillId="0" borderId="91" xfId="0" applyFont="1" applyFill="1" applyBorder="1"/>
    <xf numFmtId="0" fontId="29" fillId="0" borderId="92" xfId="0" applyFont="1" applyFill="1" applyBorder="1"/>
    <xf numFmtId="173" fontId="36" fillId="0" borderId="11" xfId="1" applyNumberFormat="1" applyFont="1" applyFill="1" applyBorder="1"/>
  </cellXfs>
  <cellStyles count="29719">
    <cellStyle name="$" xfId="15"/>
    <cellStyle name="$ 2" xfId="16"/>
    <cellStyle name="$ 2 2" xfId="519"/>
    <cellStyle name="$ 3" xfId="354"/>
    <cellStyle name="$.00" xfId="355"/>
    <cellStyle name="$_9. Rev2Cost_GDPIPI" xfId="15760"/>
    <cellStyle name="$_Adjustments-RSVA" xfId="17"/>
    <cellStyle name="$_Adjustments-RSVA 2" xfId="520"/>
    <cellStyle name="$_Adjustments-RSVA_Brampton Rev. Tracking" xfId="521"/>
    <cellStyle name="$_Adjustments-RSVA_Brampton Rev. Tracking 2" xfId="522"/>
    <cellStyle name="$_Brampton Rev. Tracking" xfId="523"/>
    <cellStyle name="$_Brampton Rev. Tracking 2" xfId="524"/>
    <cellStyle name="$_CCA-Request_H11bps" xfId="18"/>
    <cellStyle name="$_CCA-Request_H11bps 2" xfId="19"/>
    <cellStyle name="$_CCA-Request_H11bps 2 2" xfId="525"/>
    <cellStyle name="$_CCA-Request_H11bps July 9" xfId="20"/>
    <cellStyle name="$_CCA-Request_H11bps July 9 2" xfId="21"/>
    <cellStyle name="$_CCA-Request_H11bps July 9 2 2" xfId="526"/>
    <cellStyle name="$_CCA-Request_H11bps July 9_Adjustments-RSVA" xfId="22"/>
    <cellStyle name="$_CCA-Request_H11bps July 9_Adjustments-RSVA 2" xfId="527"/>
    <cellStyle name="$_CCA-Request_H11bps July 9_Adjustments-RSVA_Brampton Rev. Tracking" xfId="528"/>
    <cellStyle name="$_CCA-Request_H11bps July 9_Adjustments-RSVA_Brampton Rev. Tracking 2" xfId="529"/>
    <cellStyle name="$_CCA-Request_H11bps July 9_Brampton Rev. Tracking" xfId="530"/>
    <cellStyle name="$_CCA-Request_H11bps July 9_Brampton Rev. Tracking 2" xfId="531"/>
    <cellStyle name="$_CCA-Request_H11bps_Adjustments-RSVA" xfId="23"/>
    <cellStyle name="$_CCA-Request_H11bps_Adjustments-RSVA 2" xfId="532"/>
    <cellStyle name="$_CCA-Request_H11bps_Adjustments-RSVA_Brampton Rev. Tracking" xfId="533"/>
    <cellStyle name="$_CCA-Request_H11bps_Adjustments-RSVA_Brampton Rev. Tracking 2" xfId="534"/>
    <cellStyle name="$_CCA-Request_H11bps_Brampton Rev. Tracking" xfId="535"/>
    <cellStyle name="$_CCA-Request_H11bps_Brampton Rev. Tracking 2" xfId="536"/>
    <cellStyle name="$_lists" xfId="15759"/>
    <cellStyle name="$_lists_4. Current Monthly Fixed Charge" xfId="15758"/>
    <cellStyle name="$_Sheet4" xfId="15757"/>
    <cellStyle name="$comma" xfId="24"/>
    <cellStyle name="$comma 2" xfId="126"/>
    <cellStyle name="$comma 2 2" xfId="537"/>
    <cellStyle name="$comma 3" xfId="538"/>
    <cellStyle name="$comma 3 2" xfId="539"/>
    <cellStyle name="$comma 4" xfId="540"/>
    <cellStyle name="$comma_Data Check Control" xfId="232"/>
    <cellStyle name="$M" xfId="356"/>
    <cellStyle name="$M.00" xfId="357"/>
    <cellStyle name="_Comma" xfId="25"/>
    <cellStyle name="_Comma 2" xfId="26"/>
    <cellStyle name="_Comma 2 2" xfId="541"/>
    <cellStyle name="_Currency" xfId="27"/>
    <cellStyle name="_Currency 2" xfId="28"/>
    <cellStyle name="_Currency 2 2" xfId="542"/>
    <cellStyle name="_CurrencySpace" xfId="29"/>
    <cellStyle name="_CurrencySpace 2" xfId="30"/>
    <cellStyle name="_CurrencySpace 2 2" xfId="543"/>
    <cellStyle name="_Multiple" xfId="31"/>
    <cellStyle name="_Multiple 2" xfId="32"/>
    <cellStyle name="_Multiple 2 2" xfId="544"/>
    <cellStyle name="_Multiple 3" xfId="545"/>
    <cellStyle name="_Multiple_2007 PBR Filing Working File 080115" xfId="546"/>
    <cellStyle name="_Multiple_2008 PBR Filing Working File 090116" xfId="547"/>
    <cellStyle name="_Multiple_2010 RMDx BP090610c-1" xfId="548"/>
    <cellStyle name="_Multiple_2010 RMDx BP091222c-old" xfId="549"/>
    <cellStyle name="_Multiple_Actual vs. Budget Volume" xfId="550"/>
    <cellStyle name="_Multiple_Book1" xfId="551"/>
    <cellStyle name="_Multiple_Brampton HOBNI RCOPA Tracking" xfId="552"/>
    <cellStyle name="_Multiple_Brampton Rev. Tracking" xfId="553"/>
    <cellStyle name="_Multiple_Brampton Rev. Tracking 2" xfId="554"/>
    <cellStyle name="_Multiple_Detail" xfId="555"/>
    <cellStyle name="_Multiple_Dx Decision Workbook (2)" xfId="556"/>
    <cellStyle name="_Multiple_F_Mstr_Cntrl_rates" xfId="557"/>
    <cellStyle name="_Multiple_Fcst_Chg_new" xfId="558"/>
    <cellStyle name="_Multiple_Fcst_new" xfId="559"/>
    <cellStyle name="_Multiple_Fcst_Prev_new" xfId="560"/>
    <cellStyle name="_Multiple_In_F_Dx_Rates_new" xfId="561"/>
    <cellStyle name="_Multiple_In_R_Customers_new" xfId="562"/>
    <cellStyle name="_Multiple_In_R_kWhs_New" xfId="563"/>
    <cellStyle name="_Multiple_In_R_kWs_New" xfId="564"/>
    <cellStyle name="_Multiple_LV" xfId="565"/>
    <cellStyle name="_Multiple_Monthly Foregone Revenue Cal'n_08PL based on Sep07 LF_090109 (3)" xfId="566"/>
    <cellStyle name="_Multiple_Out_Accrual_Bud_091222c" xfId="567"/>
    <cellStyle name="_Multiple_Out_Accrual_Bud_100222f" xfId="568"/>
    <cellStyle name="_Multiple_Out_Accrual_Bud_100525g" xfId="569"/>
    <cellStyle name="_Multiple_Out_Accural_Bud_101112a" xfId="570"/>
    <cellStyle name="_Multiple_Out_Variances_Summary" xfId="571"/>
    <cellStyle name="_Multiple_Q4-07 METS Rebate Accrual" xfId="572"/>
    <cellStyle name="_Multiple_Q4-07 METS Revenue Accrual" xfId="573"/>
    <cellStyle name="_Multiple_Rate Class" xfId="574"/>
    <cellStyle name="_Multiple_Revenue High Level Checking" xfId="575"/>
    <cellStyle name="_Multiple_RMBill Master Dec08 090105" xfId="576"/>
    <cellStyle name="_Multiple_RMBill Master Dec08 090116" xfId="577"/>
    <cellStyle name="_Multiple_RMDx BP061208b ACDec07_071227" xfId="578"/>
    <cellStyle name="_Multiple_RMDx BP061208b ACDec07_080104" xfId="579"/>
    <cellStyle name="_Multiple_RMDx BP061208b ACJune07_290607" xfId="580"/>
    <cellStyle name="_Multiple_RMDx BP071213h ACApr08_080430" xfId="581"/>
    <cellStyle name="_Multiple_RMDx BP071213h ACAugust08_080903" xfId="582"/>
    <cellStyle name="_Multiple_RMDx BP071213h ACDec08_090105v2" xfId="583"/>
    <cellStyle name="_Multiple_RMDx BP071213h ACFeb08_080304" xfId="584"/>
    <cellStyle name="_Multiple_RMDx BP071213h ACJuly08_080805 v3" xfId="585"/>
    <cellStyle name="_Multiple_RMDx BP071213h ACJune08_080703_SM Adjusted" xfId="586"/>
    <cellStyle name="_Multiple_RMDx BP071213h ACMar08_080401" xfId="587"/>
    <cellStyle name="_Multiple_RMDx BP071213h ACMay08_080603b" xfId="588"/>
    <cellStyle name="_Multiple_RMDx BP071213h ACNov08_081202" xfId="589"/>
    <cellStyle name="_Multiple_RMDx BP071213h ACOct08_081104" xfId="590"/>
    <cellStyle name="_Multiple_RMDx BP090121i ACDec09_100118" xfId="591"/>
    <cellStyle name="_Multiple_RMDx BP090121i ACJan09_090117" xfId="592"/>
    <cellStyle name="_Multiple_RMDx BP090121i ACJan09_090204b" xfId="593"/>
    <cellStyle name="_Multiple_RMDx BP090121i ACJuly09_090730" xfId="594"/>
    <cellStyle name="_Multiple_RMDx BP090121i ACJune09_090707_newrates" xfId="595"/>
    <cellStyle name="_Multiple_RMDx BP090121i ACMay09_090507_new rate classes" xfId="596"/>
    <cellStyle name="_Multiple_RMDx BP090121i ACMay09_090519" xfId="597"/>
    <cellStyle name="_Multiple_RMDx BP090121i ACMay09_090604" xfId="598"/>
    <cellStyle name="_Multiple_RMDx BP100525g ACMay10_100611" xfId="599"/>
    <cellStyle name="_Multiple_RMTx" xfId="600"/>
    <cellStyle name="_Multiple_RMTx BP052510j_Sep09LF ACAug10_100902" xfId="601"/>
    <cellStyle name="_Multiple_RMTx BP052510j_Sep09LF ACDec10_110106" xfId="602"/>
    <cellStyle name="_Multiple_RMTx BP081216h_Apr08LF ACNov09_100104 - Lei" xfId="603"/>
    <cellStyle name="_Multiple_Sheet1" xfId="604"/>
    <cellStyle name="_Multiple_Year End 2008 Journal Entry Workbook" xfId="605"/>
    <cellStyle name="_MultipleSpace" xfId="33"/>
    <cellStyle name="_MultipleSpace 2" xfId="34"/>
    <cellStyle name="_MultipleSpace 2 2" xfId="606"/>
    <cellStyle name="_MultipleSpace 3" xfId="607"/>
    <cellStyle name="_MultipleSpace_2007 PBR Filing Working File 080115" xfId="608"/>
    <cellStyle name="_MultipleSpace_2008 PBR Filing Working File 090116" xfId="609"/>
    <cellStyle name="_MultipleSpace_2010 RMDx BP090610c-1" xfId="610"/>
    <cellStyle name="_MultipleSpace_2010 RMDx BP091222c-old" xfId="611"/>
    <cellStyle name="_MultipleSpace_Actual vs. Budget Volume" xfId="612"/>
    <cellStyle name="_MultipleSpace_Book1" xfId="613"/>
    <cellStyle name="_MultipleSpace_Brampton HOBNI RCOPA Tracking" xfId="614"/>
    <cellStyle name="_MultipleSpace_Brampton Rev. Tracking" xfId="615"/>
    <cellStyle name="_MultipleSpace_Brampton Rev. Tracking 2" xfId="616"/>
    <cellStyle name="_MultipleSpace_Detail" xfId="617"/>
    <cellStyle name="_MultipleSpace_Dx Decision Workbook (2)" xfId="618"/>
    <cellStyle name="_MultipleSpace_F_Mstr_Cntrl_rates" xfId="619"/>
    <cellStyle name="_MultipleSpace_Fcst_Chg_new" xfId="620"/>
    <cellStyle name="_MultipleSpace_Fcst_new" xfId="621"/>
    <cellStyle name="_MultipleSpace_Fcst_Prev_new" xfId="622"/>
    <cellStyle name="_MultipleSpace_In_F_Dx_Rates_new" xfId="623"/>
    <cellStyle name="_MultipleSpace_In_R_Customers_new" xfId="624"/>
    <cellStyle name="_MultipleSpace_In_R_kWhs_New" xfId="625"/>
    <cellStyle name="_MultipleSpace_In_R_kWs_New" xfId="626"/>
    <cellStyle name="_MultipleSpace_LV" xfId="627"/>
    <cellStyle name="_MultipleSpace_Monthly Foregone Revenue Cal'n_08PL based on Sep07 LF_090109 (3)" xfId="628"/>
    <cellStyle name="_MultipleSpace_Out_Accrual_Bud_091222c" xfId="629"/>
    <cellStyle name="_MultipleSpace_Out_Accrual_Bud_100222f" xfId="630"/>
    <cellStyle name="_MultipleSpace_Out_Accrual_Bud_100525g" xfId="631"/>
    <cellStyle name="_MultipleSpace_Out_Accural_Bud_101112a" xfId="632"/>
    <cellStyle name="_MultipleSpace_Out_Variances_Summary" xfId="633"/>
    <cellStyle name="_MultipleSpace_Q4-07 METS Rebate Accrual" xfId="634"/>
    <cellStyle name="_MultipleSpace_Q4-07 METS Revenue Accrual" xfId="635"/>
    <cellStyle name="_MultipleSpace_Rate Class" xfId="636"/>
    <cellStyle name="_MultipleSpace_Revenue High Level Checking" xfId="637"/>
    <cellStyle name="_MultipleSpace_RMBill Master Dec08 090105" xfId="638"/>
    <cellStyle name="_MultipleSpace_RMBill Master Dec08 090116" xfId="639"/>
    <cellStyle name="_MultipleSpace_RMDx BP061208b ACDec07_071227" xfId="640"/>
    <cellStyle name="_MultipleSpace_RMDx BP061208b ACDec07_080104" xfId="641"/>
    <cellStyle name="_MultipleSpace_RMDx BP061208b ACJune07_290607" xfId="642"/>
    <cellStyle name="_MultipleSpace_RMDx BP071213h ACApr08_080430" xfId="643"/>
    <cellStyle name="_MultipleSpace_RMDx BP071213h ACAugust08_080903" xfId="644"/>
    <cellStyle name="_MultipleSpace_RMDx BP071213h ACDec08_090105v2" xfId="645"/>
    <cellStyle name="_MultipleSpace_RMDx BP071213h ACFeb08_080304" xfId="646"/>
    <cellStyle name="_MultipleSpace_RMDx BP071213h ACJuly08_080805 v3" xfId="647"/>
    <cellStyle name="_MultipleSpace_RMDx BP071213h ACJune08_080703_SM Adjusted" xfId="648"/>
    <cellStyle name="_MultipleSpace_RMDx BP071213h ACMar08_080401" xfId="649"/>
    <cellStyle name="_MultipleSpace_RMDx BP071213h ACMay08_080603b" xfId="650"/>
    <cellStyle name="_MultipleSpace_RMDx BP071213h ACNov08_081202" xfId="651"/>
    <cellStyle name="_MultipleSpace_RMDx BP071213h ACOct08_081104" xfId="652"/>
    <cellStyle name="_MultipleSpace_RMDx BP090121i ACDec09_100118" xfId="653"/>
    <cellStyle name="_MultipleSpace_RMDx BP090121i ACJan09_090117" xfId="654"/>
    <cellStyle name="_MultipleSpace_RMDx BP090121i ACJan09_090204b" xfId="655"/>
    <cellStyle name="_MultipleSpace_RMDx BP090121i ACJuly09_090730" xfId="656"/>
    <cellStyle name="_MultipleSpace_RMDx BP090121i ACJune09_090707_newrates" xfId="657"/>
    <cellStyle name="_MultipleSpace_RMDx BP090121i ACMay09_090507_new rate classes" xfId="658"/>
    <cellStyle name="_MultipleSpace_RMDx BP090121i ACMay09_090519" xfId="659"/>
    <cellStyle name="_MultipleSpace_RMDx BP090121i ACMay09_090604" xfId="660"/>
    <cellStyle name="_MultipleSpace_RMDx BP100525g ACMay10_100611" xfId="661"/>
    <cellStyle name="_MultipleSpace_RMTx" xfId="662"/>
    <cellStyle name="_MultipleSpace_RMTx BP052510j_Sep09LF ACAug10_100902" xfId="663"/>
    <cellStyle name="_MultipleSpace_RMTx BP052510j_Sep09LF ACDec10_110106" xfId="664"/>
    <cellStyle name="_MultipleSpace_RMTx BP081216h_Apr08LF ACNov09_100104 - Lei" xfId="665"/>
    <cellStyle name="_MultipleSpace_Sheet1" xfId="666"/>
    <cellStyle name="_MultipleSpace_Year End 2008 Journal Entry Workbook" xfId="667"/>
    <cellStyle name="_Percent" xfId="35"/>
    <cellStyle name="_Percent 2" xfId="36"/>
    <cellStyle name="_Percent 2 2" xfId="668"/>
    <cellStyle name="_Percent 3" xfId="669"/>
    <cellStyle name="_Percent_2007 PBR Filing Working File 080115" xfId="670"/>
    <cellStyle name="_Percent_2008 PBR Filing Working File 090116" xfId="671"/>
    <cellStyle name="_Percent_2010 RMDx BP090610c-1" xfId="672"/>
    <cellStyle name="_Percent_2010 RMDx BP091222c-old" xfId="673"/>
    <cellStyle name="_Percent_Actual vs. Budget Volume" xfId="674"/>
    <cellStyle name="_Percent_Book1" xfId="675"/>
    <cellStyle name="_Percent_Brampton HOBNI RCOPA Tracking" xfId="676"/>
    <cellStyle name="_Percent_Brampton Rev. Tracking" xfId="677"/>
    <cellStyle name="_Percent_Brampton Rev. Tracking 2" xfId="678"/>
    <cellStyle name="_Percent_Detail" xfId="679"/>
    <cellStyle name="_Percent_Dx Decision Workbook (2)" xfId="680"/>
    <cellStyle name="_Percent_F_Mstr_Cntrl_rates" xfId="681"/>
    <cellStyle name="_Percent_Fcst_Chg_new" xfId="682"/>
    <cellStyle name="_Percent_Fcst_new" xfId="683"/>
    <cellStyle name="_Percent_Fcst_Prev_new" xfId="684"/>
    <cellStyle name="_Percent_In_F_Dx_Rates_new" xfId="685"/>
    <cellStyle name="_Percent_In_R_Customers_new" xfId="686"/>
    <cellStyle name="_Percent_In_R_kWhs_New" xfId="687"/>
    <cellStyle name="_Percent_In_R_kWs_New" xfId="688"/>
    <cellStyle name="_Percent_LV" xfId="689"/>
    <cellStyle name="_Percent_Monthly Foregone Revenue Cal'n_08PL based on Sep07 LF_090109 (3)" xfId="690"/>
    <cellStyle name="_Percent_Out_Accrual_Bud_091222c" xfId="691"/>
    <cellStyle name="_Percent_Out_Accrual_Bud_100222f" xfId="692"/>
    <cellStyle name="_Percent_Out_Accrual_Bud_100525g" xfId="693"/>
    <cellStyle name="_Percent_Out_Accural_Bud_101112a" xfId="694"/>
    <cellStyle name="_Percent_Out_Variances_Summary" xfId="695"/>
    <cellStyle name="_Percent_Q4-07 METS Rebate Accrual" xfId="696"/>
    <cellStyle name="_Percent_Q4-07 METS Revenue Accrual" xfId="697"/>
    <cellStyle name="_Percent_Rate Class" xfId="698"/>
    <cellStyle name="_Percent_Revenue High Level Checking" xfId="699"/>
    <cellStyle name="_Percent_RMBill Master Dec08 090105" xfId="700"/>
    <cellStyle name="_Percent_RMBill Master Dec08 090116" xfId="701"/>
    <cellStyle name="_Percent_RMDx BP061208b ACDec07_071227" xfId="702"/>
    <cellStyle name="_Percent_RMDx BP061208b ACDec07_080104" xfId="703"/>
    <cellStyle name="_Percent_RMDx BP061208b ACJune07_290607" xfId="704"/>
    <cellStyle name="_Percent_RMDx BP071213h ACApr08_080430" xfId="705"/>
    <cellStyle name="_Percent_RMDx BP071213h ACAugust08_080903" xfId="706"/>
    <cellStyle name="_Percent_RMDx BP071213h ACDec08_090105v2" xfId="707"/>
    <cellStyle name="_Percent_RMDx BP071213h ACFeb08_080304" xfId="708"/>
    <cellStyle name="_Percent_RMDx BP071213h ACJuly08_080805 v3" xfId="709"/>
    <cellStyle name="_Percent_RMDx BP071213h ACJune08_080703_SM Adjusted" xfId="710"/>
    <cellStyle name="_Percent_RMDx BP071213h ACMar08_080401" xfId="711"/>
    <cellStyle name="_Percent_RMDx BP071213h ACMay08_080603b" xfId="712"/>
    <cellStyle name="_Percent_RMDx BP071213h ACNov08_081202" xfId="713"/>
    <cellStyle name="_Percent_RMDx BP071213h ACOct08_081104" xfId="714"/>
    <cellStyle name="_Percent_RMDx BP090121i ACDec09_100118" xfId="715"/>
    <cellStyle name="_Percent_RMDx BP090121i ACJan09_090117" xfId="716"/>
    <cellStyle name="_Percent_RMDx BP090121i ACJan09_090204b" xfId="717"/>
    <cellStyle name="_Percent_RMDx BP090121i ACJuly09_090730" xfId="718"/>
    <cellStyle name="_Percent_RMDx BP090121i ACJune09_090707_newrates" xfId="719"/>
    <cellStyle name="_Percent_RMDx BP090121i ACMay09_090507_new rate classes" xfId="720"/>
    <cellStyle name="_Percent_RMDx BP090121i ACMay09_090519" xfId="721"/>
    <cellStyle name="_Percent_RMDx BP090121i ACMay09_090604" xfId="722"/>
    <cellStyle name="_Percent_RMDx BP100525g ACMay10_100611" xfId="723"/>
    <cellStyle name="_Percent_RMTx" xfId="724"/>
    <cellStyle name="_Percent_RMTx BP052510j_Sep09LF ACAug10_100902" xfId="725"/>
    <cellStyle name="_Percent_RMTx BP052510j_Sep09LF ACDec10_110106" xfId="726"/>
    <cellStyle name="_Percent_RMTx BP081216h_Apr08LF ACNov09_100104 - Lei" xfId="727"/>
    <cellStyle name="_Percent_Sheet1" xfId="728"/>
    <cellStyle name="_Percent_Year End 2008 Journal Entry Workbook" xfId="729"/>
    <cellStyle name="_PercentSpace" xfId="37"/>
    <cellStyle name="_PercentSpace 2" xfId="38"/>
    <cellStyle name="_PercentSpace 2 2" xfId="730"/>
    <cellStyle name="_PercentSpace_AR Analysis 061207" xfId="731"/>
    <cellStyle name="_PercentSpace_RMDx BP050513a 051212a" xfId="732"/>
    <cellStyle name="20% - Accent1" xfId="438" builtinId="30" customBuiltin="1"/>
    <cellStyle name="20% - Accent1 10" xfId="15688"/>
    <cellStyle name="20% - Accent1 10 2" xfId="29109"/>
    <cellStyle name="20% - Accent1 11" xfId="15704"/>
    <cellStyle name="20% - Accent1 12" xfId="15822"/>
    <cellStyle name="20% - Accent1 13" xfId="15941"/>
    <cellStyle name="20% - Accent1 2" xfId="358"/>
    <cellStyle name="20% - Accent1 2 10" xfId="11955"/>
    <cellStyle name="20% - Accent1 2 10 2" xfId="25586"/>
    <cellStyle name="20% - Accent1 2 11" xfId="12058"/>
    <cellStyle name="20% - Accent1 2 11 2" xfId="25686"/>
    <cellStyle name="20% - Accent1 2 12" xfId="15235"/>
    <cellStyle name="20% - Accent1 2 12 2" xfId="28863"/>
    <cellStyle name="20% - Accent1 2 13" xfId="15444"/>
    <cellStyle name="20% - Accent1 2 13 2" xfId="28973"/>
    <cellStyle name="20% - Accent1 2 14" xfId="15782"/>
    <cellStyle name="20% - Accent1 2 15" xfId="29607"/>
    <cellStyle name="20% - Accent1 2 2" xfId="734"/>
    <cellStyle name="20% - Accent1 2 2 10" xfId="11956"/>
    <cellStyle name="20% - Accent1 2 2 10 2" xfId="25587"/>
    <cellStyle name="20% - Accent1 2 2 11" xfId="12059"/>
    <cellStyle name="20% - Accent1 2 2 11 2" xfId="25687"/>
    <cellStyle name="20% - Accent1 2 2 12" xfId="12332"/>
    <cellStyle name="20% - Accent1 2 2 12 2" xfId="25960"/>
    <cellStyle name="20% - Accent1 2 2 13" xfId="15236"/>
    <cellStyle name="20% - Accent1 2 2 13 2" xfId="28864"/>
    <cellStyle name="20% - Accent1 2 2 14" xfId="15445"/>
    <cellStyle name="20% - Accent1 2 2 14 2" xfId="28974"/>
    <cellStyle name="20% - Accent1 2 2 15" xfId="16059"/>
    <cellStyle name="20% - Accent1 2 2 16" xfId="29608"/>
    <cellStyle name="20% - Accent1 2 2 2" xfId="2146"/>
    <cellStyle name="20% - Accent1 2 2 2 2" xfId="3259"/>
    <cellStyle name="20% - Accent1 2 2 2 2 2" xfId="5005"/>
    <cellStyle name="20% - Accent1 2 2 2 2 2 2" xfId="8269"/>
    <cellStyle name="20% - Accent1 2 2 2 2 2 2 2" xfId="21917"/>
    <cellStyle name="20% - Accent1 2 2 2 2 2 3" xfId="11336"/>
    <cellStyle name="20% - Accent1 2 2 2 2 2 3 2" xfId="24967"/>
    <cellStyle name="20% - Accent1 2 2 2 2 2 4" xfId="14632"/>
    <cellStyle name="20% - Accent1 2 2 2 2 2 4 2" xfId="28260"/>
    <cellStyle name="20% - Accent1 2 2 2 2 2 5" xfId="18663"/>
    <cellStyle name="20% - Accent1 2 2 2 2 3" xfId="6693"/>
    <cellStyle name="20% - Accent1 2 2 2 2 3 2" xfId="20343"/>
    <cellStyle name="20% - Accent1 2 2 2 2 4" xfId="9913"/>
    <cellStyle name="20% - Accent1 2 2 2 2 4 2" xfId="23544"/>
    <cellStyle name="20% - Accent1 2 2 2 2 5" xfId="13208"/>
    <cellStyle name="20% - Accent1 2 2 2 2 5 2" xfId="26836"/>
    <cellStyle name="20% - Accent1 2 2 2 2 6" xfId="17138"/>
    <cellStyle name="20% - Accent1 2 2 2 3" xfId="4059"/>
    <cellStyle name="20% - Accent1 2 2 2 3 2" xfId="7489"/>
    <cellStyle name="20% - Accent1 2 2 2 3 2 2" xfId="21137"/>
    <cellStyle name="20% - Accent1 2 2 2 3 3" xfId="10627"/>
    <cellStyle name="20% - Accent1 2 2 2 3 3 2" xfId="24258"/>
    <cellStyle name="20% - Accent1 2 2 2 3 4" xfId="13923"/>
    <cellStyle name="20% - Accent1 2 2 2 3 4 2" xfId="27551"/>
    <cellStyle name="20% - Accent1 2 2 2 3 5" xfId="17854"/>
    <cellStyle name="20% - Accent1 2 2 2 4" xfId="5895"/>
    <cellStyle name="20% - Accent1 2 2 2 4 2" xfId="19545"/>
    <cellStyle name="20% - Accent1 2 2 2 5" xfId="9181"/>
    <cellStyle name="20% - Accent1 2 2 2 5 2" xfId="22823"/>
    <cellStyle name="20% - Accent1 2 2 2 6" xfId="12495"/>
    <cellStyle name="20% - Accent1 2 2 2 6 2" xfId="26123"/>
    <cellStyle name="20% - Accent1 2 2 2 7" xfId="16340"/>
    <cellStyle name="20% - Accent1 2 2 3" xfId="2287"/>
    <cellStyle name="20% - Accent1 2 2 3 2" xfId="3393"/>
    <cellStyle name="20% - Accent1 2 2 3 2 2" xfId="5129"/>
    <cellStyle name="20% - Accent1 2 2 3 2 2 2" xfId="8393"/>
    <cellStyle name="20% - Accent1 2 2 3 2 2 2 2" xfId="22041"/>
    <cellStyle name="20% - Accent1 2 2 3 2 2 3" xfId="11460"/>
    <cellStyle name="20% - Accent1 2 2 3 2 2 3 2" xfId="25091"/>
    <cellStyle name="20% - Accent1 2 2 3 2 2 4" xfId="14756"/>
    <cellStyle name="20% - Accent1 2 2 3 2 2 4 2" xfId="28384"/>
    <cellStyle name="20% - Accent1 2 2 3 2 2 5" xfId="18787"/>
    <cellStyle name="20% - Accent1 2 2 3 2 3" xfId="6827"/>
    <cellStyle name="20% - Accent1 2 2 3 2 3 2" xfId="20477"/>
    <cellStyle name="20% - Accent1 2 2 3 2 4" xfId="10037"/>
    <cellStyle name="20% - Accent1 2 2 3 2 4 2" xfId="23668"/>
    <cellStyle name="20% - Accent1 2 2 3 2 5" xfId="13332"/>
    <cellStyle name="20% - Accent1 2 2 3 2 5 2" xfId="26960"/>
    <cellStyle name="20% - Accent1 2 2 3 2 6" xfId="17262"/>
    <cellStyle name="20% - Accent1 2 2 3 3" xfId="4183"/>
    <cellStyle name="20% - Accent1 2 2 3 3 2" xfId="7613"/>
    <cellStyle name="20% - Accent1 2 2 3 3 2 2" xfId="21261"/>
    <cellStyle name="20% - Accent1 2 2 3 3 3" xfId="10751"/>
    <cellStyle name="20% - Accent1 2 2 3 3 3 2" xfId="24382"/>
    <cellStyle name="20% - Accent1 2 2 3 3 4" xfId="14047"/>
    <cellStyle name="20% - Accent1 2 2 3 3 4 2" xfId="27675"/>
    <cellStyle name="20% - Accent1 2 2 3 3 5" xfId="17978"/>
    <cellStyle name="20% - Accent1 2 2 3 4" xfId="6019"/>
    <cellStyle name="20% - Accent1 2 2 3 4 2" xfId="19669"/>
    <cellStyle name="20% - Accent1 2 2 3 5" xfId="9305"/>
    <cellStyle name="20% - Accent1 2 2 3 5 2" xfId="22947"/>
    <cellStyle name="20% - Accent1 2 2 3 6" xfId="12619"/>
    <cellStyle name="20% - Accent1 2 2 3 6 2" xfId="26247"/>
    <cellStyle name="20% - Accent1 2 2 3 7" xfId="16465"/>
    <cellStyle name="20% - Accent1 2 2 4" xfId="2667"/>
    <cellStyle name="20% - Accent1 2 2 4 2" xfId="3621"/>
    <cellStyle name="20% - Accent1 2 2 4 2 2" xfId="5288"/>
    <cellStyle name="20% - Accent1 2 2 4 2 2 2" xfId="8551"/>
    <cellStyle name="20% - Accent1 2 2 4 2 2 2 2" xfId="22199"/>
    <cellStyle name="20% - Accent1 2 2 4 2 2 3" xfId="11618"/>
    <cellStyle name="20% - Accent1 2 2 4 2 2 3 2" xfId="25249"/>
    <cellStyle name="20% - Accent1 2 2 4 2 2 4" xfId="14914"/>
    <cellStyle name="20% - Accent1 2 2 4 2 2 4 2" xfId="28542"/>
    <cellStyle name="20% - Accent1 2 2 4 2 2 5" xfId="18946"/>
    <cellStyle name="20% - Accent1 2 2 4 2 3" xfId="7055"/>
    <cellStyle name="20% - Accent1 2 2 4 2 3 2" xfId="20705"/>
    <cellStyle name="20% - Accent1 2 2 4 2 4" xfId="10196"/>
    <cellStyle name="20% - Accent1 2 2 4 2 4 2" xfId="23827"/>
    <cellStyle name="20% - Accent1 2 2 4 2 5" xfId="13491"/>
    <cellStyle name="20% - Accent1 2 2 4 2 5 2" xfId="27119"/>
    <cellStyle name="20% - Accent1 2 2 4 2 6" xfId="17422"/>
    <cellStyle name="20% - Accent1 2 2 4 3" xfId="4410"/>
    <cellStyle name="20% - Accent1 2 2 4 3 2" xfId="7840"/>
    <cellStyle name="20% - Accent1 2 2 4 3 2 2" xfId="21488"/>
    <cellStyle name="20% - Accent1 2 2 4 3 3" xfId="10909"/>
    <cellStyle name="20% - Accent1 2 2 4 3 3 2" xfId="24540"/>
    <cellStyle name="20% - Accent1 2 2 4 3 4" xfId="14205"/>
    <cellStyle name="20% - Accent1 2 2 4 3 4 2" xfId="27833"/>
    <cellStyle name="20% - Accent1 2 2 4 3 5" xfId="18205"/>
    <cellStyle name="20% - Accent1 2 2 4 4" xfId="6261"/>
    <cellStyle name="20% - Accent1 2 2 4 4 2" xfId="19911"/>
    <cellStyle name="20% - Accent1 2 2 4 5" xfId="9463"/>
    <cellStyle name="20% - Accent1 2 2 4 5 2" xfId="23105"/>
    <cellStyle name="20% - Accent1 2 2 4 6" xfId="12777"/>
    <cellStyle name="20% - Accent1 2 2 4 6 2" xfId="26405"/>
    <cellStyle name="20% - Accent1 2 2 4 7" xfId="16694"/>
    <cellStyle name="20% - Accent1 2 2 5" xfId="2820"/>
    <cellStyle name="20% - Accent1 2 2 5 2" xfId="4724"/>
    <cellStyle name="20% - Accent1 2 2 5 2 2" xfId="7992"/>
    <cellStyle name="20% - Accent1 2 2 5 2 2 2" xfId="21640"/>
    <cellStyle name="20% - Accent1 2 2 5 2 3" xfId="11061"/>
    <cellStyle name="20% - Accent1 2 2 5 2 3 2" xfId="24692"/>
    <cellStyle name="20% - Accent1 2 2 5 2 4" xfId="14357"/>
    <cellStyle name="20% - Accent1 2 2 5 2 4 2" xfId="27985"/>
    <cellStyle name="20% - Accent1 2 2 5 2 5" xfId="18383"/>
    <cellStyle name="20% - Accent1 2 2 5 3" xfId="6414"/>
    <cellStyle name="20% - Accent1 2 2 5 3 2" xfId="20064"/>
    <cellStyle name="20% - Accent1 2 2 5 4" xfId="9635"/>
    <cellStyle name="20% - Accent1 2 2 5 4 2" xfId="23266"/>
    <cellStyle name="20% - Accent1 2 2 5 5" xfId="12930"/>
    <cellStyle name="20% - Accent1 2 2 5 5 2" xfId="26558"/>
    <cellStyle name="20% - Accent1 2 2 5 6" xfId="16846"/>
    <cellStyle name="20% - Accent1 2 2 6" xfId="3892"/>
    <cellStyle name="20% - Accent1 2 2 6 2" xfId="7322"/>
    <cellStyle name="20% - Accent1 2 2 6 2 2" xfId="20970"/>
    <cellStyle name="20% - Accent1 2 2 6 3" xfId="10460"/>
    <cellStyle name="20% - Accent1 2 2 6 3 2" xfId="24091"/>
    <cellStyle name="20% - Accent1 2 2 6 4" xfId="13756"/>
    <cellStyle name="20% - Accent1 2 2 6 4 2" xfId="27384"/>
    <cellStyle name="20% - Accent1 2 2 6 5" xfId="17687"/>
    <cellStyle name="20% - Accent1 2 2 7" xfId="5450"/>
    <cellStyle name="20% - Accent1 2 2 7 2" xfId="8711"/>
    <cellStyle name="20% - Accent1 2 2 7 2 2" xfId="22354"/>
    <cellStyle name="20% - Accent1 2 2 7 3" xfId="11771"/>
    <cellStyle name="20% - Accent1 2 2 7 3 2" xfId="25402"/>
    <cellStyle name="20% - Accent1 2 2 7 4" xfId="15067"/>
    <cellStyle name="20% - Accent1 2 2 7 4 2" xfId="28695"/>
    <cellStyle name="20% - Accent1 2 2 7 5" xfId="19100"/>
    <cellStyle name="20% - Accent1 2 2 8" xfId="5732"/>
    <cellStyle name="20% - Accent1 2 2 8 2" xfId="19382"/>
    <cellStyle name="20% - Accent1 2 2 9" xfId="8901"/>
    <cellStyle name="20% - Accent1 2 2 9 2" xfId="22544"/>
    <cellStyle name="20% - Accent1 2 3" xfId="733"/>
    <cellStyle name="20% - Accent1 2 3 2" xfId="2953"/>
    <cellStyle name="20% - Accent1 2 3 2 2" xfId="4798"/>
    <cellStyle name="20% - Accent1 2 3 2 2 2" xfId="8066"/>
    <cellStyle name="20% - Accent1 2 3 2 2 2 2" xfId="21714"/>
    <cellStyle name="20% - Accent1 2 3 2 2 3" xfId="11135"/>
    <cellStyle name="20% - Accent1 2 3 2 2 3 2" xfId="24766"/>
    <cellStyle name="20% - Accent1 2 3 2 2 4" xfId="14431"/>
    <cellStyle name="20% - Accent1 2 3 2 2 4 2" xfId="28059"/>
    <cellStyle name="20% - Accent1 2 3 2 2 5" xfId="18457"/>
    <cellStyle name="20% - Accent1 2 3 2 3" xfId="6488"/>
    <cellStyle name="20% - Accent1 2 3 2 3 2" xfId="20138"/>
    <cellStyle name="20% - Accent1 2 3 2 4" xfId="9709"/>
    <cellStyle name="20% - Accent1 2 3 2 4 2" xfId="23340"/>
    <cellStyle name="20% - Accent1 2 3 2 5" xfId="13004"/>
    <cellStyle name="20% - Accent1 2 3 2 5 2" xfId="26632"/>
    <cellStyle name="20% - Accent1 2 3 2 6" xfId="16922"/>
    <cellStyle name="20% - Accent1 2 3 3" xfId="3891"/>
    <cellStyle name="20% - Accent1 2 3 3 2" xfId="7321"/>
    <cellStyle name="20% - Accent1 2 3 3 2 2" xfId="20969"/>
    <cellStyle name="20% - Accent1 2 3 3 3" xfId="10459"/>
    <cellStyle name="20% - Accent1 2 3 3 3 2" xfId="24090"/>
    <cellStyle name="20% - Accent1 2 3 3 4" xfId="13755"/>
    <cellStyle name="20% - Accent1 2 3 3 4 2" xfId="27383"/>
    <cellStyle name="20% - Accent1 2 3 3 5" xfId="17686"/>
    <cellStyle name="20% - Accent1 2 3 4" xfId="5731"/>
    <cellStyle name="20% - Accent1 2 3 4 2" xfId="19381"/>
    <cellStyle name="20% - Accent1 2 3 5" xfId="9019"/>
    <cellStyle name="20% - Accent1 2 3 5 2" xfId="22662"/>
    <cellStyle name="20% - Accent1 2 3 6" xfId="12331"/>
    <cellStyle name="20% - Accent1 2 3 6 2" xfId="25959"/>
    <cellStyle name="20% - Accent1 2 3 7" xfId="16058"/>
    <cellStyle name="20% - Accent1 2 4" xfId="2145"/>
    <cellStyle name="20% - Accent1 2 4 2" xfId="3258"/>
    <cellStyle name="20% - Accent1 2 4 2 2" xfId="5004"/>
    <cellStyle name="20% - Accent1 2 4 2 2 2" xfId="8268"/>
    <cellStyle name="20% - Accent1 2 4 2 2 2 2" xfId="21916"/>
    <cellStyle name="20% - Accent1 2 4 2 2 3" xfId="11335"/>
    <cellStyle name="20% - Accent1 2 4 2 2 3 2" xfId="24966"/>
    <cellStyle name="20% - Accent1 2 4 2 2 4" xfId="14631"/>
    <cellStyle name="20% - Accent1 2 4 2 2 4 2" xfId="28259"/>
    <cellStyle name="20% - Accent1 2 4 2 2 5" xfId="18662"/>
    <cellStyle name="20% - Accent1 2 4 2 3" xfId="6692"/>
    <cellStyle name="20% - Accent1 2 4 2 3 2" xfId="20342"/>
    <cellStyle name="20% - Accent1 2 4 2 4" xfId="9912"/>
    <cellStyle name="20% - Accent1 2 4 2 4 2" xfId="23543"/>
    <cellStyle name="20% - Accent1 2 4 2 5" xfId="13207"/>
    <cellStyle name="20% - Accent1 2 4 2 5 2" xfId="26835"/>
    <cellStyle name="20% - Accent1 2 4 2 6" xfId="17137"/>
    <cellStyle name="20% - Accent1 2 4 3" xfId="4058"/>
    <cellStyle name="20% - Accent1 2 4 3 2" xfId="7488"/>
    <cellStyle name="20% - Accent1 2 4 3 2 2" xfId="21136"/>
    <cellStyle name="20% - Accent1 2 4 3 3" xfId="10626"/>
    <cellStyle name="20% - Accent1 2 4 3 3 2" xfId="24257"/>
    <cellStyle name="20% - Accent1 2 4 3 4" xfId="13922"/>
    <cellStyle name="20% - Accent1 2 4 3 4 2" xfId="27550"/>
    <cellStyle name="20% - Accent1 2 4 3 5" xfId="17853"/>
    <cellStyle name="20% - Accent1 2 4 4" xfId="5894"/>
    <cellStyle name="20% - Accent1 2 4 4 2" xfId="19544"/>
    <cellStyle name="20% - Accent1 2 4 5" xfId="9180"/>
    <cellStyle name="20% - Accent1 2 4 5 2" xfId="22822"/>
    <cellStyle name="20% - Accent1 2 4 6" xfId="12494"/>
    <cellStyle name="20% - Accent1 2 4 6 2" xfId="26122"/>
    <cellStyle name="20% - Accent1 2 4 7" xfId="16339"/>
    <cellStyle name="20% - Accent1 2 5" xfId="2286"/>
    <cellStyle name="20% - Accent1 2 5 2" xfId="3392"/>
    <cellStyle name="20% - Accent1 2 5 2 2" xfId="5128"/>
    <cellStyle name="20% - Accent1 2 5 2 2 2" xfId="8392"/>
    <cellStyle name="20% - Accent1 2 5 2 2 2 2" xfId="22040"/>
    <cellStyle name="20% - Accent1 2 5 2 2 3" xfId="11459"/>
    <cellStyle name="20% - Accent1 2 5 2 2 3 2" xfId="25090"/>
    <cellStyle name="20% - Accent1 2 5 2 2 4" xfId="14755"/>
    <cellStyle name="20% - Accent1 2 5 2 2 4 2" xfId="28383"/>
    <cellStyle name="20% - Accent1 2 5 2 2 5" xfId="18786"/>
    <cellStyle name="20% - Accent1 2 5 2 3" xfId="6826"/>
    <cellStyle name="20% - Accent1 2 5 2 3 2" xfId="20476"/>
    <cellStyle name="20% - Accent1 2 5 2 4" xfId="10036"/>
    <cellStyle name="20% - Accent1 2 5 2 4 2" xfId="23667"/>
    <cellStyle name="20% - Accent1 2 5 2 5" xfId="13331"/>
    <cellStyle name="20% - Accent1 2 5 2 5 2" xfId="26959"/>
    <cellStyle name="20% - Accent1 2 5 2 6" xfId="17261"/>
    <cellStyle name="20% - Accent1 2 5 3" xfId="4182"/>
    <cellStyle name="20% - Accent1 2 5 3 2" xfId="7612"/>
    <cellStyle name="20% - Accent1 2 5 3 2 2" xfId="21260"/>
    <cellStyle name="20% - Accent1 2 5 3 3" xfId="10750"/>
    <cellStyle name="20% - Accent1 2 5 3 3 2" xfId="24381"/>
    <cellStyle name="20% - Accent1 2 5 3 4" xfId="14046"/>
    <cellStyle name="20% - Accent1 2 5 3 4 2" xfId="27674"/>
    <cellStyle name="20% - Accent1 2 5 3 5" xfId="17977"/>
    <cellStyle name="20% - Accent1 2 5 4" xfId="6018"/>
    <cellStyle name="20% - Accent1 2 5 4 2" xfId="19668"/>
    <cellStyle name="20% - Accent1 2 5 5" xfId="9304"/>
    <cellStyle name="20% - Accent1 2 5 5 2" xfId="22946"/>
    <cellStyle name="20% - Accent1 2 5 6" xfId="12618"/>
    <cellStyle name="20% - Accent1 2 5 6 2" xfId="26246"/>
    <cellStyle name="20% - Accent1 2 5 7" xfId="16464"/>
    <cellStyle name="20% - Accent1 2 6" xfId="2666"/>
    <cellStyle name="20% - Accent1 2 6 2" xfId="3620"/>
    <cellStyle name="20% - Accent1 2 6 2 2" xfId="5287"/>
    <cellStyle name="20% - Accent1 2 6 2 2 2" xfId="8550"/>
    <cellStyle name="20% - Accent1 2 6 2 2 2 2" xfId="22198"/>
    <cellStyle name="20% - Accent1 2 6 2 2 3" xfId="11617"/>
    <cellStyle name="20% - Accent1 2 6 2 2 3 2" xfId="25248"/>
    <cellStyle name="20% - Accent1 2 6 2 2 4" xfId="14913"/>
    <cellStyle name="20% - Accent1 2 6 2 2 4 2" xfId="28541"/>
    <cellStyle name="20% - Accent1 2 6 2 2 5" xfId="18945"/>
    <cellStyle name="20% - Accent1 2 6 2 3" xfId="7054"/>
    <cellStyle name="20% - Accent1 2 6 2 3 2" xfId="20704"/>
    <cellStyle name="20% - Accent1 2 6 2 4" xfId="10195"/>
    <cellStyle name="20% - Accent1 2 6 2 4 2" xfId="23826"/>
    <cellStyle name="20% - Accent1 2 6 2 5" xfId="13490"/>
    <cellStyle name="20% - Accent1 2 6 2 5 2" xfId="27118"/>
    <cellStyle name="20% - Accent1 2 6 2 6" xfId="17421"/>
    <cellStyle name="20% - Accent1 2 6 3" xfId="4409"/>
    <cellStyle name="20% - Accent1 2 6 3 2" xfId="7839"/>
    <cellStyle name="20% - Accent1 2 6 3 2 2" xfId="21487"/>
    <cellStyle name="20% - Accent1 2 6 3 3" xfId="10908"/>
    <cellStyle name="20% - Accent1 2 6 3 3 2" xfId="24539"/>
    <cellStyle name="20% - Accent1 2 6 3 4" xfId="14204"/>
    <cellStyle name="20% - Accent1 2 6 3 4 2" xfId="27832"/>
    <cellStyle name="20% - Accent1 2 6 3 5" xfId="18204"/>
    <cellStyle name="20% - Accent1 2 6 4" xfId="6260"/>
    <cellStyle name="20% - Accent1 2 6 4 2" xfId="19910"/>
    <cellStyle name="20% - Accent1 2 6 5" xfId="9462"/>
    <cellStyle name="20% - Accent1 2 6 5 2" xfId="23104"/>
    <cellStyle name="20% - Accent1 2 6 6" xfId="12776"/>
    <cellStyle name="20% - Accent1 2 6 6 2" xfId="26404"/>
    <cellStyle name="20% - Accent1 2 6 7" xfId="16693"/>
    <cellStyle name="20% - Accent1 2 7" xfId="2819"/>
    <cellStyle name="20% - Accent1 2 7 2" xfId="4723"/>
    <cellStyle name="20% - Accent1 2 7 2 2" xfId="7991"/>
    <cellStyle name="20% - Accent1 2 7 2 2 2" xfId="21639"/>
    <cellStyle name="20% - Accent1 2 7 2 3" xfId="11060"/>
    <cellStyle name="20% - Accent1 2 7 2 3 2" xfId="24691"/>
    <cellStyle name="20% - Accent1 2 7 2 4" xfId="14356"/>
    <cellStyle name="20% - Accent1 2 7 2 4 2" xfId="27984"/>
    <cellStyle name="20% - Accent1 2 7 2 5" xfId="18382"/>
    <cellStyle name="20% - Accent1 2 7 3" xfId="6413"/>
    <cellStyle name="20% - Accent1 2 7 3 2" xfId="20063"/>
    <cellStyle name="20% - Accent1 2 7 4" xfId="9634"/>
    <cellStyle name="20% - Accent1 2 7 4 2" xfId="23265"/>
    <cellStyle name="20% - Accent1 2 7 5" xfId="12929"/>
    <cellStyle name="20% - Accent1 2 7 5 2" xfId="26557"/>
    <cellStyle name="20% - Accent1 2 7 6" xfId="16845"/>
    <cellStyle name="20% - Accent1 2 8" xfId="5449"/>
    <cellStyle name="20% - Accent1 2 8 2" xfId="8710"/>
    <cellStyle name="20% - Accent1 2 8 2 2" xfId="22353"/>
    <cellStyle name="20% - Accent1 2 8 3" xfId="11770"/>
    <cellStyle name="20% - Accent1 2 8 3 2" xfId="25401"/>
    <cellStyle name="20% - Accent1 2 8 4" xfId="15066"/>
    <cellStyle name="20% - Accent1 2 8 4 2" xfId="28694"/>
    <cellStyle name="20% - Accent1 2 8 5" xfId="19099"/>
    <cellStyle name="20% - Accent1 2 9" xfId="8900"/>
    <cellStyle name="20% - Accent1 2 9 2" xfId="22543"/>
    <cellStyle name="20% - Accent1 3" xfId="3774"/>
    <cellStyle name="20% - Accent1 3 2" xfId="7210"/>
    <cellStyle name="20% - Accent1 3 2 2" xfId="20858"/>
    <cellStyle name="20% - Accent1 3 3" xfId="10349"/>
    <cellStyle name="20% - Accent1 3 3 2" xfId="23980"/>
    <cellStyle name="20% - Accent1 3 4" xfId="13644"/>
    <cellStyle name="20% - Accent1 3 4 2" xfId="27272"/>
    <cellStyle name="20% - Accent1 3 5" xfId="17575"/>
    <cellStyle name="20% - Accent1 4" xfId="5618"/>
    <cellStyle name="20% - Accent1 4 2" xfId="19268"/>
    <cellStyle name="20% - Accent1 5" xfId="12204"/>
    <cellStyle name="20% - Accent1 5 2" xfId="25832"/>
    <cellStyle name="20% - Accent1 6" xfId="12221"/>
    <cellStyle name="20% - Accent1 6 2" xfId="25849"/>
    <cellStyle name="20% - Accent1 7" xfId="15234"/>
    <cellStyle name="20% - Accent1 7 2" xfId="28862"/>
    <cellStyle name="20% - Accent1 8" xfId="15431"/>
    <cellStyle name="20% - Accent1 8 2" xfId="28961"/>
    <cellStyle name="20% - Accent1 9" xfId="15668"/>
    <cellStyle name="20% - Accent1 9 2" xfId="29089"/>
    <cellStyle name="20% - Accent2" xfId="442" builtinId="34" customBuiltin="1"/>
    <cellStyle name="20% - Accent2 10" xfId="15689"/>
    <cellStyle name="20% - Accent2 10 2" xfId="29110"/>
    <cellStyle name="20% - Accent2 11" xfId="15705"/>
    <cellStyle name="20% - Accent2 12" xfId="15821"/>
    <cellStyle name="20% - Accent2 13" xfId="15945"/>
    <cellStyle name="20% - Accent2 2" xfId="359"/>
    <cellStyle name="20% - Accent2 2 10" xfId="11957"/>
    <cellStyle name="20% - Accent2 2 10 2" xfId="25588"/>
    <cellStyle name="20% - Accent2 2 11" xfId="12060"/>
    <cellStyle name="20% - Accent2 2 11 2" xfId="25688"/>
    <cellStyle name="20% - Accent2 2 12" xfId="15238"/>
    <cellStyle name="20% - Accent2 2 12 2" xfId="28866"/>
    <cellStyle name="20% - Accent2 2 13" xfId="15446"/>
    <cellStyle name="20% - Accent2 2 13 2" xfId="28975"/>
    <cellStyle name="20% - Accent2 2 14" xfId="15780"/>
    <cellStyle name="20% - Accent2 2 15" xfId="29609"/>
    <cellStyle name="20% - Accent2 2 2" xfId="736"/>
    <cellStyle name="20% - Accent2 2 2 10" xfId="11958"/>
    <cellStyle name="20% - Accent2 2 2 10 2" xfId="25589"/>
    <cellStyle name="20% - Accent2 2 2 11" xfId="12061"/>
    <cellStyle name="20% - Accent2 2 2 11 2" xfId="25689"/>
    <cellStyle name="20% - Accent2 2 2 12" xfId="12334"/>
    <cellStyle name="20% - Accent2 2 2 12 2" xfId="25962"/>
    <cellStyle name="20% - Accent2 2 2 13" xfId="15239"/>
    <cellStyle name="20% - Accent2 2 2 13 2" xfId="28867"/>
    <cellStyle name="20% - Accent2 2 2 14" xfId="15447"/>
    <cellStyle name="20% - Accent2 2 2 14 2" xfId="28976"/>
    <cellStyle name="20% - Accent2 2 2 15" xfId="16061"/>
    <cellStyle name="20% - Accent2 2 2 16" xfId="29610"/>
    <cellStyle name="20% - Accent2 2 2 2" xfId="2148"/>
    <cellStyle name="20% - Accent2 2 2 2 2" xfId="3261"/>
    <cellStyle name="20% - Accent2 2 2 2 2 2" xfId="5007"/>
    <cellStyle name="20% - Accent2 2 2 2 2 2 2" xfId="8271"/>
    <cellStyle name="20% - Accent2 2 2 2 2 2 2 2" xfId="21919"/>
    <cellStyle name="20% - Accent2 2 2 2 2 2 3" xfId="11338"/>
    <cellStyle name="20% - Accent2 2 2 2 2 2 3 2" xfId="24969"/>
    <cellStyle name="20% - Accent2 2 2 2 2 2 4" xfId="14634"/>
    <cellStyle name="20% - Accent2 2 2 2 2 2 4 2" xfId="28262"/>
    <cellStyle name="20% - Accent2 2 2 2 2 2 5" xfId="18665"/>
    <cellStyle name="20% - Accent2 2 2 2 2 3" xfId="6695"/>
    <cellStyle name="20% - Accent2 2 2 2 2 3 2" xfId="20345"/>
    <cellStyle name="20% - Accent2 2 2 2 2 4" xfId="9915"/>
    <cellStyle name="20% - Accent2 2 2 2 2 4 2" xfId="23546"/>
    <cellStyle name="20% - Accent2 2 2 2 2 5" xfId="13210"/>
    <cellStyle name="20% - Accent2 2 2 2 2 5 2" xfId="26838"/>
    <cellStyle name="20% - Accent2 2 2 2 2 6" xfId="17140"/>
    <cellStyle name="20% - Accent2 2 2 2 3" xfId="4061"/>
    <cellStyle name="20% - Accent2 2 2 2 3 2" xfId="7491"/>
    <cellStyle name="20% - Accent2 2 2 2 3 2 2" xfId="21139"/>
    <cellStyle name="20% - Accent2 2 2 2 3 3" xfId="10629"/>
    <cellStyle name="20% - Accent2 2 2 2 3 3 2" xfId="24260"/>
    <cellStyle name="20% - Accent2 2 2 2 3 4" xfId="13925"/>
    <cellStyle name="20% - Accent2 2 2 2 3 4 2" xfId="27553"/>
    <cellStyle name="20% - Accent2 2 2 2 3 5" xfId="17856"/>
    <cellStyle name="20% - Accent2 2 2 2 4" xfId="5897"/>
    <cellStyle name="20% - Accent2 2 2 2 4 2" xfId="19547"/>
    <cellStyle name="20% - Accent2 2 2 2 5" xfId="9183"/>
    <cellStyle name="20% - Accent2 2 2 2 5 2" xfId="22825"/>
    <cellStyle name="20% - Accent2 2 2 2 6" xfId="12497"/>
    <cellStyle name="20% - Accent2 2 2 2 6 2" xfId="26125"/>
    <cellStyle name="20% - Accent2 2 2 2 7" xfId="16342"/>
    <cellStyle name="20% - Accent2 2 2 3" xfId="2289"/>
    <cellStyle name="20% - Accent2 2 2 3 2" xfId="3395"/>
    <cellStyle name="20% - Accent2 2 2 3 2 2" xfId="5131"/>
    <cellStyle name="20% - Accent2 2 2 3 2 2 2" xfId="8395"/>
    <cellStyle name="20% - Accent2 2 2 3 2 2 2 2" xfId="22043"/>
    <cellStyle name="20% - Accent2 2 2 3 2 2 3" xfId="11462"/>
    <cellStyle name="20% - Accent2 2 2 3 2 2 3 2" xfId="25093"/>
    <cellStyle name="20% - Accent2 2 2 3 2 2 4" xfId="14758"/>
    <cellStyle name="20% - Accent2 2 2 3 2 2 4 2" xfId="28386"/>
    <cellStyle name="20% - Accent2 2 2 3 2 2 5" xfId="18789"/>
    <cellStyle name="20% - Accent2 2 2 3 2 3" xfId="6829"/>
    <cellStyle name="20% - Accent2 2 2 3 2 3 2" xfId="20479"/>
    <cellStyle name="20% - Accent2 2 2 3 2 4" xfId="10039"/>
    <cellStyle name="20% - Accent2 2 2 3 2 4 2" xfId="23670"/>
    <cellStyle name="20% - Accent2 2 2 3 2 5" xfId="13334"/>
    <cellStyle name="20% - Accent2 2 2 3 2 5 2" xfId="26962"/>
    <cellStyle name="20% - Accent2 2 2 3 2 6" xfId="17264"/>
    <cellStyle name="20% - Accent2 2 2 3 3" xfId="4185"/>
    <cellStyle name="20% - Accent2 2 2 3 3 2" xfId="7615"/>
    <cellStyle name="20% - Accent2 2 2 3 3 2 2" xfId="21263"/>
    <cellStyle name="20% - Accent2 2 2 3 3 3" xfId="10753"/>
    <cellStyle name="20% - Accent2 2 2 3 3 3 2" xfId="24384"/>
    <cellStyle name="20% - Accent2 2 2 3 3 4" xfId="14049"/>
    <cellStyle name="20% - Accent2 2 2 3 3 4 2" xfId="27677"/>
    <cellStyle name="20% - Accent2 2 2 3 3 5" xfId="17980"/>
    <cellStyle name="20% - Accent2 2 2 3 4" xfId="6021"/>
    <cellStyle name="20% - Accent2 2 2 3 4 2" xfId="19671"/>
    <cellStyle name="20% - Accent2 2 2 3 5" xfId="9307"/>
    <cellStyle name="20% - Accent2 2 2 3 5 2" xfId="22949"/>
    <cellStyle name="20% - Accent2 2 2 3 6" xfId="12621"/>
    <cellStyle name="20% - Accent2 2 2 3 6 2" xfId="26249"/>
    <cellStyle name="20% - Accent2 2 2 3 7" xfId="16467"/>
    <cellStyle name="20% - Accent2 2 2 4" xfId="2669"/>
    <cellStyle name="20% - Accent2 2 2 4 2" xfId="3623"/>
    <cellStyle name="20% - Accent2 2 2 4 2 2" xfId="5290"/>
    <cellStyle name="20% - Accent2 2 2 4 2 2 2" xfId="8553"/>
    <cellStyle name="20% - Accent2 2 2 4 2 2 2 2" xfId="22201"/>
    <cellStyle name="20% - Accent2 2 2 4 2 2 3" xfId="11620"/>
    <cellStyle name="20% - Accent2 2 2 4 2 2 3 2" xfId="25251"/>
    <cellStyle name="20% - Accent2 2 2 4 2 2 4" xfId="14916"/>
    <cellStyle name="20% - Accent2 2 2 4 2 2 4 2" xfId="28544"/>
    <cellStyle name="20% - Accent2 2 2 4 2 2 5" xfId="18948"/>
    <cellStyle name="20% - Accent2 2 2 4 2 3" xfId="7057"/>
    <cellStyle name="20% - Accent2 2 2 4 2 3 2" xfId="20707"/>
    <cellStyle name="20% - Accent2 2 2 4 2 4" xfId="10198"/>
    <cellStyle name="20% - Accent2 2 2 4 2 4 2" xfId="23829"/>
    <cellStyle name="20% - Accent2 2 2 4 2 5" xfId="13493"/>
    <cellStyle name="20% - Accent2 2 2 4 2 5 2" xfId="27121"/>
    <cellStyle name="20% - Accent2 2 2 4 2 6" xfId="17424"/>
    <cellStyle name="20% - Accent2 2 2 4 3" xfId="4412"/>
    <cellStyle name="20% - Accent2 2 2 4 3 2" xfId="7842"/>
    <cellStyle name="20% - Accent2 2 2 4 3 2 2" xfId="21490"/>
    <cellStyle name="20% - Accent2 2 2 4 3 3" xfId="10911"/>
    <cellStyle name="20% - Accent2 2 2 4 3 3 2" xfId="24542"/>
    <cellStyle name="20% - Accent2 2 2 4 3 4" xfId="14207"/>
    <cellStyle name="20% - Accent2 2 2 4 3 4 2" xfId="27835"/>
    <cellStyle name="20% - Accent2 2 2 4 3 5" xfId="18207"/>
    <cellStyle name="20% - Accent2 2 2 4 4" xfId="6263"/>
    <cellStyle name="20% - Accent2 2 2 4 4 2" xfId="19913"/>
    <cellStyle name="20% - Accent2 2 2 4 5" xfId="9465"/>
    <cellStyle name="20% - Accent2 2 2 4 5 2" xfId="23107"/>
    <cellStyle name="20% - Accent2 2 2 4 6" xfId="12779"/>
    <cellStyle name="20% - Accent2 2 2 4 6 2" xfId="26407"/>
    <cellStyle name="20% - Accent2 2 2 4 7" xfId="16696"/>
    <cellStyle name="20% - Accent2 2 2 5" xfId="2822"/>
    <cellStyle name="20% - Accent2 2 2 5 2" xfId="4726"/>
    <cellStyle name="20% - Accent2 2 2 5 2 2" xfId="7994"/>
    <cellStyle name="20% - Accent2 2 2 5 2 2 2" xfId="21642"/>
    <cellStyle name="20% - Accent2 2 2 5 2 3" xfId="11063"/>
    <cellStyle name="20% - Accent2 2 2 5 2 3 2" xfId="24694"/>
    <cellStyle name="20% - Accent2 2 2 5 2 4" xfId="14359"/>
    <cellStyle name="20% - Accent2 2 2 5 2 4 2" xfId="27987"/>
    <cellStyle name="20% - Accent2 2 2 5 2 5" xfId="18385"/>
    <cellStyle name="20% - Accent2 2 2 5 3" xfId="6416"/>
    <cellStyle name="20% - Accent2 2 2 5 3 2" xfId="20066"/>
    <cellStyle name="20% - Accent2 2 2 5 4" xfId="9637"/>
    <cellStyle name="20% - Accent2 2 2 5 4 2" xfId="23268"/>
    <cellStyle name="20% - Accent2 2 2 5 5" xfId="12932"/>
    <cellStyle name="20% - Accent2 2 2 5 5 2" xfId="26560"/>
    <cellStyle name="20% - Accent2 2 2 5 6" xfId="16848"/>
    <cellStyle name="20% - Accent2 2 2 6" xfId="3894"/>
    <cellStyle name="20% - Accent2 2 2 6 2" xfId="7324"/>
    <cellStyle name="20% - Accent2 2 2 6 2 2" xfId="20972"/>
    <cellStyle name="20% - Accent2 2 2 6 3" xfId="10462"/>
    <cellStyle name="20% - Accent2 2 2 6 3 2" xfId="24093"/>
    <cellStyle name="20% - Accent2 2 2 6 4" xfId="13758"/>
    <cellStyle name="20% - Accent2 2 2 6 4 2" xfId="27386"/>
    <cellStyle name="20% - Accent2 2 2 6 5" xfId="17689"/>
    <cellStyle name="20% - Accent2 2 2 7" xfId="5452"/>
    <cellStyle name="20% - Accent2 2 2 7 2" xfId="8713"/>
    <cellStyle name="20% - Accent2 2 2 7 2 2" xfId="22356"/>
    <cellStyle name="20% - Accent2 2 2 7 3" xfId="11773"/>
    <cellStyle name="20% - Accent2 2 2 7 3 2" xfId="25404"/>
    <cellStyle name="20% - Accent2 2 2 7 4" xfId="15069"/>
    <cellStyle name="20% - Accent2 2 2 7 4 2" xfId="28697"/>
    <cellStyle name="20% - Accent2 2 2 7 5" xfId="19102"/>
    <cellStyle name="20% - Accent2 2 2 8" xfId="5734"/>
    <cellStyle name="20% - Accent2 2 2 8 2" xfId="19384"/>
    <cellStyle name="20% - Accent2 2 2 9" xfId="8903"/>
    <cellStyle name="20% - Accent2 2 2 9 2" xfId="22546"/>
    <cellStyle name="20% - Accent2 2 3" xfId="735"/>
    <cellStyle name="20% - Accent2 2 3 2" xfId="2952"/>
    <cellStyle name="20% - Accent2 2 3 2 2" xfId="4797"/>
    <cellStyle name="20% - Accent2 2 3 2 2 2" xfId="8065"/>
    <cellStyle name="20% - Accent2 2 3 2 2 2 2" xfId="21713"/>
    <cellStyle name="20% - Accent2 2 3 2 2 3" xfId="11134"/>
    <cellStyle name="20% - Accent2 2 3 2 2 3 2" xfId="24765"/>
    <cellStyle name="20% - Accent2 2 3 2 2 4" xfId="14430"/>
    <cellStyle name="20% - Accent2 2 3 2 2 4 2" xfId="28058"/>
    <cellStyle name="20% - Accent2 2 3 2 2 5" xfId="18456"/>
    <cellStyle name="20% - Accent2 2 3 2 3" xfId="6487"/>
    <cellStyle name="20% - Accent2 2 3 2 3 2" xfId="20137"/>
    <cellStyle name="20% - Accent2 2 3 2 4" xfId="9708"/>
    <cellStyle name="20% - Accent2 2 3 2 4 2" xfId="23339"/>
    <cellStyle name="20% - Accent2 2 3 2 5" xfId="13003"/>
    <cellStyle name="20% - Accent2 2 3 2 5 2" xfId="26631"/>
    <cellStyle name="20% - Accent2 2 3 2 6" xfId="16921"/>
    <cellStyle name="20% - Accent2 2 3 3" xfId="3893"/>
    <cellStyle name="20% - Accent2 2 3 3 2" xfId="7323"/>
    <cellStyle name="20% - Accent2 2 3 3 2 2" xfId="20971"/>
    <cellStyle name="20% - Accent2 2 3 3 3" xfId="10461"/>
    <cellStyle name="20% - Accent2 2 3 3 3 2" xfId="24092"/>
    <cellStyle name="20% - Accent2 2 3 3 4" xfId="13757"/>
    <cellStyle name="20% - Accent2 2 3 3 4 2" xfId="27385"/>
    <cellStyle name="20% - Accent2 2 3 3 5" xfId="17688"/>
    <cellStyle name="20% - Accent2 2 3 4" xfId="5733"/>
    <cellStyle name="20% - Accent2 2 3 4 2" xfId="19383"/>
    <cellStyle name="20% - Accent2 2 3 5" xfId="9018"/>
    <cellStyle name="20% - Accent2 2 3 5 2" xfId="22661"/>
    <cellStyle name="20% - Accent2 2 3 6" xfId="12333"/>
    <cellStyle name="20% - Accent2 2 3 6 2" xfId="25961"/>
    <cellStyle name="20% - Accent2 2 3 7" xfId="16060"/>
    <cellStyle name="20% - Accent2 2 4" xfId="2147"/>
    <cellStyle name="20% - Accent2 2 4 2" xfId="3260"/>
    <cellStyle name="20% - Accent2 2 4 2 2" xfId="5006"/>
    <cellStyle name="20% - Accent2 2 4 2 2 2" xfId="8270"/>
    <cellStyle name="20% - Accent2 2 4 2 2 2 2" xfId="21918"/>
    <cellStyle name="20% - Accent2 2 4 2 2 3" xfId="11337"/>
    <cellStyle name="20% - Accent2 2 4 2 2 3 2" xfId="24968"/>
    <cellStyle name="20% - Accent2 2 4 2 2 4" xfId="14633"/>
    <cellStyle name="20% - Accent2 2 4 2 2 4 2" xfId="28261"/>
    <cellStyle name="20% - Accent2 2 4 2 2 5" xfId="18664"/>
    <cellStyle name="20% - Accent2 2 4 2 3" xfId="6694"/>
    <cellStyle name="20% - Accent2 2 4 2 3 2" xfId="20344"/>
    <cellStyle name="20% - Accent2 2 4 2 4" xfId="9914"/>
    <cellStyle name="20% - Accent2 2 4 2 4 2" xfId="23545"/>
    <cellStyle name="20% - Accent2 2 4 2 5" xfId="13209"/>
    <cellStyle name="20% - Accent2 2 4 2 5 2" xfId="26837"/>
    <cellStyle name="20% - Accent2 2 4 2 6" xfId="17139"/>
    <cellStyle name="20% - Accent2 2 4 3" xfId="4060"/>
    <cellStyle name="20% - Accent2 2 4 3 2" xfId="7490"/>
    <cellStyle name="20% - Accent2 2 4 3 2 2" xfId="21138"/>
    <cellStyle name="20% - Accent2 2 4 3 3" xfId="10628"/>
    <cellStyle name="20% - Accent2 2 4 3 3 2" xfId="24259"/>
    <cellStyle name="20% - Accent2 2 4 3 4" xfId="13924"/>
    <cellStyle name="20% - Accent2 2 4 3 4 2" xfId="27552"/>
    <cellStyle name="20% - Accent2 2 4 3 5" xfId="17855"/>
    <cellStyle name="20% - Accent2 2 4 4" xfId="5896"/>
    <cellStyle name="20% - Accent2 2 4 4 2" xfId="19546"/>
    <cellStyle name="20% - Accent2 2 4 5" xfId="9182"/>
    <cellStyle name="20% - Accent2 2 4 5 2" xfId="22824"/>
    <cellStyle name="20% - Accent2 2 4 6" xfId="12496"/>
    <cellStyle name="20% - Accent2 2 4 6 2" xfId="26124"/>
    <cellStyle name="20% - Accent2 2 4 7" xfId="16341"/>
    <cellStyle name="20% - Accent2 2 5" xfId="2288"/>
    <cellStyle name="20% - Accent2 2 5 2" xfId="3394"/>
    <cellStyle name="20% - Accent2 2 5 2 2" xfId="5130"/>
    <cellStyle name="20% - Accent2 2 5 2 2 2" xfId="8394"/>
    <cellStyle name="20% - Accent2 2 5 2 2 2 2" xfId="22042"/>
    <cellStyle name="20% - Accent2 2 5 2 2 3" xfId="11461"/>
    <cellStyle name="20% - Accent2 2 5 2 2 3 2" xfId="25092"/>
    <cellStyle name="20% - Accent2 2 5 2 2 4" xfId="14757"/>
    <cellStyle name="20% - Accent2 2 5 2 2 4 2" xfId="28385"/>
    <cellStyle name="20% - Accent2 2 5 2 2 5" xfId="18788"/>
    <cellStyle name="20% - Accent2 2 5 2 3" xfId="6828"/>
    <cellStyle name="20% - Accent2 2 5 2 3 2" xfId="20478"/>
    <cellStyle name="20% - Accent2 2 5 2 4" xfId="10038"/>
    <cellStyle name="20% - Accent2 2 5 2 4 2" xfId="23669"/>
    <cellStyle name="20% - Accent2 2 5 2 5" xfId="13333"/>
    <cellStyle name="20% - Accent2 2 5 2 5 2" xfId="26961"/>
    <cellStyle name="20% - Accent2 2 5 2 6" xfId="17263"/>
    <cellStyle name="20% - Accent2 2 5 3" xfId="4184"/>
    <cellStyle name="20% - Accent2 2 5 3 2" xfId="7614"/>
    <cellStyle name="20% - Accent2 2 5 3 2 2" xfId="21262"/>
    <cellStyle name="20% - Accent2 2 5 3 3" xfId="10752"/>
    <cellStyle name="20% - Accent2 2 5 3 3 2" xfId="24383"/>
    <cellStyle name="20% - Accent2 2 5 3 4" xfId="14048"/>
    <cellStyle name="20% - Accent2 2 5 3 4 2" xfId="27676"/>
    <cellStyle name="20% - Accent2 2 5 3 5" xfId="17979"/>
    <cellStyle name="20% - Accent2 2 5 4" xfId="6020"/>
    <cellStyle name="20% - Accent2 2 5 4 2" xfId="19670"/>
    <cellStyle name="20% - Accent2 2 5 5" xfId="9306"/>
    <cellStyle name="20% - Accent2 2 5 5 2" xfId="22948"/>
    <cellStyle name="20% - Accent2 2 5 6" xfId="12620"/>
    <cellStyle name="20% - Accent2 2 5 6 2" xfId="26248"/>
    <cellStyle name="20% - Accent2 2 5 7" xfId="16466"/>
    <cellStyle name="20% - Accent2 2 6" xfId="2668"/>
    <cellStyle name="20% - Accent2 2 6 2" xfId="3622"/>
    <cellStyle name="20% - Accent2 2 6 2 2" xfId="5289"/>
    <cellStyle name="20% - Accent2 2 6 2 2 2" xfId="8552"/>
    <cellStyle name="20% - Accent2 2 6 2 2 2 2" xfId="22200"/>
    <cellStyle name="20% - Accent2 2 6 2 2 3" xfId="11619"/>
    <cellStyle name="20% - Accent2 2 6 2 2 3 2" xfId="25250"/>
    <cellStyle name="20% - Accent2 2 6 2 2 4" xfId="14915"/>
    <cellStyle name="20% - Accent2 2 6 2 2 4 2" xfId="28543"/>
    <cellStyle name="20% - Accent2 2 6 2 2 5" xfId="18947"/>
    <cellStyle name="20% - Accent2 2 6 2 3" xfId="7056"/>
    <cellStyle name="20% - Accent2 2 6 2 3 2" xfId="20706"/>
    <cellStyle name="20% - Accent2 2 6 2 4" xfId="10197"/>
    <cellStyle name="20% - Accent2 2 6 2 4 2" xfId="23828"/>
    <cellStyle name="20% - Accent2 2 6 2 5" xfId="13492"/>
    <cellStyle name="20% - Accent2 2 6 2 5 2" xfId="27120"/>
    <cellStyle name="20% - Accent2 2 6 2 6" xfId="17423"/>
    <cellStyle name="20% - Accent2 2 6 3" xfId="4411"/>
    <cellStyle name="20% - Accent2 2 6 3 2" xfId="7841"/>
    <cellStyle name="20% - Accent2 2 6 3 2 2" xfId="21489"/>
    <cellStyle name="20% - Accent2 2 6 3 3" xfId="10910"/>
    <cellStyle name="20% - Accent2 2 6 3 3 2" xfId="24541"/>
    <cellStyle name="20% - Accent2 2 6 3 4" xfId="14206"/>
    <cellStyle name="20% - Accent2 2 6 3 4 2" xfId="27834"/>
    <cellStyle name="20% - Accent2 2 6 3 5" xfId="18206"/>
    <cellStyle name="20% - Accent2 2 6 4" xfId="6262"/>
    <cellStyle name="20% - Accent2 2 6 4 2" xfId="19912"/>
    <cellStyle name="20% - Accent2 2 6 5" xfId="9464"/>
    <cellStyle name="20% - Accent2 2 6 5 2" xfId="23106"/>
    <cellStyle name="20% - Accent2 2 6 6" xfId="12778"/>
    <cellStyle name="20% - Accent2 2 6 6 2" xfId="26406"/>
    <cellStyle name="20% - Accent2 2 6 7" xfId="16695"/>
    <cellStyle name="20% - Accent2 2 7" xfId="2821"/>
    <cellStyle name="20% - Accent2 2 7 2" xfId="4725"/>
    <cellStyle name="20% - Accent2 2 7 2 2" xfId="7993"/>
    <cellStyle name="20% - Accent2 2 7 2 2 2" xfId="21641"/>
    <cellStyle name="20% - Accent2 2 7 2 3" xfId="11062"/>
    <cellStyle name="20% - Accent2 2 7 2 3 2" xfId="24693"/>
    <cellStyle name="20% - Accent2 2 7 2 4" xfId="14358"/>
    <cellStyle name="20% - Accent2 2 7 2 4 2" xfId="27986"/>
    <cellStyle name="20% - Accent2 2 7 2 5" xfId="18384"/>
    <cellStyle name="20% - Accent2 2 7 3" xfId="6415"/>
    <cellStyle name="20% - Accent2 2 7 3 2" xfId="20065"/>
    <cellStyle name="20% - Accent2 2 7 4" xfId="9636"/>
    <cellStyle name="20% - Accent2 2 7 4 2" xfId="23267"/>
    <cellStyle name="20% - Accent2 2 7 5" xfId="12931"/>
    <cellStyle name="20% - Accent2 2 7 5 2" xfId="26559"/>
    <cellStyle name="20% - Accent2 2 7 6" xfId="16847"/>
    <cellStyle name="20% - Accent2 2 8" xfId="5451"/>
    <cellStyle name="20% - Accent2 2 8 2" xfId="8712"/>
    <cellStyle name="20% - Accent2 2 8 2 2" xfId="22355"/>
    <cellStyle name="20% - Accent2 2 8 3" xfId="11772"/>
    <cellStyle name="20% - Accent2 2 8 3 2" xfId="25403"/>
    <cellStyle name="20% - Accent2 2 8 4" xfId="15068"/>
    <cellStyle name="20% - Accent2 2 8 4 2" xfId="28696"/>
    <cellStyle name="20% - Accent2 2 8 5" xfId="19101"/>
    <cellStyle name="20% - Accent2 2 9" xfId="8902"/>
    <cellStyle name="20% - Accent2 2 9 2" xfId="22545"/>
    <cellStyle name="20% - Accent2 3" xfId="3776"/>
    <cellStyle name="20% - Accent2 3 2" xfId="7212"/>
    <cellStyle name="20% - Accent2 3 2 2" xfId="20860"/>
    <cellStyle name="20% - Accent2 3 3" xfId="10351"/>
    <cellStyle name="20% - Accent2 3 3 2" xfId="23982"/>
    <cellStyle name="20% - Accent2 3 4" xfId="13646"/>
    <cellStyle name="20% - Accent2 3 4 2" xfId="27274"/>
    <cellStyle name="20% - Accent2 3 5" xfId="17577"/>
    <cellStyle name="20% - Accent2 4" xfId="5620"/>
    <cellStyle name="20% - Accent2 4 2" xfId="19270"/>
    <cellStyle name="20% - Accent2 5" xfId="12205"/>
    <cellStyle name="20% - Accent2 5 2" xfId="25833"/>
    <cellStyle name="20% - Accent2 6" xfId="12223"/>
    <cellStyle name="20% - Accent2 6 2" xfId="25851"/>
    <cellStyle name="20% - Accent2 7" xfId="15237"/>
    <cellStyle name="20% - Accent2 7 2" xfId="28865"/>
    <cellStyle name="20% - Accent2 8" xfId="15433"/>
    <cellStyle name="20% - Accent2 8 2" xfId="28963"/>
    <cellStyle name="20% - Accent2 9" xfId="15670"/>
    <cellStyle name="20% - Accent2 9 2" xfId="29091"/>
    <cellStyle name="20% - Accent3" xfId="446" builtinId="38" customBuiltin="1"/>
    <cellStyle name="20% - Accent3 10" xfId="15690"/>
    <cellStyle name="20% - Accent3 10 2" xfId="29111"/>
    <cellStyle name="20% - Accent3 11" xfId="15706"/>
    <cellStyle name="20% - Accent3 12" xfId="15820"/>
    <cellStyle name="20% - Accent3 13" xfId="15949"/>
    <cellStyle name="20% - Accent3 2" xfId="360"/>
    <cellStyle name="20% - Accent3 2 10" xfId="11959"/>
    <cellStyle name="20% - Accent3 2 10 2" xfId="25590"/>
    <cellStyle name="20% - Accent3 2 11" xfId="12062"/>
    <cellStyle name="20% - Accent3 2 11 2" xfId="25690"/>
    <cellStyle name="20% - Accent3 2 12" xfId="15241"/>
    <cellStyle name="20% - Accent3 2 12 2" xfId="28869"/>
    <cellStyle name="20% - Accent3 2 13" xfId="15448"/>
    <cellStyle name="20% - Accent3 2 13 2" xfId="28977"/>
    <cellStyle name="20% - Accent3 2 14" xfId="15778"/>
    <cellStyle name="20% - Accent3 2 15" xfId="29611"/>
    <cellStyle name="20% - Accent3 2 2" xfId="738"/>
    <cellStyle name="20% - Accent3 2 2 10" xfId="11960"/>
    <cellStyle name="20% - Accent3 2 2 10 2" xfId="25591"/>
    <cellStyle name="20% - Accent3 2 2 11" xfId="12063"/>
    <cellStyle name="20% - Accent3 2 2 11 2" xfId="25691"/>
    <cellStyle name="20% - Accent3 2 2 12" xfId="12336"/>
    <cellStyle name="20% - Accent3 2 2 12 2" xfId="25964"/>
    <cellStyle name="20% - Accent3 2 2 13" xfId="15242"/>
    <cellStyle name="20% - Accent3 2 2 13 2" xfId="28870"/>
    <cellStyle name="20% - Accent3 2 2 14" xfId="15449"/>
    <cellStyle name="20% - Accent3 2 2 14 2" xfId="28978"/>
    <cellStyle name="20% - Accent3 2 2 15" xfId="16063"/>
    <cellStyle name="20% - Accent3 2 2 16" xfId="29612"/>
    <cellStyle name="20% - Accent3 2 2 2" xfId="2150"/>
    <cellStyle name="20% - Accent3 2 2 2 2" xfId="3263"/>
    <cellStyle name="20% - Accent3 2 2 2 2 2" xfId="5009"/>
    <cellStyle name="20% - Accent3 2 2 2 2 2 2" xfId="8273"/>
    <cellStyle name="20% - Accent3 2 2 2 2 2 2 2" xfId="21921"/>
    <cellStyle name="20% - Accent3 2 2 2 2 2 3" xfId="11340"/>
    <cellStyle name="20% - Accent3 2 2 2 2 2 3 2" xfId="24971"/>
    <cellStyle name="20% - Accent3 2 2 2 2 2 4" xfId="14636"/>
    <cellStyle name="20% - Accent3 2 2 2 2 2 4 2" xfId="28264"/>
    <cellStyle name="20% - Accent3 2 2 2 2 2 5" xfId="18667"/>
    <cellStyle name="20% - Accent3 2 2 2 2 3" xfId="6697"/>
    <cellStyle name="20% - Accent3 2 2 2 2 3 2" xfId="20347"/>
    <cellStyle name="20% - Accent3 2 2 2 2 4" xfId="9917"/>
    <cellStyle name="20% - Accent3 2 2 2 2 4 2" xfId="23548"/>
    <cellStyle name="20% - Accent3 2 2 2 2 5" xfId="13212"/>
    <cellStyle name="20% - Accent3 2 2 2 2 5 2" xfId="26840"/>
    <cellStyle name="20% - Accent3 2 2 2 2 6" xfId="17142"/>
    <cellStyle name="20% - Accent3 2 2 2 3" xfId="4063"/>
    <cellStyle name="20% - Accent3 2 2 2 3 2" xfId="7493"/>
    <cellStyle name="20% - Accent3 2 2 2 3 2 2" xfId="21141"/>
    <cellStyle name="20% - Accent3 2 2 2 3 3" xfId="10631"/>
    <cellStyle name="20% - Accent3 2 2 2 3 3 2" xfId="24262"/>
    <cellStyle name="20% - Accent3 2 2 2 3 4" xfId="13927"/>
    <cellStyle name="20% - Accent3 2 2 2 3 4 2" xfId="27555"/>
    <cellStyle name="20% - Accent3 2 2 2 3 5" xfId="17858"/>
    <cellStyle name="20% - Accent3 2 2 2 4" xfId="5899"/>
    <cellStyle name="20% - Accent3 2 2 2 4 2" xfId="19549"/>
    <cellStyle name="20% - Accent3 2 2 2 5" xfId="9185"/>
    <cellStyle name="20% - Accent3 2 2 2 5 2" xfId="22827"/>
    <cellStyle name="20% - Accent3 2 2 2 6" xfId="12499"/>
    <cellStyle name="20% - Accent3 2 2 2 6 2" xfId="26127"/>
    <cellStyle name="20% - Accent3 2 2 2 7" xfId="16344"/>
    <cellStyle name="20% - Accent3 2 2 3" xfId="2291"/>
    <cellStyle name="20% - Accent3 2 2 3 2" xfId="3397"/>
    <cellStyle name="20% - Accent3 2 2 3 2 2" xfId="5133"/>
    <cellStyle name="20% - Accent3 2 2 3 2 2 2" xfId="8397"/>
    <cellStyle name="20% - Accent3 2 2 3 2 2 2 2" xfId="22045"/>
    <cellStyle name="20% - Accent3 2 2 3 2 2 3" xfId="11464"/>
    <cellStyle name="20% - Accent3 2 2 3 2 2 3 2" xfId="25095"/>
    <cellStyle name="20% - Accent3 2 2 3 2 2 4" xfId="14760"/>
    <cellStyle name="20% - Accent3 2 2 3 2 2 4 2" xfId="28388"/>
    <cellStyle name="20% - Accent3 2 2 3 2 2 5" xfId="18791"/>
    <cellStyle name="20% - Accent3 2 2 3 2 3" xfId="6831"/>
    <cellStyle name="20% - Accent3 2 2 3 2 3 2" xfId="20481"/>
    <cellStyle name="20% - Accent3 2 2 3 2 4" xfId="10041"/>
    <cellStyle name="20% - Accent3 2 2 3 2 4 2" xfId="23672"/>
    <cellStyle name="20% - Accent3 2 2 3 2 5" xfId="13336"/>
    <cellStyle name="20% - Accent3 2 2 3 2 5 2" xfId="26964"/>
    <cellStyle name="20% - Accent3 2 2 3 2 6" xfId="17266"/>
    <cellStyle name="20% - Accent3 2 2 3 3" xfId="4187"/>
    <cellStyle name="20% - Accent3 2 2 3 3 2" xfId="7617"/>
    <cellStyle name="20% - Accent3 2 2 3 3 2 2" xfId="21265"/>
    <cellStyle name="20% - Accent3 2 2 3 3 3" xfId="10755"/>
    <cellStyle name="20% - Accent3 2 2 3 3 3 2" xfId="24386"/>
    <cellStyle name="20% - Accent3 2 2 3 3 4" xfId="14051"/>
    <cellStyle name="20% - Accent3 2 2 3 3 4 2" xfId="27679"/>
    <cellStyle name="20% - Accent3 2 2 3 3 5" xfId="17982"/>
    <cellStyle name="20% - Accent3 2 2 3 4" xfId="6023"/>
    <cellStyle name="20% - Accent3 2 2 3 4 2" xfId="19673"/>
    <cellStyle name="20% - Accent3 2 2 3 5" xfId="9309"/>
    <cellStyle name="20% - Accent3 2 2 3 5 2" xfId="22951"/>
    <cellStyle name="20% - Accent3 2 2 3 6" xfId="12623"/>
    <cellStyle name="20% - Accent3 2 2 3 6 2" xfId="26251"/>
    <cellStyle name="20% - Accent3 2 2 3 7" xfId="16469"/>
    <cellStyle name="20% - Accent3 2 2 4" xfId="2671"/>
    <cellStyle name="20% - Accent3 2 2 4 2" xfId="3625"/>
    <cellStyle name="20% - Accent3 2 2 4 2 2" xfId="5292"/>
    <cellStyle name="20% - Accent3 2 2 4 2 2 2" xfId="8555"/>
    <cellStyle name="20% - Accent3 2 2 4 2 2 2 2" xfId="22203"/>
    <cellStyle name="20% - Accent3 2 2 4 2 2 3" xfId="11622"/>
    <cellStyle name="20% - Accent3 2 2 4 2 2 3 2" xfId="25253"/>
    <cellStyle name="20% - Accent3 2 2 4 2 2 4" xfId="14918"/>
    <cellStyle name="20% - Accent3 2 2 4 2 2 4 2" xfId="28546"/>
    <cellStyle name="20% - Accent3 2 2 4 2 2 5" xfId="18950"/>
    <cellStyle name="20% - Accent3 2 2 4 2 3" xfId="7059"/>
    <cellStyle name="20% - Accent3 2 2 4 2 3 2" xfId="20709"/>
    <cellStyle name="20% - Accent3 2 2 4 2 4" xfId="10200"/>
    <cellStyle name="20% - Accent3 2 2 4 2 4 2" xfId="23831"/>
    <cellStyle name="20% - Accent3 2 2 4 2 5" xfId="13495"/>
    <cellStyle name="20% - Accent3 2 2 4 2 5 2" xfId="27123"/>
    <cellStyle name="20% - Accent3 2 2 4 2 6" xfId="17426"/>
    <cellStyle name="20% - Accent3 2 2 4 3" xfId="4414"/>
    <cellStyle name="20% - Accent3 2 2 4 3 2" xfId="7844"/>
    <cellStyle name="20% - Accent3 2 2 4 3 2 2" xfId="21492"/>
    <cellStyle name="20% - Accent3 2 2 4 3 3" xfId="10913"/>
    <cellStyle name="20% - Accent3 2 2 4 3 3 2" xfId="24544"/>
    <cellStyle name="20% - Accent3 2 2 4 3 4" xfId="14209"/>
    <cellStyle name="20% - Accent3 2 2 4 3 4 2" xfId="27837"/>
    <cellStyle name="20% - Accent3 2 2 4 3 5" xfId="18209"/>
    <cellStyle name="20% - Accent3 2 2 4 4" xfId="6265"/>
    <cellStyle name="20% - Accent3 2 2 4 4 2" xfId="19915"/>
    <cellStyle name="20% - Accent3 2 2 4 5" xfId="9467"/>
    <cellStyle name="20% - Accent3 2 2 4 5 2" xfId="23109"/>
    <cellStyle name="20% - Accent3 2 2 4 6" xfId="12781"/>
    <cellStyle name="20% - Accent3 2 2 4 6 2" xfId="26409"/>
    <cellStyle name="20% - Accent3 2 2 4 7" xfId="16698"/>
    <cellStyle name="20% - Accent3 2 2 5" xfId="2824"/>
    <cellStyle name="20% - Accent3 2 2 5 2" xfId="4728"/>
    <cellStyle name="20% - Accent3 2 2 5 2 2" xfId="7996"/>
    <cellStyle name="20% - Accent3 2 2 5 2 2 2" xfId="21644"/>
    <cellStyle name="20% - Accent3 2 2 5 2 3" xfId="11065"/>
    <cellStyle name="20% - Accent3 2 2 5 2 3 2" xfId="24696"/>
    <cellStyle name="20% - Accent3 2 2 5 2 4" xfId="14361"/>
    <cellStyle name="20% - Accent3 2 2 5 2 4 2" xfId="27989"/>
    <cellStyle name="20% - Accent3 2 2 5 2 5" xfId="18387"/>
    <cellStyle name="20% - Accent3 2 2 5 3" xfId="6418"/>
    <cellStyle name="20% - Accent3 2 2 5 3 2" xfId="20068"/>
    <cellStyle name="20% - Accent3 2 2 5 4" xfId="9639"/>
    <cellStyle name="20% - Accent3 2 2 5 4 2" xfId="23270"/>
    <cellStyle name="20% - Accent3 2 2 5 5" xfId="12934"/>
    <cellStyle name="20% - Accent3 2 2 5 5 2" xfId="26562"/>
    <cellStyle name="20% - Accent3 2 2 5 6" xfId="16850"/>
    <cellStyle name="20% - Accent3 2 2 6" xfId="3896"/>
    <cellStyle name="20% - Accent3 2 2 6 2" xfId="7326"/>
    <cellStyle name="20% - Accent3 2 2 6 2 2" xfId="20974"/>
    <cellStyle name="20% - Accent3 2 2 6 3" xfId="10464"/>
    <cellStyle name="20% - Accent3 2 2 6 3 2" xfId="24095"/>
    <cellStyle name="20% - Accent3 2 2 6 4" xfId="13760"/>
    <cellStyle name="20% - Accent3 2 2 6 4 2" xfId="27388"/>
    <cellStyle name="20% - Accent3 2 2 6 5" xfId="17691"/>
    <cellStyle name="20% - Accent3 2 2 7" xfId="5454"/>
    <cellStyle name="20% - Accent3 2 2 7 2" xfId="8715"/>
    <cellStyle name="20% - Accent3 2 2 7 2 2" xfId="22358"/>
    <cellStyle name="20% - Accent3 2 2 7 3" xfId="11775"/>
    <cellStyle name="20% - Accent3 2 2 7 3 2" xfId="25406"/>
    <cellStyle name="20% - Accent3 2 2 7 4" xfId="15071"/>
    <cellStyle name="20% - Accent3 2 2 7 4 2" xfId="28699"/>
    <cellStyle name="20% - Accent3 2 2 7 5" xfId="19104"/>
    <cellStyle name="20% - Accent3 2 2 8" xfId="5736"/>
    <cellStyle name="20% - Accent3 2 2 8 2" xfId="19386"/>
    <cellStyle name="20% - Accent3 2 2 9" xfId="8905"/>
    <cellStyle name="20% - Accent3 2 2 9 2" xfId="22548"/>
    <cellStyle name="20% - Accent3 2 3" xfId="737"/>
    <cellStyle name="20% - Accent3 2 3 2" xfId="2951"/>
    <cellStyle name="20% - Accent3 2 3 2 2" xfId="4796"/>
    <cellStyle name="20% - Accent3 2 3 2 2 2" xfId="8064"/>
    <cellStyle name="20% - Accent3 2 3 2 2 2 2" xfId="21712"/>
    <cellStyle name="20% - Accent3 2 3 2 2 3" xfId="11133"/>
    <cellStyle name="20% - Accent3 2 3 2 2 3 2" xfId="24764"/>
    <cellStyle name="20% - Accent3 2 3 2 2 4" xfId="14429"/>
    <cellStyle name="20% - Accent3 2 3 2 2 4 2" xfId="28057"/>
    <cellStyle name="20% - Accent3 2 3 2 2 5" xfId="18455"/>
    <cellStyle name="20% - Accent3 2 3 2 3" xfId="6486"/>
    <cellStyle name="20% - Accent3 2 3 2 3 2" xfId="20136"/>
    <cellStyle name="20% - Accent3 2 3 2 4" xfId="9707"/>
    <cellStyle name="20% - Accent3 2 3 2 4 2" xfId="23338"/>
    <cellStyle name="20% - Accent3 2 3 2 5" xfId="13002"/>
    <cellStyle name="20% - Accent3 2 3 2 5 2" xfId="26630"/>
    <cellStyle name="20% - Accent3 2 3 2 6" xfId="16920"/>
    <cellStyle name="20% - Accent3 2 3 3" xfId="3895"/>
    <cellStyle name="20% - Accent3 2 3 3 2" xfId="7325"/>
    <cellStyle name="20% - Accent3 2 3 3 2 2" xfId="20973"/>
    <cellStyle name="20% - Accent3 2 3 3 3" xfId="10463"/>
    <cellStyle name="20% - Accent3 2 3 3 3 2" xfId="24094"/>
    <cellStyle name="20% - Accent3 2 3 3 4" xfId="13759"/>
    <cellStyle name="20% - Accent3 2 3 3 4 2" xfId="27387"/>
    <cellStyle name="20% - Accent3 2 3 3 5" xfId="17690"/>
    <cellStyle name="20% - Accent3 2 3 4" xfId="5735"/>
    <cellStyle name="20% - Accent3 2 3 4 2" xfId="19385"/>
    <cellStyle name="20% - Accent3 2 3 5" xfId="9017"/>
    <cellStyle name="20% - Accent3 2 3 5 2" xfId="22660"/>
    <cellStyle name="20% - Accent3 2 3 6" xfId="12335"/>
    <cellStyle name="20% - Accent3 2 3 6 2" xfId="25963"/>
    <cellStyle name="20% - Accent3 2 3 7" xfId="16062"/>
    <cellStyle name="20% - Accent3 2 4" xfId="2149"/>
    <cellStyle name="20% - Accent3 2 4 2" xfId="3262"/>
    <cellStyle name="20% - Accent3 2 4 2 2" xfId="5008"/>
    <cellStyle name="20% - Accent3 2 4 2 2 2" xfId="8272"/>
    <cellStyle name="20% - Accent3 2 4 2 2 2 2" xfId="21920"/>
    <cellStyle name="20% - Accent3 2 4 2 2 3" xfId="11339"/>
    <cellStyle name="20% - Accent3 2 4 2 2 3 2" xfId="24970"/>
    <cellStyle name="20% - Accent3 2 4 2 2 4" xfId="14635"/>
    <cellStyle name="20% - Accent3 2 4 2 2 4 2" xfId="28263"/>
    <cellStyle name="20% - Accent3 2 4 2 2 5" xfId="18666"/>
    <cellStyle name="20% - Accent3 2 4 2 3" xfId="6696"/>
    <cellStyle name="20% - Accent3 2 4 2 3 2" xfId="20346"/>
    <cellStyle name="20% - Accent3 2 4 2 4" xfId="9916"/>
    <cellStyle name="20% - Accent3 2 4 2 4 2" xfId="23547"/>
    <cellStyle name="20% - Accent3 2 4 2 5" xfId="13211"/>
    <cellStyle name="20% - Accent3 2 4 2 5 2" xfId="26839"/>
    <cellStyle name="20% - Accent3 2 4 2 6" xfId="17141"/>
    <cellStyle name="20% - Accent3 2 4 3" xfId="4062"/>
    <cellStyle name="20% - Accent3 2 4 3 2" xfId="7492"/>
    <cellStyle name="20% - Accent3 2 4 3 2 2" xfId="21140"/>
    <cellStyle name="20% - Accent3 2 4 3 3" xfId="10630"/>
    <cellStyle name="20% - Accent3 2 4 3 3 2" xfId="24261"/>
    <cellStyle name="20% - Accent3 2 4 3 4" xfId="13926"/>
    <cellStyle name="20% - Accent3 2 4 3 4 2" xfId="27554"/>
    <cellStyle name="20% - Accent3 2 4 3 5" xfId="17857"/>
    <cellStyle name="20% - Accent3 2 4 4" xfId="5898"/>
    <cellStyle name="20% - Accent3 2 4 4 2" xfId="19548"/>
    <cellStyle name="20% - Accent3 2 4 5" xfId="9184"/>
    <cellStyle name="20% - Accent3 2 4 5 2" xfId="22826"/>
    <cellStyle name="20% - Accent3 2 4 6" xfId="12498"/>
    <cellStyle name="20% - Accent3 2 4 6 2" xfId="26126"/>
    <cellStyle name="20% - Accent3 2 4 7" xfId="16343"/>
    <cellStyle name="20% - Accent3 2 5" xfId="2290"/>
    <cellStyle name="20% - Accent3 2 5 2" xfId="3396"/>
    <cellStyle name="20% - Accent3 2 5 2 2" xfId="5132"/>
    <cellStyle name="20% - Accent3 2 5 2 2 2" xfId="8396"/>
    <cellStyle name="20% - Accent3 2 5 2 2 2 2" xfId="22044"/>
    <cellStyle name="20% - Accent3 2 5 2 2 3" xfId="11463"/>
    <cellStyle name="20% - Accent3 2 5 2 2 3 2" xfId="25094"/>
    <cellStyle name="20% - Accent3 2 5 2 2 4" xfId="14759"/>
    <cellStyle name="20% - Accent3 2 5 2 2 4 2" xfId="28387"/>
    <cellStyle name="20% - Accent3 2 5 2 2 5" xfId="18790"/>
    <cellStyle name="20% - Accent3 2 5 2 3" xfId="6830"/>
    <cellStyle name="20% - Accent3 2 5 2 3 2" xfId="20480"/>
    <cellStyle name="20% - Accent3 2 5 2 4" xfId="10040"/>
    <cellStyle name="20% - Accent3 2 5 2 4 2" xfId="23671"/>
    <cellStyle name="20% - Accent3 2 5 2 5" xfId="13335"/>
    <cellStyle name="20% - Accent3 2 5 2 5 2" xfId="26963"/>
    <cellStyle name="20% - Accent3 2 5 2 6" xfId="17265"/>
    <cellStyle name="20% - Accent3 2 5 3" xfId="4186"/>
    <cellStyle name="20% - Accent3 2 5 3 2" xfId="7616"/>
    <cellStyle name="20% - Accent3 2 5 3 2 2" xfId="21264"/>
    <cellStyle name="20% - Accent3 2 5 3 3" xfId="10754"/>
    <cellStyle name="20% - Accent3 2 5 3 3 2" xfId="24385"/>
    <cellStyle name="20% - Accent3 2 5 3 4" xfId="14050"/>
    <cellStyle name="20% - Accent3 2 5 3 4 2" xfId="27678"/>
    <cellStyle name="20% - Accent3 2 5 3 5" xfId="17981"/>
    <cellStyle name="20% - Accent3 2 5 4" xfId="6022"/>
    <cellStyle name="20% - Accent3 2 5 4 2" xfId="19672"/>
    <cellStyle name="20% - Accent3 2 5 5" xfId="9308"/>
    <cellStyle name="20% - Accent3 2 5 5 2" xfId="22950"/>
    <cellStyle name="20% - Accent3 2 5 6" xfId="12622"/>
    <cellStyle name="20% - Accent3 2 5 6 2" xfId="26250"/>
    <cellStyle name="20% - Accent3 2 5 7" xfId="16468"/>
    <cellStyle name="20% - Accent3 2 6" xfId="2670"/>
    <cellStyle name="20% - Accent3 2 6 2" xfId="3624"/>
    <cellStyle name="20% - Accent3 2 6 2 2" xfId="5291"/>
    <cellStyle name="20% - Accent3 2 6 2 2 2" xfId="8554"/>
    <cellStyle name="20% - Accent3 2 6 2 2 2 2" xfId="22202"/>
    <cellStyle name="20% - Accent3 2 6 2 2 3" xfId="11621"/>
    <cellStyle name="20% - Accent3 2 6 2 2 3 2" xfId="25252"/>
    <cellStyle name="20% - Accent3 2 6 2 2 4" xfId="14917"/>
    <cellStyle name="20% - Accent3 2 6 2 2 4 2" xfId="28545"/>
    <cellStyle name="20% - Accent3 2 6 2 2 5" xfId="18949"/>
    <cellStyle name="20% - Accent3 2 6 2 3" xfId="7058"/>
    <cellStyle name="20% - Accent3 2 6 2 3 2" xfId="20708"/>
    <cellStyle name="20% - Accent3 2 6 2 4" xfId="10199"/>
    <cellStyle name="20% - Accent3 2 6 2 4 2" xfId="23830"/>
    <cellStyle name="20% - Accent3 2 6 2 5" xfId="13494"/>
    <cellStyle name="20% - Accent3 2 6 2 5 2" xfId="27122"/>
    <cellStyle name="20% - Accent3 2 6 2 6" xfId="17425"/>
    <cellStyle name="20% - Accent3 2 6 3" xfId="4413"/>
    <cellStyle name="20% - Accent3 2 6 3 2" xfId="7843"/>
    <cellStyle name="20% - Accent3 2 6 3 2 2" xfId="21491"/>
    <cellStyle name="20% - Accent3 2 6 3 3" xfId="10912"/>
    <cellStyle name="20% - Accent3 2 6 3 3 2" xfId="24543"/>
    <cellStyle name="20% - Accent3 2 6 3 4" xfId="14208"/>
    <cellStyle name="20% - Accent3 2 6 3 4 2" xfId="27836"/>
    <cellStyle name="20% - Accent3 2 6 3 5" xfId="18208"/>
    <cellStyle name="20% - Accent3 2 6 4" xfId="6264"/>
    <cellStyle name="20% - Accent3 2 6 4 2" xfId="19914"/>
    <cellStyle name="20% - Accent3 2 6 5" xfId="9466"/>
    <cellStyle name="20% - Accent3 2 6 5 2" xfId="23108"/>
    <cellStyle name="20% - Accent3 2 6 6" xfId="12780"/>
    <cellStyle name="20% - Accent3 2 6 6 2" xfId="26408"/>
    <cellStyle name="20% - Accent3 2 6 7" xfId="16697"/>
    <cellStyle name="20% - Accent3 2 7" xfId="2823"/>
    <cellStyle name="20% - Accent3 2 7 2" xfId="4727"/>
    <cellStyle name="20% - Accent3 2 7 2 2" xfId="7995"/>
    <cellStyle name="20% - Accent3 2 7 2 2 2" xfId="21643"/>
    <cellStyle name="20% - Accent3 2 7 2 3" xfId="11064"/>
    <cellStyle name="20% - Accent3 2 7 2 3 2" xfId="24695"/>
    <cellStyle name="20% - Accent3 2 7 2 4" xfId="14360"/>
    <cellStyle name="20% - Accent3 2 7 2 4 2" xfId="27988"/>
    <cellStyle name="20% - Accent3 2 7 2 5" xfId="18386"/>
    <cellStyle name="20% - Accent3 2 7 3" xfId="6417"/>
    <cellStyle name="20% - Accent3 2 7 3 2" xfId="20067"/>
    <cellStyle name="20% - Accent3 2 7 4" xfId="9638"/>
    <cellStyle name="20% - Accent3 2 7 4 2" xfId="23269"/>
    <cellStyle name="20% - Accent3 2 7 5" xfId="12933"/>
    <cellStyle name="20% - Accent3 2 7 5 2" xfId="26561"/>
    <cellStyle name="20% - Accent3 2 7 6" xfId="16849"/>
    <cellStyle name="20% - Accent3 2 8" xfId="5453"/>
    <cellStyle name="20% - Accent3 2 8 2" xfId="8714"/>
    <cellStyle name="20% - Accent3 2 8 2 2" xfId="22357"/>
    <cellStyle name="20% - Accent3 2 8 3" xfId="11774"/>
    <cellStyle name="20% - Accent3 2 8 3 2" xfId="25405"/>
    <cellStyle name="20% - Accent3 2 8 4" xfId="15070"/>
    <cellStyle name="20% - Accent3 2 8 4 2" xfId="28698"/>
    <cellStyle name="20% - Accent3 2 8 5" xfId="19103"/>
    <cellStyle name="20% - Accent3 2 9" xfId="8904"/>
    <cellStyle name="20% - Accent3 2 9 2" xfId="22547"/>
    <cellStyle name="20% - Accent3 3" xfId="3778"/>
    <cellStyle name="20% - Accent3 3 2" xfId="7214"/>
    <cellStyle name="20% - Accent3 3 2 2" xfId="20862"/>
    <cellStyle name="20% - Accent3 3 3" xfId="10353"/>
    <cellStyle name="20% - Accent3 3 3 2" xfId="23984"/>
    <cellStyle name="20% - Accent3 3 4" xfId="13648"/>
    <cellStyle name="20% - Accent3 3 4 2" xfId="27276"/>
    <cellStyle name="20% - Accent3 3 5" xfId="17579"/>
    <cellStyle name="20% - Accent3 4" xfId="5622"/>
    <cellStyle name="20% - Accent3 4 2" xfId="19272"/>
    <cellStyle name="20% - Accent3 5" xfId="12206"/>
    <cellStyle name="20% - Accent3 5 2" xfId="25834"/>
    <cellStyle name="20% - Accent3 6" xfId="12225"/>
    <cellStyle name="20% - Accent3 6 2" xfId="25853"/>
    <cellStyle name="20% - Accent3 7" xfId="15240"/>
    <cellStyle name="20% - Accent3 7 2" xfId="28868"/>
    <cellStyle name="20% - Accent3 8" xfId="15435"/>
    <cellStyle name="20% - Accent3 8 2" xfId="28965"/>
    <cellStyle name="20% - Accent3 9" xfId="15674"/>
    <cellStyle name="20% - Accent3 9 2" xfId="29095"/>
    <cellStyle name="20% - Accent4" xfId="450" builtinId="42" customBuiltin="1"/>
    <cellStyle name="20% - Accent4 10" xfId="15691"/>
    <cellStyle name="20% - Accent4 10 2" xfId="29112"/>
    <cellStyle name="20% - Accent4 11" xfId="15707"/>
    <cellStyle name="20% - Accent4 12" xfId="15819"/>
    <cellStyle name="20% - Accent4 13" xfId="15953"/>
    <cellStyle name="20% - Accent4 2" xfId="361"/>
    <cellStyle name="20% - Accent4 2 10" xfId="11961"/>
    <cellStyle name="20% - Accent4 2 10 2" xfId="25592"/>
    <cellStyle name="20% - Accent4 2 11" xfId="12064"/>
    <cellStyle name="20% - Accent4 2 11 2" xfId="25692"/>
    <cellStyle name="20% - Accent4 2 12" xfId="15244"/>
    <cellStyle name="20% - Accent4 2 12 2" xfId="28872"/>
    <cellStyle name="20% - Accent4 2 13" xfId="15450"/>
    <cellStyle name="20% - Accent4 2 13 2" xfId="28979"/>
    <cellStyle name="20% - Accent4 2 14" xfId="15776"/>
    <cellStyle name="20% - Accent4 2 15" xfId="29613"/>
    <cellStyle name="20% - Accent4 2 2" xfId="740"/>
    <cellStyle name="20% - Accent4 2 2 10" xfId="11962"/>
    <cellStyle name="20% - Accent4 2 2 10 2" xfId="25593"/>
    <cellStyle name="20% - Accent4 2 2 11" xfId="12065"/>
    <cellStyle name="20% - Accent4 2 2 11 2" xfId="25693"/>
    <cellStyle name="20% - Accent4 2 2 12" xfId="12338"/>
    <cellStyle name="20% - Accent4 2 2 12 2" xfId="25966"/>
    <cellStyle name="20% - Accent4 2 2 13" xfId="15245"/>
    <cellStyle name="20% - Accent4 2 2 13 2" xfId="28873"/>
    <cellStyle name="20% - Accent4 2 2 14" xfId="15451"/>
    <cellStyle name="20% - Accent4 2 2 14 2" xfId="28980"/>
    <cellStyle name="20% - Accent4 2 2 15" xfId="16065"/>
    <cellStyle name="20% - Accent4 2 2 16" xfId="29614"/>
    <cellStyle name="20% - Accent4 2 2 2" xfId="2152"/>
    <cellStyle name="20% - Accent4 2 2 2 2" xfId="3265"/>
    <cellStyle name="20% - Accent4 2 2 2 2 2" xfId="5011"/>
    <cellStyle name="20% - Accent4 2 2 2 2 2 2" xfId="8275"/>
    <cellStyle name="20% - Accent4 2 2 2 2 2 2 2" xfId="21923"/>
    <cellStyle name="20% - Accent4 2 2 2 2 2 3" xfId="11342"/>
    <cellStyle name="20% - Accent4 2 2 2 2 2 3 2" xfId="24973"/>
    <cellStyle name="20% - Accent4 2 2 2 2 2 4" xfId="14638"/>
    <cellStyle name="20% - Accent4 2 2 2 2 2 4 2" xfId="28266"/>
    <cellStyle name="20% - Accent4 2 2 2 2 2 5" xfId="18669"/>
    <cellStyle name="20% - Accent4 2 2 2 2 3" xfId="6699"/>
    <cellStyle name="20% - Accent4 2 2 2 2 3 2" xfId="20349"/>
    <cellStyle name="20% - Accent4 2 2 2 2 4" xfId="9919"/>
    <cellStyle name="20% - Accent4 2 2 2 2 4 2" xfId="23550"/>
    <cellStyle name="20% - Accent4 2 2 2 2 5" xfId="13214"/>
    <cellStyle name="20% - Accent4 2 2 2 2 5 2" xfId="26842"/>
    <cellStyle name="20% - Accent4 2 2 2 2 6" xfId="17144"/>
    <cellStyle name="20% - Accent4 2 2 2 3" xfId="4065"/>
    <cellStyle name="20% - Accent4 2 2 2 3 2" xfId="7495"/>
    <cellStyle name="20% - Accent4 2 2 2 3 2 2" xfId="21143"/>
    <cellStyle name="20% - Accent4 2 2 2 3 3" xfId="10633"/>
    <cellStyle name="20% - Accent4 2 2 2 3 3 2" xfId="24264"/>
    <cellStyle name="20% - Accent4 2 2 2 3 4" xfId="13929"/>
    <cellStyle name="20% - Accent4 2 2 2 3 4 2" xfId="27557"/>
    <cellStyle name="20% - Accent4 2 2 2 3 5" xfId="17860"/>
    <cellStyle name="20% - Accent4 2 2 2 4" xfId="5901"/>
    <cellStyle name="20% - Accent4 2 2 2 4 2" xfId="19551"/>
    <cellStyle name="20% - Accent4 2 2 2 5" xfId="9187"/>
    <cellStyle name="20% - Accent4 2 2 2 5 2" xfId="22829"/>
    <cellStyle name="20% - Accent4 2 2 2 6" xfId="12501"/>
    <cellStyle name="20% - Accent4 2 2 2 6 2" xfId="26129"/>
    <cellStyle name="20% - Accent4 2 2 2 7" xfId="16346"/>
    <cellStyle name="20% - Accent4 2 2 3" xfId="2293"/>
    <cellStyle name="20% - Accent4 2 2 3 2" xfId="3399"/>
    <cellStyle name="20% - Accent4 2 2 3 2 2" xfId="5135"/>
    <cellStyle name="20% - Accent4 2 2 3 2 2 2" xfId="8399"/>
    <cellStyle name="20% - Accent4 2 2 3 2 2 2 2" xfId="22047"/>
    <cellStyle name="20% - Accent4 2 2 3 2 2 3" xfId="11466"/>
    <cellStyle name="20% - Accent4 2 2 3 2 2 3 2" xfId="25097"/>
    <cellStyle name="20% - Accent4 2 2 3 2 2 4" xfId="14762"/>
    <cellStyle name="20% - Accent4 2 2 3 2 2 4 2" xfId="28390"/>
    <cellStyle name="20% - Accent4 2 2 3 2 2 5" xfId="18793"/>
    <cellStyle name="20% - Accent4 2 2 3 2 3" xfId="6833"/>
    <cellStyle name="20% - Accent4 2 2 3 2 3 2" xfId="20483"/>
    <cellStyle name="20% - Accent4 2 2 3 2 4" xfId="10043"/>
    <cellStyle name="20% - Accent4 2 2 3 2 4 2" xfId="23674"/>
    <cellStyle name="20% - Accent4 2 2 3 2 5" xfId="13338"/>
    <cellStyle name="20% - Accent4 2 2 3 2 5 2" xfId="26966"/>
    <cellStyle name="20% - Accent4 2 2 3 2 6" xfId="17268"/>
    <cellStyle name="20% - Accent4 2 2 3 3" xfId="4189"/>
    <cellStyle name="20% - Accent4 2 2 3 3 2" xfId="7619"/>
    <cellStyle name="20% - Accent4 2 2 3 3 2 2" xfId="21267"/>
    <cellStyle name="20% - Accent4 2 2 3 3 3" xfId="10757"/>
    <cellStyle name="20% - Accent4 2 2 3 3 3 2" xfId="24388"/>
    <cellStyle name="20% - Accent4 2 2 3 3 4" xfId="14053"/>
    <cellStyle name="20% - Accent4 2 2 3 3 4 2" xfId="27681"/>
    <cellStyle name="20% - Accent4 2 2 3 3 5" xfId="17984"/>
    <cellStyle name="20% - Accent4 2 2 3 4" xfId="6025"/>
    <cellStyle name="20% - Accent4 2 2 3 4 2" xfId="19675"/>
    <cellStyle name="20% - Accent4 2 2 3 5" xfId="9311"/>
    <cellStyle name="20% - Accent4 2 2 3 5 2" xfId="22953"/>
    <cellStyle name="20% - Accent4 2 2 3 6" xfId="12625"/>
    <cellStyle name="20% - Accent4 2 2 3 6 2" xfId="26253"/>
    <cellStyle name="20% - Accent4 2 2 3 7" xfId="16471"/>
    <cellStyle name="20% - Accent4 2 2 4" xfId="2673"/>
    <cellStyle name="20% - Accent4 2 2 4 2" xfId="3627"/>
    <cellStyle name="20% - Accent4 2 2 4 2 2" xfId="5294"/>
    <cellStyle name="20% - Accent4 2 2 4 2 2 2" xfId="8557"/>
    <cellStyle name="20% - Accent4 2 2 4 2 2 2 2" xfId="22205"/>
    <cellStyle name="20% - Accent4 2 2 4 2 2 3" xfId="11624"/>
    <cellStyle name="20% - Accent4 2 2 4 2 2 3 2" xfId="25255"/>
    <cellStyle name="20% - Accent4 2 2 4 2 2 4" xfId="14920"/>
    <cellStyle name="20% - Accent4 2 2 4 2 2 4 2" xfId="28548"/>
    <cellStyle name="20% - Accent4 2 2 4 2 2 5" xfId="18952"/>
    <cellStyle name="20% - Accent4 2 2 4 2 3" xfId="7061"/>
    <cellStyle name="20% - Accent4 2 2 4 2 3 2" xfId="20711"/>
    <cellStyle name="20% - Accent4 2 2 4 2 4" xfId="10202"/>
    <cellStyle name="20% - Accent4 2 2 4 2 4 2" xfId="23833"/>
    <cellStyle name="20% - Accent4 2 2 4 2 5" xfId="13497"/>
    <cellStyle name="20% - Accent4 2 2 4 2 5 2" xfId="27125"/>
    <cellStyle name="20% - Accent4 2 2 4 2 6" xfId="17428"/>
    <cellStyle name="20% - Accent4 2 2 4 3" xfId="4416"/>
    <cellStyle name="20% - Accent4 2 2 4 3 2" xfId="7846"/>
    <cellStyle name="20% - Accent4 2 2 4 3 2 2" xfId="21494"/>
    <cellStyle name="20% - Accent4 2 2 4 3 3" xfId="10915"/>
    <cellStyle name="20% - Accent4 2 2 4 3 3 2" xfId="24546"/>
    <cellStyle name="20% - Accent4 2 2 4 3 4" xfId="14211"/>
    <cellStyle name="20% - Accent4 2 2 4 3 4 2" xfId="27839"/>
    <cellStyle name="20% - Accent4 2 2 4 3 5" xfId="18211"/>
    <cellStyle name="20% - Accent4 2 2 4 4" xfId="6267"/>
    <cellStyle name="20% - Accent4 2 2 4 4 2" xfId="19917"/>
    <cellStyle name="20% - Accent4 2 2 4 5" xfId="9469"/>
    <cellStyle name="20% - Accent4 2 2 4 5 2" xfId="23111"/>
    <cellStyle name="20% - Accent4 2 2 4 6" xfId="12783"/>
    <cellStyle name="20% - Accent4 2 2 4 6 2" xfId="26411"/>
    <cellStyle name="20% - Accent4 2 2 4 7" xfId="16700"/>
    <cellStyle name="20% - Accent4 2 2 5" xfId="2826"/>
    <cellStyle name="20% - Accent4 2 2 5 2" xfId="4730"/>
    <cellStyle name="20% - Accent4 2 2 5 2 2" xfId="7998"/>
    <cellStyle name="20% - Accent4 2 2 5 2 2 2" xfId="21646"/>
    <cellStyle name="20% - Accent4 2 2 5 2 3" xfId="11067"/>
    <cellStyle name="20% - Accent4 2 2 5 2 3 2" xfId="24698"/>
    <cellStyle name="20% - Accent4 2 2 5 2 4" xfId="14363"/>
    <cellStyle name="20% - Accent4 2 2 5 2 4 2" xfId="27991"/>
    <cellStyle name="20% - Accent4 2 2 5 2 5" xfId="18389"/>
    <cellStyle name="20% - Accent4 2 2 5 3" xfId="6420"/>
    <cellStyle name="20% - Accent4 2 2 5 3 2" xfId="20070"/>
    <cellStyle name="20% - Accent4 2 2 5 4" xfId="9641"/>
    <cellStyle name="20% - Accent4 2 2 5 4 2" xfId="23272"/>
    <cellStyle name="20% - Accent4 2 2 5 5" xfId="12936"/>
    <cellStyle name="20% - Accent4 2 2 5 5 2" xfId="26564"/>
    <cellStyle name="20% - Accent4 2 2 5 6" xfId="16852"/>
    <cellStyle name="20% - Accent4 2 2 6" xfId="3898"/>
    <cellStyle name="20% - Accent4 2 2 6 2" xfId="7328"/>
    <cellStyle name="20% - Accent4 2 2 6 2 2" xfId="20976"/>
    <cellStyle name="20% - Accent4 2 2 6 3" xfId="10466"/>
    <cellStyle name="20% - Accent4 2 2 6 3 2" xfId="24097"/>
    <cellStyle name="20% - Accent4 2 2 6 4" xfId="13762"/>
    <cellStyle name="20% - Accent4 2 2 6 4 2" xfId="27390"/>
    <cellStyle name="20% - Accent4 2 2 6 5" xfId="17693"/>
    <cellStyle name="20% - Accent4 2 2 7" xfId="5456"/>
    <cellStyle name="20% - Accent4 2 2 7 2" xfId="8717"/>
    <cellStyle name="20% - Accent4 2 2 7 2 2" xfId="22360"/>
    <cellStyle name="20% - Accent4 2 2 7 3" xfId="11777"/>
    <cellStyle name="20% - Accent4 2 2 7 3 2" xfId="25408"/>
    <cellStyle name="20% - Accent4 2 2 7 4" xfId="15073"/>
    <cellStyle name="20% - Accent4 2 2 7 4 2" xfId="28701"/>
    <cellStyle name="20% - Accent4 2 2 7 5" xfId="19106"/>
    <cellStyle name="20% - Accent4 2 2 8" xfId="5738"/>
    <cellStyle name="20% - Accent4 2 2 8 2" xfId="19388"/>
    <cellStyle name="20% - Accent4 2 2 9" xfId="8907"/>
    <cellStyle name="20% - Accent4 2 2 9 2" xfId="22550"/>
    <cellStyle name="20% - Accent4 2 3" xfId="739"/>
    <cellStyle name="20% - Accent4 2 3 2" xfId="2950"/>
    <cellStyle name="20% - Accent4 2 3 2 2" xfId="4795"/>
    <cellStyle name="20% - Accent4 2 3 2 2 2" xfId="8063"/>
    <cellStyle name="20% - Accent4 2 3 2 2 2 2" xfId="21711"/>
    <cellStyle name="20% - Accent4 2 3 2 2 3" xfId="11132"/>
    <cellStyle name="20% - Accent4 2 3 2 2 3 2" xfId="24763"/>
    <cellStyle name="20% - Accent4 2 3 2 2 4" xfId="14428"/>
    <cellStyle name="20% - Accent4 2 3 2 2 4 2" xfId="28056"/>
    <cellStyle name="20% - Accent4 2 3 2 2 5" xfId="18454"/>
    <cellStyle name="20% - Accent4 2 3 2 3" xfId="6485"/>
    <cellStyle name="20% - Accent4 2 3 2 3 2" xfId="20135"/>
    <cellStyle name="20% - Accent4 2 3 2 4" xfId="9706"/>
    <cellStyle name="20% - Accent4 2 3 2 4 2" xfId="23337"/>
    <cellStyle name="20% - Accent4 2 3 2 5" xfId="13001"/>
    <cellStyle name="20% - Accent4 2 3 2 5 2" xfId="26629"/>
    <cellStyle name="20% - Accent4 2 3 2 6" xfId="16919"/>
    <cellStyle name="20% - Accent4 2 3 3" xfId="3897"/>
    <cellStyle name="20% - Accent4 2 3 3 2" xfId="7327"/>
    <cellStyle name="20% - Accent4 2 3 3 2 2" xfId="20975"/>
    <cellStyle name="20% - Accent4 2 3 3 3" xfId="10465"/>
    <cellStyle name="20% - Accent4 2 3 3 3 2" xfId="24096"/>
    <cellStyle name="20% - Accent4 2 3 3 4" xfId="13761"/>
    <cellStyle name="20% - Accent4 2 3 3 4 2" xfId="27389"/>
    <cellStyle name="20% - Accent4 2 3 3 5" xfId="17692"/>
    <cellStyle name="20% - Accent4 2 3 4" xfId="5737"/>
    <cellStyle name="20% - Accent4 2 3 4 2" xfId="19387"/>
    <cellStyle name="20% - Accent4 2 3 5" xfId="9014"/>
    <cellStyle name="20% - Accent4 2 3 5 2" xfId="22657"/>
    <cellStyle name="20% - Accent4 2 3 6" xfId="12337"/>
    <cellStyle name="20% - Accent4 2 3 6 2" xfId="25965"/>
    <cellStyle name="20% - Accent4 2 3 7" xfId="16064"/>
    <cellStyle name="20% - Accent4 2 4" xfId="2151"/>
    <cellStyle name="20% - Accent4 2 4 2" xfId="3264"/>
    <cellStyle name="20% - Accent4 2 4 2 2" xfId="5010"/>
    <cellStyle name="20% - Accent4 2 4 2 2 2" xfId="8274"/>
    <cellStyle name="20% - Accent4 2 4 2 2 2 2" xfId="21922"/>
    <cellStyle name="20% - Accent4 2 4 2 2 3" xfId="11341"/>
    <cellStyle name="20% - Accent4 2 4 2 2 3 2" xfId="24972"/>
    <cellStyle name="20% - Accent4 2 4 2 2 4" xfId="14637"/>
    <cellStyle name="20% - Accent4 2 4 2 2 4 2" xfId="28265"/>
    <cellStyle name="20% - Accent4 2 4 2 2 5" xfId="18668"/>
    <cellStyle name="20% - Accent4 2 4 2 3" xfId="6698"/>
    <cellStyle name="20% - Accent4 2 4 2 3 2" xfId="20348"/>
    <cellStyle name="20% - Accent4 2 4 2 4" xfId="9918"/>
    <cellStyle name="20% - Accent4 2 4 2 4 2" xfId="23549"/>
    <cellStyle name="20% - Accent4 2 4 2 5" xfId="13213"/>
    <cellStyle name="20% - Accent4 2 4 2 5 2" xfId="26841"/>
    <cellStyle name="20% - Accent4 2 4 2 6" xfId="17143"/>
    <cellStyle name="20% - Accent4 2 4 3" xfId="4064"/>
    <cellStyle name="20% - Accent4 2 4 3 2" xfId="7494"/>
    <cellStyle name="20% - Accent4 2 4 3 2 2" xfId="21142"/>
    <cellStyle name="20% - Accent4 2 4 3 3" xfId="10632"/>
    <cellStyle name="20% - Accent4 2 4 3 3 2" xfId="24263"/>
    <cellStyle name="20% - Accent4 2 4 3 4" xfId="13928"/>
    <cellStyle name="20% - Accent4 2 4 3 4 2" xfId="27556"/>
    <cellStyle name="20% - Accent4 2 4 3 5" xfId="17859"/>
    <cellStyle name="20% - Accent4 2 4 4" xfId="5900"/>
    <cellStyle name="20% - Accent4 2 4 4 2" xfId="19550"/>
    <cellStyle name="20% - Accent4 2 4 5" xfId="9186"/>
    <cellStyle name="20% - Accent4 2 4 5 2" xfId="22828"/>
    <cellStyle name="20% - Accent4 2 4 6" xfId="12500"/>
    <cellStyle name="20% - Accent4 2 4 6 2" xfId="26128"/>
    <cellStyle name="20% - Accent4 2 4 7" xfId="16345"/>
    <cellStyle name="20% - Accent4 2 5" xfId="2292"/>
    <cellStyle name="20% - Accent4 2 5 2" xfId="3398"/>
    <cellStyle name="20% - Accent4 2 5 2 2" xfId="5134"/>
    <cellStyle name="20% - Accent4 2 5 2 2 2" xfId="8398"/>
    <cellStyle name="20% - Accent4 2 5 2 2 2 2" xfId="22046"/>
    <cellStyle name="20% - Accent4 2 5 2 2 3" xfId="11465"/>
    <cellStyle name="20% - Accent4 2 5 2 2 3 2" xfId="25096"/>
    <cellStyle name="20% - Accent4 2 5 2 2 4" xfId="14761"/>
    <cellStyle name="20% - Accent4 2 5 2 2 4 2" xfId="28389"/>
    <cellStyle name="20% - Accent4 2 5 2 2 5" xfId="18792"/>
    <cellStyle name="20% - Accent4 2 5 2 3" xfId="6832"/>
    <cellStyle name="20% - Accent4 2 5 2 3 2" xfId="20482"/>
    <cellStyle name="20% - Accent4 2 5 2 4" xfId="10042"/>
    <cellStyle name="20% - Accent4 2 5 2 4 2" xfId="23673"/>
    <cellStyle name="20% - Accent4 2 5 2 5" xfId="13337"/>
    <cellStyle name="20% - Accent4 2 5 2 5 2" xfId="26965"/>
    <cellStyle name="20% - Accent4 2 5 2 6" xfId="17267"/>
    <cellStyle name="20% - Accent4 2 5 3" xfId="4188"/>
    <cellStyle name="20% - Accent4 2 5 3 2" xfId="7618"/>
    <cellStyle name="20% - Accent4 2 5 3 2 2" xfId="21266"/>
    <cellStyle name="20% - Accent4 2 5 3 3" xfId="10756"/>
    <cellStyle name="20% - Accent4 2 5 3 3 2" xfId="24387"/>
    <cellStyle name="20% - Accent4 2 5 3 4" xfId="14052"/>
    <cellStyle name="20% - Accent4 2 5 3 4 2" xfId="27680"/>
    <cellStyle name="20% - Accent4 2 5 3 5" xfId="17983"/>
    <cellStyle name="20% - Accent4 2 5 4" xfId="6024"/>
    <cellStyle name="20% - Accent4 2 5 4 2" xfId="19674"/>
    <cellStyle name="20% - Accent4 2 5 5" xfId="9310"/>
    <cellStyle name="20% - Accent4 2 5 5 2" xfId="22952"/>
    <cellStyle name="20% - Accent4 2 5 6" xfId="12624"/>
    <cellStyle name="20% - Accent4 2 5 6 2" xfId="26252"/>
    <cellStyle name="20% - Accent4 2 5 7" xfId="16470"/>
    <cellStyle name="20% - Accent4 2 6" xfId="2672"/>
    <cellStyle name="20% - Accent4 2 6 2" xfId="3626"/>
    <cellStyle name="20% - Accent4 2 6 2 2" xfId="5293"/>
    <cellStyle name="20% - Accent4 2 6 2 2 2" xfId="8556"/>
    <cellStyle name="20% - Accent4 2 6 2 2 2 2" xfId="22204"/>
    <cellStyle name="20% - Accent4 2 6 2 2 3" xfId="11623"/>
    <cellStyle name="20% - Accent4 2 6 2 2 3 2" xfId="25254"/>
    <cellStyle name="20% - Accent4 2 6 2 2 4" xfId="14919"/>
    <cellStyle name="20% - Accent4 2 6 2 2 4 2" xfId="28547"/>
    <cellStyle name="20% - Accent4 2 6 2 2 5" xfId="18951"/>
    <cellStyle name="20% - Accent4 2 6 2 3" xfId="7060"/>
    <cellStyle name="20% - Accent4 2 6 2 3 2" xfId="20710"/>
    <cellStyle name="20% - Accent4 2 6 2 4" xfId="10201"/>
    <cellStyle name="20% - Accent4 2 6 2 4 2" xfId="23832"/>
    <cellStyle name="20% - Accent4 2 6 2 5" xfId="13496"/>
    <cellStyle name="20% - Accent4 2 6 2 5 2" xfId="27124"/>
    <cellStyle name="20% - Accent4 2 6 2 6" xfId="17427"/>
    <cellStyle name="20% - Accent4 2 6 3" xfId="4415"/>
    <cellStyle name="20% - Accent4 2 6 3 2" xfId="7845"/>
    <cellStyle name="20% - Accent4 2 6 3 2 2" xfId="21493"/>
    <cellStyle name="20% - Accent4 2 6 3 3" xfId="10914"/>
    <cellStyle name="20% - Accent4 2 6 3 3 2" xfId="24545"/>
    <cellStyle name="20% - Accent4 2 6 3 4" xfId="14210"/>
    <cellStyle name="20% - Accent4 2 6 3 4 2" xfId="27838"/>
    <cellStyle name="20% - Accent4 2 6 3 5" xfId="18210"/>
    <cellStyle name="20% - Accent4 2 6 4" xfId="6266"/>
    <cellStyle name="20% - Accent4 2 6 4 2" xfId="19916"/>
    <cellStyle name="20% - Accent4 2 6 5" xfId="9468"/>
    <cellStyle name="20% - Accent4 2 6 5 2" xfId="23110"/>
    <cellStyle name="20% - Accent4 2 6 6" xfId="12782"/>
    <cellStyle name="20% - Accent4 2 6 6 2" xfId="26410"/>
    <cellStyle name="20% - Accent4 2 6 7" xfId="16699"/>
    <cellStyle name="20% - Accent4 2 7" xfId="2825"/>
    <cellStyle name="20% - Accent4 2 7 2" xfId="4729"/>
    <cellStyle name="20% - Accent4 2 7 2 2" xfId="7997"/>
    <cellStyle name="20% - Accent4 2 7 2 2 2" xfId="21645"/>
    <cellStyle name="20% - Accent4 2 7 2 3" xfId="11066"/>
    <cellStyle name="20% - Accent4 2 7 2 3 2" xfId="24697"/>
    <cellStyle name="20% - Accent4 2 7 2 4" xfId="14362"/>
    <cellStyle name="20% - Accent4 2 7 2 4 2" xfId="27990"/>
    <cellStyle name="20% - Accent4 2 7 2 5" xfId="18388"/>
    <cellStyle name="20% - Accent4 2 7 3" xfId="6419"/>
    <cellStyle name="20% - Accent4 2 7 3 2" xfId="20069"/>
    <cellStyle name="20% - Accent4 2 7 4" xfId="9640"/>
    <cellStyle name="20% - Accent4 2 7 4 2" xfId="23271"/>
    <cellStyle name="20% - Accent4 2 7 5" xfId="12935"/>
    <cellStyle name="20% - Accent4 2 7 5 2" xfId="26563"/>
    <cellStyle name="20% - Accent4 2 7 6" xfId="16851"/>
    <cellStyle name="20% - Accent4 2 8" xfId="5455"/>
    <cellStyle name="20% - Accent4 2 8 2" xfId="8716"/>
    <cellStyle name="20% - Accent4 2 8 2 2" xfId="22359"/>
    <cellStyle name="20% - Accent4 2 8 3" xfId="11776"/>
    <cellStyle name="20% - Accent4 2 8 3 2" xfId="25407"/>
    <cellStyle name="20% - Accent4 2 8 4" xfId="15072"/>
    <cellStyle name="20% - Accent4 2 8 4 2" xfId="28700"/>
    <cellStyle name="20% - Accent4 2 8 5" xfId="19105"/>
    <cellStyle name="20% - Accent4 2 9" xfId="8906"/>
    <cellStyle name="20% - Accent4 2 9 2" xfId="22549"/>
    <cellStyle name="20% - Accent4 3" xfId="3780"/>
    <cellStyle name="20% - Accent4 3 2" xfId="7216"/>
    <cellStyle name="20% - Accent4 3 2 2" xfId="20864"/>
    <cellStyle name="20% - Accent4 3 3" xfId="10355"/>
    <cellStyle name="20% - Accent4 3 3 2" xfId="23986"/>
    <cellStyle name="20% - Accent4 3 4" xfId="13650"/>
    <cellStyle name="20% - Accent4 3 4 2" xfId="27278"/>
    <cellStyle name="20% - Accent4 3 5" xfId="17581"/>
    <cellStyle name="20% - Accent4 4" xfId="5624"/>
    <cellStyle name="20% - Accent4 4 2" xfId="19274"/>
    <cellStyle name="20% - Accent4 5" xfId="12207"/>
    <cellStyle name="20% - Accent4 5 2" xfId="25835"/>
    <cellStyle name="20% - Accent4 6" xfId="12227"/>
    <cellStyle name="20% - Accent4 6 2" xfId="25855"/>
    <cellStyle name="20% - Accent4 7" xfId="15243"/>
    <cellStyle name="20% - Accent4 7 2" xfId="28871"/>
    <cellStyle name="20% - Accent4 8" xfId="15437"/>
    <cellStyle name="20% - Accent4 8 2" xfId="28967"/>
    <cellStyle name="20% - Accent4 9" xfId="15677"/>
    <cellStyle name="20% - Accent4 9 2" xfId="29098"/>
    <cellStyle name="20% - Accent5" xfId="454" builtinId="46" customBuiltin="1"/>
    <cellStyle name="20% - Accent5 10" xfId="15692"/>
    <cellStyle name="20% - Accent5 10 2" xfId="29113"/>
    <cellStyle name="20% - Accent5 11" xfId="15708"/>
    <cellStyle name="20% - Accent5 12" xfId="15818"/>
    <cellStyle name="20% - Accent5 13" xfId="15957"/>
    <cellStyle name="20% - Accent5 2" xfId="362"/>
    <cellStyle name="20% - Accent5 2 10" xfId="11963"/>
    <cellStyle name="20% - Accent5 2 10 2" xfId="25594"/>
    <cellStyle name="20% - Accent5 2 11" xfId="12066"/>
    <cellStyle name="20% - Accent5 2 11 2" xfId="25694"/>
    <cellStyle name="20% - Accent5 2 12" xfId="15247"/>
    <cellStyle name="20% - Accent5 2 12 2" xfId="28875"/>
    <cellStyle name="20% - Accent5 2 13" xfId="15452"/>
    <cellStyle name="20% - Accent5 2 13 2" xfId="28981"/>
    <cellStyle name="20% - Accent5 2 14" xfId="15774"/>
    <cellStyle name="20% - Accent5 2 15" xfId="29615"/>
    <cellStyle name="20% - Accent5 2 2" xfId="742"/>
    <cellStyle name="20% - Accent5 2 2 10" xfId="11964"/>
    <cellStyle name="20% - Accent5 2 2 10 2" xfId="25595"/>
    <cellStyle name="20% - Accent5 2 2 11" xfId="12067"/>
    <cellStyle name="20% - Accent5 2 2 11 2" xfId="25695"/>
    <cellStyle name="20% - Accent5 2 2 12" xfId="12340"/>
    <cellStyle name="20% - Accent5 2 2 12 2" xfId="25968"/>
    <cellStyle name="20% - Accent5 2 2 13" xfId="15248"/>
    <cellStyle name="20% - Accent5 2 2 13 2" xfId="28876"/>
    <cellStyle name="20% - Accent5 2 2 14" xfId="15453"/>
    <cellStyle name="20% - Accent5 2 2 14 2" xfId="28982"/>
    <cellStyle name="20% - Accent5 2 2 15" xfId="16067"/>
    <cellStyle name="20% - Accent5 2 2 16" xfId="29616"/>
    <cellStyle name="20% - Accent5 2 2 2" xfId="2154"/>
    <cellStyle name="20% - Accent5 2 2 2 2" xfId="3267"/>
    <cellStyle name="20% - Accent5 2 2 2 2 2" xfId="5013"/>
    <cellStyle name="20% - Accent5 2 2 2 2 2 2" xfId="8277"/>
    <cellStyle name="20% - Accent5 2 2 2 2 2 2 2" xfId="21925"/>
    <cellStyle name="20% - Accent5 2 2 2 2 2 3" xfId="11344"/>
    <cellStyle name="20% - Accent5 2 2 2 2 2 3 2" xfId="24975"/>
    <cellStyle name="20% - Accent5 2 2 2 2 2 4" xfId="14640"/>
    <cellStyle name="20% - Accent5 2 2 2 2 2 4 2" xfId="28268"/>
    <cellStyle name="20% - Accent5 2 2 2 2 2 5" xfId="18671"/>
    <cellStyle name="20% - Accent5 2 2 2 2 3" xfId="6701"/>
    <cellStyle name="20% - Accent5 2 2 2 2 3 2" xfId="20351"/>
    <cellStyle name="20% - Accent5 2 2 2 2 4" xfId="9921"/>
    <cellStyle name="20% - Accent5 2 2 2 2 4 2" xfId="23552"/>
    <cellStyle name="20% - Accent5 2 2 2 2 5" xfId="13216"/>
    <cellStyle name="20% - Accent5 2 2 2 2 5 2" xfId="26844"/>
    <cellStyle name="20% - Accent5 2 2 2 2 6" xfId="17146"/>
    <cellStyle name="20% - Accent5 2 2 2 3" xfId="4067"/>
    <cellStyle name="20% - Accent5 2 2 2 3 2" xfId="7497"/>
    <cellStyle name="20% - Accent5 2 2 2 3 2 2" xfId="21145"/>
    <cellStyle name="20% - Accent5 2 2 2 3 3" xfId="10635"/>
    <cellStyle name="20% - Accent5 2 2 2 3 3 2" xfId="24266"/>
    <cellStyle name="20% - Accent5 2 2 2 3 4" xfId="13931"/>
    <cellStyle name="20% - Accent5 2 2 2 3 4 2" xfId="27559"/>
    <cellStyle name="20% - Accent5 2 2 2 3 5" xfId="17862"/>
    <cellStyle name="20% - Accent5 2 2 2 4" xfId="5903"/>
    <cellStyle name="20% - Accent5 2 2 2 4 2" xfId="19553"/>
    <cellStyle name="20% - Accent5 2 2 2 5" xfId="9189"/>
    <cellStyle name="20% - Accent5 2 2 2 5 2" xfId="22831"/>
    <cellStyle name="20% - Accent5 2 2 2 6" xfId="12503"/>
    <cellStyle name="20% - Accent5 2 2 2 6 2" xfId="26131"/>
    <cellStyle name="20% - Accent5 2 2 2 7" xfId="16348"/>
    <cellStyle name="20% - Accent5 2 2 3" xfId="2295"/>
    <cellStyle name="20% - Accent5 2 2 3 2" xfId="3401"/>
    <cellStyle name="20% - Accent5 2 2 3 2 2" xfId="5137"/>
    <cellStyle name="20% - Accent5 2 2 3 2 2 2" xfId="8401"/>
    <cellStyle name="20% - Accent5 2 2 3 2 2 2 2" xfId="22049"/>
    <cellStyle name="20% - Accent5 2 2 3 2 2 3" xfId="11468"/>
    <cellStyle name="20% - Accent5 2 2 3 2 2 3 2" xfId="25099"/>
    <cellStyle name="20% - Accent5 2 2 3 2 2 4" xfId="14764"/>
    <cellStyle name="20% - Accent5 2 2 3 2 2 4 2" xfId="28392"/>
    <cellStyle name="20% - Accent5 2 2 3 2 2 5" xfId="18795"/>
    <cellStyle name="20% - Accent5 2 2 3 2 3" xfId="6835"/>
    <cellStyle name="20% - Accent5 2 2 3 2 3 2" xfId="20485"/>
    <cellStyle name="20% - Accent5 2 2 3 2 4" xfId="10045"/>
    <cellStyle name="20% - Accent5 2 2 3 2 4 2" xfId="23676"/>
    <cellStyle name="20% - Accent5 2 2 3 2 5" xfId="13340"/>
    <cellStyle name="20% - Accent5 2 2 3 2 5 2" xfId="26968"/>
    <cellStyle name="20% - Accent5 2 2 3 2 6" xfId="17270"/>
    <cellStyle name="20% - Accent5 2 2 3 3" xfId="4191"/>
    <cellStyle name="20% - Accent5 2 2 3 3 2" xfId="7621"/>
    <cellStyle name="20% - Accent5 2 2 3 3 2 2" xfId="21269"/>
    <cellStyle name="20% - Accent5 2 2 3 3 3" xfId="10759"/>
    <cellStyle name="20% - Accent5 2 2 3 3 3 2" xfId="24390"/>
    <cellStyle name="20% - Accent5 2 2 3 3 4" xfId="14055"/>
    <cellStyle name="20% - Accent5 2 2 3 3 4 2" xfId="27683"/>
    <cellStyle name="20% - Accent5 2 2 3 3 5" xfId="17986"/>
    <cellStyle name="20% - Accent5 2 2 3 4" xfId="6027"/>
    <cellStyle name="20% - Accent5 2 2 3 4 2" xfId="19677"/>
    <cellStyle name="20% - Accent5 2 2 3 5" xfId="9313"/>
    <cellStyle name="20% - Accent5 2 2 3 5 2" xfId="22955"/>
    <cellStyle name="20% - Accent5 2 2 3 6" xfId="12627"/>
    <cellStyle name="20% - Accent5 2 2 3 6 2" xfId="26255"/>
    <cellStyle name="20% - Accent5 2 2 3 7" xfId="16473"/>
    <cellStyle name="20% - Accent5 2 2 4" xfId="2675"/>
    <cellStyle name="20% - Accent5 2 2 4 2" xfId="3629"/>
    <cellStyle name="20% - Accent5 2 2 4 2 2" xfId="5296"/>
    <cellStyle name="20% - Accent5 2 2 4 2 2 2" xfId="8559"/>
    <cellStyle name="20% - Accent5 2 2 4 2 2 2 2" xfId="22207"/>
    <cellStyle name="20% - Accent5 2 2 4 2 2 3" xfId="11626"/>
    <cellStyle name="20% - Accent5 2 2 4 2 2 3 2" xfId="25257"/>
    <cellStyle name="20% - Accent5 2 2 4 2 2 4" xfId="14922"/>
    <cellStyle name="20% - Accent5 2 2 4 2 2 4 2" xfId="28550"/>
    <cellStyle name="20% - Accent5 2 2 4 2 2 5" xfId="18954"/>
    <cellStyle name="20% - Accent5 2 2 4 2 3" xfId="7063"/>
    <cellStyle name="20% - Accent5 2 2 4 2 3 2" xfId="20713"/>
    <cellStyle name="20% - Accent5 2 2 4 2 4" xfId="10204"/>
    <cellStyle name="20% - Accent5 2 2 4 2 4 2" xfId="23835"/>
    <cellStyle name="20% - Accent5 2 2 4 2 5" xfId="13499"/>
    <cellStyle name="20% - Accent5 2 2 4 2 5 2" xfId="27127"/>
    <cellStyle name="20% - Accent5 2 2 4 2 6" xfId="17430"/>
    <cellStyle name="20% - Accent5 2 2 4 3" xfId="4418"/>
    <cellStyle name="20% - Accent5 2 2 4 3 2" xfId="7848"/>
    <cellStyle name="20% - Accent5 2 2 4 3 2 2" xfId="21496"/>
    <cellStyle name="20% - Accent5 2 2 4 3 3" xfId="10917"/>
    <cellStyle name="20% - Accent5 2 2 4 3 3 2" xfId="24548"/>
    <cellStyle name="20% - Accent5 2 2 4 3 4" xfId="14213"/>
    <cellStyle name="20% - Accent5 2 2 4 3 4 2" xfId="27841"/>
    <cellStyle name="20% - Accent5 2 2 4 3 5" xfId="18213"/>
    <cellStyle name="20% - Accent5 2 2 4 4" xfId="6269"/>
    <cellStyle name="20% - Accent5 2 2 4 4 2" xfId="19919"/>
    <cellStyle name="20% - Accent5 2 2 4 5" xfId="9471"/>
    <cellStyle name="20% - Accent5 2 2 4 5 2" xfId="23113"/>
    <cellStyle name="20% - Accent5 2 2 4 6" xfId="12785"/>
    <cellStyle name="20% - Accent5 2 2 4 6 2" xfId="26413"/>
    <cellStyle name="20% - Accent5 2 2 4 7" xfId="16702"/>
    <cellStyle name="20% - Accent5 2 2 5" xfId="2828"/>
    <cellStyle name="20% - Accent5 2 2 5 2" xfId="4732"/>
    <cellStyle name="20% - Accent5 2 2 5 2 2" xfId="8000"/>
    <cellStyle name="20% - Accent5 2 2 5 2 2 2" xfId="21648"/>
    <cellStyle name="20% - Accent5 2 2 5 2 3" xfId="11069"/>
    <cellStyle name="20% - Accent5 2 2 5 2 3 2" xfId="24700"/>
    <cellStyle name="20% - Accent5 2 2 5 2 4" xfId="14365"/>
    <cellStyle name="20% - Accent5 2 2 5 2 4 2" xfId="27993"/>
    <cellStyle name="20% - Accent5 2 2 5 2 5" xfId="18391"/>
    <cellStyle name="20% - Accent5 2 2 5 3" xfId="6422"/>
    <cellStyle name="20% - Accent5 2 2 5 3 2" xfId="20072"/>
    <cellStyle name="20% - Accent5 2 2 5 4" xfId="9643"/>
    <cellStyle name="20% - Accent5 2 2 5 4 2" xfId="23274"/>
    <cellStyle name="20% - Accent5 2 2 5 5" xfId="12938"/>
    <cellStyle name="20% - Accent5 2 2 5 5 2" xfId="26566"/>
    <cellStyle name="20% - Accent5 2 2 5 6" xfId="16854"/>
    <cellStyle name="20% - Accent5 2 2 6" xfId="3900"/>
    <cellStyle name="20% - Accent5 2 2 6 2" xfId="7330"/>
    <cellStyle name="20% - Accent5 2 2 6 2 2" xfId="20978"/>
    <cellStyle name="20% - Accent5 2 2 6 3" xfId="10468"/>
    <cellStyle name="20% - Accent5 2 2 6 3 2" xfId="24099"/>
    <cellStyle name="20% - Accent5 2 2 6 4" xfId="13764"/>
    <cellStyle name="20% - Accent5 2 2 6 4 2" xfId="27392"/>
    <cellStyle name="20% - Accent5 2 2 6 5" xfId="17695"/>
    <cellStyle name="20% - Accent5 2 2 7" xfId="5458"/>
    <cellStyle name="20% - Accent5 2 2 7 2" xfId="8719"/>
    <cellStyle name="20% - Accent5 2 2 7 2 2" xfId="22362"/>
    <cellStyle name="20% - Accent5 2 2 7 3" xfId="11779"/>
    <cellStyle name="20% - Accent5 2 2 7 3 2" xfId="25410"/>
    <cellStyle name="20% - Accent5 2 2 7 4" xfId="15075"/>
    <cellStyle name="20% - Accent5 2 2 7 4 2" xfId="28703"/>
    <cellStyle name="20% - Accent5 2 2 7 5" xfId="19108"/>
    <cellStyle name="20% - Accent5 2 2 8" xfId="5740"/>
    <cellStyle name="20% - Accent5 2 2 8 2" xfId="19390"/>
    <cellStyle name="20% - Accent5 2 2 9" xfId="8909"/>
    <cellStyle name="20% - Accent5 2 2 9 2" xfId="22552"/>
    <cellStyle name="20% - Accent5 2 3" xfId="741"/>
    <cellStyle name="20% - Accent5 2 3 2" xfId="2949"/>
    <cellStyle name="20% - Accent5 2 3 2 2" xfId="4794"/>
    <cellStyle name="20% - Accent5 2 3 2 2 2" xfId="8062"/>
    <cellStyle name="20% - Accent5 2 3 2 2 2 2" xfId="21710"/>
    <cellStyle name="20% - Accent5 2 3 2 2 3" xfId="11131"/>
    <cellStyle name="20% - Accent5 2 3 2 2 3 2" xfId="24762"/>
    <cellStyle name="20% - Accent5 2 3 2 2 4" xfId="14427"/>
    <cellStyle name="20% - Accent5 2 3 2 2 4 2" xfId="28055"/>
    <cellStyle name="20% - Accent5 2 3 2 2 5" xfId="18453"/>
    <cellStyle name="20% - Accent5 2 3 2 3" xfId="6484"/>
    <cellStyle name="20% - Accent5 2 3 2 3 2" xfId="20134"/>
    <cellStyle name="20% - Accent5 2 3 2 4" xfId="9705"/>
    <cellStyle name="20% - Accent5 2 3 2 4 2" xfId="23336"/>
    <cellStyle name="20% - Accent5 2 3 2 5" xfId="13000"/>
    <cellStyle name="20% - Accent5 2 3 2 5 2" xfId="26628"/>
    <cellStyle name="20% - Accent5 2 3 2 6" xfId="16918"/>
    <cellStyle name="20% - Accent5 2 3 3" xfId="3899"/>
    <cellStyle name="20% - Accent5 2 3 3 2" xfId="7329"/>
    <cellStyle name="20% - Accent5 2 3 3 2 2" xfId="20977"/>
    <cellStyle name="20% - Accent5 2 3 3 3" xfId="10467"/>
    <cellStyle name="20% - Accent5 2 3 3 3 2" xfId="24098"/>
    <cellStyle name="20% - Accent5 2 3 3 4" xfId="13763"/>
    <cellStyle name="20% - Accent5 2 3 3 4 2" xfId="27391"/>
    <cellStyle name="20% - Accent5 2 3 3 5" xfId="17694"/>
    <cellStyle name="20% - Accent5 2 3 4" xfId="5739"/>
    <cellStyle name="20% - Accent5 2 3 4 2" xfId="19389"/>
    <cellStyle name="20% - Accent5 2 3 5" xfId="9009"/>
    <cellStyle name="20% - Accent5 2 3 5 2" xfId="22652"/>
    <cellStyle name="20% - Accent5 2 3 6" xfId="12339"/>
    <cellStyle name="20% - Accent5 2 3 6 2" xfId="25967"/>
    <cellStyle name="20% - Accent5 2 3 7" xfId="16066"/>
    <cellStyle name="20% - Accent5 2 4" xfId="2153"/>
    <cellStyle name="20% - Accent5 2 4 2" xfId="3266"/>
    <cellStyle name="20% - Accent5 2 4 2 2" xfId="5012"/>
    <cellStyle name="20% - Accent5 2 4 2 2 2" xfId="8276"/>
    <cellStyle name="20% - Accent5 2 4 2 2 2 2" xfId="21924"/>
    <cellStyle name="20% - Accent5 2 4 2 2 3" xfId="11343"/>
    <cellStyle name="20% - Accent5 2 4 2 2 3 2" xfId="24974"/>
    <cellStyle name="20% - Accent5 2 4 2 2 4" xfId="14639"/>
    <cellStyle name="20% - Accent5 2 4 2 2 4 2" xfId="28267"/>
    <cellStyle name="20% - Accent5 2 4 2 2 5" xfId="18670"/>
    <cellStyle name="20% - Accent5 2 4 2 3" xfId="6700"/>
    <cellStyle name="20% - Accent5 2 4 2 3 2" xfId="20350"/>
    <cellStyle name="20% - Accent5 2 4 2 4" xfId="9920"/>
    <cellStyle name="20% - Accent5 2 4 2 4 2" xfId="23551"/>
    <cellStyle name="20% - Accent5 2 4 2 5" xfId="13215"/>
    <cellStyle name="20% - Accent5 2 4 2 5 2" xfId="26843"/>
    <cellStyle name="20% - Accent5 2 4 2 6" xfId="17145"/>
    <cellStyle name="20% - Accent5 2 4 3" xfId="4066"/>
    <cellStyle name="20% - Accent5 2 4 3 2" xfId="7496"/>
    <cellStyle name="20% - Accent5 2 4 3 2 2" xfId="21144"/>
    <cellStyle name="20% - Accent5 2 4 3 3" xfId="10634"/>
    <cellStyle name="20% - Accent5 2 4 3 3 2" xfId="24265"/>
    <cellStyle name="20% - Accent5 2 4 3 4" xfId="13930"/>
    <cellStyle name="20% - Accent5 2 4 3 4 2" xfId="27558"/>
    <cellStyle name="20% - Accent5 2 4 3 5" xfId="17861"/>
    <cellStyle name="20% - Accent5 2 4 4" xfId="5902"/>
    <cellStyle name="20% - Accent5 2 4 4 2" xfId="19552"/>
    <cellStyle name="20% - Accent5 2 4 5" xfId="9188"/>
    <cellStyle name="20% - Accent5 2 4 5 2" xfId="22830"/>
    <cellStyle name="20% - Accent5 2 4 6" xfId="12502"/>
    <cellStyle name="20% - Accent5 2 4 6 2" xfId="26130"/>
    <cellStyle name="20% - Accent5 2 4 7" xfId="16347"/>
    <cellStyle name="20% - Accent5 2 5" xfId="2294"/>
    <cellStyle name="20% - Accent5 2 5 2" xfId="3400"/>
    <cellStyle name="20% - Accent5 2 5 2 2" xfId="5136"/>
    <cellStyle name="20% - Accent5 2 5 2 2 2" xfId="8400"/>
    <cellStyle name="20% - Accent5 2 5 2 2 2 2" xfId="22048"/>
    <cellStyle name="20% - Accent5 2 5 2 2 3" xfId="11467"/>
    <cellStyle name="20% - Accent5 2 5 2 2 3 2" xfId="25098"/>
    <cellStyle name="20% - Accent5 2 5 2 2 4" xfId="14763"/>
    <cellStyle name="20% - Accent5 2 5 2 2 4 2" xfId="28391"/>
    <cellStyle name="20% - Accent5 2 5 2 2 5" xfId="18794"/>
    <cellStyle name="20% - Accent5 2 5 2 3" xfId="6834"/>
    <cellStyle name="20% - Accent5 2 5 2 3 2" xfId="20484"/>
    <cellStyle name="20% - Accent5 2 5 2 4" xfId="10044"/>
    <cellStyle name="20% - Accent5 2 5 2 4 2" xfId="23675"/>
    <cellStyle name="20% - Accent5 2 5 2 5" xfId="13339"/>
    <cellStyle name="20% - Accent5 2 5 2 5 2" xfId="26967"/>
    <cellStyle name="20% - Accent5 2 5 2 6" xfId="17269"/>
    <cellStyle name="20% - Accent5 2 5 3" xfId="4190"/>
    <cellStyle name="20% - Accent5 2 5 3 2" xfId="7620"/>
    <cellStyle name="20% - Accent5 2 5 3 2 2" xfId="21268"/>
    <cellStyle name="20% - Accent5 2 5 3 3" xfId="10758"/>
    <cellStyle name="20% - Accent5 2 5 3 3 2" xfId="24389"/>
    <cellStyle name="20% - Accent5 2 5 3 4" xfId="14054"/>
    <cellStyle name="20% - Accent5 2 5 3 4 2" xfId="27682"/>
    <cellStyle name="20% - Accent5 2 5 3 5" xfId="17985"/>
    <cellStyle name="20% - Accent5 2 5 4" xfId="6026"/>
    <cellStyle name="20% - Accent5 2 5 4 2" xfId="19676"/>
    <cellStyle name="20% - Accent5 2 5 5" xfId="9312"/>
    <cellStyle name="20% - Accent5 2 5 5 2" xfId="22954"/>
    <cellStyle name="20% - Accent5 2 5 6" xfId="12626"/>
    <cellStyle name="20% - Accent5 2 5 6 2" xfId="26254"/>
    <cellStyle name="20% - Accent5 2 5 7" xfId="16472"/>
    <cellStyle name="20% - Accent5 2 6" xfId="2674"/>
    <cellStyle name="20% - Accent5 2 6 2" xfId="3628"/>
    <cellStyle name="20% - Accent5 2 6 2 2" xfId="5295"/>
    <cellStyle name="20% - Accent5 2 6 2 2 2" xfId="8558"/>
    <cellStyle name="20% - Accent5 2 6 2 2 2 2" xfId="22206"/>
    <cellStyle name="20% - Accent5 2 6 2 2 3" xfId="11625"/>
    <cellStyle name="20% - Accent5 2 6 2 2 3 2" xfId="25256"/>
    <cellStyle name="20% - Accent5 2 6 2 2 4" xfId="14921"/>
    <cellStyle name="20% - Accent5 2 6 2 2 4 2" xfId="28549"/>
    <cellStyle name="20% - Accent5 2 6 2 2 5" xfId="18953"/>
    <cellStyle name="20% - Accent5 2 6 2 3" xfId="7062"/>
    <cellStyle name="20% - Accent5 2 6 2 3 2" xfId="20712"/>
    <cellStyle name="20% - Accent5 2 6 2 4" xfId="10203"/>
    <cellStyle name="20% - Accent5 2 6 2 4 2" xfId="23834"/>
    <cellStyle name="20% - Accent5 2 6 2 5" xfId="13498"/>
    <cellStyle name="20% - Accent5 2 6 2 5 2" xfId="27126"/>
    <cellStyle name="20% - Accent5 2 6 2 6" xfId="17429"/>
    <cellStyle name="20% - Accent5 2 6 3" xfId="4417"/>
    <cellStyle name="20% - Accent5 2 6 3 2" xfId="7847"/>
    <cellStyle name="20% - Accent5 2 6 3 2 2" xfId="21495"/>
    <cellStyle name="20% - Accent5 2 6 3 3" xfId="10916"/>
    <cellStyle name="20% - Accent5 2 6 3 3 2" xfId="24547"/>
    <cellStyle name="20% - Accent5 2 6 3 4" xfId="14212"/>
    <cellStyle name="20% - Accent5 2 6 3 4 2" xfId="27840"/>
    <cellStyle name="20% - Accent5 2 6 3 5" xfId="18212"/>
    <cellStyle name="20% - Accent5 2 6 4" xfId="6268"/>
    <cellStyle name="20% - Accent5 2 6 4 2" xfId="19918"/>
    <cellStyle name="20% - Accent5 2 6 5" xfId="9470"/>
    <cellStyle name="20% - Accent5 2 6 5 2" xfId="23112"/>
    <cellStyle name="20% - Accent5 2 6 6" xfId="12784"/>
    <cellStyle name="20% - Accent5 2 6 6 2" xfId="26412"/>
    <cellStyle name="20% - Accent5 2 6 7" xfId="16701"/>
    <cellStyle name="20% - Accent5 2 7" xfId="2827"/>
    <cellStyle name="20% - Accent5 2 7 2" xfId="4731"/>
    <cellStyle name="20% - Accent5 2 7 2 2" xfId="7999"/>
    <cellStyle name="20% - Accent5 2 7 2 2 2" xfId="21647"/>
    <cellStyle name="20% - Accent5 2 7 2 3" xfId="11068"/>
    <cellStyle name="20% - Accent5 2 7 2 3 2" xfId="24699"/>
    <cellStyle name="20% - Accent5 2 7 2 4" xfId="14364"/>
    <cellStyle name="20% - Accent5 2 7 2 4 2" xfId="27992"/>
    <cellStyle name="20% - Accent5 2 7 2 5" xfId="18390"/>
    <cellStyle name="20% - Accent5 2 7 3" xfId="6421"/>
    <cellStyle name="20% - Accent5 2 7 3 2" xfId="20071"/>
    <cellStyle name="20% - Accent5 2 7 4" xfId="9642"/>
    <cellStyle name="20% - Accent5 2 7 4 2" xfId="23273"/>
    <cellStyle name="20% - Accent5 2 7 5" xfId="12937"/>
    <cellStyle name="20% - Accent5 2 7 5 2" xfId="26565"/>
    <cellStyle name="20% - Accent5 2 7 6" xfId="16853"/>
    <cellStyle name="20% - Accent5 2 8" xfId="5457"/>
    <cellStyle name="20% - Accent5 2 8 2" xfId="8718"/>
    <cellStyle name="20% - Accent5 2 8 2 2" xfId="22361"/>
    <cellStyle name="20% - Accent5 2 8 3" xfId="11778"/>
    <cellStyle name="20% - Accent5 2 8 3 2" xfId="25409"/>
    <cellStyle name="20% - Accent5 2 8 4" xfId="15074"/>
    <cellStyle name="20% - Accent5 2 8 4 2" xfId="28702"/>
    <cellStyle name="20% - Accent5 2 8 5" xfId="19107"/>
    <cellStyle name="20% - Accent5 2 9" xfId="8908"/>
    <cellStyle name="20% - Accent5 2 9 2" xfId="22551"/>
    <cellStyle name="20% - Accent5 3" xfId="3782"/>
    <cellStyle name="20% - Accent5 3 2" xfId="7218"/>
    <cellStyle name="20% - Accent5 3 2 2" xfId="20866"/>
    <cellStyle name="20% - Accent5 3 3" xfId="10357"/>
    <cellStyle name="20% - Accent5 3 3 2" xfId="23988"/>
    <cellStyle name="20% - Accent5 3 4" xfId="13652"/>
    <cellStyle name="20% - Accent5 3 4 2" xfId="27280"/>
    <cellStyle name="20% - Accent5 3 5" xfId="17583"/>
    <cellStyle name="20% - Accent5 4" xfId="5626"/>
    <cellStyle name="20% - Accent5 4 2" xfId="19276"/>
    <cellStyle name="20% - Accent5 5" xfId="12208"/>
    <cellStyle name="20% - Accent5 5 2" xfId="25836"/>
    <cellStyle name="20% - Accent5 6" xfId="12229"/>
    <cellStyle name="20% - Accent5 6 2" xfId="25857"/>
    <cellStyle name="20% - Accent5 7" xfId="15246"/>
    <cellStyle name="20% - Accent5 7 2" xfId="28874"/>
    <cellStyle name="20% - Accent5 8" xfId="15439"/>
    <cellStyle name="20% - Accent5 8 2" xfId="28969"/>
    <cellStyle name="20% - Accent5 9" xfId="15680"/>
    <cellStyle name="20% - Accent5 9 2" xfId="29101"/>
    <cellStyle name="20% - Accent6" xfId="458" builtinId="50" customBuiltin="1"/>
    <cellStyle name="20% - Accent6 10" xfId="15693"/>
    <cellStyle name="20% - Accent6 10 2" xfId="29114"/>
    <cellStyle name="20% - Accent6 11" xfId="15709"/>
    <cellStyle name="20% - Accent6 12" xfId="15961"/>
    <cellStyle name="20% - Accent6 2" xfId="363"/>
    <cellStyle name="20% - Accent6 2 10" xfId="11965"/>
    <cellStyle name="20% - Accent6 2 10 2" xfId="25596"/>
    <cellStyle name="20% - Accent6 2 11" xfId="12068"/>
    <cellStyle name="20% - Accent6 2 11 2" xfId="25696"/>
    <cellStyle name="20% - Accent6 2 12" xfId="15250"/>
    <cellStyle name="20% - Accent6 2 12 2" xfId="28878"/>
    <cellStyle name="20% - Accent6 2 13" xfId="15454"/>
    <cellStyle name="20% - Accent6 2 13 2" xfId="28983"/>
    <cellStyle name="20% - Accent6 2 14" xfId="15772"/>
    <cellStyle name="20% - Accent6 2 15" xfId="29617"/>
    <cellStyle name="20% - Accent6 2 2" xfId="744"/>
    <cellStyle name="20% - Accent6 2 2 10" xfId="11966"/>
    <cellStyle name="20% - Accent6 2 2 10 2" xfId="25597"/>
    <cellStyle name="20% - Accent6 2 2 11" xfId="12069"/>
    <cellStyle name="20% - Accent6 2 2 11 2" xfId="25697"/>
    <cellStyle name="20% - Accent6 2 2 12" xfId="12342"/>
    <cellStyle name="20% - Accent6 2 2 12 2" xfId="25970"/>
    <cellStyle name="20% - Accent6 2 2 13" xfId="15251"/>
    <cellStyle name="20% - Accent6 2 2 13 2" xfId="28879"/>
    <cellStyle name="20% - Accent6 2 2 14" xfId="15455"/>
    <cellStyle name="20% - Accent6 2 2 14 2" xfId="28984"/>
    <cellStyle name="20% - Accent6 2 2 15" xfId="16069"/>
    <cellStyle name="20% - Accent6 2 2 16" xfId="29618"/>
    <cellStyle name="20% - Accent6 2 2 2" xfId="2156"/>
    <cellStyle name="20% - Accent6 2 2 2 2" xfId="3269"/>
    <cellStyle name="20% - Accent6 2 2 2 2 2" xfId="5015"/>
    <cellStyle name="20% - Accent6 2 2 2 2 2 2" xfId="8279"/>
    <cellStyle name="20% - Accent6 2 2 2 2 2 2 2" xfId="21927"/>
    <cellStyle name="20% - Accent6 2 2 2 2 2 3" xfId="11346"/>
    <cellStyle name="20% - Accent6 2 2 2 2 2 3 2" xfId="24977"/>
    <cellStyle name="20% - Accent6 2 2 2 2 2 4" xfId="14642"/>
    <cellStyle name="20% - Accent6 2 2 2 2 2 4 2" xfId="28270"/>
    <cellStyle name="20% - Accent6 2 2 2 2 2 5" xfId="18673"/>
    <cellStyle name="20% - Accent6 2 2 2 2 3" xfId="6703"/>
    <cellStyle name="20% - Accent6 2 2 2 2 3 2" xfId="20353"/>
    <cellStyle name="20% - Accent6 2 2 2 2 4" xfId="9923"/>
    <cellStyle name="20% - Accent6 2 2 2 2 4 2" xfId="23554"/>
    <cellStyle name="20% - Accent6 2 2 2 2 5" xfId="13218"/>
    <cellStyle name="20% - Accent6 2 2 2 2 5 2" xfId="26846"/>
    <cellStyle name="20% - Accent6 2 2 2 2 6" xfId="17148"/>
    <cellStyle name="20% - Accent6 2 2 2 3" xfId="4069"/>
    <cellStyle name="20% - Accent6 2 2 2 3 2" xfId="7499"/>
    <cellStyle name="20% - Accent6 2 2 2 3 2 2" xfId="21147"/>
    <cellStyle name="20% - Accent6 2 2 2 3 3" xfId="10637"/>
    <cellStyle name="20% - Accent6 2 2 2 3 3 2" xfId="24268"/>
    <cellStyle name="20% - Accent6 2 2 2 3 4" xfId="13933"/>
    <cellStyle name="20% - Accent6 2 2 2 3 4 2" xfId="27561"/>
    <cellStyle name="20% - Accent6 2 2 2 3 5" xfId="17864"/>
    <cellStyle name="20% - Accent6 2 2 2 4" xfId="5905"/>
    <cellStyle name="20% - Accent6 2 2 2 4 2" xfId="19555"/>
    <cellStyle name="20% - Accent6 2 2 2 5" xfId="9191"/>
    <cellStyle name="20% - Accent6 2 2 2 5 2" xfId="22833"/>
    <cellStyle name="20% - Accent6 2 2 2 6" xfId="12505"/>
    <cellStyle name="20% - Accent6 2 2 2 6 2" xfId="26133"/>
    <cellStyle name="20% - Accent6 2 2 2 7" xfId="16350"/>
    <cellStyle name="20% - Accent6 2 2 3" xfId="2297"/>
    <cellStyle name="20% - Accent6 2 2 3 2" xfId="3403"/>
    <cellStyle name="20% - Accent6 2 2 3 2 2" xfId="5139"/>
    <cellStyle name="20% - Accent6 2 2 3 2 2 2" xfId="8403"/>
    <cellStyle name="20% - Accent6 2 2 3 2 2 2 2" xfId="22051"/>
    <cellStyle name="20% - Accent6 2 2 3 2 2 3" xfId="11470"/>
    <cellStyle name="20% - Accent6 2 2 3 2 2 3 2" xfId="25101"/>
    <cellStyle name="20% - Accent6 2 2 3 2 2 4" xfId="14766"/>
    <cellStyle name="20% - Accent6 2 2 3 2 2 4 2" xfId="28394"/>
    <cellStyle name="20% - Accent6 2 2 3 2 2 5" xfId="18797"/>
    <cellStyle name="20% - Accent6 2 2 3 2 3" xfId="6837"/>
    <cellStyle name="20% - Accent6 2 2 3 2 3 2" xfId="20487"/>
    <cellStyle name="20% - Accent6 2 2 3 2 4" xfId="10047"/>
    <cellStyle name="20% - Accent6 2 2 3 2 4 2" xfId="23678"/>
    <cellStyle name="20% - Accent6 2 2 3 2 5" xfId="13342"/>
    <cellStyle name="20% - Accent6 2 2 3 2 5 2" xfId="26970"/>
    <cellStyle name="20% - Accent6 2 2 3 2 6" xfId="17272"/>
    <cellStyle name="20% - Accent6 2 2 3 3" xfId="4193"/>
    <cellStyle name="20% - Accent6 2 2 3 3 2" xfId="7623"/>
    <cellStyle name="20% - Accent6 2 2 3 3 2 2" xfId="21271"/>
    <cellStyle name="20% - Accent6 2 2 3 3 3" xfId="10761"/>
    <cellStyle name="20% - Accent6 2 2 3 3 3 2" xfId="24392"/>
    <cellStyle name="20% - Accent6 2 2 3 3 4" xfId="14057"/>
    <cellStyle name="20% - Accent6 2 2 3 3 4 2" xfId="27685"/>
    <cellStyle name="20% - Accent6 2 2 3 3 5" xfId="17988"/>
    <cellStyle name="20% - Accent6 2 2 3 4" xfId="6029"/>
    <cellStyle name="20% - Accent6 2 2 3 4 2" xfId="19679"/>
    <cellStyle name="20% - Accent6 2 2 3 5" xfId="9315"/>
    <cellStyle name="20% - Accent6 2 2 3 5 2" xfId="22957"/>
    <cellStyle name="20% - Accent6 2 2 3 6" xfId="12629"/>
    <cellStyle name="20% - Accent6 2 2 3 6 2" xfId="26257"/>
    <cellStyle name="20% - Accent6 2 2 3 7" xfId="16475"/>
    <cellStyle name="20% - Accent6 2 2 4" xfId="2677"/>
    <cellStyle name="20% - Accent6 2 2 4 2" xfId="3631"/>
    <cellStyle name="20% - Accent6 2 2 4 2 2" xfId="5298"/>
    <cellStyle name="20% - Accent6 2 2 4 2 2 2" xfId="8561"/>
    <cellStyle name="20% - Accent6 2 2 4 2 2 2 2" xfId="22209"/>
    <cellStyle name="20% - Accent6 2 2 4 2 2 3" xfId="11628"/>
    <cellStyle name="20% - Accent6 2 2 4 2 2 3 2" xfId="25259"/>
    <cellStyle name="20% - Accent6 2 2 4 2 2 4" xfId="14924"/>
    <cellStyle name="20% - Accent6 2 2 4 2 2 4 2" xfId="28552"/>
    <cellStyle name="20% - Accent6 2 2 4 2 2 5" xfId="18956"/>
    <cellStyle name="20% - Accent6 2 2 4 2 3" xfId="7065"/>
    <cellStyle name="20% - Accent6 2 2 4 2 3 2" xfId="20715"/>
    <cellStyle name="20% - Accent6 2 2 4 2 4" xfId="10206"/>
    <cellStyle name="20% - Accent6 2 2 4 2 4 2" xfId="23837"/>
    <cellStyle name="20% - Accent6 2 2 4 2 5" xfId="13501"/>
    <cellStyle name="20% - Accent6 2 2 4 2 5 2" xfId="27129"/>
    <cellStyle name="20% - Accent6 2 2 4 2 6" xfId="17432"/>
    <cellStyle name="20% - Accent6 2 2 4 3" xfId="4420"/>
    <cellStyle name="20% - Accent6 2 2 4 3 2" xfId="7850"/>
    <cellStyle name="20% - Accent6 2 2 4 3 2 2" xfId="21498"/>
    <cellStyle name="20% - Accent6 2 2 4 3 3" xfId="10919"/>
    <cellStyle name="20% - Accent6 2 2 4 3 3 2" xfId="24550"/>
    <cellStyle name="20% - Accent6 2 2 4 3 4" xfId="14215"/>
    <cellStyle name="20% - Accent6 2 2 4 3 4 2" xfId="27843"/>
    <cellStyle name="20% - Accent6 2 2 4 3 5" xfId="18215"/>
    <cellStyle name="20% - Accent6 2 2 4 4" xfId="6271"/>
    <cellStyle name="20% - Accent6 2 2 4 4 2" xfId="19921"/>
    <cellStyle name="20% - Accent6 2 2 4 5" xfId="9473"/>
    <cellStyle name="20% - Accent6 2 2 4 5 2" xfId="23115"/>
    <cellStyle name="20% - Accent6 2 2 4 6" xfId="12787"/>
    <cellStyle name="20% - Accent6 2 2 4 6 2" xfId="26415"/>
    <cellStyle name="20% - Accent6 2 2 4 7" xfId="16704"/>
    <cellStyle name="20% - Accent6 2 2 5" xfId="2830"/>
    <cellStyle name="20% - Accent6 2 2 5 2" xfId="4734"/>
    <cellStyle name="20% - Accent6 2 2 5 2 2" xfId="8002"/>
    <cellStyle name="20% - Accent6 2 2 5 2 2 2" xfId="21650"/>
    <cellStyle name="20% - Accent6 2 2 5 2 3" xfId="11071"/>
    <cellStyle name="20% - Accent6 2 2 5 2 3 2" xfId="24702"/>
    <cellStyle name="20% - Accent6 2 2 5 2 4" xfId="14367"/>
    <cellStyle name="20% - Accent6 2 2 5 2 4 2" xfId="27995"/>
    <cellStyle name="20% - Accent6 2 2 5 2 5" xfId="18393"/>
    <cellStyle name="20% - Accent6 2 2 5 3" xfId="6424"/>
    <cellStyle name="20% - Accent6 2 2 5 3 2" xfId="20074"/>
    <cellStyle name="20% - Accent6 2 2 5 4" xfId="9645"/>
    <cellStyle name="20% - Accent6 2 2 5 4 2" xfId="23276"/>
    <cellStyle name="20% - Accent6 2 2 5 5" xfId="12940"/>
    <cellStyle name="20% - Accent6 2 2 5 5 2" xfId="26568"/>
    <cellStyle name="20% - Accent6 2 2 5 6" xfId="16856"/>
    <cellStyle name="20% - Accent6 2 2 6" xfId="3902"/>
    <cellStyle name="20% - Accent6 2 2 6 2" xfId="7332"/>
    <cellStyle name="20% - Accent6 2 2 6 2 2" xfId="20980"/>
    <cellStyle name="20% - Accent6 2 2 6 3" xfId="10470"/>
    <cellStyle name="20% - Accent6 2 2 6 3 2" xfId="24101"/>
    <cellStyle name="20% - Accent6 2 2 6 4" xfId="13766"/>
    <cellStyle name="20% - Accent6 2 2 6 4 2" xfId="27394"/>
    <cellStyle name="20% - Accent6 2 2 6 5" xfId="17697"/>
    <cellStyle name="20% - Accent6 2 2 7" xfId="5460"/>
    <cellStyle name="20% - Accent6 2 2 7 2" xfId="8721"/>
    <cellStyle name="20% - Accent6 2 2 7 2 2" xfId="22364"/>
    <cellStyle name="20% - Accent6 2 2 7 3" xfId="11781"/>
    <cellStyle name="20% - Accent6 2 2 7 3 2" xfId="25412"/>
    <cellStyle name="20% - Accent6 2 2 7 4" xfId="15077"/>
    <cellStyle name="20% - Accent6 2 2 7 4 2" xfId="28705"/>
    <cellStyle name="20% - Accent6 2 2 7 5" xfId="19110"/>
    <cellStyle name="20% - Accent6 2 2 8" xfId="5742"/>
    <cellStyle name="20% - Accent6 2 2 8 2" xfId="19392"/>
    <cellStyle name="20% - Accent6 2 2 9" xfId="8911"/>
    <cellStyle name="20% - Accent6 2 2 9 2" xfId="22554"/>
    <cellStyle name="20% - Accent6 2 3" xfId="743"/>
    <cellStyle name="20% - Accent6 2 3 2" xfId="2948"/>
    <cellStyle name="20% - Accent6 2 3 2 2" xfId="4793"/>
    <cellStyle name="20% - Accent6 2 3 2 2 2" xfId="8061"/>
    <cellStyle name="20% - Accent6 2 3 2 2 2 2" xfId="21709"/>
    <cellStyle name="20% - Accent6 2 3 2 2 3" xfId="11130"/>
    <cellStyle name="20% - Accent6 2 3 2 2 3 2" xfId="24761"/>
    <cellStyle name="20% - Accent6 2 3 2 2 4" xfId="14426"/>
    <cellStyle name="20% - Accent6 2 3 2 2 4 2" xfId="28054"/>
    <cellStyle name="20% - Accent6 2 3 2 2 5" xfId="18452"/>
    <cellStyle name="20% - Accent6 2 3 2 3" xfId="6483"/>
    <cellStyle name="20% - Accent6 2 3 2 3 2" xfId="20133"/>
    <cellStyle name="20% - Accent6 2 3 2 4" xfId="9704"/>
    <cellStyle name="20% - Accent6 2 3 2 4 2" xfId="23335"/>
    <cellStyle name="20% - Accent6 2 3 2 5" xfId="12999"/>
    <cellStyle name="20% - Accent6 2 3 2 5 2" xfId="26627"/>
    <cellStyle name="20% - Accent6 2 3 2 6" xfId="16917"/>
    <cellStyle name="20% - Accent6 2 3 3" xfId="3901"/>
    <cellStyle name="20% - Accent6 2 3 3 2" xfId="7331"/>
    <cellStyle name="20% - Accent6 2 3 3 2 2" xfId="20979"/>
    <cellStyle name="20% - Accent6 2 3 3 3" xfId="10469"/>
    <cellStyle name="20% - Accent6 2 3 3 3 2" xfId="24100"/>
    <cellStyle name="20% - Accent6 2 3 3 4" xfId="13765"/>
    <cellStyle name="20% - Accent6 2 3 3 4 2" xfId="27393"/>
    <cellStyle name="20% - Accent6 2 3 3 5" xfId="17696"/>
    <cellStyle name="20% - Accent6 2 3 4" xfId="5741"/>
    <cellStyle name="20% - Accent6 2 3 4 2" xfId="19391"/>
    <cellStyle name="20% - Accent6 2 3 5" xfId="9006"/>
    <cellStyle name="20% - Accent6 2 3 5 2" xfId="22649"/>
    <cellStyle name="20% - Accent6 2 3 6" xfId="12341"/>
    <cellStyle name="20% - Accent6 2 3 6 2" xfId="25969"/>
    <cellStyle name="20% - Accent6 2 3 7" xfId="16068"/>
    <cellStyle name="20% - Accent6 2 4" xfId="2155"/>
    <cellStyle name="20% - Accent6 2 4 2" xfId="3268"/>
    <cellStyle name="20% - Accent6 2 4 2 2" xfId="5014"/>
    <cellStyle name="20% - Accent6 2 4 2 2 2" xfId="8278"/>
    <cellStyle name="20% - Accent6 2 4 2 2 2 2" xfId="21926"/>
    <cellStyle name="20% - Accent6 2 4 2 2 3" xfId="11345"/>
    <cellStyle name="20% - Accent6 2 4 2 2 3 2" xfId="24976"/>
    <cellStyle name="20% - Accent6 2 4 2 2 4" xfId="14641"/>
    <cellStyle name="20% - Accent6 2 4 2 2 4 2" xfId="28269"/>
    <cellStyle name="20% - Accent6 2 4 2 2 5" xfId="18672"/>
    <cellStyle name="20% - Accent6 2 4 2 3" xfId="6702"/>
    <cellStyle name="20% - Accent6 2 4 2 3 2" xfId="20352"/>
    <cellStyle name="20% - Accent6 2 4 2 4" xfId="9922"/>
    <cellStyle name="20% - Accent6 2 4 2 4 2" xfId="23553"/>
    <cellStyle name="20% - Accent6 2 4 2 5" xfId="13217"/>
    <cellStyle name="20% - Accent6 2 4 2 5 2" xfId="26845"/>
    <cellStyle name="20% - Accent6 2 4 2 6" xfId="17147"/>
    <cellStyle name="20% - Accent6 2 4 3" xfId="4068"/>
    <cellStyle name="20% - Accent6 2 4 3 2" xfId="7498"/>
    <cellStyle name="20% - Accent6 2 4 3 2 2" xfId="21146"/>
    <cellStyle name="20% - Accent6 2 4 3 3" xfId="10636"/>
    <cellStyle name="20% - Accent6 2 4 3 3 2" xfId="24267"/>
    <cellStyle name="20% - Accent6 2 4 3 4" xfId="13932"/>
    <cellStyle name="20% - Accent6 2 4 3 4 2" xfId="27560"/>
    <cellStyle name="20% - Accent6 2 4 3 5" xfId="17863"/>
    <cellStyle name="20% - Accent6 2 4 4" xfId="5904"/>
    <cellStyle name="20% - Accent6 2 4 4 2" xfId="19554"/>
    <cellStyle name="20% - Accent6 2 4 5" xfId="9190"/>
    <cellStyle name="20% - Accent6 2 4 5 2" xfId="22832"/>
    <cellStyle name="20% - Accent6 2 4 6" xfId="12504"/>
    <cellStyle name="20% - Accent6 2 4 6 2" xfId="26132"/>
    <cellStyle name="20% - Accent6 2 4 7" xfId="16349"/>
    <cellStyle name="20% - Accent6 2 5" xfId="2296"/>
    <cellStyle name="20% - Accent6 2 5 2" xfId="3402"/>
    <cellStyle name="20% - Accent6 2 5 2 2" xfId="5138"/>
    <cellStyle name="20% - Accent6 2 5 2 2 2" xfId="8402"/>
    <cellStyle name="20% - Accent6 2 5 2 2 2 2" xfId="22050"/>
    <cellStyle name="20% - Accent6 2 5 2 2 3" xfId="11469"/>
    <cellStyle name="20% - Accent6 2 5 2 2 3 2" xfId="25100"/>
    <cellStyle name="20% - Accent6 2 5 2 2 4" xfId="14765"/>
    <cellStyle name="20% - Accent6 2 5 2 2 4 2" xfId="28393"/>
    <cellStyle name="20% - Accent6 2 5 2 2 5" xfId="18796"/>
    <cellStyle name="20% - Accent6 2 5 2 3" xfId="6836"/>
    <cellStyle name="20% - Accent6 2 5 2 3 2" xfId="20486"/>
    <cellStyle name="20% - Accent6 2 5 2 4" xfId="10046"/>
    <cellStyle name="20% - Accent6 2 5 2 4 2" xfId="23677"/>
    <cellStyle name="20% - Accent6 2 5 2 5" xfId="13341"/>
    <cellStyle name="20% - Accent6 2 5 2 5 2" xfId="26969"/>
    <cellStyle name="20% - Accent6 2 5 2 6" xfId="17271"/>
    <cellStyle name="20% - Accent6 2 5 3" xfId="4192"/>
    <cellStyle name="20% - Accent6 2 5 3 2" xfId="7622"/>
    <cellStyle name="20% - Accent6 2 5 3 2 2" xfId="21270"/>
    <cellStyle name="20% - Accent6 2 5 3 3" xfId="10760"/>
    <cellStyle name="20% - Accent6 2 5 3 3 2" xfId="24391"/>
    <cellStyle name="20% - Accent6 2 5 3 4" xfId="14056"/>
    <cellStyle name="20% - Accent6 2 5 3 4 2" xfId="27684"/>
    <cellStyle name="20% - Accent6 2 5 3 5" xfId="17987"/>
    <cellStyle name="20% - Accent6 2 5 4" xfId="6028"/>
    <cellStyle name="20% - Accent6 2 5 4 2" xfId="19678"/>
    <cellStyle name="20% - Accent6 2 5 5" xfId="9314"/>
    <cellStyle name="20% - Accent6 2 5 5 2" xfId="22956"/>
    <cellStyle name="20% - Accent6 2 5 6" xfId="12628"/>
    <cellStyle name="20% - Accent6 2 5 6 2" xfId="26256"/>
    <cellStyle name="20% - Accent6 2 5 7" xfId="16474"/>
    <cellStyle name="20% - Accent6 2 6" xfId="2676"/>
    <cellStyle name="20% - Accent6 2 6 2" xfId="3630"/>
    <cellStyle name="20% - Accent6 2 6 2 2" xfId="5297"/>
    <cellStyle name="20% - Accent6 2 6 2 2 2" xfId="8560"/>
    <cellStyle name="20% - Accent6 2 6 2 2 2 2" xfId="22208"/>
    <cellStyle name="20% - Accent6 2 6 2 2 3" xfId="11627"/>
    <cellStyle name="20% - Accent6 2 6 2 2 3 2" xfId="25258"/>
    <cellStyle name="20% - Accent6 2 6 2 2 4" xfId="14923"/>
    <cellStyle name="20% - Accent6 2 6 2 2 4 2" xfId="28551"/>
    <cellStyle name="20% - Accent6 2 6 2 2 5" xfId="18955"/>
    <cellStyle name="20% - Accent6 2 6 2 3" xfId="7064"/>
    <cellStyle name="20% - Accent6 2 6 2 3 2" xfId="20714"/>
    <cellStyle name="20% - Accent6 2 6 2 4" xfId="10205"/>
    <cellStyle name="20% - Accent6 2 6 2 4 2" xfId="23836"/>
    <cellStyle name="20% - Accent6 2 6 2 5" xfId="13500"/>
    <cellStyle name="20% - Accent6 2 6 2 5 2" xfId="27128"/>
    <cellStyle name="20% - Accent6 2 6 2 6" xfId="17431"/>
    <cellStyle name="20% - Accent6 2 6 3" xfId="4419"/>
    <cellStyle name="20% - Accent6 2 6 3 2" xfId="7849"/>
    <cellStyle name="20% - Accent6 2 6 3 2 2" xfId="21497"/>
    <cellStyle name="20% - Accent6 2 6 3 3" xfId="10918"/>
    <cellStyle name="20% - Accent6 2 6 3 3 2" xfId="24549"/>
    <cellStyle name="20% - Accent6 2 6 3 4" xfId="14214"/>
    <cellStyle name="20% - Accent6 2 6 3 4 2" xfId="27842"/>
    <cellStyle name="20% - Accent6 2 6 3 5" xfId="18214"/>
    <cellStyle name="20% - Accent6 2 6 4" xfId="6270"/>
    <cellStyle name="20% - Accent6 2 6 4 2" xfId="19920"/>
    <cellStyle name="20% - Accent6 2 6 5" xfId="9472"/>
    <cellStyle name="20% - Accent6 2 6 5 2" xfId="23114"/>
    <cellStyle name="20% - Accent6 2 6 6" xfId="12786"/>
    <cellStyle name="20% - Accent6 2 6 6 2" xfId="26414"/>
    <cellStyle name="20% - Accent6 2 6 7" xfId="16703"/>
    <cellStyle name="20% - Accent6 2 7" xfId="2829"/>
    <cellStyle name="20% - Accent6 2 7 2" xfId="4733"/>
    <cellStyle name="20% - Accent6 2 7 2 2" xfId="8001"/>
    <cellStyle name="20% - Accent6 2 7 2 2 2" xfId="21649"/>
    <cellStyle name="20% - Accent6 2 7 2 3" xfId="11070"/>
    <cellStyle name="20% - Accent6 2 7 2 3 2" xfId="24701"/>
    <cellStyle name="20% - Accent6 2 7 2 4" xfId="14366"/>
    <cellStyle name="20% - Accent6 2 7 2 4 2" xfId="27994"/>
    <cellStyle name="20% - Accent6 2 7 2 5" xfId="18392"/>
    <cellStyle name="20% - Accent6 2 7 3" xfId="6423"/>
    <cellStyle name="20% - Accent6 2 7 3 2" xfId="20073"/>
    <cellStyle name="20% - Accent6 2 7 4" xfId="9644"/>
    <cellStyle name="20% - Accent6 2 7 4 2" xfId="23275"/>
    <cellStyle name="20% - Accent6 2 7 5" xfId="12939"/>
    <cellStyle name="20% - Accent6 2 7 5 2" xfId="26567"/>
    <cellStyle name="20% - Accent6 2 7 6" xfId="16855"/>
    <cellStyle name="20% - Accent6 2 8" xfId="5459"/>
    <cellStyle name="20% - Accent6 2 8 2" xfId="8720"/>
    <cellStyle name="20% - Accent6 2 8 2 2" xfId="22363"/>
    <cellStyle name="20% - Accent6 2 8 3" xfId="11780"/>
    <cellStyle name="20% - Accent6 2 8 3 2" xfId="25411"/>
    <cellStyle name="20% - Accent6 2 8 4" xfId="15076"/>
    <cellStyle name="20% - Accent6 2 8 4 2" xfId="28704"/>
    <cellStyle name="20% - Accent6 2 8 5" xfId="19109"/>
    <cellStyle name="20% - Accent6 2 9" xfId="8910"/>
    <cellStyle name="20% - Accent6 2 9 2" xfId="22553"/>
    <cellStyle name="20% - Accent6 3" xfId="3784"/>
    <cellStyle name="20% - Accent6 3 2" xfId="7220"/>
    <cellStyle name="20% - Accent6 3 2 2" xfId="20868"/>
    <cellStyle name="20% - Accent6 3 3" xfId="10359"/>
    <cellStyle name="20% - Accent6 3 3 2" xfId="23990"/>
    <cellStyle name="20% - Accent6 3 4" xfId="13654"/>
    <cellStyle name="20% - Accent6 3 4 2" xfId="27282"/>
    <cellStyle name="20% - Accent6 3 5" xfId="17585"/>
    <cellStyle name="20% - Accent6 4" xfId="5628"/>
    <cellStyle name="20% - Accent6 4 2" xfId="19278"/>
    <cellStyle name="20% - Accent6 5" xfId="12209"/>
    <cellStyle name="20% - Accent6 5 2" xfId="25837"/>
    <cellStyle name="20% - Accent6 6" xfId="12231"/>
    <cellStyle name="20% - Accent6 6 2" xfId="25859"/>
    <cellStyle name="20% - Accent6 7" xfId="15249"/>
    <cellStyle name="20% - Accent6 7 2" xfId="28877"/>
    <cellStyle name="20% - Accent6 8" xfId="15441"/>
    <cellStyle name="20% - Accent6 8 2" xfId="28971"/>
    <cellStyle name="20% - Accent6 9" xfId="15682"/>
    <cellStyle name="20% - Accent6 9 2" xfId="29103"/>
    <cellStyle name="40% - Accent1" xfId="439" builtinId="31" customBuiltin="1"/>
    <cellStyle name="40% - Accent1 10" xfId="15694"/>
    <cellStyle name="40% - Accent1 10 2" xfId="29115"/>
    <cellStyle name="40% - Accent1 11" xfId="15710"/>
    <cellStyle name="40% - Accent1 12" xfId="15817"/>
    <cellStyle name="40% - Accent1 13" xfId="15942"/>
    <cellStyle name="40% - Accent1 2" xfId="364"/>
    <cellStyle name="40% - Accent1 2 10" xfId="11967"/>
    <cellStyle name="40% - Accent1 2 10 2" xfId="25598"/>
    <cellStyle name="40% - Accent1 2 11" xfId="12070"/>
    <cellStyle name="40% - Accent1 2 11 2" xfId="25698"/>
    <cellStyle name="40% - Accent1 2 12" xfId="15253"/>
    <cellStyle name="40% - Accent1 2 12 2" xfId="28881"/>
    <cellStyle name="40% - Accent1 2 13" xfId="15456"/>
    <cellStyle name="40% - Accent1 2 13 2" xfId="28985"/>
    <cellStyle name="40% - Accent1 2 14" xfId="15781"/>
    <cellStyle name="40% - Accent1 2 15" xfId="29619"/>
    <cellStyle name="40% - Accent1 2 2" xfId="746"/>
    <cellStyle name="40% - Accent1 2 2 10" xfId="11968"/>
    <cellStyle name="40% - Accent1 2 2 10 2" xfId="25599"/>
    <cellStyle name="40% - Accent1 2 2 11" xfId="12071"/>
    <cellStyle name="40% - Accent1 2 2 11 2" xfId="25699"/>
    <cellStyle name="40% - Accent1 2 2 12" xfId="12344"/>
    <cellStyle name="40% - Accent1 2 2 12 2" xfId="25972"/>
    <cellStyle name="40% - Accent1 2 2 13" xfId="15254"/>
    <cellStyle name="40% - Accent1 2 2 13 2" xfId="28882"/>
    <cellStyle name="40% - Accent1 2 2 14" xfId="15457"/>
    <cellStyle name="40% - Accent1 2 2 14 2" xfId="28986"/>
    <cellStyle name="40% - Accent1 2 2 15" xfId="16071"/>
    <cellStyle name="40% - Accent1 2 2 16" xfId="29620"/>
    <cellStyle name="40% - Accent1 2 2 2" xfId="2158"/>
    <cellStyle name="40% - Accent1 2 2 2 2" xfId="3271"/>
    <cellStyle name="40% - Accent1 2 2 2 2 2" xfId="5017"/>
    <cellStyle name="40% - Accent1 2 2 2 2 2 2" xfId="8281"/>
    <cellStyle name="40% - Accent1 2 2 2 2 2 2 2" xfId="21929"/>
    <cellStyle name="40% - Accent1 2 2 2 2 2 3" xfId="11348"/>
    <cellStyle name="40% - Accent1 2 2 2 2 2 3 2" xfId="24979"/>
    <cellStyle name="40% - Accent1 2 2 2 2 2 4" xfId="14644"/>
    <cellStyle name="40% - Accent1 2 2 2 2 2 4 2" xfId="28272"/>
    <cellStyle name="40% - Accent1 2 2 2 2 2 5" xfId="18675"/>
    <cellStyle name="40% - Accent1 2 2 2 2 3" xfId="6705"/>
    <cellStyle name="40% - Accent1 2 2 2 2 3 2" xfId="20355"/>
    <cellStyle name="40% - Accent1 2 2 2 2 4" xfId="9925"/>
    <cellStyle name="40% - Accent1 2 2 2 2 4 2" xfId="23556"/>
    <cellStyle name="40% - Accent1 2 2 2 2 5" xfId="13220"/>
    <cellStyle name="40% - Accent1 2 2 2 2 5 2" xfId="26848"/>
    <cellStyle name="40% - Accent1 2 2 2 2 6" xfId="17150"/>
    <cellStyle name="40% - Accent1 2 2 2 3" xfId="4071"/>
    <cellStyle name="40% - Accent1 2 2 2 3 2" xfId="7501"/>
    <cellStyle name="40% - Accent1 2 2 2 3 2 2" xfId="21149"/>
    <cellStyle name="40% - Accent1 2 2 2 3 3" xfId="10639"/>
    <cellStyle name="40% - Accent1 2 2 2 3 3 2" xfId="24270"/>
    <cellStyle name="40% - Accent1 2 2 2 3 4" xfId="13935"/>
    <cellStyle name="40% - Accent1 2 2 2 3 4 2" xfId="27563"/>
    <cellStyle name="40% - Accent1 2 2 2 3 5" xfId="17866"/>
    <cellStyle name="40% - Accent1 2 2 2 4" xfId="5907"/>
    <cellStyle name="40% - Accent1 2 2 2 4 2" xfId="19557"/>
    <cellStyle name="40% - Accent1 2 2 2 5" xfId="9193"/>
    <cellStyle name="40% - Accent1 2 2 2 5 2" xfId="22835"/>
    <cellStyle name="40% - Accent1 2 2 2 6" xfId="12507"/>
    <cellStyle name="40% - Accent1 2 2 2 6 2" xfId="26135"/>
    <cellStyle name="40% - Accent1 2 2 2 7" xfId="16352"/>
    <cellStyle name="40% - Accent1 2 2 3" xfId="2299"/>
    <cellStyle name="40% - Accent1 2 2 3 2" xfId="3405"/>
    <cellStyle name="40% - Accent1 2 2 3 2 2" xfId="5141"/>
    <cellStyle name="40% - Accent1 2 2 3 2 2 2" xfId="8405"/>
    <cellStyle name="40% - Accent1 2 2 3 2 2 2 2" xfId="22053"/>
    <cellStyle name="40% - Accent1 2 2 3 2 2 3" xfId="11472"/>
    <cellStyle name="40% - Accent1 2 2 3 2 2 3 2" xfId="25103"/>
    <cellStyle name="40% - Accent1 2 2 3 2 2 4" xfId="14768"/>
    <cellStyle name="40% - Accent1 2 2 3 2 2 4 2" xfId="28396"/>
    <cellStyle name="40% - Accent1 2 2 3 2 2 5" xfId="18799"/>
    <cellStyle name="40% - Accent1 2 2 3 2 3" xfId="6839"/>
    <cellStyle name="40% - Accent1 2 2 3 2 3 2" xfId="20489"/>
    <cellStyle name="40% - Accent1 2 2 3 2 4" xfId="10049"/>
    <cellStyle name="40% - Accent1 2 2 3 2 4 2" xfId="23680"/>
    <cellStyle name="40% - Accent1 2 2 3 2 5" xfId="13344"/>
    <cellStyle name="40% - Accent1 2 2 3 2 5 2" xfId="26972"/>
    <cellStyle name="40% - Accent1 2 2 3 2 6" xfId="17274"/>
    <cellStyle name="40% - Accent1 2 2 3 3" xfId="4195"/>
    <cellStyle name="40% - Accent1 2 2 3 3 2" xfId="7625"/>
    <cellStyle name="40% - Accent1 2 2 3 3 2 2" xfId="21273"/>
    <cellStyle name="40% - Accent1 2 2 3 3 3" xfId="10763"/>
    <cellStyle name="40% - Accent1 2 2 3 3 3 2" xfId="24394"/>
    <cellStyle name="40% - Accent1 2 2 3 3 4" xfId="14059"/>
    <cellStyle name="40% - Accent1 2 2 3 3 4 2" xfId="27687"/>
    <cellStyle name="40% - Accent1 2 2 3 3 5" xfId="17990"/>
    <cellStyle name="40% - Accent1 2 2 3 4" xfId="6031"/>
    <cellStyle name="40% - Accent1 2 2 3 4 2" xfId="19681"/>
    <cellStyle name="40% - Accent1 2 2 3 5" xfId="9317"/>
    <cellStyle name="40% - Accent1 2 2 3 5 2" xfId="22959"/>
    <cellStyle name="40% - Accent1 2 2 3 6" xfId="12631"/>
    <cellStyle name="40% - Accent1 2 2 3 6 2" xfId="26259"/>
    <cellStyle name="40% - Accent1 2 2 3 7" xfId="16477"/>
    <cellStyle name="40% - Accent1 2 2 4" xfId="2679"/>
    <cellStyle name="40% - Accent1 2 2 4 2" xfId="3633"/>
    <cellStyle name="40% - Accent1 2 2 4 2 2" xfId="5300"/>
    <cellStyle name="40% - Accent1 2 2 4 2 2 2" xfId="8563"/>
    <cellStyle name="40% - Accent1 2 2 4 2 2 2 2" xfId="22211"/>
    <cellStyle name="40% - Accent1 2 2 4 2 2 3" xfId="11630"/>
    <cellStyle name="40% - Accent1 2 2 4 2 2 3 2" xfId="25261"/>
    <cellStyle name="40% - Accent1 2 2 4 2 2 4" xfId="14926"/>
    <cellStyle name="40% - Accent1 2 2 4 2 2 4 2" xfId="28554"/>
    <cellStyle name="40% - Accent1 2 2 4 2 2 5" xfId="18958"/>
    <cellStyle name="40% - Accent1 2 2 4 2 3" xfId="7067"/>
    <cellStyle name="40% - Accent1 2 2 4 2 3 2" xfId="20717"/>
    <cellStyle name="40% - Accent1 2 2 4 2 4" xfId="10208"/>
    <cellStyle name="40% - Accent1 2 2 4 2 4 2" xfId="23839"/>
    <cellStyle name="40% - Accent1 2 2 4 2 5" xfId="13503"/>
    <cellStyle name="40% - Accent1 2 2 4 2 5 2" xfId="27131"/>
    <cellStyle name="40% - Accent1 2 2 4 2 6" xfId="17434"/>
    <cellStyle name="40% - Accent1 2 2 4 3" xfId="4422"/>
    <cellStyle name="40% - Accent1 2 2 4 3 2" xfId="7852"/>
    <cellStyle name="40% - Accent1 2 2 4 3 2 2" xfId="21500"/>
    <cellStyle name="40% - Accent1 2 2 4 3 3" xfId="10921"/>
    <cellStyle name="40% - Accent1 2 2 4 3 3 2" xfId="24552"/>
    <cellStyle name="40% - Accent1 2 2 4 3 4" xfId="14217"/>
    <cellStyle name="40% - Accent1 2 2 4 3 4 2" xfId="27845"/>
    <cellStyle name="40% - Accent1 2 2 4 3 5" xfId="18217"/>
    <cellStyle name="40% - Accent1 2 2 4 4" xfId="6273"/>
    <cellStyle name="40% - Accent1 2 2 4 4 2" xfId="19923"/>
    <cellStyle name="40% - Accent1 2 2 4 5" xfId="9475"/>
    <cellStyle name="40% - Accent1 2 2 4 5 2" xfId="23117"/>
    <cellStyle name="40% - Accent1 2 2 4 6" xfId="12789"/>
    <cellStyle name="40% - Accent1 2 2 4 6 2" xfId="26417"/>
    <cellStyle name="40% - Accent1 2 2 4 7" xfId="16706"/>
    <cellStyle name="40% - Accent1 2 2 5" xfId="2832"/>
    <cellStyle name="40% - Accent1 2 2 5 2" xfId="4736"/>
    <cellStyle name="40% - Accent1 2 2 5 2 2" xfId="8004"/>
    <cellStyle name="40% - Accent1 2 2 5 2 2 2" xfId="21652"/>
    <cellStyle name="40% - Accent1 2 2 5 2 3" xfId="11073"/>
    <cellStyle name="40% - Accent1 2 2 5 2 3 2" xfId="24704"/>
    <cellStyle name="40% - Accent1 2 2 5 2 4" xfId="14369"/>
    <cellStyle name="40% - Accent1 2 2 5 2 4 2" xfId="27997"/>
    <cellStyle name="40% - Accent1 2 2 5 2 5" xfId="18395"/>
    <cellStyle name="40% - Accent1 2 2 5 3" xfId="6426"/>
    <cellStyle name="40% - Accent1 2 2 5 3 2" xfId="20076"/>
    <cellStyle name="40% - Accent1 2 2 5 4" xfId="9647"/>
    <cellStyle name="40% - Accent1 2 2 5 4 2" xfId="23278"/>
    <cellStyle name="40% - Accent1 2 2 5 5" xfId="12942"/>
    <cellStyle name="40% - Accent1 2 2 5 5 2" xfId="26570"/>
    <cellStyle name="40% - Accent1 2 2 5 6" xfId="16858"/>
    <cellStyle name="40% - Accent1 2 2 6" xfId="3904"/>
    <cellStyle name="40% - Accent1 2 2 6 2" xfId="7334"/>
    <cellStyle name="40% - Accent1 2 2 6 2 2" xfId="20982"/>
    <cellStyle name="40% - Accent1 2 2 6 3" xfId="10472"/>
    <cellStyle name="40% - Accent1 2 2 6 3 2" xfId="24103"/>
    <cellStyle name="40% - Accent1 2 2 6 4" xfId="13768"/>
    <cellStyle name="40% - Accent1 2 2 6 4 2" xfId="27396"/>
    <cellStyle name="40% - Accent1 2 2 6 5" xfId="17699"/>
    <cellStyle name="40% - Accent1 2 2 7" xfId="5462"/>
    <cellStyle name="40% - Accent1 2 2 7 2" xfId="8723"/>
    <cellStyle name="40% - Accent1 2 2 7 2 2" xfId="22366"/>
    <cellStyle name="40% - Accent1 2 2 7 3" xfId="11783"/>
    <cellStyle name="40% - Accent1 2 2 7 3 2" xfId="25414"/>
    <cellStyle name="40% - Accent1 2 2 7 4" xfId="15079"/>
    <cellStyle name="40% - Accent1 2 2 7 4 2" xfId="28707"/>
    <cellStyle name="40% - Accent1 2 2 7 5" xfId="19112"/>
    <cellStyle name="40% - Accent1 2 2 8" xfId="5744"/>
    <cellStyle name="40% - Accent1 2 2 8 2" xfId="19394"/>
    <cellStyle name="40% - Accent1 2 2 9" xfId="8913"/>
    <cellStyle name="40% - Accent1 2 2 9 2" xfId="22556"/>
    <cellStyle name="40% - Accent1 2 3" xfId="745"/>
    <cellStyle name="40% - Accent1 2 3 2" xfId="2947"/>
    <cellStyle name="40% - Accent1 2 3 2 2" xfId="4792"/>
    <cellStyle name="40% - Accent1 2 3 2 2 2" xfId="8060"/>
    <cellStyle name="40% - Accent1 2 3 2 2 2 2" xfId="21708"/>
    <cellStyle name="40% - Accent1 2 3 2 2 3" xfId="11129"/>
    <cellStyle name="40% - Accent1 2 3 2 2 3 2" xfId="24760"/>
    <cellStyle name="40% - Accent1 2 3 2 2 4" xfId="14425"/>
    <cellStyle name="40% - Accent1 2 3 2 2 4 2" xfId="28053"/>
    <cellStyle name="40% - Accent1 2 3 2 2 5" xfId="18451"/>
    <cellStyle name="40% - Accent1 2 3 2 3" xfId="6482"/>
    <cellStyle name="40% - Accent1 2 3 2 3 2" xfId="20132"/>
    <cellStyle name="40% - Accent1 2 3 2 4" xfId="9703"/>
    <cellStyle name="40% - Accent1 2 3 2 4 2" xfId="23334"/>
    <cellStyle name="40% - Accent1 2 3 2 5" xfId="12998"/>
    <cellStyle name="40% - Accent1 2 3 2 5 2" xfId="26626"/>
    <cellStyle name="40% - Accent1 2 3 2 6" xfId="16916"/>
    <cellStyle name="40% - Accent1 2 3 3" xfId="3903"/>
    <cellStyle name="40% - Accent1 2 3 3 2" xfId="7333"/>
    <cellStyle name="40% - Accent1 2 3 3 2 2" xfId="20981"/>
    <cellStyle name="40% - Accent1 2 3 3 3" xfId="10471"/>
    <cellStyle name="40% - Accent1 2 3 3 3 2" xfId="24102"/>
    <cellStyle name="40% - Accent1 2 3 3 4" xfId="13767"/>
    <cellStyle name="40% - Accent1 2 3 3 4 2" xfId="27395"/>
    <cellStyle name="40% - Accent1 2 3 3 5" xfId="17698"/>
    <cellStyle name="40% - Accent1 2 3 4" xfId="5743"/>
    <cellStyle name="40% - Accent1 2 3 4 2" xfId="19393"/>
    <cellStyle name="40% - Accent1 2 3 5" xfId="9005"/>
    <cellStyle name="40% - Accent1 2 3 5 2" xfId="22648"/>
    <cellStyle name="40% - Accent1 2 3 6" xfId="12343"/>
    <cellStyle name="40% - Accent1 2 3 6 2" xfId="25971"/>
    <cellStyle name="40% - Accent1 2 3 7" xfId="16070"/>
    <cellStyle name="40% - Accent1 2 4" xfId="2157"/>
    <cellStyle name="40% - Accent1 2 4 2" xfId="3270"/>
    <cellStyle name="40% - Accent1 2 4 2 2" xfId="5016"/>
    <cellStyle name="40% - Accent1 2 4 2 2 2" xfId="8280"/>
    <cellStyle name="40% - Accent1 2 4 2 2 2 2" xfId="21928"/>
    <cellStyle name="40% - Accent1 2 4 2 2 3" xfId="11347"/>
    <cellStyle name="40% - Accent1 2 4 2 2 3 2" xfId="24978"/>
    <cellStyle name="40% - Accent1 2 4 2 2 4" xfId="14643"/>
    <cellStyle name="40% - Accent1 2 4 2 2 4 2" xfId="28271"/>
    <cellStyle name="40% - Accent1 2 4 2 2 5" xfId="18674"/>
    <cellStyle name="40% - Accent1 2 4 2 3" xfId="6704"/>
    <cellStyle name="40% - Accent1 2 4 2 3 2" xfId="20354"/>
    <cellStyle name="40% - Accent1 2 4 2 4" xfId="9924"/>
    <cellStyle name="40% - Accent1 2 4 2 4 2" xfId="23555"/>
    <cellStyle name="40% - Accent1 2 4 2 5" xfId="13219"/>
    <cellStyle name="40% - Accent1 2 4 2 5 2" xfId="26847"/>
    <cellStyle name="40% - Accent1 2 4 2 6" xfId="17149"/>
    <cellStyle name="40% - Accent1 2 4 3" xfId="4070"/>
    <cellStyle name="40% - Accent1 2 4 3 2" xfId="7500"/>
    <cellStyle name="40% - Accent1 2 4 3 2 2" xfId="21148"/>
    <cellStyle name="40% - Accent1 2 4 3 3" xfId="10638"/>
    <cellStyle name="40% - Accent1 2 4 3 3 2" xfId="24269"/>
    <cellStyle name="40% - Accent1 2 4 3 4" xfId="13934"/>
    <cellStyle name="40% - Accent1 2 4 3 4 2" xfId="27562"/>
    <cellStyle name="40% - Accent1 2 4 3 5" xfId="17865"/>
    <cellStyle name="40% - Accent1 2 4 4" xfId="5906"/>
    <cellStyle name="40% - Accent1 2 4 4 2" xfId="19556"/>
    <cellStyle name="40% - Accent1 2 4 5" xfId="9192"/>
    <cellStyle name="40% - Accent1 2 4 5 2" xfId="22834"/>
    <cellStyle name="40% - Accent1 2 4 6" xfId="12506"/>
    <cellStyle name="40% - Accent1 2 4 6 2" xfId="26134"/>
    <cellStyle name="40% - Accent1 2 4 7" xfId="16351"/>
    <cellStyle name="40% - Accent1 2 5" xfId="2298"/>
    <cellStyle name="40% - Accent1 2 5 2" xfId="3404"/>
    <cellStyle name="40% - Accent1 2 5 2 2" xfId="5140"/>
    <cellStyle name="40% - Accent1 2 5 2 2 2" xfId="8404"/>
    <cellStyle name="40% - Accent1 2 5 2 2 2 2" xfId="22052"/>
    <cellStyle name="40% - Accent1 2 5 2 2 3" xfId="11471"/>
    <cellStyle name="40% - Accent1 2 5 2 2 3 2" xfId="25102"/>
    <cellStyle name="40% - Accent1 2 5 2 2 4" xfId="14767"/>
    <cellStyle name="40% - Accent1 2 5 2 2 4 2" xfId="28395"/>
    <cellStyle name="40% - Accent1 2 5 2 2 5" xfId="18798"/>
    <cellStyle name="40% - Accent1 2 5 2 3" xfId="6838"/>
    <cellStyle name="40% - Accent1 2 5 2 3 2" xfId="20488"/>
    <cellStyle name="40% - Accent1 2 5 2 4" xfId="10048"/>
    <cellStyle name="40% - Accent1 2 5 2 4 2" xfId="23679"/>
    <cellStyle name="40% - Accent1 2 5 2 5" xfId="13343"/>
    <cellStyle name="40% - Accent1 2 5 2 5 2" xfId="26971"/>
    <cellStyle name="40% - Accent1 2 5 2 6" xfId="17273"/>
    <cellStyle name="40% - Accent1 2 5 3" xfId="4194"/>
    <cellStyle name="40% - Accent1 2 5 3 2" xfId="7624"/>
    <cellStyle name="40% - Accent1 2 5 3 2 2" xfId="21272"/>
    <cellStyle name="40% - Accent1 2 5 3 3" xfId="10762"/>
    <cellStyle name="40% - Accent1 2 5 3 3 2" xfId="24393"/>
    <cellStyle name="40% - Accent1 2 5 3 4" xfId="14058"/>
    <cellStyle name="40% - Accent1 2 5 3 4 2" xfId="27686"/>
    <cellStyle name="40% - Accent1 2 5 3 5" xfId="17989"/>
    <cellStyle name="40% - Accent1 2 5 4" xfId="6030"/>
    <cellStyle name="40% - Accent1 2 5 4 2" xfId="19680"/>
    <cellStyle name="40% - Accent1 2 5 5" xfId="9316"/>
    <cellStyle name="40% - Accent1 2 5 5 2" xfId="22958"/>
    <cellStyle name="40% - Accent1 2 5 6" xfId="12630"/>
    <cellStyle name="40% - Accent1 2 5 6 2" xfId="26258"/>
    <cellStyle name="40% - Accent1 2 5 7" xfId="16476"/>
    <cellStyle name="40% - Accent1 2 6" xfId="2678"/>
    <cellStyle name="40% - Accent1 2 6 2" xfId="3632"/>
    <cellStyle name="40% - Accent1 2 6 2 2" xfId="5299"/>
    <cellStyle name="40% - Accent1 2 6 2 2 2" xfId="8562"/>
    <cellStyle name="40% - Accent1 2 6 2 2 2 2" xfId="22210"/>
    <cellStyle name="40% - Accent1 2 6 2 2 3" xfId="11629"/>
    <cellStyle name="40% - Accent1 2 6 2 2 3 2" xfId="25260"/>
    <cellStyle name="40% - Accent1 2 6 2 2 4" xfId="14925"/>
    <cellStyle name="40% - Accent1 2 6 2 2 4 2" xfId="28553"/>
    <cellStyle name="40% - Accent1 2 6 2 2 5" xfId="18957"/>
    <cellStyle name="40% - Accent1 2 6 2 3" xfId="7066"/>
    <cellStyle name="40% - Accent1 2 6 2 3 2" xfId="20716"/>
    <cellStyle name="40% - Accent1 2 6 2 4" xfId="10207"/>
    <cellStyle name="40% - Accent1 2 6 2 4 2" xfId="23838"/>
    <cellStyle name="40% - Accent1 2 6 2 5" xfId="13502"/>
    <cellStyle name="40% - Accent1 2 6 2 5 2" xfId="27130"/>
    <cellStyle name="40% - Accent1 2 6 2 6" xfId="17433"/>
    <cellStyle name="40% - Accent1 2 6 3" xfId="4421"/>
    <cellStyle name="40% - Accent1 2 6 3 2" xfId="7851"/>
    <cellStyle name="40% - Accent1 2 6 3 2 2" xfId="21499"/>
    <cellStyle name="40% - Accent1 2 6 3 3" xfId="10920"/>
    <cellStyle name="40% - Accent1 2 6 3 3 2" xfId="24551"/>
    <cellStyle name="40% - Accent1 2 6 3 4" xfId="14216"/>
    <cellStyle name="40% - Accent1 2 6 3 4 2" xfId="27844"/>
    <cellStyle name="40% - Accent1 2 6 3 5" xfId="18216"/>
    <cellStyle name="40% - Accent1 2 6 4" xfId="6272"/>
    <cellStyle name="40% - Accent1 2 6 4 2" xfId="19922"/>
    <cellStyle name="40% - Accent1 2 6 5" xfId="9474"/>
    <cellStyle name="40% - Accent1 2 6 5 2" xfId="23116"/>
    <cellStyle name="40% - Accent1 2 6 6" xfId="12788"/>
    <cellStyle name="40% - Accent1 2 6 6 2" xfId="26416"/>
    <cellStyle name="40% - Accent1 2 6 7" xfId="16705"/>
    <cellStyle name="40% - Accent1 2 7" xfId="2831"/>
    <cellStyle name="40% - Accent1 2 7 2" xfId="4735"/>
    <cellStyle name="40% - Accent1 2 7 2 2" xfId="8003"/>
    <cellStyle name="40% - Accent1 2 7 2 2 2" xfId="21651"/>
    <cellStyle name="40% - Accent1 2 7 2 3" xfId="11072"/>
    <cellStyle name="40% - Accent1 2 7 2 3 2" xfId="24703"/>
    <cellStyle name="40% - Accent1 2 7 2 4" xfId="14368"/>
    <cellStyle name="40% - Accent1 2 7 2 4 2" xfId="27996"/>
    <cellStyle name="40% - Accent1 2 7 2 5" xfId="18394"/>
    <cellStyle name="40% - Accent1 2 7 3" xfId="6425"/>
    <cellStyle name="40% - Accent1 2 7 3 2" xfId="20075"/>
    <cellStyle name="40% - Accent1 2 7 4" xfId="9646"/>
    <cellStyle name="40% - Accent1 2 7 4 2" xfId="23277"/>
    <cellStyle name="40% - Accent1 2 7 5" xfId="12941"/>
    <cellStyle name="40% - Accent1 2 7 5 2" xfId="26569"/>
    <cellStyle name="40% - Accent1 2 7 6" xfId="16857"/>
    <cellStyle name="40% - Accent1 2 8" xfId="5461"/>
    <cellStyle name="40% - Accent1 2 8 2" xfId="8722"/>
    <cellStyle name="40% - Accent1 2 8 2 2" xfId="22365"/>
    <cellStyle name="40% - Accent1 2 8 3" xfId="11782"/>
    <cellStyle name="40% - Accent1 2 8 3 2" xfId="25413"/>
    <cellStyle name="40% - Accent1 2 8 4" xfId="15078"/>
    <cellStyle name="40% - Accent1 2 8 4 2" xfId="28706"/>
    <cellStyle name="40% - Accent1 2 8 5" xfId="19111"/>
    <cellStyle name="40% - Accent1 2 9" xfId="8912"/>
    <cellStyle name="40% - Accent1 2 9 2" xfId="22555"/>
    <cellStyle name="40% - Accent1 3" xfId="3775"/>
    <cellStyle name="40% - Accent1 3 2" xfId="7211"/>
    <cellStyle name="40% - Accent1 3 2 2" xfId="20859"/>
    <cellStyle name="40% - Accent1 3 3" xfId="10350"/>
    <cellStyle name="40% - Accent1 3 3 2" xfId="23981"/>
    <cellStyle name="40% - Accent1 3 4" xfId="13645"/>
    <cellStyle name="40% - Accent1 3 4 2" xfId="27273"/>
    <cellStyle name="40% - Accent1 3 5" xfId="17576"/>
    <cellStyle name="40% - Accent1 4" xfId="5619"/>
    <cellStyle name="40% - Accent1 4 2" xfId="19269"/>
    <cellStyle name="40% - Accent1 5" xfId="12210"/>
    <cellStyle name="40% - Accent1 5 2" xfId="25838"/>
    <cellStyle name="40% - Accent1 6" xfId="12222"/>
    <cellStyle name="40% - Accent1 6 2" xfId="25850"/>
    <cellStyle name="40% - Accent1 7" xfId="15252"/>
    <cellStyle name="40% - Accent1 7 2" xfId="28880"/>
    <cellStyle name="40% - Accent1 8" xfId="15432"/>
    <cellStyle name="40% - Accent1 8 2" xfId="28962"/>
    <cellStyle name="40% - Accent1 9" xfId="15669"/>
    <cellStyle name="40% - Accent1 9 2" xfId="29090"/>
    <cellStyle name="40% - Accent2" xfId="443" builtinId="35" customBuiltin="1"/>
    <cellStyle name="40% - Accent2 10" xfId="15695"/>
    <cellStyle name="40% - Accent2 10 2" xfId="29116"/>
    <cellStyle name="40% - Accent2 11" xfId="15711"/>
    <cellStyle name="40% - Accent2 12" xfId="15816"/>
    <cellStyle name="40% - Accent2 13" xfId="15946"/>
    <cellStyle name="40% - Accent2 2" xfId="365"/>
    <cellStyle name="40% - Accent2 2 10" xfId="11969"/>
    <cellStyle name="40% - Accent2 2 10 2" xfId="25600"/>
    <cellStyle name="40% - Accent2 2 11" xfId="12072"/>
    <cellStyle name="40% - Accent2 2 11 2" xfId="25700"/>
    <cellStyle name="40% - Accent2 2 12" xfId="15256"/>
    <cellStyle name="40% - Accent2 2 12 2" xfId="28884"/>
    <cellStyle name="40% - Accent2 2 13" xfId="15458"/>
    <cellStyle name="40% - Accent2 2 13 2" xfId="28987"/>
    <cellStyle name="40% - Accent2 2 14" xfId="15779"/>
    <cellStyle name="40% - Accent2 2 15" xfId="29621"/>
    <cellStyle name="40% - Accent2 2 2" xfId="748"/>
    <cellStyle name="40% - Accent2 2 2 10" xfId="11970"/>
    <cellStyle name="40% - Accent2 2 2 10 2" xfId="25601"/>
    <cellStyle name="40% - Accent2 2 2 11" xfId="12073"/>
    <cellStyle name="40% - Accent2 2 2 11 2" xfId="25701"/>
    <cellStyle name="40% - Accent2 2 2 12" xfId="12346"/>
    <cellStyle name="40% - Accent2 2 2 12 2" xfId="25974"/>
    <cellStyle name="40% - Accent2 2 2 13" xfId="15257"/>
    <cellStyle name="40% - Accent2 2 2 13 2" xfId="28885"/>
    <cellStyle name="40% - Accent2 2 2 14" xfId="15459"/>
    <cellStyle name="40% - Accent2 2 2 14 2" xfId="28988"/>
    <cellStyle name="40% - Accent2 2 2 15" xfId="16073"/>
    <cellStyle name="40% - Accent2 2 2 16" xfId="29622"/>
    <cellStyle name="40% - Accent2 2 2 2" xfId="2160"/>
    <cellStyle name="40% - Accent2 2 2 2 2" xfId="3273"/>
    <cellStyle name="40% - Accent2 2 2 2 2 2" xfId="5019"/>
    <cellStyle name="40% - Accent2 2 2 2 2 2 2" xfId="8283"/>
    <cellStyle name="40% - Accent2 2 2 2 2 2 2 2" xfId="21931"/>
    <cellStyle name="40% - Accent2 2 2 2 2 2 3" xfId="11350"/>
    <cellStyle name="40% - Accent2 2 2 2 2 2 3 2" xfId="24981"/>
    <cellStyle name="40% - Accent2 2 2 2 2 2 4" xfId="14646"/>
    <cellStyle name="40% - Accent2 2 2 2 2 2 4 2" xfId="28274"/>
    <cellStyle name="40% - Accent2 2 2 2 2 2 5" xfId="18677"/>
    <cellStyle name="40% - Accent2 2 2 2 2 3" xfId="6707"/>
    <cellStyle name="40% - Accent2 2 2 2 2 3 2" xfId="20357"/>
    <cellStyle name="40% - Accent2 2 2 2 2 4" xfId="9927"/>
    <cellStyle name="40% - Accent2 2 2 2 2 4 2" xfId="23558"/>
    <cellStyle name="40% - Accent2 2 2 2 2 5" xfId="13222"/>
    <cellStyle name="40% - Accent2 2 2 2 2 5 2" xfId="26850"/>
    <cellStyle name="40% - Accent2 2 2 2 2 6" xfId="17152"/>
    <cellStyle name="40% - Accent2 2 2 2 3" xfId="4073"/>
    <cellStyle name="40% - Accent2 2 2 2 3 2" xfId="7503"/>
    <cellStyle name="40% - Accent2 2 2 2 3 2 2" xfId="21151"/>
    <cellStyle name="40% - Accent2 2 2 2 3 3" xfId="10641"/>
    <cellStyle name="40% - Accent2 2 2 2 3 3 2" xfId="24272"/>
    <cellStyle name="40% - Accent2 2 2 2 3 4" xfId="13937"/>
    <cellStyle name="40% - Accent2 2 2 2 3 4 2" xfId="27565"/>
    <cellStyle name="40% - Accent2 2 2 2 3 5" xfId="17868"/>
    <cellStyle name="40% - Accent2 2 2 2 4" xfId="5909"/>
    <cellStyle name="40% - Accent2 2 2 2 4 2" xfId="19559"/>
    <cellStyle name="40% - Accent2 2 2 2 5" xfId="9195"/>
    <cellStyle name="40% - Accent2 2 2 2 5 2" xfId="22837"/>
    <cellStyle name="40% - Accent2 2 2 2 6" xfId="12509"/>
    <cellStyle name="40% - Accent2 2 2 2 6 2" xfId="26137"/>
    <cellStyle name="40% - Accent2 2 2 2 7" xfId="16354"/>
    <cellStyle name="40% - Accent2 2 2 3" xfId="2301"/>
    <cellStyle name="40% - Accent2 2 2 3 2" xfId="3407"/>
    <cellStyle name="40% - Accent2 2 2 3 2 2" xfId="5143"/>
    <cellStyle name="40% - Accent2 2 2 3 2 2 2" xfId="8407"/>
    <cellStyle name="40% - Accent2 2 2 3 2 2 2 2" xfId="22055"/>
    <cellStyle name="40% - Accent2 2 2 3 2 2 3" xfId="11474"/>
    <cellStyle name="40% - Accent2 2 2 3 2 2 3 2" xfId="25105"/>
    <cellStyle name="40% - Accent2 2 2 3 2 2 4" xfId="14770"/>
    <cellStyle name="40% - Accent2 2 2 3 2 2 4 2" xfId="28398"/>
    <cellStyle name="40% - Accent2 2 2 3 2 2 5" xfId="18801"/>
    <cellStyle name="40% - Accent2 2 2 3 2 3" xfId="6841"/>
    <cellStyle name="40% - Accent2 2 2 3 2 3 2" xfId="20491"/>
    <cellStyle name="40% - Accent2 2 2 3 2 4" xfId="10051"/>
    <cellStyle name="40% - Accent2 2 2 3 2 4 2" xfId="23682"/>
    <cellStyle name="40% - Accent2 2 2 3 2 5" xfId="13346"/>
    <cellStyle name="40% - Accent2 2 2 3 2 5 2" xfId="26974"/>
    <cellStyle name="40% - Accent2 2 2 3 2 6" xfId="17276"/>
    <cellStyle name="40% - Accent2 2 2 3 3" xfId="4197"/>
    <cellStyle name="40% - Accent2 2 2 3 3 2" xfId="7627"/>
    <cellStyle name="40% - Accent2 2 2 3 3 2 2" xfId="21275"/>
    <cellStyle name="40% - Accent2 2 2 3 3 3" xfId="10765"/>
    <cellStyle name="40% - Accent2 2 2 3 3 3 2" xfId="24396"/>
    <cellStyle name="40% - Accent2 2 2 3 3 4" xfId="14061"/>
    <cellStyle name="40% - Accent2 2 2 3 3 4 2" xfId="27689"/>
    <cellStyle name="40% - Accent2 2 2 3 3 5" xfId="17992"/>
    <cellStyle name="40% - Accent2 2 2 3 4" xfId="6033"/>
    <cellStyle name="40% - Accent2 2 2 3 4 2" xfId="19683"/>
    <cellStyle name="40% - Accent2 2 2 3 5" xfId="9319"/>
    <cellStyle name="40% - Accent2 2 2 3 5 2" xfId="22961"/>
    <cellStyle name="40% - Accent2 2 2 3 6" xfId="12633"/>
    <cellStyle name="40% - Accent2 2 2 3 6 2" xfId="26261"/>
    <cellStyle name="40% - Accent2 2 2 3 7" xfId="16479"/>
    <cellStyle name="40% - Accent2 2 2 4" xfId="2681"/>
    <cellStyle name="40% - Accent2 2 2 4 2" xfId="3635"/>
    <cellStyle name="40% - Accent2 2 2 4 2 2" xfId="5302"/>
    <cellStyle name="40% - Accent2 2 2 4 2 2 2" xfId="8565"/>
    <cellStyle name="40% - Accent2 2 2 4 2 2 2 2" xfId="22213"/>
    <cellStyle name="40% - Accent2 2 2 4 2 2 3" xfId="11632"/>
    <cellStyle name="40% - Accent2 2 2 4 2 2 3 2" xfId="25263"/>
    <cellStyle name="40% - Accent2 2 2 4 2 2 4" xfId="14928"/>
    <cellStyle name="40% - Accent2 2 2 4 2 2 4 2" xfId="28556"/>
    <cellStyle name="40% - Accent2 2 2 4 2 2 5" xfId="18960"/>
    <cellStyle name="40% - Accent2 2 2 4 2 3" xfId="7069"/>
    <cellStyle name="40% - Accent2 2 2 4 2 3 2" xfId="20719"/>
    <cellStyle name="40% - Accent2 2 2 4 2 4" xfId="10210"/>
    <cellStyle name="40% - Accent2 2 2 4 2 4 2" xfId="23841"/>
    <cellStyle name="40% - Accent2 2 2 4 2 5" xfId="13505"/>
    <cellStyle name="40% - Accent2 2 2 4 2 5 2" xfId="27133"/>
    <cellStyle name="40% - Accent2 2 2 4 2 6" xfId="17436"/>
    <cellStyle name="40% - Accent2 2 2 4 3" xfId="4424"/>
    <cellStyle name="40% - Accent2 2 2 4 3 2" xfId="7854"/>
    <cellStyle name="40% - Accent2 2 2 4 3 2 2" xfId="21502"/>
    <cellStyle name="40% - Accent2 2 2 4 3 3" xfId="10923"/>
    <cellStyle name="40% - Accent2 2 2 4 3 3 2" xfId="24554"/>
    <cellStyle name="40% - Accent2 2 2 4 3 4" xfId="14219"/>
    <cellStyle name="40% - Accent2 2 2 4 3 4 2" xfId="27847"/>
    <cellStyle name="40% - Accent2 2 2 4 3 5" xfId="18219"/>
    <cellStyle name="40% - Accent2 2 2 4 4" xfId="6275"/>
    <cellStyle name="40% - Accent2 2 2 4 4 2" xfId="19925"/>
    <cellStyle name="40% - Accent2 2 2 4 5" xfId="9477"/>
    <cellStyle name="40% - Accent2 2 2 4 5 2" xfId="23119"/>
    <cellStyle name="40% - Accent2 2 2 4 6" xfId="12791"/>
    <cellStyle name="40% - Accent2 2 2 4 6 2" xfId="26419"/>
    <cellStyle name="40% - Accent2 2 2 4 7" xfId="16708"/>
    <cellStyle name="40% - Accent2 2 2 5" xfId="2834"/>
    <cellStyle name="40% - Accent2 2 2 5 2" xfId="4738"/>
    <cellStyle name="40% - Accent2 2 2 5 2 2" xfId="8006"/>
    <cellStyle name="40% - Accent2 2 2 5 2 2 2" xfId="21654"/>
    <cellStyle name="40% - Accent2 2 2 5 2 3" xfId="11075"/>
    <cellStyle name="40% - Accent2 2 2 5 2 3 2" xfId="24706"/>
    <cellStyle name="40% - Accent2 2 2 5 2 4" xfId="14371"/>
    <cellStyle name="40% - Accent2 2 2 5 2 4 2" xfId="27999"/>
    <cellStyle name="40% - Accent2 2 2 5 2 5" xfId="18397"/>
    <cellStyle name="40% - Accent2 2 2 5 3" xfId="6428"/>
    <cellStyle name="40% - Accent2 2 2 5 3 2" xfId="20078"/>
    <cellStyle name="40% - Accent2 2 2 5 4" xfId="9649"/>
    <cellStyle name="40% - Accent2 2 2 5 4 2" xfId="23280"/>
    <cellStyle name="40% - Accent2 2 2 5 5" xfId="12944"/>
    <cellStyle name="40% - Accent2 2 2 5 5 2" xfId="26572"/>
    <cellStyle name="40% - Accent2 2 2 5 6" xfId="16860"/>
    <cellStyle name="40% - Accent2 2 2 6" xfId="3906"/>
    <cellStyle name="40% - Accent2 2 2 6 2" xfId="7336"/>
    <cellStyle name="40% - Accent2 2 2 6 2 2" xfId="20984"/>
    <cellStyle name="40% - Accent2 2 2 6 3" xfId="10474"/>
    <cellStyle name="40% - Accent2 2 2 6 3 2" xfId="24105"/>
    <cellStyle name="40% - Accent2 2 2 6 4" xfId="13770"/>
    <cellStyle name="40% - Accent2 2 2 6 4 2" xfId="27398"/>
    <cellStyle name="40% - Accent2 2 2 6 5" xfId="17701"/>
    <cellStyle name="40% - Accent2 2 2 7" xfId="5464"/>
    <cellStyle name="40% - Accent2 2 2 7 2" xfId="8725"/>
    <cellStyle name="40% - Accent2 2 2 7 2 2" xfId="22368"/>
    <cellStyle name="40% - Accent2 2 2 7 3" xfId="11785"/>
    <cellStyle name="40% - Accent2 2 2 7 3 2" xfId="25416"/>
    <cellStyle name="40% - Accent2 2 2 7 4" xfId="15081"/>
    <cellStyle name="40% - Accent2 2 2 7 4 2" xfId="28709"/>
    <cellStyle name="40% - Accent2 2 2 7 5" xfId="19114"/>
    <cellStyle name="40% - Accent2 2 2 8" xfId="5746"/>
    <cellStyle name="40% - Accent2 2 2 8 2" xfId="19396"/>
    <cellStyle name="40% - Accent2 2 2 9" xfId="8915"/>
    <cellStyle name="40% - Accent2 2 2 9 2" xfId="22558"/>
    <cellStyle name="40% - Accent2 2 3" xfId="747"/>
    <cellStyle name="40% - Accent2 2 3 2" xfId="2946"/>
    <cellStyle name="40% - Accent2 2 3 2 2" xfId="4791"/>
    <cellStyle name="40% - Accent2 2 3 2 2 2" xfId="8059"/>
    <cellStyle name="40% - Accent2 2 3 2 2 2 2" xfId="21707"/>
    <cellStyle name="40% - Accent2 2 3 2 2 3" xfId="11128"/>
    <cellStyle name="40% - Accent2 2 3 2 2 3 2" xfId="24759"/>
    <cellStyle name="40% - Accent2 2 3 2 2 4" xfId="14424"/>
    <cellStyle name="40% - Accent2 2 3 2 2 4 2" xfId="28052"/>
    <cellStyle name="40% - Accent2 2 3 2 2 5" xfId="18450"/>
    <cellStyle name="40% - Accent2 2 3 2 3" xfId="6481"/>
    <cellStyle name="40% - Accent2 2 3 2 3 2" xfId="20131"/>
    <cellStyle name="40% - Accent2 2 3 2 4" xfId="9702"/>
    <cellStyle name="40% - Accent2 2 3 2 4 2" xfId="23333"/>
    <cellStyle name="40% - Accent2 2 3 2 5" xfId="12997"/>
    <cellStyle name="40% - Accent2 2 3 2 5 2" xfId="26625"/>
    <cellStyle name="40% - Accent2 2 3 2 6" xfId="16915"/>
    <cellStyle name="40% - Accent2 2 3 3" xfId="3905"/>
    <cellStyle name="40% - Accent2 2 3 3 2" xfId="7335"/>
    <cellStyle name="40% - Accent2 2 3 3 2 2" xfId="20983"/>
    <cellStyle name="40% - Accent2 2 3 3 3" xfId="10473"/>
    <cellStyle name="40% - Accent2 2 3 3 3 2" xfId="24104"/>
    <cellStyle name="40% - Accent2 2 3 3 4" xfId="13769"/>
    <cellStyle name="40% - Accent2 2 3 3 4 2" xfId="27397"/>
    <cellStyle name="40% - Accent2 2 3 3 5" xfId="17700"/>
    <cellStyle name="40% - Accent2 2 3 4" xfId="5745"/>
    <cellStyle name="40% - Accent2 2 3 4 2" xfId="19395"/>
    <cellStyle name="40% - Accent2 2 3 5" xfId="9004"/>
    <cellStyle name="40% - Accent2 2 3 5 2" xfId="22647"/>
    <cellStyle name="40% - Accent2 2 3 6" xfId="12345"/>
    <cellStyle name="40% - Accent2 2 3 6 2" xfId="25973"/>
    <cellStyle name="40% - Accent2 2 3 7" xfId="16072"/>
    <cellStyle name="40% - Accent2 2 4" xfId="2159"/>
    <cellStyle name="40% - Accent2 2 4 2" xfId="3272"/>
    <cellStyle name="40% - Accent2 2 4 2 2" xfId="5018"/>
    <cellStyle name="40% - Accent2 2 4 2 2 2" xfId="8282"/>
    <cellStyle name="40% - Accent2 2 4 2 2 2 2" xfId="21930"/>
    <cellStyle name="40% - Accent2 2 4 2 2 3" xfId="11349"/>
    <cellStyle name="40% - Accent2 2 4 2 2 3 2" xfId="24980"/>
    <cellStyle name="40% - Accent2 2 4 2 2 4" xfId="14645"/>
    <cellStyle name="40% - Accent2 2 4 2 2 4 2" xfId="28273"/>
    <cellStyle name="40% - Accent2 2 4 2 2 5" xfId="18676"/>
    <cellStyle name="40% - Accent2 2 4 2 3" xfId="6706"/>
    <cellStyle name="40% - Accent2 2 4 2 3 2" xfId="20356"/>
    <cellStyle name="40% - Accent2 2 4 2 4" xfId="9926"/>
    <cellStyle name="40% - Accent2 2 4 2 4 2" xfId="23557"/>
    <cellStyle name="40% - Accent2 2 4 2 5" xfId="13221"/>
    <cellStyle name="40% - Accent2 2 4 2 5 2" xfId="26849"/>
    <cellStyle name="40% - Accent2 2 4 2 6" xfId="17151"/>
    <cellStyle name="40% - Accent2 2 4 3" xfId="4072"/>
    <cellStyle name="40% - Accent2 2 4 3 2" xfId="7502"/>
    <cellStyle name="40% - Accent2 2 4 3 2 2" xfId="21150"/>
    <cellStyle name="40% - Accent2 2 4 3 3" xfId="10640"/>
    <cellStyle name="40% - Accent2 2 4 3 3 2" xfId="24271"/>
    <cellStyle name="40% - Accent2 2 4 3 4" xfId="13936"/>
    <cellStyle name="40% - Accent2 2 4 3 4 2" xfId="27564"/>
    <cellStyle name="40% - Accent2 2 4 3 5" xfId="17867"/>
    <cellStyle name="40% - Accent2 2 4 4" xfId="5908"/>
    <cellStyle name="40% - Accent2 2 4 4 2" xfId="19558"/>
    <cellStyle name="40% - Accent2 2 4 5" xfId="9194"/>
    <cellStyle name="40% - Accent2 2 4 5 2" xfId="22836"/>
    <cellStyle name="40% - Accent2 2 4 6" xfId="12508"/>
    <cellStyle name="40% - Accent2 2 4 6 2" xfId="26136"/>
    <cellStyle name="40% - Accent2 2 4 7" xfId="16353"/>
    <cellStyle name="40% - Accent2 2 5" xfId="2300"/>
    <cellStyle name="40% - Accent2 2 5 2" xfId="3406"/>
    <cellStyle name="40% - Accent2 2 5 2 2" xfId="5142"/>
    <cellStyle name="40% - Accent2 2 5 2 2 2" xfId="8406"/>
    <cellStyle name="40% - Accent2 2 5 2 2 2 2" xfId="22054"/>
    <cellStyle name="40% - Accent2 2 5 2 2 3" xfId="11473"/>
    <cellStyle name="40% - Accent2 2 5 2 2 3 2" xfId="25104"/>
    <cellStyle name="40% - Accent2 2 5 2 2 4" xfId="14769"/>
    <cellStyle name="40% - Accent2 2 5 2 2 4 2" xfId="28397"/>
    <cellStyle name="40% - Accent2 2 5 2 2 5" xfId="18800"/>
    <cellStyle name="40% - Accent2 2 5 2 3" xfId="6840"/>
    <cellStyle name="40% - Accent2 2 5 2 3 2" xfId="20490"/>
    <cellStyle name="40% - Accent2 2 5 2 4" xfId="10050"/>
    <cellStyle name="40% - Accent2 2 5 2 4 2" xfId="23681"/>
    <cellStyle name="40% - Accent2 2 5 2 5" xfId="13345"/>
    <cellStyle name="40% - Accent2 2 5 2 5 2" xfId="26973"/>
    <cellStyle name="40% - Accent2 2 5 2 6" xfId="17275"/>
    <cellStyle name="40% - Accent2 2 5 3" xfId="4196"/>
    <cellStyle name="40% - Accent2 2 5 3 2" xfId="7626"/>
    <cellStyle name="40% - Accent2 2 5 3 2 2" xfId="21274"/>
    <cellStyle name="40% - Accent2 2 5 3 3" xfId="10764"/>
    <cellStyle name="40% - Accent2 2 5 3 3 2" xfId="24395"/>
    <cellStyle name="40% - Accent2 2 5 3 4" xfId="14060"/>
    <cellStyle name="40% - Accent2 2 5 3 4 2" xfId="27688"/>
    <cellStyle name="40% - Accent2 2 5 3 5" xfId="17991"/>
    <cellStyle name="40% - Accent2 2 5 4" xfId="6032"/>
    <cellStyle name="40% - Accent2 2 5 4 2" xfId="19682"/>
    <cellStyle name="40% - Accent2 2 5 5" xfId="9318"/>
    <cellStyle name="40% - Accent2 2 5 5 2" xfId="22960"/>
    <cellStyle name="40% - Accent2 2 5 6" xfId="12632"/>
    <cellStyle name="40% - Accent2 2 5 6 2" xfId="26260"/>
    <cellStyle name="40% - Accent2 2 5 7" xfId="16478"/>
    <cellStyle name="40% - Accent2 2 6" xfId="2680"/>
    <cellStyle name="40% - Accent2 2 6 2" xfId="3634"/>
    <cellStyle name="40% - Accent2 2 6 2 2" xfId="5301"/>
    <cellStyle name="40% - Accent2 2 6 2 2 2" xfId="8564"/>
    <cellStyle name="40% - Accent2 2 6 2 2 2 2" xfId="22212"/>
    <cellStyle name="40% - Accent2 2 6 2 2 3" xfId="11631"/>
    <cellStyle name="40% - Accent2 2 6 2 2 3 2" xfId="25262"/>
    <cellStyle name="40% - Accent2 2 6 2 2 4" xfId="14927"/>
    <cellStyle name="40% - Accent2 2 6 2 2 4 2" xfId="28555"/>
    <cellStyle name="40% - Accent2 2 6 2 2 5" xfId="18959"/>
    <cellStyle name="40% - Accent2 2 6 2 3" xfId="7068"/>
    <cellStyle name="40% - Accent2 2 6 2 3 2" xfId="20718"/>
    <cellStyle name="40% - Accent2 2 6 2 4" xfId="10209"/>
    <cellStyle name="40% - Accent2 2 6 2 4 2" xfId="23840"/>
    <cellStyle name="40% - Accent2 2 6 2 5" xfId="13504"/>
    <cellStyle name="40% - Accent2 2 6 2 5 2" xfId="27132"/>
    <cellStyle name="40% - Accent2 2 6 2 6" xfId="17435"/>
    <cellStyle name="40% - Accent2 2 6 3" xfId="4423"/>
    <cellStyle name="40% - Accent2 2 6 3 2" xfId="7853"/>
    <cellStyle name="40% - Accent2 2 6 3 2 2" xfId="21501"/>
    <cellStyle name="40% - Accent2 2 6 3 3" xfId="10922"/>
    <cellStyle name="40% - Accent2 2 6 3 3 2" xfId="24553"/>
    <cellStyle name="40% - Accent2 2 6 3 4" xfId="14218"/>
    <cellStyle name="40% - Accent2 2 6 3 4 2" xfId="27846"/>
    <cellStyle name="40% - Accent2 2 6 3 5" xfId="18218"/>
    <cellStyle name="40% - Accent2 2 6 4" xfId="6274"/>
    <cellStyle name="40% - Accent2 2 6 4 2" xfId="19924"/>
    <cellStyle name="40% - Accent2 2 6 5" xfId="9476"/>
    <cellStyle name="40% - Accent2 2 6 5 2" xfId="23118"/>
    <cellStyle name="40% - Accent2 2 6 6" xfId="12790"/>
    <cellStyle name="40% - Accent2 2 6 6 2" xfId="26418"/>
    <cellStyle name="40% - Accent2 2 6 7" xfId="16707"/>
    <cellStyle name="40% - Accent2 2 7" xfId="2833"/>
    <cellStyle name="40% - Accent2 2 7 2" xfId="4737"/>
    <cellStyle name="40% - Accent2 2 7 2 2" xfId="8005"/>
    <cellStyle name="40% - Accent2 2 7 2 2 2" xfId="21653"/>
    <cellStyle name="40% - Accent2 2 7 2 3" xfId="11074"/>
    <cellStyle name="40% - Accent2 2 7 2 3 2" xfId="24705"/>
    <cellStyle name="40% - Accent2 2 7 2 4" xfId="14370"/>
    <cellStyle name="40% - Accent2 2 7 2 4 2" xfId="27998"/>
    <cellStyle name="40% - Accent2 2 7 2 5" xfId="18396"/>
    <cellStyle name="40% - Accent2 2 7 3" xfId="6427"/>
    <cellStyle name="40% - Accent2 2 7 3 2" xfId="20077"/>
    <cellStyle name="40% - Accent2 2 7 4" xfId="9648"/>
    <cellStyle name="40% - Accent2 2 7 4 2" xfId="23279"/>
    <cellStyle name="40% - Accent2 2 7 5" xfId="12943"/>
    <cellStyle name="40% - Accent2 2 7 5 2" xfId="26571"/>
    <cellStyle name="40% - Accent2 2 7 6" xfId="16859"/>
    <cellStyle name="40% - Accent2 2 8" xfId="5463"/>
    <cellStyle name="40% - Accent2 2 8 2" xfId="8724"/>
    <cellStyle name="40% - Accent2 2 8 2 2" xfId="22367"/>
    <cellStyle name="40% - Accent2 2 8 3" xfId="11784"/>
    <cellStyle name="40% - Accent2 2 8 3 2" xfId="25415"/>
    <cellStyle name="40% - Accent2 2 8 4" xfId="15080"/>
    <cellStyle name="40% - Accent2 2 8 4 2" xfId="28708"/>
    <cellStyle name="40% - Accent2 2 8 5" xfId="19113"/>
    <cellStyle name="40% - Accent2 2 9" xfId="8914"/>
    <cellStyle name="40% - Accent2 2 9 2" xfId="22557"/>
    <cellStyle name="40% - Accent2 3" xfId="3777"/>
    <cellStyle name="40% - Accent2 3 2" xfId="7213"/>
    <cellStyle name="40% - Accent2 3 2 2" xfId="20861"/>
    <cellStyle name="40% - Accent2 3 3" xfId="10352"/>
    <cellStyle name="40% - Accent2 3 3 2" xfId="23983"/>
    <cellStyle name="40% - Accent2 3 4" xfId="13647"/>
    <cellStyle name="40% - Accent2 3 4 2" xfId="27275"/>
    <cellStyle name="40% - Accent2 3 5" xfId="17578"/>
    <cellStyle name="40% - Accent2 4" xfId="5621"/>
    <cellStyle name="40% - Accent2 4 2" xfId="19271"/>
    <cellStyle name="40% - Accent2 5" xfId="12211"/>
    <cellStyle name="40% - Accent2 5 2" xfId="25839"/>
    <cellStyle name="40% - Accent2 6" xfId="12224"/>
    <cellStyle name="40% - Accent2 6 2" xfId="25852"/>
    <cellStyle name="40% - Accent2 7" xfId="15255"/>
    <cellStyle name="40% - Accent2 7 2" xfId="28883"/>
    <cellStyle name="40% - Accent2 8" xfId="15434"/>
    <cellStyle name="40% - Accent2 8 2" xfId="28964"/>
    <cellStyle name="40% - Accent2 9" xfId="15671"/>
    <cellStyle name="40% - Accent2 9 2" xfId="29092"/>
    <cellStyle name="40% - Accent3" xfId="447" builtinId="39" customBuiltin="1"/>
    <cellStyle name="40% - Accent3 10" xfId="15696"/>
    <cellStyle name="40% - Accent3 10 2" xfId="29117"/>
    <cellStyle name="40% - Accent3 11" xfId="15712"/>
    <cellStyle name="40% - Accent3 12" xfId="15815"/>
    <cellStyle name="40% - Accent3 13" xfId="15950"/>
    <cellStyle name="40% - Accent3 2" xfId="366"/>
    <cellStyle name="40% - Accent3 2 10" xfId="11971"/>
    <cellStyle name="40% - Accent3 2 10 2" xfId="25602"/>
    <cellStyle name="40% - Accent3 2 11" xfId="12074"/>
    <cellStyle name="40% - Accent3 2 11 2" xfId="25702"/>
    <cellStyle name="40% - Accent3 2 12" xfId="15259"/>
    <cellStyle name="40% - Accent3 2 12 2" xfId="28887"/>
    <cellStyle name="40% - Accent3 2 13" xfId="15460"/>
    <cellStyle name="40% - Accent3 2 13 2" xfId="28989"/>
    <cellStyle name="40% - Accent3 2 14" xfId="15777"/>
    <cellStyle name="40% - Accent3 2 15" xfId="29623"/>
    <cellStyle name="40% - Accent3 2 2" xfId="750"/>
    <cellStyle name="40% - Accent3 2 2 10" xfId="11972"/>
    <cellStyle name="40% - Accent3 2 2 10 2" xfId="25603"/>
    <cellStyle name="40% - Accent3 2 2 11" xfId="12075"/>
    <cellStyle name="40% - Accent3 2 2 11 2" xfId="25703"/>
    <cellStyle name="40% - Accent3 2 2 12" xfId="12348"/>
    <cellStyle name="40% - Accent3 2 2 12 2" xfId="25976"/>
    <cellStyle name="40% - Accent3 2 2 13" xfId="15260"/>
    <cellStyle name="40% - Accent3 2 2 13 2" xfId="28888"/>
    <cellStyle name="40% - Accent3 2 2 14" xfId="15461"/>
    <cellStyle name="40% - Accent3 2 2 14 2" xfId="28990"/>
    <cellStyle name="40% - Accent3 2 2 15" xfId="16075"/>
    <cellStyle name="40% - Accent3 2 2 16" xfId="29624"/>
    <cellStyle name="40% - Accent3 2 2 2" xfId="2162"/>
    <cellStyle name="40% - Accent3 2 2 2 2" xfId="3275"/>
    <cellStyle name="40% - Accent3 2 2 2 2 2" xfId="5021"/>
    <cellStyle name="40% - Accent3 2 2 2 2 2 2" xfId="8285"/>
    <cellStyle name="40% - Accent3 2 2 2 2 2 2 2" xfId="21933"/>
    <cellStyle name="40% - Accent3 2 2 2 2 2 3" xfId="11352"/>
    <cellStyle name="40% - Accent3 2 2 2 2 2 3 2" xfId="24983"/>
    <cellStyle name="40% - Accent3 2 2 2 2 2 4" xfId="14648"/>
    <cellStyle name="40% - Accent3 2 2 2 2 2 4 2" xfId="28276"/>
    <cellStyle name="40% - Accent3 2 2 2 2 2 5" xfId="18679"/>
    <cellStyle name="40% - Accent3 2 2 2 2 3" xfId="6709"/>
    <cellStyle name="40% - Accent3 2 2 2 2 3 2" xfId="20359"/>
    <cellStyle name="40% - Accent3 2 2 2 2 4" xfId="9929"/>
    <cellStyle name="40% - Accent3 2 2 2 2 4 2" xfId="23560"/>
    <cellStyle name="40% - Accent3 2 2 2 2 5" xfId="13224"/>
    <cellStyle name="40% - Accent3 2 2 2 2 5 2" xfId="26852"/>
    <cellStyle name="40% - Accent3 2 2 2 2 6" xfId="17154"/>
    <cellStyle name="40% - Accent3 2 2 2 3" xfId="4075"/>
    <cellStyle name="40% - Accent3 2 2 2 3 2" xfId="7505"/>
    <cellStyle name="40% - Accent3 2 2 2 3 2 2" xfId="21153"/>
    <cellStyle name="40% - Accent3 2 2 2 3 3" xfId="10643"/>
    <cellStyle name="40% - Accent3 2 2 2 3 3 2" xfId="24274"/>
    <cellStyle name="40% - Accent3 2 2 2 3 4" xfId="13939"/>
    <cellStyle name="40% - Accent3 2 2 2 3 4 2" xfId="27567"/>
    <cellStyle name="40% - Accent3 2 2 2 3 5" xfId="17870"/>
    <cellStyle name="40% - Accent3 2 2 2 4" xfId="5911"/>
    <cellStyle name="40% - Accent3 2 2 2 4 2" xfId="19561"/>
    <cellStyle name="40% - Accent3 2 2 2 5" xfId="9197"/>
    <cellStyle name="40% - Accent3 2 2 2 5 2" xfId="22839"/>
    <cellStyle name="40% - Accent3 2 2 2 6" xfId="12511"/>
    <cellStyle name="40% - Accent3 2 2 2 6 2" xfId="26139"/>
    <cellStyle name="40% - Accent3 2 2 2 7" xfId="16356"/>
    <cellStyle name="40% - Accent3 2 2 3" xfId="2303"/>
    <cellStyle name="40% - Accent3 2 2 3 2" xfId="3409"/>
    <cellStyle name="40% - Accent3 2 2 3 2 2" xfId="5145"/>
    <cellStyle name="40% - Accent3 2 2 3 2 2 2" xfId="8409"/>
    <cellStyle name="40% - Accent3 2 2 3 2 2 2 2" xfId="22057"/>
    <cellStyle name="40% - Accent3 2 2 3 2 2 3" xfId="11476"/>
    <cellStyle name="40% - Accent3 2 2 3 2 2 3 2" xfId="25107"/>
    <cellStyle name="40% - Accent3 2 2 3 2 2 4" xfId="14772"/>
    <cellStyle name="40% - Accent3 2 2 3 2 2 4 2" xfId="28400"/>
    <cellStyle name="40% - Accent3 2 2 3 2 2 5" xfId="18803"/>
    <cellStyle name="40% - Accent3 2 2 3 2 3" xfId="6843"/>
    <cellStyle name="40% - Accent3 2 2 3 2 3 2" xfId="20493"/>
    <cellStyle name="40% - Accent3 2 2 3 2 4" xfId="10053"/>
    <cellStyle name="40% - Accent3 2 2 3 2 4 2" xfId="23684"/>
    <cellStyle name="40% - Accent3 2 2 3 2 5" xfId="13348"/>
    <cellStyle name="40% - Accent3 2 2 3 2 5 2" xfId="26976"/>
    <cellStyle name="40% - Accent3 2 2 3 2 6" xfId="17278"/>
    <cellStyle name="40% - Accent3 2 2 3 3" xfId="4199"/>
    <cellStyle name="40% - Accent3 2 2 3 3 2" xfId="7629"/>
    <cellStyle name="40% - Accent3 2 2 3 3 2 2" xfId="21277"/>
    <cellStyle name="40% - Accent3 2 2 3 3 3" xfId="10767"/>
    <cellStyle name="40% - Accent3 2 2 3 3 3 2" xfId="24398"/>
    <cellStyle name="40% - Accent3 2 2 3 3 4" xfId="14063"/>
    <cellStyle name="40% - Accent3 2 2 3 3 4 2" xfId="27691"/>
    <cellStyle name="40% - Accent3 2 2 3 3 5" xfId="17994"/>
    <cellStyle name="40% - Accent3 2 2 3 4" xfId="6035"/>
    <cellStyle name="40% - Accent3 2 2 3 4 2" xfId="19685"/>
    <cellStyle name="40% - Accent3 2 2 3 5" xfId="9321"/>
    <cellStyle name="40% - Accent3 2 2 3 5 2" xfId="22963"/>
    <cellStyle name="40% - Accent3 2 2 3 6" xfId="12635"/>
    <cellStyle name="40% - Accent3 2 2 3 6 2" xfId="26263"/>
    <cellStyle name="40% - Accent3 2 2 3 7" xfId="16481"/>
    <cellStyle name="40% - Accent3 2 2 4" xfId="2683"/>
    <cellStyle name="40% - Accent3 2 2 4 2" xfId="3637"/>
    <cellStyle name="40% - Accent3 2 2 4 2 2" xfId="5304"/>
    <cellStyle name="40% - Accent3 2 2 4 2 2 2" xfId="8567"/>
    <cellStyle name="40% - Accent3 2 2 4 2 2 2 2" xfId="22215"/>
    <cellStyle name="40% - Accent3 2 2 4 2 2 3" xfId="11634"/>
    <cellStyle name="40% - Accent3 2 2 4 2 2 3 2" xfId="25265"/>
    <cellStyle name="40% - Accent3 2 2 4 2 2 4" xfId="14930"/>
    <cellStyle name="40% - Accent3 2 2 4 2 2 4 2" xfId="28558"/>
    <cellStyle name="40% - Accent3 2 2 4 2 2 5" xfId="18962"/>
    <cellStyle name="40% - Accent3 2 2 4 2 3" xfId="7071"/>
    <cellStyle name="40% - Accent3 2 2 4 2 3 2" xfId="20721"/>
    <cellStyle name="40% - Accent3 2 2 4 2 4" xfId="10212"/>
    <cellStyle name="40% - Accent3 2 2 4 2 4 2" xfId="23843"/>
    <cellStyle name="40% - Accent3 2 2 4 2 5" xfId="13507"/>
    <cellStyle name="40% - Accent3 2 2 4 2 5 2" xfId="27135"/>
    <cellStyle name="40% - Accent3 2 2 4 2 6" xfId="17438"/>
    <cellStyle name="40% - Accent3 2 2 4 3" xfId="4426"/>
    <cellStyle name="40% - Accent3 2 2 4 3 2" xfId="7856"/>
    <cellStyle name="40% - Accent3 2 2 4 3 2 2" xfId="21504"/>
    <cellStyle name="40% - Accent3 2 2 4 3 3" xfId="10925"/>
    <cellStyle name="40% - Accent3 2 2 4 3 3 2" xfId="24556"/>
    <cellStyle name="40% - Accent3 2 2 4 3 4" xfId="14221"/>
    <cellStyle name="40% - Accent3 2 2 4 3 4 2" xfId="27849"/>
    <cellStyle name="40% - Accent3 2 2 4 3 5" xfId="18221"/>
    <cellStyle name="40% - Accent3 2 2 4 4" xfId="6277"/>
    <cellStyle name="40% - Accent3 2 2 4 4 2" xfId="19927"/>
    <cellStyle name="40% - Accent3 2 2 4 5" xfId="9479"/>
    <cellStyle name="40% - Accent3 2 2 4 5 2" xfId="23121"/>
    <cellStyle name="40% - Accent3 2 2 4 6" xfId="12793"/>
    <cellStyle name="40% - Accent3 2 2 4 6 2" xfId="26421"/>
    <cellStyle name="40% - Accent3 2 2 4 7" xfId="16710"/>
    <cellStyle name="40% - Accent3 2 2 5" xfId="2836"/>
    <cellStyle name="40% - Accent3 2 2 5 2" xfId="4740"/>
    <cellStyle name="40% - Accent3 2 2 5 2 2" xfId="8008"/>
    <cellStyle name="40% - Accent3 2 2 5 2 2 2" xfId="21656"/>
    <cellStyle name="40% - Accent3 2 2 5 2 3" xfId="11077"/>
    <cellStyle name="40% - Accent3 2 2 5 2 3 2" xfId="24708"/>
    <cellStyle name="40% - Accent3 2 2 5 2 4" xfId="14373"/>
    <cellStyle name="40% - Accent3 2 2 5 2 4 2" xfId="28001"/>
    <cellStyle name="40% - Accent3 2 2 5 2 5" xfId="18399"/>
    <cellStyle name="40% - Accent3 2 2 5 3" xfId="6430"/>
    <cellStyle name="40% - Accent3 2 2 5 3 2" xfId="20080"/>
    <cellStyle name="40% - Accent3 2 2 5 4" xfId="9651"/>
    <cellStyle name="40% - Accent3 2 2 5 4 2" xfId="23282"/>
    <cellStyle name="40% - Accent3 2 2 5 5" xfId="12946"/>
    <cellStyle name="40% - Accent3 2 2 5 5 2" xfId="26574"/>
    <cellStyle name="40% - Accent3 2 2 5 6" xfId="16862"/>
    <cellStyle name="40% - Accent3 2 2 6" xfId="3908"/>
    <cellStyle name="40% - Accent3 2 2 6 2" xfId="7338"/>
    <cellStyle name="40% - Accent3 2 2 6 2 2" xfId="20986"/>
    <cellStyle name="40% - Accent3 2 2 6 3" xfId="10476"/>
    <cellStyle name="40% - Accent3 2 2 6 3 2" xfId="24107"/>
    <cellStyle name="40% - Accent3 2 2 6 4" xfId="13772"/>
    <cellStyle name="40% - Accent3 2 2 6 4 2" xfId="27400"/>
    <cellStyle name="40% - Accent3 2 2 6 5" xfId="17703"/>
    <cellStyle name="40% - Accent3 2 2 7" xfId="5466"/>
    <cellStyle name="40% - Accent3 2 2 7 2" xfId="8727"/>
    <cellStyle name="40% - Accent3 2 2 7 2 2" xfId="22370"/>
    <cellStyle name="40% - Accent3 2 2 7 3" xfId="11787"/>
    <cellStyle name="40% - Accent3 2 2 7 3 2" xfId="25418"/>
    <cellStyle name="40% - Accent3 2 2 7 4" xfId="15083"/>
    <cellStyle name="40% - Accent3 2 2 7 4 2" xfId="28711"/>
    <cellStyle name="40% - Accent3 2 2 7 5" xfId="19116"/>
    <cellStyle name="40% - Accent3 2 2 8" xfId="5748"/>
    <cellStyle name="40% - Accent3 2 2 8 2" xfId="19398"/>
    <cellStyle name="40% - Accent3 2 2 9" xfId="8917"/>
    <cellStyle name="40% - Accent3 2 2 9 2" xfId="22560"/>
    <cellStyle name="40% - Accent3 2 3" xfId="749"/>
    <cellStyle name="40% - Accent3 2 3 2" xfId="2945"/>
    <cellStyle name="40% - Accent3 2 3 2 2" xfId="4790"/>
    <cellStyle name="40% - Accent3 2 3 2 2 2" xfId="8058"/>
    <cellStyle name="40% - Accent3 2 3 2 2 2 2" xfId="21706"/>
    <cellStyle name="40% - Accent3 2 3 2 2 3" xfId="11127"/>
    <cellStyle name="40% - Accent3 2 3 2 2 3 2" xfId="24758"/>
    <cellStyle name="40% - Accent3 2 3 2 2 4" xfId="14423"/>
    <cellStyle name="40% - Accent3 2 3 2 2 4 2" xfId="28051"/>
    <cellStyle name="40% - Accent3 2 3 2 2 5" xfId="18449"/>
    <cellStyle name="40% - Accent3 2 3 2 3" xfId="6480"/>
    <cellStyle name="40% - Accent3 2 3 2 3 2" xfId="20130"/>
    <cellStyle name="40% - Accent3 2 3 2 4" xfId="9701"/>
    <cellStyle name="40% - Accent3 2 3 2 4 2" xfId="23332"/>
    <cellStyle name="40% - Accent3 2 3 2 5" xfId="12996"/>
    <cellStyle name="40% - Accent3 2 3 2 5 2" xfId="26624"/>
    <cellStyle name="40% - Accent3 2 3 2 6" xfId="16914"/>
    <cellStyle name="40% - Accent3 2 3 3" xfId="3907"/>
    <cellStyle name="40% - Accent3 2 3 3 2" xfId="7337"/>
    <cellStyle name="40% - Accent3 2 3 3 2 2" xfId="20985"/>
    <cellStyle name="40% - Accent3 2 3 3 3" xfId="10475"/>
    <cellStyle name="40% - Accent3 2 3 3 3 2" xfId="24106"/>
    <cellStyle name="40% - Accent3 2 3 3 4" xfId="13771"/>
    <cellStyle name="40% - Accent3 2 3 3 4 2" xfId="27399"/>
    <cellStyle name="40% - Accent3 2 3 3 5" xfId="17702"/>
    <cellStyle name="40% - Accent3 2 3 4" xfId="5747"/>
    <cellStyle name="40% - Accent3 2 3 4 2" xfId="19397"/>
    <cellStyle name="40% - Accent3 2 3 5" xfId="9003"/>
    <cellStyle name="40% - Accent3 2 3 5 2" xfId="22646"/>
    <cellStyle name="40% - Accent3 2 3 6" xfId="12347"/>
    <cellStyle name="40% - Accent3 2 3 6 2" xfId="25975"/>
    <cellStyle name="40% - Accent3 2 3 7" xfId="16074"/>
    <cellStyle name="40% - Accent3 2 4" xfId="2161"/>
    <cellStyle name="40% - Accent3 2 4 2" xfId="3274"/>
    <cellStyle name="40% - Accent3 2 4 2 2" xfId="5020"/>
    <cellStyle name="40% - Accent3 2 4 2 2 2" xfId="8284"/>
    <cellStyle name="40% - Accent3 2 4 2 2 2 2" xfId="21932"/>
    <cellStyle name="40% - Accent3 2 4 2 2 3" xfId="11351"/>
    <cellStyle name="40% - Accent3 2 4 2 2 3 2" xfId="24982"/>
    <cellStyle name="40% - Accent3 2 4 2 2 4" xfId="14647"/>
    <cellStyle name="40% - Accent3 2 4 2 2 4 2" xfId="28275"/>
    <cellStyle name="40% - Accent3 2 4 2 2 5" xfId="18678"/>
    <cellStyle name="40% - Accent3 2 4 2 3" xfId="6708"/>
    <cellStyle name="40% - Accent3 2 4 2 3 2" xfId="20358"/>
    <cellStyle name="40% - Accent3 2 4 2 4" xfId="9928"/>
    <cellStyle name="40% - Accent3 2 4 2 4 2" xfId="23559"/>
    <cellStyle name="40% - Accent3 2 4 2 5" xfId="13223"/>
    <cellStyle name="40% - Accent3 2 4 2 5 2" xfId="26851"/>
    <cellStyle name="40% - Accent3 2 4 2 6" xfId="17153"/>
    <cellStyle name="40% - Accent3 2 4 3" xfId="4074"/>
    <cellStyle name="40% - Accent3 2 4 3 2" xfId="7504"/>
    <cellStyle name="40% - Accent3 2 4 3 2 2" xfId="21152"/>
    <cellStyle name="40% - Accent3 2 4 3 3" xfId="10642"/>
    <cellStyle name="40% - Accent3 2 4 3 3 2" xfId="24273"/>
    <cellStyle name="40% - Accent3 2 4 3 4" xfId="13938"/>
    <cellStyle name="40% - Accent3 2 4 3 4 2" xfId="27566"/>
    <cellStyle name="40% - Accent3 2 4 3 5" xfId="17869"/>
    <cellStyle name="40% - Accent3 2 4 4" xfId="5910"/>
    <cellStyle name="40% - Accent3 2 4 4 2" xfId="19560"/>
    <cellStyle name="40% - Accent3 2 4 5" xfId="9196"/>
    <cellStyle name="40% - Accent3 2 4 5 2" xfId="22838"/>
    <cellStyle name="40% - Accent3 2 4 6" xfId="12510"/>
    <cellStyle name="40% - Accent3 2 4 6 2" xfId="26138"/>
    <cellStyle name="40% - Accent3 2 4 7" xfId="16355"/>
    <cellStyle name="40% - Accent3 2 5" xfId="2302"/>
    <cellStyle name="40% - Accent3 2 5 2" xfId="3408"/>
    <cellStyle name="40% - Accent3 2 5 2 2" xfId="5144"/>
    <cellStyle name="40% - Accent3 2 5 2 2 2" xfId="8408"/>
    <cellStyle name="40% - Accent3 2 5 2 2 2 2" xfId="22056"/>
    <cellStyle name="40% - Accent3 2 5 2 2 3" xfId="11475"/>
    <cellStyle name="40% - Accent3 2 5 2 2 3 2" xfId="25106"/>
    <cellStyle name="40% - Accent3 2 5 2 2 4" xfId="14771"/>
    <cellStyle name="40% - Accent3 2 5 2 2 4 2" xfId="28399"/>
    <cellStyle name="40% - Accent3 2 5 2 2 5" xfId="18802"/>
    <cellStyle name="40% - Accent3 2 5 2 3" xfId="6842"/>
    <cellStyle name="40% - Accent3 2 5 2 3 2" xfId="20492"/>
    <cellStyle name="40% - Accent3 2 5 2 4" xfId="10052"/>
    <cellStyle name="40% - Accent3 2 5 2 4 2" xfId="23683"/>
    <cellStyle name="40% - Accent3 2 5 2 5" xfId="13347"/>
    <cellStyle name="40% - Accent3 2 5 2 5 2" xfId="26975"/>
    <cellStyle name="40% - Accent3 2 5 2 6" xfId="17277"/>
    <cellStyle name="40% - Accent3 2 5 3" xfId="4198"/>
    <cellStyle name="40% - Accent3 2 5 3 2" xfId="7628"/>
    <cellStyle name="40% - Accent3 2 5 3 2 2" xfId="21276"/>
    <cellStyle name="40% - Accent3 2 5 3 3" xfId="10766"/>
    <cellStyle name="40% - Accent3 2 5 3 3 2" xfId="24397"/>
    <cellStyle name="40% - Accent3 2 5 3 4" xfId="14062"/>
    <cellStyle name="40% - Accent3 2 5 3 4 2" xfId="27690"/>
    <cellStyle name="40% - Accent3 2 5 3 5" xfId="17993"/>
    <cellStyle name="40% - Accent3 2 5 4" xfId="6034"/>
    <cellStyle name="40% - Accent3 2 5 4 2" xfId="19684"/>
    <cellStyle name="40% - Accent3 2 5 5" xfId="9320"/>
    <cellStyle name="40% - Accent3 2 5 5 2" xfId="22962"/>
    <cellStyle name="40% - Accent3 2 5 6" xfId="12634"/>
    <cellStyle name="40% - Accent3 2 5 6 2" xfId="26262"/>
    <cellStyle name="40% - Accent3 2 5 7" xfId="16480"/>
    <cellStyle name="40% - Accent3 2 6" xfId="2682"/>
    <cellStyle name="40% - Accent3 2 6 2" xfId="3636"/>
    <cellStyle name="40% - Accent3 2 6 2 2" xfId="5303"/>
    <cellStyle name="40% - Accent3 2 6 2 2 2" xfId="8566"/>
    <cellStyle name="40% - Accent3 2 6 2 2 2 2" xfId="22214"/>
    <cellStyle name="40% - Accent3 2 6 2 2 3" xfId="11633"/>
    <cellStyle name="40% - Accent3 2 6 2 2 3 2" xfId="25264"/>
    <cellStyle name="40% - Accent3 2 6 2 2 4" xfId="14929"/>
    <cellStyle name="40% - Accent3 2 6 2 2 4 2" xfId="28557"/>
    <cellStyle name="40% - Accent3 2 6 2 2 5" xfId="18961"/>
    <cellStyle name="40% - Accent3 2 6 2 3" xfId="7070"/>
    <cellStyle name="40% - Accent3 2 6 2 3 2" xfId="20720"/>
    <cellStyle name="40% - Accent3 2 6 2 4" xfId="10211"/>
    <cellStyle name="40% - Accent3 2 6 2 4 2" xfId="23842"/>
    <cellStyle name="40% - Accent3 2 6 2 5" xfId="13506"/>
    <cellStyle name="40% - Accent3 2 6 2 5 2" xfId="27134"/>
    <cellStyle name="40% - Accent3 2 6 2 6" xfId="17437"/>
    <cellStyle name="40% - Accent3 2 6 3" xfId="4425"/>
    <cellStyle name="40% - Accent3 2 6 3 2" xfId="7855"/>
    <cellStyle name="40% - Accent3 2 6 3 2 2" xfId="21503"/>
    <cellStyle name="40% - Accent3 2 6 3 3" xfId="10924"/>
    <cellStyle name="40% - Accent3 2 6 3 3 2" xfId="24555"/>
    <cellStyle name="40% - Accent3 2 6 3 4" xfId="14220"/>
    <cellStyle name="40% - Accent3 2 6 3 4 2" xfId="27848"/>
    <cellStyle name="40% - Accent3 2 6 3 5" xfId="18220"/>
    <cellStyle name="40% - Accent3 2 6 4" xfId="6276"/>
    <cellStyle name="40% - Accent3 2 6 4 2" xfId="19926"/>
    <cellStyle name="40% - Accent3 2 6 5" xfId="9478"/>
    <cellStyle name="40% - Accent3 2 6 5 2" xfId="23120"/>
    <cellStyle name="40% - Accent3 2 6 6" xfId="12792"/>
    <cellStyle name="40% - Accent3 2 6 6 2" xfId="26420"/>
    <cellStyle name="40% - Accent3 2 6 7" xfId="16709"/>
    <cellStyle name="40% - Accent3 2 7" xfId="2835"/>
    <cellStyle name="40% - Accent3 2 7 2" xfId="4739"/>
    <cellStyle name="40% - Accent3 2 7 2 2" xfId="8007"/>
    <cellStyle name="40% - Accent3 2 7 2 2 2" xfId="21655"/>
    <cellStyle name="40% - Accent3 2 7 2 3" xfId="11076"/>
    <cellStyle name="40% - Accent3 2 7 2 3 2" xfId="24707"/>
    <cellStyle name="40% - Accent3 2 7 2 4" xfId="14372"/>
    <cellStyle name="40% - Accent3 2 7 2 4 2" xfId="28000"/>
    <cellStyle name="40% - Accent3 2 7 2 5" xfId="18398"/>
    <cellStyle name="40% - Accent3 2 7 3" xfId="6429"/>
    <cellStyle name="40% - Accent3 2 7 3 2" xfId="20079"/>
    <cellStyle name="40% - Accent3 2 7 4" xfId="9650"/>
    <cellStyle name="40% - Accent3 2 7 4 2" xfId="23281"/>
    <cellStyle name="40% - Accent3 2 7 5" xfId="12945"/>
    <cellStyle name="40% - Accent3 2 7 5 2" xfId="26573"/>
    <cellStyle name="40% - Accent3 2 7 6" xfId="16861"/>
    <cellStyle name="40% - Accent3 2 8" xfId="5465"/>
    <cellStyle name="40% - Accent3 2 8 2" xfId="8726"/>
    <cellStyle name="40% - Accent3 2 8 2 2" xfId="22369"/>
    <cellStyle name="40% - Accent3 2 8 3" xfId="11786"/>
    <cellStyle name="40% - Accent3 2 8 3 2" xfId="25417"/>
    <cellStyle name="40% - Accent3 2 8 4" xfId="15082"/>
    <cellStyle name="40% - Accent3 2 8 4 2" xfId="28710"/>
    <cellStyle name="40% - Accent3 2 8 5" xfId="19115"/>
    <cellStyle name="40% - Accent3 2 9" xfId="8916"/>
    <cellStyle name="40% - Accent3 2 9 2" xfId="22559"/>
    <cellStyle name="40% - Accent3 3" xfId="3779"/>
    <cellStyle name="40% - Accent3 3 2" xfId="7215"/>
    <cellStyle name="40% - Accent3 3 2 2" xfId="20863"/>
    <cellStyle name="40% - Accent3 3 3" xfId="10354"/>
    <cellStyle name="40% - Accent3 3 3 2" xfId="23985"/>
    <cellStyle name="40% - Accent3 3 4" xfId="13649"/>
    <cellStyle name="40% - Accent3 3 4 2" xfId="27277"/>
    <cellStyle name="40% - Accent3 3 5" xfId="17580"/>
    <cellStyle name="40% - Accent3 4" xfId="5623"/>
    <cellStyle name="40% - Accent3 4 2" xfId="19273"/>
    <cellStyle name="40% - Accent3 5" xfId="12212"/>
    <cellStyle name="40% - Accent3 5 2" xfId="25840"/>
    <cellStyle name="40% - Accent3 6" xfId="12226"/>
    <cellStyle name="40% - Accent3 6 2" xfId="25854"/>
    <cellStyle name="40% - Accent3 7" xfId="15258"/>
    <cellStyle name="40% - Accent3 7 2" xfId="28886"/>
    <cellStyle name="40% - Accent3 8" xfId="15436"/>
    <cellStyle name="40% - Accent3 8 2" xfId="28966"/>
    <cellStyle name="40% - Accent3 9" xfId="15675"/>
    <cellStyle name="40% - Accent3 9 2" xfId="29096"/>
    <cellStyle name="40% - Accent4" xfId="451" builtinId="43" customBuiltin="1"/>
    <cellStyle name="40% - Accent4 10" xfId="15697"/>
    <cellStyle name="40% - Accent4 10 2" xfId="29118"/>
    <cellStyle name="40% - Accent4 11" xfId="15713"/>
    <cellStyle name="40% - Accent4 12" xfId="15814"/>
    <cellStyle name="40% - Accent4 13" xfId="15954"/>
    <cellStyle name="40% - Accent4 2" xfId="367"/>
    <cellStyle name="40% - Accent4 2 10" xfId="11973"/>
    <cellStyle name="40% - Accent4 2 10 2" xfId="25604"/>
    <cellStyle name="40% - Accent4 2 11" xfId="12076"/>
    <cellStyle name="40% - Accent4 2 11 2" xfId="25704"/>
    <cellStyle name="40% - Accent4 2 12" xfId="15262"/>
    <cellStyle name="40% - Accent4 2 12 2" xfId="28890"/>
    <cellStyle name="40% - Accent4 2 13" xfId="15462"/>
    <cellStyle name="40% - Accent4 2 13 2" xfId="28991"/>
    <cellStyle name="40% - Accent4 2 14" xfId="15775"/>
    <cellStyle name="40% - Accent4 2 15" xfId="29625"/>
    <cellStyle name="40% - Accent4 2 2" xfId="752"/>
    <cellStyle name="40% - Accent4 2 2 10" xfId="11974"/>
    <cellStyle name="40% - Accent4 2 2 10 2" xfId="25605"/>
    <cellStyle name="40% - Accent4 2 2 11" xfId="12077"/>
    <cellStyle name="40% - Accent4 2 2 11 2" xfId="25705"/>
    <cellStyle name="40% - Accent4 2 2 12" xfId="12350"/>
    <cellStyle name="40% - Accent4 2 2 12 2" xfId="25978"/>
    <cellStyle name="40% - Accent4 2 2 13" xfId="15263"/>
    <cellStyle name="40% - Accent4 2 2 13 2" xfId="28891"/>
    <cellStyle name="40% - Accent4 2 2 14" xfId="15463"/>
    <cellStyle name="40% - Accent4 2 2 14 2" xfId="28992"/>
    <cellStyle name="40% - Accent4 2 2 15" xfId="16077"/>
    <cellStyle name="40% - Accent4 2 2 16" xfId="29626"/>
    <cellStyle name="40% - Accent4 2 2 2" xfId="2164"/>
    <cellStyle name="40% - Accent4 2 2 2 2" xfId="3277"/>
    <cellStyle name="40% - Accent4 2 2 2 2 2" xfId="5023"/>
    <cellStyle name="40% - Accent4 2 2 2 2 2 2" xfId="8287"/>
    <cellStyle name="40% - Accent4 2 2 2 2 2 2 2" xfId="21935"/>
    <cellStyle name="40% - Accent4 2 2 2 2 2 3" xfId="11354"/>
    <cellStyle name="40% - Accent4 2 2 2 2 2 3 2" xfId="24985"/>
    <cellStyle name="40% - Accent4 2 2 2 2 2 4" xfId="14650"/>
    <cellStyle name="40% - Accent4 2 2 2 2 2 4 2" xfId="28278"/>
    <cellStyle name="40% - Accent4 2 2 2 2 2 5" xfId="18681"/>
    <cellStyle name="40% - Accent4 2 2 2 2 3" xfId="6711"/>
    <cellStyle name="40% - Accent4 2 2 2 2 3 2" xfId="20361"/>
    <cellStyle name="40% - Accent4 2 2 2 2 4" xfId="9931"/>
    <cellStyle name="40% - Accent4 2 2 2 2 4 2" xfId="23562"/>
    <cellStyle name="40% - Accent4 2 2 2 2 5" xfId="13226"/>
    <cellStyle name="40% - Accent4 2 2 2 2 5 2" xfId="26854"/>
    <cellStyle name="40% - Accent4 2 2 2 2 6" xfId="17156"/>
    <cellStyle name="40% - Accent4 2 2 2 3" xfId="4077"/>
    <cellStyle name="40% - Accent4 2 2 2 3 2" xfId="7507"/>
    <cellStyle name="40% - Accent4 2 2 2 3 2 2" xfId="21155"/>
    <cellStyle name="40% - Accent4 2 2 2 3 3" xfId="10645"/>
    <cellStyle name="40% - Accent4 2 2 2 3 3 2" xfId="24276"/>
    <cellStyle name="40% - Accent4 2 2 2 3 4" xfId="13941"/>
    <cellStyle name="40% - Accent4 2 2 2 3 4 2" xfId="27569"/>
    <cellStyle name="40% - Accent4 2 2 2 3 5" xfId="17872"/>
    <cellStyle name="40% - Accent4 2 2 2 4" xfId="5913"/>
    <cellStyle name="40% - Accent4 2 2 2 4 2" xfId="19563"/>
    <cellStyle name="40% - Accent4 2 2 2 5" xfId="9199"/>
    <cellStyle name="40% - Accent4 2 2 2 5 2" xfId="22841"/>
    <cellStyle name="40% - Accent4 2 2 2 6" xfId="12513"/>
    <cellStyle name="40% - Accent4 2 2 2 6 2" xfId="26141"/>
    <cellStyle name="40% - Accent4 2 2 2 7" xfId="16358"/>
    <cellStyle name="40% - Accent4 2 2 3" xfId="2305"/>
    <cellStyle name="40% - Accent4 2 2 3 2" xfId="3411"/>
    <cellStyle name="40% - Accent4 2 2 3 2 2" xfId="5147"/>
    <cellStyle name="40% - Accent4 2 2 3 2 2 2" xfId="8411"/>
    <cellStyle name="40% - Accent4 2 2 3 2 2 2 2" xfId="22059"/>
    <cellStyle name="40% - Accent4 2 2 3 2 2 3" xfId="11478"/>
    <cellStyle name="40% - Accent4 2 2 3 2 2 3 2" xfId="25109"/>
    <cellStyle name="40% - Accent4 2 2 3 2 2 4" xfId="14774"/>
    <cellStyle name="40% - Accent4 2 2 3 2 2 4 2" xfId="28402"/>
    <cellStyle name="40% - Accent4 2 2 3 2 2 5" xfId="18805"/>
    <cellStyle name="40% - Accent4 2 2 3 2 3" xfId="6845"/>
    <cellStyle name="40% - Accent4 2 2 3 2 3 2" xfId="20495"/>
    <cellStyle name="40% - Accent4 2 2 3 2 4" xfId="10055"/>
    <cellStyle name="40% - Accent4 2 2 3 2 4 2" xfId="23686"/>
    <cellStyle name="40% - Accent4 2 2 3 2 5" xfId="13350"/>
    <cellStyle name="40% - Accent4 2 2 3 2 5 2" xfId="26978"/>
    <cellStyle name="40% - Accent4 2 2 3 2 6" xfId="17280"/>
    <cellStyle name="40% - Accent4 2 2 3 3" xfId="4201"/>
    <cellStyle name="40% - Accent4 2 2 3 3 2" xfId="7631"/>
    <cellStyle name="40% - Accent4 2 2 3 3 2 2" xfId="21279"/>
    <cellStyle name="40% - Accent4 2 2 3 3 3" xfId="10769"/>
    <cellStyle name="40% - Accent4 2 2 3 3 3 2" xfId="24400"/>
    <cellStyle name="40% - Accent4 2 2 3 3 4" xfId="14065"/>
    <cellStyle name="40% - Accent4 2 2 3 3 4 2" xfId="27693"/>
    <cellStyle name="40% - Accent4 2 2 3 3 5" xfId="17996"/>
    <cellStyle name="40% - Accent4 2 2 3 4" xfId="6037"/>
    <cellStyle name="40% - Accent4 2 2 3 4 2" xfId="19687"/>
    <cellStyle name="40% - Accent4 2 2 3 5" xfId="9323"/>
    <cellStyle name="40% - Accent4 2 2 3 5 2" xfId="22965"/>
    <cellStyle name="40% - Accent4 2 2 3 6" xfId="12637"/>
    <cellStyle name="40% - Accent4 2 2 3 6 2" xfId="26265"/>
    <cellStyle name="40% - Accent4 2 2 3 7" xfId="16483"/>
    <cellStyle name="40% - Accent4 2 2 4" xfId="2685"/>
    <cellStyle name="40% - Accent4 2 2 4 2" xfId="3639"/>
    <cellStyle name="40% - Accent4 2 2 4 2 2" xfId="5306"/>
    <cellStyle name="40% - Accent4 2 2 4 2 2 2" xfId="8569"/>
    <cellStyle name="40% - Accent4 2 2 4 2 2 2 2" xfId="22217"/>
    <cellStyle name="40% - Accent4 2 2 4 2 2 3" xfId="11636"/>
    <cellStyle name="40% - Accent4 2 2 4 2 2 3 2" xfId="25267"/>
    <cellStyle name="40% - Accent4 2 2 4 2 2 4" xfId="14932"/>
    <cellStyle name="40% - Accent4 2 2 4 2 2 4 2" xfId="28560"/>
    <cellStyle name="40% - Accent4 2 2 4 2 2 5" xfId="18964"/>
    <cellStyle name="40% - Accent4 2 2 4 2 3" xfId="7073"/>
    <cellStyle name="40% - Accent4 2 2 4 2 3 2" xfId="20723"/>
    <cellStyle name="40% - Accent4 2 2 4 2 4" xfId="10214"/>
    <cellStyle name="40% - Accent4 2 2 4 2 4 2" xfId="23845"/>
    <cellStyle name="40% - Accent4 2 2 4 2 5" xfId="13509"/>
    <cellStyle name="40% - Accent4 2 2 4 2 5 2" xfId="27137"/>
    <cellStyle name="40% - Accent4 2 2 4 2 6" xfId="17440"/>
    <cellStyle name="40% - Accent4 2 2 4 3" xfId="4428"/>
    <cellStyle name="40% - Accent4 2 2 4 3 2" xfId="7858"/>
    <cellStyle name="40% - Accent4 2 2 4 3 2 2" xfId="21506"/>
    <cellStyle name="40% - Accent4 2 2 4 3 3" xfId="10927"/>
    <cellStyle name="40% - Accent4 2 2 4 3 3 2" xfId="24558"/>
    <cellStyle name="40% - Accent4 2 2 4 3 4" xfId="14223"/>
    <cellStyle name="40% - Accent4 2 2 4 3 4 2" xfId="27851"/>
    <cellStyle name="40% - Accent4 2 2 4 3 5" xfId="18223"/>
    <cellStyle name="40% - Accent4 2 2 4 4" xfId="6279"/>
    <cellStyle name="40% - Accent4 2 2 4 4 2" xfId="19929"/>
    <cellStyle name="40% - Accent4 2 2 4 5" xfId="9481"/>
    <cellStyle name="40% - Accent4 2 2 4 5 2" xfId="23123"/>
    <cellStyle name="40% - Accent4 2 2 4 6" xfId="12795"/>
    <cellStyle name="40% - Accent4 2 2 4 6 2" xfId="26423"/>
    <cellStyle name="40% - Accent4 2 2 4 7" xfId="16712"/>
    <cellStyle name="40% - Accent4 2 2 5" xfId="2838"/>
    <cellStyle name="40% - Accent4 2 2 5 2" xfId="4742"/>
    <cellStyle name="40% - Accent4 2 2 5 2 2" xfId="8010"/>
    <cellStyle name="40% - Accent4 2 2 5 2 2 2" xfId="21658"/>
    <cellStyle name="40% - Accent4 2 2 5 2 3" xfId="11079"/>
    <cellStyle name="40% - Accent4 2 2 5 2 3 2" xfId="24710"/>
    <cellStyle name="40% - Accent4 2 2 5 2 4" xfId="14375"/>
    <cellStyle name="40% - Accent4 2 2 5 2 4 2" xfId="28003"/>
    <cellStyle name="40% - Accent4 2 2 5 2 5" xfId="18401"/>
    <cellStyle name="40% - Accent4 2 2 5 3" xfId="6432"/>
    <cellStyle name="40% - Accent4 2 2 5 3 2" xfId="20082"/>
    <cellStyle name="40% - Accent4 2 2 5 4" xfId="9653"/>
    <cellStyle name="40% - Accent4 2 2 5 4 2" xfId="23284"/>
    <cellStyle name="40% - Accent4 2 2 5 5" xfId="12948"/>
    <cellStyle name="40% - Accent4 2 2 5 5 2" xfId="26576"/>
    <cellStyle name="40% - Accent4 2 2 5 6" xfId="16864"/>
    <cellStyle name="40% - Accent4 2 2 6" xfId="3910"/>
    <cellStyle name="40% - Accent4 2 2 6 2" xfId="7340"/>
    <cellStyle name="40% - Accent4 2 2 6 2 2" xfId="20988"/>
    <cellStyle name="40% - Accent4 2 2 6 3" xfId="10478"/>
    <cellStyle name="40% - Accent4 2 2 6 3 2" xfId="24109"/>
    <cellStyle name="40% - Accent4 2 2 6 4" xfId="13774"/>
    <cellStyle name="40% - Accent4 2 2 6 4 2" xfId="27402"/>
    <cellStyle name="40% - Accent4 2 2 6 5" xfId="17705"/>
    <cellStyle name="40% - Accent4 2 2 7" xfId="5468"/>
    <cellStyle name="40% - Accent4 2 2 7 2" xfId="8729"/>
    <cellStyle name="40% - Accent4 2 2 7 2 2" xfId="22372"/>
    <cellStyle name="40% - Accent4 2 2 7 3" xfId="11789"/>
    <cellStyle name="40% - Accent4 2 2 7 3 2" xfId="25420"/>
    <cellStyle name="40% - Accent4 2 2 7 4" xfId="15085"/>
    <cellStyle name="40% - Accent4 2 2 7 4 2" xfId="28713"/>
    <cellStyle name="40% - Accent4 2 2 7 5" xfId="19118"/>
    <cellStyle name="40% - Accent4 2 2 8" xfId="5750"/>
    <cellStyle name="40% - Accent4 2 2 8 2" xfId="19400"/>
    <cellStyle name="40% - Accent4 2 2 9" xfId="8919"/>
    <cellStyle name="40% - Accent4 2 2 9 2" xfId="22562"/>
    <cellStyle name="40% - Accent4 2 3" xfId="751"/>
    <cellStyle name="40% - Accent4 2 3 2" xfId="2944"/>
    <cellStyle name="40% - Accent4 2 3 2 2" xfId="4789"/>
    <cellStyle name="40% - Accent4 2 3 2 2 2" xfId="8057"/>
    <cellStyle name="40% - Accent4 2 3 2 2 2 2" xfId="21705"/>
    <cellStyle name="40% - Accent4 2 3 2 2 3" xfId="11126"/>
    <cellStyle name="40% - Accent4 2 3 2 2 3 2" xfId="24757"/>
    <cellStyle name="40% - Accent4 2 3 2 2 4" xfId="14422"/>
    <cellStyle name="40% - Accent4 2 3 2 2 4 2" xfId="28050"/>
    <cellStyle name="40% - Accent4 2 3 2 2 5" xfId="18448"/>
    <cellStyle name="40% - Accent4 2 3 2 3" xfId="6479"/>
    <cellStyle name="40% - Accent4 2 3 2 3 2" xfId="20129"/>
    <cellStyle name="40% - Accent4 2 3 2 4" xfId="9700"/>
    <cellStyle name="40% - Accent4 2 3 2 4 2" xfId="23331"/>
    <cellStyle name="40% - Accent4 2 3 2 5" xfId="12995"/>
    <cellStyle name="40% - Accent4 2 3 2 5 2" xfId="26623"/>
    <cellStyle name="40% - Accent4 2 3 2 6" xfId="16913"/>
    <cellStyle name="40% - Accent4 2 3 3" xfId="3909"/>
    <cellStyle name="40% - Accent4 2 3 3 2" xfId="7339"/>
    <cellStyle name="40% - Accent4 2 3 3 2 2" xfId="20987"/>
    <cellStyle name="40% - Accent4 2 3 3 3" xfId="10477"/>
    <cellStyle name="40% - Accent4 2 3 3 3 2" xfId="24108"/>
    <cellStyle name="40% - Accent4 2 3 3 4" xfId="13773"/>
    <cellStyle name="40% - Accent4 2 3 3 4 2" xfId="27401"/>
    <cellStyle name="40% - Accent4 2 3 3 5" xfId="17704"/>
    <cellStyle name="40% - Accent4 2 3 4" xfId="5749"/>
    <cellStyle name="40% - Accent4 2 3 4 2" xfId="19399"/>
    <cellStyle name="40% - Accent4 2 3 5" xfId="9002"/>
    <cellStyle name="40% - Accent4 2 3 5 2" xfId="22645"/>
    <cellStyle name="40% - Accent4 2 3 6" xfId="12349"/>
    <cellStyle name="40% - Accent4 2 3 6 2" xfId="25977"/>
    <cellStyle name="40% - Accent4 2 3 7" xfId="16076"/>
    <cellStyle name="40% - Accent4 2 4" xfId="2163"/>
    <cellStyle name="40% - Accent4 2 4 2" xfId="3276"/>
    <cellStyle name="40% - Accent4 2 4 2 2" xfId="5022"/>
    <cellStyle name="40% - Accent4 2 4 2 2 2" xfId="8286"/>
    <cellStyle name="40% - Accent4 2 4 2 2 2 2" xfId="21934"/>
    <cellStyle name="40% - Accent4 2 4 2 2 3" xfId="11353"/>
    <cellStyle name="40% - Accent4 2 4 2 2 3 2" xfId="24984"/>
    <cellStyle name="40% - Accent4 2 4 2 2 4" xfId="14649"/>
    <cellStyle name="40% - Accent4 2 4 2 2 4 2" xfId="28277"/>
    <cellStyle name="40% - Accent4 2 4 2 2 5" xfId="18680"/>
    <cellStyle name="40% - Accent4 2 4 2 3" xfId="6710"/>
    <cellStyle name="40% - Accent4 2 4 2 3 2" xfId="20360"/>
    <cellStyle name="40% - Accent4 2 4 2 4" xfId="9930"/>
    <cellStyle name="40% - Accent4 2 4 2 4 2" xfId="23561"/>
    <cellStyle name="40% - Accent4 2 4 2 5" xfId="13225"/>
    <cellStyle name="40% - Accent4 2 4 2 5 2" xfId="26853"/>
    <cellStyle name="40% - Accent4 2 4 2 6" xfId="17155"/>
    <cellStyle name="40% - Accent4 2 4 3" xfId="4076"/>
    <cellStyle name="40% - Accent4 2 4 3 2" xfId="7506"/>
    <cellStyle name="40% - Accent4 2 4 3 2 2" xfId="21154"/>
    <cellStyle name="40% - Accent4 2 4 3 3" xfId="10644"/>
    <cellStyle name="40% - Accent4 2 4 3 3 2" xfId="24275"/>
    <cellStyle name="40% - Accent4 2 4 3 4" xfId="13940"/>
    <cellStyle name="40% - Accent4 2 4 3 4 2" xfId="27568"/>
    <cellStyle name="40% - Accent4 2 4 3 5" xfId="17871"/>
    <cellStyle name="40% - Accent4 2 4 4" xfId="5912"/>
    <cellStyle name="40% - Accent4 2 4 4 2" xfId="19562"/>
    <cellStyle name="40% - Accent4 2 4 5" xfId="9198"/>
    <cellStyle name="40% - Accent4 2 4 5 2" xfId="22840"/>
    <cellStyle name="40% - Accent4 2 4 6" xfId="12512"/>
    <cellStyle name="40% - Accent4 2 4 6 2" xfId="26140"/>
    <cellStyle name="40% - Accent4 2 4 7" xfId="16357"/>
    <cellStyle name="40% - Accent4 2 5" xfId="2304"/>
    <cellStyle name="40% - Accent4 2 5 2" xfId="3410"/>
    <cellStyle name="40% - Accent4 2 5 2 2" xfId="5146"/>
    <cellStyle name="40% - Accent4 2 5 2 2 2" xfId="8410"/>
    <cellStyle name="40% - Accent4 2 5 2 2 2 2" xfId="22058"/>
    <cellStyle name="40% - Accent4 2 5 2 2 3" xfId="11477"/>
    <cellStyle name="40% - Accent4 2 5 2 2 3 2" xfId="25108"/>
    <cellStyle name="40% - Accent4 2 5 2 2 4" xfId="14773"/>
    <cellStyle name="40% - Accent4 2 5 2 2 4 2" xfId="28401"/>
    <cellStyle name="40% - Accent4 2 5 2 2 5" xfId="18804"/>
    <cellStyle name="40% - Accent4 2 5 2 3" xfId="6844"/>
    <cellStyle name="40% - Accent4 2 5 2 3 2" xfId="20494"/>
    <cellStyle name="40% - Accent4 2 5 2 4" xfId="10054"/>
    <cellStyle name="40% - Accent4 2 5 2 4 2" xfId="23685"/>
    <cellStyle name="40% - Accent4 2 5 2 5" xfId="13349"/>
    <cellStyle name="40% - Accent4 2 5 2 5 2" xfId="26977"/>
    <cellStyle name="40% - Accent4 2 5 2 6" xfId="17279"/>
    <cellStyle name="40% - Accent4 2 5 3" xfId="4200"/>
    <cellStyle name="40% - Accent4 2 5 3 2" xfId="7630"/>
    <cellStyle name="40% - Accent4 2 5 3 2 2" xfId="21278"/>
    <cellStyle name="40% - Accent4 2 5 3 3" xfId="10768"/>
    <cellStyle name="40% - Accent4 2 5 3 3 2" xfId="24399"/>
    <cellStyle name="40% - Accent4 2 5 3 4" xfId="14064"/>
    <cellStyle name="40% - Accent4 2 5 3 4 2" xfId="27692"/>
    <cellStyle name="40% - Accent4 2 5 3 5" xfId="17995"/>
    <cellStyle name="40% - Accent4 2 5 4" xfId="6036"/>
    <cellStyle name="40% - Accent4 2 5 4 2" xfId="19686"/>
    <cellStyle name="40% - Accent4 2 5 5" xfId="9322"/>
    <cellStyle name="40% - Accent4 2 5 5 2" xfId="22964"/>
    <cellStyle name="40% - Accent4 2 5 6" xfId="12636"/>
    <cellStyle name="40% - Accent4 2 5 6 2" xfId="26264"/>
    <cellStyle name="40% - Accent4 2 5 7" xfId="16482"/>
    <cellStyle name="40% - Accent4 2 6" xfId="2684"/>
    <cellStyle name="40% - Accent4 2 6 2" xfId="3638"/>
    <cellStyle name="40% - Accent4 2 6 2 2" xfId="5305"/>
    <cellStyle name="40% - Accent4 2 6 2 2 2" xfId="8568"/>
    <cellStyle name="40% - Accent4 2 6 2 2 2 2" xfId="22216"/>
    <cellStyle name="40% - Accent4 2 6 2 2 3" xfId="11635"/>
    <cellStyle name="40% - Accent4 2 6 2 2 3 2" xfId="25266"/>
    <cellStyle name="40% - Accent4 2 6 2 2 4" xfId="14931"/>
    <cellStyle name="40% - Accent4 2 6 2 2 4 2" xfId="28559"/>
    <cellStyle name="40% - Accent4 2 6 2 2 5" xfId="18963"/>
    <cellStyle name="40% - Accent4 2 6 2 3" xfId="7072"/>
    <cellStyle name="40% - Accent4 2 6 2 3 2" xfId="20722"/>
    <cellStyle name="40% - Accent4 2 6 2 4" xfId="10213"/>
    <cellStyle name="40% - Accent4 2 6 2 4 2" xfId="23844"/>
    <cellStyle name="40% - Accent4 2 6 2 5" xfId="13508"/>
    <cellStyle name="40% - Accent4 2 6 2 5 2" xfId="27136"/>
    <cellStyle name="40% - Accent4 2 6 2 6" xfId="17439"/>
    <cellStyle name="40% - Accent4 2 6 3" xfId="4427"/>
    <cellStyle name="40% - Accent4 2 6 3 2" xfId="7857"/>
    <cellStyle name="40% - Accent4 2 6 3 2 2" xfId="21505"/>
    <cellStyle name="40% - Accent4 2 6 3 3" xfId="10926"/>
    <cellStyle name="40% - Accent4 2 6 3 3 2" xfId="24557"/>
    <cellStyle name="40% - Accent4 2 6 3 4" xfId="14222"/>
    <cellStyle name="40% - Accent4 2 6 3 4 2" xfId="27850"/>
    <cellStyle name="40% - Accent4 2 6 3 5" xfId="18222"/>
    <cellStyle name="40% - Accent4 2 6 4" xfId="6278"/>
    <cellStyle name="40% - Accent4 2 6 4 2" xfId="19928"/>
    <cellStyle name="40% - Accent4 2 6 5" xfId="9480"/>
    <cellStyle name="40% - Accent4 2 6 5 2" xfId="23122"/>
    <cellStyle name="40% - Accent4 2 6 6" xfId="12794"/>
    <cellStyle name="40% - Accent4 2 6 6 2" xfId="26422"/>
    <cellStyle name="40% - Accent4 2 6 7" xfId="16711"/>
    <cellStyle name="40% - Accent4 2 7" xfId="2837"/>
    <cellStyle name="40% - Accent4 2 7 2" xfId="4741"/>
    <cellStyle name="40% - Accent4 2 7 2 2" xfId="8009"/>
    <cellStyle name="40% - Accent4 2 7 2 2 2" xfId="21657"/>
    <cellStyle name="40% - Accent4 2 7 2 3" xfId="11078"/>
    <cellStyle name="40% - Accent4 2 7 2 3 2" xfId="24709"/>
    <cellStyle name="40% - Accent4 2 7 2 4" xfId="14374"/>
    <cellStyle name="40% - Accent4 2 7 2 4 2" xfId="28002"/>
    <cellStyle name="40% - Accent4 2 7 2 5" xfId="18400"/>
    <cellStyle name="40% - Accent4 2 7 3" xfId="6431"/>
    <cellStyle name="40% - Accent4 2 7 3 2" xfId="20081"/>
    <cellStyle name="40% - Accent4 2 7 4" xfId="9652"/>
    <cellStyle name="40% - Accent4 2 7 4 2" xfId="23283"/>
    <cellStyle name="40% - Accent4 2 7 5" xfId="12947"/>
    <cellStyle name="40% - Accent4 2 7 5 2" xfId="26575"/>
    <cellStyle name="40% - Accent4 2 7 6" xfId="16863"/>
    <cellStyle name="40% - Accent4 2 8" xfId="5467"/>
    <cellStyle name="40% - Accent4 2 8 2" xfId="8728"/>
    <cellStyle name="40% - Accent4 2 8 2 2" xfId="22371"/>
    <cellStyle name="40% - Accent4 2 8 3" xfId="11788"/>
    <cellStyle name="40% - Accent4 2 8 3 2" xfId="25419"/>
    <cellStyle name="40% - Accent4 2 8 4" xfId="15084"/>
    <cellStyle name="40% - Accent4 2 8 4 2" xfId="28712"/>
    <cellStyle name="40% - Accent4 2 8 5" xfId="19117"/>
    <cellStyle name="40% - Accent4 2 9" xfId="8918"/>
    <cellStyle name="40% - Accent4 2 9 2" xfId="22561"/>
    <cellStyle name="40% - Accent4 3" xfId="3781"/>
    <cellStyle name="40% - Accent4 3 2" xfId="7217"/>
    <cellStyle name="40% - Accent4 3 2 2" xfId="20865"/>
    <cellStyle name="40% - Accent4 3 3" xfId="10356"/>
    <cellStyle name="40% - Accent4 3 3 2" xfId="23987"/>
    <cellStyle name="40% - Accent4 3 4" xfId="13651"/>
    <cellStyle name="40% - Accent4 3 4 2" xfId="27279"/>
    <cellStyle name="40% - Accent4 3 5" xfId="17582"/>
    <cellStyle name="40% - Accent4 4" xfId="5625"/>
    <cellStyle name="40% - Accent4 4 2" xfId="19275"/>
    <cellStyle name="40% - Accent4 5" xfId="12213"/>
    <cellStyle name="40% - Accent4 5 2" xfId="25841"/>
    <cellStyle name="40% - Accent4 6" xfId="12228"/>
    <cellStyle name="40% - Accent4 6 2" xfId="25856"/>
    <cellStyle name="40% - Accent4 7" xfId="15261"/>
    <cellStyle name="40% - Accent4 7 2" xfId="28889"/>
    <cellStyle name="40% - Accent4 8" xfId="15438"/>
    <cellStyle name="40% - Accent4 8 2" xfId="28968"/>
    <cellStyle name="40% - Accent4 9" xfId="15678"/>
    <cellStyle name="40% - Accent4 9 2" xfId="29099"/>
    <cellStyle name="40% - Accent5" xfId="455" builtinId="47" customBuiltin="1"/>
    <cellStyle name="40% - Accent5 10" xfId="15698"/>
    <cellStyle name="40% - Accent5 10 2" xfId="29119"/>
    <cellStyle name="40% - Accent5 11" xfId="15714"/>
    <cellStyle name="40% - Accent5 12" xfId="15958"/>
    <cellStyle name="40% - Accent5 2" xfId="368"/>
    <cellStyle name="40% - Accent5 2 10" xfId="11975"/>
    <cellStyle name="40% - Accent5 2 10 2" xfId="25606"/>
    <cellStyle name="40% - Accent5 2 11" xfId="12078"/>
    <cellStyle name="40% - Accent5 2 11 2" xfId="25706"/>
    <cellStyle name="40% - Accent5 2 12" xfId="15265"/>
    <cellStyle name="40% - Accent5 2 12 2" xfId="28893"/>
    <cellStyle name="40% - Accent5 2 13" xfId="15464"/>
    <cellStyle name="40% - Accent5 2 13 2" xfId="28993"/>
    <cellStyle name="40% - Accent5 2 14" xfId="15773"/>
    <cellStyle name="40% - Accent5 2 15" xfId="29627"/>
    <cellStyle name="40% - Accent5 2 2" xfId="754"/>
    <cellStyle name="40% - Accent5 2 2 10" xfId="11976"/>
    <cellStyle name="40% - Accent5 2 2 10 2" xfId="25607"/>
    <cellStyle name="40% - Accent5 2 2 11" xfId="12079"/>
    <cellStyle name="40% - Accent5 2 2 11 2" xfId="25707"/>
    <cellStyle name="40% - Accent5 2 2 12" xfId="12352"/>
    <cellStyle name="40% - Accent5 2 2 12 2" xfId="25980"/>
    <cellStyle name="40% - Accent5 2 2 13" xfId="15266"/>
    <cellStyle name="40% - Accent5 2 2 13 2" xfId="28894"/>
    <cellStyle name="40% - Accent5 2 2 14" xfId="15465"/>
    <cellStyle name="40% - Accent5 2 2 14 2" xfId="28994"/>
    <cellStyle name="40% - Accent5 2 2 15" xfId="16079"/>
    <cellStyle name="40% - Accent5 2 2 16" xfId="29628"/>
    <cellStyle name="40% - Accent5 2 2 2" xfId="2166"/>
    <cellStyle name="40% - Accent5 2 2 2 2" xfId="3279"/>
    <cellStyle name="40% - Accent5 2 2 2 2 2" xfId="5025"/>
    <cellStyle name="40% - Accent5 2 2 2 2 2 2" xfId="8289"/>
    <cellStyle name="40% - Accent5 2 2 2 2 2 2 2" xfId="21937"/>
    <cellStyle name="40% - Accent5 2 2 2 2 2 3" xfId="11356"/>
    <cellStyle name="40% - Accent5 2 2 2 2 2 3 2" xfId="24987"/>
    <cellStyle name="40% - Accent5 2 2 2 2 2 4" xfId="14652"/>
    <cellStyle name="40% - Accent5 2 2 2 2 2 4 2" xfId="28280"/>
    <cellStyle name="40% - Accent5 2 2 2 2 2 5" xfId="18683"/>
    <cellStyle name="40% - Accent5 2 2 2 2 3" xfId="6713"/>
    <cellStyle name="40% - Accent5 2 2 2 2 3 2" xfId="20363"/>
    <cellStyle name="40% - Accent5 2 2 2 2 4" xfId="9933"/>
    <cellStyle name="40% - Accent5 2 2 2 2 4 2" xfId="23564"/>
    <cellStyle name="40% - Accent5 2 2 2 2 5" xfId="13228"/>
    <cellStyle name="40% - Accent5 2 2 2 2 5 2" xfId="26856"/>
    <cellStyle name="40% - Accent5 2 2 2 2 6" xfId="17158"/>
    <cellStyle name="40% - Accent5 2 2 2 3" xfId="4079"/>
    <cellStyle name="40% - Accent5 2 2 2 3 2" xfId="7509"/>
    <cellStyle name="40% - Accent5 2 2 2 3 2 2" xfId="21157"/>
    <cellStyle name="40% - Accent5 2 2 2 3 3" xfId="10647"/>
    <cellStyle name="40% - Accent5 2 2 2 3 3 2" xfId="24278"/>
    <cellStyle name="40% - Accent5 2 2 2 3 4" xfId="13943"/>
    <cellStyle name="40% - Accent5 2 2 2 3 4 2" xfId="27571"/>
    <cellStyle name="40% - Accent5 2 2 2 3 5" xfId="17874"/>
    <cellStyle name="40% - Accent5 2 2 2 4" xfId="5915"/>
    <cellStyle name="40% - Accent5 2 2 2 4 2" xfId="19565"/>
    <cellStyle name="40% - Accent5 2 2 2 5" xfId="9201"/>
    <cellStyle name="40% - Accent5 2 2 2 5 2" xfId="22843"/>
    <cellStyle name="40% - Accent5 2 2 2 6" xfId="12515"/>
    <cellStyle name="40% - Accent5 2 2 2 6 2" xfId="26143"/>
    <cellStyle name="40% - Accent5 2 2 2 7" xfId="16360"/>
    <cellStyle name="40% - Accent5 2 2 3" xfId="2307"/>
    <cellStyle name="40% - Accent5 2 2 3 2" xfId="3413"/>
    <cellStyle name="40% - Accent5 2 2 3 2 2" xfId="5149"/>
    <cellStyle name="40% - Accent5 2 2 3 2 2 2" xfId="8413"/>
    <cellStyle name="40% - Accent5 2 2 3 2 2 2 2" xfId="22061"/>
    <cellStyle name="40% - Accent5 2 2 3 2 2 3" xfId="11480"/>
    <cellStyle name="40% - Accent5 2 2 3 2 2 3 2" xfId="25111"/>
    <cellStyle name="40% - Accent5 2 2 3 2 2 4" xfId="14776"/>
    <cellStyle name="40% - Accent5 2 2 3 2 2 4 2" xfId="28404"/>
    <cellStyle name="40% - Accent5 2 2 3 2 2 5" xfId="18807"/>
    <cellStyle name="40% - Accent5 2 2 3 2 3" xfId="6847"/>
    <cellStyle name="40% - Accent5 2 2 3 2 3 2" xfId="20497"/>
    <cellStyle name="40% - Accent5 2 2 3 2 4" xfId="10057"/>
    <cellStyle name="40% - Accent5 2 2 3 2 4 2" xfId="23688"/>
    <cellStyle name="40% - Accent5 2 2 3 2 5" xfId="13352"/>
    <cellStyle name="40% - Accent5 2 2 3 2 5 2" xfId="26980"/>
    <cellStyle name="40% - Accent5 2 2 3 2 6" xfId="17282"/>
    <cellStyle name="40% - Accent5 2 2 3 3" xfId="4203"/>
    <cellStyle name="40% - Accent5 2 2 3 3 2" xfId="7633"/>
    <cellStyle name="40% - Accent5 2 2 3 3 2 2" xfId="21281"/>
    <cellStyle name="40% - Accent5 2 2 3 3 3" xfId="10771"/>
    <cellStyle name="40% - Accent5 2 2 3 3 3 2" xfId="24402"/>
    <cellStyle name="40% - Accent5 2 2 3 3 4" xfId="14067"/>
    <cellStyle name="40% - Accent5 2 2 3 3 4 2" xfId="27695"/>
    <cellStyle name="40% - Accent5 2 2 3 3 5" xfId="17998"/>
    <cellStyle name="40% - Accent5 2 2 3 4" xfId="6039"/>
    <cellStyle name="40% - Accent5 2 2 3 4 2" xfId="19689"/>
    <cellStyle name="40% - Accent5 2 2 3 5" xfId="9325"/>
    <cellStyle name="40% - Accent5 2 2 3 5 2" xfId="22967"/>
    <cellStyle name="40% - Accent5 2 2 3 6" xfId="12639"/>
    <cellStyle name="40% - Accent5 2 2 3 6 2" xfId="26267"/>
    <cellStyle name="40% - Accent5 2 2 3 7" xfId="16485"/>
    <cellStyle name="40% - Accent5 2 2 4" xfId="2687"/>
    <cellStyle name="40% - Accent5 2 2 4 2" xfId="3641"/>
    <cellStyle name="40% - Accent5 2 2 4 2 2" xfId="5308"/>
    <cellStyle name="40% - Accent5 2 2 4 2 2 2" xfId="8571"/>
    <cellStyle name="40% - Accent5 2 2 4 2 2 2 2" xfId="22219"/>
    <cellStyle name="40% - Accent5 2 2 4 2 2 3" xfId="11638"/>
    <cellStyle name="40% - Accent5 2 2 4 2 2 3 2" xfId="25269"/>
    <cellStyle name="40% - Accent5 2 2 4 2 2 4" xfId="14934"/>
    <cellStyle name="40% - Accent5 2 2 4 2 2 4 2" xfId="28562"/>
    <cellStyle name="40% - Accent5 2 2 4 2 2 5" xfId="18966"/>
    <cellStyle name="40% - Accent5 2 2 4 2 3" xfId="7075"/>
    <cellStyle name="40% - Accent5 2 2 4 2 3 2" xfId="20725"/>
    <cellStyle name="40% - Accent5 2 2 4 2 4" xfId="10216"/>
    <cellStyle name="40% - Accent5 2 2 4 2 4 2" xfId="23847"/>
    <cellStyle name="40% - Accent5 2 2 4 2 5" xfId="13511"/>
    <cellStyle name="40% - Accent5 2 2 4 2 5 2" xfId="27139"/>
    <cellStyle name="40% - Accent5 2 2 4 2 6" xfId="17442"/>
    <cellStyle name="40% - Accent5 2 2 4 3" xfId="4430"/>
    <cellStyle name="40% - Accent5 2 2 4 3 2" xfId="7860"/>
    <cellStyle name="40% - Accent5 2 2 4 3 2 2" xfId="21508"/>
    <cellStyle name="40% - Accent5 2 2 4 3 3" xfId="10929"/>
    <cellStyle name="40% - Accent5 2 2 4 3 3 2" xfId="24560"/>
    <cellStyle name="40% - Accent5 2 2 4 3 4" xfId="14225"/>
    <cellStyle name="40% - Accent5 2 2 4 3 4 2" xfId="27853"/>
    <cellStyle name="40% - Accent5 2 2 4 3 5" xfId="18225"/>
    <cellStyle name="40% - Accent5 2 2 4 4" xfId="6281"/>
    <cellStyle name="40% - Accent5 2 2 4 4 2" xfId="19931"/>
    <cellStyle name="40% - Accent5 2 2 4 5" xfId="9483"/>
    <cellStyle name="40% - Accent5 2 2 4 5 2" xfId="23125"/>
    <cellStyle name="40% - Accent5 2 2 4 6" xfId="12797"/>
    <cellStyle name="40% - Accent5 2 2 4 6 2" xfId="26425"/>
    <cellStyle name="40% - Accent5 2 2 4 7" xfId="16714"/>
    <cellStyle name="40% - Accent5 2 2 5" xfId="2840"/>
    <cellStyle name="40% - Accent5 2 2 5 2" xfId="4744"/>
    <cellStyle name="40% - Accent5 2 2 5 2 2" xfId="8012"/>
    <cellStyle name="40% - Accent5 2 2 5 2 2 2" xfId="21660"/>
    <cellStyle name="40% - Accent5 2 2 5 2 3" xfId="11081"/>
    <cellStyle name="40% - Accent5 2 2 5 2 3 2" xfId="24712"/>
    <cellStyle name="40% - Accent5 2 2 5 2 4" xfId="14377"/>
    <cellStyle name="40% - Accent5 2 2 5 2 4 2" xfId="28005"/>
    <cellStyle name="40% - Accent5 2 2 5 2 5" xfId="18403"/>
    <cellStyle name="40% - Accent5 2 2 5 3" xfId="6434"/>
    <cellStyle name="40% - Accent5 2 2 5 3 2" xfId="20084"/>
    <cellStyle name="40% - Accent5 2 2 5 4" xfId="9655"/>
    <cellStyle name="40% - Accent5 2 2 5 4 2" xfId="23286"/>
    <cellStyle name="40% - Accent5 2 2 5 5" xfId="12950"/>
    <cellStyle name="40% - Accent5 2 2 5 5 2" xfId="26578"/>
    <cellStyle name="40% - Accent5 2 2 5 6" xfId="16866"/>
    <cellStyle name="40% - Accent5 2 2 6" xfId="3912"/>
    <cellStyle name="40% - Accent5 2 2 6 2" xfId="7342"/>
    <cellStyle name="40% - Accent5 2 2 6 2 2" xfId="20990"/>
    <cellStyle name="40% - Accent5 2 2 6 3" xfId="10480"/>
    <cellStyle name="40% - Accent5 2 2 6 3 2" xfId="24111"/>
    <cellStyle name="40% - Accent5 2 2 6 4" xfId="13776"/>
    <cellStyle name="40% - Accent5 2 2 6 4 2" xfId="27404"/>
    <cellStyle name="40% - Accent5 2 2 6 5" xfId="17707"/>
    <cellStyle name="40% - Accent5 2 2 7" xfId="5470"/>
    <cellStyle name="40% - Accent5 2 2 7 2" xfId="8731"/>
    <cellStyle name="40% - Accent5 2 2 7 2 2" xfId="22374"/>
    <cellStyle name="40% - Accent5 2 2 7 3" xfId="11791"/>
    <cellStyle name="40% - Accent5 2 2 7 3 2" xfId="25422"/>
    <cellStyle name="40% - Accent5 2 2 7 4" xfId="15087"/>
    <cellStyle name="40% - Accent5 2 2 7 4 2" xfId="28715"/>
    <cellStyle name="40% - Accent5 2 2 7 5" xfId="19120"/>
    <cellStyle name="40% - Accent5 2 2 8" xfId="5752"/>
    <cellStyle name="40% - Accent5 2 2 8 2" xfId="19402"/>
    <cellStyle name="40% - Accent5 2 2 9" xfId="8921"/>
    <cellStyle name="40% - Accent5 2 2 9 2" xfId="22564"/>
    <cellStyle name="40% - Accent5 2 3" xfId="753"/>
    <cellStyle name="40% - Accent5 2 3 2" xfId="2943"/>
    <cellStyle name="40% - Accent5 2 3 2 2" xfId="4788"/>
    <cellStyle name="40% - Accent5 2 3 2 2 2" xfId="8056"/>
    <cellStyle name="40% - Accent5 2 3 2 2 2 2" xfId="21704"/>
    <cellStyle name="40% - Accent5 2 3 2 2 3" xfId="11125"/>
    <cellStyle name="40% - Accent5 2 3 2 2 3 2" xfId="24756"/>
    <cellStyle name="40% - Accent5 2 3 2 2 4" xfId="14421"/>
    <cellStyle name="40% - Accent5 2 3 2 2 4 2" xfId="28049"/>
    <cellStyle name="40% - Accent5 2 3 2 2 5" xfId="18447"/>
    <cellStyle name="40% - Accent5 2 3 2 3" xfId="6478"/>
    <cellStyle name="40% - Accent5 2 3 2 3 2" xfId="20128"/>
    <cellStyle name="40% - Accent5 2 3 2 4" xfId="9699"/>
    <cellStyle name="40% - Accent5 2 3 2 4 2" xfId="23330"/>
    <cellStyle name="40% - Accent5 2 3 2 5" xfId="12994"/>
    <cellStyle name="40% - Accent5 2 3 2 5 2" xfId="26622"/>
    <cellStyle name="40% - Accent5 2 3 2 6" xfId="16912"/>
    <cellStyle name="40% - Accent5 2 3 3" xfId="3911"/>
    <cellStyle name="40% - Accent5 2 3 3 2" xfId="7341"/>
    <cellStyle name="40% - Accent5 2 3 3 2 2" xfId="20989"/>
    <cellStyle name="40% - Accent5 2 3 3 3" xfId="10479"/>
    <cellStyle name="40% - Accent5 2 3 3 3 2" xfId="24110"/>
    <cellStyle name="40% - Accent5 2 3 3 4" xfId="13775"/>
    <cellStyle name="40% - Accent5 2 3 3 4 2" xfId="27403"/>
    <cellStyle name="40% - Accent5 2 3 3 5" xfId="17706"/>
    <cellStyle name="40% - Accent5 2 3 4" xfId="5751"/>
    <cellStyle name="40% - Accent5 2 3 4 2" xfId="19401"/>
    <cellStyle name="40% - Accent5 2 3 5" xfId="9001"/>
    <cellStyle name="40% - Accent5 2 3 5 2" xfId="22644"/>
    <cellStyle name="40% - Accent5 2 3 6" xfId="12351"/>
    <cellStyle name="40% - Accent5 2 3 6 2" xfId="25979"/>
    <cellStyle name="40% - Accent5 2 3 7" xfId="16078"/>
    <cellStyle name="40% - Accent5 2 4" xfId="2165"/>
    <cellStyle name="40% - Accent5 2 4 2" xfId="3278"/>
    <cellStyle name="40% - Accent5 2 4 2 2" xfId="5024"/>
    <cellStyle name="40% - Accent5 2 4 2 2 2" xfId="8288"/>
    <cellStyle name="40% - Accent5 2 4 2 2 2 2" xfId="21936"/>
    <cellStyle name="40% - Accent5 2 4 2 2 3" xfId="11355"/>
    <cellStyle name="40% - Accent5 2 4 2 2 3 2" xfId="24986"/>
    <cellStyle name="40% - Accent5 2 4 2 2 4" xfId="14651"/>
    <cellStyle name="40% - Accent5 2 4 2 2 4 2" xfId="28279"/>
    <cellStyle name="40% - Accent5 2 4 2 2 5" xfId="18682"/>
    <cellStyle name="40% - Accent5 2 4 2 3" xfId="6712"/>
    <cellStyle name="40% - Accent5 2 4 2 3 2" xfId="20362"/>
    <cellStyle name="40% - Accent5 2 4 2 4" xfId="9932"/>
    <cellStyle name="40% - Accent5 2 4 2 4 2" xfId="23563"/>
    <cellStyle name="40% - Accent5 2 4 2 5" xfId="13227"/>
    <cellStyle name="40% - Accent5 2 4 2 5 2" xfId="26855"/>
    <cellStyle name="40% - Accent5 2 4 2 6" xfId="17157"/>
    <cellStyle name="40% - Accent5 2 4 3" xfId="4078"/>
    <cellStyle name="40% - Accent5 2 4 3 2" xfId="7508"/>
    <cellStyle name="40% - Accent5 2 4 3 2 2" xfId="21156"/>
    <cellStyle name="40% - Accent5 2 4 3 3" xfId="10646"/>
    <cellStyle name="40% - Accent5 2 4 3 3 2" xfId="24277"/>
    <cellStyle name="40% - Accent5 2 4 3 4" xfId="13942"/>
    <cellStyle name="40% - Accent5 2 4 3 4 2" xfId="27570"/>
    <cellStyle name="40% - Accent5 2 4 3 5" xfId="17873"/>
    <cellStyle name="40% - Accent5 2 4 4" xfId="5914"/>
    <cellStyle name="40% - Accent5 2 4 4 2" xfId="19564"/>
    <cellStyle name="40% - Accent5 2 4 5" xfId="9200"/>
    <cellStyle name="40% - Accent5 2 4 5 2" xfId="22842"/>
    <cellStyle name="40% - Accent5 2 4 6" xfId="12514"/>
    <cellStyle name="40% - Accent5 2 4 6 2" xfId="26142"/>
    <cellStyle name="40% - Accent5 2 4 7" xfId="16359"/>
    <cellStyle name="40% - Accent5 2 5" xfId="2306"/>
    <cellStyle name="40% - Accent5 2 5 2" xfId="3412"/>
    <cellStyle name="40% - Accent5 2 5 2 2" xfId="5148"/>
    <cellStyle name="40% - Accent5 2 5 2 2 2" xfId="8412"/>
    <cellStyle name="40% - Accent5 2 5 2 2 2 2" xfId="22060"/>
    <cellStyle name="40% - Accent5 2 5 2 2 3" xfId="11479"/>
    <cellStyle name="40% - Accent5 2 5 2 2 3 2" xfId="25110"/>
    <cellStyle name="40% - Accent5 2 5 2 2 4" xfId="14775"/>
    <cellStyle name="40% - Accent5 2 5 2 2 4 2" xfId="28403"/>
    <cellStyle name="40% - Accent5 2 5 2 2 5" xfId="18806"/>
    <cellStyle name="40% - Accent5 2 5 2 3" xfId="6846"/>
    <cellStyle name="40% - Accent5 2 5 2 3 2" xfId="20496"/>
    <cellStyle name="40% - Accent5 2 5 2 4" xfId="10056"/>
    <cellStyle name="40% - Accent5 2 5 2 4 2" xfId="23687"/>
    <cellStyle name="40% - Accent5 2 5 2 5" xfId="13351"/>
    <cellStyle name="40% - Accent5 2 5 2 5 2" xfId="26979"/>
    <cellStyle name="40% - Accent5 2 5 2 6" xfId="17281"/>
    <cellStyle name="40% - Accent5 2 5 3" xfId="4202"/>
    <cellStyle name="40% - Accent5 2 5 3 2" xfId="7632"/>
    <cellStyle name="40% - Accent5 2 5 3 2 2" xfId="21280"/>
    <cellStyle name="40% - Accent5 2 5 3 3" xfId="10770"/>
    <cellStyle name="40% - Accent5 2 5 3 3 2" xfId="24401"/>
    <cellStyle name="40% - Accent5 2 5 3 4" xfId="14066"/>
    <cellStyle name="40% - Accent5 2 5 3 4 2" xfId="27694"/>
    <cellStyle name="40% - Accent5 2 5 3 5" xfId="17997"/>
    <cellStyle name="40% - Accent5 2 5 4" xfId="6038"/>
    <cellStyle name="40% - Accent5 2 5 4 2" xfId="19688"/>
    <cellStyle name="40% - Accent5 2 5 5" xfId="9324"/>
    <cellStyle name="40% - Accent5 2 5 5 2" xfId="22966"/>
    <cellStyle name="40% - Accent5 2 5 6" xfId="12638"/>
    <cellStyle name="40% - Accent5 2 5 6 2" xfId="26266"/>
    <cellStyle name="40% - Accent5 2 5 7" xfId="16484"/>
    <cellStyle name="40% - Accent5 2 6" xfId="2686"/>
    <cellStyle name="40% - Accent5 2 6 2" xfId="3640"/>
    <cellStyle name="40% - Accent5 2 6 2 2" xfId="5307"/>
    <cellStyle name="40% - Accent5 2 6 2 2 2" xfId="8570"/>
    <cellStyle name="40% - Accent5 2 6 2 2 2 2" xfId="22218"/>
    <cellStyle name="40% - Accent5 2 6 2 2 3" xfId="11637"/>
    <cellStyle name="40% - Accent5 2 6 2 2 3 2" xfId="25268"/>
    <cellStyle name="40% - Accent5 2 6 2 2 4" xfId="14933"/>
    <cellStyle name="40% - Accent5 2 6 2 2 4 2" xfId="28561"/>
    <cellStyle name="40% - Accent5 2 6 2 2 5" xfId="18965"/>
    <cellStyle name="40% - Accent5 2 6 2 3" xfId="7074"/>
    <cellStyle name="40% - Accent5 2 6 2 3 2" xfId="20724"/>
    <cellStyle name="40% - Accent5 2 6 2 4" xfId="10215"/>
    <cellStyle name="40% - Accent5 2 6 2 4 2" xfId="23846"/>
    <cellStyle name="40% - Accent5 2 6 2 5" xfId="13510"/>
    <cellStyle name="40% - Accent5 2 6 2 5 2" xfId="27138"/>
    <cellStyle name="40% - Accent5 2 6 2 6" xfId="17441"/>
    <cellStyle name="40% - Accent5 2 6 3" xfId="4429"/>
    <cellStyle name="40% - Accent5 2 6 3 2" xfId="7859"/>
    <cellStyle name="40% - Accent5 2 6 3 2 2" xfId="21507"/>
    <cellStyle name="40% - Accent5 2 6 3 3" xfId="10928"/>
    <cellStyle name="40% - Accent5 2 6 3 3 2" xfId="24559"/>
    <cellStyle name="40% - Accent5 2 6 3 4" xfId="14224"/>
    <cellStyle name="40% - Accent5 2 6 3 4 2" xfId="27852"/>
    <cellStyle name="40% - Accent5 2 6 3 5" xfId="18224"/>
    <cellStyle name="40% - Accent5 2 6 4" xfId="6280"/>
    <cellStyle name="40% - Accent5 2 6 4 2" xfId="19930"/>
    <cellStyle name="40% - Accent5 2 6 5" xfId="9482"/>
    <cellStyle name="40% - Accent5 2 6 5 2" xfId="23124"/>
    <cellStyle name="40% - Accent5 2 6 6" xfId="12796"/>
    <cellStyle name="40% - Accent5 2 6 6 2" xfId="26424"/>
    <cellStyle name="40% - Accent5 2 6 7" xfId="16713"/>
    <cellStyle name="40% - Accent5 2 7" xfId="2839"/>
    <cellStyle name="40% - Accent5 2 7 2" xfId="4743"/>
    <cellStyle name="40% - Accent5 2 7 2 2" xfId="8011"/>
    <cellStyle name="40% - Accent5 2 7 2 2 2" xfId="21659"/>
    <cellStyle name="40% - Accent5 2 7 2 3" xfId="11080"/>
    <cellStyle name="40% - Accent5 2 7 2 3 2" xfId="24711"/>
    <cellStyle name="40% - Accent5 2 7 2 4" xfId="14376"/>
    <cellStyle name="40% - Accent5 2 7 2 4 2" xfId="28004"/>
    <cellStyle name="40% - Accent5 2 7 2 5" xfId="18402"/>
    <cellStyle name="40% - Accent5 2 7 3" xfId="6433"/>
    <cellStyle name="40% - Accent5 2 7 3 2" xfId="20083"/>
    <cellStyle name="40% - Accent5 2 7 4" xfId="9654"/>
    <cellStyle name="40% - Accent5 2 7 4 2" xfId="23285"/>
    <cellStyle name="40% - Accent5 2 7 5" xfId="12949"/>
    <cellStyle name="40% - Accent5 2 7 5 2" xfId="26577"/>
    <cellStyle name="40% - Accent5 2 7 6" xfId="16865"/>
    <cellStyle name="40% - Accent5 2 8" xfId="5469"/>
    <cellStyle name="40% - Accent5 2 8 2" xfId="8730"/>
    <cellStyle name="40% - Accent5 2 8 2 2" xfId="22373"/>
    <cellStyle name="40% - Accent5 2 8 3" xfId="11790"/>
    <cellStyle name="40% - Accent5 2 8 3 2" xfId="25421"/>
    <cellStyle name="40% - Accent5 2 8 4" xfId="15086"/>
    <cellStyle name="40% - Accent5 2 8 4 2" xfId="28714"/>
    <cellStyle name="40% - Accent5 2 8 5" xfId="19119"/>
    <cellStyle name="40% - Accent5 2 9" xfId="8920"/>
    <cellStyle name="40% - Accent5 2 9 2" xfId="22563"/>
    <cellStyle name="40% - Accent5 3" xfId="3783"/>
    <cellStyle name="40% - Accent5 3 2" xfId="7219"/>
    <cellStyle name="40% - Accent5 3 2 2" xfId="20867"/>
    <cellStyle name="40% - Accent5 3 3" xfId="10358"/>
    <cellStyle name="40% - Accent5 3 3 2" xfId="23989"/>
    <cellStyle name="40% - Accent5 3 4" xfId="13653"/>
    <cellStyle name="40% - Accent5 3 4 2" xfId="27281"/>
    <cellStyle name="40% - Accent5 3 5" xfId="17584"/>
    <cellStyle name="40% - Accent5 4" xfId="5627"/>
    <cellStyle name="40% - Accent5 4 2" xfId="19277"/>
    <cellStyle name="40% - Accent5 5" xfId="12214"/>
    <cellStyle name="40% - Accent5 5 2" xfId="25842"/>
    <cellStyle name="40% - Accent5 6" xfId="12230"/>
    <cellStyle name="40% - Accent5 6 2" xfId="25858"/>
    <cellStyle name="40% - Accent5 7" xfId="15264"/>
    <cellStyle name="40% - Accent5 7 2" xfId="28892"/>
    <cellStyle name="40% - Accent5 8" xfId="15440"/>
    <cellStyle name="40% - Accent5 8 2" xfId="28970"/>
    <cellStyle name="40% - Accent5 9" xfId="15681"/>
    <cellStyle name="40% - Accent5 9 2" xfId="29102"/>
    <cellStyle name="40% - Accent6" xfId="459" builtinId="51" customBuiltin="1"/>
    <cellStyle name="40% - Accent6 10" xfId="15699"/>
    <cellStyle name="40% - Accent6 10 2" xfId="29120"/>
    <cellStyle name="40% - Accent6 11" xfId="15715"/>
    <cellStyle name="40% - Accent6 12" xfId="15813"/>
    <cellStyle name="40% - Accent6 13" xfId="15962"/>
    <cellStyle name="40% - Accent6 2" xfId="369"/>
    <cellStyle name="40% - Accent6 2 10" xfId="11977"/>
    <cellStyle name="40% - Accent6 2 10 2" xfId="25608"/>
    <cellStyle name="40% - Accent6 2 11" xfId="12080"/>
    <cellStyle name="40% - Accent6 2 11 2" xfId="25708"/>
    <cellStyle name="40% - Accent6 2 12" xfId="15268"/>
    <cellStyle name="40% - Accent6 2 12 2" xfId="28896"/>
    <cellStyle name="40% - Accent6 2 13" xfId="15466"/>
    <cellStyle name="40% - Accent6 2 13 2" xfId="28995"/>
    <cellStyle name="40% - Accent6 2 14" xfId="15771"/>
    <cellStyle name="40% - Accent6 2 15" xfId="29629"/>
    <cellStyle name="40% - Accent6 2 2" xfId="756"/>
    <cellStyle name="40% - Accent6 2 2 10" xfId="11978"/>
    <cellStyle name="40% - Accent6 2 2 10 2" xfId="25609"/>
    <cellStyle name="40% - Accent6 2 2 11" xfId="12081"/>
    <cellStyle name="40% - Accent6 2 2 11 2" xfId="25709"/>
    <cellStyle name="40% - Accent6 2 2 12" xfId="12354"/>
    <cellStyle name="40% - Accent6 2 2 12 2" xfId="25982"/>
    <cellStyle name="40% - Accent6 2 2 13" xfId="15269"/>
    <cellStyle name="40% - Accent6 2 2 13 2" xfId="28897"/>
    <cellStyle name="40% - Accent6 2 2 14" xfId="15467"/>
    <cellStyle name="40% - Accent6 2 2 14 2" xfId="28996"/>
    <cellStyle name="40% - Accent6 2 2 15" xfId="16081"/>
    <cellStyle name="40% - Accent6 2 2 16" xfId="29630"/>
    <cellStyle name="40% - Accent6 2 2 2" xfId="2168"/>
    <cellStyle name="40% - Accent6 2 2 2 2" xfId="3281"/>
    <cellStyle name="40% - Accent6 2 2 2 2 2" xfId="5027"/>
    <cellStyle name="40% - Accent6 2 2 2 2 2 2" xfId="8291"/>
    <cellStyle name="40% - Accent6 2 2 2 2 2 2 2" xfId="21939"/>
    <cellStyle name="40% - Accent6 2 2 2 2 2 3" xfId="11358"/>
    <cellStyle name="40% - Accent6 2 2 2 2 2 3 2" xfId="24989"/>
    <cellStyle name="40% - Accent6 2 2 2 2 2 4" xfId="14654"/>
    <cellStyle name="40% - Accent6 2 2 2 2 2 4 2" xfId="28282"/>
    <cellStyle name="40% - Accent6 2 2 2 2 2 5" xfId="18685"/>
    <cellStyle name="40% - Accent6 2 2 2 2 3" xfId="6715"/>
    <cellStyle name="40% - Accent6 2 2 2 2 3 2" xfId="20365"/>
    <cellStyle name="40% - Accent6 2 2 2 2 4" xfId="9935"/>
    <cellStyle name="40% - Accent6 2 2 2 2 4 2" xfId="23566"/>
    <cellStyle name="40% - Accent6 2 2 2 2 5" xfId="13230"/>
    <cellStyle name="40% - Accent6 2 2 2 2 5 2" xfId="26858"/>
    <cellStyle name="40% - Accent6 2 2 2 2 6" xfId="17160"/>
    <cellStyle name="40% - Accent6 2 2 2 3" xfId="4081"/>
    <cellStyle name="40% - Accent6 2 2 2 3 2" xfId="7511"/>
    <cellStyle name="40% - Accent6 2 2 2 3 2 2" xfId="21159"/>
    <cellStyle name="40% - Accent6 2 2 2 3 3" xfId="10649"/>
    <cellStyle name="40% - Accent6 2 2 2 3 3 2" xfId="24280"/>
    <cellStyle name="40% - Accent6 2 2 2 3 4" xfId="13945"/>
    <cellStyle name="40% - Accent6 2 2 2 3 4 2" xfId="27573"/>
    <cellStyle name="40% - Accent6 2 2 2 3 5" xfId="17876"/>
    <cellStyle name="40% - Accent6 2 2 2 4" xfId="5917"/>
    <cellStyle name="40% - Accent6 2 2 2 4 2" xfId="19567"/>
    <cellStyle name="40% - Accent6 2 2 2 5" xfId="9203"/>
    <cellStyle name="40% - Accent6 2 2 2 5 2" xfId="22845"/>
    <cellStyle name="40% - Accent6 2 2 2 6" xfId="12517"/>
    <cellStyle name="40% - Accent6 2 2 2 6 2" xfId="26145"/>
    <cellStyle name="40% - Accent6 2 2 2 7" xfId="16362"/>
    <cellStyle name="40% - Accent6 2 2 3" xfId="2309"/>
    <cellStyle name="40% - Accent6 2 2 3 2" xfId="3415"/>
    <cellStyle name="40% - Accent6 2 2 3 2 2" xfId="5151"/>
    <cellStyle name="40% - Accent6 2 2 3 2 2 2" xfId="8415"/>
    <cellStyle name="40% - Accent6 2 2 3 2 2 2 2" xfId="22063"/>
    <cellStyle name="40% - Accent6 2 2 3 2 2 3" xfId="11482"/>
    <cellStyle name="40% - Accent6 2 2 3 2 2 3 2" xfId="25113"/>
    <cellStyle name="40% - Accent6 2 2 3 2 2 4" xfId="14778"/>
    <cellStyle name="40% - Accent6 2 2 3 2 2 4 2" xfId="28406"/>
    <cellStyle name="40% - Accent6 2 2 3 2 2 5" xfId="18809"/>
    <cellStyle name="40% - Accent6 2 2 3 2 3" xfId="6849"/>
    <cellStyle name="40% - Accent6 2 2 3 2 3 2" xfId="20499"/>
    <cellStyle name="40% - Accent6 2 2 3 2 4" xfId="10059"/>
    <cellStyle name="40% - Accent6 2 2 3 2 4 2" xfId="23690"/>
    <cellStyle name="40% - Accent6 2 2 3 2 5" xfId="13354"/>
    <cellStyle name="40% - Accent6 2 2 3 2 5 2" xfId="26982"/>
    <cellStyle name="40% - Accent6 2 2 3 2 6" xfId="17284"/>
    <cellStyle name="40% - Accent6 2 2 3 3" xfId="4205"/>
    <cellStyle name="40% - Accent6 2 2 3 3 2" xfId="7635"/>
    <cellStyle name="40% - Accent6 2 2 3 3 2 2" xfId="21283"/>
    <cellStyle name="40% - Accent6 2 2 3 3 3" xfId="10773"/>
    <cellStyle name="40% - Accent6 2 2 3 3 3 2" xfId="24404"/>
    <cellStyle name="40% - Accent6 2 2 3 3 4" xfId="14069"/>
    <cellStyle name="40% - Accent6 2 2 3 3 4 2" xfId="27697"/>
    <cellStyle name="40% - Accent6 2 2 3 3 5" xfId="18000"/>
    <cellStyle name="40% - Accent6 2 2 3 4" xfId="6041"/>
    <cellStyle name="40% - Accent6 2 2 3 4 2" xfId="19691"/>
    <cellStyle name="40% - Accent6 2 2 3 5" xfId="9327"/>
    <cellStyle name="40% - Accent6 2 2 3 5 2" xfId="22969"/>
    <cellStyle name="40% - Accent6 2 2 3 6" xfId="12641"/>
    <cellStyle name="40% - Accent6 2 2 3 6 2" xfId="26269"/>
    <cellStyle name="40% - Accent6 2 2 3 7" xfId="16487"/>
    <cellStyle name="40% - Accent6 2 2 4" xfId="2689"/>
    <cellStyle name="40% - Accent6 2 2 4 2" xfId="3643"/>
    <cellStyle name="40% - Accent6 2 2 4 2 2" xfId="5310"/>
    <cellStyle name="40% - Accent6 2 2 4 2 2 2" xfId="8573"/>
    <cellStyle name="40% - Accent6 2 2 4 2 2 2 2" xfId="22221"/>
    <cellStyle name="40% - Accent6 2 2 4 2 2 3" xfId="11640"/>
    <cellStyle name="40% - Accent6 2 2 4 2 2 3 2" xfId="25271"/>
    <cellStyle name="40% - Accent6 2 2 4 2 2 4" xfId="14936"/>
    <cellStyle name="40% - Accent6 2 2 4 2 2 4 2" xfId="28564"/>
    <cellStyle name="40% - Accent6 2 2 4 2 2 5" xfId="18968"/>
    <cellStyle name="40% - Accent6 2 2 4 2 3" xfId="7077"/>
    <cellStyle name="40% - Accent6 2 2 4 2 3 2" xfId="20727"/>
    <cellStyle name="40% - Accent6 2 2 4 2 4" xfId="10218"/>
    <cellStyle name="40% - Accent6 2 2 4 2 4 2" xfId="23849"/>
    <cellStyle name="40% - Accent6 2 2 4 2 5" xfId="13513"/>
    <cellStyle name="40% - Accent6 2 2 4 2 5 2" xfId="27141"/>
    <cellStyle name="40% - Accent6 2 2 4 2 6" xfId="17444"/>
    <cellStyle name="40% - Accent6 2 2 4 3" xfId="4432"/>
    <cellStyle name="40% - Accent6 2 2 4 3 2" xfId="7862"/>
    <cellStyle name="40% - Accent6 2 2 4 3 2 2" xfId="21510"/>
    <cellStyle name="40% - Accent6 2 2 4 3 3" xfId="10931"/>
    <cellStyle name="40% - Accent6 2 2 4 3 3 2" xfId="24562"/>
    <cellStyle name="40% - Accent6 2 2 4 3 4" xfId="14227"/>
    <cellStyle name="40% - Accent6 2 2 4 3 4 2" xfId="27855"/>
    <cellStyle name="40% - Accent6 2 2 4 3 5" xfId="18227"/>
    <cellStyle name="40% - Accent6 2 2 4 4" xfId="6283"/>
    <cellStyle name="40% - Accent6 2 2 4 4 2" xfId="19933"/>
    <cellStyle name="40% - Accent6 2 2 4 5" xfId="9485"/>
    <cellStyle name="40% - Accent6 2 2 4 5 2" xfId="23127"/>
    <cellStyle name="40% - Accent6 2 2 4 6" xfId="12799"/>
    <cellStyle name="40% - Accent6 2 2 4 6 2" xfId="26427"/>
    <cellStyle name="40% - Accent6 2 2 4 7" xfId="16716"/>
    <cellStyle name="40% - Accent6 2 2 5" xfId="2842"/>
    <cellStyle name="40% - Accent6 2 2 5 2" xfId="4746"/>
    <cellStyle name="40% - Accent6 2 2 5 2 2" xfId="8014"/>
    <cellStyle name="40% - Accent6 2 2 5 2 2 2" xfId="21662"/>
    <cellStyle name="40% - Accent6 2 2 5 2 3" xfId="11083"/>
    <cellStyle name="40% - Accent6 2 2 5 2 3 2" xfId="24714"/>
    <cellStyle name="40% - Accent6 2 2 5 2 4" xfId="14379"/>
    <cellStyle name="40% - Accent6 2 2 5 2 4 2" xfId="28007"/>
    <cellStyle name="40% - Accent6 2 2 5 2 5" xfId="18405"/>
    <cellStyle name="40% - Accent6 2 2 5 3" xfId="6436"/>
    <cellStyle name="40% - Accent6 2 2 5 3 2" xfId="20086"/>
    <cellStyle name="40% - Accent6 2 2 5 4" xfId="9657"/>
    <cellStyle name="40% - Accent6 2 2 5 4 2" xfId="23288"/>
    <cellStyle name="40% - Accent6 2 2 5 5" xfId="12952"/>
    <cellStyle name="40% - Accent6 2 2 5 5 2" xfId="26580"/>
    <cellStyle name="40% - Accent6 2 2 5 6" xfId="16868"/>
    <cellStyle name="40% - Accent6 2 2 6" xfId="3914"/>
    <cellStyle name="40% - Accent6 2 2 6 2" xfId="7344"/>
    <cellStyle name="40% - Accent6 2 2 6 2 2" xfId="20992"/>
    <cellStyle name="40% - Accent6 2 2 6 3" xfId="10482"/>
    <cellStyle name="40% - Accent6 2 2 6 3 2" xfId="24113"/>
    <cellStyle name="40% - Accent6 2 2 6 4" xfId="13778"/>
    <cellStyle name="40% - Accent6 2 2 6 4 2" xfId="27406"/>
    <cellStyle name="40% - Accent6 2 2 6 5" xfId="17709"/>
    <cellStyle name="40% - Accent6 2 2 7" xfId="5472"/>
    <cellStyle name="40% - Accent6 2 2 7 2" xfId="8733"/>
    <cellStyle name="40% - Accent6 2 2 7 2 2" xfId="22376"/>
    <cellStyle name="40% - Accent6 2 2 7 3" xfId="11793"/>
    <cellStyle name="40% - Accent6 2 2 7 3 2" xfId="25424"/>
    <cellStyle name="40% - Accent6 2 2 7 4" xfId="15089"/>
    <cellStyle name="40% - Accent6 2 2 7 4 2" xfId="28717"/>
    <cellStyle name="40% - Accent6 2 2 7 5" xfId="19122"/>
    <cellStyle name="40% - Accent6 2 2 8" xfId="5754"/>
    <cellStyle name="40% - Accent6 2 2 8 2" xfId="19404"/>
    <cellStyle name="40% - Accent6 2 2 9" xfId="8923"/>
    <cellStyle name="40% - Accent6 2 2 9 2" xfId="22566"/>
    <cellStyle name="40% - Accent6 2 3" xfId="755"/>
    <cellStyle name="40% - Accent6 2 3 2" xfId="2942"/>
    <cellStyle name="40% - Accent6 2 3 2 2" xfId="4787"/>
    <cellStyle name="40% - Accent6 2 3 2 2 2" xfId="8055"/>
    <cellStyle name="40% - Accent6 2 3 2 2 2 2" xfId="21703"/>
    <cellStyle name="40% - Accent6 2 3 2 2 3" xfId="11124"/>
    <cellStyle name="40% - Accent6 2 3 2 2 3 2" xfId="24755"/>
    <cellStyle name="40% - Accent6 2 3 2 2 4" xfId="14420"/>
    <cellStyle name="40% - Accent6 2 3 2 2 4 2" xfId="28048"/>
    <cellStyle name="40% - Accent6 2 3 2 2 5" xfId="18446"/>
    <cellStyle name="40% - Accent6 2 3 2 3" xfId="6477"/>
    <cellStyle name="40% - Accent6 2 3 2 3 2" xfId="20127"/>
    <cellStyle name="40% - Accent6 2 3 2 4" xfId="9698"/>
    <cellStyle name="40% - Accent6 2 3 2 4 2" xfId="23329"/>
    <cellStyle name="40% - Accent6 2 3 2 5" xfId="12993"/>
    <cellStyle name="40% - Accent6 2 3 2 5 2" xfId="26621"/>
    <cellStyle name="40% - Accent6 2 3 2 6" xfId="16911"/>
    <cellStyle name="40% - Accent6 2 3 3" xfId="3913"/>
    <cellStyle name="40% - Accent6 2 3 3 2" xfId="7343"/>
    <cellStyle name="40% - Accent6 2 3 3 2 2" xfId="20991"/>
    <cellStyle name="40% - Accent6 2 3 3 3" xfId="10481"/>
    <cellStyle name="40% - Accent6 2 3 3 3 2" xfId="24112"/>
    <cellStyle name="40% - Accent6 2 3 3 4" xfId="13777"/>
    <cellStyle name="40% - Accent6 2 3 3 4 2" xfId="27405"/>
    <cellStyle name="40% - Accent6 2 3 3 5" xfId="17708"/>
    <cellStyle name="40% - Accent6 2 3 4" xfId="5753"/>
    <cellStyle name="40% - Accent6 2 3 4 2" xfId="19403"/>
    <cellStyle name="40% - Accent6 2 3 5" xfId="8999"/>
    <cellStyle name="40% - Accent6 2 3 5 2" xfId="22642"/>
    <cellStyle name="40% - Accent6 2 3 6" xfId="12353"/>
    <cellStyle name="40% - Accent6 2 3 6 2" xfId="25981"/>
    <cellStyle name="40% - Accent6 2 3 7" xfId="16080"/>
    <cellStyle name="40% - Accent6 2 4" xfId="2167"/>
    <cellStyle name="40% - Accent6 2 4 2" xfId="3280"/>
    <cellStyle name="40% - Accent6 2 4 2 2" xfId="5026"/>
    <cellStyle name="40% - Accent6 2 4 2 2 2" xfId="8290"/>
    <cellStyle name="40% - Accent6 2 4 2 2 2 2" xfId="21938"/>
    <cellStyle name="40% - Accent6 2 4 2 2 3" xfId="11357"/>
    <cellStyle name="40% - Accent6 2 4 2 2 3 2" xfId="24988"/>
    <cellStyle name="40% - Accent6 2 4 2 2 4" xfId="14653"/>
    <cellStyle name="40% - Accent6 2 4 2 2 4 2" xfId="28281"/>
    <cellStyle name="40% - Accent6 2 4 2 2 5" xfId="18684"/>
    <cellStyle name="40% - Accent6 2 4 2 3" xfId="6714"/>
    <cellStyle name="40% - Accent6 2 4 2 3 2" xfId="20364"/>
    <cellStyle name="40% - Accent6 2 4 2 4" xfId="9934"/>
    <cellStyle name="40% - Accent6 2 4 2 4 2" xfId="23565"/>
    <cellStyle name="40% - Accent6 2 4 2 5" xfId="13229"/>
    <cellStyle name="40% - Accent6 2 4 2 5 2" xfId="26857"/>
    <cellStyle name="40% - Accent6 2 4 2 6" xfId="17159"/>
    <cellStyle name="40% - Accent6 2 4 3" xfId="4080"/>
    <cellStyle name="40% - Accent6 2 4 3 2" xfId="7510"/>
    <cellStyle name="40% - Accent6 2 4 3 2 2" xfId="21158"/>
    <cellStyle name="40% - Accent6 2 4 3 3" xfId="10648"/>
    <cellStyle name="40% - Accent6 2 4 3 3 2" xfId="24279"/>
    <cellStyle name="40% - Accent6 2 4 3 4" xfId="13944"/>
    <cellStyle name="40% - Accent6 2 4 3 4 2" xfId="27572"/>
    <cellStyle name="40% - Accent6 2 4 3 5" xfId="17875"/>
    <cellStyle name="40% - Accent6 2 4 4" xfId="5916"/>
    <cellStyle name="40% - Accent6 2 4 4 2" xfId="19566"/>
    <cellStyle name="40% - Accent6 2 4 5" xfId="9202"/>
    <cellStyle name="40% - Accent6 2 4 5 2" xfId="22844"/>
    <cellStyle name="40% - Accent6 2 4 6" xfId="12516"/>
    <cellStyle name="40% - Accent6 2 4 6 2" xfId="26144"/>
    <cellStyle name="40% - Accent6 2 4 7" xfId="16361"/>
    <cellStyle name="40% - Accent6 2 5" xfId="2308"/>
    <cellStyle name="40% - Accent6 2 5 2" xfId="3414"/>
    <cellStyle name="40% - Accent6 2 5 2 2" xfId="5150"/>
    <cellStyle name="40% - Accent6 2 5 2 2 2" xfId="8414"/>
    <cellStyle name="40% - Accent6 2 5 2 2 2 2" xfId="22062"/>
    <cellStyle name="40% - Accent6 2 5 2 2 3" xfId="11481"/>
    <cellStyle name="40% - Accent6 2 5 2 2 3 2" xfId="25112"/>
    <cellStyle name="40% - Accent6 2 5 2 2 4" xfId="14777"/>
    <cellStyle name="40% - Accent6 2 5 2 2 4 2" xfId="28405"/>
    <cellStyle name="40% - Accent6 2 5 2 2 5" xfId="18808"/>
    <cellStyle name="40% - Accent6 2 5 2 3" xfId="6848"/>
    <cellStyle name="40% - Accent6 2 5 2 3 2" xfId="20498"/>
    <cellStyle name="40% - Accent6 2 5 2 4" xfId="10058"/>
    <cellStyle name="40% - Accent6 2 5 2 4 2" xfId="23689"/>
    <cellStyle name="40% - Accent6 2 5 2 5" xfId="13353"/>
    <cellStyle name="40% - Accent6 2 5 2 5 2" xfId="26981"/>
    <cellStyle name="40% - Accent6 2 5 2 6" xfId="17283"/>
    <cellStyle name="40% - Accent6 2 5 3" xfId="4204"/>
    <cellStyle name="40% - Accent6 2 5 3 2" xfId="7634"/>
    <cellStyle name="40% - Accent6 2 5 3 2 2" xfId="21282"/>
    <cellStyle name="40% - Accent6 2 5 3 3" xfId="10772"/>
    <cellStyle name="40% - Accent6 2 5 3 3 2" xfId="24403"/>
    <cellStyle name="40% - Accent6 2 5 3 4" xfId="14068"/>
    <cellStyle name="40% - Accent6 2 5 3 4 2" xfId="27696"/>
    <cellStyle name="40% - Accent6 2 5 3 5" xfId="17999"/>
    <cellStyle name="40% - Accent6 2 5 4" xfId="6040"/>
    <cellStyle name="40% - Accent6 2 5 4 2" xfId="19690"/>
    <cellStyle name="40% - Accent6 2 5 5" xfId="9326"/>
    <cellStyle name="40% - Accent6 2 5 5 2" xfId="22968"/>
    <cellStyle name="40% - Accent6 2 5 6" xfId="12640"/>
    <cellStyle name="40% - Accent6 2 5 6 2" xfId="26268"/>
    <cellStyle name="40% - Accent6 2 5 7" xfId="16486"/>
    <cellStyle name="40% - Accent6 2 6" xfId="2688"/>
    <cellStyle name="40% - Accent6 2 6 2" xfId="3642"/>
    <cellStyle name="40% - Accent6 2 6 2 2" xfId="5309"/>
    <cellStyle name="40% - Accent6 2 6 2 2 2" xfId="8572"/>
    <cellStyle name="40% - Accent6 2 6 2 2 2 2" xfId="22220"/>
    <cellStyle name="40% - Accent6 2 6 2 2 3" xfId="11639"/>
    <cellStyle name="40% - Accent6 2 6 2 2 3 2" xfId="25270"/>
    <cellStyle name="40% - Accent6 2 6 2 2 4" xfId="14935"/>
    <cellStyle name="40% - Accent6 2 6 2 2 4 2" xfId="28563"/>
    <cellStyle name="40% - Accent6 2 6 2 2 5" xfId="18967"/>
    <cellStyle name="40% - Accent6 2 6 2 3" xfId="7076"/>
    <cellStyle name="40% - Accent6 2 6 2 3 2" xfId="20726"/>
    <cellStyle name="40% - Accent6 2 6 2 4" xfId="10217"/>
    <cellStyle name="40% - Accent6 2 6 2 4 2" xfId="23848"/>
    <cellStyle name="40% - Accent6 2 6 2 5" xfId="13512"/>
    <cellStyle name="40% - Accent6 2 6 2 5 2" xfId="27140"/>
    <cellStyle name="40% - Accent6 2 6 2 6" xfId="17443"/>
    <cellStyle name="40% - Accent6 2 6 3" xfId="4431"/>
    <cellStyle name="40% - Accent6 2 6 3 2" xfId="7861"/>
    <cellStyle name="40% - Accent6 2 6 3 2 2" xfId="21509"/>
    <cellStyle name="40% - Accent6 2 6 3 3" xfId="10930"/>
    <cellStyle name="40% - Accent6 2 6 3 3 2" xfId="24561"/>
    <cellStyle name="40% - Accent6 2 6 3 4" xfId="14226"/>
    <cellStyle name="40% - Accent6 2 6 3 4 2" xfId="27854"/>
    <cellStyle name="40% - Accent6 2 6 3 5" xfId="18226"/>
    <cellStyle name="40% - Accent6 2 6 4" xfId="6282"/>
    <cellStyle name="40% - Accent6 2 6 4 2" xfId="19932"/>
    <cellStyle name="40% - Accent6 2 6 5" xfId="9484"/>
    <cellStyle name="40% - Accent6 2 6 5 2" xfId="23126"/>
    <cellStyle name="40% - Accent6 2 6 6" xfId="12798"/>
    <cellStyle name="40% - Accent6 2 6 6 2" xfId="26426"/>
    <cellStyle name="40% - Accent6 2 6 7" xfId="16715"/>
    <cellStyle name="40% - Accent6 2 7" xfId="2841"/>
    <cellStyle name="40% - Accent6 2 7 2" xfId="4745"/>
    <cellStyle name="40% - Accent6 2 7 2 2" xfId="8013"/>
    <cellStyle name="40% - Accent6 2 7 2 2 2" xfId="21661"/>
    <cellStyle name="40% - Accent6 2 7 2 3" xfId="11082"/>
    <cellStyle name="40% - Accent6 2 7 2 3 2" xfId="24713"/>
    <cellStyle name="40% - Accent6 2 7 2 4" xfId="14378"/>
    <cellStyle name="40% - Accent6 2 7 2 4 2" xfId="28006"/>
    <cellStyle name="40% - Accent6 2 7 2 5" xfId="18404"/>
    <cellStyle name="40% - Accent6 2 7 3" xfId="6435"/>
    <cellStyle name="40% - Accent6 2 7 3 2" xfId="20085"/>
    <cellStyle name="40% - Accent6 2 7 4" xfId="9656"/>
    <cellStyle name="40% - Accent6 2 7 4 2" xfId="23287"/>
    <cellStyle name="40% - Accent6 2 7 5" xfId="12951"/>
    <cellStyle name="40% - Accent6 2 7 5 2" xfId="26579"/>
    <cellStyle name="40% - Accent6 2 7 6" xfId="16867"/>
    <cellStyle name="40% - Accent6 2 8" xfId="5471"/>
    <cellStyle name="40% - Accent6 2 8 2" xfId="8732"/>
    <cellStyle name="40% - Accent6 2 8 2 2" xfId="22375"/>
    <cellStyle name="40% - Accent6 2 8 3" xfId="11792"/>
    <cellStyle name="40% - Accent6 2 8 3 2" xfId="25423"/>
    <cellStyle name="40% - Accent6 2 8 4" xfId="15088"/>
    <cellStyle name="40% - Accent6 2 8 4 2" xfId="28716"/>
    <cellStyle name="40% - Accent6 2 8 5" xfId="19121"/>
    <cellStyle name="40% - Accent6 2 9" xfId="8922"/>
    <cellStyle name="40% - Accent6 2 9 2" xfId="22565"/>
    <cellStyle name="40% - Accent6 3" xfId="3785"/>
    <cellStyle name="40% - Accent6 3 2" xfId="7221"/>
    <cellStyle name="40% - Accent6 3 2 2" xfId="20869"/>
    <cellStyle name="40% - Accent6 3 3" xfId="10360"/>
    <cellStyle name="40% - Accent6 3 3 2" xfId="23991"/>
    <cellStyle name="40% - Accent6 3 4" xfId="13655"/>
    <cellStyle name="40% - Accent6 3 4 2" xfId="27283"/>
    <cellStyle name="40% - Accent6 3 5" xfId="17586"/>
    <cellStyle name="40% - Accent6 4" xfId="5629"/>
    <cellStyle name="40% - Accent6 4 2" xfId="19279"/>
    <cellStyle name="40% - Accent6 5" xfId="12215"/>
    <cellStyle name="40% - Accent6 5 2" xfId="25843"/>
    <cellStyle name="40% - Accent6 6" xfId="12232"/>
    <cellStyle name="40% - Accent6 6 2" xfId="25860"/>
    <cellStyle name="40% - Accent6 7" xfId="15267"/>
    <cellStyle name="40% - Accent6 7 2" xfId="28895"/>
    <cellStyle name="40% - Accent6 8" xfId="15442"/>
    <cellStyle name="40% - Accent6 8 2" xfId="28972"/>
    <cellStyle name="40% - Accent6 9" xfId="15683"/>
    <cellStyle name="40% - Accent6 9 2" xfId="29104"/>
    <cellStyle name="60% - Accent1" xfId="440" builtinId="32" customBuiltin="1"/>
    <cellStyle name="60% - Accent1 2" xfId="370"/>
    <cellStyle name="60% - Accent1 2 2" xfId="757"/>
    <cellStyle name="60% - Accent1 3" xfId="15716"/>
    <cellStyle name="60% - Accent1 4" xfId="15812"/>
    <cellStyle name="60% - Accent1 5" xfId="15943"/>
    <cellStyle name="60% - Accent2" xfId="444" builtinId="36" customBuiltin="1"/>
    <cellStyle name="60% - Accent2 2" xfId="371"/>
    <cellStyle name="60% - Accent2 2 2" xfId="758"/>
    <cellStyle name="60% - Accent2 3" xfId="15717"/>
    <cellStyle name="60% - Accent2 4" xfId="15947"/>
    <cellStyle name="60% - Accent3" xfId="448" builtinId="40" customBuiltin="1"/>
    <cellStyle name="60% - Accent3 2" xfId="372"/>
    <cellStyle name="60% - Accent3 2 2" xfId="759"/>
    <cellStyle name="60% - Accent3 3" xfId="15718"/>
    <cellStyle name="60% - Accent3 4" xfId="15811"/>
    <cellStyle name="60% - Accent3 5" xfId="15951"/>
    <cellStyle name="60% - Accent4" xfId="452" builtinId="44" customBuiltin="1"/>
    <cellStyle name="60% - Accent4 2" xfId="373"/>
    <cellStyle name="60% - Accent4 2 2" xfId="760"/>
    <cellStyle name="60% - Accent4 3" xfId="15719"/>
    <cellStyle name="60% - Accent4 4" xfId="15810"/>
    <cellStyle name="60% - Accent4 5" xfId="15955"/>
    <cellStyle name="60% - Accent5" xfId="456" builtinId="48" customBuiltin="1"/>
    <cellStyle name="60% - Accent5 2" xfId="374"/>
    <cellStyle name="60% - Accent5 2 2" xfId="761"/>
    <cellStyle name="60% - Accent5 3" xfId="15720"/>
    <cellStyle name="60% - Accent5 4" xfId="15959"/>
    <cellStyle name="60% - Accent6" xfId="460" builtinId="52" customBuiltin="1"/>
    <cellStyle name="60% - Accent6 2" xfId="375"/>
    <cellStyle name="60% - Accent6 2 2" xfId="762"/>
    <cellStyle name="60% - Accent6 3" xfId="15721"/>
    <cellStyle name="60% - Accent6 4" xfId="15809"/>
    <cellStyle name="60% - Accent6 5" xfId="15963"/>
    <cellStyle name="Accent1" xfId="437" builtinId="29" customBuiltin="1"/>
    <cellStyle name="Accent1 2" xfId="376"/>
    <cellStyle name="Accent1 2 2" xfId="763"/>
    <cellStyle name="Accent1 3" xfId="15722"/>
    <cellStyle name="Accent1 4" xfId="15808"/>
    <cellStyle name="Accent1 5" xfId="15940"/>
    <cellStyle name="Accent2" xfId="441" builtinId="33" customBuiltin="1"/>
    <cellStyle name="Accent2 2" xfId="377"/>
    <cellStyle name="Accent2 2 2" xfId="764"/>
    <cellStyle name="Accent2 3" xfId="15723"/>
    <cellStyle name="Accent2 4" xfId="15807"/>
    <cellStyle name="Accent2 5" xfId="15944"/>
    <cellStyle name="Accent3" xfId="445" builtinId="37" customBuiltin="1"/>
    <cellStyle name="Accent3 2" xfId="378"/>
    <cellStyle name="Accent3 2 2" xfId="765"/>
    <cellStyle name="Accent3 3" xfId="15724"/>
    <cellStyle name="Accent3 4" xfId="15806"/>
    <cellStyle name="Accent3 5" xfId="15948"/>
    <cellStyle name="Accent4" xfId="449" builtinId="41" customBuiltin="1"/>
    <cellStyle name="Accent4 2" xfId="379"/>
    <cellStyle name="Accent4 2 2" xfId="766"/>
    <cellStyle name="Accent4 3" xfId="15725"/>
    <cellStyle name="Accent4 4" xfId="15805"/>
    <cellStyle name="Accent4 5" xfId="15952"/>
    <cellStyle name="Accent5" xfId="453" builtinId="45" customBuiltin="1"/>
    <cellStyle name="Accent5 2" xfId="380"/>
    <cellStyle name="Accent5 2 2" xfId="767"/>
    <cellStyle name="Accent5 3" xfId="15726"/>
    <cellStyle name="Accent5 4" xfId="15956"/>
    <cellStyle name="Accent6" xfId="457" builtinId="49" customBuiltin="1"/>
    <cellStyle name="Accent6 2" xfId="381"/>
    <cellStyle name="Accent6 2 2" xfId="768"/>
    <cellStyle name="Accent6 3" xfId="15727"/>
    <cellStyle name="Accent6 4" xfId="15804"/>
    <cellStyle name="Accent6 5" xfId="15960"/>
    <cellStyle name="Bad" xfId="427" builtinId="27" customBuiltin="1"/>
    <cellStyle name="Bad 2" xfId="382"/>
    <cellStyle name="Bad 2 2" xfId="769"/>
    <cellStyle name="Bad 3" xfId="15728"/>
    <cellStyle name="Bad 4" xfId="15803"/>
    <cellStyle name="Bad 5" xfId="15930"/>
    <cellStyle name="Calculation" xfId="431" builtinId="22" customBuiltin="1"/>
    <cellStyle name="Calculation 2" xfId="383"/>
    <cellStyle name="Calculation 2 2" xfId="770"/>
    <cellStyle name="Calculation 2 3" xfId="5674"/>
    <cellStyle name="Calculation 2 3 2" xfId="19324"/>
    <cellStyle name="Calculation 2 3 3" xfId="29278"/>
    <cellStyle name="Calculation 2 4" xfId="15905"/>
    <cellStyle name="Calculation 2 5" xfId="29193"/>
    <cellStyle name="Calculation 3" xfId="15729"/>
    <cellStyle name="Calculation 3 2" xfId="29124"/>
    <cellStyle name="Calculation 3 3" xfId="16189"/>
    <cellStyle name="Calculation 4" xfId="15802"/>
    <cellStyle name="Calculation 4 2" xfId="29140"/>
    <cellStyle name="Calculation 4 3" xfId="29605"/>
    <cellStyle name="Calculation 5" xfId="15823"/>
    <cellStyle name="Calculation 5 2" xfId="29162"/>
    <cellStyle name="Calculation 5 2 2" xfId="29596"/>
    <cellStyle name="Calculation 5 3" xfId="29163"/>
    <cellStyle name="Calculation 5 3 2" xfId="29597"/>
    <cellStyle name="Calculation 6" xfId="15934"/>
    <cellStyle name="Check Cell" xfId="433" builtinId="23" customBuiltin="1"/>
    <cellStyle name="Check Cell 2" xfId="384"/>
    <cellStyle name="Check Cell 2 2" xfId="771"/>
    <cellStyle name="Check Cell 3" xfId="15730"/>
    <cellStyle name="Check Cell 4" xfId="15936"/>
    <cellStyle name="Comma" xfId="1" builtinId="3"/>
    <cellStyle name="Comma 10" xfId="177"/>
    <cellStyle name="Comma 10 10" xfId="774"/>
    <cellStyle name="Comma 10 10 2" xfId="2843"/>
    <cellStyle name="Comma 10 11" xfId="775"/>
    <cellStyle name="Comma 10 11 2" xfId="2844"/>
    <cellStyle name="Comma 10 12" xfId="773"/>
    <cellStyle name="Comma 10 13" xfId="1770"/>
    <cellStyle name="Comma 10 13 2" xfId="3191"/>
    <cellStyle name="Comma 10 13 2 2" xfId="4939"/>
    <cellStyle name="Comma 10 13 2 2 2" xfId="8204"/>
    <cellStyle name="Comma 10 13 2 2 2 2" xfId="21852"/>
    <cellStyle name="Comma 10 13 2 2 3" xfId="11271"/>
    <cellStyle name="Comma 10 13 2 2 3 2" xfId="24902"/>
    <cellStyle name="Comma 10 13 2 2 4" xfId="14567"/>
    <cellStyle name="Comma 10 13 2 2 4 2" xfId="28195"/>
    <cellStyle name="Comma 10 13 2 2 5" xfId="18597"/>
    <cellStyle name="Comma 10 13 2 3" xfId="6626"/>
    <cellStyle name="Comma 10 13 2 3 2" xfId="20276"/>
    <cellStyle name="Comma 10 13 2 4" xfId="9847"/>
    <cellStyle name="Comma 10 13 2 4 2" xfId="23478"/>
    <cellStyle name="Comma 10 13 2 5" xfId="13142"/>
    <cellStyle name="Comma 10 13 2 5 2" xfId="26770"/>
    <cellStyle name="Comma 10 13 2 6" xfId="17072"/>
    <cellStyle name="Comma 10 13 3" xfId="3994"/>
    <cellStyle name="Comma 10 13 3 2" xfId="7424"/>
    <cellStyle name="Comma 10 13 3 2 2" xfId="21072"/>
    <cellStyle name="Comma 10 13 3 3" xfId="10562"/>
    <cellStyle name="Comma 10 13 3 3 2" xfId="24193"/>
    <cellStyle name="Comma 10 13 3 4" xfId="13858"/>
    <cellStyle name="Comma 10 13 3 4 2" xfId="27486"/>
    <cellStyle name="Comma 10 13 3 5" xfId="17789"/>
    <cellStyle name="Comma 10 13 4" xfId="5830"/>
    <cellStyle name="Comma 10 13 4 2" xfId="19480"/>
    <cellStyle name="Comma 10 13 5" xfId="9129"/>
    <cellStyle name="Comma 10 13 5 2" xfId="22771"/>
    <cellStyle name="Comma 10 13 6" xfId="12430"/>
    <cellStyle name="Comma 10 13 6 2" xfId="26058"/>
    <cellStyle name="Comma 10 13 7" xfId="16212"/>
    <cellStyle name="Comma 10 14" xfId="2137"/>
    <cellStyle name="Comma 10 14 2" xfId="3250"/>
    <cellStyle name="Comma 10 14 2 2" xfId="4997"/>
    <cellStyle name="Comma 10 14 2 2 2" xfId="8261"/>
    <cellStyle name="Comma 10 14 2 2 2 2" xfId="21909"/>
    <cellStyle name="Comma 10 14 2 2 3" xfId="11328"/>
    <cellStyle name="Comma 10 14 2 2 3 2" xfId="24959"/>
    <cellStyle name="Comma 10 14 2 2 4" xfId="14624"/>
    <cellStyle name="Comma 10 14 2 2 4 2" xfId="28252"/>
    <cellStyle name="Comma 10 14 2 2 5" xfId="18655"/>
    <cellStyle name="Comma 10 14 2 3" xfId="6684"/>
    <cellStyle name="Comma 10 14 2 3 2" xfId="20334"/>
    <cellStyle name="Comma 10 14 2 4" xfId="9905"/>
    <cellStyle name="Comma 10 14 2 4 2" xfId="23536"/>
    <cellStyle name="Comma 10 14 2 5" xfId="13200"/>
    <cellStyle name="Comma 10 14 2 5 2" xfId="26828"/>
    <cellStyle name="Comma 10 14 2 6" xfId="17130"/>
    <cellStyle name="Comma 10 14 3" xfId="4051"/>
    <cellStyle name="Comma 10 14 3 2" xfId="7481"/>
    <cellStyle name="Comma 10 14 3 2 2" xfId="21129"/>
    <cellStyle name="Comma 10 14 3 3" xfId="10619"/>
    <cellStyle name="Comma 10 14 3 3 2" xfId="24250"/>
    <cellStyle name="Comma 10 14 3 4" xfId="13915"/>
    <cellStyle name="Comma 10 14 3 4 2" xfId="27543"/>
    <cellStyle name="Comma 10 14 3 5" xfId="17846"/>
    <cellStyle name="Comma 10 14 4" xfId="5887"/>
    <cellStyle name="Comma 10 14 4 2" xfId="19537"/>
    <cellStyle name="Comma 10 14 5" xfId="9173"/>
    <cellStyle name="Comma 10 14 5 2" xfId="22815"/>
    <cellStyle name="Comma 10 14 6" xfId="12487"/>
    <cellStyle name="Comma 10 14 6 2" xfId="26115"/>
    <cellStyle name="Comma 10 14 7" xfId="16332"/>
    <cellStyle name="Comma 10 15" xfId="2311"/>
    <cellStyle name="Comma 10 15 2" xfId="3417"/>
    <cellStyle name="Comma 10 15 2 2" xfId="5153"/>
    <cellStyle name="Comma 10 15 2 2 2" xfId="8417"/>
    <cellStyle name="Comma 10 15 2 2 2 2" xfId="22065"/>
    <cellStyle name="Comma 10 15 2 2 3" xfId="11484"/>
    <cellStyle name="Comma 10 15 2 2 3 2" xfId="25115"/>
    <cellStyle name="Comma 10 15 2 2 4" xfId="14780"/>
    <cellStyle name="Comma 10 15 2 2 4 2" xfId="28408"/>
    <cellStyle name="Comma 10 15 2 2 5" xfId="18811"/>
    <cellStyle name="Comma 10 15 2 3" xfId="6851"/>
    <cellStyle name="Comma 10 15 2 3 2" xfId="20501"/>
    <cellStyle name="Comma 10 15 2 4" xfId="10061"/>
    <cellStyle name="Comma 10 15 2 4 2" xfId="23692"/>
    <cellStyle name="Comma 10 15 2 5" xfId="13356"/>
    <cellStyle name="Comma 10 15 2 5 2" xfId="26984"/>
    <cellStyle name="Comma 10 15 2 6" xfId="17286"/>
    <cellStyle name="Comma 10 15 3" xfId="4207"/>
    <cellStyle name="Comma 10 15 3 2" xfId="7637"/>
    <cellStyle name="Comma 10 15 3 2 2" xfId="21285"/>
    <cellStyle name="Comma 10 15 3 3" xfId="10775"/>
    <cellStyle name="Comma 10 15 3 3 2" xfId="24406"/>
    <cellStyle name="Comma 10 15 3 4" xfId="14071"/>
    <cellStyle name="Comma 10 15 3 4 2" xfId="27699"/>
    <cellStyle name="Comma 10 15 3 5" xfId="18002"/>
    <cellStyle name="Comma 10 15 4" xfId="6043"/>
    <cellStyle name="Comma 10 15 4 2" xfId="19693"/>
    <cellStyle name="Comma 10 15 5" xfId="9329"/>
    <cellStyle name="Comma 10 15 5 2" xfId="22971"/>
    <cellStyle name="Comma 10 15 6" xfId="12643"/>
    <cellStyle name="Comma 10 15 6 2" xfId="26271"/>
    <cellStyle name="Comma 10 15 7" xfId="16489"/>
    <cellStyle name="Comma 10 16" xfId="2691"/>
    <cellStyle name="Comma 10 16 2" xfId="3645"/>
    <cellStyle name="Comma 10 16 2 2" xfId="5312"/>
    <cellStyle name="Comma 10 16 2 2 2" xfId="8575"/>
    <cellStyle name="Comma 10 16 2 2 2 2" xfId="22223"/>
    <cellStyle name="Comma 10 16 2 2 3" xfId="11642"/>
    <cellStyle name="Comma 10 16 2 2 3 2" xfId="25273"/>
    <cellStyle name="Comma 10 16 2 2 4" xfId="14938"/>
    <cellStyle name="Comma 10 16 2 2 4 2" xfId="28566"/>
    <cellStyle name="Comma 10 16 2 2 5" xfId="18970"/>
    <cellStyle name="Comma 10 16 2 3" xfId="7079"/>
    <cellStyle name="Comma 10 16 2 3 2" xfId="20729"/>
    <cellStyle name="Comma 10 16 2 4" xfId="10220"/>
    <cellStyle name="Comma 10 16 2 4 2" xfId="23851"/>
    <cellStyle name="Comma 10 16 2 5" xfId="13515"/>
    <cellStyle name="Comma 10 16 2 5 2" xfId="27143"/>
    <cellStyle name="Comma 10 16 2 6" xfId="17446"/>
    <cellStyle name="Comma 10 16 3" xfId="4434"/>
    <cellStyle name="Comma 10 16 3 2" xfId="7864"/>
    <cellStyle name="Comma 10 16 3 2 2" xfId="21512"/>
    <cellStyle name="Comma 10 16 3 3" xfId="10933"/>
    <cellStyle name="Comma 10 16 3 3 2" xfId="24564"/>
    <cellStyle name="Comma 10 16 3 4" xfId="14229"/>
    <cellStyle name="Comma 10 16 3 4 2" xfId="27857"/>
    <cellStyle name="Comma 10 16 3 5" xfId="18229"/>
    <cellStyle name="Comma 10 16 4" xfId="6285"/>
    <cellStyle name="Comma 10 16 4 2" xfId="19935"/>
    <cellStyle name="Comma 10 16 5" xfId="9487"/>
    <cellStyle name="Comma 10 16 5 2" xfId="23129"/>
    <cellStyle name="Comma 10 16 6" xfId="12801"/>
    <cellStyle name="Comma 10 16 6 2" xfId="26429"/>
    <cellStyle name="Comma 10 16 7" xfId="16718"/>
    <cellStyle name="Comma 10 17" xfId="3180"/>
    <cellStyle name="Comma 10 17 2" xfId="4929"/>
    <cellStyle name="Comma 10 17 2 2" xfId="8195"/>
    <cellStyle name="Comma 10 17 2 2 2" xfId="21843"/>
    <cellStyle name="Comma 10 17 2 3" xfId="11262"/>
    <cellStyle name="Comma 10 17 2 3 2" xfId="24893"/>
    <cellStyle name="Comma 10 17 2 4" xfId="14558"/>
    <cellStyle name="Comma 10 17 2 4 2" xfId="28186"/>
    <cellStyle name="Comma 10 17 2 5" xfId="18587"/>
    <cellStyle name="Comma 10 17 3" xfId="6616"/>
    <cellStyle name="Comma 10 17 3 2" xfId="20266"/>
    <cellStyle name="Comma 10 17 4" xfId="9837"/>
    <cellStyle name="Comma 10 17 4 2" xfId="23468"/>
    <cellStyle name="Comma 10 17 5" xfId="13132"/>
    <cellStyle name="Comma 10 17 5 2" xfId="26760"/>
    <cellStyle name="Comma 10 17 6" xfId="17062"/>
    <cellStyle name="Comma 10 18" xfId="3798"/>
    <cellStyle name="Comma 10 18 2" xfId="7230"/>
    <cellStyle name="Comma 10 18 2 2" xfId="20878"/>
    <cellStyle name="Comma 10 18 3" xfId="10368"/>
    <cellStyle name="Comma 10 18 3 2" xfId="23999"/>
    <cellStyle name="Comma 10 18 4" xfId="13664"/>
    <cellStyle name="Comma 10 18 4 2" xfId="27292"/>
    <cellStyle name="Comma 10 18 5" xfId="17595"/>
    <cellStyle name="Comma 10 19" xfId="5474"/>
    <cellStyle name="Comma 10 19 2" xfId="8735"/>
    <cellStyle name="Comma 10 19 2 2" xfId="22378"/>
    <cellStyle name="Comma 10 19 3" xfId="11795"/>
    <cellStyle name="Comma 10 19 3 2" xfId="25426"/>
    <cellStyle name="Comma 10 19 4" xfId="15091"/>
    <cellStyle name="Comma 10 19 4 2" xfId="28719"/>
    <cellStyle name="Comma 10 19 5" xfId="19124"/>
    <cellStyle name="Comma 10 2" xfId="350"/>
    <cellStyle name="Comma 10 2 2" xfId="776"/>
    <cellStyle name="Comma 10 2 3" xfId="3104"/>
    <cellStyle name="Comma 10 2 3 2" xfId="4899"/>
    <cellStyle name="Comma 10 2 3 2 2" xfId="8165"/>
    <cellStyle name="Comma 10 2 3 2 2 2" xfId="21813"/>
    <cellStyle name="Comma 10 2 3 2 3" xfId="11232"/>
    <cellStyle name="Comma 10 2 3 2 3 2" xfId="24863"/>
    <cellStyle name="Comma 10 2 3 2 4" xfId="14528"/>
    <cellStyle name="Comma 10 2 3 2 4 2" xfId="28156"/>
    <cellStyle name="Comma 10 2 3 2 5" xfId="18557"/>
    <cellStyle name="Comma 10 2 3 3" xfId="6586"/>
    <cellStyle name="Comma 10 2 3 3 2" xfId="20236"/>
    <cellStyle name="Comma 10 2 3 4" xfId="9807"/>
    <cellStyle name="Comma 10 2 3 4 2" xfId="23438"/>
    <cellStyle name="Comma 10 2 3 5" xfId="13102"/>
    <cellStyle name="Comma 10 2 3 5 2" xfId="26730"/>
    <cellStyle name="Comma 10 2 3 6" xfId="17022"/>
    <cellStyle name="Comma 10 2 4" xfId="3830"/>
    <cellStyle name="Comma 10 2 4 2" xfId="7262"/>
    <cellStyle name="Comma 10 2 4 2 2" xfId="20910"/>
    <cellStyle name="Comma 10 2 4 3" xfId="10400"/>
    <cellStyle name="Comma 10 2 4 3 2" xfId="24031"/>
    <cellStyle name="Comma 10 2 4 4" xfId="13696"/>
    <cellStyle name="Comma 10 2 4 4 2" xfId="27324"/>
    <cellStyle name="Comma 10 2 4 5" xfId="17627"/>
    <cellStyle name="Comma 10 2 5" xfId="5670"/>
    <cellStyle name="Comma 10 2 5 2" xfId="19320"/>
    <cellStyle name="Comma 10 2 6" xfId="9102"/>
    <cellStyle name="Comma 10 2 6 2" xfId="22745"/>
    <cellStyle name="Comma 10 2 7" xfId="12273"/>
    <cellStyle name="Comma 10 2 7 2" xfId="25901"/>
    <cellStyle name="Comma 10 2 8" xfId="15901"/>
    <cellStyle name="Comma 10 20" xfId="5638"/>
    <cellStyle name="Comma 10 20 2" xfId="19288"/>
    <cellStyle name="Comma 10 21" xfId="8925"/>
    <cellStyle name="Comma 10 21 2" xfId="22568"/>
    <cellStyle name="Comma 10 22" xfId="11949"/>
    <cellStyle name="Comma 10 22 2" xfId="25580"/>
    <cellStyle name="Comma 10 23" xfId="12083"/>
    <cellStyle name="Comma 10 23 2" xfId="25711"/>
    <cellStyle name="Comma 10 24" xfId="12241"/>
    <cellStyle name="Comma 10 24 2" xfId="25869"/>
    <cellStyle name="Comma 10 25" xfId="15859"/>
    <cellStyle name="Comma 10 3" xfId="313"/>
    <cellStyle name="Comma 10 3 2" xfId="777"/>
    <cellStyle name="Comma 10 3 2 10" xfId="12084"/>
    <cellStyle name="Comma 10 3 2 10 2" xfId="25712"/>
    <cellStyle name="Comma 10 3 2 2" xfId="1772"/>
    <cellStyle name="Comma 10 3 2 3" xfId="1771"/>
    <cellStyle name="Comma 10 3 2 3 2" xfId="3192"/>
    <cellStyle name="Comma 10 3 2 3 2 2" xfId="4940"/>
    <cellStyle name="Comma 10 3 2 3 2 2 2" xfId="8205"/>
    <cellStyle name="Comma 10 3 2 3 2 2 2 2" xfId="21853"/>
    <cellStyle name="Comma 10 3 2 3 2 2 3" xfId="11272"/>
    <cellStyle name="Comma 10 3 2 3 2 2 3 2" xfId="24903"/>
    <cellStyle name="Comma 10 3 2 3 2 2 4" xfId="14568"/>
    <cellStyle name="Comma 10 3 2 3 2 2 4 2" xfId="28196"/>
    <cellStyle name="Comma 10 3 2 3 2 2 5" xfId="18598"/>
    <cellStyle name="Comma 10 3 2 3 2 3" xfId="6627"/>
    <cellStyle name="Comma 10 3 2 3 2 3 2" xfId="20277"/>
    <cellStyle name="Comma 10 3 2 3 2 4" xfId="9848"/>
    <cellStyle name="Comma 10 3 2 3 2 4 2" xfId="23479"/>
    <cellStyle name="Comma 10 3 2 3 2 5" xfId="13143"/>
    <cellStyle name="Comma 10 3 2 3 2 5 2" xfId="26771"/>
    <cellStyle name="Comma 10 3 2 3 2 6" xfId="17073"/>
    <cellStyle name="Comma 10 3 2 3 3" xfId="3995"/>
    <cellStyle name="Comma 10 3 2 3 3 2" xfId="7425"/>
    <cellStyle name="Comma 10 3 2 3 3 2 2" xfId="21073"/>
    <cellStyle name="Comma 10 3 2 3 3 3" xfId="10563"/>
    <cellStyle name="Comma 10 3 2 3 3 3 2" xfId="24194"/>
    <cellStyle name="Comma 10 3 2 3 3 4" xfId="13859"/>
    <cellStyle name="Comma 10 3 2 3 3 4 2" xfId="27487"/>
    <cellStyle name="Comma 10 3 2 3 3 5" xfId="17790"/>
    <cellStyle name="Comma 10 3 2 3 4" xfId="5831"/>
    <cellStyle name="Comma 10 3 2 3 4 2" xfId="19481"/>
    <cellStyle name="Comma 10 3 2 3 5" xfId="9130"/>
    <cellStyle name="Comma 10 3 2 3 5 2" xfId="22772"/>
    <cellStyle name="Comma 10 3 2 3 6" xfId="12431"/>
    <cellStyle name="Comma 10 3 2 3 6 2" xfId="26059"/>
    <cellStyle name="Comma 10 3 2 3 7" xfId="16213"/>
    <cellStyle name="Comma 10 3 2 4" xfId="2243"/>
    <cellStyle name="Comma 10 3 2 4 2" xfId="3356"/>
    <cellStyle name="Comma 10 3 2 4 2 2" xfId="5099"/>
    <cellStyle name="Comma 10 3 2 4 2 2 2" xfId="8363"/>
    <cellStyle name="Comma 10 3 2 4 2 2 2 2" xfId="22011"/>
    <cellStyle name="Comma 10 3 2 4 2 2 3" xfId="11430"/>
    <cellStyle name="Comma 10 3 2 4 2 2 3 2" xfId="25061"/>
    <cellStyle name="Comma 10 3 2 4 2 2 4" xfId="14726"/>
    <cellStyle name="Comma 10 3 2 4 2 2 4 2" xfId="28354"/>
    <cellStyle name="Comma 10 3 2 4 2 2 5" xfId="18757"/>
    <cellStyle name="Comma 10 3 2 4 2 3" xfId="6790"/>
    <cellStyle name="Comma 10 3 2 4 2 3 2" xfId="20440"/>
    <cellStyle name="Comma 10 3 2 4 2 4" xfId="10007"/>
    <cellStyle name="Comma 10 3 2 4 2 4 2" xfId="23638"/>
    <cellStyle name="Comma 10 3 2 4 2 5" xfId="13302"/>
    <cellStyle name="Comma 10 3 2 4 2 5 2" xfId="26930"/>
    <cellStyle name="Comma 10 3 2 4 2 6" xfId="17232"/>
    <cellStyle name="Comma 10 3 2 4 3" xfId="4153"/>
    <cellStyle name="Comma 10 3 2 4 3 2" xfId="7583"/>
    <cellStyle name="Comma 10 3 2 4 3 2 2" xfId="21231"/>
    <cellStyle name="Comma 10 3 2 4 3 3" xfId="10721"/>
    <cellStyle name="Comma 10 3 2 4 3 3 2" xfId="24352"/>
    <cellStyle name="Comma 10 3 2 4 3 4" xfId="14017"/>
    <cellStyle name="Comma 10 3 2 4 3 4 2" xfId="27645"/>
    <cellStyle name="Comma 10 3 2 4 3 5" xfId="17948"/>
    <cellStyle name="Comma 10 3 2 4 4" xfId="5989"/>
    <cellStyle name="Comma 10 3 2 4 4 2" xfId="19639"/>
    <cellStyle name="Comma 10 3 2 4 5" xfId="9275"/>
    <cellStyle name="Comma 10 3 2 4 5 2" xfId="22917"/>
    <cellStyle name="Comma 10 3 2 4 6" xfId="12589"/>
    <cellStyle name="Comma 10 3 2 4 6 2" xfId="26217"/>
    <cellStyle name="Comma 10 3 2 4 7" xfId="16434"/>
    <cellStyle name="Comma 10 3 2 5" xfId="2312"/>
    <cellStyle name="Comma 10 3 2 5 2" xfId="3418"/>
    <cellStyle name="Comma 10 3 2 5 2 2" xfId="5154"/>
    <cellStyle name="Comma 10 3 2 5 2 2 2" xfId="8418"/>
    <cellStyle name="Comma 10 3 2 5 2 2 2 2" xfId="22066"/>
    <cellStyle name="Comma 10 3 2 5 2 2 3" xfId="11485"/>
    <cellStyle name="Comma 10 3 2 5 2 2 3 2" xfId="25116"/>
    <cellStyle name="Comma 10 3 2 5 2 2 4" xfId="14781"/>
    <cellStyle name="Comma 10 3 2 5 2 2 4 2" xfId="28409"/>
    <cellStyle name="Comma 10 3 2 5 2 2 5" xfId="18812"/>
    <cellStyle name="Comma 10 3 2 5 2 3" xfId="6852"/>
    <cellStyle name="Comma 10 3 2 5 2 3 2" xfId="20502"/>
    <cellStyle name="Comma 10 3 2 5 2 4" xfId="10062"/>
    <cellStyle name="Comma 10 3 2 5 2 4 2" xfId="23693"/>
    <cellStyle name="Comma 10 3 2 5 2 5" xfId="13357"/>
    <cellStyle name="Comma 10 3 2 5 2 5 2" xfId="26985"/>
    <cellStyle name="Comma 10 3 2 5 2 6" xfId="17287"/>
    <cellStyle name="Comma 10 3 2 5 3" xfId="4208"/>
    <cellStyle name="Comma 10 3 2 5 3 2" xfId="7638"/>
    <cellStyle name="Comma 10 3 2 5 3 2 2" xfId="21286"/>
    <cellStyle name="Comma 10 3 2 5 3 3" xfId="10776"/>
    <cellStyle name="Comma 10 3 2 5 3 3 2" xfId="24407"/>
    <cellStyle name="Comma 10 3 2 5 3 4" xfId="14072"/>
    <cellStyle name="Comma 10 3 2 5 3 4 2" xfId="27700"/>
    <cellStyle name="Comma 10 3 2 5 3 5" xfId="18003"/>
    <cellStyle name="Comma 10 3 2 5 4" xfId="6044"/>
    <cellStyle name="Comma 10 3 2 5 4 2" xfId="19694"/>
    <cellStyle name="Comma 10 3 2 5 5" xfId="9330"/>
    <cellStyle name="Comma 10 3 2 5 5 2" xfId="22972"/>
    <cellStyle name="Comma 10 3 2 5 6" xfId="12644"/>
    <cellStyle name="Comma 10 3 2 5 6 2" xfId="26272"/>
    <cellStyle name="Comma 10 3 2 5 7" xfId="16490"/>
    <cellStyle name="Comma 10 3 2 6" xfId="2692"/>
    <cellStyle name="Comma 10 3 2 6 2" xfId="3646"/>
    <cellStyle name="Comma 10 3 2 6 2 2" xfId="5313"/>
    <cellStyle name="Comma 10 3 2 6 2 2 2" xfId="8576"/>
    <cellStyle name="Comma 10 3 2 6 2 2 2 2" xfId="22224"/>
    <cellStyle name="Comma 10 3 2 6 2 2 3" xfId="11643"/>
    <cellStyle name="Comma 10 3 2 6 2 2 3 2" xfId="25274"/>
    <cellStyle name="Comma 10 3 2 6 2 2 4" xfId="14939"/>
    <cellStyle name="Comma 10 3 2 6 2 2 4 2" xfId="28567"/>
    <cellStyle name="Comma 10 3 2 6 2 2 5" xfId="18971"/>
    <cellStyle name="Comma 10 3 2 6 2 3" xfId="7080"/>
    <cellStyle name="Comma 10 3 2 6 2 3 2" xfId="20730"/>
    <cellStyle name="Comma 10 3 2 6 2 4" xfId="10221"/>
    <cellStyle name="Comma 10 3 2 6 2 4 2" xfId="23852"/>
    <cellStyle name="Comma 10 3 2 6 2 5" xfId="13516"/>
    <cellStyle name="Comma 10 3 2 6 2 5 2" xfId="27144"/>
    <cellStyle name="Comma 10 3 2 6 2 6" xfId="17447"/>
    <cellStyle name="Comma 10 3 2 6 3" xfId="4435"/>
    <cellStyle name="Comma 10 3 2 6 3 2" xfId="7865"/>
    <cellStyle name="Comma 10 3 2 6 3 2 2" xfId="21513"/>
    <cellStyle name="Comma 10 3 2 6 3 3" xfId="10934"/>
    <cellStyle name="Comma 10 3 2 6 3 3 2" xfId="24565"/>
    <cellStyle name="Comma 10 3 2 6 3 4" xfId="14230"/>
    <cellStyle name="Comma 10 3 2 6 3 4 2" xfId="27858"/>
    <cellStyle name="Comma 10 3 2 6 3 5" xfId="18230"/>
    <cellStyle name="Comma 10 3 2 6 4" xfId="6286"/>
    <cellStyle name="Comma 10 3 2 6 4 2" xfId="19936"/>
    <cellStyle name="Comma 10 3 2 6 5" xfId="9488"/>
    <cellStyle name="Comma 10 3 2 6 5 2" xfId="23130"/>
    <cellStyle name="Comma 10 3 2 6 6" xfId="12802"/>
    <cellStyle name="Comma 10 3 2 6 6 2" xfId="26430"/>
    <cellStyle name="Comma 10 3 2 6 7" xfId="16719"/>
    <cellStyle name="Comma 10 3 2 7" xfId="5475"/>
    <cellStyle name="Comma 10 3 2 7 2" xfId="8736"/>
    <cellStyle name="Comma 10 3 2 7 2 2" xfId="22379"/>
    <cellStyle name="Comma 10 3 2 7 3" xfId="11796"/>
    <cellStyle name="Comma 10 3 2 7 3 2" xfId="25427"/>
    <cellStyle name="Comma 10 3 2 7 4" xfId="15092"/>
    <cellStyle name="Comma 10 3 2 7 4 2" xfId="28720"/>
    <cellStyle name="Comma 10 3 2 7 5" xfId="19125"/>
    <cellStyle name="Comma 10 3 2 8" xfId="8926"/>
    <cellStyle name="Comma 10 3 2 8 2" xfId="22569"/>
    <cellStyle name="Comma 10 3 2 9" xfId="12055"/>
    <cellStyle name="Comma 10 3 2 9 2" xfId="25683"/>
    <cellStyle name="Comma 10 3 3" xfId="3131"/>
    <cellStyle name="Comma 10 3 3 2" xfId="4926"/>
    <cellStyle name="Comma 10 3 3 2 2" xfId="8192"/>
    <cellStyle name="Comma 10 3 3 2 2 2" xfId="21840"/>
    <cellStyle name="Comma 10 3 3 2 3" xfId="11259"/>
    <cellStyle name="Comma 10 3 3 2 3 2" xfId="24890"/>
    <cellStyle name="Comma 10 3 3 2 4" xfId="14555"/>
    <cellStyle name="Comma 10 3 3 2 4 2" xfId="28183"/>
    <cellStyle name="Comma 10 3 3 2 5" xfId="18584"/>
    <cellStyle name="Comma 10 3 3 3" xfId="6613"/>
    <cellStyle name="Comma 10 3 3 3 2" xfId="20263"/>
    <cellStyle name="Comma 10 3 3 4" xfId="9834"/>
    <cellStyle name="Comma 10 3 3 4 2" xfId="23465"/>
    <cellStyle name="Comma 10 3 3 5" xfId="13129"/>
    <cellStyle name="Comma 10 3 3 5 2" xfId="26757"/>
    <cellStyle name="Comma 10 3 3 6" xfId="17049"/>
    <cellStyle name="Comma 10 3 4" xfId="3801"/>
    <cellStyle name="Comma 10 3 4 2" xfId="7233"/>
    <cellStyle name="Comma 10 3 4 2 2" xfId="20881"/>
    <cellStyle name="Comma 10 3 4 3" xfId="10371"/>
    <cellStyle name="Comma 10 3 4 3 2" xfId="24002"/>
    <cellStyle name="Comma 10 3 4 4" xfId="13667"/>
    <cellStyle name="Comma 10 3 4 4 2" xfId="27295"/>
    <cellStyle name="Comma 10 3 4 5" xfId="17598"/>
    <cellStyle name="Comma 10 3 5" xfId="5641"/>
    <cellStyle name="Comma 10 3 5 2" xfId="19291"/>
    <cellStyle name="Comma 10 3 6" xfId="12244"/>
    <cellStyle name="Comma 10 3 6 2" xfId="25872"/>
    <cellStyle name="Comma 10 3 7" xfId="15872"/>
    <cellStyle name="Comma 10 4" xfId="417"/>
    <cellStyle name="Comma 10 4 2" xfId="778"/>
    <cellStyle name="Comma 10 4 3" xfId="3087"/>
    <cellStyle name="Comma 10 4 3 2" xfId="4887"/>
    <cellStyle name="Comma 10 4 3 2 2" xfId="8153"/>
    <cellStyle name="Comma 10 4 3 2 2 2" xfId="21801"/>
    <cellStyle name="Comma 10 4 3 2 3" xfId="11222"/>
    <cellStyle name="Comma 10 4 3 2 3 2" xfId="24853"/>
    <cellStyle name="Comma 10 4 3 2 4" xfId="14518"/>
    <cellStyle name="Comma 10 4 3 2 4 2" xfId="28146"/>
    <cellStyle name="Comma 10 4 3 2 5" xfId="18545"/>
    <cellStyle name="Comma 10 4 3 3" xfId="6576"/>
    <cellStyle name="Comma 10 4 3 3 2" xfId="20226"/>
    <cellStyle name="Comma 10 4 3 4" xfId="9797"/>
    <cellStyle name="Comma 10 4 3 4 2" xfId="23428"/>
    <cellStyle name="Comma 10 4 3 5" xfId="13092"/>
    <cellStyle name="Comma 10 4 3 5 2" xfId="26720"/>
    <cellStyle name="Comma 10 4 3 6" xfId="17010"/>
    <cellStyle name="Comma 10 4 4" xfId="3841"/>
    <cellStyle name="Comma 10 4 4 2" xfId="7273"/>
    <cellStyle name="Comma 10 4 4 2 2" xfId="20921"/>
    <cellStyle name="Comma 10 4 4 3" xfId="10411"/>
    <cellStyle name="Comma 10 4 4 3 2" xfId="24042"/>
    <cellStyle name="Comma 10 4 4 4" xfId="13707"/>
    <cellStyle name="Comma 10 4 4 4 2" xfId="27335"/>
    <cellStyle name="Comma 10 4 4 5" xfId="17638"/>
    <cellStyle name="Comma 10 4 5" xfId="5684"/>
    <cellStyle name="Comma 10 4 5 2" xfId="19334"/>
    <cellStyle name="Comma 10 4 6" xfId="9092"/>
    <cellStyle name="Comma 10 4 6 2" xfId="22735"/>
    <cellStyle name="Comma 10 4 7" xfId="12284"/>
    <cellStyle name="Comma 10 4 7 2" xfId="25912"/>
    <cellStyle name="Comma 10 4 8" xfId="15920"/>
    <cellStyle name="Comma 10 5" xfId="483"/>
    <cellStyle name="Comma 10 5 2" xfId="779"/>
    <cellStyle name="Comma 10 5 3" xfId="3061"/>
    <cellStyle name="Comma 10 5 3 2" xfId="4867"/>
    <cellStyle name="Comma 10 5 3 2 2" xfId="8133"/>
    <cellStyle name="Comma 10 5 3 2 2 2" xfId="21781"/>
    <cellStyle name="Comma 10 5 3 2 3" xfId="11202"/>
    <cellStyle name="Comma 10 5 3 2 3 2" xfId="24833"/>
    <cellStyle name="Comma 10 5 3 2 4" xfId="14498"/>
    <cellStyle name="Comma 10 5 3 2 4 2" xfId="28126"/>
    <cellStyle name="Comma 10 5 3 2 5" xfId="18525"/>
    <cellStyle name="Comma 10 5 3 3" xfId="6556"/>
    <cellStyle name="Comma 10 5 3 3 2" xfId="20206"/>
    <cellStyle name="Comma 10 5 3 4" xfId="9777"/>
    <cellStyle name="Comma 10 5 3 4 2" xfId="23408"/>
    <cellStyle name="Comma 10 5 3 5" xfId="13072"/>
    <cellStyle name="Comma 10 5 3 5 2" xfId="26700"/>
    <cellStyle name="Comma 10 5 3 6" xfId="16990"/>
    <cellStyle name="Comma 10 5 4" xfId="3865"/>
    <cellStyle name="Comma 10 5 4 2" xfId="7295"/>
    <cellStyle name="Comma 10 5 4 2 2" xfId="20943"/>
    <cellStyle name="Comma 10 5 4 3" xfId="10433"/>
    <cellStyle name="Comma 10 5 4 3 2" xfId="24064"/>
    <cellStyle name="Comma 10 5 4 4" xfId="13729"/>
    <cellStyle name="Comma 10 5 4 4 2" xfId="27357"/>
    <cellStyle name="Comma 10 5 4 5" xfId="17660"/>
    <cellStyle name="Comma 10 5 5" xfId="5706"/>
    <cellStyle name="Comma 10 5 5 2" xfId="19356"/>
    <cellStyle name="Comma 10 5 6" xfId="9074"/>
    <cellStyle name="Comma 10 5 6 2" xfId="22717"/>
    <cellStyle name="Comma 10 5 7" xfId="12306"/>
    <cellStyle name="Comma 10 5 7 2" xfId="25934"/>
    <cellStyle name="Comma 10 5 8" xfId="15982"/>
    <cellStyle name="Comma 10 6" xfId="780"/>
    <cellStyle name="Comma 10 6 10" xfId="12085"/>
    <cellStyle name="Comma 10 6 10 2" xfId="25713"/>
    <cellStyle name="Comma 10 6 2" xfId="1774"/>
    <cellStyle name="Comma 10 6 3" xfId="1773"/>
    <cellStyle name="Comma 10 6 3 2" xfId="3193"/>
    <cellStyle name="Comma 10 6 3 2 2" xfId="4941"/>
    <cellStyle name="Comma 10 6 3 2 2 2" xfId="8206"/>
    <cellStyle name="Comma 10 6 3 2 2 2 2" xfId="21854"/>
    <cellStyle name="Comma 10 6 3 2 2 3" xfId="11273"/>
    <cellStyle name="Comma 10 6 3 2 2 3 2" xfId="24904"/>
    <cellStyle name="Comma 10 6 3 2 2 4" xfId="14569"/>
    <cellStyle name="Comma 10 6 3 2 2 4 2" xfId="28197"/>
    <cellStyle name="Comma 10 6 3 2 2 5" xfId="18599"/>
    <cellStyle name="Comma 10 6 3 2 3" xfId="6628"/>
    <cellStyle name="Comma 10 6 3 2 3 2" xfId="20278"/>
    <cellStyle name="Comma 10 6 3 2 4" xfId="9849"/>
    <cellStyle name="Comma 10 6 3 2 4 2" xfId="23480"/>
    <cellStyle name="Comma 10 6 3 2 5" xfId="13144"/>
    <cellStyle name="Comma 10 6 3 2 5 2" xfId="26772"/>
    <cellStyle name="Comma 10 6 3 2 6" xfId="17074"/>
    <cellStyle name="Comma 10 6 3 3" xfId="3996"/>
    <cellStyle name="Comma 10 6 3 3 2" xfId="7426"/>
    <cellStyle name="Comma 10 6 3 3 2 2" xfId="21074"/>
    <cellStyle name="Comma 10 6 3 3 3" xfId="10564"/>
    <cellStyle name="Comma 10 6 3 3 3 2" xfId="24195"/>
    <cellStyle name="Comma 10 6 3 3 4" xfId="13860"/>
    <cellStyle name="Comma 10 6 3 3 4 2" xfId="27488"/>
    <cellStyle name="Comma 10 6 3 3 5" xfId="17791"/>
    <cellStyle name="Comma 10 6 3 4" xfId="5832"/>
    <cellStyle name="Comma 10 6 3 4 2" xfId="19482"/>
    <cellStyle name="Comma 10 6 3 5" xfId="9131"/>
    <cellStyle name="Comma 10 6 3 5 2" xfId="22773"/>
    <cellStyle name="Comma 10 6 3 6" xfId="12432"/>
    <cellStyle name="Comma 10 6 3 6 2" xfId="26060"/>
    <cellStyle name="Comma 10 6 3 7" xfId="16214"/>
    <cellStyle name="Comma 10 6 4" xfId="2219"/>
    <cellStyle name="Comma 10 6 4 2" xfId="3332"/>
    <cellStyle name="Comma 10 6 4 2 2" xfId="5078"/>
    <cellStyle name="Comma 10 6 4 2 2 2" xfId="8342"/>
    <cellStyle name="Comma 10 6 4 2 2 2 2" xfId="21990"/>
    <cellStyle name="Comma 10 6 4 2 2 3" xfId="11409"/>
    <cellStyle name="Comma 10 6 4 2 2 3 2" xfId="25040"/>
    <cellStyle name="Comma 10 6 4 2 2 4" xfId="14705"/>
    <cellStyle name="Comma 10 6 4 2 2 4 2" xfId="28333"/>
    <cellStyle name="Comma 10 6 4 2 2 5" xfId="18736"/>
    <cellStyle name="Comma 10 6 4 2 3" xfId="6766"/>
    <cellStyle name="Comma 10 6 4 2 3 2" xfId="20416"/>
    <cellStyle name="Comma 10 6 4 2 4" xfId="9986"/>
    <cellStyle name="Comma 10 6 4 2 4 2" xfId="23617"/>
    <cellStyle name="Comma 10 6 4 2 5" xfId="13281"/>
    <cellStyle name="Comma 10 6 4 2 5 2" xfId="26909"/>
    <cellStyle name="Comma 10 6 4 2 6" xfId="17211"/>
    <cellStyle name="Comma 10 6 4 3" xfId="4132"/>
    <cellStyle name="Comma 10 6 4 3 2" xfId="7562"/>
    <cellStyle name="Comma 10 6 4 3 2 2" xfId="21210"/>
    <cellStyle name="Comma 10 6 4 3 3" xfId="10700"/>
    <cellStyle name="Comma 10 6 4 3 3 2" xfId="24331"/>
    <cellStyle name="Comma 10 6 4 3 4" xfId="13996"/>
    <cellStyle name="Comma 10 6 4 3 4 2" xfId="27624"/>
    <cellStyle name="Comma 10 6 4 3 5" xfId="17927"/>
    <cellStyle name="Comma 10 6 4 4" xfId="5968"/>
    <cellStyle name="Comma 10 6 4 4 2" xfId="19618"/>
    <cellStyle name="Comma 10 6 4 5" xfId="9254"/>
    <cellStyle name="Comma 10 6 4 5 2" xfId="22896"/>
    <cellStyle name="Comma 10 6 4 6" xfId="12568"/>
    <cellStyle name="Comma 10 6 4 6 2" xfId="26196"/>
    <cellStyle name="Comma 10 6 4 7" xfId="16413"/>
    <cellStyle name="Comma 10 6 5" xfId="2313"/>
    <cellStyle name="Comma 10 6 5 2" xfId="3419"/>
    <cellStyle name="Comma 10 6 5 2 2" xfId="5155"/>
    <cellStyle name="Comma 10 6 5 2 2 2" xfId="8419"/>
    <cellStyle name="Comma 10 6 5 2 2 2 2" xfId="22067"/>
    <cellStyle name="Comma 10 6 5 2 2 3" xfId="11486"/>
    <cellStyle name="Comma 10 6 5 2 2 3 2" xfId="25117"/>
    <cellStyle name="Comma 10 6 5 2 2 4" xfId="14782"/>
    <cellStyle name="Comma 10 6 5 2 2 4 2" xfId="28410"/>
    <cellStyle name="Comma 10 6 5 2 2 5" xfId="18813"/>
    <cellStyle name="Comma 10 6 5 2 3" xfId="6853"/>
    <cellStyle name="Comma 10 6 5 2 3 2" xfId="20503"/>
    <cellStyle name="Comma 10 6 5 2 4" xfId="10063"/>
    <cellStyle name="Comma 10 6 5 2 4 2" xfId="23694"/>
    <cellStyle name="Comma 10 6 5 2 5" xfId="13358"/>
    <cellStyle name="Comma 10 6 5 2 5 2" xfId="26986"/>
    <cellStyle name="Comma 10 6 5 2 6" xfId="17288"/>
    <cellStyle name="Comma 10 6 5 3" xfId="4209"/>
    <cellStyle name="Comma 10 6 5 3 2" xfId="7639"/>
    <cellStyle name="Comma 10 6 5 3 2 2" xfId="21287"/>
    <cellStyle name="Comma 10 6 5 3 3" xfId="10777"/>
    <cellStyle name="Comma 10 6 5 3 3 2" xfId="24408"/>
    <cellStyle name="Comma 10 6 5 3 4" xfId="14073"/>
    <cellStyle name="Comma 10 6 5 3 4 2" xfId="27701"/>
    <cellStyle name="Comma 10 6 5 3 5" xfId="18004"/>
    <cellStyle name="Comma 10 6 5 4" xfId="6045"/>
    <cellStyle name="Comma 10 6 5 4 2" xfId="19695"/>
    <cellStyle name="Comma 10 6 5 5" xfId="9331"/>
    <cellStyle name="Comma 10 6 5 5 2" xfId="22973"/>
    <cellStyle name="Comma 10 6 5 6" xfId="12645"/>
    <cellStyle name="Comma 10 6 5 6 2" xfId="26273"/>
    <cellStyle name="Comma 10 6 5 7" xfId="16491"/>
    <cellStyle name="Comma 10 6 6" xfId="2693"/>
    <cellStyle name="Comma 10 6 6 2" xfId="3647"/>
    <cellStyle name="Comma 10 6 6 2 2" xfId="5314"/>
    <cellStyle name="Comma 10 6 6 2 2 2" xfId="8577"/>
    <cellStyle name="Comma 10 6 6 2 2 2 2" xfId="22225"/>
    <cellStyle name="Comma 10 6 6 2 2 3" xfId="11644"/>
    <cellStyle name="Comma 10 6 6 2 2 3 2" xfId="25275"/>
    <cellStyle name="Comma 10 6 6 2 2 4" xfId="14940"/>
    <cellStyle name="Comma 10 6 6 2 2 4 2" xfId="28568"/>
    <cellStyle name="Comma 10 6 6 2 2 5" xfId="18972"/>
    <cellStyle name="Comma 10 6 6 2 3" xfId="7081"/>
    <cellStyle name="Comma 10 6 6 2 3 2" xfId="20731"/>
    <cellStyle name="Comma 10 6 6 2 4" xfId="10222"/>
    <cellStyle name="Comma 10 6 6 2 4 2" xfId="23853"/>
    <cellStyle name="Comma 10 6 6 2 5" xfId="13517"/>
    <cellStyle name="Comma 10 6 6 2 5 2" xfId="27145"/>
    <cellStyle name="Comma 10 6 6 2 6" xfId="17448"/>
    <cellStyle name="Comma 10 6 6 3" xfId="4436"/>
    <cellStyle name="Comma 10 6 6 3 2" xfId="7866"/>
    <cellStyle name="Comma 10 6 6 3 2 2" xfId="21514"/>
    <cellStyle name="Comma 10 6 6 3 3" xfId="10935"/>
    <cellStyle name="Comma 10 6 6 3 3 2" xfId="24566"/>
    <cellStyle name="Comma 10 6 6 3 4" xfId="14231"/>
    <cellStyle name="Comma 10 6 6 3 4 2" xfId="27859"/>
    <cellStyle name="Comma 10 6 6 3 5" xfId="18231"/>
    <cellStyle name="Comma 10 6 6 4" xfId="6287"/>
    <cellStyle name="Comma 10 6 6 4 2" xfId="19937"/>
    <cellStyle name="Comma 10 6 6 5" xfId="9489"/>
    <cellStyle name="Comma 10 6 6 5 2" xfId="23131"/>
    <cellStyle name="Comma 10 6 6 6" xfId="12803"/>
    <cellStyle name="Comma 10 6 6 6 2" xfId="26431"/>
    <cellStyle name="Comma 10 6 6 7" xfId="16720"/>
    <cellStyle name="Comma 10 6 7" xfId="5476"/>
    <cellStyle name="Comma 10 6 7 2" xfId="8737"/>
    <cellStyle name="Comma 10 6 7 2 2" xfId="22380"/>
    <cellStyle name="Comma 10 6 7 3" xfId="11797"/>
    <cellStyle name="Comma 10 6 7 3 2" xfId="25428"/>
    <cellStyle name="Comma 10 6 7 4" xfId="15093"/>
    <cellStyle name="Comma 10 6 7 4 2" xfId="28721"/>
    <cellStyle name="Comma 10 6 7 5" xfId="19126"/>
    <cellStyle name="Comma 10 6 8" xfId="8927"/>
    <cellStyle name="Comma 10 6 8 2" xfId="22570"/>
    <cellStyle name="Comma 10 6 9" xfId="12028"/>
    <cellStyle name="Comma 10 6 9 2" xfId="25659"/>
    <cellStyle name="Comma 10 7" xfId="781"/>
    <cellStyle name="Comma 10 7 2" xfId="2845"/>
    <cellStyle name="Comma 10 8" xfId="782"/>
    <cellStyle name="Comma 10 8 2" xfId="2846"/>
    <cellStyle name="Comma 10 9" xfId="783"/>
    <cellStyle name="Comma 10 9 2" xfId="2847"/>
    <cellStyle name="Comma 11" xfId="209"/>
    <cellStyle name="Comma 11 10" xfId="785"/>
    <cellStyle name="Comma 11 10 2" xfId="2849"/>
    <cellStyle name="Comma 11 11" xfId="786"/>
    <cellStyle name="Comma 11 11 2" xfId="2850"/>
    <cellStyle name="Comma 11 12" xfId="784"/>
    <cellStyle name="Comma 11 13" xfId="1775"/>
    <cellStyle name="Comma 11 13 2" xfId="3194"/>
    <cellStyle name="Comma 11 13 2 2" xfId="4942"/>
    <cellStyle name="Comma 11 13 2 2 2" xfId="8207"/>
    <cellStyle name="Comma 11 13 2 2 2 2" xfId="21855"/>
    <cellStyle name="Comma 11 13 2 2 3" xfId="11274"/>
    <cellStyle name="Comma 11 13 2 2 3 2" xfId="24905"/>
    <cellStyle name="Comma 11 13 2 2 4" xfId="14570"/>
    <cellStyle name="Comma 11 13 2 2 4 2" xfId="28198"/>
    <cellStyle name="Comma 11 13 2 2 5" xfId="18600"/>
    <cellStyle name="Comma 11 13 2 3" xfId="6629"/>
    <cellStyle name="Comma 11 13 2 3 2" xfId="20279"/>
    <cellStyle name="Comma 11 13 2 4" xfId="9850"/>
    <cellStyle name="Comma 11 13 2 4 2" xfId="23481"/>
    <cellStyle name="Comma 11 13 2 5" xfId="13145"/>
    <cellStyle name="Comma 11 13 2 5 2" xfId="26773"/>
    <cellStyle name="Comma 11 13 2 6" xfId="17075"/>
    <cellStyle name="Comma 11 13 3" xfId="3997"/>
    <cellStyle name="Comma 11 13 3 2" xfId="7427"/>
    <cellStyle name="Comma 11 13 3 2 2" xfId="21075"/>
    <cellStyle name="Comma 11 13 3 3" xfId="10565"/>
    <cellStyle name="Comma 11 13 3 3 2" xfId="24196"/>
    <cellStyle name="Comma 11 13 3 4" xfId="13861"/>
    <cellStyle name="Comma 11 13 3 4 2" xfId="27489"/>
    <cellStyle name="Comma 11 13 3 5" xfId="17792"/>
    <cellStyle name="Comma 11 13 4" xfId="5833"/>
    <cellStyle name="Comma 11 13 4 2" xfId="19483"/>
    <cellStyle name="Comma 11 13 5" xfId="9132"/>
    <cellStyle name="Comma 11 13 5 2" xfId="22774"/>
    <cellStyle name="Comma 11 13 6" xfId="12433"/>
    <cellStyle name="Comma 11 13 6 2" xfId="26061"/>
    <cellStyle name="Comma 11 13 7" xfId="16215"/>
    <cellStyle name="Comma 11 14" xfId="2138"/>
    <cellStyle name="Comma 11 14 2" xfId="3251"/>
    <cellStyle name="Comma 11 14 2 2" xfId="4998"/>
    <cellStyle name="Comma 11 14 2 2 2" xfId="8262"/>
    <cellStyle name="Comma 11 14 2 2 2 2" xfId="21910"/>
    <cellStyle name="Comma 11 14 2 2 3" xfId="11329"/>
    <cellStyle name="Comma 11 14 2 2 3 2" xfId="24960"/>
    <cellStyle name="Comma 11 14 2 2 4" xfId="14625"/>
    <cellStyle name="Comma 11 14 2 2 4 2" xfId="28253"/>
    <cellStyle name="Comma 11 14 2 2 5" xfId="18656"/>
    <cellStyle name="Comma 11 14 2 3" xfId="6685"/>
    <cellStyle name="Comma 11 14 2 3 2" xfId="20335"/>
    <cellStyle name="Comma 11 14 2 4" xfId="9906"/>
    <cellStyle name="Comma 11 14 2 4 2" xfId="23537"/>
    <cellStyle name="Comma 11 14 2 5" xfId="13201"/>
    <cellStyle name="Comma 11 14 2 5 2" xfId="26829"/>
    <cellStyle name="Comma 11 14 2 6" xfId="17131"/>
    <cellStyle name="Comma 11 14 3" xfId="4052"/>
    <cellStyle name="Comma 11 14 3 2" xfId="7482"/>
    <cellStyle name="Comma 11 14 3 2 2" xfId="21130"/>
    <cellStyle name="Comma 11 14 3 3" xfId="10620"/>
    <cellStyle name="Comma 11 14 3 3 2" xfId="24251"/>
    <cellStyle name="Comma 11 14 3 4" xfId="13916"/>
    <cellStyle name="Comma 11 14 3 4 2" xfId="27544"/>
    <cellStyle name="Comma 11 14 3 5" xfId="17847"/>
    <cellStyle name="Comma 11 14 4" xfId="5888"/>
    <cellStyle name="Comma 11 14 4 2" xfId="19538"/>
    <cellStyle name="Comma 11 14 5" xfId="9174"/>
    <cellStyle name="Comma 11 14 5 2" xfId="22816"/>
    <cellStyle name="Comma 11 14 6" xfId="12488"/>
    <cellStyle name="Comma 11 14 6 2" xfId="26116"/>
    <cellStyle name="Comma 11 14 7" xfId="16333"/>
    <cellStyle name="Comma 11 15" xfId="2314"/>
    <cellStyle name="Comma 11 15 2" xfId="3420"/>
    <cellStyle name="Comma 11 15 2 2" xfId="5156"/>
    <cellStyle name="Comma 11 15 2 2 2" xfId="8420"/>
    <cellStyle name="Comma 11 15 2 2 2 2" xfId="22068"/>
    <cellStyle name="Comma 11 15 2 2 3" xfId="11487"/>
    <cellStyle name="Comma 11 15 2 2 3 2" xfId="25118"/>
    <cellStyle name="Comma 11 15 2 2 4" xfId="14783"/>
    <cellStyle name="Comma 11 15 2 2 4 2" xfId="28411"/>
    <cellStyle name="Comma 11 15 2 2 5" xfId="18814"/>
    <cellStyle name="Comma 11 15 2 3" xfId="6854"/>
    <cellStyle name="Comma 11 15 2 3 2" xfId="20504"/>
    <cellStyle name="Comma 11 15 2 4" xfId="10064"/>
    <cellStyle name="Comma 11 15 2 4 2" xfId="23695"/>
    <cellStyle name="Comma 11 15 2 5" xfId="13359"/>
    <cellStyle name="Comma 11 15 2 5 2" xfId="26987"/>
    <cellStyle name="Comma 11 15 2 6" xfId="17289"/>
    <cellStyle name="Comma 11 15 3" xfId="4210"/>
    <cellStyle name="Comma 11 15 3 2" xfId="7640"/>
    <cellStyle name="Comma 11 15 3 2 2" xfId="21288"/>
    <cellStyle name="Comma 11 15 3 3" xfId="10778"/>
    <cellStyle name="Comma 11 15 3 3 2" xfId="24409"/>
    <cellStyle name="Comma 11 15 3 4" xfId="14074"/>
    <cellStyle name="Comma 11 15 3 4 2" xfId="27702"/>
    <cellStyle name="Comma 11 15 3 5" xfId="18005"/>
    <cellStyle name="Comma 11 15 4" xfId="6046"/>
    <cellStyle name="Comma 11 15 4 2" xfId="19696"/>
    <cellStyle name="Comma 11 15 5" xfId="9332"/>
    <cellStyle name="Comma 11 15 5 2" xfId="22974"/>
    <cellStyle name="Comma 11 15 6" xfId="12646"/>
    <cellStyle name="Comma 11 15 6 2" xfId="26274"/>
    <cellStyle name="Comma 11 15 7" xfId="16492"/>
    <cellStyle name="Comma 11 16" xfId="2694"/>
    <cellStyle name="Comma 11 16 2" xfId="3648"/>
    <cellStyle name="Comma 11 16 2 2" xfId="5315"/>
    <cellStyle name="Comma 11 16 2 2 2" xfId="8578"/>
    <cellStyle name="Comma 11 16 2 2 2 2" xfId="22226"/>
    <cellStyle name="Comma 11 16 2 2 3" xfId="11645"/>
    <cellStyle name="Comma 11 16 2 2 3 2" xfId="25276"/>
    <cellStyle name="Comma 11 16 2 2 4" xfId="14941"/>
    <cellStyle name="Comma 11 16 2 2 4 2" xfId="28569"/>
    <cellStyle name="Comma 11 16 2 2 5" xfId="18973"/>
    <cellStyle name="Comma 11 16 2 3" xfId="7082"/>
    <cellStyle name="Comma 11 16 2 3 2" xfId="20732"/>
    <cellStyle name="Comma 11 16 2 4" xfId="10223"/>
    <cellStyle name="Comma 11 16 2 4 2" xfId="23854"/>
    <cellStyle name="Comma 11 16 2 5" xfId="13518"/>
    <cellStyle name="Comma 11 16 2 5 2" xfId="27146"/>
    <cellStyle name="Comma 11 16 2 6" xfId="17449"/>
    <cellStyle name="Comma 11 16 3" xfId="4437"/>
    <cellStyle name="Comma 11 16 3 2" xfId="7867"/>
    <cellStyle name="Comma 11 16 3 2 2" xfId="21515"/>
    <cellStyle name="Comma 11 16 3 3" xfId="10936"/>
    <cellStyle name="Comma 11 16 3 3 2" xfId="24567"/>
    <cellStyle name="Comma 11 16 3 4" xfId="14232"/>
    <cellStyle name="Comma 11 16 3 4 2" xfId="27860"/>
    <cellStyle name="Comma 11 16 3 5" xfId="18232"/>
    <cellStyle name="Comma 11 16 4" xfId="6288"/>
    <cellStyle name="Comma 11 16 4 2" xfId="19938"/>
    <cellStyle name="Comma 11 16 5" xfId="9490"/>
    <cellStyle name="Comma 11 16 5 2" xfId="23132"/>
    <cellStyle name="Comma 11 16 6" xfId="12804"/>
    <cellStyle name="Comma 11 16 6 2" xfId="26432"/>
    <cellStyle name="Comma 11 16 7" xfId="16721"/>
    <cellStyle name="Comma 11 17" xfId="3179"/>
    <cellStyle name="Comma 11 17 2" xfId="4928"/>
    <cellStyle name="Comma 11 17 2 2" xfId="8194"/>
    <cellStyle name="Comma 11 17 2 2 2" xfId="21842"/>
    <cellStyle name="Comma 11 17 2 3" xfId="11261"/>
    <cellStyle name="Comma 11 17 2 3 2" xfId="24892"/>
    <cellStyle name="Comma 11 17 2 4" xfId="14557"/>
    <cellStyle name="Comma 11 17 2 4 2" xfId="28185"/>
    <cellStyle name="Comma 11 17 2 5" xfId="18586"/>
    <cellStyle name="Comma 11 17 3" xfId="6615"/>
    <cellStyle name="Comma 11 17 3 2" xfId="20265"/>
    <cellStyle name="Comma 11 17 4" xfId="9836"/>
    <cellStyle name="Comma 11 17 4 2" xfId="23467"/>
    <cellStyle name="Comma 11 17 5" xfId="13131"/>
    <cellStyle name="Comma 11 17 5 2" xfId="26759"/>
    <cellStyle name="Comma 11 17 6" xfId="17061"/>
    <cellStyle name="Comma 11 18" xfId="3799"/>
    <cellStyle name="Comma 11 18 2" xfId="7231"/>
    <cellStyle name="Comma 11 18 2 2" xfId="20879"/>
    <cellStyle name="Comma 11 18 3" xfId="10369"/>
    <cellStyle name="Comma 11 18 3 2" xfId="24000"/>
    <cellStyle name="Comma 11 18 4" xfId="13665"/>
    <cellStyle name="Comma 11 18 4 2" xfId="27293"/>
    <cellStyle name="Comma 11 18 5" xfId="17596"/>
    <cellStyle name="Comma 11 19" xfId="5477"/>
    <cellStyle name="Comma 11 19 2" xfId="8738"/>
    <cellStyle name="Comma 11 19 2 2" xfId="22381"/>
    <cellStyle name="Comma 11 19 3" xfId="11798"/>
    <cellStyle name="Comma 11 19 3 2" xfId="25429"/>
    <cellStyle name="Comma 11 19 4" xfId="15094"/>
    <cellStyle name="Comma 11 19 4 2" xfId="28722"/>
    <cellStyle name="Comma 11 19 5" xfId="19127"/>
    <cellStyle name="Comma 11 2" xfId="351"/>
    <cellStyle name="Comma 11 2 2" xfId="787"/>
    <cellStyle name="Comma 11 2 2 10" xfId="12087"/>
    <cellStyle name="Comma 11 2 2 10 2" xfId="25715"/>
    <cellStyle name="Comma 11 2 2 2" xfId="1777"/>
    <cellStyle name="Comma 11 2 2 3" xfId="1776"/>
    <cellStyle name="Comma 11 2 2 3 2" xfId="3195"/>
    <cellStyle name="Comma 11 2 2 3 2 2" xfId="4943"/>
    <cellStyle name="Comma 11 2 2 3 2 2 2" xfId="8208"/>
    <cellStyle name="Comma 11 2 2 3 2 2 2 2" xfId="21856"/>
    <cellStyle name="Comma 11 2 2 3 2 2 3" xfId="11275"/>
    <cellStyle name="Comma 11 2 2 3 2 2 3 2" xfId="24906"/>
    <cellStyle name="Comma 11 2 2 3 2 2 4" xfId="14571"/>
    <cellStyle name="Comma 11 2 2 3 2 2 4 2" xfId="28199"/>
    <cellStyle name="Comma 11 2 2 3 2 2 5" xfId="18601"/>
    <cellStyle name="Comma 11 2 2 3 2 3" xfId="6630"/>
    <cellStyle name="Comma 11 2 2 3 2 3 2" xfId="20280"/>
    <cellStyle name="Comma 11 2 2 3 2 4" xfId="9851"/>
    <cellStyle name="Comma 11 2 2 3 2 4 2" xfId="23482"/>
    <cellStyle name="Comma 11 2 2 3 2 5" xfId="13146"/>
    <cellStyle name="Comma 11 2 2 3 2 5 2" xfId="26774"/>
    <cellStyle name="Comma 11 2 2 3 2 6" xfId="17076"/>
    <cellStyle name="Comma 11 2 2 3 3" xfId="3998"/>
    <cellStyle name="Comma 11 2 2 3 3 2" xfId="7428"/>
    <cellStyle name="Comma 11 2 2 3 3 2 2" xfId="21076"/>
    <cellStyle name="Comma 11 2 2 3 3 3" xfId="10566"/>
    <cellStyle name="Comma 11 2 2 3 3 3 2" xfId="24197"/>
    <cellStyle name="Comma 11 2 2 3 3 4" xfId="13862"/>
    <cellStyle name="Comma 11 2 2 3 3 4 2" xfId="27490"/>
    <cellStyle name="Comma 11 2 2 3 3 5" xfId="17793"/>
    <cellStyle name="Comma 11 2 2 3 4" xfId="5834"/>
    <cellStyle name="Comma 11 2 2 3 4 2" xfId="19484"/>
    <cellStyle name="Comma 11 2 2 3 5" xfId="9133"/>
    <cellStyle name="Comma 11 2 2 3 5 2" xfId="22775"/>
    <cellStyle name="Comma 11 2 2 3 6" xfId="12434"/>
    <cellStyle name="Comma 11 2 2 3 6 2" xfId="26062"/>
    <cellStyle name="Comma 11 2 2 3 7" xfId="16216"/>
    <cellStyle name="Comma 11 2 2 4" xfId="2244"/>
    <cellStyle name="Comma 11 2 2 4 2" xfId="3357"/>
    <cellStyle name="Comma 11 2 2 4 2 2" xfId="5100"/>
    <cellStyle name="Comma 11 2 2 4 2 2 2" xfId="8364"/>
    <cellStyle name="Comma 11 2 2 4 2 2 2 2" xfId="22012"/>
    <cellStyle name="Comma 11 2 2 4 2 2 3" xfId="11431"/>
    <cellStyle name="Comma 11 2 2 4 2 2 3 2" xfId="25062"/>
    <cellStyle name="Comma 11 2 2 4 2 2 4" xfId="14727"/>
    <cellStyle name="Comma 11 2 2 4 2 2 4 2" xfId="28355"/>
    <cellStyle name="Comma 11 2 2 4 2 2 5" xfId="18758"/>
    <cellStyle name="Comma 11 2 2 4 2 3" xfId="6791"/>
    <cellStyle name="Comma 11 2 2 4 2 3 2" xfId="20441"/>
    <cellStyle name="Comma 11 2 2 4 2 4" xfId="10008"/>
    <cellStyle name="Comma 11 2 2 4 2 4 2" xfId="23639"/>
    <cellStyle name="Comma 11 2 2 4 2 5" xfId="13303"/>
    <cellStyle name="Comma 11 2 2 4 2 5 2" xfId="26931"/>
    <cellStyle name="Comma 11 2 2 4 2 6" xfId="17233"/>
    <cellStyle name="Comma 11 2 2 4 3" xfId="4154"/>
    <cellStyle name="Comma 11 2 2 4 3 2" xfId="7584"/>
    <cellStyle name="Comma 11 2 2 4 3 2 2" xfId="21232"/>
    <cellStyle name="Comma 11 2 2 4 3 3" xfId="10722"/>
    <cellStyle name="Comma 11 2 2 4 3 3 2" xfId="24353"/>
    <cellStyle name="Comma 11 2 2 4 3 4" xfId="14018"/>
    <cellStyle name="Comma 11 2 2 4 3 4 2" xfId="27646"/>
    <cellStyle name="Comma 11 2 2 4 3 5" xfId="17949"/>
    <cellStyle name="Comma 11 2 2 4 4" xfId="5990"/>
    <cellStyle name="Comma 11 2 2 4 4 2" xfId="19640"/>
    <cellStyle name="Comma 11 2 2 4 5" xfId="9276"/>
    <cellStyle name="Comma 11 2 2 4 5 2" xfId="22918"/>
    <cellStyle name="Comma 11 2 2 4 6" xfId="12590"/>
    <cellStyle name="Comma 11 2 2 4 6 2" xfId="26218"/>
    <cellStyle name="Comma 11 2 2 4 7" xfId="16435"/>
    <cellStyle name="Comma 11 2 2 5" xfId="2315"/>
    <cellStyle name="Comma 11 2 2 5 2" xfId="3421"/>
    <cellStyle name="Comma 11 2 2 5 2 2" xfId="5157"/>
    <cellStyle name="Comma 11 2 2 5 2 2 2" xfId="8421"/>
    <cellStyle name="Comma 11 2 2 5 2 2 2 2" xfId="22069"/>
    <cellStyle name="Comma 11 2 2 5 2 2 3" xfId="11488"/>
    <cellStyle name="Comma 11 2 2 5 2 2 3 2" xfId="25119"/>
    <cellStyle name="Comma 11 2 2 5 2 2 4" xfId="14784"/>
    <cellStyle name="Comma 11 2 2 5 2 2 4 2" xfId="28412"/>
    <cellStyle name="Comma 11 2 2 5 2 2 5" xfId="18815"/>
    <cellStyle name="Comma 11 2 2 5 2 3" xfId="6855"/>
    <cellStyle name="Comma 11 2 2 5 2 3 2" xfId="20505"/>
    <cellStyle name="Comma 11 2 2 5 2 4" xfId="10065"/>
    <cellStyle name="Comma 11 2 2 5 2 4 2" xfId="23696"/>
    <cellStyle name="Comma 11 2 2 5 2 5" xfId="13360"/>
    <cellStyle name="Comma 11 2 2 5 2 5 2" xfId="26988"/>
    <cellStyle name="Comma 11 2 2 5 2 6" xfId="17290"/>
    <cellStyle name="Comma 11 2 2 5 3" xfId="4211"/>
    <cellStyle name="Comma 11 2 2 5 3 2" xfId="7641"/>
    <cellStyle name="Comma 11 2 2 5 3 2 2" xfId="21289"/>
    <cellStyle name="Comma 11 2 2 5 3 3" xfId="10779"/>
    <cellStyle name="Comma 11 2 2 5 3 3 2" xfId="24410"/>
    <cellStyle name="Comma 11 2 2 5 3 4" xfId="14075"/>
    <cellStyle name="Comma 11 2 2 5 3 4 2" xfId="27703"/>
    <cellStyle name="Comma 11 2 2 5 3 5" xfId="18006"/>
    <cellStyle name="Comma 11 2 2 5 4" xfId="6047"/>
    <cellStyle name="Comma 11 2 2 5 4 2" xfId="19697"/>
    <cellStyle name="Comma 11 2 2 5 5" xfId="9333"/>
    <cellStyle name="Comma 11 2 2 5 5 2" xfId="22975"/>
    <cellStyle name="Comma 11 2 2 5 6" xfId="12647"/>
    <cellStyle name="Comma 11 2 2 5 6 2" xfId="26275"/>
    <cellStyle name="Comma 11 2 2 5 7" xfId="16493"/>
    <cellStyle name="Comma 11 2 2 6" xfId="2695"/>
    <cellStyle name="Comma 11 2 2 6 2" xfId="3649"/>
    <cellStyle name="Comma 11 2 2 6 2 2" xfId="5316"/>
    <cellStyle name="Comma 11 2 2 6 2 2 2" xfId="8579"/>
    <cellStyle name="Comma 11 2 2 6 2 2 2 2" xfId="22227"/>
    <cellStyle name="Comma 11 2 2 6 2 2 3" xfId="11646"/>
    <cellStyle name="Comma 11 2 2 6 2 2 3 2" xfId="25277"/>
    <cellStyle name="Comma 11 2 2 6 2 2 4" xfId="14942"/>
    <cellStyle name="Comma 11 2 2 6 2 2 4 2" xfId="28570"/>
    <cellStyle name="Comma 11 2 2 6 2 2 5" xfId="18974"/>
    <cellStyle name="Comma 11 2 2 6 2 3" xfId="7083"/>
    <cellStyle name="Comma 11 2 2 6 2 3 2" xfId="20733"/>
    <cellStyle name="Comma 11 2 2 6 2 4" xfId="10224"/>
    <cellStyle name="Comma 11 2 2 6 2 4 2" xfId="23855"/>
    <cellStyle name="Comma 11 2 2 6 2 5" xfId="13519"/>
    <cellStyle name="Comma 11 2 2 6 2 5 2" xfId="27147"/>
    <cellStyle name="Comma 11 2 2 6 2 6" xfId="17450"/>
    <cellStyle name="Comma 11 2 2 6 3" xfId="4438"/>
    <cellStyle name="Comma 11 2 2 6 3 2" xfId="7868"/>
    <cellStyle name="Comma 11 2 2 6 3 2 2" xfId="21516"/>
    <cellStyle name="Comma 11 2 2 6 3 3" xfId="10937"/>
    <cellStyle name="Comma 11 2 2 6 3 3 2" xfId="24568"/>
    <cellStyle name="Comma 11 2 2 6 3 4" xfId="14233"/>
    <cellStyle name="Comma 11 2 2 6 3 4 2" xfId="27861"/>
    <cellStyle name="Comma 11 2 2 6 3 5" xfId="18233"/>
    <cellStyle name="Comma 11 2 2 6 4" xfId="6289"/>
    <cellStyle name="Comma 11 2 2 6 4 2" xfId="19939"/>
    <cellStyle name="Comma 11 2 2 6 5" xfId="9491"/>
    <cellStyle name="Comma 11 2 2 6 5 2" xfId="23133"/>
    <cellStyle name="Comma 11 2 2 6 6" xfId="12805"/>
    <cellStyle name="Comma 11 2 2 6 6 2" xfId="26433"/>
    <cellStyle name="Comma 11 2 2 6 7" xfId="16722"/>
    <cellStyle name="Comma 11 2 2 7" xfId="5478"/>
    <cellStyle name="Comma 11 2 2 7 2" xfId="8739"/>
    <cellStyle name="Comma 11 2 2 7 2 2" xfId="22382"/>
    <cellStyle name="Comma 11 2 2 7 3" xfId="11799"/>
    <cellStyle name="Comma 11 2 2 7 3 2" xfId="25430"/>
    <cellStyle name="Comma 11 2 2 7 4" xfId="15095"/>
    <cellStyle name="Comma 11 2 2 7 4 2" xfId="28723"/>
    <cellStyle name="Comma 11 2 2 7 5" xfId="19128"/>
    <cellStyle name="Comma 11 2 2 8" xfId="8929"/>
    <cellStyle name="Comma 11 2 2 8 2" xfId="22572"/>
    <cellStyle name="Comma 11 2 2 9" xfId="12056"/>
    <cellStyle name="Comma 11 2 2 9 2" xfId="25684"/>
    <cellStyle name="Comma 11 2 3" xfId="3103"/>
    <cellStyle name="Comma 11 2 3 2" xfId="4898"/>
    <cellStyle name="Comma 11 2 3 2 2" xfId="8164"/>
    <cellStyle name="Comma 11 2 3 2 2 2" xfId="21812"/>
    <cellStyle name="Comma 11 2 3 2 3" xfId="11231"/>
    <cellStyle name="Comma 11 2 3 2 3 2" xfId="24862"/>
    <cellStyle name="Comma 11 2 3 2 4" xfId="14527"/>
    <cellStyle name="Comma 11 2 3 2 4 2" xfId="28155"/>
    <cellStyle name="Comma 11 2 3 2 5" xfId="18556"/>
    <cellStyle name="Comma 11 2 3 3" xfId="6585"/>
    <cellStyle name="Comma 11 2 3 3 2" xfId="20235"/>
    <cellStyle name="Comma 11 2 3 4" xfId="9806"/>
    <cellStyle name="Comma 11 2 3 4 2" xfId="23437"/>
    <cellStyle name="Comma 11 2 3 5" xfId="13101"/>
    <cellStyle name="Comma 11 2 3 5 2" xfId="26729"/>
    <cellStyle name="Comma 11 2 3 6" xfId="17021"/>
    <cellStyle name="Comma 11 2 4" xfId="3831"/>
    <cellStyle name="Comma 11 2 4 2" xfId="7263"/>
    <cellStyle name="Comma 11 2 4 2 2" xfId="20911"/>
    <cellStyle name="Comma 11 2 4 3" xfId="10401"/>
    <cellStyle name="Comma 11 2 4 3 2" xfId="24032"/>
    <cellStyle name="Comma 11 2 4 4" xfId="13697"/>
    <cellStyle name="Comma 11 2 4 4 2" xfId="27325"/>
    <cellStyle name="Comma 11 2 4 5" xfId="17628"/>
    <cellStyle name="Comma 11 2 5" xfId="5671"/>
    <cellStyle name="Comma 11 2 5 2" xfId="19321"/>
    <cellStyle name="Comma 11 2 6" xfId="12274"/>
    <cellStyle name="Comma 11 2 6 2" xfId="25902"/>
    <cellStyle name="Comma 11 2 7" xfId="15902"/>
    <cellStyle name="Comma 11 20" xfId="5639"/>
    <cellStyle name="Comma 11 20 2" xfId="19289"/>
    <cellStyle name="Comma 11 21" xfId="8928"/>
    <cellStyle name="Comma 11 21 2" xfId="22571"/>
    <cellStyle name="Comma 11 22" xfId="11950"/>
    <cellStyle name="Comma 11 22 2" xfId="25581"/>
    <cellStyle name="Comma 11 23" xfId="12086"/>
    <cellStyle name="Comma 11 23 2" xfId="25714"/>
    <cellStyle name="Comma 11 24" xfId="12242"/>
    <cellStyle name="Comma 11 24 2" xfId="25870"/>
    <cellStyle name="Comma 11 25" xfId="15862"/>
    <cellStyle name="Comma 11 3" xfId="314"/>
    <cellStyle name="Comma 11 3 2" xfId="788"/>
    <cellStyle name="Comma 11 3 3" xfId="3130"/>
    <cellStyle name="Comma 11 3 3 2" xfId="4925"/>
    <cellStyle name="Comma 11 3 3 2 2" xfId="8191"/>
    <cellStyle name="Comma 11 3 3 2 2 2" xfId="21839"/>
    <cellStyle name="Comma 11 3 3 2 3" xfId="11258"/>
    <cellStyle name="Comma 11 3 3 2 3 2" xfId="24889"/>
    <cellStyle name="Comma 11 3 3 2 4" xfId="14554"/>
    <cellStyle name="Comma 11 3 3 2 4 2" xfId="28182"/>
    <cellStyle name="Comma 11 3 3 2 5" xfId="18583"/>
    <cellStyle name="Comma 11 3 3 3" xfId="6612"/>
    <cellStyle name="Comma 11 3 3 3 2" xfId="20262"/>
    <cellStyle name="Comma 11 3 3 4" xfId="9833"/>
    <cellStyle name="Comma 11 3 3 4 2" xfId="23464"/>
    <cellStyle name="Comma 11 3 3 5" xfId="13128"/>
    <cellStyle name="Comma 11 3 3 5 2" xfId="26756"/>
    <cellStyle name="Comma 11 3 3 6" xfId="17048"/>
    <cellStyle name="Comma 11 3 4" xfId="3802"/>
    <cellStyle name="Comma 11 3 4 2" xfId="7234"/>
    <cellStyle name="Comma 11 3 4 2 2" xfId="20882"/>
    <cellStyle name="Comma 11 3 4 3" xfId="10372"/>
    <cellStyle name="Comma 11 3 4 3 2" xfId="24003"/>
    <cellStyle name="Comma 11 3 4 4" xfId="13668"/>
    <cellStyle name="Comma 11 3 4 4 2" xfId="27296"/>
    <cellStyle name="Comma 11 3 4 5" xfId="17599"/>
    <cellStyle name="Comma 11 3 5" xfId="5642"/>
    <cellStyle name="Comma 11 3 5 2" xfId="19292"/>
    <cellStyle name="Comma 11 3 6" xfId="9122"/>
    <cellStyle name="Comma 11 3 6 2" xfId="22765"/>
    <cellStyle name="Comma 11 3 7" xfId="12245"/>
    <cellStyle name="Comma 11 3 7 2" xfId="25873"/>
    <cellStyle name="Comma 11 3 8" xfId="15873"/>
    <cellStyle name="Comma 11 4" xfId="418"/>
    <cellStyle name="Comma 11 4 2" xfId="789"/>
    <cellStyle name="Comma 11 4 3" xfId="3086"/>
    <cellStyle name="Comma 11 4 3 2" xfId="4886"/>
    <cellStyle name="Comma 11 4 3 2 2" xfId="8152"/>
    <cellStyle name="Comma 11 4 3 2 2 2" xfId="21800"/>
    <cellStyle name="Comma 11 4 3 2 3" xfId="11221"/>
    <cellStyle name="Comma 11 4 3 2 3 2" xfId="24852"/>
    <cellStyle name="Comma 11 4 3 2 4" xfId="14517"/>
    <cellStyle name="Comma 11 4 3 2 4 2" xfId="28145"/>
    <cellStyle name="Comma 11 4 3 2 5" xfId="18544"/>
    <cellStyle name="Comma 11 4 3 3" xfId="6575"/>
    <cellStyle name="Comma 11 4 3 3 2" xfId="20225"/>
    <cellStyle name="Comma 11 4 3 4" xfId="9796"/>
    <cellStyle name="Comma 11 4 3 4 2" xfId="23427"/>
    <cellStyle name="Comma 11 4 3 5" xfId="13091"/>
    <cellStyle name="Comma 11 4 3 5 2" xfId="26719"/>
    <cellStyle name="Comma 11 4 3 6" xfId="17009"/>
    <cellStyle name="Comma 11 4 4" xfId="3842"/>
    <cellStyle name="Comma 11 4 4 2" xfId="7274"/>
    <cellStyle name="Comma 11 4 4 2 2" xfId="20922"/>
    <cellStyle name="Comma 11 4 4 3" xfId="10412"/>
    <cellStyle name="Comma 11 4 4 3 2" xfId="24043"/>
    <cellStyle name="Comma 11 4 4 4" xfId="13708"/>
    <cellStyle name="Comma 11 4 4 4 2" xfId="27336"/>
    <cellStyle name="Comma 11 4 4 5" xfId="17639"/>
    <cellStyle name="Comma 11 4 5" xfId="5685"/>
    <cellStyle name="Comma 11 4 5 2" xfId="19335"/>
    <cellStyle name="Comma 11 4 6" xfId="9090"/>
    <cellStyle name="Comma 11 4 6 2" xfId="22733"/>
    <cellStyle name="Comma 11 4 7" xfId="12285"/>
    <cellStyle name="Comma 11 4 7 2" xfId="25913"/>
    <cellStyle name="Comma 11 4 8" xfId="15921"/>
    <cellStyle name="Comma 11 5" xfId="484"/>
    <cellStyle name="Comma 11 5 2" xfId="790"/>
    <cellStyle name="Comma 11 5 3" xfId="3060"/>
    <cellStyle name="Comma 11 5 3 2" xfId="4866"/>
    <cellStyle name="Comma 11 5 3 2 2" xfId="8132"/>
    <cellStyle name="Comma 11 5 3 2 2 2" xfId="21780"/>
    <cellStyle name="Comma 11 5 3 2 3" xfId="11201"/>
    <cellStyle name="Comma 11 5 3 2 3 2" xfId="24832"/>
    <cellStyle name="Comma 11 5 3 2 4" xfId="14497"/>
    <cellStyle name="Comma 11 5 3 2 4 2" xfId="28125"/>
    <cellStyle name="Comma 11 5 3 2 5" xfId="18524"/>
    <cellStyle name="Comma 11 5 3 3" xfId="6555"/>
    <cellStyle name="Comma 11 5 3 3 2" xfId="20205"/>
    <cellStyle name="Comma 11 5 3 4" xfId="9776"/>
    <cellStyle name="Comma 11 5 3 4 2" xfId="23407"/>
    <cellStyle name="Comma 11 5 3 5" xfId="13071"/>
    <cellStyle name="Comma 11 5 3 5 2" xfId="26699"/>
    <cellStyle name="Comma 11 5 3 6" xfId="16989"/>
    <cellStyle name="Comma 11 5 4" xfId="3866"/>
    <cellStyle name="Comma 11 5 4 2" xfId="7296"/>
    <cellStyle name="Comma 11 5 4 2 2" xfId="20944"/>
    <cellStyle name="Comma 11 5 4 3" xfId="10434"/>
    <cellStyle name="Comma 11 5 4 3 2" xfId="24065"/>
    <cellStyle name="Comma 11 5 4 4" xfId="13730"/>
    <cellStyle name="Comma 11 5 4 4 2" xfId="27358"/>
    <cellStyle name="Comma 11 5 4 5" xfId="17661"/>
    <cellStyle name="Comma 11 5 5" xfId="5707"/>
    <cellStyle name="Comma 11 5 5 2" xfId="19357"/>
    <cellStyle name="Comma 11 5 6" xfId="9073"/>
    <cellStyle name="Comma 11 5 6 2" xfId="22716"/>
    <cellStyle name="Comma 11 5 7" xfId="12307"/>
    <cellStyle name="Comma 11 5 7 2" xfId="25935"/>
    <cellStyle name="Comma 11 5 8" xfId="15983"/>
    <cellStyle name="Comma 11 6" xfId="791"/>
    <cellStyle name="Comma 11 6 10" xfId="12088"/>
    <cellStyle name="Comma 11 6 10 2" xfId="25716"/>
    <cellStyle name="Comma 11 6 2" xfId="1779"/>
    <cellStyle name="Comma 11 6 3" xfId="1778"/>
    <cellStyle name="Comma 11 6 3 2" xfId="3196"/>
    <cellStyle name="Comma 11 6 3 2 2" xfId="4944"/>
    <cellStyle name="Comma 11 6 3 2 2 2" xfId="8209"/>
    <cellStyle name="Comma 11 6 3 2 2 2 2" xfId="21857"/>
    <cellStyle name="Comma 11 6 3 2 2 3" xfId="11276"/>
    <cellStyle name="Comma 11 6 3 2 2 3 2" xfId="24907"/>
    <cellStyle name="Comma 11 6 3 2 2 4" xfId="14572"/>
    <cellStyle name="Comma 11 6 3 2 2 4 2" xfId="28200"/>
    <cellStyle name="Comma 11 6 3 2 2 5" xfId="18602"/>
    <cellStyle name="Comma 11 6 3 2 3" xfId="6631"/>
    <cellStyle name="Comma 11 6 3 2 3 2" xfId="20281"/>
    <cellStyle name="Comma 11 6 3 2 4" xfId="9852"/>
    <cellStyle name="Comma 11 6 3 2 4 2" xfId="23483"/>
    <cellStyle name="Comma 11 6 3 2 5" xfId="13147"/>
    <cellStyle name="Comma 11 6 3 2 5 2" xfId="26775"/>
    <cellStyle name="Comma 11 6 3 2 6" xfId="17077"/>
    <cellStyle name="Comma 11 6 3 3" xfId="3999"/>
    <cellStyle name="Comma 11 6 3 3 2" xfId="7429"/>
    <cellStyle name="Comma 11 6 3 3 2 2" xfId="21077"/>
    <cellStyle name="Comma 11 6 3 3 3" xfId="10567"/>
    <cellStyle name="Comma 11 6 3 3 3 2" xfId="24198"/>
    <cellStyle name="Comma 11 6 3 3 4" xfId="13863"/>
    <cellStyle name="Comma 11 6 3 3 4 2" xfId="27491"/>
    <cellStyle name="Comma 11 6 3 3 5" xfId="17794"/>
    <cellStyle name="Comma 11 6 3 4" xfId="5835"/>
    <cellStyle name="Comma 11 6 3 4 2" xfId="19485"/>
    <cellStyle name="Comma 11 6 3 5" xfId="9134"/>
    <cellStyle name="Comma 11 6 3 5 2" xfId="22776"/>
    <cellStyle name="Comma 11 6 3 6" xfId="12435"/>
    <cellStyle name="Comma 11 6 3 6 2" xfId="26063"/>
    <cellStyle name="Comma 11 6 3 7" xfId="16217"/>
    <cellStyle name="Comma 11 6 4" xfId="2220"/>
    <cellStyle name="Comma 11 6 4 2" xfId="3333"/>
    <cellStyle name="Comma 11 6 4 2 2" xfId="5079"/>
    <cellStyle name="Comma 11 6 4 2 2 2" xfId="8343"/>
    <cellStyle name="Comma 11 6 4 2 2 2 2" xfId="21991"/>
    <cellStyle name="Comma 11 6 4 2 2 3" xfId="11410"/>
    <cellStyle name="Comma 11 6 4 2 2 3 2" xfId="25041"/>
    <cellStyle name="Comma 11 6 4 2 2 4" xfId="14706"/>
    <cellStyle name="Comma 11 6 4 2 2 4 2" xfId="28334"/>
    <cellStyle name="Comma 11 6 4 2 2 5" xfId="18737"/>
    <cellStyle name="Comma 11 6 4 2 3" xfId="6767"/>
    <cellStyle name="Comma 11 6 4 2 3 2" xfId="20417"/>
    <cellStyle name="Comma 11 6 4 2 4" xfId="9987"/>
    <cellStyle name="Comma 11 6 4 2 4 2" xfId="23618"/>
    <cellStyle name="Comma 11 6 4 2 5" xfId="13282"/>
    <cellStyle name="Comma 11 6 4 2 5 2" xfId="26910"/>
    <cellStyle name="Comma 11 6 4 2 6" xfId="17212"/>
    <cellStyle name="Comma 11 6 4 3" xfId="4133"/>
    <cellStyle name="Comma 11 6 4 3 2" xfId="7563"/>
    <cellStyle name="Comma 11 6 4 3 2 2" xfId="21211"/>
    <cellStyle name="Comma 11 6 4 3 3" xfId="10701"/>
    <cellStyle name="Comma 11 6 4 3 3 2" xfId="24332"/>
    <cellStyle name="Comma 11 6 4 3 4" xfId="13997"/>
    <cellStyle name="Comma 11 6 4 3 4 2" xfId="27625"/>
    <cellStyle name="Comma 11 6 4 3 5" xfId="17928"/>
    <cellStyle name="Comma 11 6 4 4" xfId="5969"/>
    <cellStyle name="Comma 11 6 4 4 2" xfId="19619"/>
    <cellStyle name="Comma 11 6 4 5" xfId="9255"/>
    <cellStyle name="Comma 11 6 4 5 2" xfId="22897"/>
    <cellStyle name="Comma 11 6 4 6" xfId="12569"/>
    <cellStyle name="Comma 11 6 4 6 2" xfId="26197"/>
    <cellStyle name="Comma 11 6 4 7" xfId="16414"/>
    <cellStyle name="Comma 11 6 5" xfId="2316"/>
    <cellStyle name="Comma 11 6 5 2" xfId="3422"/>
    <cellStyle name="Comma 11 6 5 2 2" xfId="5158"/>
    <cellStyle name="Comma 11 6 5 2 2 2" xfId="8422"/>
    <cellStyle name="Comma 11 6 5 2 2 2 2" xfId="22070"/>
    <cellStyle name="Comma 11 6 5 2 2 3" xfId="11489"/>
    <cellStyle name="Comma 11 6 5 2 2 3 2" xfId="25120"/>
    <cellStyle name="Comma 11 6 5 2 2 4" xfId="14785"/>
    <cellStyle name="Comma 11 6 5 2 2 4 2" xfId="28413"/>
    <cellStyle name="Comma 11 6 5 2 2 5" xfId="18816"/>
    <cellStyle name="Comma 11 6 5 2 3" xfId="6856"/>
    <cellStyle name="Comma 11 6 5 2 3 2" xfId="20506"/>
    <cellStyle name="Comma 11 6 5 2 4" xfId="10066"/>
    <cellStyle name="Comma 11 6 5 2 4 2" xfId="23697"/>
    <cellStyle name="Comma 11 6 5 2 5" xfId="13361"/>
    <cellStyle name="Comma 11 6 5 2 5 2" xfId="26989"/>
    <cellStyle name="Comma 11 6 5 2 6" xfId="17291"/>
    <cellStyle name="Comma 11 6 5 3" xfId="4212"/>
    <cellStyle name="Comma 11 6 5 3 2" xfId="7642"/>
    <cellStyle name="Comma 11 6 5 3 2 2" xfId="21290"/>
    <cellStyle name="Comma 11 6 5 3 3" xfId="10780"/>
    <cellStyle name="Comma 11 6 5 3 3 2" xfId="24411"/>
    <cellStyle name="Comma 11 6 5 3 4" xfId="14076"/>
    <cellStyle name="Comma 11 6 5 3 4 2" xfId="27704"/>
    <cellStyle name="Comma 11 6 5 3 5" xfId="18007"/>
    <cellStyle name="Comma 11 6 5 4" xfId="6048"/>
    <cellStyle name="Comma 11 6 5 4 2" xfId="19698"/>
    <cellStyle name="Comma 11 6 5 5" xfId="9334"/>
    <cellStyle name="Comma 11 6 5 5 2" xfId="22976"/>
    <cellStyle name="Comma 11 6 5 6" xfId="12648"/>
    <cellStyle name="Comma 11 6 5 6 2" xfId="26276"/>
    <cellStyle name="Comma 11 6 5 7" xfId="16494"/>
    <cellStyle name="Comma 11 6 6" xfId="2696"/>
    <cellStyle name="Comma 11 6 6 2" xfId="3650"/>
    <cellStyle name="Comma 11 6 6 2 2" xfId="5317"/>
    <cellStyle name="Comma 11 6 6 2 2 2" xfId="8580"/>
    <cellStyle name="Comma 11 6 6 2 2 2 2" xfId="22228"/>
    <cellStyle name="Comma 11 6 6 2 2 3" xfId="11647"/>
    <cellStyle name="Comma 11 6 6 2 2 3 2" xfId="25278"/>
    <cellStyle name="Comma 11 6 6 2 2 4" xfId="14943"/>
    <cellStyle name="Comma 11 6 6 2 2 4 2" xfId="28571"/>
    <cellStyle name="Comma 11 6 6 2 2 5" xfId="18975"/>
    <cellStyle name="Comma 11 6 6 2 3" xfId="7084"/>
    <cellStyle name="Comma 11 6 6 2 3 2" xfId="20734"/>
    <cellStyle name="Comma 11 6 6 2 4" xfId="10225"/>
    <cellStyle name="Comma 11 6 6 2 4 2" xfId="23856"/>
    <cellStyle name="Comma 11 6 6 2 5" xfId="13520"/>
    <cellStyle name="Comma 11 6 6 2 5 2" xfId="27148"/>
    <cellStyle name="Comma 11 6 6 2 6" xfId="17451"/>
    <cellStyle name="Comma 11 6 6 3" xfId="4439"/>
    <cellStyle name="Comma 11 6 6 3 2" xfId="7869"/>
    <cellStyle name="Comma 11 6 6 3 2 2" xfId="21517"/>
    <cellStyle name="Comma 11 6 6 3 3" xfId="10938"/>
    <cellStyle name="Comma 11 6 6 3 3 2" xfId="24569"/>
    <cellStyle name="Comma 11 6 6 3 4" xfId="14234"/>
    <cellStyle name="Comma 11 6 6 3 4 2" xfId="27862"/>
    <cellStyle name="Comma 11 6 6 3 5" xfId="18234"/>
    <cellStyle name="Comma 11 6 6 4" xfId="6290"/>
    <cellStyle name="Comma 11 6 6 4 2" xfId="19940"/>
    <cellStyle name="Comma 11 6 6 5" xfId="9492"/>
    <cellStyle name="Comma 11 6 6 5 2" xfId="23134"/>
    <cellStyle name="Comma 11 6 6 6" xfId="12806"/>
    <cellStyle name="Comma 11 6 6 6 2" xfId="26434"/>
    <cellStyle name="Comma 11 6 6 7" xfId="16723"/>
    <cellStyle name="Comma 11 6 7" xfId="5479"/>
    <cellStyle name="Comma 11 6 7 2" xfId="8740"/>
    <cellStyle name="Comma 11 6 7 2 2" xfId="22383"/>
    <cellStyle name="Comma 11 6 7 3" xfId="11800"/>
    <cellStyle name="Comma 11 6 7 3 2" xfId="25431"/>
    <cellStyle name="Comma 11 6 7 4" xfId="15096"/>
    <cellStyle name="Comma 11 6 7 4 2" xfId="28724"/>
    <cellStyle name="Comma 11 6 7 5" xfId="19129"/>
    <cellStyle name="Comma 11 6 8" xfId="8930"/>
    <cellStyle name="Comma 11 6 8 2" xfId="22573"/>
    <cellStyle name="Comma 11 6 9" xfId="12029"/>
    <cellStyle name="Comma 11 6 9 2" xfId="25660"/>
    <cellStyle name="Comma 11 7" xfId="792"/>
    <cellStyle name="Comma 11 7 2" xfId="1781"/>
    <cellStyle name="Comma 11 7 3" xfId="1780"/>
    <cellStyle name="Comma 11 8" xfId="793"/>
    <cellStyle name="Comma 11 8 2" xfId="2854"/>
    <cellStyle name="Comma 11 9" xfId="794"/>
    <cellStyle name="Comma 11 9 2" xfId="2855"/>
    <cellStyle name="Comma 12" xfId="10"/>
    <cellStyle name="Comma 12 10" xfId="796"/>
    <cellStyle name="Comma 12 10 2" xfId="2856"/>
    <cellStyle name="Comma 12 11" xfId="797"/>
    <cellStyle name="Comma 12 11 2" xfId="2857"/>
    <cellStyle name="Comma 12 12" xfId="798"/>
    <cellStyle name="Comma 12 12 2" xfId="2858"/>
    <cellStyle name="Comma 12 13" xfId="795"/>
    <cellStyle name="Comma 12 14" xfId="1782"/>
    <cellStyle name="Comma 12 14 2" xfId="3197"/>
    <cellStyle name="Comma 12 14 2 2" xfId="4945"/>
    <cellStyle name="Comma 12 14 2 2 2" xfId="8210"/>
    <cellStyle name="Comma 12 14 2 2 2 2" xfId="21858"/>
    <cellStyle name="Comma 12 14 2 2 3" xfId="11277"/>
    <cellStyle name="Comma 12 14 2 2 3 2" xfId="24908"/>
    <cellStyle name="Comma 12 14 2 2 4" xfId="14573"/>
    <cellStyle name="Comma 12 14 2 2 4 2" xfId="28201"/>
    <cellStyle name="Comma 12 14 2 2 5" xfId="18603"/>
    <cellStyle name="Comma 12 14 2 3" xfId="6632"/>
    <cellStyle name="Comma 12 14 2 3 2" xfId="20282"/>
    <cellStyle name="Comma 12 14 2 4" xfId="9853"/>
    <cellStyle name="Comma 12 14 2 4 2" xfId="23484"/>
    <cellStyle name="Comma 12 14 2 5" xfId="13148"/>
    <cellStyle name="Comma 12 14 2 5 2" xfId="26776"/>
    <cellStyle name="Comma 12 14 2 6" xfId="17078"/>
    <cellStyle name="Comma 12 14 3" xfId="4000"/>
    <cellStyle name="Comma 12 14 3 2" xfId="7430"/>
    <cellStyle name="Comma 12 14 3 2 2" xfId="21078"/>
    <cellStyle name="Comma 12 14 3 3" xfId="10568"/>
    <cellStyle name="Comma 12 14 3 3 2" xfId="24199"/>
    <cellStyle name="Comma 12 14 3 4" xfId="13864"/>
    <cellStyle name="Comma 12 14 3 4 2" xfId="27492"/>
    <cellStyle name="Comma 12 14 3 5" xfId="17795"/>
    <cellStyle name="Comma 12 14 4" xfId="5836"/>
    <cellStyle name="Comma 12 14 4 2" xfId="19486"/>
    <cellStyle name="Comma 12 14 5" xfId="9135"/>
    <cellStyle name="Comma 12 14 5 2" xfId="22777"/>
    <cellStyle name="Comma 12 14 6" xfId="12436"/>
    <cellStyle name="Comma 12 14 6 2" xfId="26064"/>
    <cellStyle name="Comma 12 14 7" xfId="16218"/>
    <cellStyle name="Comma 12 15" xfId="2132"/>
    <cellStyle name="Comma 12 15 2" xfId="3245"/>
    <cellStyle name="Comma 12 15 2 2" xfId="4992"/>
    <cellStyle name="Comma 12 15 2 2 2" xfId="8256"/>
    <cellStyle name="Comma 12 15 2 2 2 2" xfId="21904"/>
    <cellStyle name="Comma 12 15 2 2 3" xfId="11323"/>
    <cellStyle name="Comma 12 15 2 2 3 2" xfId="24954"/>
    <cellStyle name="Comma 12 15 2 2 4" xfId="14619"/>
    <cellStyle name="Comma 12 15 2 2 4 2" xfId="28247"/>
    <cellStyle name="Comma 12 15 2 2 5" xfId="18650"/>
    <cellStyle name="Comma 12 15 2 3" xfId="6679"/>
    <cellStyle name="Comma 12 15 2 3 2" xfId="20329"/>
    <cellStyle name="Comma 12 15 2 4" xfId="9900"/>
    <cellStyle name="Comma 12 15 2 4 2" xfId="23531"/>
    <cellStyle name="Comma 12 15 2 5" xfId="13195"/>
    <cellStyle name="Comma 12 15 2 5 2" xfId="26823"/>
    <cellStyle name="Comma 12 15 2 6" xfId="17125"/>
    <cellStyle name="Comma 12 15 3" xfId="4046"/>
    <cellStyle name="Comma 12 15 3 2" xfId="7476"/>
    <cellStyle name="Comma 12 15 3 2 2" xfId="21124"/>
    <cellStyle name="Comma 12 15 3 3" xfId="10614"/>
    <cellStyle name="Comma 12 15 3 3 2" xfId="24245"/>
    <cellStyle name="Comma 12 15 3 4" xfId="13910"/>
    <cellStyle name="Comma 12 15 3 4 2" xfId="27538"/>
    <cellStyle name="Comma 12 15 3 5" xfId="17841"/>
    <cellStyle name="Comma 12 15 4" xfId="5882"/>
    <cellStyle name="Comma 12 15 4 2" xfId="19532"/>
    <cellStyle name="Comma 12 15 5" xfId="9168"/>
    <cellStyle name="Comma 12 15 5 2" xfId="22810"/>
    <cellStyle name="Comma 12 15 6" xfId="12482"/>
    <cellStyle name="Comma 12 15 6 2" xfId="26110"/>
    <cellStyle name="Comma 12 15 7" xfId="16327"/>
    <cellStyle name="Comma 12 16" xfId="2317"/>
    <cellStyle name="Comma 12 16 2" xfId="3423"/>
    <cellStyle name="Comma 12 16 2 2" xfId="5159"/>
    <cellStyle name="Comma 12 16 2 2 2" xfId="8423"/>
    <cellStyle name="Comma 12 16 2 2 2 2" xfId="22071"/>
    <cellStyle name="Comma 12 16 2 2 3" xfId="11490"/>
    <cellStyle name="Comma 12 16 2 2 3 2" xfId="25121"/>
    <cellStyle name="Comma 12 16 2 2 4" xfId="14786"/>
    <cellStyle name="Comma 12 16 2 2 4 2" xfId="28414"/>
    <cellStyle name="Comma 12 16 2 2 5" xfId="18817"/>
    <cellStyle name="Comma 12 16 2 3" xfId="6857"/>
    <cellStyle name="Comma 12 16 2 3 2" xfId="20507"/>
    <cellStyle name="Comma 12 16 2 4" xfId="10067"/>
    <cellStyle name="Comma 12 16 2 4 2" xfId="23698"/>
    <cellStyle name="Comma 12 16 2 5" xfId="13362"/>
    <cellStyle name="Comma 12 16 2 5 2" xfId="26990"/>
    <cellStyle name="Comma 12 16 2 6" xfId="17292"/>
    <cellStyle name="Comma 12 16 3" xfId="4213"/>
    <cellStyle name="Comma 12 16 3 2" xfId="7643"/>
    <cellStyle name="Comma 12 16 3 2 2" xfId="21291"/>
    <cellStyle name="Comma 12 16 3 3" xfId="10781"/>
    <cellStyle name="Comma 12 16 3 3 2" xfId="24412"/>
    <cellStyle name="Comma 12 16 3 4" xfId="14077"/>
    <cellStyle name="Comma 12 16 3 4 2" xfId="27705"/>
    <cellStyle name="Comma 12 16 3 5" xfId="18008"/>
    <cellStyle name="Comma 12 16 4" xfId="6049"/>
    <cellStyle name="Comma 12 16 4 2" xfId="19699"/>
    <cellStyle name="Comma 12 16 5" xfId="9335"/>
    <cellStyle name="Comma 12 16 5 2" xfId="22977"/>
    <cellStyle name="Comma 12 16 6" xfId="12649"/>
    <cellStyle name="Comma 12 16 6 2" xfId="26277"/>
    <cellStyle name="Comma 12 16 7" xfId="16495"/>
    <cellStyle name="Comma 12 17" xfId="2697"/>
    <cellStyle name="Comma 12 17 2" xfId="3651"/>
    <cellStyle name="Comma 12 17 2 2" xfId="5318"/>
    <cellStyle name="Comma 12 17 2 2 2" xfId="8581"/>
    <cellStyle name="Comma 12 17 2 2 2 2" xfId="22229"/>
    <cellStyle name="Comma 12 17 2 2 3" xfId="11648"/>
    <cellStyle name="Comma 12 17 2 2 3 2" xfId="25279"/>
    <cellStyle name="Comma 12 17 2 2 4" xfId="14944"/>
    <cellStyle name="Comma 12 17 2 2 4 2" xfId="28572"/>
    <cellStyle name="Comma 12 17 2 2 5" xfId="18976"/>
    <cellStyle name="Comma 12 17 2 3" xfId="7085"/>
    <cellStyle name="Comma 12 17 2 3 2" xfId="20735"/>
    <cellStyle name="Comma 12 17 2 4" xfId="10226"/>
    <cellStyle name="Comma 12 17 2 4 2" xfId="23857"/>
    <cellStyle name="Comma 12 17 2 5" xfId="13521"/>
    <cellStyle name="Comma 12 17 2 5 2" xfId="27149"/>
    <cellStyle name="Comma 12 17 2 6" xfId="17452"/>
    <cellStyle name="Comma 12 17 3" xfId="4440"/>
    <cellStyle name="Comma 12 17 3 2" xfId="7870"/>
    <cellStyle name="Comma 12 17 3 2 2" xfId="21518"/>
    <cellStyle name="Comma 12 17 3 3" xfId="10939"/>
    <cellStyle name="Comma 12 17 3 3 2" xfId="24570"/>
    <cellStyle name="Comma 12 17 3 4" xfId="14235"/>
    <cellStyle name="Comma 12 17 3 4 2" xfId="27863"/>
    <cellStyle name="Comma 12 17 3 5" xfId="18235"/>
    <cellStyle name="Comma 12 17 4" xfId="6291"/>
    <cellStyle name="Comma 12 17 4 2" xfId="19941"/>
    <cellStyle name="Comma 12 17 5" xfId="9493"/>
    <cellStyle name="Comma 12 17 5 2" xfId="23135"/>
    <cellStyle name="Comma 12 17 6" xfId="12807"/>
    <cellStyle name="Comma 12 17 6 2" xfId="26435"/>
    <cellStyle name="Comma 12 17 7" xfId="16724"/>
    <cellStyle name="Comma 12 18" xfId="3184"/>
    <cellStyle name="Comma 12 18 2" xfId="4933"/>
    <cellStyle name="Comma 12 18 2 2" xfId="8199"/>
    <cellStyle name="Comma 12 18 2 2 2" xfId="21847"/>
    <cellStyle name="Comma 12 18 2 3" xfId="11266"/>
    <cellStyle name="Comma 12 18 2 3 2" xfId="24897"/>
    <cellStyle name="Comma 12 18 2 4" xfId="14562"/>
    <cellStyle name="Comma 12 18 2 4 2" xfId="28190"/>
    <cellStyle name="Comma 12 18 2 5" xfId="18591"/>
    <cellStyle name="Comma 12 18 3" xfId="6620"/>
    <cellStyle name="Comma 12 18 3 2" xfId="20270"/>
    <cellStyle name="Comma 12 18 4" xfId="9841"/>
    <cellStyle name="Comma 12 18 4 2" xfId="23472"/>
    <cellStyle name="Comma 12 18 5" xfId="13136"/>
    <cellStyle name="Comma 12 18 5 2" xfId="26764"/>
    <cellStyle name="Comma 12 18 6" xfId="17066"/>
    <cellStyle name="Comma 12 19" xfId="3793"/>
    <cellStyle name="Comma 12 19 2" xfId="7225"/>
    <cellStyle name="Comma 12 19 2 2" xfId="20873"/>
    <cellStyle name="Comma 12 19 3" xfId="10363"/>
    <cellStyle name="Comma 12 19 3 2" xfId="23994"/>
    <cellStyle name="Comma 12 19 4" xfId="13659"/>
    <cellStyle name="Comma 12 19 4 2" xfId="27287"/>
    <cellStyle name="Comma 12 19 5" xfId="17590"/>
    <cellStyle name="Comma 12 2" xfId="345"/>
    <cellStyle name="Comma 12 2 2" xfId="799"/>
    <cellStyle name="Comma 12 2 2 10" xfId="12090"/>
    <cellStyle name="Comma 12 2 2 10 2" xfId="25718"/>
    <cellStyle name="Comma 12 2 2 2" xfId="1784"/>
    <cellStyle name="Comma 12 2 2 3" xfId="1783"/>
    <cellStyle name="Comma 12 2 2 3 2" xfId="3198"/>
    <cellStyle name="Comma 12 2 2 3 2 2" xfId="4946"/>
    <cellStyle name="Comma 12 2 2 3 2 2 2" xfId="8211"/>
    <cellStyle name="Comma 12 2 2 3 2 2 2 2" xfId="21859"/>
    <cellStyle name="Comma 12 2 2 3 2 2 3" xfId="11278"/>
    <cellStyle name="Comma 12 2 2 3 2 2 3 2" xfId="24909"/>
    <cellStyle name="Comma 12 2 2 3 2 2 4" xfId="14574"/>
    <cellStyle name="Comma 12 2 2 3 2 2 4 2" xfId="28202"/>
    <cellStyle name="Comma 12 2 2 3 2 2 5" xfId="18604"/>
    <cellStyle name="Comma 12 2 2 3 2 3" xfId="6633"/>
    <cellStyle name="Comma 12 2 2 3 2 3 2" xfId="20283"/>
    <cellStyle name="Comma 12 2 2 3 2 4" xfId="9854"/>
    <cellStyle name="Comma 12 2 2 3 2 4 2" xfId="23485"/>
    <cellStyle name="Comma 12 2 2 3 2 5" xfId="13149"/>
    <cellStyle name="Comma 12 2 2 3 2 5 2" xfId="26777"/>
    <cellStyle name="Comma 12 2 2 3 2 6" xfId="17079"/>
    <cellStyle name="Comma 12 2 2 3 3" xfId="4001"/>
    <cellStyle name="Comma 12 2 2 3 3 2" xfId="7431"/>
    <cellStyle name="Comma 12 2 2 3 3 2 2" xfId="21079"/>
    <cellStyle name="Comma 12 2 2 3 3 3" xfId="10569"/>
    <cellStyle name="Comma 12 2 2 3 3 3 2" xfId="24200"/>
    <cellStyle name="Comma 12 2 2 3 3 4" xfId="13865"/>
    <cellStyle name="Comma 12 2 2 3 3 4 2" xfId="27493"/>
    <cellStyle name="Comma 12 2 2 3 3 5" xfId="17796"/>
    <cellStyle name="Comma 12 2 2 3 4" xfId="5837"/>
    <cellStyle name="Comma 12 2 2 3 4 2" xfId="19487"/>
    <cellStyle name="Comma 12 2 2 3 5" xfId="9136"/>
    <cellStyle name="Comma 12 2 2 3 5 2" xfId="22778"/>
    <cellStyle name="Comma 12 2 2 3 6" xfId="12437"/>
    <cellStyle name="Comma 12 2 2 3 6 2" xfId="26065"/>
    <cellStyle name="Comma 12 2 2 3 7" xfId="16219"/>
    <cellStyle name="Comma 12 2 2 4" xfId="2239"/>
    <cellStyle name="Comma 12 2 2 4 2" xfId="3352"/>
    <cellStyle name="Comma 12 2 2 4 2 2" xfId="5096"/>
    <cellStyle name="Comma 12 2 2 4 2 2 2" xfId="8360"/>
    <cellStyle name="Comma 12 2 2 4 2 2 2 2" xfId="22008"/>
    <cellStyle name="Comma 12 2 2 4 2 2 3" xfId="11427"/>
    <cellStyle name="Comma 12 2 2 4 2 2 3 2" xfId="25058"/>
    <cellStyle name="Comma 12 2 2 4 2 2 4" xfId="14723"/>
    <cellStyle name="Comma 12 2 2 4 2 2 4 2" xfId="28351"/>
    <cellStyle name="Comma 12 2 2 4 2 2 5" xfId="18754"/>
    <cellStyle name="Comma 12 2 2 4 2 3" xfId="6786"/>
    <cellStyle name="Comma 12 2 2 4 2 3 2" xfId="20436"/>
    <cellStyle name="Comma 12 2 2 4 2 4" xfId="10004"/>
    <cellStyle name="Comma 12 2 2 4 2 4 2" xfId="23635"/>
    <cellStyle name="Comma 12 2 2 4 2 5" xfId="13299"/>
    <cellStyle name="Comma 12 2 2 4 2 5 2" xfId="26927"/>
    <cellStyle name="Comma 12 2 2 4 2 6" xfId="17229"/>
    <cellStyle name="Comma 12 2 2 4 3" xfId="4150"/>
    <cellStyle name="Comma 12 2 2 4 3 2" xfId="7580"/>
    <cellStyle name="Comma 12 2 2 4 3 2 2" xfId="21228"/>
    <cellStyle name="Comma 12 2 2 4 3 3" xfId="10718"/>
    <cellStyle name="Comma 12 2 2 4 3 3 2" xfId="24349"/>
    <cellStyle name="Comma 12 2 2 4 3 4" xfId="14014"/>
    <cellStyle name="Comma 12 2 2 4 3 4 2" xfId="27642"/>
    <cellStyle name="Comma 12 2 2 4 3 5" xfId="17945"/>
    <cellStyle name="Comma 12 2 2 4 4" xfId="5986"/>
    <cellStyle name="Comma 12 2 2 4 4 2" xfId="19636"/>
    <cellStyle name="Comma 12 2 2 4 5" xfId="9272"/>
    <cellStyle name="Comma 12 2 2 4 5 2" xfId="22914"/>
    <cellStyle name="Comma 12 2 2 4 6" xfId="12586"/>
    <cellStyle name="Comma 12 2 2 4 6 2" xfId="26214"/>
    <cellStyle name="Comma 12 2 2 4 7" xfId="16431"/>
    <cellStyle name="Comma 12 2 2 5" xfId="2318"/>
    <cellStyle name="Comma 12 2 2 5 2" xfId="3424"/>
    <cellStyle name="Comma 12 2 2 5 2 2" xfId="5160"/>
    <cellStyle name="Comma 12 2 2 5 2 2 2" xfId="8424"/>
    <cellStyle name="Comma 12 2 2 5 2 2 2 2" xfId="22072"/>
    <cellStyle name="Comma 12 2 2 5 2 2 3" xfId="11491"/>
    <cellStyle name="Comma 12 2 2 5 2 2 3 2" xfId="25122"/>
    <cellStyle name="Comma 12 2 2 5 2 2 4" xfId="14787"/>
    <cellStyle name="Comma 12 2 2 5 2 2 4 2" xfId="28415"/>
    <cellStyle name="Comma 12 2 2 5 2 2 5" xfId="18818"/>
    <cellStyle name="Comma 12 2 2 5 2 3" xfId="6858"/>
    <cellStyle name="Comma 12 2 2 5 2 3 2" xfId="20508"/>
    <cellStyle name="Comma 12 2 2 5 2 4" xfId="10068"/>
    <cellStyle name="Comma 12 2 2 5 2 4 2" xfId="23699"/>
    <cellStyle name="Comma 12 2 2 5 2 5" xfId="13363"/>
    <cellStyle name="Comma 12 2 2 5 2 5 2" xfId="26991"/>
    <cellStyle name="Comma 12 2 2 5 2 6" xfId="17293"/>
    <cellStyle name="Comma 12 2 2 5 3" xfId="4214"/>
    <cellStyle name="Comma 12 2 2 5 3 2" xfId="7644"/>
    <cellStyle name="Comma 12 2 2 5 3 2 2" xfId="21292"/>
    <cellStyle name="Comma 12 2 2 5 3 3" xfId="10782"/>
    <cellStyle name="Comma 12 2 2 5 3 3 2" xfId="24413"/>
    <cellStyle name="Comma 12 2 2 5 3 4" xfId="14078"/>
    <cellStyle name="Comma 12 2 2 5 3 4 2" xfId="27706"/>
    <cellStyle name="Comma 12 2 2 5 3 5" xfId="18009"/>
    <cellStyle name="Comma 12 2 2 5 4" xfId="6050"/>
    <cellStyle name="Comma 12 2 2 5 4 2" xfId="19700"/>
    <cellStyle name="Comma 12 2 2 5 5" xfId="9336"/>
    <cellStyle name="Comma 12 2 2 5 5 2" xfId="22978"/>
    <cellStyle name="Comma 12 2 2 5 6" xfId="12650"/>
    <cellStyle name="Comma 12 2 2 5 6 2" xfId="26278"/>
    <cellStyle name="Comma 12 2 2 5 7" xfId="16496"/>
    <cellStyle name="Comma 12 2 2 6" xfId="2698"/>
    <cellStyle name="Comma 12 2 2 6 2" xfId="3652"/>
    <cellStyle name="Comma 12 2 2 6 2 2" xfId="5319"/>
    <cellStyle name="Comma 12 2 2 6 2 2 2" xfId="8582"/>
    <cellStyle name="Comma 12 2 2 6 2 2 2 2" xfId="22230"/>
    <cellStyle name="Comma 12 2 2 6 2 2 3" xfId="11649"/>
    <cellStyle name="Comma 12 2 2 6 2 2 3 2" xfId="25280"/>
    <cellStyle name="Comma 12 2 2 6 2 2 4" xfId="14945"/>
    <cellStyle name="Comma 12 2 2 6 2 2 4 2" xfId="28573"/>
    <cellStyle name="Comma 12 2 2 6 2 2 5" xfId="18977"/>
    <cellStyle name="Comma 12 2 2 6 2 3" xfId="7086"/>
    <cellStyle name="Comma 12 2 2 6 2 3 2" xfId="20736"/>
    <cellStyle name="Comma 12 2 2 6 2 4" xfId="10227"/>
    <cellStyle name="Comma 12 2 2 6 2 4 2" xfId="23858"/>
    <cellStyle name="Comma 12 2 2 6 2 5" xfId="13522"/>
    <cellStyle name="Comma 12 2 2 6 2 5 2" xfId="27150"/>
    <cellStyle name="Comma 12 2 2 6 2 6" xfId="17453"/>
    <cellStyle name="Comma 12 2 2 6 3" xfId="4441"/>
    <cellStyle name="Comma 12 2 2 6 3 2" xfId="7871"/>
    <cellStyle name="Comma 12 2 2 6 3 2 2" xfId="21519"/>
    <cellStyle name="Comma 12 2 2 6 3 3" xfId="10940"/>
    <cellStyle name="Comma 12 2 2 6 3 3 2" xfId="24571"/>
    <cellStyle name="Comma 12 2 2 6 3 4" xfId="14236"/>
    <cellStyle name="Comma 12 2 2 6 3 4 2" xfId="27864"/>
    <cellStyle name="Comma 12 2 2 6 3 5" xfId="18236"/>
    <cellStyle name="Comma 12 2 2 6 4" xfId="6292"/>
    <cellStyle name="Comma 12 2 2 6 4 2" xfId="19942"/>
    <cellStyle name="Comma 12 2 2 6 5" xfId="9494"/>
    <cellStyle name="Comma 12 2 2 6 5 2" xfId="23136"/>
    <cellStyle name="Comma 12 2 2 6 6" xfId="12808"/>
    <cellStyle name="Comma 12 2 2 6 6 2" xfId="26436"/>
    <cellStyle name="Comma 12 2 2 6 7" xfId="16725"/>
    <cellStyle name="Comma 12 2 2 7" xfId="5481"/>
    <cellStyle name="Comma 12 2 2 7 2" xfId="8742"/>
    <cellStyle name="Comma 12 2 2 7 2 2" xfId="22385"/>
    <cellStyle name="Comma 12 2 2 7 3" xfId="11802"/>
    <cellStyle name="Comma 12 2 2 7 3 2" xfId="25433"/>
    <cellStyle name="Comma 12 2 2 7 4" xfId="15098"/>
    <cellStyle name="Comma 12 2 2 7 4 2" xfId="28726"/>
    <cellStyle name="Comma 12 2 2 7 5" xfId="19131"/>
    <cellStyle name="Comma 12 2 2 8" xfId="8932"/>
    <cellStyle name="Comma 12 2 2 8 2" xfId="22575"/>
    <cellStyle name="Comma 12 2 2 9" xfId="12049"/>
    <cellStyle name="Comma 12 2 2 9 2" xfId="25679"/>
    <cellStyle name="Comma 12 2 3" xfId="3109"/>
    <cellStyle name="Comma 12 2 3 2" xfId="4904"/>
    <cellStyle name="Comma 12 2 3 2 2" xfId="8170"/>
    <cellStyle name="Comma 12 2 3 2 2 2" xfId="21818"/>
    <cellStyle name="Comma 12 2 3 2 3" xfId="11237"/>
    <cellStyle name="Comma 12 2 3 2 3 2" xfId="24868"/>
    <cellStyle name="Comma 12 2 3 2 4" xfId="14533"/>
    <cellStyle name="Comma 12 2 3 2 4 2" xfId="28161"/>
    <cellStyle name="Comma 12 2 3 2 5" xfId="18562"/>
    <cellStyle name="Comma 12 2 3 3" xfId="6591"/>
    <cellStyle name="Comma 12 2 3 3 2" xfId="20241"/>
    <cellStyle name="Comma 12 2 3 4" xfId="9812"/>
    <cellStyle name="Comma 12 2 3 4 2" xfId="23443"/>
    <cellStyle name="Comma 12 2 3 5" xfId="13107"/>
    <cellStyle name="Comma 12 2 3 5 2" xfId="26735"/>
    <cellStyle name="Comma 12 2 3 6" xfId="17027"/>
    <cellStyle name="Comma 12 2 4" xfId="3825"/>
    <cellStyle name="Comma 12 2 4 2" xfId="7257"/>
    <cellStyle name="Comma 12 2 4 2 2" xfId="20905"/>
    <cellStyle name="Comma 12 2 4 3" xfId="10395"/>
    <cellStyle name="Comma 12 2 4 3 2" xfId="24026"/>
    <cellStyle name="Comma 12 2 4 4" xfId="13691"/>
    <cellStyle name="Comma 12 2 4 4 2" xfId="27319"/>
    <cellStyle name="Comma 12 2 4 5" xfId="17622"/>
    <cellStyle name="Comma 12 2 5" xfId="5665"/>
    <cellStyle name="Comma 12 2 5 2" xfId="19315"/>
    <cellStyle name="Comma 12 2 6" xfId="12268"/>
    <cellStyle name="Comma 12 2 6 2" xfId="25896"/>
    <cellStyle name="Comma 12 2 7" xfId="15896"/>
    <cellStyle name="Comma 12 20" xfId="5480"/>
    <cellStyle name="Comma 12 20 2" xfId="8741"/>
    <cellStyle name="Comma 12 20 2 2" xfId="22384"/>
    <cellStyle name="Comma 12 20 3" xfId="11801"/>
    <cellStyle name="Comma 12 20 3 2" xfId="25432"/>
    <cellStyle name="Comma 12 20 4" xfId="15097"/>
    <cellStyle name="Comma 12 20 4 2" xfId="28725"/>
    <cellStyle name="Comma 12 20 5" xfId="19130"/>
    <cellStyle name="Comma 12 21" xfId="5633"/>
    <cellStyle name="Comma 12 21 2" xfId="19283"/>
    <cellStyle name="Comma 12 22" xfId="8931"/>
    <cellStyle name="Comma 12 22 2" xfId="22574"/>
    <cellStyle name="Comma 12 23" xfId="11944"/>
    <cellStyle name="Comma 12 23 2" xfId="25575"/>
    <cellStyle name="Comma 12 24" xfId="12089"/>
    <cellStyle name="Comma 12 24 2" xfId="25717"/>
    <cellStyle name="Comma 12 25" xfId="12236"/>
    <cellStyle name="Comma 12 25 2" xfId="25864"/>
    <cellStyle name="Comma 12 26" xfId="15842"/>
    <cellStyle name="Comma 12 3" xfId="315"/>
    <cellStyle name="Comma 12 3 2" xfId="800"/>
    <cellStyle name="Comma 12 3 3" xfId="3129"/>
    <cellStyle name="Comma 12 3 3 2" xfId="4924"/>
    <cellStyle name="Comma 12 3 3 2 2" xfId="8190"/>
    <cellStyle name="Comma 12 3 3 2 2 2" xfId="21838"/>
    <cellStyle name="Comma 12 3 3 2 3" xfId="11257"/>
    <cellStyle name="Comma 12 3 3 2 3 2" xfId="24888"/>
    <cellStyle name="Comma 12 3 3 2 4" xfId="14553"/>
    <cellStyle name="Comma 12 3 3 2 4 2" xfId="28181"/>
    <cellStyle name="Comma 12 3 3 2 5" xfId="18582"/>
    <cellStyle name="Comma 12 3 3 3" xfId="6611"/>
    <cellStyle name="Comma 12 3 3 3 2" xfId="20261"/>
    <cellStyle name="Comma 12 3 3 4" xfId="9832"/>
    <cellStyle name="Comma 12 3 3 4 2" xfId="23463"/>
    <cellStyle name="Comma 12 3 3 5" xfId="13127"/>
    <cellStyle name="Comma 12 3 3 5 2" xfId="26755"/>
    <cellStyle name="Comma 12 3 3 6" xfId="17047"/>
    <cellStyle name="Comma 12 3 4" xfId="3803"/>
    <cellStyle name="Comma 12 3 4 2" xfId="7235"/>
    <cellStyle name="Comma 12 3 4 2 2" xfId="20883"/>
    <cellStyle name="Comma 12 3 4 3" xfId="10373"/>
    <cellStyle name="Comma 12 3 4 3 2" xfId="24004"/>
    <cellStyle name="Comma 12 3 4 4" xfId="13669"/>
    <cellStyle name="Comma 12 3 4 4 2" xfId="27297"/>
    <cellStyle name="Comma 12 3 4 5" xfId="17600"/>
    <cellStyle name="Comma 12 3 5" xfId="5643"/>
    <cellStyle name="Comma 12 3 5 2" xfId="19293"/>
    <cellStyle name="Comma 12 3 6" xfId="9121"/>
    <cellStyle name="Comma 12 3 6 2" xfId="22764"/>
    <cellStyle name="Comma 12 3 7" xfId="12246"/>
    <cellStyle name="Comma 12 3 7 2" xfId="25874"/>
    <cellStyle name="Comma 12 3 8" xfId="15874"/>
    <cellStyle name="Comma 12 4" xfId="471"/>
    <cellStyle name="Comma 12 4 2" xfId="801"/>
    <cellStyle name="Comma 12 4 3" xfId="3075"/>
    <cellStyle name="Comma 12 4 3 2" xfId="4876"/>
    <cellStyle name="Comma 12 4 3 2 2" xfId="8142"/>
    <cellStyle name="Comma 12 4 3 2 2 2" xfId="21790"/>
    <cellStyle name="Comma 12 4 3 2 3" xfId="11211"/>
    <cellStyle name="Comma 12 4 3 2 3 2" xfId="24842"/>
    <cellStyle name="Comma 12 4 3 2 4" xfId="14507"/>
    <cellStyle name="Comma 12 4 3 2 4 2" xfId="28135"/>
    <cellStyle name="Comma 12 4 3 2 5" xfId="18534"/>
    <cellStyle name="Comma 12 4 3 3" xfId="6565"/>
    <cellStyle name="Comma 12 4 3 3 2" xfId="20215"/>
    <cellStyle name="Comma 12 4 3 4" xfId="9786"/>
    <cellStyle name="Comma 12 4 3 4 2" xfId="23417"/>
    <cellStyle name="Comma 12 4 3 5" xfId="13081"/>
    <cellStyle name="Comma 12 4 3 5 2" xfId="26709"/>
    <cellStyle name="Comma 12 4 3 6" xfId="16999"/>
    <cellStyle name="Comma 12 4 4" xfId="3854"/>
    <cellStyle name="Comma 12 4 4 2" xfId="7284"/>
    <cellStyle name="Comma 12 4 4 2 2" xfId="20932"/>
    <cellStyle name="Comma 12 4 4 3" xfId="10422"/>
    <cellStyle name="Comma 12 4 4 3 2" xfId="24053"/>
    <cellStyle name="Comma 12 4 4 4" xfId="13718"/>
    <cellStyle name="Comma 12 4 4 4 2" xfId="27346"/>
    <cellStyle name="Comma 12 4 4 5" xfId="17649"/>
    <cellStyle name="Comma 12 4 5" xfId="5695"/>
    <cellStyle name="Comma 12 4 5 2" xfId="19345"/>
    <cellStyle name="Comma 12 4 6" xfId="9081"/>
    <cellStyle name="Comma 12 4 6 2" xfId="22724"/>
    <cellStyle name="Comma 12 4 7" xfId="12295"/>
    <cellStyle name="Comma 12 4 7 2" xfId="25923"/>
    <cellStyle name="Comma 12 4 8" xfId="15971"/>
    <cellStyle name="Comma 12 5" xfId="802"/>
    <cellStyle name="Comma 12 5 2" xfId="2859"/>
    <cellStyle name="Comma 12 6" xfId="803"/>
    <cellStyle name="Comma 12 6 2" xfId="2860"/>
    <cellStyle name="Comma 12 7" xfId="804"/>
    <cellStyle name="Comma 12 7 10" xfId="12091"/>
    <cellStyle name="Comma 12 7 10 2" xfId="25719"/>
    <cellStyle name="Comma 12 7 2" xfId="1786"/>
    <cellStyle name="Comma 12 7 3" xfId="1785"/>
    <cellStyle name="Comma 12 7 3 2" xfId="3199"/>
    <cellStyle name="Comma 12 7 3 2 2" xfId="4947"/>
    <cellStyle name="Comma 12 7 3 2 2 2" xfId="8212"/>
    <cellStyle name="Comma 12 7 3 2 2 2 2" xfId="21860"/>
    <cellStyle name="Comma 12 7 3 2 2 3" xfId="11279"/>
    <cellStyle name="Comma 12 7 3 2 2 3 2" xfId="24910"/>
    <cellStyle name="Comma 12 7 3 2 2 4" xfId="14575"/>
    <cellStyle name="Comma 12 7 3 2 2 4 2" xfId="28203"/>
    <cellStyle name="Comma 12 7 3 2 2 5" xfId="18605"/>
    <cellStyle name="Comma 12 7 3 2 3" xfId="6634"/>
    <cellStyle name="Comma 12 7 3 2 3 2" xfId="20284"/>
    <cellStyle name="Comma 12 7 3 2 4" xfId="9855"/>
    <cellStyle name="Comma 12 7 3 2 4 2" xfId="23486"/>
    <cellStyle name="Comma 12 7 3 2 5" xfId="13150"/>
    <cellStyle name="Comma 12 7 3 2 5 2" xfId="26778"/>
    <cellStyle name="Comma 12 7 3 2 6" xfId="17080"/>
    <cellStyle name="Comma 12 7 3 3" xfId="4002"/>
    <cellStyle name="Comma 12 7 3 3 2" xfId="7432"/>
    <cellStyle name="Comma 12 7 3 3 2 2" xfId="21080"/>
    <cellStyle name="Comma 12 7 3 3 3" xfId="10570"/>
    <cellStyle name="Comma 12 7 3 3 3 2" xfId="24201"/>
    <cellStyle name="Comma 12 7 3 3 4" xfId="13866"/>
    <cellStyle name="Comma 12 7 3 3 4 2" xfId="27494"/>
    <cellStyle name="Comma 12 7 3 3 5" xfId="17797"/>
    <cellStyle name="Comma 12 7 3 4" xfId="5838"/>
    <cellStyle name="Comma 12 7 3 4 2" xfId="19488"/>
    <cellStyle name="Comma 12 7 3 5" xfId="9137"/>
    <cellStyle name="Comma 12 7 3 5 2" xfId="22779"/>
    <cellStyle name="Comma 12 7 3 6" xfId="12438"/>
    <cellStyle name="Comma 12 7 3 6 2" xfId="26066"/>
    <cellStyle name="Comma 12 7 3 7" xfId="16220"/>
    <cellStyle name="Comma 12 7 4" xfId="2223"/>
    <cellStyle name="Comma 12 7 4 2" xfId="3336"/>
    <cellStyle name="Comma 12 7 4 2 2" xfId="5082"/>
    <cellStyle name="Comma 12 7 4 2 2 2" xfId="8346"/>
    <cellStyle name="Comma 12 7 4 2 2 2 2" xfId="21994"/>
    <cellStyle name="Comma 12 7 4 2 2 3" xfId="11413"/>
    <cellStyle name="Comma 12 7 4 2 2 3 2" xfId="25044"/>
    <cellStyle name="Comma 12 7 4 2 2 4" xfId="14709"/>
    <cellStyle name="Comma 12 7 4 2 2 4 2" xfId="28337"/>
    <cellStyle name="Comma 12 7 4 2 2 5" xfId="18740"/>
    <cellStyle name="Comma 12 7 4 2 3" xfId="6770"/>
    <cellStyle name="Comma 12 7 4 2 3 2" xfId="20420"/>
    <cellStyle name="Comma 12 7 4 2 4" xfId="9990"/>
    <cellStyle name="Comma 12 7 4 2 4 2" xfId="23621"/>
    <cellStyle name="Comma 12 7 4 2 5" xfId="13285"/>
    <cellStyle name="Comma 12 7 4 2 5 2" xfId="26913"/>
    <cellStyle name="Comma 12 7 4 2 6" xfId="17215"/>
    <cellStyle name="Comma 12 7 4 3" xfId="4136"/>
    <cellStyle name="Comma 12 7 4 3 2" xfId="7566"/>
    <cellStyle name="Comma 12 7 4 3 2 2" xfId="21214"/>
    <cellStyle name="Comma 12 7 4 3 3" xfId="10704"/>
    <cellStyle name="Comma 12 7 4 3 3 2" xfId="24335"/>
    <cellStyle name="Comma 12 7 4 3 4" xfId="14000"/>
    <cellStyle name="Comma 12 7 4 3 4 2" xfId="27628"/>
    <cellStyle name="Comma 12 7 4 3 5" xfId="17931"/>
    <cellStyle name="Comma 12 7 4 4" xfId="5972"/>
    <cellStyle name="Comma 12 7 4 4 2" xfId="19622"/>
    <cellStyle name="Comma 12 7 4 5" xfId="9258"/>
    <cellStyle name="Comma 12 7 4 5 2" xfId="22900"/>
    <cellStyle name="Comma 12 7 4 6" xfId="12572"/>
    <cellStyle name="Comma 12 7 4 6 2" xfId="26200"/>
    <cellStyle name="Comma 12 7 4 7" xfId="16417"/>
    <cellStyle name="Comma 12 7 5" xfId="2319"/>
    <cellStyle name="Comma 12 7 5 2" xfId="3425"/>
    <cellStyle name="Comma 12 7 5 2 2" xfId="5161"/>
    <cellStyle name="Comma 12 7 5 2 2 2" xfId="8425"/>
    <cellStyle name="Comma 12 7 5 2 2 2 2" xfId="22073"/>
    <cellStyle name="Comma 12 7 5 2 2 3" xfId="11492"/>
    <cellStyle name="Comma 12 7 5 2 2 3 2" xfId="25123"/>
    <cellStyle name="Comma 12 7 5 2 2 4" xfId="14788"/>
    <cellStyle name="Comma 12 7 5 2 2 4 2" xfId="28416"/>
    <cellStyle name="Comma 12 7 5 2 2 5" xfId="18819"/>
    <cellStyle name="Comma 12 7 5 2 3" xfId="6859"/>
    <cellStyle name="Comma 12 7 5 2 3 2" xfId="20509"/>
    <cellStyle name="Comma 12 7 5 2 4" xfId="10069"/>
    <cellStyle name="Comma 12 7 5 2 4 2" xfId="23700"/>
    <cellStyle name="Comma 12 7 5 2 5" xfId="13364"/>
    <cellStyle name="Comma 12 7 5 2 5 2" xfId="26992"/>
    <cellStyle name="Comma 12 7 5 2 6" xfId="17294"/>
    <cellStyle name="Comma 12 7 5 3" xfId="4215"/>
    <cellStyle name="Comma 12 7 5 3 2" xfId="7645"/>
    <cellStyle name="Comma 12 7 5 3 2 2" xfId="21293"/>
    <cellStyle name="Comma 12 7 5 3 3" xfId="10783"/>
    <cellStyle name="Comma 12 7 5 3 3 2" xfId="24414"/>
    <cellStyle name="Comma 12 7 5 3 4" xfId="14079"/>
    <cellStyle name="Comma 12 7 5 3 4 2" xfId="27707"/>
    <cellStyle name="Comma 12 7 5 3 5" xfId="18010"/>
    <cellStyle name="Comma 12 7 5 4" xfId="6051"/>
    <cellStyle name="Comma 12 7 5 4 2" xfId="19701"/>
    <cellStyle name="Comma 12 7 5 5" xfId="9337"/>
    <cellStyle name="Comma 12 7 5 5 2" xfId="22979"/>
    <cellStyle name="Comma 12 7 5 6" xfId="12651"/>
    <cellStyle name="Comma 12 7 5 6 2" xfId="26279"/>
    <cellStyle name="Comma 12 7 5 7" xfId="16497"/>
    <cellStyle name="Comma 12 7 6" xfId="2699"/>
    <cellStyle name="Comma 12 7 6 2" xfId="3653"/>
    <cellStyle name="Comma 12 7 6 2 2" xfId="5320"/>
    <cellStyle name="Comma 12 7 6 2 2 2" xfId="8583"/>
    <cellStyle name="Comma 12 7 6 2 2 2 2" xfId="22231"/>
    <cellStyle name="Comma 12 7 6 2 2 3" xfId="11650"/>
    <cellStyle name="Comma 12 7 6 2 2 3 2" xfId="25281"/>
    <cellStyle name="Comma 12 7 6 2 2 4" xfId="14946"/>
    <cellStyle name="Comma 12 7 6 2 2 4 2" xfId="28574"/>
    <cellStyle name="Comma 12 7 6 2 2 5" xfId="18978"/>
    <cellStyle name="Comma 12 7 6 2 3" xfId="7087"/>
    <cellStyle name="Comma 12 7 6 2 3 2" xfId="20737"/>
    <cellStyle name="Comma 12 7 6 2 4" xfId="10228"/>
    <cellStyle name="Comma 12 7 6 2 4 2" xfId="23859"/>
    <cellStyle name="Comma 12 7 6 2 5" xfId="13523"/>
    <cellStyle name="Comma 12 7 6 2 5 2" xfId="27151"/>
    <cellStyle name="Comma 12 7 6 2 6" xfId="17454"/>
    <cellStyle name="Comma 12 7 6 3" xfId="4442"/>
    <cellStyle name="Comma 12 7 6 3 2" xfId="7872"/>
    <cellStyle name="Comma 12 7 6 3 2 2" xfId="21520"/>
    <cellStyle name="Comma 12 7 6 3 3" xfId="10941"/>
    <cellStyle name="Comma 12 7 6 3 3 2" xfId="24572"/>
    <cellStyle name="Comma 12 7 6 3 4" xfId="14237"/>
    <cellStyle name="Comma 12 7 6 3 4 2" xfId="27865"/>
    <cellStyle name="Comma 12 7 6 3 5" xfId="18237"/>
    <cellStyle name="Comma 12 7 6 4" xfId="6293"/>
    <cellStyle name="Comma 12 7 6 4 2" xfId="19943"/>
    <cellStyle name="Comma 12 7 6 5" xfId="9495"/>
    <cellStyle name="Comma 12 7 6 5 2" xfId="23137"/>
    <cellStyle name="Comma 12 7 6 6" xfId="12809"/>
    <cellStyle name="Comma 12 7 6 6 2" xfId="26437"/>
    <cellStyle name="Comma 12 7 6 7" xfId="16726"/>
    <cellStyle name="Comma 12 7 7" xfId="5482"/>
    <cellStyle name="Comma 12 7 7 2" xfId="8743"/>
    <cellStyle name="Comma 12 7 7 2 2" xfId="22386"/>
    <cellStyle name="Comma 12 7 7 3" xfId="11803"/>
    <cellStyle name="Comma 12 7 7 3 2" xfId="25434"/>
    <cellStyle name="Comma 12 7 7 4" xfId="15099"/>
    <cellStyle name="Comma 12 7 7 4 2" xfId="28727"/>
    <cellStyle name="Comma 12 7 7 5" xfId="19132"/>
    <cellStyle name="Comma 12 7 8" xfId="8933"/>
    <cellStyle name="Comma 12 7 8 2" xfId="22576"/>
    <cellStyle name="Comma 12 7 9" xfId="12032"/>
    <cellStyle name="Comma 12 7 9 2" xfId="25663"/>
    <cellStyle name="Comma 12 8" xfId="805"/>
    <cellStyle name="Comma 12 8 2" xfId="2862"/>
    <cellStyle name="Comma 12 9" xfId="806"/>
    <cellStyle name="Comma 12 9 2" xfId="2863"/>
    <cellStyle name="Comma 13" xfId="324"/>
    <cellStyle name="Comma 13 10" xfId="5652"/>
    <cellStyle name="Comma 13 10 2" xfId="19302"/>
    <cellStyle name="Comma 13 11" xfId="12255"/>
    <cellStyle name="Comma 13 11 2" xfId="25883"/>
    <cellStyle name="Comma 13 12" xfId="15883"/>
    <cellStyle name="Comma 13 2" xfId="466"/>
    <cellStyle name="Comma 13 2 2" xfId="809"/>
    <cellStyle name="Comma 13 2 3" xfId="810"/>
    <cellStyle name="Comma 13 2 4" xfId="811"/>
    <cellStyle name="Comma 13 2 4 2" xfId="812"/>
    <cellStyle name="Comma 13 2 4 3" xfId="15270"/>
    <cellStyle name="Comma 13 2 5" xfId="813"/>
    <cellStyle name="Comma 13 2 6" xfId="808"/>
    <cellStyle name="Comma 13 3" xfId="814"/>
    <cellStyle name="Comma 13 4" xfId="815"/>
    <cellStyle name="Comma 13 5" xfId="807"/>
    <cellStyle name="Comma 13 6" xfId="1787"/>
    <cellStyle name="Comma 13 6 10" xfId="8934"/>
    <cellStyle name="Comma 13 6 10 2" xfId="22577"/>
    <cellStyle name="Comma 13 6 11" xfId="11951"/>
    <cellStyle name="Comma 13 6 11 2" xfId="25582"/>
    <cellStyle name="Comma 13 6 12" xfId="12092"/>
    <cellStyle name="Comma 13 6 12 2" xfId="25720"/>
    <cellStyle name="Comma 13 6 13" xfId="12439"/>
    <cellStyle name="Comma 13 6 13 2" xfId="26067"/>
    <cellStyle name="Comma 13 6 14" xfId="16221"/>
    <cellStyle name="Comma 13 6 2" xfId="1788"/>
    <cellStyle name="Comma 13 6 3" xfId="2141"/>
    <cellStyle name="Comma 13 6 3 2" xfId="3254"/>
    <cellStyle name="Comma 13 6 3 2 2" xfId="5000"/>
    <cellStyle name="Comma 13 6 3 2 2 2" xfId="8264"/>
    <cellStyle name="Comma 13 6 3 2 2 2 2" xfId="21912"/>
    <cellStyle name="Comma 13 6 3 2 2 3" xfId="11331"/>
    <cellStyle name="Comma 13 6 3 2 2 3 2" xfId="24962"/>
    <cellStyle name="Comma 13 6 3 2 2 4" xfId="14627"/>
    <cellStyle name="Comma 13 6 3 2 2 4 2" xfId="28255"/>
    <cellStyle name="Comma 13 6 3 2 2 5" xfId="18658"/>
    <cellStyle name="Comma 13 6 3 2 3" xfId="6688"/>
    <cellStyle name="Comma 13 6 3 2 3 2" xfId="20338"/>
    <cellStyle name="Comma 13 6 3 2 4" xfId="9908"/>
    <cellStyle name="Comma 13 6 3 2 4 2" xfId="23539"/>
    <cellStyle name="Comma 13 6 3 2 5" xfId="13203"/>
    <cellStyle name="Comma 13 6 3 2 5 2" xfId="26831"/>
    <cellStyle name="Comma 13 6 3 2 6" xfId="17133"/>
    <cellStyle name="Comma 13 6 3 3" xfId="4054"/>
    <cellStyle name="Comma 13 6 3 3 2" xfId="7484"/>
    <cellStyle name="Comma 13 6 3 3 2 2" xfId="21132"/>
    <cellStyle name="Comma 13 6 3 3 3" xfId="10622"/>
    <cellStyle name="Comma 13 6 3 3 3 2" xfId="24253"/>
    <cellStyle name="Comma 13 6 3 3 4" xfId="13918"/>
    <cellStyle name="Comma 13 6 3 3 4 2" xfId="27546"/>
    <cellStyle name="Comma 13 6 3 3 5" xfId="17849"/>
    <cellStyle name="Comma 13 6 3 4" xfId="5890"/>
    <cellStyle name="Comma 13 6 3 4 2" xfId="19540"/>
    <cellStyle name="Comma 13 6 3 5" xfId="9176"/>
    <cellStyle name="Comma 13 6 3 5 2" xfId="22818"/>
    <cellStyle name="Comma 13 6 3 6" xfId="12490"/>
    <cellStyle name="Comma 13 6 3 6 2" xfId="26118"/>
    <cellStyle name="Comma 13 6 3 7" xfId="16335"/>
    <cellStyle name="Comma 13 6 4" xfId="2320"/>
    <cellStyle name="Comma 13 6 4 2" xfId="3426"/>
    <cellStyle name="Comma 13 6 4 2 2" xfId="5162"/>
    <cellStyle name="Comma 13 6 4 2 2 2" xfId="8426"/>
    <cellStyle name="Comma 13 6 4 2 2 2 2" xfId="22074"/>
    <cellStyle name="Comma 13 6 4 2 2 3" xfId="11493"/>
    <cellStyle name="Comma 13 6 4 2 2 3 2" xfId="25124"/>
    <cellStyle name="Comma 13 6 4 2 2 4" xfId="14789"/>
    <cellStyle name="Comma 13 6 4 2 2 4 2" xfId="28417"/>
    <cellStyle name="Comma 13 6 4 2 2 5" xfId="18820"/>
    <cellStyle name="Comma 13 6 4 2 3" xfId="6860"/>
    <cellStyle name="Comma 13 6 4 2 3 2" xfId="20510"/>
    <cellStyle name="Comma 13 6 4 2 4" xfId="10070"/>
    <cellStyle name="Comma 13 6 4 2 4 2" xfId="23701"/>
    <cellStyle name="Comma 13 6 4 2 5" xfId="13365"/>
    <cellStyle name="Comma 13 6 4 2 5 2" xfId="26993"/>
    <cellStyle name="Comma 13 6 4 2 6" xfId="17295"/>
    <cellStyle name="Comma 13 6 4 3" xfId="4216"/>
    <cellStyle name="Comma 13 6 4 3 2" xfId="7646"/>
    <cellStyle name="Comma 13 6 4 3 2 2" xfId="21294"/>
    <cellStyle name="Comma 13 6 4 3 3" xfId="10784"/>
    <cellStyle name="Comma 13 6 4 3 3 2" xfId="24415"/>
    <cellStyle name="Comma 13 6 4 3 4" xfId="14080"/>
    <cellStyle name="Comma 13 6 4 3 4 2" xfId="27708"/>
    <cellStyle name="Comma 13 6 4 3 5" xfId="18011"/>
    <cellStyle name="Comma 13 6 4 4" xfId="6052"/>
    <cellStyle name="Comma 13 6 4 4 2" xfId="19702"/>
    <cellStyle name="Comma 13 6 4 5" xfId="9338"/>
    <cellStyle name="Comma 13 6 4 5 2" xfId="22980"/>
    <cellStyle name="Comma 13 6 4 6" xfId="12652"/>
    <cellStyle name="Comma 13 6 4 6 2" xfId="26280"/>
    <cellStyle name="Comma 13 6 4 7" xfId="16498"/>
    <cellStyle name="Comma 13 6 5" xfId="2700"/>
    <cellStyle name="Comma 13 6 5 2" xfId="3654"/>
    <cellStyle name="Comma 13 6 5 2 2" xfId="5321"/>
    <cellStyle name="Comma 13 6 5 2 2 2" xfId="8584"/>
    <cellStyle name="Comma 13 6 5 2 2 2 2" xfId="22232"/>
    <cellStyle name="Comma 13 6 5 2 2 3" xfId="11651"/>
    <cellStyle name="Comma 13 6 5 2 2 3 2" xfId="25282"/>
    <cellStyle name="Comma 13 6 5 2 2 4" xfId="14947"/>
    <cellStyle name="Comma 13 6 5 2 2 4 2" xfId="28575"/>
    <cellStyle name="Comma 13 6 5 2 2 5" xfId="18979"/>
    <cellStyle name="Comma 13 6 5 2 3" xfId="7088"/>
    <cellStyle name="Comma 13 6 5 2 3 2" xfId="20738"/>
    <cellStyle name="Comma 13 6 5 2 4" xfId="10229"/>
    <cellStyle name="Comma 13 6 5 2 4 2" xfId="23860"/>
    <cellStyle name="Comma 13 6 5 2 5" xfId="13524"/>
    <cellStyle name="Comma 13 6 5 2 5 2" xfId="27152"/>
    <cellStyle name="Comma 13 6 5 2 6" xfId="17455"/>
    <cellStyle name="Comma 13 6 5 3" xfId="4443"/>
    <cellStyle name="Comma 13 6 5 3 2" xfId="7873"/>
    <cellStyle name="Comma 13 6 5 3 2 2" xfId="21521"/>
    <cellStyle name="Comma 13 6 5 3 3" xfId="10942"/>
    <cellStyle name="Comma 13 6 5 3 3 2" xfId="24573"/>
    <cellStyle name="Comma 13 6 5 3 4" xfId="14238"/>
    <cellStyle name="Comma 13 6 5 3 4 2" xfId="27866"/>
    <cellStyle name="Comma 13 6 5 3 5" xfId="18238"/>
    <cellStyle name="Comma 13 6 5 4" xfId="6294"/>
    <cellStyle name="Comma 13 6 5 4 2" xfId="19944"/>
    <cellStyle name="Comma 13 6 5 5" xfId="9496"/>
    <cellStyle name="Comma 13 6 5 5 2" xfId="23138"/>
    <cellStyle name="Comma 13 6 5 6" xfId="12810"/>
    <cellStyle name="Comma 13 6 5 6 2" xfId="26438"/>
    <cellStyle name="Comma 13 6 5 7" xfId="16727"/>
    <cellStyle name="Comma 13 6 6" xfId="3200"/>
    <cellStyle name="Comma 13 6 6 2" xfId="4948"/>
    <cellStyle name="Comma 13 6 6 2 2" xfId="8213"/>
    <cellStyle name="Comma 13 6 6 2 2 2" xfId="21861"/>
    <cellStyle name="Comma 13 6 6 2 3" xfId="11280"/>
    <cellStyle name="Comma 13 6 6 2 3 2" xfId="24911"/>
    <cellStyle name="Comma 13 6 6 2 4" xfId="14576"/>
    <cellStyle name="Comma 13 6 6 2 4 2" xfId="28204"/>
    <cellStyle name="Comma 13 6 6 2 5" xfId="18606"/>
    <cellStyle name="Comma 13 6 6 3" xfId="6635"/>
    <cellStyle name="Comma 13 6 6 3 2" xfId="20285"/>
    <cellStyle name="Comma 13 6 6 4" xfId="9856"/>
    <cellStyle name="Comma 13 6 6 4 2" xfId="23487"/>
    <cellStyle name="Comma 13 6 6 5" xfId="13151"/>
    <cellStyle name="Comma 13 6 6 5 2" xfId="26779"/>
    <cellStyle name="Comma 13 6 6 6" xfId="17081"/>
    <cellStyle name="Comma 13 6 7" xfId="4003"/>
    <cellStyle name="Comma 13 6 7 2" xfId="7433"/>
    <cellStyle name="Comma 13 6 7 2 2" xfId="21081"/>
    <cellStyle name="Comma 13 6 7 3" xfId="10571"/>
    <cellStyle name="Comma 13 6 7 3 2" xfId="24202"/>
    <cellStyle name="Comma 13 6 7 4" xfId="13867"/>
    <cellStyle name="Comma 13 6 7 4 2" xfId="27495"/>
    <cellStyle name="Comma 13 6 7 5" xfId="17798"/>
    <cellStyle name="Comma 13 6 8" xfId="5483"/>
    <cellStyle name="Comma 13 6 8 2" xfId="8744"/>
    <cellStyle name="Comma 13 6 8 2 2" xfId="22387"/>
    <cellStyle name="Comma 13 6 8 3" xfId="11804"/>
    <cellStyle name="Comma 13 6 8 3 2" xfId="25435"/>
    <cellStyle name="Comma 13 6 8 4" xfId="15100"/>
    <cellStyle name="Comma 13 6 8 4 2" xfId="28728"/>
    <cellStyle name="Comma 13 6 8 5" xfId="19133"/>
    <cellStyle name="Comma 13 6 9" xfId="5839"/>
    <cellStyle name="Comma 13 6 9 2" xfId="19489"/>
    <cellStyle name="Comma 13 7" xfId="1789"/>
    <cellStyle name="Comma 13 7 10" xfId="8935"/>
    <cellStyle name="Comma 13 7 10 2" xfId="22578"/>
    <cellStyle name="Comma 13 7 11" xfId="12044"/>
    <cellStyle name="Comma 13 7 11 2" xfId="25674"/>
    <cellStyle name="Comma 13 7 12" xfId="12093"/>
    <cellStyle name="Comma 13 7 12 2" xfId="25721"/>
    <cellStyle name="Comma 13 7 13" xfId="12440"/>
    <cellStyle name="Comma 13 7 13 2" xfId="26068"/>
    <cellStyle name="Comma 13 7 14" xfId="16222"/>
    <cellStyle name="Comma 13 7 2" xfId="1790"/>
    <cellStyle name="Comma 13 7 3" xfId="2234"/>
    <cellStyle name="Comma 13 7 3 2" xfId="3347"/>
    <cellStyle name="Comma 13 7 3 2 2" xfId="5091"/>
    <cellStyle name="Comma 13 7 3 2 2 2" xfId="8355"/>
    <cellStyle name="Comma 13 7 3 2 2 2 2" xfId="22003"/>
    <cellStyle name="Comma 13 7 3 2 2 3" xfId="11422"/>
    <cellStyle name="Comma 13 7 3 2 2 3 2" xfId="25053"/>
    <cellStyle name="Comma 13 7 3 2 2 4" xfId="14718"/>
    <cellStyle name="Comma 13 7 3 2 2 4 2" xfId="28346"/>
    <cellStyle name="Comma 13 7 3 2 2 5" xfId="18749"/>
    <cellStyle name="Comma 13 7 3 2 3" xfId="6781"/>
    <cellStyle name="Comma 13 7 3 2 3 2" xfId="20431"/>
    <cellStyle name="Comma 13 7 3 2 4" xfId="9999"/>
    <cellStyle name="Comma 13 7 3 2 4 2" xfId="23630"/>
    <cellStyle name="Comma 13 7 3 2 5" xfId="13294"/>
    <cellStyle name="Comma 13 7 3 2 5 2" xfId="26922"/>
    <cellStyle name="Comma 13 7 3 2 6" xfId="17224"/>
    <cellStyle name="Comma 13 7 3 3" xfId="4145"/>
    <cellStyle name="Comma 13 7 3 3 2" xfId="7575"/>
    <cellStyle name="Comma 13 7 3 3 2 2" xfId="21223"/>
    <cellStyle name="Comma 13 7 3 3 3" xfId="10713"/>
    <cellStyle name="Comma 13 7 3 3 3 2" xfId="24344"/>
    <cellStyle name="Comma 13 7 3 3 4" xfId="14009"/>
    <cellStyle name="Comma 13 7 3 3 4 2" xfId="27637"/>
    <cellStyle name="Comma 13 7 3 3 5" xfId="17940"/>
    <cellStyle name="Comma 13 7 3 4" xfId="5981"/>
    <cellStyle name="Comma 13 7 3 4 2" xfId="19631"/>
    <cellStyle name="Comma 13 7 3 5" xfId="9267"/>
    <cellStyle name="Comma 13 7 3 5 2" xfId="22909"/>
    <cellStyle name="Comma 13 7 3 6" xfId="12581"/>
    <cellStyle name="Comma 13 7 3 6 2" xfId="26209"/>
    <cellStyle name="Comma 13 7 3 7" xfId="16426"/>
    <cellStyle name="Comma 13 7 4" xfId="2321"/>
    <cellStyle name="Comma 13 7 4 2" xfId="3427"/>
    <cellStyle name="Comma 13 7 4 2 2" xfId="5163"/>
    <cellStyle name="Comma 13 7 4 2 2 2" xfId="8427"/>
    <cellStyle name="Comma 13 7 4 2 2 2 2" xfId="22075"/>
    <cellStyle name="Comma 13 7 4 2 2 3" xfId="11494"/>
    <cellStyle name="Comma 13 7 4 2 2 3 2" xfId="25125"/>
    <cellStyle name="Comma 13 7 4 2 2 4" xfId="14790"/>
    <cellStyle name="Comma 13 7 4 2 2 4 2" xfId="28418"/>
    <cellStyle name="Comma 13 7 4 2 2 5" xfId="18821"/>
    <cellStyle name="Comma 13 7 4 2 3" xfId="6861"/>
    <cellStyle name="Comma 13 7 4 2 3 2" xfId="20511"/>
    <cellStyle name="Comma 13 7 4 2 4" xfId="10071"/>
    <cellStyle name="Comma 13 7 4 2 4 2" xfId="23702"/>
    <cellStyle name="Comma 13 7 4 2 5" xfId="13366"/>
    <cellStyle name="Comma 13 7 4 2 5 2" xfId="26994"/>
    <cellStyle name="Comma 13 7 4 2 6" xfId="17296"/>
    <cellStyle name="Comma 13 7 4 3" xfId="4217"/>
    <cellStyle name="Comma 13 7 4 3 2" xfId="7647"/>
    <cellStyle name="Comma 13 7 4 3 2 2" xfId="21295"/>
    <cellStyle name="Comma 13 7 4 3 3" xfId="10785"/>
    <cellStyle name="Comma 13 7 4 3 3 2" xfId="24416"/>
    <cellStyle name="Comma 13 7 4 3 4" xfId="14081"/>
    <cellStyle name="Comma 13 7 4 3 4 2" xfId="27709"/>
    <cellStyle name="Comma 13 7 4 3 5" xfId="18012"/>
    <cellStyle name="Comma 13 7 4 4" xfId="6053"/>
    <cellStyle name="Comma 13 7 4 4 2" xfId="19703"/>
    <cellStyle name="Comma 13 7 4 5" xfId="9339"/>
    <cellStyle name="Comma 13 7 4 5 2" xfId="22981"/>
    <cellStyle name="Comma 13 7 4 6" xfId="12653"/>
    <cellStyle name="Comma 13 7 4 6 2" xfId="26281"/>
    <cellStyle name="Comma 13 7 4 7" xfId="16499"/>
    <cellStyle name="Comma 13 7 5" xfId="2701"/>
    <cellStyle name="Comma 13 7 5 2" xfId="3655"/>
    <cellStyle name="Comma 13 7 5 2 2" xfId="5322"/>
    <cellStyle name="Comma 13 7 5 2 2 2" xfId="8585"/>
    <cellStyle name="Comma 13 7 5 2 2 2 2" xfId="22233"/>
    <cellStyle name="Comma 13 7 5 2 2 3" xfId="11652"/>
    <cellStyle name="Comma 13 7 5 2 2 3 2" xfId="25283"/>
    <cellStyle name="Comma 13 7 5 2 2 4" xfId="14948"/>
    <cellStyle name="Comma 13 7 5 2 2 4 2" xfId="28576"/>
    <cellStyle name="Comma 13 7 5 2 2 5" xfId="18980"/>
    <cellStyle name="Comma 13 7 5 2 3" xfId="7089"/>
    <cellStyle name="Comma 13 7 5 2 3 2" xfId="20739"/>
    <cellStyle name="Comma 13 7 5 2 4" xfId="10230"/>
    <cellStyle name="Comma 13 7 5 2 4 2" xfId="23861"/>
    <cellStyle name="Comma 13 7 5 2 5" xfId="13525"/>
    <cellStyle name="Comma 13 7 5 2 5 2" xfId="27153"/>
    <cellStyle name="Comma 13 7 5 2 6" xfId="17456"/>
    <cellStyle name="Comma 13 7 5 3" xfId="4444"/>
    <cellStyle name="Comma 13 7 5 3 2" xfId="7874"/>
    <cellStyle name="Comma 13 7 5 3 2 2" xfId="21522"/>
    <cellStyle name="Comma 13 7 5 3 3" xfId="10943"/>
    <cellStyle name="Comma 13 7 5 3 3 2" xfId="24574"/>
    <cellStyle name="Comma 13 7 5 3 4" xfId="14239"/>
    <cellStyle name="Comma 13 7 5 3 4 2" xfId="27867"/>
    <cellStyle name="Comma 13 7 5 3 5" xfId="18239"/>
    <cellStyle name="Comma 13 7 5 4" xfId="6295"/>
    <cellStyle name="Comma 13 7 5 4 2" xfId="19945"/>
    <cellStyle name="Comma 13 7 5 5" xfId="9497"/>
    <cellStyle name="Comma 13 7 5 5 2" xfId="23139"/>
    <cellStyle name="Comma 13 7 5 6" xfId="12811"/>
    <cellStyle name="Comma 13 7 5 6 2" xfId="26439"/>
    <cellStyle name="Comma 13 7 5 7" xfId="16728"/>
    <cellStyle name="Comma 13 7 6" xfId="3201"/>
    <cellStyle name="Comma 13 7 6 2" xfId="4949"/>
    <cellStyle name="Comma 13 7 6 2 2" xfId="8214"/>
    <cellStyle name="Comma 13 7 6 2 2 2" xfId="21862"/>
    <cellStyle name="Comma 13 7 6 2 3" xfId="11281"/>
    <cellStyle name="Comma 13 7 6 2 3 2" xfId="24912"/>
    <cellStyle name="Comma 13 7 6 2 4" xfId="14577"/>
    <cellStyle name="Comma 13 7 6 2 4 2" xfId="28205"/>
    <cellStyle name="Comma 13 7 6 2 5" xfId="18607"/>
    <cellStyle name="Comma 13 7 6 3" xfId="6636"/>
    <cellStyle name="Comma 13 7 6 3 2" xfId="20286"/>
    <cellStyle name="Comma 13 7 6 4" xfId="9857"/>
    <cellStyle name="Comma 13 7 6 4 2" xfId="23488"/>
    <cellStyle name="Comma 13 7 6 5" xfId="13152"/>
    <cellStyle name="Comma 13 7 6 5 2" xfId="26780"/>
    <cellStyle name="Comma 13 7 6 6" xfId="17082"/>
    <cellStyle name="Comma 13 7 7" xfId="4004"/>
    <cellStyle name="Comma 13 7 7 2" xfId="7434"/>
    <cellStyle name="Comma 13 7 7 2 2" xfId="21082"/>
    <cellStyle name="Comma 13 7 7 3" xfId="10572"/>
    <cellStyle name="Comma 13 7 7 3 2" xfId="24203"/>
    <cellStyle name="Comma 13 7 7 4" xfId="13868"/>
    <cellStyle name="Comma 13 7 7 4 2" xfId="27496"/>
    <cellStyle name="Comma 13 7 7 5" xfId="17799"/>
    <cellStyle name="Comma 13 7 8" xfId="5484"/>
    <cellStyle name="Comma 13 7 8 2" xfId="8745"/>
    <cellStyle name="Comma 13 7 8 2 2" xfId="22388"/>
    <cellStyle name="Comma 13 7 8 3" xfId="11805"/>
    <cellStyle name="Comma 13 7 8 3 2" xfId="25436"/>
    <cellStyle name="Comma 13 7 8 4" xfId="15101"/>
    <cellStyle name="Comma 13 7 8 4 2" xfId="28729"/>
    <cellStyle name="Comma 13 7 8 5" xfId="19134"/>
    <cellStyle name="Comma 13 7 9" xfId="5840"/>
    <cellStyle name="Comma 13 7 9 2" xfId="19490"/>
    <cellStyle name="Comma 13 8" xfId="3120"/>
    <cellStyle name="Comma 13 8 2" xfId="4915"/>
    <cellStyle name="Comma 13 8 2 2" xfId="8181"/>
    <cellStyle name="Comma 13 8 2 2 2" xfId="21829"/>
    <cellStyle name="Comma 13 8 2 3" xfId="11248"/>
    <cellStyle name="Comma 13 8 2 3 2" xfId="24879"/>
    <cellStyle name="Comma 13 8 2 4" xfId="14544"/>
    <cellStyle name="Comma 13 8 2 4 2" xfId="28172"/>
    <cellStyle name="Comma 13 8 2 5" xfId="18573"/>
    <cellStyle name="Comma 13 8 3" xfId="6602"/>
    <cellStyle name="Comma 13 8 3 2" xfId="20252"/>
    <cellStyle name="Comma 13 8 4" xfId="9823"/>
    <cellStyle name="Comma 13 8 4 2" xfId="23454"/>
    <cellStyle name="Comma 13 8 5" xfId="13118"/>
    <cellStyle name="Comma 13 8 5 2" xfId="26746"/>
    <cellStyle name="Comma 13 8 6" xfId="17038"/>
    <cellStyle name="Comma 13 9" xfId="3812"/>
    <cellStyle name="Comma 13 9 2" xfId="7244"/>
    <cellStyle name="Comma 13 9 2 2" xfId="20892"/>
    <cellStyle name="Comma 13 9 3" xfId="10382"/>
    <cellStyle name="Comma 13 9 3 2" xfId="24013"/>
    <cellStyle name="Comma 13 9 4" xfId="13678"/>
    <cellStyle name="Comma 13 9 4 2" xfId="27306"/>
    <cellStyle name="Comma 13 9 5" xfId="17609"/>
    <cellStyle name="Comma 14" xfId="353"/>
    <cellStyle name="Comma 14 10" xfId="15904"/>
    <cellStyle name="Comma 14 2" xfId="817"/>
    <cellStyle name="Comma 14 3" xfId="818"/>
    <cellStyle name="Comma 14 4" xfId="816"/>
    <cellStyle name="Comma 14 5" xfId="3101"/>
    <cellStyle name="Comma 14 5 2" xfId="4896"/>
    <cellStyle name="Comma 14 5 2 2" xfId="8162"/>
    <cellStyle name="Comma 14 5 2 2 2" xfId="21810"/>
    <cellStyle name="Comma 14 5 2 3" xfId="11229"/>
    <cellStyle name="Comma 14 5 2 3 2" xfId="24860"/>
    <cellStyle name="Comma 14 5 2 4" xfId="14525"/>
    <cellStyle name="Comma 14 5 2 4 2" xfId="28153"/>
    <cellStyle name="Comma 14 5 2 5" xfId="18554"/>
    <cellStyle name="Comma 14 5 3" xfId="6583"/>
    <cellStyle name="Comma 14 5 3 2" xfId="20233"/>
    <cellStyle name="Comma 14 5 4" xfId="9804"/>
    <cellStyle name="Comma 14 5 4 2" xfId="23435"/>
    <cellStyle name="Comma 14 5 5" xfId="13099"/>
    <cellStyle name="Comma 14 5 5 2" xfId="26727"/>
    <cellStyle name="Comma 14 5 6" xfId="17019"/>
    <cellStyle name="Comma 14 6" xfId="3833"/>
    <cellStyle name="Comma 14 6 2" xfId="7265"/>
    <cellStyle name="Comma 14 6 2 2" xfId="20913"/>
    <cellStyle name="Comma 14 6 3" xfId="10403"/>
    <cellStyle name="Comma 14 6 3 2" xfId="24034"/>
    <cellStyle name="Comma 14 6 4" xfId="13699"/>
    <cellStyle name="Comma 14 6 4 2" xfId="27327"/>
    <cellStyle name="Comma 14 6 5" xfId="17630"/>
    <cellStyle name="Comma 14 7" xfId="5673"/>
    <cellStyle name="Comma 14 7 2" xfId="19323"/>
    <cellStyle name="Comma 14 8" xfId="9100"/>
    <cellStyle name="Comma 14 8 2" xfId="22743"/>
    <cellStyle name="Comma 14 9" xfId="12276"/>
    <cellStyle name="Comma 14 9 2" xfId="25904"/>
    <cellStyle name="Comma 15" xfId="410"/>
    <cellStyle name="Comma 15 2" xfId="820"/>
    <cellStyle name="Comma 15 3" xfId="819"/>
    <cellStyle name="Comma 15 3 10" xfId="12094"/>
    <cellStyle name="Comma 15 3 10 2" xfId="25722"/>
    <cellStyle name="Comma 15 3 2" xfId="1792"/>
    <cellStyle name="Comma 15 3 3" xfId="1791"/>
    <cellStyle name="Comma 15 3 3 2" xfId="3202"/>
    <cellStyle name="Comma 15 3 3 2 2" xfId="4950"/>
    <cellStyle name="Comma 15 3 3 2 2 2" xfId="8215"/>
    <cellStyle name="Comma 15 3 3 2 2 2 2" xfId="21863"/>
    <cellStyle name="Comma 15 3 3 2 2 3" xfId="11282"/>
    <cellStyle name="Comma 15 3 3 2 2 3 2" xfId="24913"/>
    <cellStyle name="Comma 15 3 3 2 2 4" xfId="14578"/>
    <cellStyle name="Comma 15 3 3 2 2 4 2" xfId="28206"/>
    <cellStyle name="Comma 15 3 3 2 2 5" xfId="18608"/>
    <cellStyle name="Comma 15 3 3 2 3" xfId="6637"/>
    <cellStyle name="Comma 15 3 3 2 3 2" xfId="20287"/>
    <cellStyle name="Comma 15 3 3 2 4" xfId="9858"/>
    <cellStyle name="Comma 15 3 3 2 4 2" xfId="23489"/>
    <cellStyle name="Comma 15 3 3 2 5" xfId="13153"/>
    <cellStyle name="Comma 15 3 3 2 5 2" xfId="26781"/>
    <cellStyle name="Comma 15 3 3 2 6" xfId="17083"/>
    <cellStyle name="Comma 15 3 3 3" xfId="4005"/>
    <cellStyle name="Comma 15 3 3 3 2" xfId="7435"/>
    <cellStyle name="Comma 15 3 3 3 2 2" xfId="21083"/>
    <cellStyle name="Comma 15 3 3 3 3" xfId="10573"/>
    <cellStyle name="Comma 15 3 3 3 3 2" xfId="24204"/>
    <cellStyle name="Comma 15 3 3 3 4" xfId="13869"/>
    <cellStyle name="Comma 15 3 3 3 4 2" xfId="27497"/>
    <cellStyle name="Comma 15 3 3 3 5" xfId="17800"/>
    <cellStyle name="Comma 15 3 3 4" xfId="5841"/>
    <cellStyle name="Comma 15 3 3 4 2" xfId="19491"/>
    <cellStyle name="Comma 15 3 3 5" xfId="9138"/>
    <cellStyle name="Comma 15 3 3 5 2" xfId="22780"/>
    <cellStyle name="Comma 15 3 3 6" xfId="12441"/>
    <cellStyle name="Comma 15 3 3 6 2" xfId="26069"/>
    <cellStyle name="Comma 15 3 3 7" xfId="16223"/>
    <cellStyle name="Comma 15 3 4" xfId="2238"/>
    <cellStyle name="Comma 15 3 4 2" xfId="3351"/>
    <cellStyle name="Comma 15 3 4 2 2" xfId="5095"/>
    <cellStyle name="Comma 15 3 4 2 2 2" xfId="8359"/>
    <cellStyle name="Comma 15 3 4 2 2 2 2" xfId="22007"/>
    <cellStyle name="Comma 15 3 4 2 2 3" xfId="11426"/>
    <cellStyle name="Comma 15 3 4 2 2 3 2" xfId="25057"/>
    <cellStyle name="Comma 15 3 4 2 2 4" xfId="14722"/>
    <cellStyle name="Comma 15 3 4 2 2 4 2" xfId="28350"/>
    <cellStyle name="Comma 15 3 4 2 2 5" xfId="18753"/>
    <cellStyle name="Comma 15 3 4 2 3" xfId="6785"/>
    <cellStyle name="Comma 15 3 4 2 3 2" xfId="20435"/>
    <cellStyle name="Comma 15 3 4 2 4" xfId="10003"/>
    <cellStyle name="Comma 15 3 4 2 4 2" xfId="23634"/>
    <cellStyle name="Comma 15 3 4 2 5" xfId="13298"/>
    <cellStyle name="Comma 15 3 4 2 5 2" xfId="26926"/>
    <cellStyle name="Comma 15 3 4 2 6" xfId="17228"/>
    <cellStyle name="Comma 15 3 4 3" xfId="4149"/>
    <cellStyle name="Comma 15 3 4 3 2" xfId="7579"/>
    <cellStyle name="Comma 15 3 4 3 2 2" xfId="21227"/>
    <cellStyle name="Comma 15 3 4 3 3" xfId="10717"/>
    <cellStyle name="Comma 15 3 4 3 3 2" xfId="24348"/>
    <cellStyle name="Comma 15 3 4 3 4" xfId="14013"/>
    <cellStyle name="Comma 15 3 4 3 4 2" xfId="27641"/>
    <cellStyle name="Comma 15 3 4 3 5" xfId="17944"/>
    <cellStyle name="Comma 15 3 4 4" xfId="5985"/>
    <cellStyle name="Comma 15 3 4 4 2" xfId="19635"/>
    <cellStyle name="Comma 15 3 4 5" xfId="9271"/>
    <cellStyle name="Comma 15 3 4 5 2" xfId="22913"/>
    <cellStyle name="Comma 15 3 4 6" xfId="12585"/>
    <cellStyle name="Comma 15 3 4 6 2" xfId="26213"/>
    <cellStyle name="Comma 15 3 4 7" xfId="16430"/>
    <cellStyle name="Comma 15 3 5" xfId="2322"/>
    <cellStyle name="Comma 15 3 5 2" xfId="3428"/>
    <cellStyle name="Comma 15 3 5 2 2" xfId="5164"/>
    <cellStyle name="Comma 15 3 5 2 2 2" xfId="8428"/>
    <cellStyle name="Comma 15 3 5 2 2 2 2" xfId="22076"/>
    <cellStyle name="Comma 15 3 5 2 2 3" xfId="11495"/>
    <cellStyle name="Comma 15 3 5 2 2 3 2" xfId="25126"/>
    <cellStyle name="Comma 15 3 5 2 2 4" xfId="14791"/>
    <cellStyle name="Comma 15 3 5 2 2 4 2" xfId="28419"/>
    <cellStyle name="Comma 15 3 5 2 2 5" xfId="18822"/>
    <cellStyle name="Comma 15 3 5 2 3" xfId="6862"/>
    <cellStyle name="Comma 15 3 5 2 3 2" xfId="20512"/>
    <cellStyle name="Comma 15 3 5 2 4" xfId="10072"/>
    <cellStyle name="Comma 15 3 5 2 4 2" xfId="23703"/>
    <cellStyle name="Comma 15 3 5 2 5" xfId="13367"/>
    <cellStyle name="Comma 15 3 5 2 5 2" xfId="26995"/>
    <cellStyle name="Comma 15 3 5 2 6" xfId="17297"/>
    <cellStyle name="Comma 15 3 5 3" xfId="4218"/>
    <cellStyle name="Comma 15 3 5 3 2" xfId="7648"/>
    <cellStyle name="Comma 15 3 5 3 2 2" xfId="21296"/>
    <cellStyle name="Comma 15 3 5 3 3" xfId="10786"/>
    <cellStyle name="Comma 15 3 5 3 3 2" xfId="24417"/>
    <cellStyle name="Comma 15 3 5 3 4" xfId="14082"/>
    <cellStyle name="Comma 15 3 5 3 4 2" xfId="27710"/>
    <cellStyle name="Comma 15 3 5 3 5" xfId="18013"/>
    <cellStyle name="Comma 15 3 5 4" xfId="6054"/>
    <cellStyle name="Comma 15 3 5 4 2" xfId="19704"/>
    <cellStyle name="Comma 15 3 5 5" xfId="9340"/>
    <cellStyle name="Comma 15 3 5 5 2" xfId="22982"/>
    <cellStyle name="Comma 15 3 5 6" xfId="12654"/>
    <cellStyle name="Comma 15 3 5 6 2" xfId="26282"/>
    <cellStyle name="Comma 15 3 5 7" xfId="16500"/>
    <cellStyle name="Comma 15 3 6" xfId="2702"/>
    <cellStyle name="Comma 15 3 6 2" xfId="3656"/>
    <cellStyle name="Comma 15 3 6 2 2" xfId="5323"/>
    <cellStyle name="Comma 15 3 6 2 2 2" xfId="8586"/>
    <cellStyle name="Comma 15 3 6 2 2 2 2" xfId="22234"/>
    <cellStyle name="Comma 15 3 6 2 2 3" xfId="11653"/>
    <cellStyle name="Comma 15 3 6 2 2 3 2" xfId="25284"/>
    <cellStyle name="Comma 15 3 6 2 2 4" xfId="14949"/>
    <cellStyle name="Comma 15 3 6 2 2 4 2" xfId="28577"/>
    <cellStyle name="Comma 15 3 6 2 2 5" xfId="18981"/>
    <cellStyle name="Comma 15 3 6 2 3" xfId="7090"/>
    <cellStyle name="Comma 15 3 6 2 3 2" xfId="20740"/>
    <cellStyle name="Comma 15 3 6 2 4" xfId="10231"/>
    <cellStyle name="Comma 15 3 6 2 4 2" xfId="23862"/>
    <cellStyle name="Comma 15 3 6 2 5" xfId="13526"/>
    <cellStyle name="Comma 15 3 6 2 5 2" xfId="27154"/>
    <cellStyle name="Comma 15 3 6 2 6" xfId="17457"/>
    <cellStyle name="Comma 15 3 6 3" xfId="4445"/>
    <cellStyle name="Comma 15 3 6 3 2" xfId="7875"/>
    <cellStyle name="Comma 15 3 6 3 2 2" xfId="21523"/>
    <cellStyle name="Comma 15 3 6 3 3" xfId="10944"/>
    <cellStyle name="Comma 15 3 6 3 3 2" xfId="24575"/>
    <cellStyle name="Comma 15 3 6 3 4" xfId="14240"/>
    <cellStyle name="Comma 15 3 6 3 4 2" xfId="27868"/>
    <cellStyle name="Comma 15 3 6 3 5" xfId="18240"/>
    <cellStyle name="Comma 15 3 6 4" xfId="6296"/>
    <cellStyle name="Comma 15 3 6 4 2" xfId="19946"/>
    <cellStyle name="Comma 15 3 6 5" xfId="9498"/>
    <cellStyle name="Comma 15 3 6 5 2" xfId="23140"/>
    <cellStyle name="Comma 15 3 6 6" xfId="12812"/>
    <cellStyle name="Comma 15 3 6 6 2" xfId="26440"/>
    <cellStyle name="Comma 15 3 6 7" xfId="16729"/>
    <cellStyle name="Comma 15 3 7" xfId="5485"/>
    <cellStyle name="Comma 15 3 7 2" xfId="8746"/>
    <cellStyle name="Comma 15 3 7 2 2" xfId="22389"/>
    <cellStyle name="Comma 15 3 7 3" xfId="11806"/>
    <cellStyle name="Comma 15 3 7 3 2" xfId="25437"/>
    <cellStyle name="Comma 15 3 7 4" xfId="15102"/>
    <cellStyle name="Comma 15 3 7 4 2" xfId="28730"/>
    <cellStyle name="Comma 15 3 7 5" xfId="19135"/>
    <cellStyle name="Comma 15 3 8" xfId="8936"/>
    <cellStyle name="Comma 15 3 8 2" xfId="22579"/>
    <cellStyle name="Comma 15 3 9" xfId="12048"/>
    <cellStyle name="Comma 15 3 9 2" xfId="25678"/>
    <cellStyle name="Comma 15 4" xfId="3092"/>
    <cellStyle name="Comma 15 4 2" xfId="4892"/>
    <cellStyle name="Comma 15 4 2 2" xfId="8158"/>
    <cellStyle name="Comma 15 4 2 2 2" xfId="21806"/>
    <cellStyle name="Comma 15 4 2 3" xfId="11227"/>
    <cellStyle name="Comma 15 4 2 3 2" xfId="24858"/>
    <cellStyle name="Comma 15 4 2 4" xfId="14523"/>
    <cellStyle name="Comma 15 4 2 4 2" xfId="28151"/>
    <cellStyle name="Comma 15 4 2 5" xfId="18550"/>
    <cellStyle name="Comma 15 4 3" xfId="6581"/>
    <cellStyle name="Comma 15 4 3 2" xfId="20231"/>
    <cellStyle name="Comma 15 4 4" xfId="9802"/>
    <cellStyle name="Comma 15 4 4 2" xfId="23433"/>
    <cellStyle name="Comma 15 4 5" xfId="13097"/>
    <cellStyle name="Comma 15 4 5 2" xfId="26725"/>
    <cellStyle name="Comma 15 4 6" xfId="17015"/>
    <cellStyle name="Comma 15 5" xfId="3835"/>
    <cellStyle name="Comma 15 5 2" xfId="7267"/>
    <cellStyle name="Comma 15 5 2 2" xfId="20915"/>
    <cellStyle name="Comma 15 5 3" xfId="10405"/>
    <cellStyle name="Comma 15 5 3 2" xfId="24036"/>
    <cellStyle name="Comma 15 5 4" xfId="13701"/>
    <cellStyle name="Comma 15 5 4 2" xfId="27329"/>
    <cellStyle name="Comma 15 5 5" xfId="17632"/>
    <cellStyle name="Comma 15 6" xfId="5678"/>
    <cellStyle name="Comma 15 6 2" xfId="19328"/>
    <cellStyle name="Comma 15 7" xfId="12278"/>
    <cellStyle name="Comma 15 7 2" xfId="25906"/>
    <cellStyle name="Comma 15 8" xfId="15914"/>
    <cellStyle name="Comma 16" xfId="462"/>
    <cellStyle name="Comma 16 10" xfId="12289"/>
    <cellStyle name="Comma 16 10 2" xfId="25917"/>
    <cellStyle name="Comma 16 11" xfId="15965"/>
    <cellStyle name="Comma 16 2" xfId="822"/>
    <cellStyle name="Comma 16 3" xfId="823"/>
    <cellStyle name="Comma 16 3 2" xfId="824"/>
    <cellStyle name="Comma 16 3 3" xfId="15271"/>
    <cellStyle name="Comma 16 4" xfId="825"/>
    <cellStyle name="Comma 16 5" xfId="821"/>
    <cellStyle name="Comma 16 6" xfId="3081"/>
    <cellStyle name="Comma 16 6 2" xfId="4882"/>
    <cellStyle name="Comma 16 6 2 2" xfId="8148"/>
    <cellStyle name="Comma 16 6 2 2 2" xfId="21796"/>
    <cellStyle name="Comma 16 6 2 3" xfId="11217"/>
    <cellStyle name="Comma 16 6 2 3 2" xfId="24848"/>
    <cellStyle name="Comma 16 6 2 4" xfId="14513"/>
    <cellStyle name="Comma 16 6 2 4 2" xfId="28141"/>
    <cellStyle name="Comma 16 6 2 5" xfId="18540"/>
    <cellStyle name="Comma 16 6 3" xfId="6571"/>
    <cellStyle name="Comma 16 6 3 2" xfId="20221"/>
    <cellStyle name="Comma 16 6 4" xfId="9792"/>
    <cellStyle name="Comma 16 6 4 2" xfId="23423"/>
    <cellStyle name="Comma 16 6 5" xfId="13087"/>
    <cellStyle name="Comma 16 6 5 2" xfId="26715"/>
    <cellStyle name="Comma 16 6 6" xfId="17005"/>
    <cellStyle name="Comma 16 7" xfId="3848"/>
    <cellStyle name="Comma 16 7 2" xfId="7278"/>
    <cellStyle name="Comma 16 7 2 2" xfId="20926"/>
    <cellStyle name="Comma 16 7 3" xfId="10416"/>
    <cellStyle name="Comma 16 7 3 2" xfId="24047"/>
    <cellStyle name="Comma 16 7 4" xfId="13712"/>
    <cellStyle name="Comma 16 7 4 2" xfId="27340"/>
    <cellStyle name="Comma 16 7 5" xfId="17643"/>
    <cellStyle name="Comma 16 8" xfId="5689"/>
    <cellStyle name="Comma 16 8 2" xfId="19339"/>
    <cellStyle name="Comma 16 9" xfId="9086"/>
    <cellStyle name="Comma 16 9 2" xfId="22729"/>
    <cellStyle name="Comma 17" xfId="826"/>
    <cellStyle name="Comma 17 2" xfId="827"/>
    <cellStyle name="Comma 17 3" xfId="828"/>
    <cellStyle name="Comma 17 4" xfId="829"/>
    <cellStyle name="Comma 18" xfId="830"/>
    <cellStyle name="Comma 18 2" xfId="831"/>
    <cellStyle name="Comma 18 3" xfId="832"/>
    <cellStyle name="Comma 18 4" xfId="833"/>
    <cellStyle name="Comma 19" xfId="834"/>
    <cellStyle name="Comma 19 2" xfId="835"/>
    <cellStyle name="Comma 19 3" xfId="836"/>
    <cellStyle name="Comma 19 4" xfId="2867"/>
    <cellStyle name="Comma 2" xfId="7"/>
    <cellStyle name="Comma 2 10" xfId="9629"/>
    <cellStyle name="Comma 2 11" xfId="9126"/>
    <cellStyle name="Comma 2 11 2" xfId="22768"/>
    <cellStyle name="Comma 2 12" xfId="498"/>
    <cellStyle name="Comma 2 13" xfId="15769"/>
    <cellStyle name="Comma 2 2" xfId="39"/>
    <cellStyle name="Comma 2 2 2" xfId="128"/>
    <cellStyle name="Comma 2 2 2 2" xfId="838"/>
    <cellStyle name="Comma 2 2 2 3" xfId="837"/>
    <cellStyle name="Comma 2 2 3" xfId="13"/>
    <cellStyle name="Comma 2 2 3 2" xfId="129"/>
    <cellStyle name="Comma 2 2 4" xfId="9623"/>
    <cellStyle name="Comma 2 3" xfId="11"/>
    <cellStyle name="Comma 2 3 10" xfId="839"/>
    <cellStyle name="Comma 2 3 11" xfId="1793"/>
    <cellStyle name="Comma 2 3 11 2" xfId="3203"/>
    <cellStyle name="Comma 2 3 11 2 2" xfId="4951"/>
    <cellStyle name="Comma 2 3 11 2 2 2" xfId="8216"/>
    <cellStyle name="Comma 2 3 11 2 2 2 2" xfId="21864"/>
    <cellStyle name="Comma 2 3 11 2 2 3" xfId="11283"/>
    <cellStyle name="Comma 2 3 11 2 2 3 2" xfId="24914"/>
    <cellStyle name="Comma 2 3 11 2 2 4" xfId="14579"/>
    <cellStyle name="Comma 2 3 11 2 2 4 2" xfId="28207"/>
    <cellStyle name="Comma 2 3 11 2 2 5" xfId="18609"/>
    <cellStyle name="Comma 2 3 11 2 3" xfId="6638"/>
    <cellStyle name="Comma 2 3 11 2 3 2" xfId="20288"/>
    <cellStyle name="Comma 2 3 11 2 4" xfId="9859"/>
    <cellStyle name="Comma 2 3 11 2 4 2" xfId="23490"/>
    <cellStyle name="Comma 2 3 11 2 5" xfId="13154"/>
    <cellStyle name="Comma 2 3 11 2 5 2" xfId="26782"/>
    <cellStyle name="Comma 2 3 11 2 6" xfId="17084"/>
    <cellStyle name="Comma 2 3 11 3" xfId="4006"/>
    <cellStyle name="Comma 2 3 11 3 2" xfId="7436"/>
    <cellStyle name="Comma 2 3 11 3 2 2" xfId="21084"/>
    <cellStyle name="Comma 2 3 11 3 3" xfId="10574"/>
    <cellStyle name="Comma 2 3 11 3 3 2" xfId="24205"/>
    <cellStyle name="Comma 2 3 11 3 4" xfId="13870"/>
    <cellStyle name="Comma 2 3 11 3 4 2" xfId="27498"/>
    <cellStyle name="Comma 2 3 11 3 5" xfId="17801"/>
    <cellStyle name="Comma 2 3 11 4" xfId="5842"/>
    <cellStyle name="Comma 2 3 11 4 2" xfId="19492"/>
    <cellStyle name="Comma 2 3 11 5" xfId="9139"/>
    <cellStyle name="Comma 2 3 11 5 2" xfId="22781"/>
    <cellStyle name="Comma 2 3 11 6" xfId="12442"/>
    <cellStyle name="Comma 2 3 11 6 2" xfId="26070"/>
    <cellStyle name="Comma 2 3 11 7" xfId="16224"/>
    <cellStyle name="Comma 2 3 12" xfId="2133"/>
    <cellStyle name="Comma 2 3 12 2" xfId="3246"/>
    <cellStyle name="Comma 2 3 12 2 2" xfId="4993"/>
    <cellStyle name="Comma 2 3 12 2 2 2" xfId="8257"/>
    <cellStyle name="Comma 2 3 12 2 2 2 2" xfId="21905"/>
    <cellStyle name="Comma 2 3 12 2 2 3" xfId="11324"/>
    <cellStyle name="Comma 2 3 12 2 2 3 2" xfId="24955"/>
    <cellStyle name="Comma 2 3 12 2 2 4" xfId="14620"/>
    <cellStyle name="Comma 2 3 12 2 2 4 2" xfId="28248"/>
    <cellStyle name="Comma 2 3 12 2 2 5" xfId="18651"/>
    <cellStyle name="Comma 2 3 12 2 3" xfId="6680"/>
    <cellStyle name="Comma 2 3 12 2 3 2" xfId="20330"/>
    <cellStyle name="Comma 2 3 12 2 4" xfId="9901"/>
    <cellStyle name="Comma 2 3 12 2 4 2" xfId="23532"/>
    <cellStyle name="Comma 2 3 12 2 5" xfId="13196"/>
    <cellStyle name="Comma 2 3 12 2 5 2" xfId="26824"/>
    <cellStyle name="Comma 2 3 12 2 6" xfId="17126"/>
    <cellStyle name="Comma 2 3 12 3" xfId="4047"/>
    <cellStyle name="Comma 2 3 12 3 2" xfId="7477"/>
    <cellStyle name="Comma 2 3 12 3 2 2" xfId="21125"/>
    <cellStyle name="Comma 2 3 12 3 3" xfId="10615"/>
    <cellStyle name="Comma 2 3 12 3 3 2" xfId="24246"/>
    <cellStyle name="Comma 2 3 12 3 4" xfId="13911"/>
    <cellStyle name="Comma 2 3 12 3 4 2" xfId="27539"/>
    <cellStyle name="Comma 2 3 12 3 5" xfId="17842"/>
    <cellStyle name="Comma 2 3 12 4" xfId="5883"/>
    <cellStyle name="Comma 2 3 12 4 2" xfId="19533"/>
    <cellStyle name="Comma 2 3 12 5" xfId="9169"/>
    <cellStyle name="Comma 2 3 12 5 2" xfId="22811"/>
    <cellStyle name="Comma 2 3 12 6" xfId="12483"/>
    <cellStyle name="Comma 2 3 12 6 2" xfId="26111"/>
    <cellStyle name="Comma 2 3 12 7" xfId="16328"/>
    <cellStyle name="Comma 2 3 13" xfId="2323"/>
    <cellStyle name="Comma 2 3 13 2" xfId="3429"/>
    <cellStyle name="Comma 2 3 13 2 2" xfId="5165"/>
    <cellStyle name="Comma 2 3 13 2 2 2" xfId="8429"/>
    <cellStyle name="Comma 2 3 13 2 2 2 2" xfId="22077"/>
    <cellStyle name="Comma 2 3 13 2 2 3" xfId="11496"/>
    <cellStyle name="Comma 2 3 13 2 2 3 2" xfId="25127"/>
    <cellStyle name="Comma 2 3 13 2 2 4" xfId="14792"/>
    <cellStyle name="Comma 2 3 13 2 2 4 2" xfId="28420"/>
    <cellStyle name="Comma 2 3 13 2 2 5" xfId="18823"/>
    <cellStyle name="Comma 2 3 13 2 3" xfId="6863"/>
    <cellStyle name="Comma 2 3 13 2 3 2" xfId="20513"/>
    <cellStyle name="Comma 2 3 13 2 4" xfId="10073"/>
    <cellStyle name="Comma 2 3 13 2 4 2" xfId="23704"/>
    <cellStyle name="Comma 2 3 13 2 5" xfId="13368"/>
    <cellStyle name="Comma 2 3 13 2 5 2" xfId="26996"/>
    <cellStyle name="Comma 2 3 13 2 6" xfId="17298"/>
    <cellStyle name="Comma 2 3 13 3" xfId="4219"/>
    <cellStyle name="Comma 2 3 13 3 2" xfId="7649"/>
    <cellStyle name="Comma 2 3 13 3 2 2" xfId="21297"/>
    <cellStyle name="Comma 2 3 13 3 3" xfId="10787"/>
    <cellStyle name="Comma 2 3 13 3 3 2" xfId="24418"/>
    <cellStyle name="Comma 2 3 13 3 4" xfId="14083"/>
    <cellStyle name="Comma 2 3 13 3 4 2" xfId="27711"/>
    <cellStyle name="Comma 2 3 13 3 5" xfId="18014"/>
    <cellStyle name="Comma 2 3 13 4" xfId="6055"/>
    <cellStyle name="Comma 2 3 13 4 2" xfId="19705"/>
    <cellStyle name="Comma 2 3 13 5" xfId="9341"/>
    <cellStyle name="Comma 2 3 13 5 2" xfId="22983"/>
    <cellStyle name="Comma 2 3 13 6" xfId="12655"/>
    <cellStyle name="Comma 2 3 13 6 2" xfId="26283"/>
    <cellStyle name="Comma 2 3 13 7" xfId="16501"/>
    <cellStyle name="Comma 2 3 14" xfId="2703"/>
    <cellStyle name="Comma 2 3 14 2" xfId="3657"/>
    <cellStyle name="Comma 2 3 14 2 2" xfId="5324"/>
    <cellStyle name="Comma 2 3 14 2 2 2" xfId="8587"/>
    <cellStyle name="Comma 2 3 14 2 2 2 2" xfId="22235"/>
    <cellStyle name="Comma 2 3 14 2 2 3" xfId="11654"/>
    <cellStyle name="Comma 2 3 14 2 2 3 2" xfId="25285"/>
    <cellStyle name="Comma 2 3 14 2 2 4" xfId="14950"/>
    <cellStyle name="Comma 2 3 14 2 2 4 2" xfId="28578"/>
    <cellStyle name="Comma 2 3 14 2 2 5" xfId="18982"/>
    <cellStyle name="Comma 2 3 14 2 3" xfId="7091"/>
    <cellStyle name="Comma 2 3 14 2 3 2" xfId="20741"/>
    <cellStyle name="Comma 2 3 14 2 4" xfId="10232"/>
    <cellStyle name="Comma 2 3 14 2 4 2" xfId="23863"/>
    <cellStyle name="Comma 2 3 14 2 5" xfId="13527"/>
    <cellStyle name="Comma 2 3 14 2 5 2" xfId="27155"/>
    <cellStyle name="Comma 2 3 14 2 6" xfId="17458"/>
    <cellStyle name="Comma 2 3 14 3" xfId="4446"/>
    <cellStyle name="Comma 2 3 14 3 2" xfId="7876"/>
    <cellStyle name="Comma 2 3 14 3 2 2" xfId="21524"/>
    <cellStyle name="Comma 2 3 14 3 3" xfId="10945"/>
    <cellStyle name="Comma 2 3 14 3 3 2" xfId="24576"/>
    <cellStyle name="Comma 2 3 14 3 4" xfId="14241"/>
    <cellStyle name="Comma 2 3 14 3 4 2" xfId="27869"/>
    <cellStyle name="Comma 2 3 14 3 5" xfId="18241"/>
    <cellStyle name="Comma 2 3 14 4" xfId="6297"/>
    <cellStyle name="Comma 2 3 14 4 2" xfId="19947"/>
    <cellStyle name="Comma 2 3 14 5" xfId="9499"/>
    <cellStyle name="Comma 2 3 14 5 2" xfId="23141"/>
    <cellStyle name="Comma 2 3 14 6" xfId="12813"/>
    <cellStyle name="Comma 2 3 14 6 2" xfId="26441"/>
    <cellStyle name="Comma 2 3 14 7" xfId="16730"/>
    <cellStyle name="Comma 2 3 15" xfId="3183"/>
    <cellStyle name="Comma 2 3 15 2" xfId="4932"/>
    <cellStyle name="Comma 2 3 15 2 2" xfId="8198"/>
    <cellStyle name="Comma 2 3 15 2 2 2" xfId="21846"/>
    <cellStyle name="Comma 2 3 15 2 3" xfId="11265"/>
    <cellStyle name="Comma 2 3 15 2 3 2" xfId="24896"/>
    <cellStyle name="Comma 2 3 15 2 4" xfId="14561"/>
    <cellStyle name="Comma 2 3 15 2 4 2" xfId="28189"/>
    <cellStyle name="Comma 2 3 15 2 5" xfId="18590"/>
    <cellStyle name="Comma 2 3 15 3" xfId="6619"/>
    <cellStyle name="Comma 2 3 15 3 2" xfId="20269"/>
    <cellStyle name="Comma 2 3 15 4" xfId="9840"/>
    <cellStyle name="Comma 2 3 15 4 2" xfId="23471"/>
    <cellStyle name="Comma 2 3 15 5" xfId="13135"/>
    <cellStyle name="Comma 2 3 15 5 2" xfId="26763"/>
    <cellStyle name="Comma 2 3 15 6" xfId="17065"/>
    <cellStyle name="Comma 2 3 16" xfId="3794"/>
    <cellStyle name="Comma 2 3 16 2" xfId="7226"/>
    <cellStyle name="Comma 2 3 16 2 2" xfId="20874"/>
    <cellStyle name="Comma 2 3 16 3" xfId="10364"/>
    <cellStyle name="Comma 2 3 16 3 2" xfId="23995"/>
    <cellStyle name="Comma 2 3 16 4" xfId="13660"/>
    <cellStyle name="Comma 2 3 16 4 2" xfId="27288"/>
    <cellStyle name="Comma 2 3 16 5" xfId="17591"/>
    <cellStyle name="Comma 2 3 17" xfId="5486"/>
    <cellStyle name="Comma 2 3 17 2" xfId="8747"/>
    <cellStyle name="Comma 2 3 17 2 2" xfId="22390"/>
    <cellStyle name="Comma 2 3 17 3" xfId="11807"/>
    <cellStyle name="Comma 2 3 17 3 2" xfId="25438"/>
    <cellStyle name="Comma 2 3 17 4" xfId="15103"/>
    <cellStyle name="Comma 2 3 17 4 2" xfId="28731"/>
    <cellStyle name="Comma 2 3 17 5" xfId="19136"/>
    <cellStyle name="Comma 2 3 18" xfId="5634"/>
    <cellStyle name="Comma 2 3 18 2" xfId="19284"/>
    <cellStyle name="Comma 2 3 19" xfId="8937"/>
    <cellStyle name="Comma 2 3 19 2" xfId="22580"/>
    <cellStyle name="Comma 2 3 2" xfId="346"/>
    <cellStyle name="Comma 2 3 2 2" xfId="840"/>
    <cellStyle name="Comma 2 3 2 2 10" xfId="12096"/>
    <cellStyle name="Comma 2 3 2 2 10 2" xfId="25724"/>
    <cellStyle name="Comma 2 3 2 2 2" xfId="1795"/>
    <cellStyle name="Comma 2 3 2 2 3" xfId="1794"/>
    <cellStyle name="Comma 2 3 2 2 3 2" xfId="3204"/>
    <cellStyle name="Comma 2 3 2 2 3 2 2" xfId="4952"/>
    <cellStyle name="Comma 2 3 2 2 3 2 2 2" xfId="8217"/>
    <cellStyle name="Comma 2 3 2 2 3 2 2 2 2" xfId="21865"/>
    <cellStyle name="Comma 2 3 2 2 3 2 2 3" xfId="11284"/>
    <cellStyle name="Comma 2 3 2 2 3 2 2 3 2" xfId="24915"/>
    <cellStyle name="Comma 2 3 2 2 3 2 2 4" xfId="14580"/>
    <cellStyle name="Comma 2 3 2 2 3 2 2 4 2" xfId="28208"/>
    <cellStyle name="Comma 2 3 2 2 3 2 2 5" xfId="18610"/>
    <cellStyle name="Comma 2 3 2 2 3 2 3" xfId="6639"/>
    <cellStyle name="Comma 2 3 2 2 3 2 3 2" xfId="20289"/>
    <cellStyle name="Comma 2 3 2 2 3 2 4" xfId="9860"/>
    <cellStyle name="Comma 2 3 2 2 3 2 4 2" xfId="23491"/>
    <cellStyle name="Comma 2 3 2 2 3 2 5" xfId="13155"/>
    <cellStyle name="Comma 2 3 2 2 3 2 5 2" xfId="26783"/>
    <cellStyle name="Comma 2 3 2 2 3 2 6" xfId="17085"/>
    <cellStyle name="Comma 2 3 2 2 3 3" xfId="4007"/>
    <cellStyle name="Comma 2 3 2 2 3 3 2" xfId="7437"/>
    <cellStyle name="Comma 2 3 2 2 3 3 2 2" xfId="21085"/>
    <cellStyle name="Comma 2 3 2 2 3 3 3" xfId="10575"/>
    <cellStyle name="Comma 2 3 2 2 3 3 3 2" xfId="24206"/>
    <cellStyle name="Comma 2 3 2 2 3 3 4" xfId="13871"/>
    <cellStyle name="Comma 2 3 2 2 3 3 4 2" xfId="27499"/>
    <cellStyle name="Comma 2 3 2 2 3 3 5" xfId="17802"/>
    <cellStyle name="Comma 2 3 2 2 3 4" xfId="5843"/>
    <cellStyle name="Comma 2 3 2 2 3 4 2" xfId="19493"/>
    <cellStyle name="Comma 2 3 2 2 3 5" xfId="9140"/>
    <cellStyle name="Comma 2 3 2 2 3 5 2" xfId="22782"/>
    <cellStyle name="Comma 2 3 2 2 3 6" xfId="12443"/>
    <cellStyle name="Comma 2 3 2 2 3 6 2" xfId="26071"/>
    <cellStyle name="Comma 2 3 2 2 3 7" xfId="16225"/>
    <cellStyle name="Comma 2 3 2 2 4" xfId="2240"/>
    <cellStyle name="Comma 2 3 2 2 4 2" xfId="3353"/>
    <cellStyle name="Comma 2 3 2 2 4 2 2" xfId="5097"/>
    <cellStyle name="Comma 2 3 2 2 4 2 2 2" xfId="8361"/>
    <cellStyle name="Comma 2 3 2 2 4 2 2 2 2" xfId="22009"/>
    <cellStyle name="Comma 2 3 2 2 4 2 2 3" xfId="11428"/>
    <cellStyle name="Comma 2 3 2 2 4 2 2 3 2" xfId="25059"/>
    <cellStyle name="Comma 2 3 2 2 4 2 2 4" xfId="14724"/>
    <cellStyle name="Comma 2 3 2 2 4 2 2 4 2" xfId="28352"/>
    <cellStyle name="Comma 2 3 2 2 4 2 2 5" xfId="18755"/>
    <cellStyle name="Comma 2 3 2 2 4 2 3" xfId="6787"/>
    <cellStyle name="Comma 2 3 2 2 4 2 3 2" xfId="20437"/>
    <cellStyle name="Comma 2 3 2 2 4 2 4" xfId="10005"/>
    <cellStyle name="Comma 2 3 2 2 4 2 4 2" xfId="23636"/>
    <cellStyle name="Comma 2 3 2 2 4 2 5" xfId="13300"/>
    <cellStyle name="Comma 2 3 2 2 4 2 5 2" xfId="26928"/>
    <cellStyle name="Comma 2 3 2 2 4 2 6" xfId="17230"/>
    <cellStyle name="Comma 2 3 2 2 4 3" xfId="4151"/>
    <cellStyle name="Comma 2 3 2 2 4 3 2" xfId="7581"/>
    <cellStyle name="Comma 2 3 2 2 4 3 2 2" xfId="21229"/>
    <cellStyle name="Comma 2 3 2 2 4 3 3" xfId="10719"/>
    <cellStyle name="Comma 2 3 2 2 4 3 3 2" xfId="24350"/>
    <cellStyle name="Comma 2 3 2 2 4 3 4" xfId="14015"/>
    <cellStyle name="Comma 2 3 2 2 4 3 4 2" xfId="27643"/>
    <cellStyle name="Comma 2 3 2 2 4 3 5" xfId="17946"/>
    <cellStyle name="Comma 2 3 2 2 4 4" xfId="5987"/>
    <cellStyle name="Comma 2 3 2 2 4 4 2" xfId="19637"/>
    <cellStyle name="Comma 2 3 2 2 4 5" xfId="9273"/>
    <cellStyle name="Comma 2 3 2 2 4 5 2" xfId="22915"/>
    <cellStyle name="Comma 2 3 2 2 4 6" xfId="12587"/>
    <cellStyle name="Comma 2 3 2 2 4 6 2" xfId="26215"/>
    <cellStyle name="Comma 2 3 2 2 4 7" xfId="16432"/>
    <cellStyle name="Comma 2 3 2 2 5" xfId="2324"/>
    <cellStyle name="Comma 2 3 2 2 5 2" xfId="3430"/>
    <cellStyle name="Comma 2 3 2 2 5 2 2" xfId="5166"/>
    <cellStyle name="Comma 2 3 2 2 5 2 2 2" xfId="8430"/>
    <cellStyle name="Comma 2 3 2 2 5 2 2 2 2" xfId="22078"/>
    <cellStyle name="Comma 2 3 2 2 5 2 2 3" xfId="11497"/>
    <cellStyle name="Comma 2 3 2 2 5 2 2 3 2" xfId="25128"/>
    <cellStyle name="Comma 2 3 2 2 5 2 2 4" xfId="14793"/>
    <cellStyle name="Comma 2 3 2 2 5 2 2 4 2" xfId="28421"/>
    <cellStyle name="Comma 2 3 2 2 5 2 2 5" xfId="18824"/>
    <cellStyle name="Comma 2 3 2 2 5 2 3" xfId="6864"/>
    <cellStyle name="Comma 2 3 2 2 5 2 3 2" xfId="20514"/>
    <cellStyle name="Comma 2 3 2 2 5 2 4" xfId="10074"/>
    <cellStyle name="Comma 2 3 2 2 5 2 4 2" xfId="23705"/>
    <cellStyle name="Comma 2 3 2 2 5 2 5" xfId="13369"/>
    <cellStyle name="Comma 2 3 2 2 5 2 5 2" xfId="26997"/>
    <cellStyle name="Comma 2 3 2 2 5 2 6" xfId="17299"/>
    <cellStyle name="Comma 2 3 2 2 5 3" xfId="4220"/>
    <cellStyle name="Comma 2 3 2 2 5 3 2" xfId="7650"/>
    <cellStyle name="Comma 2 3 2 2 5 3 2 2" xfId="21298"/>
    <cellStyle name="Comma 2 3 2 2 5 3 3" xfId="10788"/>
    <cellStyle name="Comma 2 3 2 2 5 3 3 2" xfId="24419"/>
    <cellStyle name="Comma 2 3 2 2 5 3 4" xfId="14084"/>
    <cellStyle name="Comma 2 3 2 2 5 3 4 2" xfId="27712"/>
    <cellStyle name="Comma 2 3 2 2 5 3 5" xfId="18015"/>
    <cellStyle name="Comma 2 3 2 2 5 4" xfId="6056"/>
    <cellStyle name="Comma 2 3 2 2 5 4 2" xfId="19706"/>
    <cellStyle name="Comma 2 3 2 2 5 5" xfId="9342"/>
    <cellStyle name="Comma 2 3 2 2 5 5 2" xfId="22984"/>
    <cellStyle name="Comma 2 3 2 2 5 6" xfId="12656"/>
    <cellStyle name="Comma 2 3 2 2 5 6 2" xfId="26284"/>
    <cellStyle name="Comma 2 3 2 2 5 7" xfId="16502"/>
    <cellStyle name="Comma 2 3 2 2 6" xfId="2704"/>
    <cellStyle name="Comma 2 3 2 2 6 2" xfId="3658"/>
    <cellStyle name="Comma 2 3 2 2 6 2 2" xfId="5325"/>
    <cellStyle name="Comma 2 3 2 2 6 2 2 2" xfId="8588"/>
    <cellStyle name="Comma 2 3 2 2 6 2 2 2 2" xfId="22236"/>
    <cellStyle name="Comma 2 3 2 2 6 2 2 3" xfId="11655"/>
    <cellStyle name="Comma 2 3 2 2 6 2 2 3 2" xfId="25286"/>
    <cellStyle name="Comma 2 3 2 2 6 2 2 4" xfId="14951"/>
    <cellStyle name="Comma 2 3 2 2 6 2 2 4 2" xfId="28579"/>
    <cellStyle name="Comma 2 3 2 2 6 2 2 5" xfId="18983"/>
    <cellStyle name="Comma 2 3 2 2 6 2 3" xfId="7092"/>
    <cellStyle name="Comma 2 3 2 2 6 2 3 2" xfId="20742"/>
    <cellStyle name="Comma 2 3 2 2 6 2 4" xfId="10233"/>
    <cellStyle name="Comma 2 3 2 2 6 2 4 2" xfId="23864"/>
    <cellStyle name="Comma 2 3 2 2 6 2 5" xfId="13528"/>
    <cellStyle name="Comma 2 3 2 2 6 2 5 2" xfId="27156"/>
    <cellStyle name="Comma 2 3 2 2 6 2 6" xfId="17459"/>
    <cellStyle name="Comma 2 3 2 2 6 3" xfId="4447"/>
    <cellStyle name="Comma 2 3 2 2 6 3 2" xfId="7877"/>
    <cellStyle name="Comma 2 3 2 2 6 3 2 2" xfId="21525"/>
    <cellStyle name="Comma 2 3 2 2 6 3 3" xfId="10946"/>
    <cellStyle name="Comma 2 3 2 2 6 3 3 2" xfId="24577"/>
    <cellStyle name="Comma 2 3 2 2 6 3 4" xfId="14242"/>
    <cellStyle name="Comma 2 3 2 2 6 3 4 2" xfId="27870"/>
    <cellStyle name="Comma 2 3 2 2 6 3 5" xfId="18242"/>
    <cellStyle name="Comma 2 3 2 2 6 4" xfId="6298"/>
    <cellStyle name="Comma 2 3 2 2 6 4 2" xfId="19948"/>
    <cellStyle name="Comma 2 3 2 2 6 5" xfId="9500"/>
    <cellStyle name="Comma 2 3 2 2 6 5 2" xfId="23142"/>
    <cellStyle name="Comma 2 3 2 2 6 6" xfId="12814"/>
    <cellStyle name="Comma 2 3 2 2 6 6 2" xfId="26442"/>
    <cellStyle name="Comma 2 3 2 2 6 7" xfId="16731"/>
    <cellStyle name="Comma 2 3 2 2 7" xfId="5487"/>
    <cellStyle name="Comma 2 3 2 2 7 2" xfId="8748"/>
    <cellStyle name="Comma 2 3 2 2 7 2 2" xfId="22391"/>
    <cellStyle name="Comma 2 3 2 2 7 3" xfId="11808"/>
    <cellStyle name="Comma 2 3 2 2 7 3 2" xfId="25439"/>
    <cellStyle name="Comma 2 3 2 2 7 4" xfId="15104"/>
    <cellStyle name="Comma 2 3 2 2 7 4 2" xfId="28732"/>
    <cellStyle name="Comma 2 3 2 2 7 5" xfId="19137"/>
    <cellStyle name="Comma 2 3 2 2 8" xfId="8938"/>
    <cellStyle name="Comma 2 3 2 2 8 2" xfId="22581"/>
    <cellStyle name="Comma 2 3 2 2 9" xfId="12050"/>
    <cellStyle name="Comma 2 3 2 2 9 2" xfId="25680"/>
    <cellStyle name="Comma 2 3 2 3" xfId="3108"/>
    <cellStyle name="Comma 2 3 2 3 2" xfId="4903"/>
    <cellStyle name="Comma 2 3 2 3 2 2" xfId="8169"/>
    <cellStyle name="Comma 2 3 2 3 2 2 2" xfId="21817"/>
    <cellStyle name="Comma 2 3 2 3 2 3" xfId="11236"/>
    <cellStyle name="Comma 2 3 2 3 2 3 2" xfId="24867"/>
    <cellStyle name="Comma 2 3 2 3 2 4" xfId="14532"/>
    <cellStyle name="Comma 2 3 2 3 2 4 2" xfId="28160"/>
    <cellStyle name="Comma 2 3 2 3 2 5" xfId="18561"/>
    <cellStyle name="Comma 2 3 2 3 3" xfId="6590"/>
    <cellStyle name="Comma 2 3 2 3 3 2" xfId="20240"/>
    <cellStyle name="Comma 2 3 2 3 4" xfId="9811"/>
    <cellStyle name="Comma 2 3 2 3 4 2" xfId="23442"/>
    <cellStyle name="Comma 2 3 2 3 5" xfId="13106"/>
    <cellStyle name="Comma 2 3 2 3 5 2" xfId="26734"/>
    <cellStyle name="Comma 2 3 2 3 6" xfId="17026"/>
    <cellStyle name="Comma 2 3 2 4" xfId="3826"/>
    <cellStyle name="Comma 2 3 2 4 2" xfId="7258"/>
    <cellStyle name="Comma 2 3 2 4 2 2" xfId="20906"/>
    <cellStyle name="Comma 2 3 2 4 3" xfId="10396"/>
    <cellStyle name="Comma 2 3 2 4 3 2" xfId="24027"/>
    <cellStyle name="Comma 2 3 2 4 4" xfId="13692"/>
    <cellStyle name="Comma 2 3 2 4 4 2" xfId="27320"/>
    <cellStyle name="Comma 2 3 2 4 5" xfId="17623"/>
    <cellStyle name="Comma 2 3 2 5" xfId="5666"/>
    <cellStyle name="Comma 2 3 2 5 2" xfId="19316"/>
    <cellStyle name="Comma 2 3 2 6" xfId="12269"/>
    <cellStyle name="Comma 2 3 2 6 2" xfId="25897"/>
    <cellStyle name="Comma 2 3 2 7" xfId="15897"/>
    <cellStyle name="Comma 2 3 20" xfId="11945"/>
    <cellStyle name="Comma 2 3 20 2" xfId="25576"/>
    <cellStyle name="Comma 2 3 21" xfId="12095"/>
    <cellStyle name="Comma 2 3 21 2" xfId="25723"/>
    <cellStyle name="Comma 2 3 22" xfId="12237"/>
    <cellStyle name="Comma 2 3 22 2" xfId="25865"/>
    <cellStyle name="Comma 2 3 23" xfId="15843"/>
    <cellStyle name="Comma 2 3 3" xfId="316"/>
    <cellStyle name="Comma 2 3 3 2" xfId="841"/>
    <cellStyle name="Comma 2 3 3 3" xfId="3128"/>
    <cellStyle name="Comma 2 3 3 3 2" xfId="4923"/>
    <cellStyle name="Comma 2 3 3 3 2 2" xfId="8189"/>
    <cellStyle name="Comma 2 3 3 3 2 2 2" xfId="21837"/>
    <cellStyle name="Comma 2 3 3 3 2 3" xfId="11256"/>
    <cellStyle name="Comma 2 3 3 3 2 3 2" xfId="24887"/>
    <cellStyle name="Comma 2 3 3 3 2 4" xfId="14552"/>
    <cellStyle name="Comma 2 3 3 3 2 4 2" xfId="28180"/>
    <cellStyle name="Comma 2 3 3 3 2 5" xfId="18581"/>
    <cellStyle name="Comma 2 3 3 3 3" xfId="6610"/>
    <cellStyle name="Comma 2 3 3 3 3 2" xfId="20260"/>
    <cellStyle name="Comma 2 3 3 3 4" xfId="9831"/>
    <cellStyle name="Comma 2 3 3 3 4 2" xfId="23462"/>
    <cellStyle name="Comma 2 3 3 3 5" xfId="13126"/>
    <cellStyle name="Comma 2 3 3 3 5 2" xfId="26754"/>
    <cellStyle name="Comma 2 3 3 3 6" xfId="17046"/>
    <cellStyle name="Comma 2 3 3 4" xfId="3804"/>
    <cellStyle name="Comma 2 3 3 4 2" xfId="7236"/>
    <cellStyle name="Comma 2 3 3 4 2 2" xfId="20884"/>
    <cellStyle name="Comma 2 3 3 4 3" xfId="10374"/>
    <cellStyle name="Comma 2 3 3 4 3 2" xfId="24005"/>
    <cellStyle name="Comma 2 3 3 4 4" xfId="13670"/>
    <cellStyle name="Comma 2 3 3 4 4 2" xfId="27298"/>
    <cellStyle name="Comma 2 3 3 4 5" xfId="17601"/>
    <cellStyle name="Comma 2 3 3 5" xfId="5644"/>
    <cellStyle name="Comma 2 3 3 5 2" xfId="19294"/>
    <cellStyle name="Comma 2 3 3 6" xfId="9120"/>
    <cellStyle name="Comma 2 3 3 6 2" xfId="22763"/>
    <cellStyle name="Comma 2 3 3 7" xfId="12247"/>
    <cellStyle name="Comma 2 3 3 7 2" xfId="25875"/>
    <cellStyle name="Comma 2 3 3 8" xfId="15875"/>
    <cellStyle name="Comma 2 3 4" xfId="472"/>
    <cellStyle name="Comma 2 3 4 10" xfId="5696"/>
    <cellStyle name="Comma 2 3 4 10 2" xfId="19346"/>
    <cellStyle name="Comma 2 3 4 11" xfId="8939"/>
    <cellStyle name="Comma 2 3 4 11 2" xfId="22582"/>
    <cellStyle name="Comma 2 3 4 12" xfId="12031"/>
    <cellStyle name="Comma 2 3 4 12 2" xfId="25662"/>
    <cellStyle name="Comma 2 3 4 13" xfId="12097"/>
    <cellStyle name="Comma 2 3 4 13 2" xfId="25725"/>
    <cellStyle name="Comma 2 3 4 14" xfId="12296"/>
    <cellStyle name="Comma 2 3 4 14 2" xfId="25924"/>
    <cellStyle name="Comma 2 3 4 15" xfId="15972"/>
    <cellStyle name="Comma 2 3 4 2" xfId="842"/>
    <cellStyle name="Comma 2 3 4 3" xfId="1796"/>
    <cellStyle name="Comma 2 3 4 3 2" xfId="3205"/>
    <cellStyle name="Comma 2 3 4 3 2 2" xfId="4953"/>
    <cellStyle name="Comma 2 3 4 3 2 2 2" xfId="8218"/>
    <cellStyle name="Comma 2 3 4 3 2 2 2 2" xfId="21866"/>
    <cellStyle name="Comma 2 3 4 3 2 2 3" xfId="11285"/>
    <cellStyle name="Comma 2 3 4 3 2 2 3 2" xfId="24916"/>
    <cellStyle name="Comma 2 3 4 3 2 2 4" xfId="14581"/>
    <cellStyle name="Comma 2 3 4 3 2 2 4 2" xfId="28209"/>
    <cellStyle name="Comma 2 3 4 3 2 2 5" xfId="18611"/>
    <cellStyle name="Comma 2 3 4 3 2 3" xfId="6640"/>
    <cellStyle name="Comma 2 3 4 3 2 3 2" xfId="20290"/>
    <cellStyle name="Comma 2 3 4 3 2 4" xfId="9861"/>
    <cellStyle name="Comma 2 3 4 3 2 4 2" xfId="23492"/>
    <cellStyle name="Comma 2 3 4 3 2 5" xfId="13156"/>
    <cellStyle name="Comma 2 3 4 3 2 5 2" xfId="26784"/>
    <cellStyle name="Comma 2 3 4 3 2 6" xfId="17086"/>
    <cellStyle name="Comma 2 3 4 3 3" xfId="4008"/>
    <cellStyle name="Comma 2 3 4 3 3 2" xfId="7438"/>
    <cellStyle name="Comma 2 3 4 3 3 2 2" xfId="21086"/>
    <cellStyle name="Comma 2 3 4 3 3 3" xfId="10576"/>
    <cellStyle name="Comma 2 3 4 3 3 3 2" xfId="24207"/>
    <cellStyle name="Comma 2 3 4 3 3 4" xfId="13872"/>
    <cellStyle name="Comma 2 3 4 3 3 4 2" xfId="27500"/>
    <cellStyle name="Comma 2 3 4 3 3 5" xfId="17803"/>
    <cellStyle name="Comma 2 3 4 3 4" xfId="5844"/>
    <cellStyle name="Comma 2 3 4 3 4 2" xfId="19494"/>
    <cellStyle name="Comma 2 3 4 3 5" xfId="9141"/>
    <cellStyle name="Comma 2 3 4 3 5 2" xfId="22783"/>
    <cellStyle name="Comma 2 3 4 3 6" xfId="12444"/>
    <cellStyle name="Comma 2 3 4 3 6 2" xfId="26072"/>
    <cellStyle name="Comma 2 3 4 3 7" xfId="16226"/>
    <cellStyle name="Comma 2 3 4 4" xfId="2222"/>
    <cellStyle name="Comma 2 3 4 4 2" xfId="3335"/>
    <cellStyle name="Comma 2 3 4 4 2 2" xfId="5081"/>
    <cellStyle name="Comma 2 3 4 4 2 2 2" xfId="8345"/>
    <cellStyle name="Comma 2 3 4 4 2 2 2 2" xfId="21993"/>
    <cellStyle name="Comma 2 3 4 4 2 2 3" xfId="11412"/>
    <cellStyle name="Comma 2 3 4 4 2 2 3 2" xfId="25043"/>
    <cellStyle name="Comma 2 3 4 4 2 2 4" xfId="14708"/>
    <cellStyle name="Comma 2 3 4 4 2 2 4 2" xfId="28336"/>
    <cellStyle name="Comma 2 3 4 4 2 2 5" xfId="18739"/>
    <cellStyle name="Comma 2 3 4 4 2 3" xfId="6769"/>
    <cellStyle name="Comma 2 3 4 4 2 3 2" xfId="20419"/>
    <cellStyle name="Comma 2 3 4 4 2 4" xfId="9989"/>
    <cellStyle name="Comma 2 3 4 4 2 4 2" xfId="23620"/>
    <cellStyle name="Comma 2 3 4 4 2 5" xfId="13284"/>
    <cellStyle name="Comma 2 3 4 4 2 5 2" xfId="26912"/>
    <cellStyle name="Comma 2 3 4 4 2 6" xfId="17214"/>
    <cellStyle name="Comma 2 3 4 4 3" xfId="4135"/>
    <cellStyle name="Comma 2 3 4 4 3 2" xfId="7565"/>
    <cellStyle name="Comma 2 3 4 4 3 2 2" xfId="21213"/>
    <cellStyle name="Comma 2 3 4 4 3 3" xfId="10703"/>
    <cellStyle name="Comma 2 3 4 4 3 3 2" xfId="24334"/>
    <cellStyle name="Comma 2 3 4 4 3 4" xfId="13999"/>
    <cellStyle name="Comma 2 3 4 4 3 4 2" xfId="27627"/>
    <cellStyle name="Comma 2 3 4 4 3 5" xfId="17930"/>
    <cellStyle name="Comma 2 3 4 4 4" xfId="5971"/>
    <cellStyle name="Comma 2 3 4 4 4 2" xfId="19621"/>
    <cellStyle name="Comma 2 3 4 4 5" xfId="9257"/>
    <cellStyle name="Comma 2 3 4 4 5 2" xfId="22899"/>
    <cellStyle name="Comma 2 3 4 4 6" xfId="12571"/>
    <cellStyle name="Comma 2 3 4 4 6 2" xfId="26199"/>
    <cellStyle name="Comma 2 3 4 4 7" xfId="16416"/>
    <cellStyle name="Comma 2 3 4 5" xfId="2325"/>
    <cellStyle name="Comma 2 3 4 5 2" xfId="3431"/>
    <cellStyle name="Comma 2 3 4 5 2 2" xfId="5167"/>
    <cellStyle name="Comma 2 3 4 5 2 2 2" xfId="8431"/>
    <cellStyle name="Comma 2 3 4 5 2 2 2 2" xfId="22079"/>
    <cellStyle name="Comma 2 3 4 5 2 2 3" xfId="11498"/>
    <cellStyle name="Comma 2 3 4 5 2 2 3 2" xfId="25129"/>
    <cellStyle name="Comma 2 3 4 5 2 2 4" xfId="14794"/>
    <cellStyle name="Comma 2 3 4 5 2 2 4 2" xfId="28422"/>
    <cellStyle name="Comma 2 3 4 5 2 2 5" xfId="18825"/>
    <cellStyle name="Comma 2 3 4 5 2 3" xfId="6865"/>
    <cellStyle name="Comma 2 3 4 5 2 3 2" xfId="20515"/>
    <cellStyle name="Comma 2 3 4 5 2 4" xfId="10075"/>
    <cellStyle name="Comma 2 3 4 5 2 4 2" xfId="23706"/>
    <cellStyle name="Comma 2 3 4 5 2 5" xfId="13370"/>
    <cellStyle name="Comma 2 3 4 5 2 5 2" xfId="26998"/>
    <cellStyle name="Comma 2 3 4 5 2 6" xfId="17300"/>
    <cellStyle name="Comma 2 3 4 5 3" xfId="4221"/>
    <cellStyle name="Comma 2 3 4 5 3 2" xfId="7651"/>
    <cellStyle name="Comma 2 3 4 5 3 2 2" xfId="21299"/>
    <cellStyle name="Comma 2 3 4 5 3 3" xfId="10789"/>
    <cellStyle name="Comma 2 3 4 5 3 3 2" xfId="24420"/>
    <cellStyle name="Comma 2 3 4 5 3 4" xfId="14085"/>
    <cellStyle name="Comma 2 3 4 5 3 4 2" xfId="27713"/>
    <cellStyle name="Comma 2 3 4 5 3 5" xfId="18016"/>
    <cellStyle name="Comma 2 3 4 5 4" xfId="6057"/>
    <cellStyle name="Comma 2 3 4 5 4 2" xfId="19707"/>
    <cellStyle name="Comma 2 3 4 5 5" xfId="9343"/>
    <cellStyle name="Comma 2 3 4 5 5 2" xfId="22985"/>
    <cellStyle name="Comma 2 3 4 5 6" xfId="12657"/>
    <cellStyle name="Comma 2 3 4 5 6 2" xfId="26285"/>
    <cellStyle name="Comma 2 3 4 5 7" xfId="16503"/>
    <cellStyle name="Comma 2 3 4 6" xfId="2705"/>
    <cellStyle name="Comma 2 3 4 6 2" xfId="3659"/>
    <cellStyle name="Comma 2 3 4 6 2 2" xfId="5326"/>
    <cellStyle name="Comma 2 3 4 6 2 2 2" xfId="8589"/>
    <cellStyle name="Comma 2 3 4 6 2 2 2 2" xfId="22237"/>
    <cellStyle name="Comma 2 3 4 6 2 2 3" xfId="11656"/>
    <cellStyle name="Comma 2 3 4 6 2 2 3 2" xfId="25287"/>
    <cellStyle name="Comma 2 3 4 6 2 2 4" xfId="14952"/>
    <cellStyle name="Comma 2 3 4 6 2 2 4 2" xfId="28580"/>
    <cellStyle name="Comma 2 3 4 6 2 2 5" xfId="18984"/>
    <cellStyle name="Comma 2 3 4 6 2 3" xfId="7093"/>
    <cellStyle name="Comma 2 3 4 6 2 3 2" xfId="20743"/>
    <cellStyle name="Comma 2 3 4 6 2 4" xfId="10234"/>
    <cellStyle name="Comma 2 3 4 6 2 4 2" xfId="23865"/>
    <cellStyle name="Comma 2 3 4 6 2 5" xfId="13529"/>
    <cellStyle name="Comma 2 3 4 6 2 5 2" xfId="27157"/>
    <cellStyle name="Comma 2 3 4 6 2 6" xfId="17460"/>
    <cellStyle name="Comma 2 3 4 6 3" xfId="4448"/>
    <cellStyle name="Comma 2 3 4 6 3 2" xfId="7878"/>
    <cellStyle name="Comma 2 3 4 6 3 2 2" xfId="21526"/>
    <cellStyle name="Comma 2 3 4 6 3 3" xfId="10947"/>
    <cellStyle name="Comma 2 3 4 6 3 3 2" xfId="24578"/>
    <cellStyle name="Comma 2 3 4 6 3 4" xfId="14243"/>
    <cellStyle name="Comma 2 3 4 6 3 4 2" xfId="27871"/>
    <cellStyle name="Comma 2 3 4 6 3 5" xfId="18243"/>
    <cellStyle name="Comma 2 3 4 6 4" xfId="6299"/>
    <cellStyle name="Comma 2 3 4 6 4 2" xfId="19949"/>
    <cellStyle name="Comma 2 3 4 6 5" xfId="9501"/>
    <cellStyle name="Comma 2 3 4 6 5 2" xfId="23143"/>
    <cellStyle name="Comma 2 3 4 6 6" xfId="12815"/>
    <cellStyle name="Comma 2 3 4 6 6 2" xfId="26443"/>
    <cellStyle name="Comma 2 3 4 6 7" xfId="16732"/>
    <cellStyle name="Comma 2 3 4 7" xfId="3074"/>
    <cellStyle name="Comma 2 3 4 7 2" xfId="4875"/>
    <cellStyle name="Comma 2 3 4 7 2 2" xfId="8141"/>
    <cellStyle name="Comma 2 3 4 7 2 2 2" xfId="21789"/>
    <cellStyle name="Comma 2 3 4 7 2 3" xfId="11210"/>
    <cellStyle name="Comma 2 3 4 7 2 3 2" xfId="24841"/>
    <cellStyle name="Comma 2 3 4 7 2 4" xfId="14506"/>
    <cellStyle name="Comma 2 3 4 7 2 4 2" xfId="28134"/>
    <cellStyle name="Comma 2 3 4 7 2 5" xfId="18533"/>
    <cellStyle name="Comma 2 3 4 7 3" xfId="6564"/>
    <cellStyle name="Comma 2 3 4 7 3 2" xfId="20214"/>
    <cellStyle name="Comma 2 3 4 7 4" xfId="9785"/>
    <cellStyle name="Comma 2 3 4 7 4 2" xfId="23416"/>
    <cellStyle name="Comma 2 3 4 7 5" xfId="13080"/>
    <cellStyle name="Comma 2 3 4 7 5 2" xfId="26708"/>
    <cellStyle name="Comma 2 3 4 7 6" xfId="16998"/>
    <cellStyle name="Comma 2 3 4 8" xfId="3855"/>
    <cellStyle name="Comma 2 3 4 8 2" xfId="7285"/>
    <cellStyle name="Comma 2 3 4 8 2 2" xfId="20933"/>
    <cellStyle name="Comma 2 3 4 8 3" xfId="10423"/>
    <cellStyle name="Comma 2 3 4 8 3 2" xfId="24054"/>
    <cellStyle name="Comma 2 3 4 8 4" xfId="13719"/>
    <cellStyle name="Comma 2 3 4 8 4 2" xfId="27347"/>
    <cellStyle name="Comma 2 3 4 8 5" xfId="17650"/>
    <cellStyle name="Comma 2 3 4 9" xfId="5488"/>
    <cellStyle name="Comma 2 3 4 9 2" xfId="8749"/>
    <cellStyle name="Comma 2 3 4 9 2 2" xfId="22392"/>
    <cellStyle name="Comma 2 3 4 9 3" xfId="11809"/>
    <cellStyle name="Comma 2 3 4 9 3 2" xfId="25440"/>
    <cellStyle name="Comma 2 3 4 9 4" xfId="15105"/>
    <cellStyle name="Comma 2 3 4 9 4 2" xfId="28733"/>
    <cellStyle name="Comma 2 3 4 9 5" xfId="19138"/>
    <cellStyle name="Comma 2 3 5" xfId="843"/>
    <cellStyle name="Comma 2 3 5 2" xfId="1798"/>
    <cellStyle name="Comma 2 3 5 3" xfId="1797"/>
    <cellStyle name="Comma 2 3 6" xfId="844"/>
    <cellStyle name="Comma 2 3 6 2" xfId="2870"/>
    <cellStyle name="Comma 2 3 7" xfId="845"/>
    <cellStyle name="Comma 2 3 7 2" xfId="2871"/>
    <cellStyle name="Comma 2 3 8" xfId="846"/>
    <cellStyle name="Comma 2 3 8 2" xfId="2872"/>
    <cellStyle name="Comma 2 3 9" xfId="847"/>
    <cellStyle name="Comma 2 3 9 2" xfId="2873"/>
    <cellStyle name="Comma 2 4" xfId="411"/>
    <cellStyle name="Comma 2 4 10" xfId="15915"/>
    <cellStyle name="Comma 2 4 2" xfId="849"/>
    <cellStyle name="Comma 2 4 3" xfId="848"/>
    <cellStyle name="Comma 2 4 4" xfId="1799"/>
    <cellStyle name="Comma 2 4 5" xfId="3091"/>
    <cellStyle name="Comma 2 4 5 2" xfId="4891"/>
    <cellStyle name="Comma 2 4 5 2 2" xfId="8157"/>
    <cellStyle name="Comma 2 4 5 2 2 2" xfId="21805"/>
    <cellStyle name="Comma 2 4 5 2 3" xfId="11226"/>
    <cellStyle name="Comma 2 4 5 2 3 2" xfId="24857"/>
    <cellStyle name="Comma 2 4 5 2 4" xfId="14522"/>
    <cellStyle name="Comma 2 4 5 2 4 2" xfId="28150"/>
    <cellStyle name="Comma 2 4 5 2 5" xfId="18549"/>
    <cellStyle name="Comma 2 4 5 3" xfId="6580"/>
    <cellStyle name="Comma 2 4 5 3 2" xfId="20230"/>
    <cellStyle name="Comma 2 4 5 4" xfId="9801"/>
    <cellStyle name="Comma 2 4 5 4 2" xfId="23432"/>
    <cellStyle name="Comma 2 4 5 5" xfId="13096"/>
    <cellStyle name="Comma 2 4 5 5 2" xfId="26724"/>
    <cellStyle name="Comma 2 4 5 6" xfId="17014"/>
    <cellStyle name="Comma 2 4 6" xfId="3836"/>
    <cellStyle name="Comma 2 4 6 2" xfId="7268"/>
    <cellStyle name="Comma 2 4 6 2 2" xfId="20916"/>
    <cellStyle name="Comma 2 4 6 3" xfId="10406"/>
    <cellStyle name="Comma 2 4 6 3 2" xfId="24037"/>
    <cellStyle name="Comma 2 4 6 4" xfId="13702"/>
    <cellStyle name="Comma 2 4 6 4 2" xfId="27330"/>
    <cellStyle name="Comma 2 4 6 5" xfId="17633"/>
    <cellStyle name="Comma 2 4 7" xfId="5679"/>
    <cellStyle name="Comma 2 4 7 2" xfId="19329"/>
    <cellStyle name="Comma 2 4 8" xfId="9095"/>
    <cellStyle name="Comma 2 4 8 2" xfId="22738"/>
    <cellStyle name="Comma 2 4 9" xfId="12279"/>
    <cellStyle name="Comma 2 4 9 2" xfId="25907"/>
    <cellStyle name="Comma 2 5" xfId="850"/>
    <cellStyle name="Comma 2 5 2" xfId="851"/>
    <cellStyle name="Comma 2 5 3" xfId="852"/>
    <cellStyle name="Comma 2 6" xfId="853"/>
    <cellStyle name="Comma 2 6 2" xfId="854"/>
    <cellStyle name="Comma 2 6 3" xfId="855"/>
    <cellStyle name="Comma 2 6 4" xfId="856"/>
    <cellStyle name="Comma 2 6 4 2" xfId="857"/>
    <cellStyle name="Comma 2 6 5" xfId="2874"/>
    <cellStyle name="Comma 2 6 5 2" xfId="29631"/>
    <cellStyle name="Comma 2 7" xfId="858"/>
    <cellStyle name="Comma 2 7 2" xfId="9625"/>
    <cellStyle name="Comma 2 7 2 2" xfId="23259"/>
    <cellStyle name="Comma 2 8" xfId="9124"/>
    <cellStyle name="Comma 2 8 2" xfId="9615"/>
    <cellStyle name="Comma 2 9" xfId="9622"/>
    <cellStyle name="Comma 2 9 2" xfId="23257"/>
    <cellStyle name="Comma 20" xfId="859"/>
    <cellStyle name="Comma 20 2" xfId="2875"/>
    <cellStyle name="Comma 20 2 2" xfId="9614"/>
    <cellStyle name="Comma 21" xfId="860"/>
    <cellStyle name="Comma 21 2" xfId="2876"/>
    <cellStyle name="Comma 21 2 2" xfId="15273"/>
    <cellStyle name="Comma 21 3" xfId="15274"/>
    <cellStyle name="Comma 21 4" xfId="15272"/>
    <cellStyle name="Comma 22" xfId="861"/>
    <cellStyle name="Comma 22 2" xfId="2877"/>
    <cellStyle name="Comma 22 2 2" xfId="15275"/>
    <cellStyle name="Comma 22 2 2 2" xfId="15469"/>
    <cellStyle name="Comma 22 2 3" xfId="15470"/>
    <cellStyle name="Comma 22 2 4" xfId="15471"/>
    <cellStyle name="Comma 22 3" xfId="15276"/>
    <cellStyle name="Comma 23" xfId="862"/>
    <cellStyle name="Comma 23 2" xfId="2878"/>
    <cellStyle name="Comma 24" xfId="863"/>
    <cellStyle name="Comma 24 10" xfId="12098"/>
    <cellStyle name="Comma 24 10 2" xfId="25726"/>
    <cellStyle name="Comma 24 11" xfId="15277"/>
    <cellStyle name="Comma 24 2" xfId="1801"/>
    <cellStyle name="Comma 24 3" xfId="1800"/>
    <cellStyle name="Comma 24 3 2" xfId="3206"/>
    <cellStyle name="Comma 24 3 2 2" xfId="4954"/>
    <cellStyle name="Comma 24 3 2 2 2" xfId="8219"/>
    <cellStyle name="Comma 24 3 2 2 2 2" xfId="21867"/>
    <cellStyle name="Comma 24 3 2 2 3" xfId="11286"/>
    <cellStyle name="Comma 24 3 2 2 3 2" xfId="24917"/>
    <cellStyle name="Comma 24 3 2 2 4" xfId="14582"/>
    <cellStyle name="Comma 24 3 2 2 4 2" xfId="28210"/>
    <cellStyle name="Comma 24 3 2 2 5" xfId="18612"/>
    <cellStyle name="Comma 24 3 2 3" xfId="6641"/>
    <cellStyle name="Comma 24 3 2 3 2" xfId="20291"/>
    <cellStyle name="Comma 24 3 2 4" xfId="9862"/>
    <cellStyle name="Comma 24 3 2 4 2" xfId="23493"/>
    <cellStyle name="Comma 24 3 2 5" xfId="13157"/>
    <cellStyle name="Comma 24 3 2 5 2" xfId="26785"/>
    <cellStyle name="Comma 24 3 2 6" xfId="17087"/>
    <cellStyle name="Comma 24 3 3" xfId="4009"/>
    <cellStyle name="Comma 24 3 3 2" xfId="7439"/>
    <cellStyle name="Comma 24 3 3 2 2" xfId="21087"/>
    <cellStyle name="Comma 24 3 3 3" xfId="10577"/>
    <cellStyle name="Comma 24 3 3 3 2" xfId="24208"/>
    <cellStyle name="Comma 24 3 3 4" xfId="13873"/>
    <cellStyle name="Comma 24 3 3 4 2" xfId="27501"/>
    <cellStyle name="Comma 24 3 3 5" xfId="17804"/>
    <cellStyle name="Comma 24 3 4" xfId="5845"/>
    <cellStyle name="Comma 24 3 4 2" xfId="19495"/>
    <cellStyle name="Comma 24 3 5" xfId="9142"/>
    <cellStyle name="Comma 24 3 5 2" xfId="22784"/>
    <cellStyle name="Comma 24 3 6" xfId="12445"/>
    <cellStyle name="Comma 24 3 6 2" xfId="26073"/>
    <cellStyle name="Comma 24 3 7" xfId="15472"/>
    <cellStyle name="Comma 24 3 8" xfId="16227"/>
    <cellStyle name="Comma 24 4" xfId="2228"/>
    <cellStyle name="Comma 24 4 2" xfId="3341"/>
    <cellStyle name="Comma 24 4 2 2" xfId="5087"/>
    <cellStyle name="Comma 24 4 2 2 2" xfId="8351"/>
    <cellStyle name="Comma 24 4 2 2 2 2" xfId="21999"/>
    <cellStyle name="Comma 24 4 2 2 3" xfId="11418"/>
    <cellStyle name="Comma 24 4 2 2 3 2" xfId="25049"/>
    <cellStyle name="Comma 24 4 2 2 4" xfId="14714"/>
    <cellStyle name="Comma 24 4 2 2 4 2" xfId="28342"/>
    <cellStyle name="Comma 24 4 2 2 5" xfId="18745"/>
    <cellStyle name="Comma 24 4 2 3" xfId="6775"/>
    <cellStyle name="Comma 24 4 2 3 2" xfId="20425"/>
    <cellStyle name="Comma 24 4 2 4" xfId="9995"/>
    <cellStyle name="Comma 24 4 2 4 2" xfId="23626"/>
    <cellStyle name="Comma 24 4 2 5" xfId="13290"/>
    <cellStyle name="Comma 24 4 2 5 2" xfId="26918"/>
    <cellStyle name="Comma 24 4 2 6" xfId="17220"/>
    <cellStyle name="Comma 24 4 3" xfId="4141"/>
    <cellStyle name="Comma 24 4 3 2" xfId="7571"/>
    <cellStyle name="Comma 24 4 3 2 2" xfId="21219"/>
    <cellStyle name="Comma 24 4 3 3" xfId="10709"/>
    <cellStyle name="Comma 24 4 3 3 2" xfId="24340"/>
    <cellStyle name="Comma 24 4 3 4" xfId="14005"/>
    <cellStyle name="Comma 24 4 3 4 2" xfId="27633"/>
    <cellStyle name="Comma 24 4 3 5" xfId="17936"/>
    <cellStyle name="Comma 24 4 4" xfId="5977"/>
    <cellStyle name="Comma 24 4 4 2" xfId="19627"/>
    <cellStyle name="Comma 24 4 5" xfId="9263"/>
    <cellStyle name="Comma 24 4 5 2" xfId="22905"/>
    <cellStyle name="Comma 24 4 6" xfId="12577"/>
    <cellStyle name="Comma 24 4 6 2" xfId="26205"/>
    <cellStyle name="Comma 24 4 7" xfId="16422"/>
    <cellStyle name="Comma 24 5" xfId="2326"/>
    <cellStyle name="Comma 24 5 2" xfId="3432"/>
    <cellStyle name="Comma 24 5 2 2" xfId="5168"/>
    <cellStyle name="Comma 24 5 2 2 2" xfId="8432"/>
    <cellStyle name="Comma 24 5 2 2 2 2" xfId="22080"/>
    <cellStyle name="Comma 24 5 2 2 3" xfId="11499"/>
    <cellStyle name="Comma 24 5 2 2 3 2" xfId="25130"/>
    <cellStyle name="Comma 24 5 2 2 4" xfId="14795"/>
    <cellStyle name="Comma 24 5 2 2 4 2" xfId="28423"/>
    <cellStyle name="Comma 24 5 2 2 5" xfId="18826"/>
    <cellStyle name="Comma 24 5 2 3" xfId="6866"/>
    <cellStyle name="Comma 24 5 2 3 2" xfId="20516"/>
    <cellStyle name="Comma 24 5 2 4" xfId="10076"/>
    <cellStyle name="Comma 24 5 2 4 2" xfId="23707"/>
    <cellStyle name="Comma 24 5 2 5" xfId="13371"/>
    <cellStyle name="Comma 24 5 2 5 2" xfId="26999"/>
    <cellStyle name="Comma 24 5 2 6" xfId="17301"/>
    <cellStyle name="Comma 24 5 3" xfId="4222"/>
    <cellStyle name="Comma 24 5 3 2" xfId="7652"/>
    <cellStyle name="Comma 24 5 3 2 2" xfId="21300"/>
    <cellStyle name="Comma 24 5 3 3" xfId="10790"/>
    <cellStyle name="Comma 24 5 3 3 2" xfId="24421"/>
    <cellStyle name="Comma 24 5 3 4" xfId="14086"/>
    <cellStyle name="Comma 24 5 3 4 2" xfId="27714"/>
    <cellStyle name="Comma 24 5 3 5" xfId="18017"/>
    <cellStyle name="Comma 24 5 4" xfId="6058"/>
    <cellStyle name="Comma 24 5 4 2" xfId="19708"/>
    <cellStyle name="Comma 24 5 5" xfId="9344"/>
    <cellStyle name="Comma 24 5 5 2" xfId="22986"/>
    <cellStyle name="Comma 24 5 6" xfId="12658"/>
    <cellStyle name="Comma 24 5 6 2" xfId="26286"/>
    <cellStyle name="Comma 24 5 7" xfId="16504"/>
    <cellStyle name="Comma 24 6" xfId="2706"/>
    <cellStyle name="Comma 24 6 2" xfId="3660"/>
    <cellStyle name="Comma 24 6 2 2" xfId="5327"/>
    <cellStyle name="Comma 24 6 2 2 2" xfId="8590"/>
    <cellStyle name="Comma 24 6 2 2 2 2" xfId="22238"/>
    <cellStyle name="Comma 24 6 2 2 3" xfId="11657"/>
    <cellStyle name="Comma 24 6 2 2 3 2" xfId="25288"/>
    <cellStyle name="Comma 24 6 2 2 4" xfId="14953"/>
    <cellStyle name="Comma 24 6 2 2 4 2" xfId="28581"/>
    <cellStyle name="Comma 24 6 2 2 5" xfId="18985"/>
    <cellStyle name="Comma 24 6 2 3" xfId="7094"/>
    <cellStyle name="Comma 24 6 2 3 2" xfId="20744"/>
    <cellStyle name="Comma 24 6 2 4" xfId="10235"/>
    <cellStyle name="Comma 24 6 2 4 2" xfId="23866"/>
    <cellStyle name="Comma 24 6 2 5" xfId="13530"/>
    <cellStyle name="Comma 24 6 2 5 2" xfId="27158"/>
    <cellStyle name="Comma 24 6 2 6" xfId="17461"/>
    <cellStyle name="Comma 24 6 3" xfId="4449"/>
    <cellStyle name="Comma 24 6 3 2" xfId="7879"/>
    <cellStyle name="Comma 24 6 3 2 2" xfId="21527"/>
    <cellStyle name="Comma 24 6 3 3" xfId="10948"/>
    <cellStyle name="Comma 24 6 3 3 2" xfId="24579"/>
    <cellStyle name="Comma 24 6 3 4" xfId="14244"/>
    <cellStyle name="Comma 24 6 3 4 2" xfId="27872"/>
    <cellStyle name="Comma 24 6 3 5" xfId="18244"/>
    <cellStyle name="Comma 24 6 4" xfId="6300"/>
    <cellStyle name="Comma 24 6 4 2" xfId="19950"/>
    <cellStyle name="Comma 24 6 5" xfId="9502"/>
    <cellStyle name="Comma 24 6 5 2" xfId="23144"/>
    <cellStyle name="Comma 24 6 6" xfId="12816"/>
    <cellStyle name="Comma 24 6 6 2" xfId="26444"/>
    <cellStyle name="Comma 24 6 7" xfId="16733"/>
    <cellStyle name="Comma 24 7" xfId="5489"/>
    <cellStyle name="Comma 24 7 2" xfId="8750"/>
    <cellStyle name="Comma 24 7 2 2" xfId="22393"/>
    <cellStyle name="Comma 24 7 3" xfId="11810"/>
    <cellStyle name="Comma 24 7 3 2" xfId="25441"/>
    <cellStyle name="Comma 24 7 4" xfId="15106"/>
    <cellStyle name="Comma 24 7 4 2" xfId="28734"/>
    <cellStyle name="Comma 24 7 5" xfId="19139"/>
    <cellStyle name="Comma 24 8" xfId="8940"/>
    <cellStyle name="Comma 24 8 2" xfId="22583"/>
    <cellStyle name="Comma 24 9" xfId="12037"/>
    <cellStyle name="Comma 24 9 2" xfId="25668"/>
    <cellStyle name="Comma 25" xfId="864"/>
    <cellStyle name="Comma 25 2" xfId="1803"/>
    <cellStyle name="Comma 25 2 2" xfId="15473"/>
    <cellStyle name="Comma 25 3" xfId="1802"/>
    <cellStyle name="Comma 25 3 2" xfId="15474"/>
    <cellStyle name="Comma 25 4" xfId="15278"/>
    <cellStyle name="Comma 26" xfId="865"/>
    <cellStyle name="Comma 26 2" xfId="1805"/>
    <cellStyle name="Comma 26 3" xfId="1806"/>
    <cellStyle name="Comma 26 4" xfId="1804"/>
    <cellStyle name="Comma 27" xfId="866"/>
    <cellStyle name="Comma 27 2" xfId="2879"/>
    <cellStyle name="Comma 28" xfId="867"/>
    <cellStyle name="Comma 28 2" xfId="2880"/>
    <cellStyle name="Comma 29" xfId="868"/>
    <cellStyle name="Comma 29 2" xfId="2881"/>
    <cellStyle name="Comma 3" xfId="4"/>
    <cellStyle name="Comma 3 10" xfId="869"/>
    <cellStyle name="Comma 3 10 2" xfId="2882"/>
    <cellStyle name="Comma 3 11" xfId="870"/>
    <cellStyle name="Comma 3 11 2" xfId="2883"/>
    <cellStyle name="Comma 3 12" xfId="1807"/>
    <cellStyle name="Comma 3 12 2" xfId="3207"/>
    <cellStyle name="Comma 3 12 2 2" xfId="4955"/>
    <cellStyle name="Comma 3 12 2 2 2" xfId="8220"/>
    <cellStyle name="Comma 3 12 2 2 2 2" xfId="21868"/>
    <cellStyle name="Comma 3 12 2 2 3" xfId="11287"/>
    <cellStyle name="Comma 3 12 2 2 3 2" xfId="24918"/>
    <cellStyle name="Comma 3 12 2 2 4" xfId="14583"/>
    <cellStyle name="Comma 3 12 2 2 4 2" xfId="28211"/>
    <cellStyle name="Comma 3 12 2 2 5" xfId="18613"/>
    <cellStyle name="Comma 3 12 2 3" xfId="6642"/>
    <cellStyle name="Comma 3 12 2 3 2" xfId="20292"/>
    <cellStyle name="Comma 3 12 2 4" xfId="9863"/>
    <cellStyle name="Comma 3 12 2 4 2" xfId="23494"/>
    <cellStyle name="Comma 3 12 2 5" xfId="13158"/>
    <cellStyle name="Comma 3 12 2 5 2" xfId="26786"/>
    <cellStyle name="Comma 3 12 2 6" xfId="17088"/>
    <cellStyle name="Comma 3 12 3" xfId="4010"/>
    <cellStyle name="Comma 3 12 3 2" xfId="7440"/>
    <cellStyle name="Comma 3 12 3 2 2" xfId="21088"/>
    <cellStyle name="Comma 3 12 3 3" xfId="10578"/>
    <cellStyle name="Comma 3 12 3 3 2" xfId="24209"/>
    <cellStyle name="Comma 3 12 3 4" xfId="13874"/>
    <cellStyle name="Comma 3 12 3 4 2" xfId="27502"/>
    <cellStyle name="Comma 3 12 3 5" xfId="17805"/>
    <cellStyle name="Comma 3 12 4" xfId="5846"/>
    <cellStyle name="Comma 3 12 4 2" xfId="19496"/>
    <cellStyle name="Comma 3 12 5" xfId="9143"/>
    <cellStyle name="Comma 3 12 5 2" xfId="22785"/>
    <cellStyle name="Comma 3 12 6" xfId="12446"/>
    <cellStyle name="Comma 3 12 6 2" xfId="26074"/>
    <cellStyle name="Comma 3 12 7" xfId="16228"/>
    <cellStyle name="Comma 3 13" xfId="2130"/>
    <cellStyle name="Comma 3 13 2" xfId="3243"/>
    <cellStyle name="Comma 3 13 2 2" xfId="4990"/>
    <cellStyle name="Comma 3 13 2 2 2" xfId="8254"/>
    <cellStyle name="Comma 3 13 2 2 2 2" xfId="21902"/>
    <cellStyle name="Comma 3 13 2 2 3" xfId="11321"/>
    <cellStyle name="Comma 3 13 2 2 3 2" xfId="24952"/>
    <cellStyle name="Comma 3 13 2 2 4" xfId="14617"/>
    <cellStyle name="Comma 3 13 2 2 4 2" xfId="28245"/>
    <cellStyle name="Comma 3 13 2 2 5" xfId="18648"/>
    <cellStyle name="Comma 3 13 2 3" xfId="6677"/>
    <cellStyle name="Comma 3 13 2 3 2" xfId="20327"/>
    <cellStyle name="Comma 3 13 2 4" xfId="9898"/>
    <cellStyle name="Comma 3 13 2 4 2" xfId="23529"/>
    <cellStyle name="Comma 3 13 2 5" xfId="13193"/>
    <cellStyle name="Comma 3 13 2 5 2" xfId="26821"/>
    <cellStyle name="Comma 3 13 2 6" xfId="17123"/>
    <cellStyle name="Comma 3 13 3" xfId="4044"/>
    <cellStyle name="Comma 3 13 3 2" xfId="7474"/>
    <cellStyle name="Comma 3 13 3 2 2" xfId="21122"/>
    <cellStyle name="Comma 3 13 3 3" xfId="10612"/>
    <cellStyle name="Comma 3 13 3 3 2" xfId="24243"/>
    <cellStyle name="Comma 3 13 3 4" xfId="13908"/>
    <cellStyle name="Comma 3 13 3 4 2" xfId="27536"/>
    <cellStyle name="Comma 3 13 3 5" xfId="17839"/>
    <cellStyle name="Comma 3 13 4" xfId="5880"/>
    <cellStyle name="Comma 3 13 4 2" xfId="19530"/>
    <cellStyle name="Comma 3 13 5" xfId="9166"/>
    <cellStyle name="Comma 3 13 5 2" xfId="22808"/>
    <cellStyle name="Comma 3 13 6" xfId="12480"/>
    <cellStyle name="Comma 3 13 6 2" xfId="26108"/>
    <cellStyle name="Comma 3 13 7" xfId="16325"/>
    <cellStyle name="Comma 3 14" xfId="2327"/>
    <cellStyle name="Comma 3 14 2" xfId="3433"/>
    <cellStyle name="Comma 3 14 2 2" xfId="5169"/>
    <cellStyle name="Comma 3 14 2 2 2" xfId="8433"/>
    <cellStyle name="Comma 3 14 2 2 2 2" xfId="22081"/>
    <cellStyle name="Comma 3 14 2 2 3" xfId="11500"/>
    <cellStyle name="Comma 3 14 2 2 3 2" xfId="25131"/>
    <cellStyle name="Comma 3 14 2 2 4" xfId="14796"/>
    <cellStyle name="Comma 3 14 2 2 4 2" xfId="28424"/>
    <cellStyle name="Comma 3 14 2 2 5" xfId="18827"/>
    <cellStyle name="Comma 3 14 2 3" xfId="6867"/>
    <cellStyle name="Comma 3 14 2 3 2" xfId="20517"/>
    <cellStyle name="Comma 3 14 2 4" xfId="10077"/>
    <cellStyle name="Comma 3 14 2 4 2" xfId="23708"/>
    <cellStyle name="Comma 3 14 2 5" xfId="13372"/>
    <cellStyle name="Comma 3 14 2 5 2" xfId="27000"/>
    <cellStyle name="Comma 3 14 2 6" xfId="17302"/>
    <cellStyle name="Comma 3 14 3" xfId="4223"/>
    <cellStyle name="Comma 3 14 3 2" xfId="7653"/>
    <cellStyle name="Comma 3 14 3 2 2" xfId="21301"/>
    <cellStyle name="Comma 3 14 3 3" xfId="10791"/>
    <cellStyle name="Comma 3 14 3 3 2" xfId="24422"/>
    <cellStyle name="Comma 3 14 3 4" xfId="14087"/>
    <cellStyle name="Comma 3 14 3 4 2" xfId="27715"/>
    <cellStyle name="Comma 3 14 3 5" xfId="18018"/>
    <cellStyle name="Comma 3 14 4" xfId="6059"/>
    <cellStyle name="Comma 3 14 4 2" xfId="19709"/>
    <cellStyle name="Comma 3 14 5" xfId="9345"/>
    <cellStyle name="Comma 3 14 5 2" xfId="22987"/>
    <cellStyle name="Comma 3 14 6" xfId="12659"/>
    <cellStyle name="Comma 3 14 6 2" xfId="26287"/>
    <cellStyle name="Comma 3 14 7" xfId="16505"/>
    <cellStyle name="Comma 3 15" xfId="2707"/>
    <cellStyle name="Comma 3 15 2" xfId="3661"/>
    <cellStyle name="Comma 3 15 2 2" xfId="5328"/>
    <cellStyle name="Comma 3 15 2 2 2" xfId="8591"/>
    <cellStyle name="Comma 3 15 2 2 2 2" xfId="22239"/>
    <cellStyle name="Comma 3 15 2 2 3" xfId="11658"/>
    <cellStyle name="Comma 3 15 2 2 3 2" xfId="25289"/>
    <cellStyle name="Comma 3 15 2 2 4" xfId="14954"/>
    <cellStyle name="Comma 3 15 2 2 4 2" xfId="28582"/>
    <cellStyle name="Comma 3 15 2 2 5" xfId="18986"/>
    <cellStyle name="Comma 3 15 2 3" xfId="7095"/>
    <cellStyle name="Comma 3 15 2 3 2" xfId="20745"/>
    <cellStyle name="Comma 3 15 2 4" xfId="10236"/>
    <cellStyle name="Comma 3 15 2 4 2" xfId="23867"/>
    <cellStyle name="Comma 3 15 2 5" xfId="13531"/>
    <cellStyle name="Comma 3 15 2 5 2" xfId="27159"/>
    <cellStyle name="Comma 3 15 2 6" xfId="17462"/>
    <cellStyle name="Comma 3 15 3" xfId="4450"/>
    <cellStyle name="Comma 3 15 3 2" xfId="7880"/>
    <cellStyle name="Comma 3 15 3 2 2" xfId="21528"/>
    <cellStyle name="Comma 3 15 3 3" xfId="10949"/>
    <cellStyle name="Comma 3 15 3 3 2" xfId="24580"/>
    <cellStyle name="Comma 3 15 3 4" xfId="14245"/>
    <cellStyle name="Comma 3 15 3 4 2" xfId="27873"/>
    <cellStyle name="Comma 3 15 3 5" xfId="18245"/>
    <cellStyle name="Comma 3 15 4" xfId="6301"/>
    <cellStyle name="Comma 3 15 4 2" xfId="19951"/>
    <cellStyle name="Comma 3 15 5" xfId="9503"/>
    <cellStyle name="Comma 3 15 5 2" xfId="23145"/>
    <cellStyle name="Comma 3 15 6" xfId="12817"/>
    <cellStyle name="Comma 3 15 6 2" xfId="26445"/>
    <cellStyle name="Comma 3 15 7" xfId="16734"/>
    <cellStyle name="Comma 3 16" xfId="3186"/>
    <cellStyle name="Comma 3 16 2" xfId="4935"/>
    <cellStyle name="Comma 3 16 2 2" xfId="8201"/>
    <cellStyle name="Comma 3 16 2 2 2" xfId="21849"/>
    <cellStyle name="Comma 3 16 2 3" xfId="11268"/>
    <cellStyle name="Comma 3 16 2 3 2" xfId="24899"/>
    <cellStyle name="Comma 3 16 2 4" xfId="14564"/>
    <cellStyle name="Comma 3 16 2 4 2" xfId="28192"/>
    <cellStyle name="Comma 3 16 2 5" xfId="18593"/>
    <cellStyle name="Comma 3 16 3" xfId="6622"/>
    <cellStyle name="Comma 3 16 3 2" xfId="20272"/>
    <cellStyle name="Comma 3 16 4" xfId="9843"/>
    <cellStyle name="Comma 3 16 4 2" xfId="23474"/>
    <cellStyle name="Comma 3 16 5" xfId="13138"/>
    <cellStyle name="Comma 3 16 5 2" xfId="26766"/>
    <cellStyle name="Comma 3 16 6" xfId="17068"/>
    <cellStyle name="Comma 3 17" xfId="3791"/>
    <cellStyle name="Comma 3 17 2" xfId="7223"/>
    <cellStyle name="Comma 3 17 2 2" xfId="20871"/>
    <cellStyle name="Comma 3 17 3" xfId="10361"/>
    <cellStyle name="Comma 3 17 3 2" xfId="23992"/>
    <cellStyle name="Comma 3 17 4" xfId="13657"/>
    <cellStyle name="Comma 3 17 4 2" xfId="27285"/>
    <cellStyle name="Comma 3 17 5" xfId="17588"/>
    <cellStyle name="Comma 3 18" xfId="5490"/>
    <cellStyle name="Comma 3 18 2" xfId="8751"/>
    <cellStyle name="Comma 3 18 2 2" xfId="22394"/>
    <cellStyle name="Comma 3 18 3" xfId="11811"/>
    <cellStyle name="Comma 3 18 3 2" xfId="25442"/>
    <cellStyle name="Comma 3 18 4" xfId="15107"/>
    <cellStyle name="Comma 3 18 4 2" xfId="28735"/>
    <cellStyle name="Comma 3 18 5" xfId="19140"/>
    <cellStyle name="Comma 3 19" xfId="5631"/>
    <cellStyle name="Comma 3 19 2" xfId="19281"/>
    <cellStyle name="Comma 3 2" xfId="130"/>
    <cellStyle name="Comma 3 20" xfId="8941"/>
    <cellStyle name="Comma 3 20 2" xfId="22584"/>
    <cellStyle name="Comma 3 21" xfId="11942"/>
    <cellStyle name="Comma 3 21 2" xfId="25573"/>
    <cellStyle name="Comma 3 22" xfId="12099"/>
    <cellStyle name="Comma 3 22 2" xfId="25727"/>
    <cellStyle name="Comma 3 23" xfId="12234"/>
    <cellStyle name="Comma 3 23 2" xfId="25862"/>
    <cellStyle name="Comma 3 24" xfId="15766"/>
    <cellStyle name="Comma 3 25" xfId="15839"/>
    <cellStyle name="Comma 3 26" xfId="29715"/>
    <cellStyle name="Comma 3 3" xfId="14"/>
    <cellStyle name="Comma 3 4" xfId="343"/>
    <cellStyle name="Comma 3 4 10" xfId="5663"/>
    <cellStyle name="Comma 3 4 10 2" xfId="19313"/>
    <cellStyle name="Comma 3 4 11" xfId="8942"/>
    <cellStyle name="Comma 3 4 11 2" xfId="22585"/>
    <cellStyle name="Comma 3 4 12" xfId="11953"/>
    <cellStyle name="Comma 3 4 12 2" xfId="25584"/>
    <cellStyle name="Comma 3 4 13" xfId="12100"/>
    <cellStyle name="Comma 3 4 13 2" xfId="25728"/>
    <cellStyle name="Comma 3 4 14" xfId="12266"/>
    <cellStyle name="Comma 3 4 14 2" xfId="25894"/>
    <cellStyle name="Comma 3 4 15" xfId="15894"/>
    <cellStyle name="Comma 3 4 2" xfId="871"/>
    <cellStyle name="Comma 3 4 3" xfId="1808"/>
    <cellStyle name="Comma 3 4 3 2" xfId="3208"/>
    <cellStyle name="Comma 3 4 3 2 2" xfId="4956"/>
    <cellStyle name="Comma 3 4 3 2 2 2" xfId="8221"/>
    <cellStyle name="Comma 3 4 3 2 2 2 2" xfId="21869"/>
    <cellStyle name="Comma 3 4 3 2 2 3" xfId="11288"/>
    <cellStyle name="Comma 3 4 3 2 2 3 2" xfId="24919"/>
    <cellStyle name="Comma 3 4 3 2 2 4" xfId="14584"/>
    <cellStyle name="Comma 3 4 3 2 2 4 2" xfId="28212"/>
    <cellStyle name="Comma 3 4 3 2 2 5" xfId="18614"/>
    <cellStyle name="Comma 3 4 3 2 3" xfId="6643"/>
    <cellStyle name="Comma 3 4 3 2 3 2" xfId="20293"/>
    <cellStyle name="Comma 3 4 3 2 4" xfId="9864"/>
    <cellStyle name="Comma 3 4 3 2 4 2" xfId="23495"/>
    <cellStyle name="Comma 3 4 3 2 5" xfId="13159"/>
    <cellStyle name="Comma 3 4 3 2 5 2" xfId="26787"/>
    <cellStyle name="Comma 3 4 3 2 6" xfId="17089"/>
    <cellStyle name="Comma 3 4 3 3" xfId="4011"/>
    <cellStyle name="Comma 3 4 3 3 2" xfId="7441"/>
    <cellStyle name="Comma 3 4 3 3 2 2" xfId="21089"/>
    <cellStyle name="Comma 3 4 3 3 3" xfId="10579"/>
    <cellStyle name="Comma 3 4 3 3 3 2" xfId="24210"/>
    <cellStyle name="Comma 3 4 3 3 4" xfId="13875"/>
    <cellStyle name="Comma 3 4 3 3 4 2" xfId="27503"/>
    <cellStyle name="Comma 3 4 3 3 5" xfId="17806"/>
    <cellStyle name="Comma 3 4 3 4" xfId="5847"/>
    <cellStyle name="Comma 3 4 3 4 2" xfId="19497"/>
    <cellStyle name="Comma 3 4 3 5" xfId="9144"/>
    <cellStyle name="Comma 3 4 3 5 2" xfId="22786"/>
    <cellStyle name="Comma 3 4 3 6" xfId="12447"/>
    <cellStyle name="Comma 3 4 3 6 2" xfId="26075"/>
    <cellStyle name="Comma 3 4 3 7" xfId="16229"/>
    <cellStyle name="Comma 3 4 4" xfId="2143"/>
    <cellStyle name="Comma 3 4 4 2" xfId="3256"/>
    <cellStyle name="Comma 3 4 4 2 2" xfId="5002"/>
    <cellStyle name="Comma 3 4 4 2 2 2" xfId="8266"/>
    <cellStyle name="Comma 3 4 4 2 2 2 2" xfId="21914"/>
    <cellStyle name="Comma 3 4 4 2 2 3" xfId="11333"/>
    <cellStyle name="Comma 3 4 4 2 2 3 2" xfId="24964"/>
    <cellStyle name="Comma 3 4 4 2 2 4" xfId="14629"/>
    <cellStyle name="Comma 3 4 4 2 2 4 2" xfId="28257"/>
    <cellStyle name="Comma 3 4 4 2 2 5" xfId="18660"/>
    <cellStyle name="Comma 3 4 4 2 3" xfId="6690"/>
    <cellStyle name="Comma 3 4 4 2 3 2" xfId="20340"/>
    <cellStyle name="Comma 3 4 4 2 4" xfId="9910"/>
    <cellStyle name="Comma 3 4 4 2 4 2" xfId="23541"/>
    <cellStyle name="Comma 3 4 4 2 5" xfId="13205"/>
    <cellStyle name="Comma 3 4 4 2 5 2" xfId="26833"/>
    <cellStyle name="Comma 3 4 4 2 6" xfId="17135"/>
    <cellStyle name="Comma 3 4 4 3" xfId="4056"/>
    <cellStyle name="Comma 3 4 4 3 2" xfId="7486"/>
    <cellStyle name="Comma 3 4 4 3 2 2" xfId="21134"/>
    <cellStyle name="Comma 3 4 4 3 3" xfId="10624"/>
    <cellStyle name="Comma 3 4 4 3 3 2" xfId="24255"/>
    <cellStyle name="Comma 3 4 4 3 4" xfId="13920"/>
    <cellStyle name="Comma 3 4 4 3 4 2" xfId="27548"/>
    <cellStyle name="Comma 3 4 4 3 5" xfId="17851"/>
    <cellStyle name="Comma 3 4 4 4" xfId="5892"/>
    <cellStyle name="Comma 3 4 4 4 2" xfId="19542"/>
    <cellStyle name="Comma 3 4 4 5" xfId="9178"/>
    <cellStyle name="Comma 3 4 4 5 2" xfId="22820"/>
    <cellStyle name="Comma 3 4 4 6" xfId="12492"/>
    <cellStyle name="Comma 3 4 4 6 2" xfId="26120"/>
    <cellStyle name="Comma 3 4 4 7" xfId="16337"/>
    <cellStyle name="Comma 3 4 5" xfId="2328"/>
    <cellStyle name="Comma 3 4 5 2" xfId="3434"/>
    <cellStyle name="Comma 3 4 5 2 2" xfId="5170"/>
    <cellStyle name="Comma 3 4 5 2 2 2" xfId="8434"/>
    <cellStyle name="Comma 3 4 5 2 2 2 2" xfId="22082"/>
    <cellStyle name="Comma 3 4 5 2 2 3" xfId="11501"/>
    <cellStyle name="Comma 3 4 5 2 2 3 2" xfId="25132"/>
    <cellStyle name="Comma 3 4 5 2 2 4" xfId="14797"/>
    <cellStyle name="Comma 3 4 5 2 2 4 2" xfId="28425"/>
    <cellStyle name="Comma 3 4 5 2 2 5" xfId="18828"/>
    <cellStyle name="Comma 3 4 5 2 3" xfId="6868"/>
    <cellStyle name="Comma 3 4 5 2 3 2" xfId="20518"/>
    <cellStyle name="Comma 3 4 5 2 4" xfId="10078"/>
    <cellStyle name="Comma 3 4 5 2 4 2" xfId="23709"/>
    <cellStyle name="Comma 3 4 5 2 5" xfId="13373"/>
    <cellStyle name="Comma 3 4 5 2 5 2" xfId="27001"/>
    <cellStyle name="Comma 3 4 5 2 6" xfId="17303"/>
    <cellStyle name="Comma 3 4 5 3" xfId="4224"/>
    <cellStyle name="Comma 3 4 5 3 2" xfId="7654"/>
    <cellStyle name="Comma 3 4 5 3 2 2" xfId="21302"/>
    <cellStyle name="Comma 3 4 5 3 3" xfId="10792"/>
    <cellStyle name="Comma 3 4 5 3 3 2" xfId="24423"/>
    <cellStyle name="Comma 3 4 5 3 4" xfId="14088"/>
    <cellStyle name="Comma 3 4 5 3 4 2" xfId="27716"/>
    <cellStyle name="Comma 3 4 5 3 5" xfId="18019"/>
    <cellStyle name="Comma 3 4 5 4" xfId="6060"/>
    <cellStyle name="Comma 3 4 5 4 2" xfId="19710"/>
    <cellStyle name="Comma 3 4 5 5" xfId="9346"/>
    <cellStyle name="Comma 3 4 5 5 2" xfId="22988"/>
    <cellStyle name="Comma 3 4 5 6" xfId="12660"/>
    <cellStyle name="Comma 3 4 5 6 2" xfId="26288"/>
    <cellStyle name="Comma 3 4 5 7" xfId="16506"/>
    <cellStyle name="Comma 3 4 6" xfId="2708"/>
    <cellStyle name="Comma 3 4 6 2" xfId="3662"/>
    <cellStyle name="Comma 3 4 6 2 2" xfId="5329"/>
    <cellStyle name="Comma 3 4 6 2 2 2" xfId="8592"/>
    <cellStyle name="Comma 3 4 6 2 2 2 2" xfId="22240"/>
    <cellStyle name="Comma 3 4 6 2 2 3" xfId="11659"/>
    <cellStyle name="Comma 3 4 6 2 2 3 2" xfId="25290"/>
    <cellStyle name="Comma 3 4 6 2 2 4" xfId="14955"/>
    <cellStyle name="Comma 3 4 6 2 2 4 2" xfId="28583"/>
    <cellStyle name="Comma 3 4 6 2 2 5" xfId="18987"/>
    <cellStyle name="Comma 3 4 6 2 3" xfId="7096"/>
    <cellStyle name="Comma 3 4 6 2 3 2" xfId="20746"/>
    <cellStyle name="Comma 3 4 6 2 4" xfId="10237"/>
    <cellStyle name="Comma 3 4 6 2 4 2" xfId="23868"/>
    <cellStyle name="Comma 3 4 6 2 5" xfId="13532"/>
    <cellStyle name="Comma 3 4 6 2 5 2" xfId="27160"/>
    <cellStyle name="Comma 3 4 6 2 6" xfId="17463"/>
    <cellStyle name="Comma 3 4 6 3" xfId="4451"/>
    <cellStyle name="Comma 3 4 6 3 2" xfId="7881"/>
    <cellStyle name="Comma 3 4 6 3 2 2" xfId="21529"/>
    <cellStyle name="Comma 3 4 6 3 3" xfId="10950"/>
    <cellStyle name="Comma 3 4 6 3 3 2" xfId="24581"/>
    <cellStyle name="Comma 3 4 6 3 4" xfId="14246"/>
    <cellStyle name="Comma 3 4 6 3 4 2" xfId="27874"/>
    <cellStyle name="Comma 3 4 6 3 5" xfId="18246"/>
    <cellStyle name="Comma 3 4 6 4" xfId="6302"/>
    <cellStyle name="Comma 3 4 6 4 2" xfId="19952"/>
    <cellStyle name="Comma 3 4 6 5" xfId="9504"/>
    <cellStyle name="Comma 3 4 6 5 2" xfId="23146"/>
    <cellStyle name="Comma 3 4 6 6" xfId="12818"/>
    <cellStyle name="Comma 3 4 6 6 2" xfId="26446"/>
    <cellStyle name="Comma 3 4 6 7" xfId="16735"/>
    <cellStyle name="Comma 3 4 7" xfId="3111"/>
    <cellStyle name="Comma 3 4 7 2" xfId="4906"/>
    <cellStyle name="Comma 3 4 7 2 2" xfId="8172"/>
    <cellStyle name="Comma 3 4 7 2 2 2" xfId="21820"/>
    <cellStyle name="Comma 3 4 7 2 3" xfId="11239"/>
    <cellStyle name="Comma 3 4 7 2 3 2" xfId="24870"/>
    <cellStyle name="Comma 3 4 7 2 4" xfId="14535"/>
    <cellStyle name="Comma 3 4 7 2 4 2" xfId="28163"/>
    <cellStyle name="Comma 3 4 7 2 5" xfId="18564"/>
    <cellStyle name="Comma 3 4 7 3" xfId="6593"/>
    <cellStyle name="Comma 3 4 7 3 2" xfId="20243"/>
    <cellStyle name="Comma 3 4 7 4" xfId="9814"/>
    <cellStyle name="Comma 3 4 7 4 2" xfId="23445"/>
    <cellStyle name="Comma 3 4 7 5" xfId="13109"/>
    <cellStyle name="Comma 3 4 7 5 2" xfId="26737"/>
    <cellStyle name="Comma 3 4 7 6" xfId="17029"/>
    <cellStyle name="Comma 3 4 8" xfId="3823"/>
    <cellStyle name="Comma 3 4 8 2" xfId="7255"/>
    <cellStyle name="Comma 3 4 8 2 2" xfId="20903"/>
    <cellStyle name="Comma 3 4 8 3" xfId="10393"/>
    <cellStyle name="Comma 3 4 8 3 2" xfId="24024"/>
    <cellStyle name="Comma 3 4 8 4" xfId="13689"/>
    <cellStyle name="Comma 3 4 8 4 2" xfId="27317"/>
    <cellStyle name="Comma 3 4 8 5" xfId="17620"/>
    <cellStyle name="Comma 3 4 9" xfId="5491"/>
    <cellStyle name="Comma 3 4 9 2" xfId="8752"/>
    <cellStyle name="Comma 3 4 9 2 2" xfId="22395"/>
    <cellStyle name="Comma 3 4 9 3" xfId="11812"/>
    <cellStyle name="Comma 3 4 9 3 2" xfId="25443"/>
    <cellStyle name="Comma 3 4 9 4" xfId="15108"/>
    <cellStyle name="Comma 3 4 9 4 2" xfId="28736"/>
    <cellStyle name="Comma 3 4 9 5" xfId="19141"/>
    <cellStyle name="Comma 3 5" xfId="385"/>
    <cellStyle name="Comma 3 5 2" xfId="872"/>
    <cellStyle name="Comma 3 6" xfId="317"/>
    <cellStyle name="Comma 3 6 10" xfId="5645"/>
    <cellStyle name="Comma 3 6 10 2" xfId="19295"/>
    <cellStyle name="Comma 3 6 11" xfId="8943"/>
    <cellStyle name="Comma 3 6 11 2" xfId="22586"/>
    <cellStyle name="Comma 3 6 12" xfId="12034"/>
    <cellStyle name="Comma 3 6 12 2" xfId="25665"/>
    <cellStyle name="Comma 3 6 13" xfId="12101"/>
    <cellStyle name="Comma 3 6 13 2" xfId="25729"/>
    <cellStyle name="Comma 3 6 14" xfId="12248"/>
    <cellStyle name="Comma 3 6 14 2" xfId="25876"/>
    <cellStyle name="Comma 3 6 15" xfId="15876"/>
    <cellStyle name="Comma 3 6 2" xfId="873"/>
    <cellStyle name="Comma 3 6 3" xfId="1809"/>
    <cellStyle name="Comma 3 6 3 2" xfId="3209"/>
    <cellStyle name="Comma 3 6 3 2 2" xfId="4957"/>
    <cellStyle name="Comma 3 6 3 2 2 2" xfId="8222"/>
    <cellStyle name="Comma 3 6 3 2 2 2 2" xfId="21870"/>
    <cellStyle name="Comma 3 6 3 2 2 3" xfId="11289"/>
    <cellStyle name="Comma 3 6 3 2 2 3 2" xfId="24920"/>
    <cellStyle name="Comma 3 6 3 2 2 4" xfId="14585"/>
    <cellStyle name="Comma 3 6 3 2 2 4 2" xfId="28213"/>
    <cellStyle name="Comma 3 6 3 2 2 5" xfId="18615"/>
    <cellStyle name="Comma 3 6 3 2 3" xfId="6644"/>
    <cellStyle name="Comma 3 6 3 2 3 2" xfId="20294"/>
    <cellStyle name="Comma 3 6 3 2 4" xfId="9865"/>
    <cellStyle name="Comma 3 6 3 2 4 2" xfId="23496"/>
    <cellStyle name="Comma 3 6 3 2 5" xfId="13160"/>
    <cellStyle name="Comma 3 6 3 2 5 2" xfId="26788"/>
    <cellStyle name="Comma 3 6 3 2 6" xfId="17090"/>
    <cellStyle name="Comma 3 6 3 3" xfId="4012"/>
    <cellStyle name="Comma 3 6 3 3 2" xfId="7442"/>
    <cellStyle name="Comma 3 6 3 3 2 2" xfId="21090"/>
    <cellStyle name="Comma 3 6 3 3 3" xfId="10580"/>
    <cellStyle name="Comma 3 6 3 3 3 2" xfId="24211"/>
    <cellStyle name="Comma 3 6 3 3 4" xfId="13876"/>
    <cellStyle name="Comma 3 6 3 3 4 2" xfId="27504"/>
    <cellStyle name="Comma 3 6 3 3 5" xfId="17807"/>
    <cellStyle name="Comma 3 6 3 4" xfId="5848"/>
    <cellStyle name="Comma 3 6 3 4 2" xfId="19498"/>
    <cellStyle name="Comma 3 6 3 5" xfId="9145"/>
    <cellStyle name="Comma 3 6 3 5 2" xfId="22787"/>
    <cellStyle name="Comma 3 6 3 6" xfId="12448"/>
    <cellStyle name="Comma 3 6 3 6 2" xfId="26076"/>
    <cellStyle name="Comma 3 6 3 7" xfId="16230"/>
    <cellStyle name="Comma 3 6 4" xfId="2225"/>
    <cellStyle name="Comma 3 6 4 2" xfId="3338"/>
    <cellStyle name="Comma 3 6 4 2 2" xfId="5084"/>
    <cellStyle name="Comma 3 6 4 2 2 2" xfId="8348"/>
    <cellStyle name="Comma 3 6 4 2 2 2 2" xfId="21996"/>
    <cellStyle name="Comma 3 6 4 2 2 3" xfId="11415"/>
    <cellStyle name="Comma 3 6 4 2 2 3 2" xfId="25046"/>
    <cellStyle name="Comma 3 6 4 2 2 4" xfId="14711"/>
    <cellStyle name="Comma 3 6 4 2 2 4 2" xfId="28339"/>
    <cellStyle name="Comma 3 6 4 2 2 5" xfId="18742"/>
    <cellStyle name="Comma 3 6 4 2 3" xfId="6772"/>
    <cellStyle name="Comma 3 6 4 2 3 2" xfId="20422"/>
    <cellStyle name="Comma 3 6 4 2 4" xfId="9992"/>
    <cellStyle name="Comma 3 6 4 2 4 2" xfId="23623"/>
    <cellStyle name="Comma 3 6 4 2 5" xfId="13287"/>
    <cellStyle name="Comma 3 6 4 2 5 2" xfId="26915"/>
    <cellStyle name="Comma 3 6 4 2 6" xfId="17217"/>
    <cellStyle name="Comma 3 6 4 3" xfId="4138"/>
    <cellStyle name="Comma 3 6 4 3 2" xfId="7568"/>
    <cellStyle name="Comma 3 6 4 3 2 2" xfId="21216"/>
    <cellStyle name="Comma 3 6 4 3 3" xfId="10706"/>
    <cellStyle name="Comma 3 6 4 3 3 2" xfId="24337"/>
    <cellStyle name="Comma 3 6 4 3 4" xfId="14002"/>
    <cellStyle name="Comma 3 6 4 3 4 2" xfId="27630"/>
    <cellStyle name="Comma 3 6 4 3 5" xfId="17933"/>
    <cellStyle name="Comma 3 6 4 4" xfId="5974"/>
    <cellStyle name="Comma 3 6 4 4 2" xfId="19624"/>
    <cellStyle name="Comma 3 6 4 5" xfId="9260"/>
    <cellStyle name="Comma 3 6 4 5 2" xfId="22902"/>
    <cellStyle name="Comma 3 6 4 6" xfId="12574"/>
    <cellStyle name="Comma 3 6 4 6 2" xfId="26202"/>
    <cellStyle name="Comma 3 6 4 7" xfId="16419"/>
    <cellStyle name="Comma 3 6 5" xfId="2329"/>
    <cellStyle name="Comma 3 6 5 2" xfId="3435"/>
    <cellStyle name="Comma 3 6 5 2 2" xfId="5171"/>
    <cellStyle name="Comma 3 6 5 2 2 2" xfId="8435"/>
    <cellStyle name="Comma 3 6 5 2 2 2 2" xfId="22083"/>
    <cellStyle name="Comma 3 6 5 2 2 3" xfId="11502"/>
    <cellStyle name="Comma 3 6 5 2 2 3 2" xfId="25133"/>
    <cellStyle name="Comma 3 6 5 2 2 4" xfId="14798"/>
    <cellStyle name="Comma 3 6 5 2 2 4 2" xfId="28426"/>
    <cellStyle name="Comma 3 6 5 2 2 5" xfId="18829"/>
    <cellStyle name="Comma 3 6 5 2 3" xfId="6869"/>
    <cellStyle name="Comma 3 6 5 2 3 2" xfId="20519"/>
    <cellStyle name="Comma 3 6 5 2 4" xfId="10079"/>
    <cellStyle name="Comma 3 6 5 2 4 2" xfId="23710"/>
    <cellStyle name="Comma 3 6 5 2 5" xfId="13374"/>
    <cellStyle name="Comma 3 6 5 2 5 2" xfId="27002"/>
    <cellStyle name="Comma 3 6 5 2 6" xfId="17304"/>
    <cellStyle name="Comma 3 6 5 3" xfId="4225"/>
    <cellStyle name="Comma 3 6 5 3 2" xfId="7655"/>
    <cellStyle name="Comma 3 6 5 3 2 2" xfId="21303"/>
    <cellStyle name="Comma 3 6 5 3 3" xfId="10793"/>
    <cellStyle name="Comma 3 6 5 3 3 2" xfId="24424"/>
    <cellStyle name="Comma 3 6 5 3 4" xfId="14089"/>
    <cellStyle name="Comma 3 6 5 3 4 2" xfId="27717"/>
    <cellStyle name="Comma 3 6 5 3 5" xfId="18020"/>
    <cellStyle name="Comma 3 6 5 4" xfId="6061"/>
    <cellStyle name="Comma 3 6 5 4 2" xfId="19711"/>
    <cellStyle name="Comma 3 6 5 5" xfId="9347"/>
    <cellStyle name="Comma 3 6 5 5 2" xfId="22989"/>
    <cellStyle name="Comma 3 6 5 6" xfId="12661"/>
    <cellStyle name="Comma 3 6 5 6 2" xfId="26289"/>
    <cellStyle name="Comma 3 6 5 7" xfId="16507"/>
    <cellStyle name="Comma 3 6 6" xfId="2709"/>
    <cellStyle name="Comma 3 6 6 2" xfId="3663"/>
    <cellStyle name="Comma 3 6 6 2 2" xfId="5330"/>
    <cellStyle name="Comma 3 6 6 2 2 2" xfId="8593"/>
    <cellStyle name="Comma 3 6 6 2 2 2 2" xfId="22241"/>
    <cellStyle name="Comma 3 6 6 2 2 3" xfId="11660"/>
    <cellStyle name="Comma 3 6 6 2 2 3 2" xfId="25291"/>
    <cellStyle name="Comma 3 6 6 2 2 4" xfId="14956"/>
    <cellStyle name="Comma 3 6 6 2 2 4 2" xfId="28584"/>
    <cellStyle name="Comma 3 6 6 2 2 5" xfId="18988"/>
    <cellStyle name="Comma 3 6 6 2 3" xfId="7097"/>
    <cellStyle name="Comma 3 6 6 2 3 2" xfId="20747"/>
    <cellStyle name="Comma 3 6 6 2 4" xfId="10238"/>
    <cellStyle name="Comma 3 6 6 2 4 2" xfId="23869"/>
    <cellStyle name="Comma 3 6 6 2 5" xfId="13533"/>
    <cellStyle name="Comma 3 6 6 2 5 2" xfId="27161"/>
    <cellStyle name="Comma 3 6 6 2 6" xfId="17464"/>
    <cellStyle name="Comma 3 6 6 3" xfId="4452"/>
    <cellStyle name="Comma 3 6 6 3 2" xfId="7882"/>
    <cellStyle name="Comma 3 6 6 3 2 2" xfId="21530"/>
    <cellStyle name="Comma 3 6 6 3 3" xfId="10951"/>
    <cellStyle name="Comma 3 6 6 3 3 2" xfId="24582"/>
    <cellStyle name="Comma 3 6 6 3 4" xfId="14247"/>
    <cellStyle name="Comma 3 6 6 3 4 2" xfId="27875"/>
    <cellStyle name="Comma 3 6 6 3 5" xfId="18247"/>
    <cellStyle name="Comma 3 6 6 4" xfId="6303"/>
    <cellStyle name="Comma 3 6 6 4 2" xfId="19953"/>
    <cellStyle name="Comma 3 6 6 5" xfId="9505"/>
    <cellStyle name="Comma 3 6 6 5 2" xfId="23147"/>
    <cellStyle name="Comma 3 6 6 6" xfId="12819"/>
    <cellStyle name="Comma 3 6 6 6 2" xfId="26447"/>
    <cellStyle name="Comma 3 6 6 7" xfId="16736"/>
    <cellStyle name="Comma 3 6 7" xfId="3127"/>
    <cellStyle name="Comma 3 6 7 2" xfId="4922"/>
    <cellStyle name="Comma 3 6 7 2 2" xfId="8188"/>
    <cellStyle name="Comma 3 6 7 2 2 2" xfId="21836"/>
    <cellStyle name="Comma 3 6 7 2 3" xfId="11255"/>
    <cellStyle name="Comma 3 6 7 2 3 2" xfId="24886"/>
    <cellStyle name="Comma 3 6 7 2 4" xfId="14551"/>
    <cellStyle name="Comma 3 6 7 2 4 2" xfId="28179"/>
    <cellStyle name="Comma 3 6 7 2 5" xfId="18580"/>
    <cellStyle name="Comma 3 6 7 3" xfId="6609"/>
    <cellStyle name="Comma 3 6 7 3 2" xfId="20259"/>
    <cellStyle name="Comma 3 6 7 4" xfId="9830"/>
    <cellStyle name="Comma 3 6 7 4 2" xfId="23461"/>
    <cellStyle name="Comma 3 6 7 5" xfId="13125"/>
    <cellStyle name="Comma 3 6 7 5 2" xfId="26753"/>
    <cellStyle name="Comma 3 6 7 6" xfId="17045"/>
    <cellStyle name="Comma 3 6 8" xfId="3805"/>
    <cellStyle name="Comma 3 6 8 2" xfId="7237"/>
    <cellStyle name="Comma 3 6 8 2 2" xfId="20885"/>
    <cellStyle name="Comma 3 6 8 3" xfId="10375"/>
    <cellStyle name="Comma 3 6 8 3 2" xfId="24006"/>
    <cellStyle name="Comma 3 6 8 4" xfId="13671"/>
    <cellStyle name="Comma 3 6 8 4 2" xfId="27299"/>
    <cellStyle name="Comma 3 6 8 5" xfId="17602"/>
    <cellStyle name="Comma 3 6 9" xfId="5492"/>
    <cellStyle name="Comma 3 6 9 2" xfId="8753"/>
    <cellStyle name="Comma 3 6 9 2 2" xfId="22396"/>
    <cellStyle name="Comma 3 6 9 3" xfId="11813"/>
    <cellStyle name="Comma 3 6 9 3 2" xfId="25444"/>
    <cellStyle name="Comma 3 6 9 4" xfId="15109"/>
    <cellStyle name="Comma 3 6 9 4 2" xfId="28737"/>
    <cellStyle name="Comma 3 6 9 5" xfId="19142"/>
    <cellStyle name="Comma 3 7" xfId="469"/>
    <cellStyle name="Comma 3 7 2" xfId="874"/>
    <cellStyle name="Comma 3 7 3" xfId="3077"/>
    <cellStyle name="Comma 3 7 3 2" xfId="4878"/>
    <cellStyle name="Comma 3 7 3 2 2" xfId="8144"/>
    <cellStyle name="Comma 3 7 3 2 2 2" xfId="21792"/>
    <cellStyle name="Comma 3 7 3 2 3" xfId="11213"/>
    <cellStyle name="Comma 3 7 3 2 3 2" xfId="24844"/>
    <cellStyle name="Comma 3 7 3 2 4" xfId="14509"/>
    <cellStyle name="Comma 3 7 3 2 4 2" xfId="28137"/>
    <cellStyle name="Comma 3 7 3 2 5" xfId="18536"/>
    <cellStyle name="Comma 3 7 3 3" xfId="6567"/>
    <cellStyle name="Comma 3 7 3 3 2" xfId="20217"/>
    <cellStyle name="Comma 3 7 3 4" xfId="9788"/>
    <cellStyle name="Comma 3 7 3 4 2" xfId="23419"/>
    <cellStyle name="Comma 3 7 3 5" xfId="13083"/>
    <cellStyle name="Comma 3 7 3 5 2" xfId="26711"/>
    <cellStyle name="Comma 3 7 3 6" xfId="17001"/>
    <cellStyle name="Comma 3 7 4" xfId="3852"/>
    <cellStyle name="Comma 3 7 4 2" xfId="7282"/>
    <cellStyle name="Comma 3 7 4 2 2" xfId="20930"/>
    <cellStyle name="Comma 3 7 4 3" xfId="10420"/>
    <cellStyle name="Comma 3 7 4 3 2" xfId="24051"/>
    <cellStyle name="Comma 3 7 4 4" xfId="13716"/>
    <cellStyle name="Comma 3 7 4 4 2" xfId="27344"/>
    <cellStyle name="Comma 3 7 4 5" xfId="17647"/>
    <cellStyle name="Comma 3 7 5" xfId="5693"/>
    <cellStyle name="Comma 3 7 5 2" xfId="19343"/>
    <cellStyle name="Comma 3 7 6" xfId="9082"/>
    <cellStyle name="Comma 3 7 6 2" xfId="22725"/>
    <cellStyle name="Comma 3 7 7" xfId="12293"/>
    <cellStyle name="Comma 3 7 7 2" xfId="25921"/>
    <cellStyle name="Comma 3 7 8" xfId="15969"/>
    <cellStyle name="Comma 3 8" xfId="875"/>
    <cellStyle name="Comma 3 8 2" xfId="2884"/>
    <cellStyle name="Comma 3 9" xfId="876"/>
    <cellStyle name="Comma 3 9 2" xfId="2885"/>
    <cellStyle name="Comma 30" xfId="877"/>
    <cellStyle name="Comma 30 2" xfId="1811"/>
    <cellStyle name="Comma 30 2 2" xfId="2887"/>
    <cellStyle name="Comma 30 3" xfId="1810"/>
    <cellStyle name="Comma 31" xfId="772"/>
    <cellStyle name="Comma 31 2" xfId="1813"/>
    <cellStyle name="Comma 31 2 2" xfId="15475"/>
    <cellStyle name="Comma 31 2 3" xfId="29632"/>
    <cellStyle name="Comma 31 3" xfId="1812"/>
    <cellStyle name="Comma 31 4" xfId="2888"/>
    <cellStyle name="Comma 31 5" xfId="2941"/>
    <cellStyle name="Comma 32" xfId="1769"/>
    <cellStyle name="Comma 32 2" xfId="3190"/>
    <cellStyle name="Comma 32 2 2" xfId="4938"/>
    <cellStyle name="Comma 32 2 2 2" xfId="8203"/>
    <cellStyle name="Comma 32 2 2 2 2" xfId="21851"/>
    <cellStyle name="Comma 32 2 2 3" xfId="11270"/>
    <cellStyle name="Comma 32 2 2 3 2" xfId="24901"/>
    <cellStyle name="Comma 32 2 2 4" xfId="14566"/>
    <cellStyle name="Comma 32 2 2 4 2" xfId="28194"/>
    <cellStyle name="Comma 32 2 2 5" xfId="18596"/>
    <cellStyle name="Comma 32 2 3" xfId="6625"/>
    <cellStyle name="Comma 32 2 3 2" xfId="20275"/>
    <cellStyle name="Comma 32 2 4" xfId="9846"/>
    <cellStyle name="Comma 32 2 4 2" xfId="23477"/>
    <cellStyle name="Comma 32 2 5" xfId="13141"/>
    <cellStyle name="Comma 32 2 5 2" xfId="26769"/>
    <cellStyle name="Comma 32 2 6" xfId="17071"/>
    <cellStyle name="Comma 32 3" xfId="3993"/>
    <cellStyle name="Comma 32 3 2" xfId="7423"/>
    <cellStyle name="Comma 32 3 2 2" xfId="21071"/>
    <cellStyle name="Comma 32 3 3" xfId="10561"/>
    <cellStyle name="Comma 32 3 3 2" xfId="24192"/>
    <cellStyle name="Comma 32 3 4" xfId="13857"/>
    <cellStyle name="Comma 32 3 4 2" xfId="27485"/>
    <cellStyle name="Comma 32 3 5" xfId="17788"/>
    <cellStyle name="Comma 32 4" xfId="5829"/>
    <cellStyle name="Comma 32 4 2" xfId="19479"/>
    <cellStyle name="Comma 32 5" xfId="9128"/>
    <cellStyle name="Comma 32 5 2" xfId="22770"/>
    <cellStyle name="Comma 32 6" xfId="12429"/>
    <cellStyle name="Comma 32 6 2" xfId="26057"/>
    <cellStyle name="Comma 32 7" xfId="15476"/>
    <cellStyle name="Comma 32 8" xfId="16211"/>
    <cellStyle name="Comma 33" xfId="2126"/>
    <cellStyle name="Comma 33 2" xfId="3239"/>
    <cellStyle name="Comma 33 2 2" xfId="4986"/>
    <cellStyle name="Comma 33 2 2 2" xfId="8250"/>
    <cellStyle name="Comma 33 2 2 2 2" xfId="21898"/>
    <cellStyle name="Comma 33 2 2 3" xfId="11317"/>
    <cellStyle name="Comma 33 2 2 3 2" xfId="24948"/>
    <cellStyle name="Comma 33 2 2 4" xfId="14613"/>
    <cellStyle name="Comma 33 2 2 4 2" xfId="28241"/>
    <cellStyle name="Comma 33 2 2 5" xfId="18644"/>
    <cellStyle name="Comma 33 2 3" xfId="6673"/>
    <cellStyle name="Comma 33 2 3 2" xfId="20323"/>
    <cellStyle name="Comma 33 2 4" xfId="9894"/>
    <cellStyle name="Comma 33 2 4 2" xfId="23525"/>
    <cellStyle name="Comma 33 2 5" xfId="13189"/>
    <cellStyle name="Comma 33 2 5 2" xfId="26817"/>
    <cellStyle name="Comma 33 2 6" xfId="17119"/>
    <cellStyle name="Comma 33 3" xfId="4040"/>
    <cellStyle name="Comma 33 3 2" xfId="7470"/>
    <cellStyle name="Comma 33 3 2 2" xfId="21118"/>
    <cellStyle name="Comma 33 3 3" xfId="10608"/>
    <cellStyle name="Comma 33 3 3 2" xfId="24239"/>
    <cellStyle name="Comma 33 3 4" xfId="13904"/>
    <cellStyle name="Comma 33 3 4 2" xfId="27532"/>
    <cellStyle name="Comma 33 3 5" xfId="17835"/>
    <cellStyle name="Comma 33 4" xfId="5876"/>
    <cellStyle name="Comma 33 4 2" xfId="19526"/>
    <cellStyle name="Comma 33 5" xfId="9162"/>
    <cellStyle name="Comma 33 5 2" xfId="22804"/>
    <cellStyle name="Comma 33 6" xfId="12476"/>
    <cellStyle name="Comma 33 6 2" xfId="26104"/>
    <cellStyle name="Comma 33 7" xfId="15468"/>
    <cellStyle name="Comma 33 8" xfId="16321"/>
    <cellStyle name="Comma 34" xfId="2310"/>
    <cellStyle name="Comma 34 2" xfId="3416"/>
    <cellStyle name="Comma 34 2 2" xfId="5152"/>
    <cellStyle name="Comma 34 2 2 2" xfId="8416"/>
    <cellStyle name="Comma 34 2 2 2 2" xfId="22064"/>
    <cellStyle name="Comma 34 2 2 3" xfId="11483"/>
    <cellStyle name="Comma 34 2 2 3 2" xfId="25114"/>
    <cellStyle name="Comma 34 2 2 4" xfId="14779"/>
    <cellStyle name="Comma 34 2 2 4 2" xfId="28407"/>
    <cellStyle name="Comma 34 2 2 5" xfId="18810"/>
    <cellStyle name="Comma 34 2 3" xfId="6850"/>
    <cellStyle name="Comma 34 2 3 2" xfId="20500"/>
    <cellStyle name="Comma 34 2 4" xfId="10060"/>
    <cellStyle name="Comma 34 2 4 2" xfId="23691"/>
    <cellStyle name="Comma 34 2 5" xfId="13355"/>
    <cellStyle name="Comma 34 2 5 2" xfId="26983"/>
    <cellStyle name="Comma 34 2 6" xfId="17285"/>
    <cellStyle name="Comma 34 3" xfId="4206"/>
    <cellStyle name="Comma 34 3 2" xfId="7636"/>
    <cellStyle name="Comma 34 3 2 2" xfId="21284"/>
    <cellStyle name="Comma 34 3 3" xfId="10774"/>
    <cellStyle name="Comma 34 3 3 2" xfId="24405"/>
    <cellStyle name="Comma 34 3 4" xfId="14070"/>
    <cellStyle name="Comma 34 3 4 2" xfId="27698"/>
    <cellStyle name="Comma 34 3 5" xfId="18001"/>
    <cellStyle name="Comma 34 4" xfId="6042"/>
    <cellStyle name="Comma 34 4 2" xfId="19692"/>
    <cellStyle name="Comma 34 5" xfId="9328"/>
    <cellStyle name="Comma 34 5 2" xfId="22970"/>
    <cellStyle name="Comma 34 6" xfId="12642"/>
    <cellStyle name="Comma 34 6 2" xfId="26270"/>
    <cellStyle name="Comma 34 7" xfId="16488"/>
    <cellStyle name="Comma 35" xfId="2690"/>
    <cellStyle name="Comma 35 2" xfId="3644"/>
    <cellStyle name="Comma 35 2 2" xfId="5311"/>
    <cellStyle name="Comma 35 2 2 2" xfId="8574"/>
    <cellStyle name="Comma 35 2 2 2 2" xfId="22222"/>
    <cellStyle name="Comma 35 2 2 3" xfId="11641"/>
    <cellStyle name="Comma 35 2 2 3 2" xfId="25272"/>
    <cellStyle name="Comma 35 2 2 4" xfId="14937"/>
    <cellStyle name="Comma 35 2 2 4 2" xfId="28565"/>
    <cellStyle name="Comma 35 2 2 5" xfId="18969"/>
    <cellStyle name="Comma 35 2 3" xfId="7078"/>
    <cellStyle name="Comma 35 2 3 2" xfId="20728"/>
    <cellStyle name="Comma 35 2 4" xfId="10219"/>
    <cellStyle name="Comma 35 2 4 2" xfId="23850"/>
    <cellStyle name="Comma 35 2 5" xfId="13514"/>
    <cellStyle name="Comma 35 2 5 2" xfId="27142"/>
    <cellStyle name="Comma 35 2 6" xfId="17445"/>
    <cellStyle name="Comma 35 3" xfId="4433"/>
    <cellStyle name="Comma 35 3 2" xfId="7863"/>
    <cellStyle name="Comma 35 3 2 2" xfId="21511"/>
    <cellStyle name="Comma 35 3 3" xfId="10932"/>
    <cellStyle name="Comma 35 3 3 2" xfId="24563"/>
    <cellStyle name="Comma 35 3 4" xfId="14228"/>
    <cellStyle name="Comma 35 3 4 2" xfId="27856"/>
    <cellStyle name="Comma 35 3 5" xfId="18228"/>
    <cellStyle name="Comma 35 4" xfId="6284"/>
    <cellStyle name="Comma 35 4 2" xfId="19934"/>
    <cellStyle name="Comma 35 5" xfId="9486"/>
    <cellStyle name="Comma 35 5 2" xfId="23128"/>
    <cellStyle name="Comma 35 6" xfId="12800"/>
    <cellStyle name="Comma 35 6 2" xfId="26428"/>
    <cellStyle name="Comma 35 7" xfId="16717"/>
    <cellStyle name="Comma 36" xfId="3787"/>
    <cellStyle name="Comma 37" xfId="3773"/>
    <cellStyle name="Comma 37 2" xfId="7209"/>
    <cellStyle name="Comma 37 2 2" xfId="20857"/>
    <cellStyle name="Comma 37 3" xfId="10348"/>
    <cellStyle name="Comma 37 3 2" xfId="23979"/>
    <cellStyle name="Comma 37 4" xfId="13643"/>
    <cellStyle name="Comma 37 4 2" xfId="27271"/>
    <cellStyle name="Comma 37 5" xfId="17574"/>
    <cellStyle name="Comma 38" xfId="5473"/>
    <cellStyle name="Comma 38 2" xfId="8734"/>
    <cellStyle name="Comma 38 2 2" xfId="22377"/>
    <cellStyle name="Comma 38 3" xfId="11794"/>
    <cellStyle name="Comma 38 3 2" xfId="25425"/>
    <cellStyle name="Comma 38 4" xfId="15090"/>
    <cellStyle name="Comma 38 4 2" xfId="28718"/>
    <cellStyle name="Comma 38 5" xfId="19123"/>
    <cellStyle name="Comma 39" xfId="5617"/>
    <cellStyle name="Comma 39 2" xfId="19267"/>
    <cellStyle name="Comma 4" xfId="40"/>
    <cellStyle name="Comma 4 2" xfId="131"/>
    <cellStyle name="Comma 4 2 2" xfId="879"/>
    <cellStyle name="Comma 4 2 3" xfId="878"/>
    <cellStyle name="Comma 4 3" xfId="880"/>
    <cellStyle name="Comma 4 4" xfId="881"/>
    <cellStyle name="Comma 4 5" xfId="15761"/>
    <cellStyle name="Comma 40" xfId="8880"/>
    <cellStyle name="Comma 40 2" xfId="22523"/>
    <cellStyle name="Comma 41" xfId="8924"/>
    <cellStyle name="Comma 41 2" xfId="22567"/>
    <cellStyle name="Comma 42" xfId="11938"/>
    <cellStyle name="Comma 42 2" xfId="25569"/>
    <cellStyle name="Comma 43" xfId="12082"/>
    <cellStyle name="Comma 43 2" xfId="25710"/>
    <cellStyle name="Comma 44" xfId="12216"/>
    <cellStyle name="Comma 44 2" xfId="25844"/>
    <cellStyle name="Comma 45" xfId="12220"/>
    <cellStyle name="Comma 45 2" xfId="25848"/>
    <cellStyle name="Comma 46" xfId="15429"/>
    <cellStyle name="Comma 46 2" xfId="28959"/>
    <cellStyle name="Comma 47" xfId="15657"/>
    <cellStyle name="Comma 47 2" xfId="29078"/>
    <cellStyle name="Comma 48" xfId="15746"/>
    <cellStyle name="Comma 49" xfId="15835"/>
    <cellStyle name="Comma 5" xfId="41"/>
    <cellStyle name="Comma 5 2" xfId="882"/>
    <cellStyle name="Comma 50" xfId="29717"/>
    <cellStyle name="Comma 6" xfId="42"/>
    <cellStyle name="Comma 6 2" xfId="883"/>
    <cellStyle name="Comma 7" xfId="43"/>
    <cellStyle name="Comma 7 2" xfId="133"/>
    <cellStyle name="Comma 7 2 2" xfId="884"/>
    <cellStyle name="Comma 7 3" xfId="885"/>
    <cellStyle name="Comma 7 4" xfId="886"/>
    <cellStyle name="Comma 7 5" xfId="1814"/>
    <cellStyle name="Comma 8" xfId="154"/>
    <cellStyle name="Comma 8 2" xfId="184"/>
    <cellStyle name="Comma 8 2 2" xfId="888"/>
    <cellStyle name="Comma 8 2 3" xfId="887"/>
    <cellStyle name="Comma 8 3" xfId="219"/>
    <cellStyle name="Comma 8 3 2" xfId="240"/>
    <cellStyle name="Comma 8 3 3" xfId="890"/>
    <cellStyle name="Comma 8 3 4" xfId="889"/>
    <cellStyle name="Comma 8 4" xfId="259"/>
    <cellStyle name="Comma 8 5" xfId="278"/>
    <cellStyle name="Comma 8 5 2" xfId="1815"/>
    <cellStyle name="Comma 8 5 3" xfId="1816"/>
    <cellStyle name="Comma 8 6" xfId="295"/>
    <cellStyle name="Comma 9" xfId="174"/>
    <cellStyle name="Comma 9 10" xfId="892"/>
    <cellStyle name="Comma 9 10 2" xfId="2889"/>
    <cellStyle name="Comma 9 11" xfId="893"/>
    <cellStyle name="Comma 9 11 2" xfId="2890"/>
    <cellStyle name="Comma 9 12" xfId="891"/>
    <cellStyle name="Comma 9 13" xfId="1817"/>
    <cellStyle name="Comma 9 13 2" xfId="3210"/>
    <cellStyle name="Comma 9 13 2 2" xfId="4958"/>
    <cellStyle name="Comma 9 13 2 2 2" xfId="8223"/>
    <cellStyle name="Comma 9 13 2 2 2 2" xfId="21871"/>
    <cellStyle name="Comma 9 13 2 2 3" xfId="11290"/>
    <cellStyle name="Comma 9 13 2 2 3 2" xfId="24921"/>
    <cellStyle name="Comma 9 13 2 2 4" xfId="14586"/>
    <cellStyle name="Comma 9 13 2 2 4 2" xfId="28214"/>
    <cellStyle name="Comma 9 13 2 2 5" xfId="18616"/>
    <cellStyle name="Comma 9 13 2 3" xfId="6645"/>
    <cellStyle name="Comma 9 13 2 3 2" xfId="20295"/>
    <cellStyle name="Comma 9 13 2 4" xfId="9866"/>
    <cellStyle name="Comma 9 13 2 4 2" xfId="23497"/>
    <cellStyle name="Comma 9 13 2 5" xfId="13161"/>
    <cellStyle name="Comma 9 13 2 5 2" xfId="26789"/>
    <cellStyle name="Comma 9 13 2 6" xfId="17091"/>
    <cellStyle name="Comma 9 13 3" xfId="4013"/>
    <cellStyle name="Comma 9 13 3 2" xfId="7443"/>
    <cellStyle name="Comma 9 13 3 2 2" xfId="21091"/>
    <cellStyle name="Comma 9 13 3 3" xfId="10581"/>
    <cellStyle name="Comma 9 13 3 3 2" xfId="24212"/>
    <cellStyle name="Comma 9 13 3 4" xfId="13877"/>
    <cellStyle name="Comma 9 13 3 4 2" xfId="27505"/>
    <cellStyle name="Comma 9 13 3 5" xfId="17808"/>
    <cellStyle name="Comma 9 13 4" xfId="5849"/>
    <cellStyle name="Comma 9 13 4 2" xfId="19499"/>
    <cellStyle name="Comma 9 13 5" xfId="9146"/>
    <cellStyle name="Comma 9 13 5 2" xfId="22788"/>
    <cellStyle name="Comma 9 13 6" xfId="12449"/>
    <cellStyle name="Comma 9 13 6 2" xfId="26077"/>
    <cellStyle name="Comma 9 13 7" xfId="16231"/>
    <cellStyle name="Comma 9 14" xfId="2136"/>
    <cellStyle name="Comma 9 14 2" xfId="3249"/>
    <cellStyle name="Comma 9 14 2 2" xfId="4996"/>
    <cellStyle name="Comma 9 14 2 2 2" xfId="8260"/>
    <cellStyle name="Comma 9 14 2 2 2 2" xfId="21908"/>
    <cellStyle name="Comma 9 14 2 2 3" xfId="11327"/>
    <cellStyle name="Comma 9 14 2 2 3 2" xfId="24958"/>
    <cellStyle name="Comma 9 14 2 2 4" xfId="14623"/>
    <cellStyle name="Comma 9 14 2 2 4 2" xfId="28251"/>
    <cellStyle name="Comma 9 14 2 2 5" xfId="18654"/>
    <cellStyle name="Comma 9 14 2 3" xfId="6683"/>
    <cellStyle name="Comma 9 14 2 3 2" xfId="20333"/>
    <cellStyle name="Comma 9 14 2 4" xfId="9904"/>
    <cellStyle name="Comma 9 14 2 4 2" xfId="23535"/>
    <cellStyle name="Comma 9 14 2 5" xfId="13199"/>
    <cellStyle name="Comma 9 14 2 5 2" xfId="26827"/>
    <cellStyle name="Comma 9 14 2 6" xfId="17129"/>
    <cellStyle name="Comma 9 14 3" xfId="4050"/>
    <cellStyle name="Comma 9 14 3 2" xfId="7480"/>
    <cellStyle name="Comma 9 14 3 2 2" xfId="21128"/>
    <cellStyle name="Comma 9 14 3 3" xfId="10618"/>
    <cellStyle name="Comma 9 14 3 3 2" xfId="24249"/>
    <cellStyle name="Comma 9 14 3 4" xfId="13914"/>
    <cellStyle name="Comma 9 14 3 4 2" xfId="27542"/>
    <cellStyle name="Comma 9 14 3 5" xfId="17845"/>
    <cellStyle name="Comma 9 14 4" xfId="5886"/>
    <cellStyle name="Comma 9 14 4 2" xfId="19536"/>
    <cellStyle name="Comma 9 14 5" xfId="9172"/>
    <cellStyle name="Comma 9 14 5 2" xfId="22814"/>
    <cellStyle name="Comma 9 14 6" xfId="12486"/>
    <cellStyle name="Comma 9 14 6 2" xfId="26114"/>
    <cellStyle name="Comma 9 14 7" xfId="16331"/>
    <cellStyle name="Comma 9 15" xfId="2330"/>
    <cellStyle name="Comma 9 15 2" xfId="3436"/>
    <cellStyle name="Comma 9 15 2 2" xfId="5172"/>
    <cellStyle name="Comma 9 15 2 2 2" xfId="8436"/>
    <cellStyle name="Comma 9 15 2 2 2 2" xfId="22084"/>
    <cellStyle name="Comma 9 15 2 2 3" xfId="11503"/>
    <cellStyle name="Comma 9 15 2 2 3 2" xfId="25134"/>
    <cellStyle name="Comma 9 15 2 2 4" xfId="14799"/>
    <cellStyle name="Comma 9 15 2 2 4 2" xfId="28427"/>
    <cellStyle name="Comma 9 15 2 2 5" xfId="18830"/>
    <cellStyle name="Comma 9 15 2 3" xfId="6870"/>
    <cellStyle name="Comma 9 15 2 3 2" xfId="20520"/>
    <cellStyle name="Comma 9 15 2 4" xfId="10080"/>
    <cellStyle name="Comma 9 15 2 4 2" xfId="23711"/>
    <cellStyle name="Comma 9 15 2 5" xfId="13375"/>
    <cellStyle name="Comma 9 15 2 5 2" xfId="27003"/>
    <cellStyle name="Comma 9 15 2 6" xfId="17305"/>
    <cellStyle name="Comma 9 15 3" xfId="4226"/>
    <cellStyle name="Comma 9 15 3 2" xfId="7656"/>
    <cellStyle name="Comma 9 15 3 2 2" xfId="21304"/>
    <cellStyle name="Comma 9 15 3 3" xfId="10794"/>
    <cellStyle name="Comma 9 15 3 3 2" xfId="24425"/>
    <cellStyle name="Comma 9 15 3 4" xfId="14090"/>
    <cellStyle name="Comma 9 15 3 4 2" xfId="27718"/>
    <cellStyle name="Comma 9 15 3 5" xfId="18021"/>
    <cellStyle name="Comma 9 15 4" xfId="6062"/>
    <cellStyle name="Comma 9 15 4 2" xfId="19712"/>
    <cellStyle name="Comma 9 15 5" xfId="9348"/>
    <cellStyle name="Comma 9 15 5 2" xfId="22990"/>
    <cellStyle name="Comma 9 15 6" xfId="12662"/>
    <cellStyle name="Comma 9 15 6 2" xfId="26290"/>
    <cellStyle name="Comma 9 15 7" xfId="16508"/>
    <cellStyle name="Comma 9 16" xfId="2710"/>
    <cellStyle name="Comma 9 16 2" xfId="3664"/>
    <cellStyle name="Comma 9 16 2 2" xfId="5331"/>
    <cellStyle name="Comma 9 16 2 2 2" xfId="8594"/>
    <cellStyle name="Comma 9 16 2 2 2 2" xfId="22242"/>
    <cellStyle name="Comma 9 16 2 2 3" xfId="11661"/>
    <cellStyle name="Comma 9 16 2 2 3 2" xfId="25292"/>
    <cellStyle name="Comma 9 16 2 2 4" xfId="14957"/>
    <cellStyle name="Comma 9 16 2 2 4 2" xfId="28585"/>
    <cellStyle name="Comma 9 16 2 2 5" xfId="18989"/>
    <cellStyle name="Comma 9 16 2 3" xfId="7098"/>
    <cellStyle name="Comma 9 16 2 3 2" xfId="20748"/>
    <cellStyle name="Comma 9 16 2 4" xfId="10239"/>
    <cellStyle name="Comma 9 16 2 4 2" xfId="23870"/>
    <cellStyle name="Comma 9 16 2 5" xfId="13534"/>
    <cellStyle name="Comma 9 16 2 5 2" xfId="27162"/>
    <cellStyle name="Comma 9 16 2 6" xfId="17465"/>
    <cellStyle name="Comma 9 16 3" xfId="4453"/>
    <cellStyle name="Comma 9 16 3 2" xfId="7883"/>
    <cellStyle name="Comma 9 16 3 2 2" xfId="21531"/>
    <cellStyle name="Comma 9 16 3 3" xfId="10952"/>
    <cellStyle name="Comma 9 16 3 3 2" xfId="24583"/>
    <cellStyle name="Comma 9 16 3 4" xfId="14248"/>
    <cellStyle name="Comma 9 16 3 4 2" xfId="27876"/>
    <cellStyle name="Comma 9 16 3 5" xfId="18248"/>
    <cellStyle name="Comma 9 16 4" xfId="6304"/>
    <cellStyle name="Comma 9 16 4 2" xfId="19954"/>
    <cellStyle name="Comma 9 16 5" xfId="9506"/>
    <cellStyle name="Comma 9 16 5 2" xfId="23148"/>
    <cellStyle name="Comma 9 16 6" xfId="12820"/>
    <cellStyle name="Comma 9 16 6 2" xfId="26448"/>
    <cellStyle name="Comma 9 16 7" xfId="16737"/>
    <cellStyle name="Comma 9 17" xfId="3181"/>
    <cellStyle name="Comma 9 17 2" xfId="4930"/>
    <cellStyle name="Comma 9 17 2 2" xfId="8196"/>
    <cellStyle name="Comma 9 17 2 2 2" xfId="21844"/>
    <cellStyle name="Comma 9 17 2 3" xfId="11263"/>
    <cellStyle name="Comma 9 17 2 3 2" xfId="24894"/>
    <cellStyle name="Comma 9 17 2 4" xfId="14559"/>
    <cellStyle name="Comma 9 17 2 4 2" xfId="28187"/>
    <cellStyle name="Comma 9 17 2 5" xfId="18588"/>
    <cellStyle name="Comma 9 17 3" xfId="6617"/>
    <cellStyle name="Comma 9 17 3 2" xfId="20267"/>
    <cellStyle name="Comma 9 17 4" xfId="9838"/>
    <cellStyle name="Comma 9 17 4 2" xfId="23469"/>
    <cellStyle name="Comma 9 17 5" xfId="13133"/>
    <cellStyle name="Comma 9 17 5 2" xfId="26761"/>
    <cellStyle name="Comma 9 17 6" xfId="17063"/>
    <cellStyle name="Comma 9 18" xfId="3797"/>
    <cellStyle name="Comma 9 18 2" xfId="7229"/>
    <cellStyle name="Comma 9 18 2 2" xfId="20877"/>
    <cellStyle name="Comma 9 18 3" xfId="10367"/>
    <cellStyle name="Comma 9 18 3 2" xfId="23998"/>
    <cellStyle name="Comma 9 18 4" xfId="13663"/>
    <cellStyle name="Comma 9 18 4 2" xfId="27291"/>
    <cellStyle name="Comma 9 18 5" xfId="17594"/>
    <cellStyle name="Comma 9 19" xfId="5493"/>
    <cellStyle name="Comma 9 19 2" xfId="8754"/>
    <cellStyle name="Comma 9 19 2 2" xfId="22397"/>
    <cellStyle name="Comma 9 19 3" xfId="11814"/>
    <cellStyle name="Comma 9 19 3 2" xfId="25445"/>
    <cellStyle name="Comma 9 19 4" xfId="15110"/>
    <cellStyle name="Comma 9 19 4 2" xfId="28738"/>
    <cellStyle name="Comma 9 19 5" xfId="19143"/>
    <cellStyle name="Comma 9 2" xfId="349"/>
    <cellStyle name="Comma 9 2 2" xfId="894"/>
    <cellStyle name="Comma 9 2 3" xfId="3105"/>
    <cellStyle name="Comma 9 2 3 2" xfId="4900"/>
    <cellStyle name="Comma 9 2 3 2 2" xfId="8166"/>
    <cellStyle name="Comma 9 2 3 2 2 2" xfId="21814"/>
    <cellStyle name="Comma 9 2 3 2 3" xfId="11233"/>
    <cellStyle name="Comma 9 2 3 2 3 2" xfId="24864"/>
    <cellStyle name="Comma 9 2 3 2 4" xfId="14529"/>
    <cellStyle name="Comma 9 2 3 2 4 2" xfId="28157"/>
    <cellStyle name="Comma 9 2 3 2 5" xfId="18558"/>
    <cellStyle name="Comma 9 2 3 3" xfId="6587"/>
    <cellStyle name="Comma 9 2 3 3 2" xfId="20237"/>
    <cellStyle name="Comma 9 2 3 4" xfId="9808"/>
    <cellStyle name="Comma 9 2 3 4 2" xfId="23439"/>
    <cellStyle name="Comma 9 2 3 5" xfId="13103"/>
    <cellStyle name="Comma 9 2 3 5 2" xfId="26731"/>
    <cellStyle name="Comma 9 2 3 6" xfId="17023"/>
    <cellStyle name="Comma 9 2 4" xfId="3829"/>
    <cellStyle name="Comma 9 2 4 2" xfId="7261"/>
    <cellStyle name="Comma 9 2 4 2 2" xfId="20909"/>
    <cellStyle name="Comma 9 2 4 3" xfId="10399"/>
    <cellStyle name="Comma 9 2 4 3 2" xfId="24030"/>
    <cellStyle name="Comma 9 2 4 4" xfId="13695"/>
    <cellStyle name="Comma 9 2 4 4 2" xfId="27323"/>
    <cellStyle name="Comma 9 2 4 5" xfId="17626"/>
    <cellStyle name="Comma 9 2 5" xfId="5669"/>
    <cellStyle name="Comma 9 2 5 2" xfId="19319"/>
    <cellStyle name="Comma 9 2 6" xfId="9103"/>
    <cellStyle name="Comma 9 2 6 2" xfId="22746"/>
    <cellStyle name="Comma 9 2 7" xfId="12272"/>
    <cellStyle name="Comma 9 2 7 2" xfId="25900"/>
    <cellStyle name="Comma 9 2 8" xfId="15900"/>
    <cellStyle name="Comma 9 20" xfId="5637"/>
    <cellStyle name="Comma 9 20 2" xfId="19287"/>
    <cellStyle name="Comma 9 21" xfId="8944"/>
    <cellStyle name="Comma 9 21 2" xfId="22587"/>
    <cellStyle name="Comma 9 22" xfId="11948"/>
    <cellStyle name="Comma 9 22 2" xfId="25579"/>
    <cellStyle name="Comma 9 23" xfId="12102"/>
    <cellStyle name="Comma 9 23 2" xfId="25730"/>
    <cellStyle name="Comma 9 24" xfId="12240"/>
    <cellStyle name="Comma 9 24 2" xfId="25868"/>
    <cellStyle name="Comma 9 25" xfId="15858"/>
    <cellStyle name="Comma 9 3" xfId="318"/>
    <cellStyle name="Comma 9 3 2" xfId="895"/>
    <cellStyle name="Comma 9 3 2 2" xfId="1818"/>
    <cellStyle name="Comma 9 3 3" xfId="3126"/>
    <cellStyle name="Comma 9 3 3 2" xfId="4921"/>
    <cellStyle name="Comma 9 3 3 2 2" xfId="8187"/>
    <cellStyle name="Comma 9 3 3 2 2 2" xfId="21835"/>
    <cellStyle name="Comma 9 3 3 2 3" xfId="11254"/>
    <cellStyle name="Comma 9 3 3 2 3 2" xfId="24885"/>
    <cellStyle name="Comma 9 3 3 2 4" xfId="14550"/>
    <cellStyle name="Comma 9 3 3 2 4 2" xfId="28178"/>
    <cellStyle name="Comma 9 3 3 2 5" xfId="18579"/>
    <cellStyle name="Comma 9 3 3 3" xfId="6608"/>
    <cellStyle name="Comma 9 3 3 3 2" xfId="20258"/>
    <cellStyle name="Comma 9 3 3 4" xfId="9829"/>
    <cellStyle name="Comma 9 3 3 4 2" xfId="23460"/>
    <cellStyle name="Comma 9 3 3 5" xfId="13124"/>
    <cellStyle name="Comma 9 3 3 5 2" xfId="26752"/>
    <cellStyle name="Comma 9 3 3 6" xfId="17044"/>
    <cellStyle name="Comma 9 3 4" xfId="3806"/>
    <cellStyle name="Comma 9 3 4 2" xfId="7238"/>
    <cellStyle name="Comma 9 3 4 2 2" xfId="20886"/>
    <cellStyle name="Comma 9 3 4 3" xfId="10376"/>
    <cellStyle name="Comma 9 3 4 3 2" xfId="24007"/>
    <cellStyle name="Comma 9 3 4 4" xfId="13672"/>
    <cellStyle name="Comma 9 3 4 4 2" xfId="27300"/>
    <cellStyle name="Comma 9 3 4 5" xfId="17603"/>
    <cellStyle name="Comma 9 3 5" xfId="5646"/>
    <cellStyle name="Comma 9 3 5 2" xfId="19296"/>
    <cellStyle name="Comma 9 3 6" xfId="9119"/>
    <cellStyle name="Comma 9 3 6 2" xfId="22762"/>
    <cellStyle name="Comma 9 3 7" xfId="12249"/>
    <cellStyle name="Comma 9 3 7 2" xfId="25877"/>
    <cellStyle name="Comma 9 3 8" xfId="15877"/>
    <cellStyle name="Comma 9 4" xfId="416"/>
    <cellStyle name="Comma 9 4 2" xfId="896"/>
    <cellStyle name="Comma 9 4 2 10" xfId="12103"/>
    <cellStyle name="Comma 9 4 2 10 2" xfId="25731"/>
    <cellStyle name="Comma 9 4 2 2" xfId="1820"/>
    <cellStyle name="Comma 9 4 2 3" xfId="1819"/>
    <cellStyle name="Comma 9 4 2 3 2" xfId="3211"/>
    <cellStyle name="Comma 9 4 2 3 2 2" xfId="4959"/>
    <cellStyle name="Comma 9 4 2 3 2 2 2" xfId="8224"/>
    <cellStyle name="Comma 9 4 2 3 2 2 2 2" xfId="21872"/>
    <cellStyle name="Comma 9 4 2 3 2 2 3" xfId="11291"/>
    <cellStyle name="Comma 9 4 2 3 2 2 3 2" xfId="24922"/>
    <cellStyle name="Comma 9 4 2 3 2 2 4" xfId="14587"/>
    <cellStyle name="Comma 9 4 2 3 2 2 4 2" xfId="28215"/>
    <cellStyle name="Comma 9 4 2 3 2 2 5" xfId="18617"/>
    <cellStyle name="Comma 9 4 2 3 2 3" xfId="6646"/>
    <cellStyle name="Comma 9 4 2 3 2 3 2" xfId="20296"/>
    <cellStyle name="Comma 9 4 2 3 2 4" xfId="9867"/>
    <cellStyle name="Comma 9 4 2 3 2 4 2" xfId="23498"/>
    <cellStyle name="Comma 9 4 2 3 2 5" xfId="13162"/>
    <cellStyle name="Comma 9 4 2 3 2 5 2" xfId="26790"/>
    <cellStyle name="Comma 9 4 2 3 2 6" xfId="17092"/>
    <cellStyle name="Comma 9 4 2 3 3" xfId="4014"/>
    <cellStyle name="Comma 9 4 2 3 3 2" xfId="7444"/>
    <cellStyle name="Comma 9 4 2 3 3 2 2" xfId="21092"/>
    <cellStyle name="Comma 9 4 2 3 3 3" xfId="10582"/>
    <cellStyle name="Comma 9 4 2 3 3 3 2" xfId="24213"/>
    <cellStyle name="Comma 9 4 2 3 3 4" xfId="13878"/>
    <cellStyle name="Comma 9 4 2 3 3 4 2" xfId="27506"/>
    <cellStyle name="Comma 9 4 2 3 3 5" xfId="17809"/>
    <cellStyle name="Comma 9 4 2 3 4" xfId="5850"/>
    <cellStyle name="Comma 9 4 2 3 4 2" xfId="19500"/>
    <cellStyle name="Comma 9 4 2 3 5" xfId="9147"/>
    <cellStyle name="Comma 9 4 2 3 5 2" xfId="22789"/>
    <cellStyle name="Comma 9 4 2 3 6" xfId="12450"/>
    <cellStyle name="Comma 9 4 2 3 6 2" xfId="26078"/>
    <cellStyle name="Comma 9 4 2 3 7" xfId="16232"/>
    <cellStyle name="Comma 9 4 2 4" xfId="2242"/>
    <cellStyle name="Comma 9 4 2 4 2" xfId="3355"/>
    <cellStyle name="Comma 9 4 2 4 2 2" xfId="5098"/>
    <cellStyle name="Comma 9 4 2 4 2 2 2" xfId="8362"/>
    <cellStyle name="Comma 9 4 2 4 2 2 2 2" xfId="22010"/>
    <cellStyle name="Comma 9 4 2 4 2 2 3" xfId="11429"/>
    <cellStyle name="Comma 9 4 2 4 2 2 3 2" xfId="25060"/>
    <cellStyle name="Comma 9 4 2 4 2 2 4" xfId="14725"/>
    <cellStyle name="Comma 9 4 2 4 2 2 4 2" xfId="28353"/>
    <cellStyle name="Comma 9 4 2 4 2 2 5" xfId="18756"/>
    <cellStyle name="Comma 9 4 2 4 2 3" xfId="6789"/>
    <cellStyle name="Comma 9 4 2 4 2 3 2" xfId="20439"/>
    <cellStyle name="Comma 9 4 2 4 2 4" xfId="10006"/>
    <cellStyle name="Comma 9 4 2 4 2 4 2" xfId="23637"/>
    <cellStyle name="Comma 9 4 2 4 2 5" xfId="13301"/>
    <cellStyle name="Comma 9 4 2 4 2 5 2" xfId="26929"/>
    <cellStyle name="Comma 9 4 2 4 2 6" xfId="17231"/>
    <cellStyle name="Comma 9 4 2 4 3" xfId="4152"/>
    <cellStyle name="Comma 9 4 2 4 3 2" xfId="7582"/>
    <cellStyle name="Comma 9 4 2 4 3 2 2" xfId="21230"/>
    <cellStyle name="Comma 9 4 2 4 3 3" xfId="10720"/>
    <cellStyle name="Comma 9 4 2 4 3 3 2" xfId="24351"/>
    <cellStyle name="Comma 9 4 2 4 3 4" xfId="14016"/>
    <cellStyle name="Comma 9 4 2 4 3 4 2" xfId="27644"/>
    <cellStyle name="Comma 9 4 2 4 3 5" xfId="17947"/>
    <cellStyle name="Comma 9 4 2 4 4" xfId="5988"/>
    <cellStyle name="Comma 9 4 2 4 4 2" xfId="19638"/>
    <cellStyle name="Comma 9 4 2 4 5" xfId="9274"/>
    <cellStyle name="Comma 9 4 2 4 5 2" xfId="22916"/>
    <cellStyle name="Comma 9 4 2 4 6" xfId="12588"/>
    <cellStyle name="Comma 9 4 2 4 6 2" xfId="26216"/>
    <cellStyle name="Comma 9 4 2 4 7" xfId="16433"/>
    <cellStyle name="Comma 9 4 2 5" xfId="2331"/>
    <cellStyle name="Comma 9 4 2 5 2" xfId="3437"/>
    <cellStyle name="Comma 9 4 2 5 2 2" xfId="5173"/>
    <cellStyle name="Comma 9 4 2 5 2 2 2" xfId="8437"/>
    <cellStyle name="Comma 9 4 2 5 2 2 2 2" xfId="22085"/>
    <cellStyle name="Comma 9 4 2 5 2 2 3" xfId="11504"/>
    <cellStyle name="Comma 9 4 2 5 2 2 3 2" xfId="25135"/>
    <cellStyle name="Comma 9 4 2 5 2 2 4" xfId="14800"/>
    <cellStyle name="Comma 9 4 2 5 2 2 4 2" xfId="28428"/>
    <cellStyle name="Comma 9 4 2 5 2 2 5" xfId="18831"/>
    <cellStyle name="Comma 9 4 2 5 2 3" xfId="6871"/>
    <cellStyle name="Comma 9 4 2 5 2 3 2" xfId="20521"/>
    <cellStyle name="Comma 9 4 2 5 2 4" xfId="10081"/>
    <cellStyle name="Comma 9 4 2 5 2 4 2" xfId="23712"/>
    <cellStyle name="Comma 9 4 2 5 2 5" xfId="13376"/>
    <cellStyle name="Comma 9 4 2 5 2 5 2" xfId="27004"/>
    <cellStyle name="Comma 9 4 2 5 2 6" xfId="17306"/>
    <cellStyle name="Comma 9 4 2 5 3" xfId="4227"/>
    <cellStyle name="Comma 9 4 2 5 3 2" xfId="7657"/>
    <cellStyle name="Comma 9 4 2 5 3 2 2" xfId="21305"/>
    <cellStyle name="Comma 9 4 2 5 3 3" xfId="10795"/>
    <cellStyle name="Comma 9 4 2 5 3 3 2" xfId="24426"/>
    <cellStyle name="Comma 9 4 2 5 3 4" xfId="14091"/>
    <cellStyle name="Comma 9 4 2 5 3 4 2" xfId="27719"/>
    <cellStyle name="Comma 9 4 2 5 3 5" xfId="18022"/>
    <cellStyle name="Comma 9 4 2 5 4" xfId="6063"/>
    <cellStyle name="Comma 9 4 2 5 4 2" xfId="19713"/>
    <cellStyle name="Comma 9 4 2 5 5" xfId="9349"/>
    <cellStyle name="Comma 9 4 2 5 5 2" xfId="22991"/>
    <cellStyle name="Comma 9 4 2 5 6" xfId="12663"/>
    <cellStyle name="Comma 9 4 2 5 6 2" xfId="26291"/>
    <cellStyle name="Comma 9 4 2 5 7" xfId="16509"/>
    <cellStyle name="Comma 9 4 2 6" xfId="2711"/>
    <cellStyle name="Comma 9 4 2 6 2" xfId="3665"/>
    <cellStyle name="Comma 9 4 2 6 2 2" xfId="5332"/>
    <cellStyle name="Comma 9 4 2 6 2 2 2" xfId="8595"/>
    <cellStyle name="Comma 9 4 2 6 2 2 2 2" xfId="22243"/>
    <cellStyle name="Comma 9 4 2 6 2 2 3" xfId="11662"/>
    <cellStyle name="Comma 9 4 2 6 2 2 3 2" xfId="25293"/>
    <cellStyle name="Comma 9 4 2 6 2 2 4" xfId="14958"/>
    <cellStyle name="Comma 9 4 2 6 2 2 4 2" xfId="28586"/>
    <cellStyle name="Comma 9 4 2 6 2 2 5" xfId="18990"/>
    <cellStyle name="Comma 9 4 2 6 2 3" xfId="7099"/>
    <cellStyle name="Comma 9 4 2 6 2 3 2" xfId="20749"/>
    <cellStyle name="Comma 9 4 2 6 2 4" xfId="10240"/>
    <cellStyle name="Comma 9 4 2 6 2 4 2" xfId="23871"/>
    <cellStyle name="Comma 9 4 2 6 2 5" xfId="13535"/>
    <cellStyle name="Comma 9 4 2 6 2 5 2" xfId="27163"/>
    <cellStyle name="Comma 9 4 2 6 2 6" xfId="17466"/>
    <cellStyle name="Comma 9 4 2 6 3" xfId="4454"/>
    <cellStyle name="Comma 9 4 2 6 3 2" xfId="7884"/>
    <cellStyle name="Comma 9 4 2 6 3 2 2" xfId="21532"/>
    <cellStyle name="Comma 9 4 2 6 3 3" xfId="10953"/>
    <cellStyle name="Comma 9 4 2 6 3 3 2" xfId="24584"/>
    <cellStyle name="Comma 9 4 2 6 3 4" xfId="14249"/>
    <cellStyle name="Comma 9 4 2 6 3 4 2" xfId="27877"/>
    <cellStyle name="Comma 9 4 2 6 3 5" xfId="18249"/>
    <cellStyle name="Comma 9 4 2 6 4" xfId="6305"/>
    <cellStyle name="Comma 9 4 2 6 4 2" xfId="19955"/>
    <cellStyle name="Comma 9 4 2 6 5" xfId="9507"/>
    <cellStyle name="Comma 9 4 2 6 5 2" xfId="23149"/>
    <cellStyle name="Comma 9 4 2 6 6" xfId="12821"/>
    <cellStyle name="Comma 9 4 2 6 6 2" xfId="26449"/>
    <cellStyle name="Comma 9 4 2 6 7" xfId="16738"/>
    <cellStyle name="Comma 9 4 2 7" xfId="5494"/>
    <cellStyle name="Comma 9 4 2 7 2" xfId="8755"/>
    <cellStyle name="Comma 9 4 2 7 2 2" xfId="22398"/>
    <cellStyle name="Comma 9 4 2 7 3" xfId="11815"/>
    <cellStyle name="Comma 9 4 2 7 3 2" xfId="25446"/>
    <cellStyle name="Comma 9 4 2 7 4" xfId="15111"/>
    <cellStyle name="Comma 9 4 2 7 4 2" xfId="28739"/>
    <cellStyle name="Comma 9 4 2 7 5" xfId="19144"/>
    <cellStyle name="Comma 9 4 2 8" xfId="8945"/>
    <cellStyle name="Comma 9 4 2 8 2" xfId="22588"/>
    <cellStyle name="Comma 9 4 2 9" xfId="12054"/>
    <cellStyle name="Comma 9 4 2 9 2" xfId="25682"/>
    <cellStyle name="Comma 9 4 3" xfId="3088"/>
    <cellStyle name="Comma 9 4 3 2" xfId="4888"/>
    <cellStyle name="Comma 9 4 3 2 2" xfId="8154"/>
    <cellStyle name="Comma 9 4 3 2 2 2" xfId="21802"/>
    <cellStyle name="Comma 9 4 3 2 3" xfId="11223"/>
    <cellStyle name="Comma 9 4 3 2 3 2" xfId="24854"/>
    <cellStyle name="Comma 9 4 3 2 4" xfId="14519"/>
    <cellStyle name="Comma 9 4 3 2 4 2" xfId="28147"/>
    <cellStyle name="Comma 9 4 3 2 5" xfId="18546"/>
    <cellStyle name="Comma 9 4 3 3" xfId="6577"/>
    <cellStyle name="Comma 9 4 3 3 2" xfId="20227"/>
    <cellStyle name="Comma 9 4 3 4" xfId="9798"/>
    <cellStyle name="Comma 9 4 3 4 2" xfId="23429"/>
    <cellStyle name="Comma 9 4 3 5" xfId="13093"/>
    <cellStyle name="Comma 9 4 3 5 2" xfId="26721"/>
    <cellStyle name="Comma 9 4 3 6" xfId="17011"/>
    <cellStyle name="Comma 9 4 4" xfId="3840"/>
    <cellStyle name="Comma 9 4 4 2" xfId="7272"/>
    <cellStyle name="Comma 9 4 4 2 2" xfId="20920"/>
    <cellStyle name="Comma 9 4 4 3" xfId="10410"/>
    <cellStyle name="Comma 9 4 4 3 2" xfId="24041"/>
    <cellStyle name="Comma 9 4 4 4" xfId="13706"/>
    <cellStyle name="Comma 9 4 4 4 2" xfId="27334"/>
    <cellStyle name="Comma 9 4 4 5" xfId="17637"/>
    <cellStyle name="Comma 9 4 5" xfId="5683"/>
    <cellStyle name="Comma 9 4 5 2" xfId="19333"/>
    <cellStyle name="Comma 9 4 6" xfId="12283"/>
    <cellStyle name="Comma 9 4 6 2" xfId="25911"/>
    <cellStyle name="Comma 9 4 7" xfId="15919"/>
    <cellStyle name="Comma 9 5" xfId="482"/>
    <cellStyle name="Comma 9 5 2" xfId="897"/>
    <cellStyle name="Comma 9 5 3" xfId="3062"/>
    <cellStyle name="Comma 9 5 3 2" xfId="4868"/>
    <cellStyle name="Comma 9 5 3 2 2" xfId="8134"/>
    <cellStyle name="Comma 9 5 3 2 2 2" xfId="21782"/>
    <cellStyle name="Comma 9 5 3 2 3" xfId="11203"/>
    <cellStyle name="Comma 9 5 3 2 3 2" xfId="24834"/>
    <cellStyle name="Comma 9 5 3 2 4" xfId="14499"/>
    <cellStyle name="Comma 9 5 3 2 4 2" xfId="28127"/>
    <cellStyle name="Comma 9 5 3 2 5" xfId="18526"/>
    <cellStyle name="Comma 9 5 3 3" xfId="6557"/>
    <cellStyle name="Comma 9 5 3 3 2" xfId="20207"/>
    <cellStyle name="Comma 9 5 3 4" xfId="9778"/>
    <cellStyle name="Comma 9 5 3 4 2" xfId="23409"/>
    <cellStyle name="Comma 9 5 3 5" xfId="13073"/>
    <cellStyle name="Comma 9 5 3 5 2" xfId="26701"/>
    <cellStyle name="Comma 9 5 3 6" xfId="16991"/>
    <cellStyle name="Comma 9 5 4" xfId="3864"/>
    <cellStyle name="Comma 9 5 4 2" xfId="7294"/>
    <cellStyle name="Comma 9 5 4 2 2" xfId="20942"/>
    <cellStyle name="Comma 9 5 4 3" xfId="10432"/>
    <cellStyle name="Comma 9 5 4 3 2" xfId="24063"/>
    <cellStyle name="Comma 9 5 4 4" xfId="13728"/>
    <cellStyle name="Comma 9 5 4 4 2" xfId="27356"/>
    <cellStyle name="Comma 9 5 4 5" xfId="17659"/>
    <cellStyle name="Comma 9 5 5" xfId="5705"/>
    <cellStyle name="Comma 9 5 5 2" xfId="19355"/>
    <cellStyle name="Comma 9 5 6" xfId="9075"/>
    <cellStyle name="Comma 9 5 6 2" xfId="22718"/>
    <cellStyle name="Comma 9 5 7" xfId="12305"/>
    <cellStyle name="Comma 9 5 7 2" xfId="25933"/>
    <cellStyle name="Comma 9 5 8" xfId="15981"/>
    <cellStyle name="Comma 9 6" xfId="898"/>
    <cellStyle name="Comma 9 6 10" xfId="12104"/>
    <cellStyle name="Comma 9 6 10 2" xfId="25732"/>
    <cellStyle name="Comma 9 6 2" xfId="1822"/>
    <cellStyle name="Comma 9 6 3" xfId="1821"/>
    <cellStyle name="Comma 9 6 3 2" xfId="3212"/>
    <cellStyle name="Comma 9 6 3 2 2" xfId="4960"/>
    <cellStyle name="Comma 9 6 3 2 2 2" xfId="8225"/>
    <cellStyle name="Comma 9 6 3 2 2 2 2" xfId="21873"/>
    <cellStyle name="Comma 9 6 3 2 2 3" xfId="11292"/>
    <cellStyle name="Comma 9 6 3 2 2 3 2" xfId="24923"/>
    <cellStyle name="Comma 9 6 3 2 2 4" xfId="14588"/>
    <cellStyle name="Comma 9 6 3 2 2 4 2" xfId="28216"/>
    <cellStyle name="Comma 9 6 3 2 2 5" xfId="18618"/>
    <cellStyle name="Comma 9 6 3 2 3" xfId="6647"/>
    <cellStyle name="Comma 9 6 3 2 3 2" xfId="20297"/>
    <cellStyle name="Comma 9 6 3 2 4" xfId="9868"/>
    <cellStyle name="Comma 9 6 3 2 4 2" xfId="23499"/>
    <cellStyle name="Comma 9 6 3 2 5" xfId="13163"/>
    <cellStyle name="Comma 9 6 3 2 5 2" xfId="26791"/>
    <cellStyle name="Comma 9 6 3 2 6" xfId="17093"/>
    <cellStyle name="Comma 9 6 3 3" xfId="4015"/>
    <cellStyle name="Comma 9 6 3 3 2" xfId="7445"/>
    <cellStyle name="Comma 9 6 3 3 2 2" xfId="21093"/>
    <cellStyle name="Comma 9 6 3 3 3" xfId="10583"/>
    <cellStyle name="Comma 9 6 3 3 3 2" xfId="24214"/>
    <cellStyle name="Comma 9 6 3 3 4" xfId="13879"/>
    <cellStyle name="Comma 9 6 3 3 4 2" xfId="27507"/>
    <cellStyle name="Comma 9 6 3 3 5" xfId="17810"/>
    <cellStyle name="Comma 9 6 3 4" xfId="5851"/>
    <cellStyle name="Comma 9 6 3 4 2" xfId="19501"/>
    <cellStyle name="Comma 9 6 3 5" xfId="9148"/>
    <cellStyle name="Comma 9 6 3 5 2" xfId="22790"/>
    <cellStyle name="Comma 9 6 3 6" xfId="12451"/>
    <cellStyle name="Comma 9 6 3 6 2" xfId="26079"/>
    <cellStyle name="Comma 9 6 3 7" xfId="16233"/>
    <cellStyle name="Comma 9 6 4" xfId="2218"/>
    <cellStyle name="Comma 9 6 4 2" xfId="3331"/>
    <cellStyle name="Comma 9 6 4 2 2" xfId="5077"/>
    <cellStyle name="Comma 9 6 4 2 2 2" xfId="8341"/>
    <cellStyle name="Comma 9 6 4 2 2 2 2" xfId="21989"/>
    <cellStyle name="Comma 9 6 4 2 2 3" xfId="11408"/>
    <cellStyle name="Comma 9 6 4 2 2 3 2" xfId="25039"/>
    <cellStyle name="Comma 9 6 4 2 2 4" xfId="14704"/>
    <cellStyle name="Comma 9 6 4 2 2 4 2" xfId="28332"/>
    <cellStyle name="Comma 9 6 4 2 2 5" xfId="18735"/>
    <cellStyle name="Comma 9 6 4 2 3" xfId="6765"/>
    <cellStyle name="Comma 9 6 4 2 3 2" xfId="20415"/>
    <cellStyle name="Comma 9 6 4 2 4" xfId="9985"/>
    <cellStyle name="Comma 9 6 4 2 4 2" xfId="23616"/>
    <cellStyle name="Comma 9 6 4 2 5" xfId="13280"/>
    <cellStyle name="Comma 9 6 4 2 5 2" xfId="26908"/>
    <cellStyle name="Comma 9 6 4 2 6" xfId="17210"/>
    <cellStyle name="Comma 9 6 4 3" xfId="4131"/>
    <cellStyle name="Comma 9 6 4 3 2" xfId="7561"/>
    <cellStyle name="Comma 9 6 4 3 2 2" xfId="21209"/>
    <cellStyle name="Comma 9 6 4 3 3" xfId="10699"/>
    <cellStyle name="Comma 9 6 4 3 3 2" xfId="24330"/>
    <cellStyle name="Comma 9 6 4 3 4" xfId="13995"/>
    <cellStyle name="Comma 9 6 4 3 4 2" xfId="27623"/>
    <cellStyle name="Comma 9 6 4 3 5" xfId="17926"/>
    <cellStyle name="Comma 9 6 4 4" xfId="5967"/>
    <cellStyle name="Comma 9 6 4 4 2" xfId="19617"/>
    <cellStyle name="Comma 9 6 4 5" xfId="9253"/>
    <cellStyle name="Comma 9 6 4 5 2" xfId="22895"/>
    <cellStyle name="Comma 9 6 4 6" xfId="12567"/>
    <cellStyle name="Comma 9 6 4 6 2" xfId="26195"/>
    <cellStyle name="Comma 9 6 4 7" xfId="16412"/>
    <cellStyle name="Comma 9 6 5" xfId="2332"/>
    <cellStyle name="Comma 9 6 5 2" xfId="3438"/>
    <cellStyle name="Comma 9 6 5 2 2" xfId="5174"/>
    <cellStyle name="Comma 9 6 5 2 2 2" xfId="8438"/>
    <cellStyle name="Comma 9 6 5 2 2 2 2" xfId="22086"/>
    <cellStyle name="Comma 9 6 5 2 2 3" xfId="11505"/>
    <cellStyle name="Comma 9 6 5 2 2 3 2" xfId="25136"/>
    <cellStyle name="Comma 9 6 5 2 2 4" xfId="14801"/>
    <cellStyle name="Comma 9 6 5 2 2 4 2" xfId="28429"/>
    <cellStyle name="Comma 9 6 5 2 2 5" xfId="18832"/>
    <cellStyle name="Comma 9 6 5 2 3" xfId="6872"/>
    <cellStyle name="Comma 9 6 5 2 3 2" xfId="20522"/>
    <cellStyle name="Comma 9 6 5 2 4" xfId="10082"/>
    <cellStyle name="Comma 9 6 5 2 4 2" xfId="23713"/>
    <cellStyle name="Comma 9 6 5 2 5" xfId="13377"/>
    <cellStyle name="Comma 9 6 5 2 5 2" xfId="27005"/>
    <cellStyle name="Comma 9 6 5 2 6" xfId="17307"/>
    <cellStyle name="Comma 9 6 5 3" xfId="4228"/>
    <cellStyle name="Comma 9 6 5 3 2" xfId="7658"/>
    <cellStyle name="Comma 9 6 5 3 2 2" xfId="21306"/>
    <cellStyle name="Comma 9 6 5 3 3" xfId="10796"/>
    <cellStyle name="Comma 9 6 5 3 3 2" xfId="24427"/>
    <cellStyle name="Comma 9 6 5 3 4" xfId="14092"/>
    <cellStyle name="Comma 9 6 5 3 4 2" xfId="27720"/>
    <cellStyle name="Comma 9 6 5 3 5" xfId="18023"/>
    <cellStyle name="Comma 9 6 5 4" xfId="6064"/>
    <cellStyle name="Comma 9 6 5 4 2" xfId="19714"/>
    <cellStyle name="Comma 9 6 5 5" xfId="9350"/>
    <cellStyle name="Comma 9 6 5 5 2" xfId="22992"/>
    <cellStyle name="Comma 9 6 5 6" xfId="12664"/>
    <cellStyle name="Comma 9 6 5 6 2" xfId="26292"/>
    <cellStyle name="Comma 9 6 5 7" xfId="16510"/>
    <cellStyle name="Comma 9 6 6" xfId="2712"/>
    <cellStyle name="Comma 9 6 6 2" xfId="3666"/>
    <cellStyle name="Comma 9 6 6 2 2" xfId="5333"/>
    <cellStyle name="Comma 9 6 6 2 2 2" xfId="8596"/>
    <cellStyle name="Comma 9 6 6 2 2 2 2" xfId="22244"/>
    <cellStyle name="Comma 9 6 6 2 2 3" xfId="11663"/>
    <cellStyle name="Comma 9 6 6 2 2 3 2" xfId="25294"/>
    <cellStyle name="Comma 9 6 6 2 2 4" xfId="14959"/>
    <cellStyle name="Comma 9 6 6 2 2 4 2" xfId="28587"/>
    <cellStyle name="Comma 9 6 6 2 2 5" xfId="18991"/>
    <cellStyle name="Comma 9 6 6 2 3" xfId="7100"/>
    <cellStyle name="Comma 9 6 6 2 3 2" xfId="20750"/>
    <cellStyle name="Comma 9 6 6 2 4" xfId="10241"/>
    <cellStyle name="Comma 9 6 6 2 4 2" xfId="23872"/>
    <cellStyle name="Comma 9 6 6 2 5" xfId="13536"/>
    <cellStyle name="Comma 9 6 6 2 5 2" xfId="27164"/>
    <cellStyle name="Comma 9 6 6 2 6" xfId="17467"/>
    <cellStyle name="Comma 9 6 6 3" xfId="4455"/>
    <cellStyle name="Comma 9 6 6 3 2" xfId="7885"/>
    <cellStyle name="Comma 9 6 6 3 2 2" xfId="21533"/>
    <cellStyle name="Comma 9 6 6 3 3" xfId="10954"/>
    <cellStyle name="Comma 9 6 6 3 3 2" xfId="24585"/>
    <cellStyle name="Comma 9 6 6 3 4" xfId="14250"/>
    <cellStyle name="Comma 9 6 6 3 4 2" xfId="27878"/>
    <cellStyle name="Comma 9 6 6 3 5" xfId="18250"/>
    <cellStyle name="Comma 9 6 6 4" xfId="6306"/>
    <cellStyle name="Comma 9 6 6 4 2" xfId="19956"/>
    <cellStyle name="Comma 9 6 6 5" xfId="9508"/>
    <cellStyle name="Comma 9 6 6 5 2" xfId="23150"/>
    <cellStyle name="Comma 9 6 6 6" xfId="12822"/>
    <cellStyle name="Comma 9 6 6 6 2" xfId="26450"/>
    <cellStyle name="Comma 9 6 6 7" xfId="16739"/>
    <cellStyle name="Comma 9 6 7" xfId="5495"/>
    <cellStyle name="Comma 9 6 7 2" xfId="8756"/>
    <cellStyle name="Comma 9 6 7 2 2" xfId="22399"/>
    <cellStyle name="Comma 9 6 7 3" xfId="11816"/>
    <cellStyle name="Comma 9 6 7 3 2" xfId="25447"/>
    <cellStyle name="Comma 9 6 7 4" xfId="15112"/>
    <cellStyle name="Comma 9 6 7 4 2" xfId="28740"/>
    <cellStyle name="Comma 9 6 7 5" xfId="19145"/>
    <cellStyle name="Comma 9 6 8" xfId="8946"/>
    <cellStyle name="Comma 9 6 8 2" xfId="22589"/>
    <cellStyle name="Comma 9 6 9" xfId="12027"/>
    <cellStyle name="Comma 9 6 9 2" xfId="25658"/>
    <cellStyle name="Comma 9 7" xfId="899"/>
    <cellStyle name="Comma 9 7 2" xfId="1824"/>
    <cellStyle name="Comma 9 7 3" xfId="1823"/>
    <cellStyle name="Comma 9 8" xfId="900"/>
    <cellStyle name="Comma 9 8 2" xfId="1826"/>
    <cellStyle name="Comma 9 8 3" xfId="1825"/>
    <cellStyle name="Comma 9 9" xfId="901"/>
    <cellStyle name="Comma 9 9 2" xfId="2891"/>
    <cellStyle name="comma zerodec" xfId="44"/>
    <cellStyle name="comma zerodec 2" xfId="45"/>
    <cellStyle name="comma zerodec 3" xfId="902"/>
    <cellStyle name="comma zerodec_Adjustments-RSVA" xfId="46"/>
    <cellStyle name="Comma0" xfId="386"/>
    <cellStyle name="Currency 10" xfId="334"/>
    <cellStyle name="Currency 10 2" xfId="904"/>
    <cellStyle name="Currency 10 2 2" xfId="1828"/>
    <cellStyle name="Currency 10 3" xfId="905"/>
    <cellStyle name="Currency 11" xfId="312"/>
    <cellStyle name="Currency 11 10" xfId="3800"/>
    <cellStyle name="Currency 11 10 2" xfId="7232"/>
    <cellStyle name="Currency 11 10 2 2" xfId="20880"/>
    <cellStyle name="Currency 11 10 3" xfId="10370"/>
    <cellStyle name="Currency 11 10 3 2" xfId="24001"/>
    <cellStyle name="Currency 11 10 4" xfId="13666"/>
    <cellStyle name="Currency 11 10 4 2" xfId="27294"/>
    <cellStyle name="Currency 11 10 5" xfId="17597"/>
    <cellStyle name="Currency 11 11" xfId="5497"/>
    <cellStyle name="Currency 11 11 2" xfId="8758"/>
    <cellStyle name="Currency 11 11 2 2" xfId="22401"/>
    <cellStyle name="Currency 11 11 3" xfId="11818"/>
    <cellStyle name="Currency 11 11 3 2" xfId="25449"/>
    <cellStyle name="Currency 11 11 4" xfId="15114"/>
    <cellStyle name="Currency 11 11 4 2" xfId="28742"/>
    <cellStyle name="Currency 11 11 5" xfId="19147"/>
    <cellStyle name="Currency 11 12" xfId="5640"/>
    <cellStyle name="Currency 11 12 2" xfId="19290"/>
    <cellStyle name="Currency 11 13" xfId="8948"/>
    <cellStyle name="Currency 11 13 2" xfId="22591"/>
    <cellStyle name="Currency 11 14" xfId="9123"/>
    <cellStyle name="Currency 11 14 2" xfId="22766"/>
    <cellStyle name="Currency 11 15" xfId="11952"/>
    <cellStyle name="Currency 11 15 2" xfId="25583"/>
    <cellStyle name="Currency 11 16" xfId="12106"/>
    <cellStyle name="Currency 11 16 2" xfId="25734"/>
    <cellStyle name="Currency 11 17" xfId="12243"/>
    <cellStyle name="Currency 11 17 2" xfId="25871"/>
    <cellStyle name="Currency 11 18" xfId="15871"/>
    <cellStyle name="Currency 11 2" xfId="907"/>
    <cellStyle name="Currency 11 3" xfId="906"/>
    <cellStyle name="Currency 11 4" xfId="1830"/>
    <cellStyle name="Currency 11 5" xfId="1829"/>
    <cellStyle name="Currency 11 5 2" xfId="3214"/>
    <cellStyle name="Currency 11 5 2 2" xfId="4962"/>
    <cellStyle name="Currency 11 5 2 2 2" xfId="8227"/>
    <cellStyle name="Currency 11 5 2 2 2 2" xfId="21875"/>
    <cellStyle name="Currency 11 5 2 2 3" xfId="11294"/>
    <cellStyle name="Currency 11 5 2 2 3 2" xfId="24925"/>
    <cellStyle name="Currency 11 5 2 2 4" xfId="14590"/>
    <cellStyle name="Currency 11 5 2 2 4 2" xfId="28218"/>
    <cellStyle name="Currency 11 5 2 2 5" xfId="18620"/>
    <cellStyle name="Currency 11 5 2 3" xfId="6649"/>
    <cellStyle name="Currency 11 5 2 3 2" xfId="20299"/>
    <cellStyle name="Currency 11 5 2 4" xfId="9870"/>
    <cellStyle name="Currency 11 5 2 4 2" xfId="23501"/>
    <cellStyle name="Currency 11 5 2 5" xfId="13165"/>
    <cellStyle name="Currency 11 5 2 5 2" xfId="26793"/>
    <cellStyle name="Currency 11 5 2 6" xfId="17095"/>
    <cellStyle name="Currency 11 5 3" xfId="4017"/>
    <cellStyle name="Currency 11 5 3 2" xfId="7447"/>
    <cellStyle name="Currency 11 5 3 2 2" xfId="21095"/>
    <cellStyle name="Currency 11 5 3 3" xfId="10585"/>
    <cellStyle name="Currency 11 5 3 3 2" xfId="24216"/>
    <cellStyle name="Currency 11 5 3 4" xfId="13881"/>
    <cellStyle name="Currency 11 5 3 4 2" xfId="27509"/>
    <cellStyle name="Currency 11 5 3 5" xfId="17812"/>
    <cellStyle name="Currency 11 5 4" xfId="5853"/>
    <cellStyle name="Currency 11 5 4 2" xfId="19503"/>
    <cellStyle name="Currency 11 5 5" xfId="9150"/>
    <cellStyle name="Currency 11 5 5 2" xfId="22792"/>
    <cellStyle name="Currency 11 5 6" xfId="12453"/>
    <cellStyle name="Currency 11 5 6 2" xfId="26081"/>
    <cellStyle name="Currency 11 5 7" xfId="16235"/>
    <cellStyle name="Currency 11 6" xfId="2142"/>
    <cellStyle name="Currency 11 6 2" xfId="3255"/>
    <cellStyle name="Currency 11 6 2 2" xfId="5001"/>
    <cellStyle name="Currency 11 6 2 2 2" xfId="8265"/>
    <cellStyle name="Currency 11 6 2 2 2 2" xfId="21913"/>
    <cellStyle name="Currency 11 6 2 2 3" xfId="11332"/>
    <cellStyle name="Currency 11 6 2 2 3 2" xfId="24963"/>
    <cellStyle name="Currency 11 6 2 2 4" xfId="14628"/>
    <cellStyle name="Currency 11 6 2 2 4 2" xfId="28256"/>
    <cellStyle name="Currency 11 6 2 2 5" xfId="18659"/>
    <cellStyle name="Currency 11 6 2 3" xfId="6689"/>
    <cellStyle name="Currency 11 6 2 3 2" xfId="20339"/>
    <cellStyle name="Currency 11 6 2 4" xfId="9909"/>
    <cellStyle name="Currency 11 6 2 4 2" xfId="23540"/>
    <cellStyle name="Currency 11 6 2 5" xfId="13204"/>
    <cellStyle name="Currency 11 6 2 5 2" xfId="26832"/>
    <cellStyle name="Currency 11 6 2 6" xfId="17134"/>
    <cellStyle name="Currency 11 6 3" xfId="4055"/>
    <cellStyle name="Currency 11 6 3 2" xfId="7485"/>
    <cellStyle name="Currency 11 6 3 2 2" xfId="21133"/>
    <cellStyle name="Currency 11 6 3 3" xfId="10623"/>
    <cellStyle name="Currency 11 6 3 3 2" xfId="24254"/>
    <cellStyle name="Currency 11 6 3 4" xfId="13919"/>
    <cellStyle name="Currency 11 6 3 4 2" xfId="27547"/>
    <cellStyle name="Currency 11 6 3 5" xfId="17850"/>
    <cellStyle name="Currency 11 6 4" xfId="5891"/>
    <cellStyle name="Currency 11 6 4 2" xfId="19541"/>
    <cellStyle name="Currency 11 6 5" xfId="9177"/>
    <cellStyle name="Currency 11 6 5 2" xfId="22819"/>
    <cellStyle name="Currency 11 6 6" xfId="12491"/>
    <cellStyle name="Currency 11 6 6 2" xfId="26119"/>
    <cellStyle name="Currency 11 6 7" xfId="16336"/>
    <cellStyle name="Currency 11 7" xfId="2339"/>
    <cellStyle name="Currency 11 7 2" xfId="3445"/>
    <cellStyle name="Currency 11 7 2 2" xfId="5181"/>
    <cellStyle name="Currency 11 7 2 2 2" xfId="8445"/>
    <cellStyle name="Currency 11 7 2 2 2 2" xfId="22093"/>
    <cellStyle name="Currency 11 7 2 2 3" xfId="11512"/>
    <cellStyle name="Currency 11 7 2 2 3 2" xfId="25143"/>
    <cellStyle name="Currency 11 7 2 2 4" xfId="14808"/>
    <cellStyle name="Currency 11 7 2 2 4 2" xfId="28436"/>
    <cellStyle name="Currency 11 7 2 2 5" xfId="18839"/>
    <cellStyle name="Currency 11 7 2 3" xfId="6879"/>
    <cellStyle name="Currency 11 7 2 3 2" xfId="20529"/>
    <cellStyle name="Currency 11 7 2 4" xfId="10089"/>
    <cellStyle name="Currency 11 7 2 4 2" xfId="23720"/>
    <cellStyle name="Currency 11 7 2 5" xfId="13384"/>
    <cellStyle name="Currency 11 7 2 5 2" xfId="27012"/>
    <cellStyle name="Currency 11 7 2 6" xfId="17314"/>
    <cellStyle name="Currency 11 7 3" xfId="4235"/>
    <cellStyle name="Currency 11 7 3 2" xfId="7665"/>
    <cellStyle name="Currency 11 7 3 2 2" xfId="21313"/>
    <cellStyle name="Currency 11 7 3 3" xfId="10803"/>
    <cellStyle name="Currency 11 7 3 3 2" xfId="24434"/>
    <cellStyle name="Currency 11 7 3 4" xfId="14099"/>
    <cellStyle name="Currency 11 7 3 4 2" xfId="27727"/>
    <cellStyle name="Currency 11 7 3 5" xfId="18030"/>
    <cellStyle name="Currency 11 7 4" xfId="6071"/>
    <cellStyle name="Currency 11 7 4 2" xfId="19721"/>
    <cellStyle name="Currency 11 7 5" xfId="9357"/>
    <cellStyle name="Currency 11 7 5 2" xfId="22999"/>
    <cellStyle name="Currency 11 7 6" xfId="12671"/>
    <cellStyle name="Currency 11 7 6 2" xfId="26299"/>
    <cellStyle name="Currency 11 7 7" xfId="16517"/>
    <cellStyle name="Currency 11 8" xfId="2714"/>
    <cellStyle name="Currency 11 8 2" xfId="3668"/>
    <cellStyle name="Currency 11 8 2 2" xfId="5335"/>
    <cellStyle name="Currency 11 8 2 2 2" xfId="8598"/>
    <cellStyle name="Currency 11 8 2 2 2 2" xfId="22246"/>
    <cellStyle name="Currency 11 8 2 2 3" xfId="11665"/>
    <cellStyle name="Currency 11 8 2 2 3 2" xfId="25296"/>
    <cellStyle name="Currency 11 8 2 2 4" xfId="14961"/>
    <cellStyle name="Currency 11 8 2 2 4 2" xfId="28589"/>
    <cellStyle name="Currency 11 8 2 2 5" xfId="18993"/>
    <cellStyle name="Currency 11 8 2 3" xfId="7102"/>
    <cellStyle name="Currency 11 8 2 3 2" xfId="20752"/>
    <cellStyle name="Currency 11 8 2 4" xfId="10243"/>
    <cellStyle name="Currency 11 8 2 4 2" xfId="23874"/>
    <cellStyle name="Currency 11 8 2 5" xfId="13538"/>
    <cellStyle name="Currency 11 8 2 5 2" xfId="27166"/>
    <cellStyle name="Currency 11 8 2 6" xfId="17469"/>
    <cellStyle name="Currency 11 8 3" xfId="4457"/>
    <cellStyle name="Currency 11 8 3 2" xfId="7887"/>
    <cellStyle name="Currency 11 8 3 2 2" xfId="21535"/>
    <cellStyle name="Currency 11 8 3 3" xfId="10956"/>
    <cellStyle name="Currency 11 8 3 3 2" xfId="24587"/>
    <cellStyle name="Currency 11 8 3 4" xfId="14252"/>
    <cellStyle name="Currency 11 8 3 4 2" xfId="27880"/>
    <cellStyle name="Currency 11 8 3 5" xfId="18252"/>
    <cellStyle name="Currency 11 8 4" xfId="6308"/>
    <cellStyle name="Currency 11 8 4 2" xfId="19958"/>
    <cellStyle name="Currency 11 8 5" xfId="9510"/>
    <cellStyle name="Currency 11 8 5 2" xfId="23152"/>
    <cellStyle name="Currency 11 8 6" xfId="12824"/>
    <cellStyle name="Currency 11 8 6 2" xfId="26452"/>
    <cellStyle name="Currency 11 8 7" xfId="16741"/>
    <cellStyle name="Currency 11 9" xfId="3132"/>
    <cellStyle name="Currency 11 9 2" xfId="4927"/>
    <cellStyle name="Currency 11 9 2 2" xfId="8193"/>
    <cellStyle name="Currency 11 9 2 2 2" xfId="21841"/>
    <cellStyle name="Currency 11 9 2 3" xfId="11260"/>
    <cellStyle name="Currency 11 9 2 3 2" xfId="24891"/>
    <cellStyle name="Currency 11 9 2 4" xfId="14556"/>
    <cellStyle name="Currency 11 9 2 4 2" xfId="28184"/>
    <cellStyle name="Currency 11 9 2 5" xfId="18585"/>
    <cellStyle name="Currency 11 9 3" xfId="6614"/>
    <cellStyle name="Currency 11 9 3 2" xfId="20264"/>
    <cellStyle name="Currency 11 9 4" xfId="9835"/>
    <cellStyle name="Currency 11 9 4 2" xfId="23466"/>
    <cellStyle name="Currency 11 9 5" xfId="13130"/>
    <cellStyle name="Currency 11 9 5 2" xfId="26758"/>
    <cellStyle name="Currency 11 9 6" xfId="17050"/>
    <cellStyle name="Currency 12" xfId="412"/>
    <cellStyle name="Currency 12 10" xfId="12280"/>
    <cellStyle name="Currency 12 10 2" xfId="25908"/>
    <cellStyle name="Currency 12 11" xfId="15916"/>
    <cellStyle name="Currency 12 2" xfId="909"/>
    <cellStyle name="Currency 12 3" xfId="910"/>
    <cellStyle name="Currency 12 3 2" xfId="911"/>
    <cellStyle name="Currency 12 3 3" xfId="15279"/>
    <cellStyle name="Currency 12 4" xfId="912"/>
    <cellStyle name="Currency 12 5" xfId="908"/>
    <cellStyle name="Currency 12 6" xfId="3090"/>
    <cellStyle name="Currency 12 6 2" xfId="4890"/>
    <cellStyle name="Currency 12 6 2 2" xfId="8156"/>
    <cellStyle name="Currency 12 6 2 2 2" xfId="21804"/>
    <cellStyle name="Currency 12 6 2 3" xfId="11225"/>
    <cellStyle name="Currency 12 6 2 3 2" xfId="24856"/>
    <cellStyle name="Currency 12 6 2 4" xfId="14521"/>
    <cellStyle name="Currency 12 6 2 4 2" xfId="28149"/>
    <cellStyle name="Currency 12 6 2 5" xfId="18548"/>
    <cellStyle name="Currency 12 6 3" xfId="6579"/>
    <cellStyle name="Currency 12 6 3 2" xfId="20229"/>
    <cellStyle name="Currency 12 6 4" xfId="9800"/>
    <cellStyle name="Currency 12 6 4 2" xfId="23431"/>
    <cellStyle name="Currency 12 6 5" xfId="13095"/>
    <cellStyle name="Currency 12 6 5 2" xfId="26723"/>
    <cellStyle name="Currency 12 6 6" xfId="17013"/>
    <cellStyle name="Currency 12 7" xfId="3837"/>
    <cellStyle name="Currency 12 7 2" xfId="7269"/>
    <cellStyle name="Currency 12 7 2 2" xfId="20917"/>
    <cellStyle name="Currency 12 7 3" xfId="10407"/>
    <cellStyle name="Currency 12 7 3 2" xfId="24038"/>
    <cellStyle name="Currency 12 7 4" xfId="13703"/>
    <cellStyle name="Currency 12 7 4 2" xfId="27331"/>
    <cellStyle name="Currency 12 7 5" xfId="17634"/>
    <cellStyle name="Currency 12 8" xfId="5680"/>
    <cellStyle name="Currency 12 8 2" xfId="19330"/>
    <cellStyle name="Currency 12 9" xfId="9094"/>
    <cellStyle name="Currency 12 9 2" xfId="22737"/>
    <cellStyle name="Currency 13" xfId="464"/>
    <cellStyle name="Currency 13 10" xfId="15967"/>
    <cellStyle name="Currency 13 2" xfId="914"/>
    <cellStyle name="Currency 13 3" xfId="915"/>
    <cellStyle name="Currency 13 4" xfId="913"/>
    <cellStyle name="Currency 13 5" xfId="3079"/>
    <cellStyle name="Currency 13 5 2" xfId="4880"/>
    <cellStyle name="Currency 13 5 2 2" xfId="8146"/>
    <cellStyle name="Currency 13 5 2 2 2" xfId="21794"/>
    <cellStyle name="Currency 13 5 2 3" xfId="11215"/>
    <cellStyle name="Currency 13 5 2 3 2" xfId="24846"/>
    <cellStyle name="Currency 13 5 2 4" xfId="14511"/>
    <cellStyle name="Currency 13 5 2 4 2" xfId="28139"/>
    <cellStyle name="Currency 13 5 2 5" xfId="18538"/>
    <cellStyle name="Currency 13 5 3" xfId="6569"/>
    <cellStyle name="Currency 13 5 3 2" xfId="20219"/>
    <cellStyle name="Currency 13 5 4" xfId="9790"/>
    <cellStyle name="Currency 13 5 4 2" xfId="23421"/>
    <cellStyle name="Currency 13 5 5" xfId="13085"/>
    <cellStyle name="Currency 13 5 5 2" xfId="26713"/>
    <cellStyle name="Currency 13 5 6" xfId="17003"/>
    <cellStyle name="Currency 13 6" xfId="3850"/>
    <cellStyle name="Currency 13 6 2" xfId="7280"/>
    <cellStyle name="Currency 13 6 2 2" xfId="20928"/>
    <cellStyle name="Currency 13 6 3" xfId="10418"/>
    <cellStyle name="Currency 13 6 3 2" xfId="24049"/>
    <cellStyle name="Currency 13 6 4" xfId="13714"/>
    <cellStyle name="Currency 13 6 4 2" xfId="27342"/>
    <cellStyle name="Currency 13 6 5" xfId="17645"/>
    <cellStyle name="Currency 13 7" xfId="5691"/>
    <cellStyle name="Currency 13 7 2" xfId="19341"/>
    <cellStyle name="Currency 13 8" xfId="9084"/>
    <cellStyle name="Currency 13 8 2" xfId="22727"/>
    <cellStyle name="Currency 13 9" xfId="12291"/>
    <cellStyle name="Currency 13 9 2" xfId="25919"/>
    <cellStyle name="Currency 14" xfId="916"/>
    <cellStyle name="Currency 14 2" xfId="917"/>
    <cellStyle name="Currency 14 3" xfId="918"/>
    <cellStyle name="Currency 14 4" xfId="919"/>
    <cellStyle name="Currency 14 5" xfId="2892"/>
    <cellStyle name="Currency 15" xfId="920"/>
    <cellStyle name="Currency 15 2" xfId="921"/>
    <cellStyle name="Currency 16" xfId="922"/>
    <cellStyle name="Currency 16 2" xfId="2893"/>
    <cellStyle name="Currency 16 2 2" xfId="9616"/>
    <cellStyle name="Currency 17" xfId="923"/>
    <cellStyle name="Currency 17 2" xfId="2894"/>
    <cellStyle name="Currency 17 2 2" xfId="15281"/>
    <cellStyle name="Currency 17 3" xfId="15282"/>
    <cellStyle name="Currency 17 4" xfId="15280"/>
    <cellStyle name="Currency 18" xfId="924"/>
    <cellStyle name="Currency 18 2" xfId="2895"/>
    <cellStyle name="Currency 18 2 2" xfId="15285"/>
    <cellStyle name="Currency 18 2 2 2" xfId="15478"/>
    <cellStyle name="Currency 18 2 3" xfId="15284"/>
    <cellStyle name="Currency 18 2 4" xfId="15479"/>
    <cellStyle name="Currency 18 3" xfId="15286"/>
    <cellStyle name="Currency 18 4" xfId="15283"/>
    <cellStyle name="Currency 19" xfId="925"/>
    <cellStyle name="Currency 19 2" xfId="2896"/>
    <cellStyle name="Currency 2" xfId="9"/>
    <cellStyle name="Currency 2 12" xfId="499"/>
    <cellStyle name="Currency 2 2" xfId="387"/>
    <cellStyle name="Currency 2 2 2" xfId="927"/>
    <cellStyle name="Currency 2 2 2 2" xfId="2897"/>
    <cellStyle name="Currency 2 2 3" xfId="926"/>
    <cellStyle name="Currency 2 3" xfId="928"/>
    <cellStyle name="Currency 2 4" xfId="929"/>
    <cellStyle name="Currency 2 5" xfId="9630"/>
    <cellStyle name="Currency 2 6" xfId="15762"/>
    <cellStyle name="Currency 20" xfId="930"/>
    <cellStyle name="Currency 20 10" xfId="12107"/>
    <cellStyle name="Currency 20 10 2" xfId="25735"/>
    <cellStyle name="Currency 20 11" xfId="15287"/>
    <cellStyle name="Currency 20 2" xfId="1832"/>
    <cellStyle name="Currency 20 3" xfId="1831"/>
    <cellStyle name="Currency 20 3 2" xfId="3215"/>
    <cellStyle name="Currency 20 3 2 2" xfId="4963"/>
    <cellStyle name="Currency 20 3 2 2 2" xfId="8228"/>
    <cellStyle name="Currency 20 3 2 2 2 2" xfId="21876"/>
    <cellStyle name="Currency 20 3 2 2 3" xfId="11295"/>
    <cellStyle name="Currency 20 3 2 2 3 2" xfId="24926"/>
    <cellStyle name="Currency 20 3 2 2 4" xfId="14591"/>
    <cellStyle name="Currency 20 3 2 2 4 2" xfId="28219"/>
    <cellStyle name="Currency 20 3 2 2 5" xfId="18621"/>
    <cellStyle name="Currency 20 3 2 3" xfId="6650"/>
    <cellStyle name="Currency 20 3 2 3 2" xfId="20300"/>
    <cellStyle name="Currency 20 3 2 4" xfId="9871"/>
    <cellStyle name="Currency 20 3 2 4 2" xfId="23502"/>
    <cellStyle name="Currency 20 3 2 5" xfId="13166"/>
    <cellStyle name="Currency 20 3 2 5 2" xfId="26794"/>
    <cellStyle name="Currency 20 3 2 6" xfId="17096"/>
    <cellStyle name="Currency 20 3 3" xfId="4018"/>
    <cellStyle name="Currency 20 3 3 2" xfId="7448"/>
    <cellStyle name="Currency 20 3 3 2 2" xfId="21096"/>
    <cellStyle name="Currency 20 3 3 3" xfId="10586"/>
    <cellStyle name="Currency 20 3 3 3 2" xfId="24217"/>
    <cellStyle name="Currency 20 3 3 4" xfId="13882"/>
    <cellStyle name="Currency 20 3 3 4 2" xfId="27510"/>
    <cellStyle name="Currency 20 3 3 5" xfId="17813"/>
    <cellStyle name="Currency 20 3 4" xfId="5854"/>
    <cellStyle name="Currency 20 3 4 2" xfId="19504"/>
    <cellStyle name="Currency 20 3 5" xfId="9151"/>
    <cellStyle name="Currency 20 3 5 2" xfId="22793"/>
    <cellStyle name="Currency 20 3 6" xfId="12454"/>
    <cellStyle name="Currency 20 3 6 2" xfId="26082"/>
    <cellStyle name="Currency 20 3 7" xfId="15480"/>
    <cellStyle name="Currency 20 3 8" xfId="16236"/>
    <cellStyle name="Currency 20 4" xfId="2226"/>
    <cellStyle name="Currency 20 4 2" xfId="3339"/>
    <cellStyle name="Currency 20 4 2 2" xfId="5085"/>
    <cellStyle name="Currency 20 4 2 2 2" xfId="8349"/>
    <cellStyle name="Currency 20 4 2 2 2 2" xfId="21997"/>
    <cellStyle name="Currency 20 4 2 2 3" xfId="11416"/>
    <cellStyle name="Currency 20 4 2 2 3 2" xfId="25047"/>
    <cellStyle name="Currency 20 4 2 2 4" xfId="14712"/>
    <cellStyle name="Currency 20 4 2 2 4 2" xfId="28340"/>
    <cellStyle name="Currency 20 4 2 2 5" xfId="18743"/>
    <cellStyle name="Currency 20 4 2 3" xfId="6773"/>
    <cellStyle name="Currency 20 4 2 3 2" xfId="20423"/>
    <cellStyle name="Currency 20 4 2 4" xfId="9993"/>
    <cellStyle name="Currency 20 4 2 4 2" xfId="23624"/>
    <cellStyle name="Currency 20 4 2 5" xfId="13288"/>
    <cellStyle name="Currency 20 4 2 5 2" xfId="26916"/>
    <cellStyle name="Currency 20 4 2 6" xfId="17218"/>
    <cellStyle name="Currency 20 4 3" xfId="4139"/>
    <cellStyle name="Currency 20 4 3 2" xfId="7569"/>
    <cellStyle name="Currency 20 4 3 2 2" xfId="21217"/>
    <cellStyle name="Currency 20 4 3 3" xfId="10707"/>
    <cellStyle name="Currency 20 4 3 3 2" xfId="24338"/>
    <cellStyle name="Currency 20 4 3 4" xfId="14003"/>
    <cellStyle name="Currency 20 4 3 4 2" xfId="27631"/>
    <cellStyle name="Currency 20 4 3 5" xfId="17934"/>
    <cellStyle name="Currency 20 4 4" xfId="5975"/>
    <cellStyle name="Currency 20 4 4 2" xfId="19625"/>
    <cellStyle name="Currency 20 4 5" xfId="9261"/>
    <cellStyle name="Currency 20 4 5 2" xfId="22903"/>
    <cellStyle name="Currency 20 4 6" xfId="12575"/>
    <cellStyle name="Currency 20 4 6 2" xfId="26203"/>
    <cellStyle name="Currency 20 4 7" xfId="16420"/>
    <cellStyle name="Currency 20 5" xfId="2340"/>
    <cellStyle name="Currency 20 5 2" xfId="3446"/>
    <cellStyle name="Currency 20 5 2 2" xfId="5182"/>
    <cellStyle name="Currency 20 5 2 2 2" xfId="8446"/>
    <cellStyle name="Currency 20 5 2 2 2 2" xfId="22094"/>
    <cellStyle name="Currency 20 5 2 2 3" xfId="11513"/>
    <cellStyle name="Currency 20 5 2 2 3 2" xfId="25144"/>
    <cellStyle name="Currency 20 5 2 2 4" xfId="14809"/>
    <cellStyle name="Currency 20 5 2 2 4 2" xfId="28437"/>
    <cellStyle name="Currency 20 5 2 2 5" xfId="18840"/>
    <cellStyle name="Currency 20 5 2 3" xfId="6880"/>
    <cellStyle name="Currency 20 5 2 3 2" xfId="20530"/>
    <cellStyle name="Currency 20 5 2 4" xfId="10090"/>
    <cellStyle name="Currency 20 5 2 4 2" xfId="23721"/>
    <cellStyle name="Currency 20 5 2 5" xfId="13385"/>
    <cellStyle name="Currency 20 5 2 5 2" xfId="27013"/>
    <cellStyle name="Currency 20 5 2 6" xfId="17315"/>
    <cellStyle name="Currency 20 5 3" xfId="4236"/>
    <cellStyle name="Currency 20 5 3 2" xfId="7666"/>
    <cellStyle name="Currency 20 5 3 2 2" xfId="21314"/>
    <cellStyle name="Currency 20 5 3 3" xfId="10804"/>
    <cellStyle name="Currency 20 5 3 3 2" xfId="24435"/>
    <cellStyle name="Currency 20 5 3 4" xfId="14100"/>
    <cellStyle name="Currency 20 5 3 4 2" xfId="27728"/>
    <cellStyle name="Currency 20 5 3 5" xfId="18031"/>
    <cellStyle name="Currency 20 5 4" xfId="6072"/>
    <cellStyle name="Currency 20 5 4 2" xfId="19722"/>
    <cellStyle name="Currency 20 5 5" xfId="9358"/>
    <cellStyle name="Currency 20 5 5 2" xfId="23000"/>
    <cellStyle name="Currency 20 5 6" xfId="12672"/>
    <cellStyle name="Currency 20 5 6 2" xfId="26300"/>
    <cellStyle name="Currency 20 5 7" xfId="16518"/>
    <cellStyle name="Currency 20 6" xfId="2715"/>
    <cellStyle name="Currency 20 6 2" xfId="3669"/>
    <cellStyle name="Currency 20 6 2 2" xfId="5336"/>
    <cellStyle name="Currency 20 6 2 2 2" xfId="8599"/>
    <cellStyle name="Currency 20 6 2 2 2 2" xfId="22247"/>
    <cellStyle name="Currency 20 6 2 2 3" xfId="11666"/>
    <cellStyle name="Currency 20 6 2 2 3 2" xfId="25297"/>
    <cellStyle name="Currency 20 6 2 2 4" xfId="14962"/>
    <cellStyle name="Currency 20 6 2 2 4 2" xfId="28590"/>
    <cellStyle name="Currency 20 6 2 2 5" xfId="18994"/>
    <cellStyle name="Currency 20 6 2 3" xfId="7103"/>
    <cellStyle name="Currency 20 6 2 3 2" xfId="20753"/>
    <cellStyle name="Currency 20 6 2 4" xfId="10244"/>
    <cellStyle name="Currency 20 6 2 4 2" xfId="23875"/>
    <cellStyle name="Currency 20 6 2 5" xfId="13539"/>
    <cellStyle name="Currency 20 6 2 5 2" xfId="27167"/>
    <cellStyle name="Currency 20 6 2 6" xfId="17470"/>
    <cellStyle name="Currency 20 6 3" xfId="4458"/>
    <cellStyle name="Currency 20 6 3 2" xfId="7888"/>
    <cellStyle name="Currency 20 6 3 2 2" xfId="21536"/>
    <cellStyle name="Currency 20 6 3 3" xfId="10957"/>
    <cellStyle name="Currency 20 6 3 3 2" xfId="24588"/>
    <cellStyle name="Currency 20 6 3 4" xfId="14253"/>
    <cellStyle name="Currency 20 6 3 4 2" xfId="27881"/>
    <cellStyle name="Currency 20 6 3 5" xfId="18253"/>
    <cellStyle name="Currency 20 6 4" xfId="6309"/>
    <cellStyle name="Currency 20 6 4 2" xfId="19959"/>
    <cellStyle name="Currency 20 6 5" xfId="9511"/>
    <cellStyle name="Currency 20 6 5 2" xfId="23153"/>
    <cellStyle name="Currency 20 6 6" xfId="12825"/>
    <cellStyle name="Currency 20 6 6 2" xfId="26453"/>
    <cellStyle name="Currency 20 6 7" xfId="16742"/>
    <cellStyle name="Currency 20 7" xfId="5498"/>
    <cellStyle name="Currency 20 7 2" xfId="8759"/>
    <cellStyle name="Currency 20 7 2 2" xfId="22402"/>
    <cellStyle name="Currency 20 7 3" xfId="11819"/>
    <cellStyle name="Currency 20 7 3 2" xfId="25450"/>
    <cellStyle name="Currency 20 7 4" xfId="15115"/>
    <cellStyle name="Currency 20 7 4 2" xfId="28743"/>
    <cellStyle name="Currency 20 7 5" xfId="19148"/>
    <cellStyle name="Currency 20 8" xfId="8949"/>
    <cellStyle name="Currency 20 8 2" xfId="22592"/>
    <cellStyle name="Currency 20 9" xfId="12035"/>
    <cellStyle name="Currency 20 9 2" xfId="25666"/>
    <cellStyle name="Currency 21" xfId="931"/>
    <cellStyle name="Currency 21 2" xfId="1834"/>
    <cellStyle name="Currency 21 2 2" xfId="15481"/>
    <cellStyle name="Currency 21 3" xfId="1833"/>
    <cellStyle name="Currency 21 3 2" xfId="15482"/>
    <cellStyle name="Currency 21 4" xfId="15288"/>
    <cellStyle name="Currency 22" xfId="932"/>
    <cellStyle name="Currency 22 2" xfId="1836"/>
    <cellStyle name="Currency 22 2 2" xfId="15483"/>
    <cellStyle name="Currency 22 3" xfId="1837"/>
    <cellStyle name="Currency 22 3 2" xfId="15484"/>
    <cellStyle name="Currency 22 4" xfId="1835"/>
    <cellStyle name="Currency 22 5" xfId="15289"/>
    <cellStyle name="Currency 23" xfId="933"/>
    <cellStyle name="Currency 23 2" xfId="2898"/>
    <cellStyle name="Currency 24" xfId="934"/>
    <cellStyle name="Currency 24 2" xfId="2899"/>
    <cellStyle name="Currency 25" xfId="935"/>
    <cellStyle name="Currency 25 2" xfId="2900"/>
    <cellStyle name="Currency 26" xfId="936"/>
    <cellStyle name="Currency 26 2" xfId="1839"/>
    <cellStyle name="Currency 26 2 2" xfId="2901"/>
    <cellStyle name="Currency 26 3" xfId="1838"/>
    <cellStyle name="Currency 27" xfId="903"/>
    <cellStyle name="Currency 27 2" xfId="1841"/>
    <cellStyle name="Currency 27 3" xfId="1840"/>
    <cellStyle name="Currency 27 4" xfId="2910"/>
    <cellStyle name="Currency 28" xfId="1827"/>
    <cellStyle name="Currency 28 2" xfId="3213"/>
    <cellStyle name="Currency 28 2 2" xfId="4961"/>
    <cellStyle name="Currency 28 2 2 2" xfId="8226"/>
    <cellStyle name="Currency 28 2 2 2 2" xfId="21874"/>
    <cellStyle name="Currency 28 2 2 3" xfId="11293"/>
    <cellStyle name="Currency 28 2 2 3 2" xfId="24924"/>
    <cellStyle name="Currency 28 2 2 4" xfId="14589"/>
    <cellStyle name="Currency 28 2 2 4 2" xfId="28217"/>
    <cellStyle name="Currency 28 2 2 5" xfId="18619"/>
    <cellStyle name="Currency 28 2 3" xfId="6648"/>
    <cellStyle name="Currency 28 2 3 2" xfId="20298"/>
    <cellStyle name="Currency 28 2 4" xfId="9869"/>
    <cellStyle name="Currency 28 2 4 2" xfId="23500"/>
    <cellStyle name="Currency 28 2 5" xfId="13164"/>
    <cellStyle name="Currency 28 2 5 2" xfId="26792"/>
    <cellStyle name="Currency 28 2 6" xfId="17094"/>
    <cellStyle name="Currency 28 3" xfId="4016"/>
    <cellStyle name="Currency 28 3 2" xfId="7446"/>
    <cellStyle name="Currency 28 3 2 2" xfId="21094"/>
    <cellStyle name="Currency 28 3 3" xfId="10584"/>
    <cellStyle name="Currency 28 3 3 2" xfId="24215"/>
    <cellStyle name="Currency 28 3 4" xfId="13880"/>
    <cellStyle name="Currency 28 3 4 2" xfId="27508"/>
    <cellStyle name="Currency 28 3 5" xfId="17811"/>
    <cellStyle name="Currency 28 4" xfId="5852"/>
    <cellStyle name="Currency 28 4 2" xfId="19502"/>
    <cellStyle name="Currency 28 5" xfId="9149"/>
    <cellStyle name="Currency 28 5 2" xfId="22791"/>
    <cellStyle name="Currency 28 6" xfId="12452"/>
    <cellStyle name="Currency 28 6 2" xfId="26080"/>
    <cellStyle name="Currency 28 7" xfId="15477"/>
    <cellStyle name="Currency 28 8" xfId="16234"/>
    <cellStyle name="Currency 29" xfId="2128"/>
    <cellStyle name="Currency 29 2" xfId="3241"/>
    <cellStyle name="Currency 29 2 2" xfId="4988"/>
    <cellStyle name="Currency 29 2 2 2" xfId="8252"/>
    <cellStyle name="Currency 29 2 2 2 2" xfId="21900"/>
    <cellStyle name="Currency 29 2 2 3" xfId="11319"/>
    <cellStyle name="Currency 29 2 2 3 2" xfId="24950"/>
    <cellStyle name="Currency 29 2 2 4" xfId="14615"/>
    <cellStyle name="Currency 29 2 2 4 2" xfId="28243"/>
    <cellStyle name="Currency 29 2 2 5" xfId="18646"/>
    <cellStyle name="Currency 29 2 3" xfId="6675"/>
    <cellStyle name="Currency 29 2 3 2" xfId="20325"/>
    <cellStyle name="Currency 29 2 4" xfId="9896"/>
    <cellStyle name="Currency 29 2 4 2" xfId="23527"/>
    <cellStyle name="Currency 29 2 5" xfId="13191"/>
    <cellStyle name="Currency 29 2 5 2" xfId="26819"/>
    <cellStyle name="Currency 29 2 6" xfId="17121"/>
    <cellStyle name="Currency 29 3" xfId="4042"/>
    <cellStyle name="Currency 29 3 2" xfId="7472"/>
    <cellStyle name="Currency 29 3 2 2" xfId="21120"/>
    <cellStyle name="Currency 29 3 3" xfId="10610"/>
    <cellStyle name="Currency 29 3 3 2" xfId="24241"/>
    <cellStyle name="Currency 29 3 4" xfId="13906"/>
    <cellStyle name="Currency 29 3 4 2" xfId="27534"/>
    <cellStyle name="Currency 29 3 5" xfId="17837"/>
    <cellStyle name="Currency 29 4" xfId="5878"/>
    <cellStyle name="Currency 29 4 2" xfId="19528"/>
    <cellStyle name="Currency 29 5" xfId="9164"/>
    <cellStyle name="Currency 29 5 2" xfId="22806"/>
    <cellStyle name="Currency 29 6" xfId="12478"/>
    <cellStyle name="Currency 29 6 2" xfId="26106"/>
    <cellStyle name="Currency 29 7" xfId="16323"/>
    <cellStyle name="Currency 3" xfId="47"/>
    <cellStyle name="Currency 3 2" xfId="937"/>
    <cellStyle name="Currency 3 3" xfId="938"/>
    <cellStyle name="Currency 3 3 2" xfId="939"/>
    <cellStyle name="Currency 3 4" xfId="940"/>
    <cellStyle name="Currency 3 4 2" xfId="941"/>
    <cellStyle name="Currency 3 4 3" xfId="942"/>
    <cellStyle name="Currency 3 4 4" xfId="943"/>
    <cellStyle name="Currency 3 4 4 2" xfId="944"/>
    <cellStyle name="Currency 3 4 5" xfId="2902"/>
    <cellStyle name="Currency 3 4 5 2" xfId="29633"/>
    <cellStyle name="Currency 3 5" xfId="945"/>
    <cellStyle name="Currency 3 6" xfId="15290"/>
    <cellStyle name="Currency 30" xfId="2337"/>
    <cellStyle name="Currency 30 2" xfId="3443"/>
    <cellStyle name="Currency 30 2 2" xfId="5179"/>
    <cellStyle name="Currency 30 2 2 2" xfId="8443"/>
    <cellStyle name="Currency 30 2 2 2 2" xfId="22091"/>
    <cellStyle name="Currency 30 2 2 3" xfId="11510"/>
    <cellStyle name="Currency 30 2 2 3 2" xfId="25141"/>
    <cellStyle name="Currency 30 2 2 4" xfId="14806"/>
    <cellStyle name="Currency 30 2 2 4 2" xfId="28434"/>
    <cellStyle name="Currency 30 2 2 5" xfId="18837"/>
    <cellStyle name="Currency 30 2 3" xfId="6877"/>
    <cellStyle name="Currency 30 2 3 2" xfId="20527"/>
    <cellStyle name="Currency 30 2 4" xfId="10087"/>
    <cellStyle name="Currency 30 2 4 2" xfId="23718"/>
    <cellStyle name="Currency 30 2 5" xfId="13382"/>
    <cellStyle name="Currency 30 2 5 2" xfId="27010"/>
    <cellStyle name="Currency 30 2 6" xfId="17312"/>
    <cellStyle name="Currency 30 3" xfId="4233"/>
    <cellStyle name="Currency 30 3 2" xfId="7663"/>
    <cellStyle name="Currency 30 3 2 2" xfId="21311"/>
    <cellStyle name="Currency 30 3 3" xfId="10801"/>
    <cellStyle name="Currency 30 3 3 2" xfId="24432"/>
    <cellStyle name="Currency 30 3 4" xfId="14097"/>
    <cellStyle name="Currency 30 3 4 2" xfId="27725"/>
    <cellStyle name="Currency 30 3 5" xfId="18028"/>
    <cellStyle name="Currency 30 4" xfId="6069"/>
    <cellStyle name="Currency 30 4 2" xfId="19719"/>
    <cellStyle name="Currency 30 5" xfId="9355"/>
    <cellStyle name="Currency 30 5 2" xfId="22997"/>
    <cellStyle name="Currency 30 6" xfId="12669"/>
    <cellStyle name="Currency 30 6 2" xfId="26297"/>
    <cellStyle name="Currency 30 7" xfId="16515"/>
    <cellStyle name="Currency 31" xfId="2713"/>
    <cellStyle name="Currency 31 2" xfId="3667"/>
    <cellStyle name="Currency 31 2 2" xfId="5334"/>
    <cellStyle name="Currency 31 2 2 2" xfId="8597"/>
    <cellStyle name="Currency 31 2 2 2 2" xfId="22245"/>
    <cellStyle name="Currency 31 2 2 3" xfId="11664"/>
    <cellStyle name="Currency 31 2 2 3 2" xfId="25295"/>
    <cellStyle name="Currency 31 2 2 4" xfId="14960"/>
    <cellStyle name="Currency 31 2 2 4 2" xfId="28588"/>
    <cellStyle name="Currency 31 2 2 5" xfId="18992"/>
    <cellStyle name="Currency 31 2 3" xfId="7101"/>
    <cellStyle name="Currency 31 2 3 2" xfId="20751"/>
    <cellStyle name="Currency 31 2 4" xfId="10242"/>
    <cellStyle name="Currency 31 2 4 2" xfId="23873"/>
    <cellStyle name="Currency 31 2 5" xfId="13537"/>
    <cellStyle name="Currency 31 2 5 2" xfId="27165"/>
    <cellStyle name="Currency 31 2 6" xfId="17468"/>
    <cellStyle name="Currency 31 3" xfId="4456"/>
    <cellStyle name="Currency 31 3 2" xfId="7886"/>
    <cellStyle name="Currency 31 3 2 2" xfId="21534"/>
    <cellStyle name="Currency 31 3 3" xfId="10955"/>
    <cellStyle name="Currency 31 3 3 2" xfId="24586"/>
    <cellStyle name="Currency 31 3 4" xfId="14251"/>
    <cellStyle name="Currency 31 3 4 2" xfId="27879"/>
    <cellStyle name="Currency 31 3 5" xfId="18251"/>
    <cellStyle name="Currency 31 4" xfId="6307"/>
    <cellStyle name="Currency 31 4 2" xfId="19957"/>
    <cellStyle name="Currency 31 5" xfId="9509"/>
    <cellStyle name="Currency 31 5 2" xfId="23151"/>
    <cellStyle name="Currency 31 6" xfId="12823"/>
    <cellStyle name="Currency 31 6 2" xfId="26451"/>
    <cellStyle name="Currency 31 7" xfId="16740"/>
    <cellStyle name="Currency 32" xfId="3789"/>
    <cellStyle name="Currency 33" xfId="5496"/>
    <cellStyle name="Currency 33 2" xfId="8757"/>
    <cellStyle name="Currency 33 2 2" xfId="22400"/>
    <cellStyle name="Currency 33 3" xfId="11817"/>
    <cellStyle name="Currency 33 3 2" xfId="25448"/>
    <cellStyle name="Currency 33 4" xfId="15113"/>
    <cellStyle name="Currency 33 4 2" xfId="28741"/>
    <cellStyle name="Currency 33 5" xfId="19146"/>
    <cellStyle name="Currency 34" xfId="8881"/>
    <cellStyle name="Currency 34 2" xfId="22524"/>
    <cellStyle name="Currency 35" xfId="8947"/>
    <cellStyle name="Currency 35 2" xfId="22590"/>
    <cellStyle name="Currency 36" xfId="11940"/>
    <cellStyle name="Currency 36 2" xfId="25571"/>
    <cellStyle name="Currency 37" xfId="12105"/>
    <cellStyle name="Currency 37 2" xfId="25733"/>
    <cellStyle name="Currency 38" xfId="15430"/>
    <cellStyle name="Currency 38 2" xfId="28960"/>
    <cellStyle name="Currency 39" xfId="15660"/>
    <cellStyle name="Currency 39 2" xfId="29081"/>
    <cellStyle name="Currency 4" xfId="48"/>
    <cellStyle name="Currency 4 2" xfId="946"/>
    <cellStyle name="Currency 40" xfId="15747"/>
    <cellStyle name="Currency 41" xfId="15837"/>
    <cellStyle name="Currency 5" xfId="49"/>
    <cellStyle name="Currency 5 2" xfId="137"/>
    <cellStyle name="Currency 5 2 2" xfId="947"/>
    <cellStyle name="Currency 5 3" xfId="948"/>
    <cellStyle name="Currency 5 4" xfId="1844"/>
    <cellStyle name="Currency 6" xfId="121"/>
    <cellStyle name="Currency 6 2" xfId="175"/>
    <cellStyle name="Currency 7" xfId="124"/>
    <cellStyle name="Currency 7 2" xfId="950"/>
    <cellStyle name="Currency 7 3" xfId="951"/>
    <cellStyle name="Currency 7 3 2" xfId="1845"/>
    <cellStyle name="Currency 7 4" xfId="949"/>
    <cellStyle name="Currency 7 4 2" xfId="1846"/>
    <cellStyle name="Currency 8" xfId="149"/>
    <cellStyle name="Currency 8 2" xfId="183"/>
    <cellStyle name="Currency 8 3" xfId="218"/>
    <cellStyle name="Currency 8 3 2" xfId="239"/>
    <cellStyle name="Currency 8 4" xfId="258"/>
    <cellStyle name="Currency 8 5" xfId="277"/>
    <cellStyle name="Currency 8 5 2" xfId="1847"/>
    <cellStyle name="Currency 8 5 3" xfId="1848"/>
    <cellStyle name="Currency 8 6" xfId="302"/>
    <cellStyle name="Currency 9" xfId="12"/>
    <cellStyle name="Currency 9 10" xfId="953"/>
    <cellStyle name="Currency 9 10 2" xfId="2903"/>
    <cellStyle name="Currency 9 11" xfId="954"/>
    <cellStyle name="Currency 9 11 2" xfId="2904"/>
    <cellStyle name="Currency 9 12" xfId="955"/>
    <cellStyle name="Currency 9 12 2" xfId="2905"/>
    <cellStyle name="Currency 9 13" xfId="952"/>
    <cellStyle name="Currency 9 14" xfId="1849"/>
    <cellStyle name="Currency 9 14 2" xfId="3216"/>
    <cellStyle name="Currency 9 14 2 2" xfId="4964"/>
    <cellStyle name="Currency 9 14 2 2 2" xfId="8229"/>
    <cellStyle name="Currency 9 14 2 2 2 2" xfId="21877"/>
    <cellStyle name="Currency 9 14 2 2 3" xfId="11296"/>
    <cellStyle name="Currency 9 14 2 2 3 2" xfId="24927"/>
    <cellStyle name="Currency 9 14 2 2 4" xfId="14592"/>
    <cellStyle name="Currency 9 14 2 2 4 2" xfId="28220"/>
    <cellStyle name="Currency 9 14 2 2 5" xfId="18622"/>
    <cellStyle name="Currency 9 14 2 3" xfId="6651"/>
    <cellStyle name="Currency 9 14 2 3 2" xfId="20301"/>
    <cellStyle name="Currency 9 14 2 4" xfId="9872"/>
    <cellStyle name="Currency 9 14 2 4 2" xfId="23503"/>
    <cellStyle name="Currency 9 14 2 5" xfId="13167"/>
    <cellStyle name="Currency 9 14 2 5 2" xfId="26795"/>
    <cellStyle name="Currency 9 14 2 6" xfId="17097"/>
    <cellStyle name="Currency 9 14 3" xfId="4019"/>
    <cellStyle name="Currency 9 14 3 2" xfId="7449"/>
    <cellStyle name="Currency 9 14 3 2 2" xfId="21097"/>
    <cellStyle name="Currency 9 14 3 3" xfId="10587"/>
    <cellStyle name="Currency 9 14 3 3 2" xfId="24218"/>
    <cellStyle name="Currency 9 14 3 4" xfId="13883"/>
    <cellStyle name="Currency 9 14 3 4 2" xfId="27511"/>
    <cellStyle name="Currency 9 14 3 5" xfId="17814"/>
    <cellStyle name="Currency 9 14 4" xfId="5855"/>
    <cellStyle name="Currency 9 14 4 2" xfId="19505"/>
    <cellStyle name="Currency 9 14 5" xfId="9152"/>
    <cellStyle name="Currency 9 14 5 2" xfId="22794"/>
    <cellStyle name="Currency 9 14 6" xfId="12455"/>
    <cellStyle name="Currency 9 14 6 2" xfId="26083"/>
    <cellStyle name="Currency 9 14 7" xfId="16237"/>
    <cellStyle name="Currency 9 15" xfId="2134"/>
    <cellStyle name="Currency 9 15 2" xfId="3247"/>
    <cellStyle name="Currency 9 15 2 2" xfId="4994"/>
    <cellStyle name="Currency 9 15 2 2 2" xfId="8258"/>
    <cellStyle name="Currency 9 15 2 2 2 2" xfId="21906"/>
    <cellStyle name="Currency 9 15 2 2 3" xfId="11325"/>
    <cellStyle name="Currency 9 15 2 2 3 2" xfId="24956"/>
    <cellStyle name="Currency 9 15 2 2 4" xfId="14621"/>
    <cellStyle name="Currency 9 15 2 2 4 2" xfId="28249"/>
    <cellStyle name="Currency 9 15 2 2 5" xfId="18652"/>
    <cellStyle name="Currency 9 15 2 3" xfId="6681"/>
    <cellStyle name="Currency 9 15 2 3 2" xfId="20331"/>
    <cellStyle name="Currency 9 15 2 4" xfId="9902"/>
    <cellStyle name="Currency 9 15 2 4 2" xfId="23533"/>
    <cellStyle name="Currency 9 15 2 5" xfId="13197"/>
    <cellStyle name="Currency 9 15 2 5 2" xfId="26825"/>
    <cellStyle name="Currency 9 15 2 6" xfId="17127"/>
    <cellStyle name="Currency 9 15 3" xfId="4048"/>
    <cellStyle name="Currency 9 15 3 2" xfId="7478"/>
    <cellStyle name="Currency 9 15 3 2 2" xfId="21126"/>
    <cellStyle name="Currency 9 15 3 3" xfId="10616"/>
    <cellStyle name="Currency 9 15 3 3 2" xfId="24247"/>
    <cellStyle name="Currency 9 15 3 4" xfId="13912"/>
    <cellStyle name="Currency 9 15 3 4 2" xfId="27540"/>
    <cellStyle name="Currency 9 15 3 5" xfId="17843"/>
    <cellStyle name="Currency 9 15 4" xfId="5884"/>
    <cellStyle name="Currency 9 15 4 2" xfId="19534"/>
    <cellStyle name="Currency 9 15 5" xfId="9170"/>
    <cellStyle name="Currency 9 15 5 2" xfId="22812"/>
    <cellStyle name="Currency 9 15 6" xfId="12484"/>
    <cellStyle name="Currency 9 15 6 2" xfId="26112"/>
    <cellStyle name="Currency 9 15 7" xfId="16329"/>
    <cellStyle name="Currency 9 16" xfId="2341"/>
    <cellStyle name="Currency 9 16 2" xfId="3447"/>
    <cellStyle name="Currency 9 16 2 2" xfId="5183"/>
    <cellStyle name="Currency 9 16 2 2 2" xfId="8447"/>
    <cellStyle name="Currency 9 16 2 2 2 2" xfId="22095"/>
    <cellStyle name="Currency 9 16 2 2 3" xfId="11514"/>
    <cellStyle name="Currency 9 16 2 2 3 2" xfId="25145"/>
    <cellStyle name="Currency 9 16 2 2 4" xfId="14810"/>
    <cellStyle name="Currency 9 16 2 2 4 2" xfId="28438"/>
    <cellStyle name="Currency 9 16 2 2 5" xfId="18841"/>
    <cellStyle name="Currency 9 16 2 3" xfId="6881"/>
    <cellStyle name="Currency 9 16 2 3 2" xfId="20531"/>
    <cellStyle name="Currency 9 16 2 4" xfId="10091"/>
    <cellStyle name="Currency 9 16 2 4 2" xfId="23722"/>
    <cellStyle name="Currency 9 16 2 5" xfId="13386"/>
    <cellStyle name="Currency 9 16 2 5 2" xfId="27014"/>
    <cellStyle name="Currency 9 16 2 6" xfId="17316"/>
    <cellStyle name="Currency 9 16 3" xfId="4237"/>
    <cellStyle name="Currency 9 16 3 2" xfId="7667"/>
    <cellStyle name="Currency 9 16 3 2 2" xfId="21315"/>
    <cellStyle name="Currency 9 16 3 3" xfId="10805"/>
    <cellStyle name="Currency 9 16 3 3 2" xfId="24436"/>
    <cellStyle name="Currency 9 16 3 4" xfId="14101"/>
    <cellStyle name="Currency 9 16 3 4 2" xfId="27729"/>
    <cellStyle name="Currency 9 16 3 5" xfId="18032"/>
    <cellStyle name="Currency 9 16 4" xfId="6073"/>
    <cellStyle name="Currency 9 16 4 2" xfId="19723"/>
    <cellStyle name="Currency 9 16 5" xfId="9359"/>
    <cellStyle name="Currency 9 16 5 2" xfId="23001"/>
    <cellStyle name="Currency 9 16 6" xfId="12673"/>
    <cellStyle name="Currency 9 16 6 2" xfId="26301"/>
    <cellStyle name="Currency 9 16 7" xfId="16519"/>
    <cellStyle name="Currency 9 17" xfId="2716"/>
    <cellStyle name="Currency 9 17 2" xfId="3670"/>
    <cellStyle name="Currency 9 17 2 2" xfId="5337"/>
    <cellStyle name="Currency 9 17 2 2 2" xfId="8600"/>
    <cellStyle name="Currency 9 17 2 2 2 2" xfId="22248"/>
    <cellStyle name="Currency 9 17 2 2 3" xfId="11667"/>
    <cellStyle name="Currency 9 17 2 2 3 2" xfId="25298"/>
    <cellStyle name="Currency 9 17 2 2 4" xfId="14963"/>
    <cellStyle name="Currency 9 17 2 2 4 2" xfId="28591"/>
    <cellStyle name="Currency 9 17 2 2 5" xfId="18995"/>
    <cellStyle name="Currency 9 17 2 3" xfId="7104"/>
    <cellStyle name="Currency 9 17 2 3 2" xfId="20754"/>
    <cellStyle name="Currency 9 17 2 4" xfId="10245"/>
    <cellStyle name="Currency 9 17 2 4 2" xfId="23876"/>
    <cellStyle name="Currency 9 17 2 5" xfId="13540"/>
    <cellStyle name="Currency 9 17 2 5 2" xfId="27168"/>
    <cellStyle name="Currency 9 17 2 6" xfId="17471"/>
    <cellStyle name="Currency 9 17 3" xfId="4459"/>
    <cellStyle name="Currency 9 17 3 2" xfId="7889"/>
    <cellStyle name="Currency 9 17 3 2 2" xfId="21537"/>
    <cellStyle name="Currency 9 17 3 3" xfId="10958"/>
    <cellStyle name="Currency 9 17 3 3 2" xfId="24589"/>
    <cellStyle name="Currency 9 17 3 4" xfId="14254"/>
    <cellStyle name="Currency 9 17 3 4 2" xfId="27882"/>
    <cellStyle name="Currency 9 17 3 5" xfId="18254"/>
    <cellStyle name="Currency 9 17 4" xfId="6310"/>
    <cellStyle name="Currency 9 17 4 2" xfId="19960"/>
    <cellStyle name="Currency 9 17 5" xfId="9512"/>
    <cellStyle name="Currency 9 17 5 2" xfId="23154"/>
    <cellStyle name="Currency 9 17 6" xfId="12826"/>
    <cellStyle name="Currency 9 17 6 2" xfId="26454"/>
    <cellStyle name="Currency 9 17 7" xfId="16743"/>
    <cellStyle name="Currency 9 18" xfId="3182"/>
    <cellStyle name="Currency 9 18 2" xfId="4931"/>
    <cellStyle name="Currency 9 18 2 2" xfId="8197"/>
    <cellStyle name="Currency 9 18 2 2 2" xfId="21845"/>
    <cellStyle name="Currency 9 18 2 3" xfId="11264"/>
    <cellStyle name="Currency 9 18 2 3 2" xfId="24895"/>
    <cellStyle name="Currency 9 18 2 4" xfId="14560"/>
    <cellStyle name="Currency 9 18 2 4 2" xfId="28188"/>
    <cellStyle name="Currency 9 18 2 5" xfId="18589"/>
    <cellStyle name="Currency 9 18 3" xfId="6618"/>
    <cellStyle name="Currency 9 18 3 2" xfId="20268"/>
    <cellStyle name="Currency 9 18 4" xfId="9839"/>
    <cellStyle name="Currency 9 18 4 2" xfId="23470"/>
    <cellStyle name="Currency 9 18 5" xfId="13134"/>
    <cellStyle name="Currency 9 18 5 2" xfId="26762"/>
    <cellStyle name="Currency 9 18 6" xfId="17064"/>
    <cellStyle name="Currency 9 19" xfId="3795"/>
    <cellStyle name="Currency 9 19 2" xfId="7227"/>
    <cellStyle name="Currency 9 19 2 2" xfId="20875"/>
    <cellStyle name="Currency 9 19 3" xfId="10365"/>
    <cellStyle name="Currency 9 19 3 2" xfId="23996"/>
    <cellStyle name="Currency 9 19 4" xfId="13661"/>
    <cellStyle name="Currency 9 19 4 2" xfId="27289"/>
    <cellStyle name="Currency 9 19 5" xfId="17592"/>
    <cellStyle name="Currency 9 2" xfId="347"/>
    <cellStyle name="Currency 9 2 2" xfId="956"/>
    <cellStyle name="Currency 9 2 3" xfId="3107"/>
    <cellStyle name="Currency 9 2 3 2" xfId="4902"/>
    <cellStyle name="Currency 9 2 3 2 2" xfId="8168"/>
    <cellStyle name="Currency 9 2 3 2 2 2" xfId="21816"/>
    <cellStyle name="Currency 9 2 3 2 3" xfId="11235"/>
    <cellStyle name="Currency 9 2 3 2 3 2" xfId="24866"/>
    <cellStyle name="Currency 9 2 3 2 4" xfId="14531"/>
    <cellStyle name="Currency 9 2 3 2 4 2" xfId="28159"/>
    <cellStyle name="Currency 9 2 3 2 5" xfId="18560"/>
    <cellStyle name="Currency 9 2 3 3" xfId="6589"/>
    <cellStyle name="Currency 9 2 3 3 2" xfId="20239"/>
    <cellStyle name="Currency 9 2 3 4" xfId="9810"/>
    <cellStyle name="Currency 9 2 3 4 2" xfId="23441"/>
    <cellStyle name="Currency 9 2 3 5" xfId="13105"/>
    <cellStyle name="Currency 9 2 3 5 2" xfId="26733"/>
    <cellStyle name="Currency 9 2 3 6" xfId="17025"/>
    <cellStyle name="Currency 9 2 4" xfId="3827"/>
    <cellStyle name="Currency 9 2 4 2" xfId="7259"/>
    <cellStyle name="Currency 9 2 4 2 2" xfId="20907"/>
    <cellStyle name="Currency 9 2 4 3" xfId="10397"/>
    <cellStyle name="Currency 9 2 4 3 2" xfId="24028"/>
    <cellStyle name="Currency 9 2 4 4" xfId="13693"/>
    <cellStyle name="Currency 9 2 4 4 2" xfId="27321"/>
    <cellStyle name="Currency 9 2 4 5" xfId="17624"/>
    <cellStyle name="Currency 9 2 5" xfId="5667"/>
    <cellStyle name="Currency 9 2 5 2" xfId="19317"/>
    <cellStyle name="Currency 9 2 6" xfId="9105"/>
    <cellStyle name="Currency 9 2 6 2" xfId="22748"/>
    <cellStyle name="Currency 9 2 7" xfId="12270"/>
    <cellStyle name="Currency 9 2 7 2" xfId="25898"/>
    <cellStyle name="Currency 9 2 8" xfId="15898"/>
    <cellStyle name="Currency 9 20" xfId="5499"/>
    <cellStyle name="Currency 9 20 2" xfId="8760"/>
    <cellStyle name="Currency 9 20 2 2" xfId="22403"/>
    <cellStyle name="Currency 9 20 3" xfId="11820"/>
    <cellStyle name="Currency 9 20 3 2" xfId="25451"/>
    <cellStyle name="Currency 9 20 4" xfId="15116"/>
    <cellStyle name="Currency 9 20 4 2" xfId="28744"/>
    <cellStyle name="Currency 9 20 5" xfId="19149"/>
    <cellStyle name="Currency 9 21" xfId="5635"/>
    <cellStyle name="Currency 9 21 2" xfId="19285"/>
    <cellStyle name="Currency 9 22" xfId="8950"/>
    <cellStyle name="Currency 9 22 2" xfId="22593"/>
    <cellStyle name="Currency 9 23" xfId="11946"/>
    <cellStyle name="Currency 9 23 2" xfId="25577"/>
    <cellStyle name="Currency 9 24" xfId="12108"/>
    <cellStyle name="Currency 9 24 2" xfId="25736"/>
    <cellStyle name="Currency 9 25" xfId="12238"/>
    <cellStyle name="Currency 9 25 2" xfId="25866"/>
    <cellStyle name="Currency 9 26" xfId="15844"/>
    <cellStyle name="Currency 9 3" xfId="319"/>
    <cellStyle name="Currency 9 3 10" xfId="12250"/>
    <cellStyle name="Currency 9 3 10 2" xfId="25878"/>
    <cellStyle name="Currency 9 3 11" xfId="15878"/>
    <cellStyle name="Currency 9 3 2" xfId="958"/>
    <cellStyle name="Currency 9 3 3" xfId="959"/>
    <cellStyle name="Currency 9 3 3 2" xfId="960"/>
    <cellStyle name="Currency 9 3 3 3" xfId="15291"/>
    <cellStyle name="Currency 9 3 4" xfId="961"/>
    <cellStyle name="Currency 9 3 5" xfId="957"/>
    <cellStyle name="Currency 9 3 6" xfId="3125"/>
    <cellStyle name="Currency 9 3 6 2" xfId="4920"/>
    <cellStyle name="Currency 9 3 6 2 2" xfId="8186"/>
    <cellStyle name="Currency 9 3 6 2 2 2" xfId="21834"/>
    <cellStyle name="Currency 9 3 6 2 3" xfId="11253"/>
    <cellStyle name="Currency 9 3 6 2 3 2" xfId="24884"/>
    <cellStyle name="Currency 9 3 6 2 4" xfId="14549"/>
    <cellStyle name="Currency 9 3 6 2 4 2" xfId="28177"/>
    <cellStyle name="Currency 9 3 6 2 5" xfId="18578"/>
    <cellStyle name="Currency 9 3 6 3" xfId="6607"/>
    <cellStyle name="Currency 9 3 6 3 2" xfId="20257"/>
    <cellStyle name="Currency 9 3 6 4" xfId="9828"/>
    <cellStyle name="Currency 9 3 6 4 2" xfId="23459"/>
    <cellStyle name="Currency 9 3 6 5" xfId="13123"/>
    <cellStyle name="Currency 9 3 6 5 2" xfId="26751"/>
    <cellStyle name="Currency 9 3 6 6" xfId="17043"/>
    <cellStyle name="Currency 9 3 7" xfId="3807"/>
    <cellStyle name="Currency 9 3 7 2" xfId="7239"/>
    <cellStyle name="Currency 9 3 7 2 2" xfId="20887"/>
    <cellStyle name="Currency 9 3 7 3" xfId="10377"/>
    <cellStyle name="Currency 9 3 7 3 2" xfId="24008"/>
    <cellStyle name="Currency 9 3 7 4" xfId="13673"/>
    <cellStyle name="Currency 9 3 7 4 2" xfId="27301"/>
    <cellStyle name="Currency 9 3 7 5" xfId="17604"/>
    <cellStyle name="Currency 9 3 8" xfId="5647"/>
    <cellStyle name="Currency 9 3 8 2" xfId="19297"/>
    <cellStyle name="Currency 9 3 9" xfId="9118"/>
    <cellStyle name="Currency 9 3 9 2" xfId="22761"/>
    <cellStyle name="Currency 9 4" xfId="473"/>
    <cellStyle name="Currency 9 4 2" xfId="963"/>
    <cellStyle name="Currency 9 4 3" xfId="962"/>
    <cellStyle name="Currency 9 4 4" xfId="3073"/>
    <cellStyle name="Currency 9 4 4 2" xfId="4874"/>
    <cellStyle name="Currency 9 4 4 2 2" xfId="8140"/>
    <cellStyle name="Currency 9 4 4 2 2 2" xfId="21788"/>
    <cellStyle name="Currency 9 4 4 2 3" xfId="11209"/>
    <cellStyle name="Currency 9 4 4 2 3 2" xfId="24840"/>
    <cellStyle name="Currency 9 4 4 2 4" xfId="14505"/>
    <cellStyle name="Currency 9 4 4 2 4 2" xfId="28133"/>
    <cellStyle name="Currency 9 4 4 2 5" xfId="18532"/>
    <cellStyle name="Currency 9 4 4 3" xfId="6563"/>
    <cellStyle name="Currency 9 4 4 3 2" xfId="20213"/>
    <cellStyle name="Currency 9 4 4 4" xfId="9784"/>
    <cellStyle name="Currency 9 4 4 4 2" xfId="23415"/>
    <cellStyle name="Currency 9 4 4 5" xfId="13079"/>
    <cellStyle name="Currency 9 4 4 5 2" xfId="26707"/>
    <cellStyle name="Currency 9 4 4 6" xfId="16997"/>
    <cellStyle name="Currency 9 4 5" xfId="3856"/>
    <cellStyle name="Currency 9 4 5 2" xfId="7286"/>
    <cellStyle name="Currency 9 4 5 2 2" xfId="20934"/>
    <cellStyle name="Currency 9 4 5 3" xfId="10424"/>
    <cellStyle name="Currency 9 4 5 3 2" xfId="24055"/>
    <cellStyle name="Currency 9 4 5 4" xfId="13720"/>
    <cellStyle name="Currency 9 4 5 4 2" xfId="27348"/>
    <cellStyle name="Currency 9 4 5 5" xfId="17651"/>
    <cellStyle name="Currency 9 4 6" xfId="5697"/>
    <cellStyle name="Currency 9 4 6 2" xfId="19347"/>
    <cellStyle name="Currency 9 4 7" xfId="9080"/>
    <cellStyle name="Currency 9 4 7 2" xfId="22723"/>
    <cellStyle name="Currency 9 4 8" xfId="12297"/>
    <cellStyle name="Currency 9 4 8 2" xfId="25925"/>
    <cellStyle name="Currency 9 4 9" xfId="15973"/>
    <cellStyle name="Currency 9 5" xfId="964"/>
    <cellStyle name="Currency 9 5 2" xfId="2906"/>
    <cellStyle name="Currency 9 6" xfId="965"/>
    <cellStyle name="Currency 9 6 2" xfId="2907"/>
    <cellStyle name="Currency 9 7" xfId="966"/>
    <cellStyle name="Currency 9 7 10" xfId="12109"/>
    <cellStyle name="Currency 9 7 10 2" xfId="25737"/>
    <cellStyle name="Currency 9 7 2" xfId="1851"/>
    <cellStyle name="Currency 9 7 3" xfId="1850"/>
    <cellStyle name="Currency 9 7 3 2" xfId="3217"/>
    <cellStyle name="Currency 9 7 3 2 2" xfId="4965"/>
    <cellStyle name="Currency 9 7 3 2 2 2" xfId="8230"/>
    <cellStyle name="Currency 9 7 3 2 2 2 2" xfId="21878"/>
    <cellStyle name="Currency 9 7 3 2 2 3" xfId="11297"/>
    <cellStyle name="Currency 9 7 3 2 2 3 2" xfId="24928"/>
    <cellStyle name="Currency 9 7 3 2 2 4" xfId="14593"/>
    <cellStyle name="Currency 9 7 3 2 2 4 2" xfId="28221"/>
    <cellStyle name="Currency 9 7 3 2 2 5" xfId="18623"/>
    <cellStyle name="Currency 9 7 3 2 3" xfId="6652"/>
    <cellStyle name="Currency 9 7 3 2 3 2" xfId="20302"/>
    <cellStyle name="Currency 9 7 3 2 4" xfId="9873"/>
    <cellStyle name="Currency 9 7 3 2 4 2" xfId="23504"/>
    <cellStyle name="Currency 9 7 3 2 5" xfId="13168"/>
    <cellStyle name="Currency 9 7 3 2 5 2" xfId="26796"/>
    <cellStyle name="Currency 9 7 3 2 6" xfId="17098"/>
    <cellStyle name="Currency 9 7 3 3" xfId="4020"/>
    <cellStyle name="Currency 9 7 3 3 2" xfId="7450"/>
    <cellStyle name="Currency 9 7 3 3 2 2" xfId="21098"/>
    <cellStyle name="Currency 9 7 3 3 3" xfId="10588"/>
    <cellStyle name="Currency 9 7 3 3 3 2" xfId="24219"/>
    <cellStyle name="Currency 9 7 3 3 4" xfId="13884"/>
    <cellStyle name="Currency 9 7 3 3 4 2" xfId="27512"/>
    <cellStyle name="Currency 9 7 3 3 5" xfId="17815"/>
    <cellStyle name="Currency 9 7 3 4" xfId="5856"/>
    <cellStyle name="Currency 9 7 3 4 2" xfId="19506"/>
    <cellStyle name="Currency 9 7 3 5" xfId="9153"/>
    <cellStyle name="Currency 9 7 3 5 2" xfId="22795"/>
    <cellStyle name="Currency 9 7 3 6" xfId="12456"/>
    <cellStyle name="Currency 9 7 3 6 2" xfId="26084"/>
    <cellStyle name="Currency 9 7 3 7" xfId="16238"/>
    <cellStyle name="Currency 9 7 4" xfId="2221"/>
    <cellStyle name="Currency 9 7 4 2" xfId="3334"/>
    <cellStyle name="Currency 9 7 4 2 2" xfId="5080"/>
    <cellStyle name="Currency 9 7 4 2 2 2" xfId="8344"/>
    <cellStyle name="Currency 9 7 4 2 2 2 2" xfId="21992"/>
    <cellStyle name="Currency 9 7 4 2 2 3" xfId="11411"/>
    <cellStyle name="Currency 9 7 4 2 2 3 2" xfId="25042"/>
    <cellStyle name="Currency 9 7 4 2 2 4" xfId="14707"/>
    <cellStyle name="Currency 9 7 4 2 2 4 2" xfId="28335"/>
    <cellStyle name="Currency 9 7 4 2 2 5" xfId="18738"/>
    <cellStyle name="Currency 9 7 4 2 3" xfId="6768"/>
    <cellStyle name="Currency 9 7 4 2 3 2" xfId="20418"/>
    <cellStyle name="Currency 9 7 4 2 4" xfId="9988"/>
    <cellStyle name="Currency 9 7 4 2 4 2" xfId="23619"/>
    <cellStyle name="Currency 9 7 4 2 5" xfId="13283"/>
    <cellStyle name="Currency 9 7 4 2 5 2" xfId="26911"/>
    <cellStyle name="Currency 9 7 4 2 6" xfId="17213"/>
    <cellStyle name="Currency 9 7 4 3" xfId="4134"/>
    <cellStyle name="Currency 9 7 4 3 2" xfId="7564"/>
    <cellStyle name="Currency 9 7 4 3 2 2" xfId="21212"/>
    <cellStyle name="Currency 9 7 4 3 3" xfId="10702"/>
    <cellStyle name="Currency 9 7 4 3 3 2" xfId="24333"/>
    <cellStyle name="Currency 9 7 4 3 4" xfId="13998"/>
    <cellStyle name="Currency 9 7 4 3 4 2" xfId="27626"/>
    <cellStyle name="Currency 9 7 4 3 5" xfId="17929"/>
    <cellStyle name="Currency 9 7 4 4" xfId="5970"/>
    <cellStyle name="Currency 9 7 4 4 2" xfId="19620"/>
    <cellStyle name="Currency 9 7 4 5" xfId="9256"/>
    <cellStyle name="Currency 9 7 4 5 2" xfId="22898"/>
    <cellStyle name="Currency 9 7 4 6" xfId="12570"/>
    <cellStyle name="Currency 9 7 4 6 2" xfId="26198"/>
    <cellStyle name="Currency 9 7 4 7" xfId="16415"/>
    <cellStyle name="Currency 9 7 5" xfId="2342"/>
    <cellStyle name="Currency 9 7 5 2" xfId="3448"/>
    <cellStyle name="Currency 9 7 5 2 2" xfId="5184"/>
    <cellStyle name="Currency 9 7 5 2 2 2" xfId="8448"/>
    <cellStyle name="Currency 9 7 5 2 2 2 2" xfId="22096"/>
    <cellStyle name="Currency 9 7 5 2 2 3" xfId="11515"/>
    <cellStyle name="Currency 9 7 5 2 2 3 2" xfId="25146"/>
    <cellStyle name="Currency 9 7 5 2 2 4" xfId="14811"/>
    <cellStyle name="Currency 9 7 5 2 2 4 2" xfId="28439"/>
    <cellStyle name="Currency 9 7 5 2 2 5" xfId="18842"/>
    <cellStyle name="Currency 9 7 5 2 3" xfId="6882"/>
    <cellStyle name="Currency 9 7 5 2 3 2" xfId="20532"/>
    <cellStyle name="Currency 9 7 5 2 4" xfId="10092"/>
    <cellStyle name="Currency 9 7 5 2 4 2" xfId="23723"/>
    <cellStyle name="Currency 9 7 5 2 5" xfId="13387"/>
    <cellStyle name="Currency 9 7 5 2 5 2" xfId="27015"/>
    <cellStyle name="Currency 9 7 5 2 6" xfId="17317"/>
    <cellStyle name="Currency 9 7 5 3" xfId="4238"/>
    <cellStyle name="Currency 9 7 5 3 2" xfId="7668"/>
    <cellStyle name="Currency 9 7 5 3 2 2" xfId="21316"/>
    <cellStyle name="Currency 9 7 5 3 3" xfId="10806"/>
    <cellStyle name="Currency 9 7 5 3 3 2" xfId="24437"/>
    <cellStyle name="Currency 9 7 5 3 4" xfId="14102"/>
    <cellStyle name="Currency 9 7 5 3 4 2" xfId="27730"/>
    <cellStyle name="Currency 9 7 5 3 5" xfId="18033"/>
    <cellStyle name="Currency 9 7 5 4" xfId="6074"/>
    <cellStyle name="Currency 9 7 5 4 2" xfId="19724"/>
    <cellStyle name="Currency 9 7 5 5" xfId="9360"/>
    <cellStyle name="Currency 9 7 5 5 2" xfId="23002"/>
    <cellStyle name="Currency 9 7 5 6" xfId="12674"/>
    <cellStyle name="Currency 9 7 5 6 2" xfId="26302"/>
    <cellStyle name="Currency 9 7 5 7" xfId="16520"/>
    <cellStyle name="Currency 9 7 6" xfId="2717"/>
    <cellStyle name="Currency 9 7 6 2" xfId="3671"/>
    <cellStyle name="Currency 9 7 6 2 2" xfId="5338"/>
    <cellStyle name="Currency 9 7 6 2 2 2" xfId="8601"/>
    <cellStyle name="Currency 9 7 6 2 2 2 2" xfId="22249"/>
    <cellStyle name="Currency 9 7 6 2 2 3" xfId="11668"/>
    <cellStyle name="Currency 9 7 6 2 2 3 2" xfId="25299"/>
    <cellStyle name="Currency 9 7 6 2 2 4" xfId="14964"/>
    <cellStyle name="Currency 9 7 6 2 2 4 2" xfId="28592"/>
    <cellStyle name="Currency 9 7 6 2 2 5" xfId="18996"/>
    <cellStyle name="Currency 9 7 6 2 3" xfId="7105"/>
    <cellStyle name="Currency 9 7 6 2 3 2" xfId="20755"/>
    <cellStyle name="Currency 9 7 6 2 4" xfId="10246"/>
    <cellStyle name="Currency 9 7 6 2 4 2" xfId="23877"/>
    <cellStyle name="Currency 9 7 6 2 5" xfId="13541"/>
    <cellStyle name="Currency 9 7 6 2 5 2" xfId="27169"/>
    <cellStyle name="Currency 9 7 6 2 6" xfId="17472"/>
    <cellStyle name="Currency 9 7 6 3" xfId="4460"/>
    <cellStyle name="Currency 9 7 6 3 2" xfId="7890"/>
    <cellStyle name="Currency 9 7 6 3 2 2" xfId="21538"/>
    <cellStyle name="Currency 9 7 6 3 3" xfId="10959"/>
    <cellStyle name="Currency 9 7 6 3 3 2" xfId="24590"/>
    <cellStyle name="Currency 9 7 6 3 4" xfId="14255"/>
    <cellStyle name="Currency 9 7 6 3 4 2" xfId="27883"/>
    <cellStyle name="Currency 9 7 6 3 5" xfId="18255"/>
    <cellStyle name="Currency 9 7 6 4" xfId="6311"/>
    <cellStyle name="Currency 9 7 6 4 2" xfId="19961"/>
    <cellStyle name="Currency 9 7 6 5" xfId="9513"/>
    <cellStyle name="Currency 9 7 6 5 2" xfId="23155"/>
    <cellStyle name="Currency 9 7 6 6" xfId="12827"/>
    <cellStyle name="Currency 9 7 6 6 2" xfId="26455"/>
    <cellStyle name="Currency 9 7 6 7" xfId="16744"/>
    <cellStyle name="Currency 9 7 7" xfId="5500"/>
    <cellStyle name="Currency 9 7 7 2" xfId="8761"/>
    <cellStyle name="Currency 9 7 7 2 2" xfId="22404"/>
    <cellStyle name="Currency 9 7 7 3" xfId="11821"/>
    <cellStyle name="Currency 9 7 7 3 2" xfId="25452"/>
    <cellStyle name="Currency 9 7 7 4" xfId="15117"/>
    <cellStyle name="Currency 9 7 7 4 2" xfId="28745"/>
    <cellStyle name="Currency 9 7 7 5" xfId="19150"/>
    <cellStyle name="Currency 9 7 8" xfId="8951"/>
    <cellStyle name="Currency 9 7 8 2" xfId="22594"/>
    <cellStyle name="Currency 9 7 9" xfId="12030"/>
    <cellStyle name="Currency 9 7 9 2" xfId="25661"/>
    <cellStyle name="Currency 9 8" xfId="967"/>
    <cellStyle name="Currency 9 8 2" xfId="2908"/>
    <cellStyle name="Currency 9 9" xfId="968"/>
    <cellStyle name="Currency 9 9 2" xfId="2909"/>
    <cellStyle name="Currency0" xfId="388"/>
    <cellStyle name="Currency1" xfId="50"/>
    <cellStyle name="Currency1 2" xfId="51"/>
    <cellStyle name="Currency1 3" xfId="969"/>
    <cellStyle name="Currency1_Adjustments-RSVA" xfId="52"/>
    <cellStyle name="Date" xfId="53"/>
    <cellStyle name="Date 2" xfId="389"/>
    <cellStyle name="Dollar (zero dec)" xfId="54"/>
    <cellStyle name="Dollar (zero dec) 2" xfId="55"/>
    <cellStyle name="Dollar (zero dec) 3" xfId="970"/>
    <cellStyle name="Dollar (zero dec)_Adjustments-RSVA" xfId="56"/>
    <cellStyle name="Explanatory Text" xfId="435" builtinId="53" customBuiltin="1"/>
    <cellStyle name="Explanatory Text 2" xfId="390"/>
    <cellStyle name="Explanatory Text 2 2" xfId="971"/>
    <cellStyle name="Explanatory Text 3" xfId="15731"/>
    <cellStyle name="Explanatory Text 4" xfId="15938"/>
    <cellStyle name="Fixed" xfId="391"/>
    <cellStyle name="Good" xfId="426" builtinId="26" customBuiltin="1"/>
    <cellStyle name="Good 2" xfId="392"/>
    <cellStyle name="Good 2 2" xfId="972"/>
    <cellStyle name="Good 3" xfId="15732"/>
    <cellStyle name="Good 4" xfId="15929"/>
    <cellStyle name="Grey" xfId="57"/>
    <cellStyle name="Grey 2" xfId="973"/>
    <cellStyle name="Header1" xfId="58"/>
    <cellStyle name="Header2" xfId="59"/>
    <cellStyle name="Header2 10" xfId="2626"/>
    <cellStyle name="Header2 10 2" xfId="4369"/>
    <cellStyle name="Header2 10 2 2" xfId="7799"/>
    <cellStyle name="Header2 10 2 2 2" xfId="21447"/>
    <cellStyle name="Header2 10 2 2 3" xfId="29376"/>
    <cellStyle name="Header2 10 2 3" xfId="18164"/>
    <cellStyle name="Header2 10 3" xfId="16653"/>
    <cellStyle name="Header2 10 4" xfId="16009"/>
    <cellStyle name="Header2 11" xfId="29148"/>
    <cellStyle name="Header2 2" xfId="138"/>
    <cellStyle name="Header2 2 2" xfId="976"/>
    <cellStyle name="Header2 2 2 2" xfId="1852"/>
    <cellStyle name="Header2 2 2 2 2" xfId="1853"/>
    <cellStyle name="Header2 2 2 2 2 2" xfId="2621"/>
    <cellStyle name="Header2 2 2 2 2 2 2" xfId="4364"/>
    <cellStyle name="Header2 2 2 2 2 2 2 2" xfId="7794"/>
    <cellStyle name="Header2 2 2 2 2 2 2 2 2" xfId="21442"/>
    <cellStyle name="Header2 2 2 2 2 2 2 2 3" xfId="29372"/>
    <cellStyle name="Header2 2 2 2 2 2 2 3" xfId="18159"/>
    <cellStyle name="Header2 2 2 2 2 2 3" xfId="16648"/>
    <cellStyle name="Header2 2 2 2 2 2 4" xfId="16013"/>
    <cellStyle name="Header2 2 2 2 2 3" xfId="16240"/>
    <cellStyle name="Header2 2 2 2 3" xfId="2623"/>
    <cellStyle name="Header2 2 2 2 3 2" xfId="4366"/>
    <cellStyle name="Header2 2 2 2 3 2 2" xfId="7796"/>
    <cellStyle name="Header2 2 2 2 3 2 2 2" xfId="21444"/>
    <cellStyle name="Header2 2 2 2 3 2 2 3" xfId="29373"/>
    <cellStyle name="Header2 2 2 2 3 2 3" xfId="18161"/>
    <cellStyle name="Header2 2 2 2 3 3" xfId="16650"/>
    <cellStyle name="Header2 2 2 2 3 4" xfId="16012"/>
    <cellStyle name="Header2 2 2 2 4" xfId="16239"/>
    <cellStyle name="Header2 2 2 3" xfId="1854"/>
    <cellStyle name="Header2 2 2 3 2" xfId="2620"/>
    <cellStyle name="Header2 2 2 3 2 2" xfId="4363"/>
    <cellStyle name="Header2 2 2 3 2 2 2" xfId="7793"/>
    <cellStyle name="Header2 2 2 3 2 2 2 2" xfId="21441"/>
    <cellStyle name="Header2 2 2 3 2 2 2 3" xfId="29371"/>
    <cellStyle name="Header2 2 2 3 2 2 3" xfId="18158"/>
    <cellStyle name="Header2 2 2 3 2 3" xfId="16647"/>
    <cellStyle name="Header2 2 2 3 2 4" xfId="16014"/>
    <cellStyle name="Header2 2 2 3 3" xfId="16241"/>
    <cellStyle name="Header2 2 2 4" xfId="2624"/>
    <cellStyle name="Header2 2 2 4 2" xfId="4367"/>
    <cellStyle name="Header2 2 2 4 2 2" xfId="7797"/>
    <cellStyle name="Header2 2 2 4 2 2 2" xfId="21445"/>
    <cellStyle name="Header2 2 2 4 2 2 3" xfId="29374"/>
    <cellStyle name="Header2 2 2 4 2 3" xfId="18162"/>
    <cellStyle name="Header2 2 2 4 3" xfId="16651"/>
    <cellStyle name="Header2 2 2 4 4" xfId="16011"/>
    <cellStyle name="Header2 2 2 5" xfId="16093"/>
    <cellStyle name="Header2 2 3" xfId="977"/>
    <cellStyle name="Header2 2 3 2" xfId="1855"/>
    <cellStyle name="Header2 2 3 2 2" xfId="1856"/>
    <cellStyle name="Header2 2 3 2 2 2" xfId="2617"/>
    <cellStyle name="Header2 2 3 2 2 2 2" xfId="4360"/>
    <cellStyle name="Header2 2 3 2 2 2 2 2" xfId="7790"/>
    <cellStyle name="Header2 2 3 2 2 2 2 2 2" xfId="21438"/>
    <cellStyle name="Header2 2 3 2 2 2 2 2 3" xfId="29368"/>
    <cellStyle name="Header2 2 3 2 2 2 2 3" xfId="18155"/>
    <cellStyle name="Header2 2 3 2 2 2 3" xfId="16644"/>
    <cellStyle name="Header2 2 3 2 2 2 4" xfId="16017"/>
    <cellStyle name="Header2 2 3 2 2 3" xfId="16243"/>
    <cellStyle name="Header2 2 3 2 3" xfId="2618"/>
    <cellStyle name="Header2 2 3 2 3 2" xfId="4361"/>
    <cellStyle name="Header2 2 3 2 3 2 2" xfId="7791"/>
    <cellStyle name="Header2 2 3 2 3 2 2 2" xfId="21439"/>
    <cellStyle name="Header2 2 3 2 3 2 2 3" xfId="29369"/>
    <cellStyle name="Header2 2 3 2 3 2 3" xfId="18156"/>
    <cellStyle name="Header2 2 3 2 3 3" xfId="16645"/>
    <cellStyle name="Header2 2 3 2 3 4" xfId="16016"/>
    <cellStyle name="Header2 2 3 2 4" xfId="16242"/>
    <cellStyle name="Header2 2 3 3" xfId="1857"/>
    <cellStyle name="Header2 2 3 3 2" xfId="2616"/>
    <cellStyle name="Header2 2 3 3 2 2" xfId="4359"/>
    <cellStyle name="Header2 2 3 3 2 2 2" xfId="7789"/>
    <cellStyle name="Header2 2 3 3 2 2 2 2" xfId="21437"/>
    <cellStyle name="Header2 2 3 3 2 2 2 3" xfId="29367"/>
    <cellStyle name="Header2 2 3 3 2 2 3" xfId="18154"/>
    <cellStyle name="Header2 2 3 3 2 3" xfId="16643"/>
    <cellStyle name="Header2 2 3 3 2 4" xfId="16018"/>
    <cellStyle name="Header2 2 3 3 3" xfId="16244"/>
    <cellStyle name="Header2 2 3 4" xfId="2619"/>
    <cellStyle name="Header2 2 3 4 2" xfId="4362"/>
    <cellStyle name="Header2 2 3 4 2 2" xfId="7792"/>
    <cellStyle name="Header2 2 3 4 2 2 2" xfId="21440"/>
    <cellStyle name="Header2 2 3 4 2 2 3" xfId="29370"/>
    <cellStyle name="Header2 2 3 4 2 3" xfId="18157"/>
    <cellStyle name="Header2 2 3 4 3" xfId="16646"/>
    <cellStyle name="Header2 2 3 4 4" xfId="16015"/>
    <cellStyle name="Header2 2 3 5" xfId="12053"/>
    <cellStyle name="Header2 2 3 5 2" xfId="29152"/>
    <cellStyle name="Header2 2 4" xfId="978"/>
    <cellStyle name="Header2 2 4 2" xfId="1858"/>
    <cellStyle name="Header2 2 4 2 2" xfId="1859"/>
    <cellStyle name="Header2 2 4 2 2 2" xfId="2613"/>
    <cellStyle name="Header2 2 4 2 2 2 2" xfId="4356"/>
    <cellStyle name="Header2 2 4 2 2 2 2 2" xfId="7786"/>
    <cellStyle name="Header2 2 4 2 2 2 2 2 2" xfId="21434"/>
    <cellStyle name="Header2 2 4 2 2 2 2 2 3" xfId="29364"/>
    <cellStyle name="Header2 2 4 2 2 2 2 3" xfId="18151"/>
    <cellStyle name="Header2 2 4 2 2 2 3" xfId="16640"/>
    <cellStyle name="Header2 2 4 2 2 2 4" xfId="16021"/>
    <cellStyle name="Header2 2 4 2 2 3" xfId="16246"/>
    <cellStyle name="Header2 2 4 2 3" xfId="2614"/>
    <cellStyle name="Header2 2 4 2 3 2" xfId="4357"/>
    <cellStyle name="Header2 2 4 2 3 2 2" xfId="7787"/>
    <cellStyle name="Header2 2 4 2 3 2 2 2" xfId="21435"/>
    <cellStyle name="Header2 2 4 2 3 2 2 3" xfId="29365"/>
    <cellStyle name="Header2 2 4 2 3 2 3" xfId="18152"/>
    <cellStyle name="Header2 2 4 2 3 3" xfId="16641"/>
    <cellStyle name="Header2 2 4 2 3 4" xfId="16020"/>
    <cellStyle name="Header2 2 4 2 4" xfId="16245"/>
    <cellStyle name="Header2 2 4 3" xfId="1860"/>
    <cellStyle name="Header2 2 4 3 2" xfId="2612"/>
    <cellStyle name="Header2 2 4 3 2 2" xfId="4355"/>
    <cellStyle name="Header2 2 4 3 2 2 2" xfId="7785"/>
    <cellStyle name="Header2 2 4 3 2 2 2 2" xfId="21433"/>
    <cellStyle name="Header2 2 4 3 2 2 2 3" xfId="29363"/>
    <cellStyle name="Header2 2 4 3 2 2 3" xfId="18150"/>
    <cellStyle name="Header2 2 4 3 2 3" xfId="16639"/>
    <cellStyle name="Header2 2 4 3 2 4" xfId="16022"/>
    <cellStyle name="Header2 2 4 3 3" xfId="16247"/>
    <cellStyle name="Header2 2 4 4" xfId="2615"/>
    <cellStyle name="Header2 2 4 4 2" xfId="4358"/>
    <cellStyle name="Header2 2 4 4 2 2" xfId="7788"/>
    <cellStyle name="Header2 2 4 4 2 2 2" xfId="21436"/>
    <cellStyle name="Header2 2 4 4 2 2 3" xfId="29366"/>
    <cellStyle name="Header2 2 4 4 2 3" xfId="18153"/>
    <cellStyle name="Header2 2 4 4 3" xfId="16642"/>
    <cellStyle name="Header2 2 4 4 4" xfId="16019"/>
    <cellStyle name="Header2 2 4 5" xfId="16094"/>
    <cellStyle name="Header2 2 5" xfId="979"/>
    <cellStyle name="Header2 2 5 2" xfId="1861"/>
    <cellStyle name="Header2 2 5 2 2" xfId="1862"/>
    <cellStyle name="Header2 2 5 2 2 2" xfId="2609"/>
    <cellStyle name="Header2 2 5 2 2 2 2" xfId="4352"/>
    <cellStyle name="Header2 2 5 2 2 2 2 2" xfId="7782"/>
    <cellStyle name="Header2 2 5 2 2 2 2 2 2" xfId="21430"/>
    <cellStyle name="Header2 2 5 2 2 2 2 2 3" xfId="29360"/>
    <cellStyle name="Header2 2 5 2 2 2 2 3" xfId="18147"/>
    <cellStyle name="Header2 2 5 2 2 2 3" xfId="16636"/>
    <cellStyle name="Header2 2 5 2 2 2 4" xfId="16025"/>
    <cellStyle name="Header2 2 5 2 2 3" xfId="16249"/>
    <cellStyle name="Header2 2 5 2 3" xfId="2610"/>
    <cellStyle name="Header2 2 5 2 3 2" xfId="4353"/>
    <cellStyle name="Header2 2 5 2 3 2 2" xfId="7783"/>
    <cellStyle name="Header2 2 5 2 3 2 2 2" xfId="21431"/>
    <cellStyle name="Header2 2 5 2 3 2 2 3" xfId="29361"/>
    <cellStyle name="Header2 2 5 2 3 2 3" xfId="18148"/>
    <cellStyle name="Header2 2 5 2 3 3" xfId="16637"/>
    <cellStyle name="Header2 2 5 2 3 4" xfId="16024"/>
    <cellStyle name="Header2 2 5 2 4" xfId="16248"/>
    <cellStyle name="Header2 2 5 3" xfId="1863"/>
    <cellStyle name="Header2 2 5 3 2" xfId="2608"/>
    <cellStyle name="Header2 2 5 3 2 2" xfId="4351"/>
    <cellStyle name="Header2 2 5 3 2 2 2" xfId="7781"/>
    <cellStyle name="Header2 2 5 3 2 2 2 2" xfId="21429"/>
    <cellStyle name="Header2 2 5 3 2 2 2 3" xfId="29359"/>
    <cellStyle name="Header2 2 5 3 2 2 3" xfId="18146"/>
    <cellStyle name="Header2 2 5 3 2 3" xfId="16635"/>
    <cellStyle name="Header2 2 5 3 2 4" xfId="16026"/>
    <cellStyle name="Header2 2 5 3 3" xfId="16250"/>
    <cellStyle name="Header2 2 5 4" xfId="2611"/>
    <cellStyle name="Header2 2 5 4 2" xfId="4354"/>
    <cellStyle name="Header2 2 5 4 2 2" xfId="7784"/>
    <cellStyle name="Header2 2 5 4 2 2 2" xfId="21432"/>
    <cellStyle name="Header2 2 5 4 2 2 3" xfId="29362"/>
    <cellStyle name="Header2 2 5 4 2 3" xfId="18149"/>
    <cellStyle name="Header2 2 5 4 3" xfId="16638"/>
    <cellStyle name="Header2 2 5 4 4" xfId="16023"/>
    <cellStyle name="Header2 2 5 5" xfId="16095"/>
    <cellStyle name="Header2 2 6" xfId="975"/>
    <cellStyle name="Header2 2 6 2" xfId="1864"/>
    <cellStyle name="Header2 2 6 2 2" xfId="2606"/>
    <cellStyle name="Header2 2 6 2 2 2" xfId="4349"/>
    <cellStyle name="Header2 2 6 2 2 2 2" xfId="7779"/>
    <cellStyle name="Header2 2 6 2 2 2 2 2" xfId="21427"/>
    <cellStyle name="Header2 2 6 2 2 2 2 3" xfId="29357"/>
    <cellStyle name="Header2 2 6 2 2 2 3" xfId="18144"/>
    <cellStyle name="Header2 2 6 2 2 3" xfId="16633"/>
    <cellStyle name="Header2 2 6 2 2 4" xfId="16028"/>
    <cellStyle name="Header2 2 6 2 3" xfId="16251"/>
    <cellStyle name="Header2 2 6 3" xfId="2607"/>
    <cellStyle name="Header2 2 6 3 2" xfId="4350"/>
    <cellStyle name="Header2 2 6 3 2 2" xfId="7780"/>
    <cellStyle name="Header2 2 6 3 2 2 2" xfId="21428"/>
    <cellStyle name="Header2 2 6 3 2 2 3" xfId="29358"/>
    <cellStyle name="Header2 2 6 3 2 3" xfId="18145"/>
    <cellStyle name="Header2 2 6 3 3" xfId="16634"/>
    <cellStyle name="Header2 2 6 3 4" xfId="16027"/>
    <cellStyle name="Header2 2 6 4" xfId="16092"/>
    <cellStyle name="Header2 2 7" xfId="1865"/>
    <cellStyle name="Header2 2 7 2" xfId="2605"/>
    <cellStyle name="Header2 2 7 2 2" xfId="4348"/>
    <cellStyle name="Header2 2 7 2 2 2" xfId="7778"/>
    <cellStyle name="Header2 2 7 2 2 2 2" xfId="21426"/>
    <cellStyle name="Header2 2 7 2 2 2 3" xfId="29356"/>
    <cellStyle name="Header2 2 7 2 2 3" xfId="18143"/>
    <cellStyle name="Header2 2 7 2 3" xfId="16632"/>
    <cellStyle name="Header2 2 7 2 4" xfId="16029"/>
    <cellStyle name="Header2 2 7 3" xfId="16252"/>
    <cellStyle name="Header2 2 8" xfId="2625"/>
    <cellStyle name="Header2 2 8 2" xfId="4368"/>
    <cellStyle name="Header2 2 8 2 2" xfId="7798"/>
    <cellStyle name="Header2 2 8 2 2 2" xfId="21446"/>
    <cellStyle name="Header2 2 8 2 2 3" xfId="29375"/>
    <cellStyle name="Header2 2 8 2 3" xfId="18163"/>
    <cellStyle name="Header2 2 8 3" xfId="16652"/>
    <cellStyle name="Header2 2 8 4" xfId="16010"/>
    <cellStyle name="Header2 2 9" xfId="29147"/>
    <cellStyle name="Header2 3" xfId="980"/>
    <cellStyle name="Header2 3 2" xfId="1866"/>
    <cellStyle name="Header2 3 2 2" xfId="1867"/>
    <cellStyle name="Header2 3 2 2 2" xfId="1868"/>
    <cellStyle name="Header2 3 2 2 2 2" xfId="2601"/>
    <cellStyle name="Header2 3 2 2 2 2 2" xfId="4344"/>
    <cellStyle name="Header2 3 2 2 2 2 2 2" xfId="7774"/>
    <cellStyle name="Header2 3 2 2 2 2 2 2 2" xfId="21422"/>
    <cellStyle name="Header2 3 2 2 2 2 2 2 3" xfId="29352"/>
    <cellStyle name="Header2 3 2 2 2 2 2 3" xfId="18139"/>
    <cellStyle name="Header2 3 2 2 2 2 3" xfId="16628"/>
    <cellStyle name="Header2 3 2 2 2 2 4" xfId="16033"/>
    <cellStyle name="Header2 3 2 2 2 3" xfId="16254"/>
    <cellStyle name="Header2 3 2 2 3" xfId="2602"/>
    <cellStyle name="Header2 3 2 2 3 2" xfId="4345"/>
    <cellStyle name="Header2 3 2 2 3 2 2" xfId="7775"/>
    <cellStyle name="Header2 3 2 2 3 2 2 2" xfId="21423"/>
    <cellStyle name="Header2 3 2 2 3 2 2 3" xfId="29353"/>
    <cellStyle name="Header2 3 2 2 3 2 3" xfId="18140"/>
    <cellStyle name="Header2 3 2 2 3 3" xfId="16629"/>
    <cellStyle name="Header2 3 2 2 3 4" xfId="16032"/>
    <cellStyle name="Header2 3 2 2 4" xfId="16253"/>
    <cellStyle name="Header2 3 2 3" xfId="1869"/>
    <cellStyle name="Header2 3 2 3 2" xfId="2600"/>
    <cellStyle name="Header2 3 2 3 2 2" xfId="4343"/>
    <cellStyle name="Header2 3 2 3 2 2 2" xfId="7773"/>
    <cellStyle name="Header2 3 2 3 2 2 2 2" xfId="21421"/>
    <cellStyle name="Header2 3 2 3 2 2 2 3" xfId="29351"/>
    <cellStyle name="Header2 3 2 3 2 2 3" xfId="18138"/>
    <cellStyle name="Header2 3 2 3 2 3" xfId="16627"/>
    <cellStyle name="Header2 3 2 3 2 4" xfId="16034"/>
    <cellStyle name="Header2 3 2 3 3" xfId="16255"/>
    <cellStyle name="Header2 3 2 4" xfId="2603"/>
    <cellStyle name="Header2 3 2 4 2" xfId="4346"/>
    <cellStyle name="Header2 3 2 4 2 2" xfId="7776"/>
    <cellStyle name="Header2 3 2 4 2 2 2" xfId="21424"/>
    <cellStyle name="Header2 3 2 4 2 2 3" xfId="29354"/>
    <cellStyle name="Header2 3 2 4 2 3" xfId="18141"/>
    <cellStyle name="Header2 3 2 4 3" xfId="16630"/>
    <cellStyle name="Header2 3 2 4 4" xfId="16031"/>
    <cellStyle name="Header2 3 2 5" xfId="12051"/>
    <cellStyle name="Header2 3 2 5 2" xfId="29153"/>
    <cellStyle name="Header2 3 3" xfId="1870"/>
    <cellStyle name="Header2 3 3 2" xfId="1871"/>
    <cellStyle name="Header2 3 3 2 2" xfId="2598"/>
    <cellStyle name="Header2 3 3 2 2 2" xfId="4341"/>
    <cellStyle name="Header2 3 3 2 2 2 2" xfId="7771"/>
    <cellStyle name="Header2 3 3 2 2 2 2 2" xfId="21419"/>
    <cellStyle name="Header2 3 3 2 2 2 2 3" xfId="29349"/>
    <cellStyle name="Header2 3 3 2 2 2 3" xfId="18136"/>
    <cellStyle name="Header2 3 3 2 2 3" xfId="16625"/>
    <cellStyle name="Header2 3 3 2 2 4" xfId="16036"/>
    <cellStyle name="Header2 3 3 2 3" xfId="16257"/>
    <cellStyle name="Header2 3 3 3" xfId="2599"/>
    <cellStyle name="Header2 3 3 3 2" xfId="4342"/>
    <cellStyle name="Header2 3 3 3 2 2" xfId="7772"/>
    <cellStyle name="Header2 3 3 3 2 2 2" xfId="21420"/>
    <cellStyle name="Header2 3 3 3 2 2 3" xfId="29350"/>
    <cellStyle name="Header2 3 3 3 2 3" xfId="18137"/>
    <cellStyle name="Header2 3 3 3 3" xfId="16626"/>
    <cellStyle name="Header2 3 3 3 4" xfId="16035"/>
    <cellStyle name="Header2 3 3 4" xfId="16256"/>
    <cellStyle name="Header2 3 4" xfId="1872"/>
    <cellStyle name="Header2 3 4 2" xfId="2597"/>
    <cellStyle name="Header2 3 4 2 2" xfId="4340"/>
    <cellStyle name="Header2 3 4 2 2 2" xfId="7770"/>
    <cellStyle name="Header2 3 4 2 2 2 2" xfId="21418"/>
    <cellStyle name="Header2 3 4 2 2 2 3" xfId="29348"/>
    <cellStyle name="Header2 3 4 2 2 3" xfId="18135"/>
    <cellStyle name="Header2 3 4 2 3" xfId="16624"/>
    <cellStyle name="Header2 3 4 2 4" xfId="16037"/>
    <cellStyle name="Header2 3 4 3" xfId="16258"/>
    <cellStyle name="Header2 3 5" xfId="2604"/>
    <cellStyle name="Header2 3 5 2" xfId="4347"/>
    <cellStyle name="Header2 3 5 2 2" xfId="7777"/>
    <cellStyle name="Header2 3 5 2 2 2" xfId="21425"/>
    <cellStyle name="Header2 3 5 2 2 3" xfId="29355"/>
    <cellStyle name="Header2 3 5 2 3" xfId="18142"/>
    <cellStyle name="Header2 3 5 3" xfId="16631"/>
    <cellStyle name="Header2 3 5 4" xfId="16030"/>
    <cellStyle name="Header2 4" xfId="981"/>
    <cellStyle name="Header2 4 2" xfId="1873"/>
    <cellStyle name="Header2 4 2 2" xfId="1874"/>
    <cellStyle name="Header2 4 2 2 2" xfId="2594"/>
    <cellStyle name="Header2 4 2 2 2 2" xfId="4337"/>
    <cellStyle name="Header2 4 2 2 2 2 2" xfId="7767"/>
    <cellStyle name="Header2 4 2 2 2 2 2 2" xfId="21415"/>
    <cellStyle name="Header2 4 2 2 2 2 2 3" xfId="29345"/>
    <cellStyle name="Header2 4 2 2 2 2 3" xfId="18132"/>
    <cellStyle name="Header2 4 2 2 2 3" xfId="16621"/>
    <cellStyle name="Header2 4 2 2 2 4" xfId="16040"/>
    <cellStyle name="Header2 4 2 2 3" xfId="16260"/>
    <cellStyle name="Header2 4 2 3" xfId="2595"/>
    <cellStyle name="Header2 4 2 3 2" xfId="4338"/>
    <cellStyle name="Header2 4 2 3 2 2" xfId="7768"/>
    <cellStyle name="Header2 4 2 3 2 2 2" xfId="21416"/>
    <cellStyle name="Header2 4 2 3 2 2 3" xfId="29346"/>
    <cellStyle name="Header2 4 2 3 2 3" xfId="18133"/>
    <cellStyle name="Header2 4 2 3 3" xfId="16622"/>
    <cellStyle name="Header2 4 2 3 4" xfId="16039"/>
    <cellStyle name="Header2 4 2 4" xfId="16259"/>
    <cellStyle name="Header2 4 3" xfId="1875"/>
    <cellStyle name="Header2 4 3 2" xfId="2593"/>
    <cellStyle name="Header2 4 3 2 2" xfId="4336"/>
    <cellStyle name="Header2 4 3 2 2 2" xfId="7766"/>
    <cellStyle name="Header2 4 3 2 2 2 2" xfId="21414"/>
    <cellStyle name="Header2 4 3 2 2 2 3" xfId="29344"/>
    <cellStyle name="Header2 4 3 2 2 3" xfId="18131"/>
    <cellStyle name="Header2 4 3 2 3" xfId="16620"/>
    <cellStyle name="Header2 4 3 2 4" xfId="16041"/>
    <cellStyle name="Header2 4 3 3" xfId="16261"/>
    <cellStyle name="Header2 4 4" xfId="2596"/>
    <cellStyle name="Header2 4 4 2" xfId="4339"/>
    <cellStyle name="Header2 4 4 2 2" xfId="7769"/>
    <cellStyle name="Header2 4 4 2 2 2" xfId="21417"/>
    <cellStyle name="Header2 4 4 2 2 3" xfId="29347"/>
    <cellStyle name="Header2 4 4 2 3" xfId="18134"/>
    <cellStyle name="Header2 4 4 3" xfId="16623"/>
    <cellStyle name="Header2 4 4 4" xfId="16038"/>
    <cellStyle name="Header2 4 5" xfId="16096"/>
    <cellStyle name="Header2 5" xfId="982"/>
    <cellStyle name="Header2 5 2" xfId="1876"/>
    <cellStyle name="Header2 5 2 2" xfId="1877"/>
    <cellStyle name="Header2 5 2 2 2" xfId="2590"/>
    <cellStyle name="Header2 5 2 2 2 2" xfId="4333"/>
    <cellStyle name="Header2 5 2 2 2 2 2" xfId="7763"/>
    <cellStyle name="Header2 5 2 2 2 2 2 2" xfId="21411"/>
    <cellStyle name="Header2 5 2 2 2 2 2 3" xfId="29341"/>
    <cellStyle name="Header2 5 2 2 2 2 3" xfId="18128"/>
    <cellStyle name="Header2 5 2 2 2 3" xfId="16617"/>
    <cellStyle name="Header2 5 2 2 2 4" xfId="16044"/>
    <cellStyle name="Header2 5 2 2 3" xfId="16263"/>
    <cellStyle name="Header2 5 2 3" xfId="2591"/>
    <cellStyle name="Header2 5 2 3 2" xfId="4334"/>
    <cellStyle name="Header2 5 2 3 2 2" xfId="7764"/>
    <cellStyle name="Header2 5 2 3 2 2 2" xfId="21412"/>
    <cellStyle name="Header2 5 2 3 2 2 3" xfId="29342"/>
    <cellStyle name="Header2 5 2 3 2 3" xfId="18129"/>
    <cellStyle name="Header2 5 2 3 3" xfId="16618"/>
    <cellStyle name="Header2 5 2 3 4" xfId="16043"/>
    <cellStyle name="Header2 5 2 4" xfId="16262"/>
    <cellStyle name="Header2 5 3" xfId="1878"/>
    <cellStyle name="Header2 5 3 2" xfId="2589"/>
    <cellStyle name="Header2 5 3 2 2" xfId="4332"/>
    <cellStyle name="Header2 5 3 2 2 2" xfId="7762"/>
    <cellStyle name="Header2 5 3 2 2 2 2" xfId="21410"/>
    <cellStyle name="Header2 5 3 2 2 2 3" xfId="29340"/>
    <cellStyle name="Header2 5 3 2 2 3" xfId="18127"/>
    <cellStyle name="Header2 5 3 2 3" xfId="16616"/>
    <cellStyle name="Header2 5 3 2 4" xfId="16045"/>
    <cellStyle name="Header2 5 3 3" xfId="16264"/>
    <cellStyle name="Header2 5 4" xfId="2592"/>
    <cellStyle name="Header2 5 4 2" xfId="4335"/>
    <cellStyle name="Header2 5 4 2 2" xfId="7765"/>
    <cellStyle name="Header2 5 4 2 2 2" xfId="21413"/>
    <cellStyle name="Header2 5 4 2 2 3" xfId="29343"/>
    <cellStyle name="Header2 5 4 2 3" xfId="18130"/>
    <cellStyle name="Header2 5 4 3" xfId="16619"/>
    <cellStyle name="Header2 5 4 4" xfId="16042"/>
    <cellStyle name="Header2 5 5" xfId="12043"/>
    <cellStyle name="Header2 5 5 2" xfId="29154"/>
    <cellStyle name="Header2 6" xfId="983"/>
    <cellStyle name="Header2 6 2" xfId="1879"/>
    <cellStyle name="Header2 6 2 2" xfId="1880"/>
    <cellStyle name="Header2 6 2 2 2" xfId="2586"/>
    <cellStyle name="Header2 6 2 2 2 2" xfId="4329"/>
    <cellStyle name="Header2 6 2 2 2 2 2" xfId="7759"/>
    <cellStyle name="Header2 6 2 2 2 2 2 2" xfId="21407"/>
    <cellStyle name="Header2 6 2 2 2 2 2 3" xfId="29337"/>
    <cellStyle name="Header2 6 2 2 2 2 3" xfId="18124"/>
    <cellStyle name="Header2 6 2 2 2 3" xfId="16613"/>
    <cellStyle name="Header2 6 2 2 2 4" xfId="15846"/>
    <cellStyle name="Header2 6 2 2 3" xfId="16266"/>
    <cellStyle name="Header2 6 2 3" xfId="2587"/>
    <cellStyle name="Header2 6 2 3 2" xfId="4330"/>
    <cellStyle name="Header2 6 2 3 2 2" xfId="7760"/>
    <cellStyle name="Header2 6 2 3 2 2 2" xfId="21408"/>
    <cellStyle name="Header2 6 2 3 2 2 3" xfId="29338"/>
    <cellStyle name="Header2 6 2 3 2 3" xfId="18125"/>
    <cellStyle name="Header2 6 2 3 3" xfId="16614"/>
    <cellStyle name="Header2 6 2 3 4" xfId="15845"/>
    <cellStyle name="Header2 6 2 4" xfId="16265"/>
    <cellStyle name="Header2 6 3" xfId="1881"/>
    <cellStyle name="Header2 6 3 2" xfId="2585"/>
    <cellStyle name="Header2 6 3 2 2" xfId="4328"/>
    <cellStyle name="Header2 6 3 2 2 2" xfId="7758"/>
    <cellStyle name="Header2 6 3 2 2 2 2" xfId="21406"/>
    <cellStyle name="Header2 6 3 2 2 2 3" xfId="29336"/>
    <cellStyle name="Header2 6 3 2 2 3" xfId="18123"/>
    <cellStyle name="Header2 6 3 2 3" xfId="16612"/>
    <cellStyle name="Header2 6 3 2 4" xfId="16047"/>
    <cellStyle name="Header2 6 3 3" xfId="16267"/>
    <cellStyle name="Header2 6 4" xfId="2588"/>
    <cellStyle name="Header2 6 4 2" xfId="4331"/>
    <cellStyle name="Header2 6 4 2 2" xfId="7761"/>
    <cellStyle name="Header2 6 4 2 2 2" xfId="21409"/>
    <cellStyle name="Header2 6 4 2 2 3" xfId="29339"/>
    <cellStyle name="Header2 6 4 2 3" xfId="18126"/>
    <cellStyle name="Header2 6 4 3" xfId="16615"/>
    <cellStyle name="Header2 6 4 4" xfId="16046"/>
    <cellStyle name="Header2 6 5" xfId="16097"/>
    <cellStyle name="Header2 7" xfId="984"/>
    <cellStyle name="Header2 7 2" xfId="1882"/>
    <cellStyle name="Header2 7 2 2" xfId="1883"/>
    <cellStyle name="Header2 7 2 2 2" xfId="2582"/>
    <cellStyle name="Header2 7 2 2 2 2" xfId="4325"/>
    <cellStyle name="Header2 7 2 2 2 2 2" xfId="7755"/>
    <cellStyle name="Header2 7 2 2 2 2 2 2" xfId="21403"/>
    <cellStyle name="Header2 7 2 2 2 2 2 3" xfId="29333"/>
    <cellStyle name="Header2 7 2 2 2 2 3" xfId="18120"/>
    <cellStyle name="Header2 7 2 2 2 3" xfId="16609"/>
    <cellStyle name="Header2 7 2 2 2 4" xfId="16050"/>
    <cellStyle name="Header2 7 2 2 3" xfId="16269"/>
    <cellStyle name="Header2 7 2 3" xfId="2583"/>
    <cellStyle name="Header2 7 2 3 2" xfId="4326"/>
    <cellStyle name="Header2 7 2 3 2 2" xfId="7756"/>
    <cellStyle name="Header2 7 2 3 2 2 2" xfId="21404"/>
    <cellStyle name="Header2 7 2 3 2 2 3" xfId="29334"/>
    <cellStyle name="Header2 7 2 3 2 3" xfId="18121"/>
    <cellStyle name="Header2 7 2 3 3" xfId="16610"/>
    <cellStyle name="Header2 7 2 3 4" xfId="16049"/>
    <cellStyle name="Header2 7 2 4" xfId="16268"/>
    <cellStyle name="Header2 7 3" xfId="1884"/>
    <cellStyle name="Header2 7 3 2" xfId="2580"/>
    <cellStyle name="Header2 7 3 2 2" xfId="4323"/>
    <cellStyle name="Header2 7 3 2 2 2" xfId="7753"/>
    <cellStyle name="Header2 7 3 2 2 2 2" xfId="21401"/>
    <cellStyle name="Header2 7 3 2 2 2 3" xfId="29332"/>
    <cellStyle name="Header2 7 3 2 2 3" xfId="18118"/>
    <cellStyle name="Header2 7 3 2 3" xfId="16607"/>
    <cellStyle name="Header2 7 3 2 4" xfId="16051"/>
    <cellStyle name="Header2 7 3 3" xfId="16270"/>
    <cellStyle name="Header2 7 4" xfId="2584"/>
    <cellStyle name="Header2 7 4 2" xfId="4327"/>
    <cellStyle name="Header2 7 4 2 2" xfId="7757"/>
    <cellStyle name="Header2 7 4 2 2 2" xfId="21405"/>
    <cellStyle name="Header2 7 4 2 2 3" xfId="29335"/>
    <cellStyle name="Header2 7 4 2 3" xfId="18122"/>
    <cellStyle name="Header2 7 4 3" xfId="16611"/>
    <cellStyle name="Header2 7 4 4" xfId="16048"/>
    <cellStyle name="Header2 7 5" xfId="16098"/>
    <cellStyle name="Header2 8" xfId="974"/>
    <cellStyle name="Header2 8 2" xfId="1885"/>
    <cellStyle name="Header2 8 2 2" xfId="2578"/>
    <cellStyle name="Header2 8 2 2 2" xfId="4321"/>
    <cellStyle name="Header2 8 2 2 2 2" xfId="7751"/>
    <cellStyle name="Header2 8 2 2 2 2 2" xfId="21399"/>
    <cellStyle name="Header2 8 2 2 2 2 3" xfId="29330"/>
    <cellStyle name="Header2 8 2 2 2 3" xfId="18116"/>
    <cellStyle name="Header2 8 2 2 3" xfId="16605"/>
    <cellStyle name="Header2 8 2 2 4" xfId="16053"/>
    <cellStyle name="Header2 8 2 3" xfId="16271"/>
    <cellStyle name="Header2 8 3" xfId="2579"/>
    <cellStyle name="Header2 8 3 2" xfId="4322"/>
    <cellStyle name="Header2 8 3 2 2" xfId="7752"/>
    <cellStyle name="Header2 8 3 2 2 2" xfId="21400"/>
    <cellStyle name="Header2 8 3 2 2 3" xfId="29331"/>
    <cellStyle name="Header2 8 3 2 3" xfId="18117"/>
    <cellStyle name="Header2 8 3 3" xfId="16606"/>
    <cellStyle name="Header2 8 3 4" xfId="16052"/>
    <cellStyle name="Header2 8 4" xfId="16091"/>
    <cellStyle name="Header2 9" xfId="1886"/>
    <cellStyle name="Header2 9 2" xfId="2577"/>
    <cellStyle name="Header2 9 2 2" xfId="4320"/>
    <cellStyle name="Header2 9 2 2 2" xfId="7750"/>
    <cellStyle name="Header2 9 2 2 2 2" xfId="21398"/>
    <cellStyle name="Header2 9 2 2 2 3" xfId="29329"/>
    <cellStyle name="Header2 9 2 2 3" xfId="18115"/>
    <cellStyle name="Header2 9 2 3" xfId="16604"/>
    <cellStyle name="Header2 9 2 4" xfId="16054"/>
    <cellStyle name="Header2 9 3" xfId="16272"/>
    <cellStyle name="Header2_Data Check Control" xfId="198"/>
    <cellStyle name="Heading 1" xfId="422" builtinId="16" customBuiltin="1"/>
    <cellStyle name="Heading 1 2" xfId="393"/>
    <cellStyle name="Heading 1 2 2" xfId="985"/>
    <cellStyle name="Heading 1 3" xfId="986"/>
    <cellStyle name="Heading 1 4" xfId="15733"/>
    <cellStyle name="Heading 1 5" xfId="15925"/>
    <cellStyle name="Heading 2" xfId="423" builtinId="17" customBuiltin="1"/>
    <cellStyle name="Heading 2 2" xfId="394"/>
    <cellStyle name="Heading 2 2 2" xfId="987"/>
    <cellStyle name="Heading 2 3" xfId="988"/>
    <cellStyle name="Heading 2 4" xfId="989"/>
    <cellStyle name="Heading 2 5" xfId="15734"/>
    <cellStyle name="Heading 2 6" xfId="15926"/>
    <cellStyle name="Heading 3" xfId="424" builtinId="18" customBuiltin="1"/>
    <cellStyle name="Heading 3 2" xfId="395"/>
    <cellStyle name="Heading 3 2 2" xfId="990"/>
    <cellStyle name="Heading 3 3" xfId="15735"/>
    <cellStyle name="Heading 3 4" xfId="15798"/>
    <cellStyle name="Heading 3 5" xfId="15927"/>
    <cellStyle name="Heading 4" xfId="425" builtinId="19" customBuiltin="1"/>
    <cellStyle name="Heading 4 2" xfId="396"/>
    <cellStyle name="Heading 4 2 2" xfId="991"/>
    <cellStyle name="Heading 4 3" xfId="15736"/>
    <cellStyle name="Heading 4 4" xfId="15797"/>
    <cellStyle name="Heading 4 5" xfId="15928"/>
    <cellStyle name="Hyperlink 2" xfId="60"/>
    <cellStyle name="Hyperlink 3" xfId="139"/>
    <cellStyle name="Input" xfId="429" builtinId="20" customBuiltin="1"/>
    <cellStyle name="Input [yellow]" xfId="61"/>
    <cellStyle name="Input [yellow] 10" xfId="16274"/>
    <cellStyle name="Input [yellow] 2" xfId="398"/>
    <cellStyle name="Input [yellow] 2 2" xfId="992"/>
    <cellStyle name="Input [yellow] 2 2 10" xfId="29290"/>
    <cellStyle name="Input [yellow] 2 2 2" xfId="1887"/>
    <cellStyle name="Input [yellow] 2 2 2 2" xfId="1888"/>
    <cellStyle name="Input [yellow] 2 2 2 2 2" xfId="1889"/>
    <cellStyle name="Input [yellow] 2 2 2 2 2 2" xfId="2344"/>
    <cellStyle name="Input [yellow] 2 2 2 2 2 2 2" xfId="3450"/>
    <cellStyle name="Input [yellow] 2 2 2 2 2 2 2 2" xfId="6884"/>
    <cellStyle name="Input [yellow] 2 2 2 2 2 2 2 2 2" xfId="20534"/>
    <cellStyle name="Input [yellow] 2 2 2 2 2 2 2 2 3" xfId="29314"/>
    <cellStyle name="Input [yellow] 2 2 2 2 2 2 2 3" xfId="29259"/>
    <cellStyle name="Input [yellow] 2 2 2 2 2 2 3" xfId="29204"/>
    <cellStyle name="Input [yellow] 2 2 2 2 2 3" xfId="2570"/>
    <cellStyle name="Input [yellow] 2 2 2 2 2 3 2" xfId="6233"/>
    <cellStyle name="Input [yellow] 2 2 2 2 2 3 2 2" xfId="19883"/>
    <cellStyle name="Input [yellow] 2 2 2 2 2 3 2 3" xfId="29296"/>
    <cellStyle name="Input [yellow] 2 2 2 2 2 3 3" xfId="29166"/>
    <cellStyle name="Input [yellow] 2 2 2 2 2 4" xfId="29129"/>
    <cellStyle name="Input [yellow] 2 2 2 2 3" xfId="2343"/>
    <cellStyle name="Input [yellow] 2 2 2 2 3 2" xfId="3449"/>
    <cellStyle name="Input [yellow] 2 2 2 2 3 2 2" xfId="6883"/>
    <cellStyle name="Input [yellow] 2 2 2 2 3 2 2 2" xfId="20533"/>
    <cellStyle name="Input [yellow] 2 2 2 2 3 2 2 3" xfId="29444"/>
    <cellStyle name="Input [yellow] 2 2 2 2 3 2 3" xfId="29396"/>
    <cellStyle name="Input [yellow] 2 2 2 2 3 3" xfId="29260"/>
    <cellStyle name="Input [yellow] 2 2 2 2 4" xfId="2571"/>
    <cellStyle name="Input [yellow] 2 2 2 2 4 2" xfId="6234"/>
    <cellStyle name="Input [yellow] 2 2 2 2 4 2 2" xfId="19884"/>
    <cellStyle name="Input [yellow] 2 2 2 2 4 2 3" xfId="29555"/>
    <cellStyle name="Input [yellow] 2 2 2 2 4 3" xfId="29503"/>
    <cellStyle name="Input [yellow] 2 2 2 2 5" xfId="29194"/>
    <cellStyle name="Input [yellow] 2 2 2 3" xfId="1890"/>
    <cellStyle name="Input [yellow] 2 2 2 3 2" xfId="1891"/>
    <cellStyle name="Input [yellow] 2 2 2 3 2 2" xfId="2346"/>
    <cellStyle name="Input [yellow] 2 2 2 3 2 2 2" xfId="3452"/>
    <cellStyle name="Input [yellow] 2 2 2 3 2 2 2 2" xfId="6886"/>
    <cellStyle name="Input [yellow] 2 2 2 3 2 2 2 2 2" xfId="20536"/>
    <cellStyle name="Input [yellow] 2 2 2 3 2 2 2 2 3" xfId="18362"/>
    <cellStyle name="Input [yellow] 2 2 2 3 2 2 2 3" xfId="16057"/>
    <cellStyle name="Input [yellow] 2 2 2 3 2 2 3" xfId="29500"/>
    <cellStyle name="Input [yellow] 2 2 2 3 2 3" xfId="2568"/>
    <cellStyle name="Input [yellow] 2 2 2 3 2 3 2" xfId="6231"/>
    <cellStyle name="Input [yellow] 2 2 2 3 2 3 2 2" xfId="19881"/>
    <cellStyle name="Input [yellow] 2 2 2 3 2 3 2 3" xfId="29514"/>
    <cellStyle name="Input [yellow] 2 2 2 3 2 3 3" xfId="29264"/>
    <cellStyle name="Input [yellow] 2 2 2 3 2 4" xfId="16084"/>
    <cellStyle name="Input [yellow] 2 2 2 3 3" xfId="2345"/>
    <cellStyle name="Input [yellow] 2 2 2 3 3 2" xfId="3451"/>
    <cellStyle name="Input [yellow] 2 2 2 3 3 2 2" xfId="6885"/>
    <cellStyle name="Input [yellow] 2 2 2 3 3 2 2 2" xfId="20535"/>
    <cellStyle name="Input [yellow] 2 2 2 3 3 2 2 3" xfId="29212"/>
    <cellStyle name="Input [yellow] 2 2 2 3 3 2 3" xfId="29202"/>
    <cellStyle name="Input [yellow] 2 2 2 3 3 3" xfId="16055"/>
    <cellStyle name="Input [yellow] 2 2 2 3 4" xfId="2569"/>
    <cellStyle name="Input [yellow] 2 2 2 3 4 2" xfId="6232"/>
    <cellStyle name="Input [yellow] 2 2 2 3 4 2 2" xfId="19882"/>
    <cellStyle name="Input [yellow] 2 2 2 3 4 2 3" xfId="29426"/>
    <cellStyle name="Input [yellow] 2 2 2 3 4 3" xfId="29207"/>
    <cellStyle name="Input [yellow] 2 2 2 3 5" xfId="29189"/>
    <cellStyle name="Input [yellow] 2 2 2 4" xfId="1892"/>
    <cellStyle name="Input [yellow] 2 2 2 4 2" xfId="2347"/>
    <cellStyle name="Input [yellow] 2 2 2 4 2 2" xfId="3453"/>
    <cellStyle name="Input [yellow] 2 2 2 4 2 2 2" xfId="6887"/>
    <cellStyle name="Input [yellow] 2 2 2 4 2 2 2 2" xfId="20537"/>
    <cellStyle name="Input [yellow] 2 2 2 4 2 2 2 3" xfId="16137"/>
    <cellStyle name="Input [yellow] 2 2 2 4 2 2 3" xfId="29498"/>
    <cellStyle name="Input [yellow] 2 2 2 4 2 3" xfId="29412"/>
    <cellStyle name="Input [yellow] 2 2 2 4 3" xfId="2566"/>
    <cellStyle name="Input [yellow] 2 2 2 4 3 2" xfId="6229"/>
    <cellStyle name="Input [yellow] 2 2 2 4 3 2 2" xfId="19879"/>
    <cellStyle name="Input [yellow] 2 2 2 4 3 2 3" xfId="29311"/>
    <cellStyle name="Input [yellow] 2 2 2 4 3 3" xfId="29478"/>
    <cellStyle name="Input [yellow] 2 2 2 4 4" xfId="18379"/>
    <cellStyle name="Input [yellow] 2 2 2 5" xfId="2249"/>
    <cellStyle name="Input [yellow] 2 2 2 5 2" xfId="3362"/>
    <cellStyle name="Input [yellow] 2 2 2 5 2 2" xfId="6796"/>
    <cellStyle name="Input [yellow] 2 2 2 5 2 2 2" xfId="20446"/>
    <cellStyle name="Input [yellow] 2 2 2 5 2 2 3" xfId="16293"/>
    <cellStyle name="Input [yellow] 2 2 2 5 2 3" xfId="29263"/>
    <cellStyle name="Input [yellow] 2 2 2 5 3" xfId="29544"/>
    <cellStyle name="Input [yellow] 2 2 2 6" xfId="2572"/>
    <cellStyle name="Input [yellow] 2 2 2 6 2" xfId="6235"/>
    <cellStyle name="Input [yellow] 2 2 2 6 2 2" xfId="19885"/>
    <cellStyle name="Input [yellow] 2 2 2 6 2 3" xfId="29468"/>
    <cellStyle name="Input [yellow] 2 2 2 6 3" xfId="29414"/>
    <cellStyle name="Input [yellow] 2 2 2 7" xfId="16521"/>
    <cellStyle name="Input [yellow] 2 2 3" xfId="1893"/>
    <cellStyle name="Input [yellow] 2 2 3 2" xfId="1894"/>
    <cellStyle name="Input [yellow] 2 2 3 2 2" xfId="1895"/>
    <cellStyle name="Input [yellow] 2 2 3 2 2 2" xfId="2349"/>
    <cellStyle name="Input [yellow] 2 2 3 2 2 2 2" xfId="3455"/>
    <cellStyle name="Input [yellow] 2 2 3 2 2 2 2 2" xfId="6889"/>
    <cellStyle name="Input [yellow] 2 2 3 2 2 2 2 2 2" xfId="20539"/>
    <cellStyle name="Input [yellow] 2 2 3 2 2 2 2 2 3" xfId="29076"/>
    <cellStyle name="Input [yellow] 2 2 3 2 2 2 2 3" xfId="29279"/>
    <cellStyle name="Input [yellow] 2 2 3 2 2 2 3" xfId="29538"/>
    <cellStyle name="Input [yellow] 2 2 3 2 2 3" xfId="2563"/>
    <cellStyle name="Input [yellow] 2 2 3 2 2 3 2" xfId="6226"/>
    <cellStyle name="Input [yellow] 2 2 3 2 2 3 2 2" xfId="19876"/>
    <cellStyle name="Input [yellow] 2 2 3 2 2 3 2 3" xfId="29270"/>
    <cellStyle name="Input [yellow] 2 2 3 2 2 3 3" xfId="29437"/>
    <cellStyle name="Input [yellow] 2 2 3 2 2 4" xfId="18355"/>
    <cellStyle name="Input [yellow] 2 2 3 2 3" xfId="2348"/>
    <cellStyle name="Input [yellow] 2 2 3 2 3 2" xfId="3454"/>
    <cellStyle name="Input [yellow] 2 2 3 2 3 2 2" xfId="6888"/>
    <cellStyle name="Input [yellow] 2 2 3 2 3 2 2 2" xfId="20538"/>
    <cellStyle name="Input [yellow] 2 2 3 2 3 2 2 3" xfId="16134"/>
    <cellStyle name="Input [yellow] 2 2 3 2 3 2 3" xfId="29410"/>
    <cellStyle name="Input [yellow] 2 2 3 2 3 3" xfId="29281"/>
    <cellStyle name="Input [yellow] 2 2 3 2 4" xfId="2564"/>
    <cellStyle name="Input [yellow] 2 2 3 2 4 2" xfId="6227"/>
    <cellStyle name="Input [yellow] 2 2 3 2 4 2 2" xfId="19877"/>
    <cellStyle name="Input [yellow] 2 2 3 2 4 2 3" xfId="29528"/>
    <cellStyle name="Input [yellow] 2 2 3 2 4 3" xfId="29307"/>
    <cellStyle name="Input [yellow] 2 2 3 2 5" xfId="16881"/>
    <cellStyle name="Input [yellow] 2 2 3 3" xfId="1896"/>
    <cellStyle name="Input [yellow] 2 2 3 3 2" xfId="1897"/>
    <cellStyle name="Input [yellow] 2 2 3 3 2 2" xfId="2351"/>
    <cellStyle name="Input [yellow] 2 2 3 3 2 2 2" xfId="3457"/>
    <cellStyle name="Input [yellow] 2 2 3 3 2 2 2 2" xfId="6891"/>
    <cellStyle name="Input [yellow] 2 2 3 3 2 2 2 2 2" xfId="20541"/>
    <cellStyle name="Input [yellow] 2 2 3 3 2 2 2 2 3" xfId="16088"/>
    <cellStyle name="Input [yellow] 2 2 3 3 2 2 2 3" xfId="29450"/>
    <cellStyle name="Input [yellow] 2 2 3 3 2 2 3" xfId="29324"/>
    <cellStyle name="Input [yellow] 2 2 3 3 2 3" xfId="2560"/>
    <cellStyle name="Input [yellow] 2 2 3 3 2 3 2" xfId="6223"/>
    <cellStyle name="Input [yellow] 2 2 3 3 2 3 2 2" xfId="19873"/>
    <cellStyle name="Input [yellow] 2 2 3 3 2 3 2 3" xfId="29584"/>
    <cellStyle name="Input [yellow] 2 2 3 3 2 3 3" xfId="29380"/>
    <cellStyle name="Input [yellow] 2 2 3 3 2 4" xfId="15847"/>
    <cellStyle name="Input [yellow] 2 2 3 3 3" xfId="2350"/>
    <cellStyle name="Input [yellow] 2 2 3 3 3 2" xfId="3456"/>
    <cellStyle name="Input [yellow] 2 2 3 3 3 2 2" xfId="6890"/>
    <cellStyle name="Input [yellow] 2 2 3 3 3 2 2 2" xfId="20540"/>
    <cellStyle name="Input [yellow] 2 2 3 3 3 2 2 3" xfId="16087"/>
    <cellStyle name="Input [yellow] 2 2 3 3 3 2 3" xfId="29536"/>
    <cellStyle name="Input [yellow] 2 2 3 3 3 3" xfId="29453"/>
    <cellStyle name="Input [yellow] 2 2 3 3 4" xfId="2561"/>
    <cellStyle name="Input [yellow] 2 2 3 3 4 2" xfId="6224"/>
    <cellStyle name="Input [yellow] 2 2 3 3 4 2 2" xfId="19874"/>
    <cellStyle name="Input [yellow] 2 2 3 3 4 2 3" xfId="29491"/>
    <cellStyle name="Input [yellow] 2 2 3 3 4 3" xfId="29228"/>
    <cellStyle name="Input [yellow] 2 2 3 3 5" xfId="29187"/>
    <cellStyle name="Input [yellow] 2 2 3 4" xfId="1898"/>
    <cellStyle name="Input [yellow] 2 2 3 4 2" xfId="2352"/>
    <cellStyle name="Input [yellow] 2 2 3 4 2 2" xfId="3458"/>
    <cellStyle name="Input [yellow] 2 2 3 4 2 2 2" xfId="6892"/>
    <cellStyle name="Input [yellow] 2 2 3 4 2 2 2 2" xfId="20542"/>
    <cellStyle name="Input [yellow] 2 2 3 4 2 2 2 3" xfId="17052"/>
    <cellStyle name="Input [yellow] 2 2 3 4 2 2 3" xfId="29322"/>
    <cellStyle name="Input [yellow] 2 2 3 4 2 3" xfId="29222"/>
    <cellStyle name="Input [yellow] 2 2 3 4 3" xfId="2559"/>
    <cellStyle name="Input [yellow] 2 2 3 4 3 2" xfId="6222"/>
    <cellStyle name="Input [yellow] 2 2 3 4 3 2 2" xfId="19872"/>
    <cellStyle name="Input [yellow] 2 2 3 4 3 2 3" xfId="29588"/>
    <cellStyle name="Input [yellow] 2 2 3 4 3 3" xfId="29461"/>
    <cellStyle name="Input [yellow] 2 2 3 4 4" xfId="18358"/>
    <cellStyle name="Input [yellow] 2 2 3 5" xfId="2246"/>
    <cellStyle name="Input [yellow] 2 2 3 5 2" xfId="3359"/>
    <cellStyle name="Input [yellow] 2 2 3 5 2 2" xfId="6793"/>
    <cellStyle name="Input [yellow] 2 2 3 5 2 2 2" xfId="20443"/>
    <cellStyle name="Input [yellow] 2 2 3 5 2 2 3" xfId="17053"/>
    <cellStyle name="Input [yellow] 2 2 3 5 2 3" xfId="29565"/>
    <cellStyle name="Input [yellow] 2 2 3 5 3" xfId="29505"/>
    <cellStyle name="Input [yellow] 2 2 3 6" xfId="2565"/>
    <cellStyle name="Input [yellow] 2 2 3 6 2" xfId="6228"/>
    <cellStyle name="Input [yellow] 2 2 3 6 2 2" xfId="19878"/>
    <cellStyle name="Input [yellow] 2 2 3 6 2 3" xfId="29441"/>
    <cellStyle name="Input [yellow] 2 2 3 6 3" xfId="29566"/>
    <cellStyle name="Input [yellow] 2 2 3 7" xfId="29188"/>
    <cellStyle name="Input [yellow] 2 2 4" xfId="1899"/>
    <cellStyle name="Input [yellow] 2 2 4 2" xfId="1900"/>
    <cellStyle name="Input [yellow] 2 2 4 2 2" xfId="2354"/>
    <cellStyle name="Input [yellow] 2 2 4 2 2 2" xfId="3460"/>
    <cellStyle name="Input [yellow] 2 2 4 2 2 2 2" xfId="6894"/>
    <cellStyle name="Input [yellow] 2 2 4 2 2 2 2 2" xfId="20544"/>
    <cellStyle name="Input [yellow] 2 2 4 2 2 2 2 3" xfId="16198"/>
    <cellStyle name="Input [yellow] 2 2 4 2 2 2 3" xfId="29519"/>
    <cellStyle name="Input [yellow] 2 2 4 2 2 3" xfId="29432"/>
    <cellStyle name="Input [yellow] 2 2 4 2 3" xfId="2557"/>
    <cellStyle name="Input [yellow] 2 2 4 2 3 2" xfId="6220"/>
    <cellStyle name="Input [yellow] 2 2 4 2 3 2 2" xfId="19870"/>
    <cellStyle name="Input [yellow] 2 2 4 2 3 2 3" xfId="29136"/>
    <cellStyle name="Input [yellow] 2 2 4 2 3 3" xfId="29288"/>
    <cellStyle name="Input [yellow] 2 2 4 2 4" xfId="18368"/>
    <cellStyle name="Input [yellow] 2 2 4 3" xfId="2353"/>
    <cellStyle name="Input [yellow] 2 2 4 3 2" xfId="3459"/>
    <cellStyle name="Input [yellow] 2 2 4 3 2 2" xfId="6893"/>
    <cellStyle name="Input [yellow] 2 2 4 3 2 2 2" xfId="20543"/>
    <cellStyle name="Input [yellow] 2 2 4 3 2 2 3" xfId="17055"/>
    <cellStyle name="Input [yellow] 2 2 4 3 2 3" xfId="29220"/>
    <cellStyle name="Input [yellow] 2 2 4 3 3" xfId="29521"/>
    <cellStyle name="Input [yellow] 2 2 4 4" xfId="2558"/>
    <cellStyle name="Input [yellow] 2 2 4 4 2" xfId="6221"/>
    <cellStyle name="Input [yellow] 2 2 4 4 2 2" xfId="19871"/>
    <cellStyle name="Input [yellow] 2 2 4 4 2 3" xfId="28957"/>
    <cellStyle name="Input [yellow] 2 2 4 4 3" xfId="29547"/>
    <cellStyle name="Input [yellow] 2 2 4 5" xfId="15848"/>
    <cellStyle name="Input [yellow] 2 2 5" xfId="1901"/>
    <cellStyle name="Input [yellow] 2 2 5 2" xfId="1902"/>
    <cellStyle name="Input [yellow] 2 2 5 2 2" xfId="2356"/>
    <cellStyle name="Input [yellow] 2 2 5 2 2 2" xfId="3462"/>
    <cellStyle name="Input [yellow] 2 2 5 2 2 2 2" xfId="6896"/>
    <cellStyle name="Input [yellow] 2 2 5 2 2 2 2 2" xfId="20546"/>
    <cellStyle name="Input [yellow] 2 2 5 2 2 2 2 3" xfId="16136"/>
    <cellStyle name="Input [yellow] 2 2 5 2 2 2 3" xfId="29300"/>
    <cellStyle name="Input [yellow] 2 2 5 2 2 3" xfId="29561"/>
    <cellStyle name="Input [yellow] 2 2 5 2 3" xfId="2546"/>
    <cellStyle name="Input [yellow] 2 2 5 2 3 2" xfId="6209"/>
    <cellStyle name="Input [yellow] 2 2 5 2 3 2 2" xfId="19859"/>
    <cellStyle name="Input [yellow] 2 2 5 2 3 2 3" xfId="29442"/>
    <cellStyle name="Input [yellow] 2 2 5 2 3 3" xfId="29214"/>
    <cellStyle name="Input [yellow] 2 2 5 2 4" xfId="18369"/>
    <cellStyle name="Input [yellow] 2 2 5 3" xfId="2355"/>
    <cellStyle name="Input [yellow] 2 2 5 3 2" xfId="3461"/>
    <cellStyle name="Input [yellow] 2 2 5 3 2 2" xfId="6895"/>
    <cellStyle name="Input [yellow] 2 2 5 3 2 2 2" xfId="20545"/>
    <cellStyle name="Input [yellow] 2 2 5 3 2 2 3" xfId="17060"/>
    <cellStyle name="Input [yellow] 2 2 5 3 2 3" xfId="29430"/>
    <cellStyle name="Input [yellow] 2 2 5 3 3" xfId="29302"/>
    <cellStyle name="Input [yellow] 2 2 5 4" xfId="2556"/>
    <cellStyle name="Input [yellow] 2 2 5 4 2" xfId="6219"/>
    <cellStyle name="Input [yellow] 2 2 5 4 2 2" xfId="19869"/>
    <cellStyle name="Input [yellow] 2 2 5 4 2 3" xfId="29191"/>
    <cellStyle name="Input [yellow] 2 2 5 4 3" xfId="29419"/>
    <cellStyle name="Input [yellow] 2 2 5 5" xfId="29186"/>
    <cellStyle name="Input [yellow] 2 2 6" xfId="1903"/>
    <cellStyle name="Input [yellow] 2 2 6 2" xfId="2357"/>
    <cellStyle name="Input [yellow] 2 2 6 2 2" xfId="3463"/>
    <cellStyle name="Input [yellow] 2 2 6 2 2 2" xfId="6897"/>
    <cellStyle name="Input [yellow] 2 2 6 2 2 2 2" xfId="20547"/>
    <cellStyle name="Input [yellow] 2 2 6 2 2 2 3" xfId="16133"/>
    <cellStyle name="Input [yellow] 2 2 6 2 2 3" xfId="29559"/>
    <cellStyle name="Input [yellow] 2 2 6 2 3" xfId="29474"/>
    <cellStyle name="Input [yellow] 2 2 6 3" xfId="2545"/>
    <cellStyle name="Input [yellow] 2 2 6 3 2" xfId="6208"/>
    <cellStyle name="Input [yellow] 2 2 6 3 2 2" xfId="19858"/>
    <cellStyle name="Input [yellow] 2 2 6 3 2 3" xfId="29529"/>
    <cellStyle name="Input [yellow] 2 2 6 3 3" xfId="29316"/>
    <cellStyle name="Input [yellow] 2 2 6 4" xfId="29185"/>
    <cellStyle name="Input [yellow] 2 2 7" xfId="2230"/>
    <cellStyle name="Input [yellow] 2 2 7 2" xfId="3343"/>
    <cellStyle name="Input [yellow] 2 2 7 2 2" xfId="6777"/>
    <cellStyle name="Input [yellow] 2 2 7 2 2 2" xfId="20427"/>
    <cellStyle name="Input [yellow] 2 2 7 2 2 3" xfId="29407"/>
    <cellStyle name="Input [yellow] 2 2 7 2 3" xfId="29292"/>
    <cellStyle name="Input [yellow] 2 2 7 3" xfId="29510"/>
    <cellStyle name="Input [yellow] 2 2 8" xfId="2573"/>
    <cellStyle name="Input [yellow] 2 2 8 2" xfId="6236"/>
    <cellStyle name="Input [yellow] 2 2 8 2 2" xfId="19886"/>
    <cellStyle name="Input [yellow] 2 2 8 2 3" xfId="29388"/>
    <cellStyle name="Input [yellow] 2 2 8 3" xfId="29283"/>
    <cellStyle name="Input [yellow] 2 2 9" xfId="12039"/>
    <cellStyle name="Input [yellow] 2 2 9 2" xfId="25670"/>
    <cellStyle name="Input [yellow] 2 2 9 3" xfId="29486"/>
    <cellStyle name="Input [yellow] 2 3" xfId="1904"/>
    <cellStyle name="Input [yellow] 2 3 2" xfId="2358"/>
    <cellStyle name="Input [yellow] 2 3 2 2" xfId="3464"/>
    <cellStyle name="Input [yellow] 2 3 2 2 2" xfId="6898"/>
    <cellStyle name="Input [yellow] 2 3 2 2 2 2" xfId="20548"/>
    <cellStyle name="Input [yellow] 2 3 2 2 2 3" xfId="16462"/>
    <cellStyle name="Input [yellow] 2 3 2 2 3" xfId="29472"/>
    <cellStyle name="Input [yellow] 2 3 2 3" xfId="29394"/>
    <cellStyle name="Input [yellow] 2 3 3" xfId="2534"/>
    <cellStyle name="Input [yellow] 2 3 3 2" xfId="6197"/>
    <cellStyle name="Input [yellow] 2 3 3 2 2" xfId="19847"/>
    <cellStyle name="Input [yellow] 2 3 3 2 3" xfId="29295"/>
    <cellStyle name="Input [yellow] 2 3 3 3" xfId="29489"/>
    <cellStyle name="Input [yellow] 2 3 4" xfId="18366"/>
    <cellStyle name="Input [yellow] 2 4" xfId="2574"/>
    <cellStyle name="Input [yellow] 2 4 2" xfId="6237"/>
    <cellStyle name="Input [yellow] 2 4 2 2" xfId="19887"/>
    <cellStyle name="Input [yellow] 2 4 2 3" xfId="29251"/>
    <cellStyle name="Input [yellow] 2 4 3" xfId="29542"/>
    <cellStyle name="Input [yellow] 2 5" xfId="29577"/>
    <cellStyle name="Input [yellow] 3" xfId="414"/>
    <cellStyle name="Input [yellow] 3 2" xfId="1905"/>
    <cellStyle name="Input [yellow] 3 2 10" xfId="18360"/>
    <cellStyle name="Input [yellow] 3 2 2" xfId="1906"/>
    <cellStyle name="Input [yellow] 3 2 2 2" xfId="1907"/>
    <cellStyle name="Input [yellow] 3 2 2 2 2" xfId="1908"/>
    <cellStyle name="Input [yellow] 3 2 2 2 2 2" xfId="2360"/>
    <cellStyle name="Input [yellow] 3 2 2 2 2 2 2" xfId="3466"/>
    <cellStyle name="Input [yellow] 3 2 2 2 2 2 2 2" xfId="6900"/>
    <cellStyle name="Input [yellow] 3 2 2 2 2 2 2 2 2" xfId="20550"/>
    <cellStyle name="Input [yellow] 3 2 2 2 2 2 2 2 3" xfId="29532"/>
    <cellStyle name="Input [yellow] 3 2 2 2 2 2 2 3" xfId="29255"/>
    <cellStyle name="Input [yellow] 3 2 2 2 2 2 3" xfId="29200"/>
    <cellStyle name="Input [yellow] 3 2 2 2 2 3" xfId="2528"/>
    <cellStyle name="Input [yellow] 3 2 2 2 2 3 2" xfId="6191"/>
    <cellStyle name="Input [yellow] 3 2 2 2 2 3 2 2" xfId="19841"/>
    <cellStyle name="Input [yellow] 3 2 2 2 2 3 2 3" xfId="29530"/>
    <cellStyle name="Input [yellow] 3 2 2 2 2 3 3" xfId="29256"/>
    <cellStyle name="Input [yellow] 3 2 2 2 2 4" xfId="15849"/>
    <cellStyle name="Input [yellow] 3 2 2 2 3" xfId="2359"/>
    <cellStyle name="Input [yellow] 3 2 2 2 3 2" xfId="3465"/>
    <cellStyle name="Input [yellow] 3 2 2 2 3 2 2" xfId="6899"/>
    <cellStyle name="Input [yellow] 3 2 2 2 3 2 2 2" xfId="20549"/>
    <cellStyle name="Input [yellow] 3 2 2 2 3 2 2 3" xfId="15855"/>
    <cellStyle name="Input [yellow] 3 2 2 2 3 2 3" xfId="29392"/>
    <cellStyle name="Input [yellow] 3 2 2 2 3 3" xfId="29257"/>
    <cellStyle name="Input [yellow] 3 2 2 2 4" xfId="2529"/>
    <cellStyle name="Input [yellow] 3 2 2 2 4 2" xfId="6192"/>
    <cellStyle name="Input [yellow] 3 2 2 2 4 2 2" xfId="19842"/>
    <cellStyle name="Input [yellow] 3 2 2 2 4 2 3" xfId="29443"/>
    <cellStyle name="Input [yellow] 3 2 2 2 4 3" xfId="29199"/>
    <cellStyle name="Input [yellow] 3 2 2 2 5" xfId="16085"/>
    <cellStyle name="Input [yellow] 3 2 2 3" xfId="1909"/>
    <cellStyle name="Input [yellow] 3 2 2 3 2" xfId="1910"/>
    <cellStyle name="Input [yellow] 3 2 2 3 2 2" xfId="2362"/>
    <cellStyle name="Input [yellow] 3 2 2 3 2 2 2" xfId="3468"/>
    <cellStyle name="Input [yellow] 3 2 2 3 2 2 2 2" xfId="6902"/>
    <cellStyle name="Input [yellow] 3 2 2 3 2 2 2 2 2" xfId="20552"/>
    <cellStyle name="Input [yellow] 3 2 2 3 2 2 2 2 3" xfId="29318"/>
    <cellStyle name="Input [yellow] 3 2 2 3 2 2 2 3" xfId="16083"/>
    <cellStyle name="Input [yellow] 3 2 2 3 2 2 3" xfId="29497"/>
    <cellStyle name="Input [yellow] 3 2 2 3 2 3" xfId="2526"/>
    <cellStyle name="Input [yellow] 3 2 2 3 2 3 2" xfId="6189"/>
    <cellStyle name="Input [yellow] 3 2 2 3 2 3 2 2" xfId="19839"/>
    <cellStyle name="Input [yellow] 3 2 2 3 2 3 2 3" xfId="29406"/>
    <cellStyle name="Input [yellow] 3 2 2 3 2 3 3" xfId="29473"/>
    <cellStyle name="Input [yellow] 3 2 2 3 2 4" xfId="17058"/>
    <cellStyle name="Input [yellow] 3 2 2 3 3" xfId="2361"/>
    <cellStyle name="Input [yellow] 3 2 2 3 3 2" xfId="3467"/>
    <cellStyle name="Input [yellow] 3 2 2 3 3 2 2" xfId="6901"/>
    <cellStyle name="Input [yellow] 3 2 2 3 3 2 2 2" xfId="20551"/>
    <cellStyle name="Input [yellow] 3 2 2 3 3 2 2 3" xfId="29446"/>
    <cellStyle name="Input [yellow] 3 2 2 3 3 2 3" xfId="29198"/>
    <cellStyle name="Input [yellow] 3 2 2 3 3 3" xfId="15841"/>
    <cellStyle name="Input [yellow] 3 2 2 3 4" xfId="2527"/>
    <cellStyle name="Input [yellow] 3 2 2 3 4 2" xfId="6190"/>
    <cellStyle name="Input [yellow] 3 2 2 3 4 2 2" xfId="19840"/>
    <cellStyle name="Input [yellow] 3 2 2 3 4 2 3" xfId="29271"/>
    <cellStyle name="Input [yellow] 3 2 2 3 4 3" xfId="29393"/>
    <cellStyle name="Input [yellow] 3 2 2 3 5" xfId="16196"/>
    <cellStyle name="Input [yellow] 3 2 2 4" xfId="1911"/>
    <cellStyle name="Input [yellow] 3 2 2 4 2" xfId="2363"/>
    <cellStyle name="Input [yellow] 3 2 2 4 2 2" xfId="3469"/>
    <cellStyle name="Input [yellow] 3 2 2 4 2 2 2" xfId="6903"/>
    <cellStyle name="Input [yellow] 3 2 2 4 2 2 2 2" xfId="20553"/>
    <cellStyle name="Input [yellow] 3 2 2 4 2 2 2 3" xfId="29216"/>
    <cellStyle name="Input [yellow] 3 2 2 4 2 2 3" xfId="29578"/>
    <cellStyle name="Input [yellow] 3 2 2 4 2 3" xfId="29408"/>
    <cellStyle name="Input [yellow] 3 2 2 4 3" xfId="2525"/>
    <cellStyle name="Input [yellow] 3 2 2 4 3 2" xfId="6188"/>
    <cellStyle name="Input [yellow] 3 2 2 4 3 2 2" xfId="19838"/>
    <cellStyle name="Input [yellow] 3 2 2 4 3 2 3" xfId="29492"/>
    <cellStyle name="Input [yellow] 3 2 2 4 3 3" xfId="29560"/>
    <cellStyle name="Input [yellow] 3 2 2 4 4" xfId="16200"/>
    <cellStyle name="Input [yellow] 3 2 2 5" xfId="2251"/>
    <cellStyle name="Input [yellow] 3 2 2 5 2" xfId="3364"/>
    <cellStyle name="Input [yellow] 3 2 2 5 2 2" xfId="6798"/>
    <cellStyle name="Input [yellow] 3 2 2 5 2 2 2" xfId="20448"/>
    <cellStyle name="Input [yellow] 3 2 2 5 2 2 3" xfId="15985"/>
    <cellStyle name="Input [yellow] 3 2 2 5 2 3" xfId="29165"/>
    <cellStyle name="Input [yellow] 3 2 2 5 3" xfId="29328"/>
    <cellStyle name="Input [yellow] 3 2 2 6" xfId="2530"/>
    <cellStyle name="Input [yellow] 3 2 2 6 2" xfId="6193"/>
    <cellStyle name="Input [yellow] 3 2 2 6 2 2" xfId="19843"/>
    <cellStyle name="Input [yellow] 3 2 2 6 2 3" xfId="29312"/>
    <cellStyle name="Input [yellow] 3 2 2 6 3" xfId="16082"/>
    <cellStyle name="Input [yellow] 3 2 2 7" xfId="16193"/>
    <cellStyle name="Input [yellow] 3 2 3" xfId="1912"/>
    <cellStyle name="Input [yellow] 3 2 3 2" xfId="1913"/>
    <cellStyle name="Input [yellow] 3 2 3 2 2" xfId="1914"/>
    <cellStyle name="Input [yellow] 3 2 3 2 2 2" xfId="2365"/>
    <cellStyle name="Input [yellow] 3 2 3 2 2 2 2" xfId="3471"/>
    <cellStyle name="Input [yellow] 3 2 3 2 2 2 2 2" xfId="6905"/>
    <cellStyle name="Input [yellow] 3 2 3 2 2 2 2 2 2" xfId="20555"/>
    <cellStyle name="Input [yellow] 3 2 3 2 2 2 2 2 3" xfId="29440"/>
    <cellStyle name="Input [yellow] 3 2 3 2 2 2 2 3" xfId="29495"/>
    <cellStyle name="Input [yellow] 3 2 3 2 2 2 3" xfId="29534"/>
    <cellStyle name="Input [yellow] 3 2 3 2 2 3" xfId="2522"/>
    <cellStyle name="Input [yellow] 3 2 3 2 2 3 2" xfId="6185"/>
    <cellStyle name="Input [yellow] 3 2 3 2 2 3 2 2" xfId="19835"/>
    <cellStyle name="Input [yellow] 3 2 3 2 2 3 2 3" xfId="29190"/>
    <cellStyle name="Input [yellow] 3 2 3 2 2 3 3" xfId="29520"/>
    <cellStyle name="Input [yellow] 3 2 3 2 2 4" xfId="18363"/>
    <cellStyle name="Input [yellow] 3 2 3 2 3" xfId="2364"/>
    <cellStyle name="Input [yellow] 3 2 3 2 3 2" xfId="3470"/>
    <cellStyle name="Input [yellow] 3 2 3 2 3 2 2" xfId="6904"/>
    <cellStyle name="Input [yellow] 3 2 3 2 3 2 2 2" xfId="20554"/>
    <cellStyle name="Input [yellow] 3 2 3 2 3 2 2 3" xfId="29527"/>
    <cellStyle name="Input [yellow] 3 2 3 2 3 2 3" xfId="29572"/>
    <cellStyle name="Input [yellow] 3 2 3 2 3 3" xfId="29276"/>
    <cellStyle name="Input [yellow] 3 2 3 2 4" xfId="2523"/>
    <cellStyle name="Input [yellow] 3 2 3 2 4 2" xfId="6186"/>
    <cellStyle name="Input [yellow] 3 2 3 2 4 2 2" xfId="19836"/>
    <cellStyle name="Input [yellow] 3 2 3 2 4 2 3" xfId="29132"/>
    <cellStyle name="Input [yellow] 3 2 3 2 4 3" xfId="29431"/>
    <cellStyle name="Input [yellow] 3 2 3 2 5" xfId="18357"/>
    <cellStyle name="Input [yellow] 3 2 3 3" xfId="1915"/>
    <cellStyle name="Input [yellow] 3 2 3 3 2" xfId="1916"/>
    <cellStyle name="Input [yellow] 3 2 3 3 2 2" xfId="2367"/>
    <cellStyle name="Input [yellow] 3 2 3 3 2 2 2" xfId="3473"/>
    <cellStyle name="Input [yellow] 3 2 3 3 2 2 2 2" xfId="6907"/>
    <cellStyle name="Input [yellow] 3 2 3 3 2 2 2 2 2" xfId="20557"/>
    <cellStyle name="Input [yellow] 3 2 3 3 2 2 2 2 3" xfId="29209"/>
    <cellStyle name="Input [yellow] 3 2 3 3 2 2 2 3" xfId="29484"/>
    <cellStyle name="Input [yellow] 3 2 3 3 2 2 3" xfId="29320"/>
    <cellStyle name="Input [yellow] 3 2 3 3 2 3" xfId="2520"/>
    <cellStyle name="Input [yellow] 3 2 3 3 2 3 2" xfId="6183"/>
    <cellStyle name="Input [yellow] 3 2 3 3 2 3 2 2" xfId="19833"/>
    <cellStyle name="Input [yellow] 3 2 3 3 2 3 2 3" xfId="29387"/>
    <cellStyle name="Input [yellow] 3 2 3 3 2 3 3" xfId="29323"/>
    <cellStyle name="Input [yellow] 3 2 3 3 2 4" xfId="29131"/>
    <cellStyle name="Input [yellow] 3 2 3 3 3" xfId="2366"/>
    <cellStyle name="Input [yellow] 3 2 3 3 3 2" xfId="3472"/>
    <cellStyle name="Input [yellow] 3 2 3 3 3 2 2" xfId="6906"/>
    <cellStyle name="Input [yellow] 3 2 3 3 3 2 2 2" xfId="20556"/>
    <cellStyle name="Input [yellow] 3 2 3 3 3 2 2 3" xfId="29310"/>
    <cellStyle name="Input [yellow] 3 2 3 3 3 2 3" xfId="29488"/>
    <cellStyle name="Input [yellow] 3 2 3 3 3 3" xfId="29448"/>
    <cellStyle name="Input [yellow] 3 2 3 3 4" xfId="2521"/>
    <cellStyle name="Input [yellow] 3 2 3 3 4 2" xfId="6184"/>
    <cellStyle name="Input [yellow] 3 2 3 3 4 2 2" xfId="19834"/>
    <cellStyle name="Input [yellow] 3 2 3 3 4 2 3" xfId="29250"/>
    <cellStyle name="Input [yellow] 3 2 3 3 4 3" xfId="29221"/>
    <cellStyle name="Input [yellow] 3 2 3 3 5" xfId="22350"/>
    <cellStyle name="Input [yellow] 3 2 3 4" xfId="1917"/>
    <cellStyle name="Input [yellow] 3 2 3 4 2" xfId="2368"/>
    <cellStyle name="Input [yellow] 3 2 3 4 2 2" xfId="3474"/>
    <cellStyle name="Input [yellow] 3 2 3 4 2 2 2" xfId="6908"/>
    <cellStyle name="Input [yellow] 3 2 3 4 2 2 2 2" xfId="20558"/>
    <cellStyle name="Input [yellow] 3 2 3 4 2 2 2 3" xfId="29242"/>
    <cellStyle name="Input [yellow] 3 2 3 4 2 2 3" xfId="15868"/>
    <cellStyle name="Input [yellow] 3 2 3 4 2 3" xfId="29218"/>
    <cellStyle name="Input [yellow] 3 2 3 4 3" xfId="2519"/>
    <cellStyle name="Input [yellow] 3 2 3 4 3 2" xfId="6182"/>
    <cellStyle name="Input [yellow] 3 2 3 4 3 2 2" xfId="19832"/>
    <cellStyle name="Input [yellow] 3 2 3 4 3 2 3" xfId="29467"/>
    <cellStyle name="Input [yellow] 3 2 3 4 3 3" xfId="29452"/>
    <cellStyle name="Input [yellow] 3 2 3 4 4" xfId="29184"/>
    <cellStyle name="Input [yellow] 3 2 3 5" xfId="2245"/>
    <cellStyle name="Input [yellow] 3 2 3 5 2" xfId="3358"/>
    <cellStyle name="Input [yellow] 3 2 3 5 2 2" xfId="6792"/>
    <cellStyle name="Input [yellow] 3 2 3 5 2 2 2" xfId="20442"/>
    <cellStyle name="Input [yellow] 3 2 3 5 2 2 3" xfId="15907"/>
    <cellStyle name="Input [yellow] 3 2 3 5 2 3" xfId="29306"/>
    <cellStyle name="Input [yellow] 3 2 3 5 3" xfId="29168"/>
    <cellStyle name="Input [yellow] 3 2 3 6" xfId="2524"/>
    <cellStyle name="Input [yellow] 3 2 3 6 2" xfId="6187"/>
    <cellStyle name="Input [yellow] 3 2 3 6 2 2" xfId="19837"/>
    <cellStyle name="Input [yellow] 3 2 3 6 2 3" xfId="16191"/>
    <cellStyle name="Input [yellow] 3 2 3 6 3" xfId="29301"/>
    <cellStyle name="Input [yellow] 3 2 3 7" xfId="22349"/>
    <cellStyle name="Input [yellow] 3 2 4" xfId="1918"/>
    <cellStyle name="Input [yellow] 3 2 4 2" xfId="1919"/>
    <cellStyle name="Input [yellow] 3 2 4 2 2" xfId="2370"/>
    <cellStyle name="Input [yellow] 3 2 4 2 2 2" xfId="3476"/>
    <cellStyle name="Input [yellow] 3 2 4 2 2 2 2" xfId="6910"/>
    <cellStyle name="Input [yellow] 3 2 4 2 2 2 2 2" xfId="20560"/>
    <cellStyle name="Input [yellow] 3 2 4 2 2 2 2 3" xfId="29240"/>
    <cellStyle name="Input [yellow] 3 2 4 2 2 2 3" xfId="29274"/>
    <cellStyle name="Input [yellow] 3 2 4 2 2 3" xfId="29428"/>
    <cellStyle name="Input [yellow] 3 2 4 2 3" xfId="2517"/>
    <cellStyle name="Input [yellow] 3 2 4 2 3 2" xfId="6180"/>
    <cellStyle name="Input [yellow] 3 2 4 2 3 2 2" xfId="19830"/>
    <cellStyle name="Input [yellow] 3 2 4 2 3 2 3" xfId="29294"/>
    <cellStyle name="Input [yellow] 3 2 4 2 3 3" xfId="29280"/>
    <cellStyle name="Input [yellow] 3 2 4 2 4" xfId="29183"/>
    <cellStyle name="Input [yellow] 3 2 4 3" xfId="2369"/>
    <cellStyle name="Input [yellow] 3 2 4 3 2" xfId="3475"/>
    <cellStyle name="Input [yellow] 3 2 4 3 2 2" xfId="6909"/>
    <cellStyle name="Input [yellow] 3 2 4 3 2 2 2" xfId="20559"/>
    <cellStyle name="Input [yellow] 3 2 4 3 2 2 3" xfId="29247"/>
    <cellStyle name="Input [yellow] 3 2 4 3 2 3" xfId="29404"/>
    <cellStyle name="Input [yellow] 3 2 4 3 3" xfId="29517"/>
    <cellStyle name="Input [yellow] 3 2 4 4" xfId="2518"/>
    <cellStyle name="Input [yellow] 3 2 4 4 2" xfId="6181"/>
    <cellStyle name="Input [yellow] 3 2 4 4 2 2" xfId="19831"/>
    <cellStyle name="Input [yellow] 3 2 4 4 2 3" xfId="29554"/>
    <cellStyle name="Input [yellow] 3 2 4 4 3" xfId="29537"/>
    <cellStyle name="Input [yellow] 3 2 4 5" xfId="15857"/>
    <cellStyle name="Input [yellow] 3 2 5" xfId="1920"/>
    <cellStyle name="Input [yellow] 3 2 5 2" xfId="1921"/>
    <cellStyle name="Input [yellow] 3 2 5 2 2" xfId="2372"/>
    <cellStyle name="Input [yellow] 3 2 5 2 2 2" xfId="3478"/>
    <cellStyle name="Input [yellow] 3 2 5 2 2 2 2" xfId="6912"/>
    <cellStyle name="Input [yellow] 3 2 5 2 2 2 2 2" xfId="20562"/>
    <cellStyle name="Input [yellow] 3 2 5 2 2 2 2 3" xfId="29245"/>
    <cellStyle name="Input [yellow] 3 2 5 2 2 2 3" xfId="29481"/>
    <cellStyle name="Input [yellow] 3 2 5 2 2 3" xfId="29557"/>
    <cellStyle name="Input [yellow] 3 2 5 2 3" xfId="2515"/>
    <cellStyle name="Input [yellow] 3 2 5 2 3 2" xfId="6178"/>
    <cellStyle name="Input [yellow] 3 2 5 2 3 2 2" xfId="19828"/>
    <cellStyle name="Input [yellow] 3 2 5 2 3 2 3" xfId="29513"/>
    <cellStyle name="Input [yellow] 3 2 5 2 3 3" xfId="29499"/>
    <cellStyle name="Input [yellow] 3 2 5 2 4" xfId="16284"/>
    <cellStyle name="Input [yellow] 3 2 5 3" xfId="2371"/>
    <cellStyle name="Input [yellow] 3 2 5 3 2" xfId="3477"/>
    <cellStyle name="Input [yellow] 3 2 5 3 2 2" xfId="6911"/>
    <cellStyle name="Input [yellow] 3 2 5 3 2 2 2" xfId="20561"/>
    <cellStyle name="Input [yellow] 3 2 5 3 2 2 3" xfId="29266"/>
    <cellStyle name="Input [yellow] 3 2 5 3 2 3" xfId="29569"/>
    <cellStyle name="Input [yellow] 3 2 5 3 3" xfId="29298"/>
    <cellStyle name="Input [yellow] 3 2 5 4" xfId="2516"/>
    <cellStyle name="Input [yellow] 3 2 5 4 2" xfId="6179"/>
    <cellStyle name="Input [yellow] 3 2 5 4 2 2" xfId="19829"/>
    <cellStyle name="Input [yellow] 3 2 5 4 2 3" xfId="29424"/>
    <cellStyle name="Input [yellow] 3 2 5 4 3" xfId="29411"/>
    <cellStyle name="Input [yellow] 3 2 5 5" xfId="15860"/>
    <cellStyle name="Input [yellow] 3 2 6" xfId="1922"/>
    <cellStyle name="Input [yellow] 3 2 6 2" xfId="2373"/>
    <cellStyle name="Input [yellow] 3 2 6 2 2" xfId="3479"/>
    <cellStyle name="Input [yellow] 3 2 6 2 2 2" xfId="6913"/>
    <cellStyle name="Input [yellow] 3 2 6 2 2 2 2" xfId="20563"/>
    <cellStyle name="Input [yellow] 3 2 6 2 2 2 3" xfId="29244"/>
    <cellStyle name="Input [yellow] 3 2 6 2 2 3" xfId="29400"/>
    <cellStyle name="Input [yellow] 3 2 6 2 3" xfId="29470"/>
    <cellStyle name="Input [yellow] 3 2 6 3" xfId="2514"/>
    <cellStyle name="Input [yellow] 3 2 6 3 2" xfId="6177"/>
    <cellStyle name="Input [yellow] 3 2 6 3 2 2" xfId="19827"/>
    <cellStyle name="Input [yellow] 3 2 6 3 2 3" xfId="29211"/>
    <cellStyle name="Input [yellow] 3 2 6 3 3" xfId="16056"/>
    <cellStyle name="Input [yellow] 3 2 6 4" xfId="29182"/>
    <cellStyle name="Input [yellow] 3 2 7" xfId="2241"/>
    <cellStyle name="Input [yellow] 3 2 7 2" xfId="3354"/>
    <cellStyle name="Input [yellow] 3 2 7 2 2" xfId="6788"/>
    <cellStyle name="Input [yellow] 3 2 7 2 2 2" xfId="20438"/>
    <cellStyle name="Input [yellow] 3 2 7 2 2 3" xfId="16132"/>
    <cellStyle name="Input [yellow] 3 2 7 2 3" xfId="29379"/>
    <cellStyle name="Input [yellow] 3 2 7 3" xfId="29480"/>
    <cellStyle name="Input [yellow] 3 2 8" xfId="2531"/>
    <cellStyle name="Input [yellow] 3 2 8 2" xfId="6194"/>
    <cellStyle name="Input [yellow] 3 2 8 2 2" xfId="19844"/>
    <cellStyle name="Input [yellow] 3 2 8 2 3" xfId="29210"/>
    <cellStyle name="Input [yellow] 3 2 8 3" xfId="29580"/>
    <cellStyle name="Input [yellow] 3 2 9" xfId="12052"/>
    <cellStyle name="Input [yellow] 3 2 9 2" xfId="25681"/>
    <cellStyle name="Input [yellow] 3 2 9 3" xfId="29515"/>
    <cellStyle name="Input [yellow] 3 3" xfId="1923"/>
    <cellStyle name="Input [yellow] 3 3 2" xfId="2374"/>
    <cellStyle name="Input [yellow] 3 3 2 2" xfId="3480"/>
    <cellStyle name="Input [yellow] 3 3 2 2 2" xfId="6914"/>
    <cellStyle name="Input [yellow] 3 3 2 2 2 2" xfId="20564"/>
    <cellStyle name="Input [yellow] 3 3 2 2 2 3" xfId="29241"/>
    <cellStyle name="Input [yellow] 3 3 2 2 3" xfId="29267"/>
    <cellStyle name="Input [yellow] 3 3 2 3" xfId="29390"/>
    <cellStyle name="Input [yellow] 3 3 3" xfId="2513"/>
    <cellStyle name="Input [yellow] 3 3 3 2" xfId="6176"/>
    <cellStyle name="Input [yellow] 3 3 3 2 2" xfId="19826"/>
    <cellStyle name="Input [yellow] 3 3 3 2 3" xfId="29313"/>
    <cellStyle name="Input [yellow] 3 3 3 3" xfId="29203"/>
    <cellStyle name="Input [yellow] 3 3 4" xfId="16285"/>
    <cellStyle name="Input [yellow] 3 4" xfId="2533"/>
    <cellStyle name="Input [yellow] 3 4 2" xfId="6196"/>
    <cellStyle name="Input [yellow] 3 4 2 2" xfId="19846"/>
    <cellStyle name="Input [yellow] 3 4 2 3" xfId="29425"/>
    <cellStyle name="Input [yellow] 3 4 3" xfId="29496"/>
    <cellStyle name="Input [yellow] 3 5" xfId="29574"/>
    <cellStyle name="Input [yellow] 4" xfId="993"/>
    <cellStyle name="Input [yellow] 4 2" xfId="1924"/>
    <cellStyle name="Input [yellow] 4 2 2" xfId="1925"/>
    <cellStyle name="Input [yellow] 4 2 2 2" xfId="1926"/>
    <cellStyle name="Input [yellow] 4 2 2 2 2" xfId="2376"/>
    <cellStyle name="Input [yellow] 4 2 2 2 2 2" xfId="3482"/>
    <cellStyle name="Input [yellow] 4 2 2 2 2 2 2" xfId="6916"/>
    <cellStyle name="Input [yellow] 4 2 2 2 2 2 2 2" xfId="20566"/>
    <cellStyle name="Input [yellow] 4 2 2 2 2 2 2 3" xfId="16203"/>
    <cellStyle name="Input [yellow] 4 2 2 2 2 2 3" xfId="29445"/>
    <cellStyle name="Input [yellow] 4 2 2 2 2 3" xfId="29196"/>
    <cellStyle name="Input [yellow] 4 2 2 2 3" xfId="2505"/>
    <cellStyle name="Input [yellow] 4 2 2 2 3 2" xfId="6168"/>
    <cellStyle name="Input [yellow] 4 2 2 2 3 2 2" xfId="19818"/>
    <cellStyle name="Input [yellow] 4 2 2 2 3 2 3" xfId="29133"/>
    <cellStyle name="Input [yellow] 4 2 2 2 3 3" xfId="29225"/>
    <cellStyle name="Input [yellow] 4 2 2 2 4" xfId="29180"/>
    <cellStyle name="Input [yellow] 4 2 2 3" xfId="2375"/>
    <cellStyle name="Input [yellow] 4 2 2 3 2" xfId="3481"/>
    <cellStyle name="Input [yellow] 4 2 2 3 2 2" xfId="6915"/>
    <cellStyle name="Input [yellow] 4 2 2 3 2 2 2" xfId="20565"/>
    <cellStyle name="Input [yellow] 4 2 2 3 2 2 3" xfId="29246"/>
    <cellStyle name="Input [yellow] 4 2 2 3 2 3" xfId="29531"/>
    <cellStyle name="Input [yellow] 4 2 2 3 3" xfId="29253"/>
    <cellStyle name="Input [yellow] 4 2 2 4" xfId="2507"/>
    <cellStyle name="Input [yellow] 4 2 2 4 2" xfId="6170"/>
    <cellStyle name="Input [yellow] 4 2 2 4 2 2" xfId="19820"/>
    <cellStyle name="Input [yellow] 4 2 2 4 2 3" xfId="28956"/>
    <cellStyle name="Input [yellow] 4 2 2 4 3" xfId="29435"/>
    <cellStyle name="Input [yellow] 4 2 2 5" xfId="15864"/>
    <cellStyle name="Input [yellow] 4 2 3" xfId="1927"/>
    <cellStyle name="Input [yellow] 4 2 3 2" xfId="1928"/>
    <cellStyle name="Input [yellow] 4 2 3 2 2" xfId="2378"/>
    <cellStyle name="Input [yellow] 4 2 3 2 2 2" xfId="3484"/>
    <cellStyle name="Input [yellow] 4 2 3 2 2 2 2" xfId="6918"/>
    <cellStyle name="Input [yellow] 4 2 3 2 2 2 2 2" xfId="20568"/>
    <cellStyle name="Input [yellow] 4 2 3 2 2 2 2 3" xfId="16138"/>
    <cellStyle name="Input [yellow] 4 2 3 2 2 2 3" xfId="29213"/>
    <cellStyle name="Input [yellow] 4 2 3 2 2 3" xfId="28898"/>
    <cellStyle name="Input [yellow] 4 2 3 2 3" xfId="2503"/>
    <cellStyle name="Input [yellow] 4 2 3 2 3 2" xfId="6166"/>
    <cellStyle name="Input [yellow] 4 2 3 2 3 2 2" xfId="19816"/>
    <cellStyle name="Input [yellow] 4 2 3 2 3 2 3" xfId="29487"/>
    <cellStyle name="Input [yellow] 4 2 3 2 3 3" xfId="29457"/>
    <cellStyle name="Input [yellow] 4 2 3 2 4" xfId="29179"/>
    <cellStyle name="Input [yellow] 4 2 3 3" xfId="2377"/>
    <cellStyle name="Input [yellow] 4 2 3 3 2" xfId="3483"/>
    <cellStyle name="Input [yellow] 4 2 3 3 2 2" xfId="6917"/>
    <cellStyle name="Input [yellow] 4 2 3 3 2 2 2" xfId="20567"/>
    <cellStyle name="Input [yellow] 4 2 3 3 2 2 3" xfId="16141"/>
    <cellStyle name="Input [yellow] 4 2 3 3 2 3" xfId="29315"/>
    <cellStyle name="Input [yellow] 4 2 3 3 3" xfId="16086"/>
    <cellStyle name="Input [yellow] 4 2 3 4" xfId="2504"/>
    <cellStyle name="Input [yellow] 4 2 3 4 2" xfId="6167"/>
    <cellStyle name="Input [yellow] 4 2 3 4 2 2" xfId="19817"/>
    <cellStyle name="Input [yellow] 4 2 3 4 2 3" xfId="29483"/>
    <cellStyle name="Input [yellow] 4 2 3 4 3" xfId="29327"/>
    <cellStyle name="Input [yellow] 4 2 3 5" xfId="15865"/>
    <cellStyle name="Input [yellow] 4 2 4" xfId="1929"/>
    <cellStyle name="Input [yellow] 4 2 4 2" xfId="2379"/>
    <cellStyle name="Input [yellow] 4 2 4 2 2" xfId="3485"/>
    <cellStyle name="Input [yellow] 4 2 4 2 2 2" xfId="6919"/>
    <cellStyle name="Input [yellow] 4 2 4 2 2 2 2" xfId="20569"/>
    <cellStyle name="Input [yellow] 4 2 4 2 2 2 3" xfId="17051"/>
    <cellStyle name="Input [yellow] 4 2 4 2 2 3" xfId="29511"/>
    <cellStyle name="Input [yellow] 4 2 4 2 3" xfId="29490"/>
    <cellStyle name="Input [yellow] 4 2 4 3" xfId="2502"/>
    <cellStyle name="Input [yellow] 4 2 4 3 2" xfId="6165"/>
    <cellStyle name="Input [yellow] 4 2 4 3 2 2" xfId="19815"/>
    <cellStyle name="Input [yellow] 4 2 4 3 2 3" xfId="29494"/>
    <cellStyle name="Input [yellow] 4 2 4 3 3" xfId="29543"/>
    <cellStyle name="Input [yellow] 4 2 4 4" xfId="15866"/>
    <cellStyle name="Input [yellow] 4 2 5" xfId="2247"/>
    <cellStyle name="Input [yellow] 4 2 5 2" xfId="3360"/>
    <cellStyle name="Input [yellow] 4 2 5 2 2" xfId="6794"/>
    <cellStyle name="Input [yellow] 4 2 5 2 2 2" xfId="20444"/>
    <cellStyle name="Input [yellow] 4 2 5 2 2 3" xfId="17057"/>
    <cellStyle name="Input [yellow] 4 2 5 2 3" xfId="29477"/>
    <cellStyle name="Input [yellow] 4 2 5 3" xfId="29416"/>
    <cellStyle name="Input [yellow] 4 2 6" xfId="2508"/>
    <cellStyle name="Input [yellow] 4 2 6 2" xfId="6171"/>
    <cellStyle name="Input [yellow] 4 2 6 2 2" xfId="19821"/>
    <cellStyle name="Input [yellow] 4 2 6 2 3" xfId="29493"/>
    <cellStyle name="Input [yellow] 4 2 6 3" xfId="29304"/>
    <cellStyle name="Input [yellow] 4 2 7" xfId="29181"/>
    <cellStyle name="Input [yellow] 4 3" xfId="1930"/>
    <cellStyle name="Input [yellow] 4 3 2" xfId="1931"/>
    <cellStyle name="Input [yellow] 4 3 2 2" xfId="1932"/>
    <cellStyle name="Input [yellow] 4 3 2 2 2" xfId="2381"/>
    <cellStyle name="Input [yellow] 4 3 2 2 2 2" xfId="3487"/>
    <cellStyle name="Input [yellow] 4 3 2 2 2 2 2" xfId="6921"/>
    <cellStyle name="Input [yellow] 4 3 2 2 2 2 2 2" xfId="20571"/>
    <cellStyle name="Input [yellow] 4 3 2 2 2 2 2 3" xfId="23262"/>
    <cellStyle name="Input [yellow] 4 3 2 2 2 2 3" xfId="29291"/>
    <cellStyle name="Input [yellow] 4 3 2 2 2 3" xfId="15869"/>
    <cellStyle name="Input [yellow] 4 3 2 2 3" xfId="2499"/>
    <cellStyle name="Input [yellow] 4 3 2 2 3 2" xfId="6162"/>
    <cellStyle name="Input [yellow] 4 3 2 2 3 2 2" xfId="19812"/>
    <cellStyle name="Input [yellow] 4 3 2 2 3 2 3" xfId="29254"/>
    <cellStyle name="Input [yellow] 4 3 2 2 3 3" xfId="29504"/>
    <cellStyle name="Input [yellow] 4 3 2 2 4" xfId="29177"/>
    <cellStyle name="Input [yellow] 4 3 2 3" xfId="2380"/>
    <cellStyle name="Input [yellow] 4 3 2 3 2" xfId="3486"/>
    <cellStyle name="Input [yellow] 4 3 2 3 2 2" xfId="6920"/>
    <cellStyle name="Input [yellow] 4 3 2 3 2 2 2" xfId="20570"/>
    <cellStyle name="Input [yellow] 4 3 2 3 2 2 3" xfId="16089"/>
    <cellStyle name="Input [yellow] 4 3 2 3 2 3" xfId="29422"/>
    <cellStyle name="Input [yellow] 4 3 2 3 3" xfId="18377"/>
    <cellStyle name="Input [yellow] 4 3 2 4" xfId="2500"/>
    <cellStyle name="Input [yellow] 4 3 2 4 2" xfId="6163"/>
    <cellStyle name="Input [yellow] 4 3 2 4 2 2" xfId="19813"/>
    <cellStyle name="Input [yellow] 4 3 2 4 2 3" xfId="29197"/>
    <cellStyle name="Input [yellow] 4 3 2 4 3" xfId="29415"/>
    <cellStyle name="Input [yellow] 4 3 2 5" xfId="15867"/>
    <cellStyle name="Input [yellow] 4 3 3" xfId="1933"/>
    <cellStyle name="Input [yellow] 4 3 3 2" xfId="1934"/>
    <cellStyle name="Input [yellow] 4 3 3 2 2" xfId="2383"/>
    <cellStyle name="Input [yellow] 4 3 3 2 2 2" xfId="3489"/>
    <cellStyle name="Input [yellow] 4 3 3 2 2 2 2" xfId="6923"/>
    <cellStyle name="Input [yellow] 4 3 3 2 2 2 2 2" xfId="20573"/>
    <cellStyle name="Input [yellow] 4 3 3 2 2 2 2 3" xfId="16197"/>
    <cellStyle name="Input [yellow] 4 3 3 2 2 2 3" xfId="29465"/>
    <cellStyle name="Input [yellow] 4 3 3 2 2 3" xfId="16127"/>
    <cellStyle name="Input [yellow] 4 3 3 2 3" xfId="2497"/>
    <cellStyle name="Input [yellow] 4 3 3 2 3 2" xfId="6160"/>
    <cellStyle name="Input [yellow] 4 3 3 2 3 2 2" xfId="19810"/>
    <cellStyle name="Input [yellow] 4 3 3 2 3 2 3" xfId="29471"/>
    <cellStyle name="Input [yellow] 4 3 3 2 3 3" xfId="29208"/>
    <cellStyle name="Input [yellow] 4 3 3 2 4" xfId="29176"/>
    <cellStyle name="Input [yellow] 4 3 3 3" xfId="2382"/>
    <cellStyle name="Input [yellow] 4 3 3 3 2" xfId="3488"/>
    <cellStyle name="Input [yellow] 4 3 3 3 2 2" xfId="6922"/>
    <cellStyle name="Input [yellow] 4 3 3 3 2 2 2" xfId="20572"/>
    <cellStyle name="Input [yellow] 4 3 3 3 2 2 3" xfId="16194"/>
    <cellStyle name="Input [yellow] 4 3 3 3 2 3" xfId="29552"/>
    <cellStyle name="Input [yellow] 4 3 3 3 3" xfId="16128"/>
    <cellStyle name="Input [yellow] 4 3 3 4" xfId="2498"/>
    <cellStyle name="Input [yellow] 4 3 3 4 2" xfId="6161"/>
    <cellStyle name="Input [yellow] 4 3 3 4 2 2" xfId="19811"/>
    <cellStyle name="Input [yellow] 4 3 3 4 2 3" xfId="29391"/>
    <cellStyle name="Input [yellow] 4 3 3 4 3" xfId="29167"/>
    <cellStyle name="Input [yellow] 4 3 3 5" xfId="16286"/>
    <cellStyle name="Input [yellow] 4 3 4" xfId="1935"/>
    <cellStyle name="Input [yellow] 4 3 4 2" xfId="2384"/>
    <cellStyle name="Input [yellow] 4 3 4 2 2" xfId="3490"/>
    <cellStyle name="Input [yellow] 4 3 4 2 2 2" xfId="6924"/>
    <cellStyle name="Input [yellow] 4 3 4 2 2 2 2" xfId="20574"/>
    <cellStyle name="Input [yellow] 4 3 4 2 2 2 3" xfId="15852"/>
    <cellStyle name="Input [yellow] 4 3 4 2 2 3" xfId="29384"/>
    <cellStyle name="Input [yellow] 4 3 4 2 3" xfId="29275"/>
    <cellStyle name="Input [yellow] 4 3 4 3" xfId="2496"/>
    <cellStyle name="Input [yellow] 4 3 4 3 2" xfId="6159"/>
    <cellStyle name="Input [yellow] 4 3 4 3 2 2" xfId="19809"/>
    <cellStyle name="Input [yellow] 4 3 4 3 2 3" xfId="29558"/>
    <cellStyle name="Input [yellow] 4 3 4 3 3" xfId="29265"/>
    <cellStyle name="Input [yellow] 4 3 4 4" xfId="16287"/>
    <cellStyle name="Input [yellow] 4 3 5" xfId="2248"/>
    <cellStyle name="Input [yellow] 4 3 5 2" xfId="3361"/>
    <cellStyle name="Input [yellow] 4 3 5 2 2" xfId="6795"/>
    <cellStyle name="Input [yellow] 4 3 5 2 2 2" xfId="20445"/>
    <cellStyle name="Input [yellow] 4 3 5 2 2 3" xfId="16199"/>
    <cellStyle name="Input [yellow] 4 3 5 2 3" xfId="29398"/>
    <cellStyle name="Input [yellow] 4 3 5 3" xfId="29285"/>
    <cellStyle name="Input [yellow] 4 3 6" xfId="2501"/>
    <cellStyle name="Input [yellow] 4 3 6 2" xfId="6164"/>
    <cellStyle name="Input [yellow] 4 3 6 2 2" xfId="19814"/>
    <cellStyle name="Input [yellow] 4 3 6 2 3" xfId="16879"/>
    <cellStyle name="Input [yellow] 4 3 6 3" xfId="29284"/>
    <cellStyle name="Input [yellow] 4 3 7" xfId="29178"/>
    <cellStyle name="Input [yellow] 4 4" xfId="1936"/>
    <cellStyle name="Input [yellow] 4 4 2" xfId="2385"/>
    <cellStyle name="Input [yellow] 4 4 2 2" xfId="3491"/>
    <cellStyle name="Input [yellow] 4 4 2 2 2" xfId="6925"/>
    <cellStyle name="Input [yellow] 4 4 2 2 2 2" xfId="20575"/>
    <cellStyle name="Input [yellow] 4 4 2 2 2 3" xfId="16135"/>
    <cellStyle name="Input [yellow] 4 4 2 2 3" xfId="29249"/>
    <cellStyle name="Input [yellow] 4 4 2 3" xfId="29571"/>
    <cellStyle name="Input [yellow] 4 4 3" xfId="2495"/>
    <cellStyle name="Input [yellow] 4 4 3 2" xfId="6158"/>
    <cellStyle name="Input [yellow] 4 4 3 2 2" xfId="19808"/>
    <cellStyle name="Input [yellow] 4 4 3 2 3" xfId="29299"/>
    <cellStyle name="Input [yellow] 4 4 3 3" xfId="29399"/>
    <cellStyle name="Input [yellow] 4 4 4" xfId="16124"/>
    <cellStyle name="Input [yellow] 4 5" xfId="2510"/>
    <cellStyle name="Input [yellow] 4 5 2" xfId="6173"/>
    <cellStyle name="Input [yellow] 4 5 2 2" xfId="19823"/>
    <cellStyle name="Input [yellow] 4 5 2 3" xfId="29272"/>
    <cellStyle name="Input [yellow] 4 5 3" xfId="29475"/>
    <cellStyle name="Input [yellow] 4 6" xfId="29550"/>
    <cellStyle name="Input [yellow] 5" xfId="994"/>
    <cellStyle name="Input [yellow] 5 10" xfId="29464"/>
    <cellStyle name="Input [yellow] 5 2" xfId="1937"/>
    <cellStyle name="Input [yellow] 5 2 2" xfId="1938"/>
    <cellStyle name="Input [yellow] 5 2 2 2" xfId="1939"/>
    <cellStyle name="Input [yellow] 5 2 2 2 2" xfId="2387"/>
    <cellStyle name="Input [yellow] 5 2 2 2 2 2" xfId="3493"/>
    <cellStyle name="Input [yellow] 5 2 2 2 2 2 2" xfId="6927"/>
    <cellStyle name="Input [yellow] 5 2 2 2 2 2 2 2" xfId="20577"/>
    <cellStyle name="Input [yellow] 5 2 2 2 2 2 2 3" xfId="15853"/>
    <cellStyle name="Input [yellow] 5 2 2 2 2 2 3" xfId="29507"/>
    <cellStyle name="Input [yellow] 5 2 2 2 2 3" xfId="29401"/>
    <cellStyle name="Input [yellow] 5 2 2 2 3" xfId="2491"/>
    <cellStyle name="Input [yellow] 5 2 2 2 3 2" xfId="6154"/>
    <cellStyle name="Input [yellow] 5 2 2 2 3 2 2" xfId="19804"/>
    <cellStyle name="Input [yellow] 5 2 2 2 3 2 3" xfId="29321"/>
    <cellStyle name="Input [yellow] 5 2 2 2 3 3" xfId="29438"/>
    <cellStyle name="Input [yellow] 5 2 2 2 4" xfId="15830"/>
    <cellStyle name="Input [yellow] 5 2 2 3" xfId="2386"/>
    <cellStyle name="Input [yellow] 5 2 2 3 2" xfId="3492"/>
    <cellStyle name="Input [yellow] 5 2 2 3 2 2" xfId="6926"/>
    <cellStyle name="Input [yellow] 5 2 2 3 2 2 2" xfId="20576"/>
    <cellStyle name="Input [yellow] 5 2 2 3 2 2 3" xfId="16299"/>
    <cellStyle name="Input [yellow] 5 2 2 3 2 3" xfId="29170"/>
    <cellStyle name="Input [yellow] 5 2 2 3 3" xfId="29482"/>
    <cellStyle name="Input [yellow] 5 2 2 4" xfId="2492"/>
    <cellStyle name="Input [yellow] 5 2 2 4 2" xfId="6155"/>
    <cellStyle name="Input [yellow] 5 2 2 4 2 2" xfId="19805"/>
    <cellStyle name="Input [yellow] 5 2 2 4 2 3" xfId="29219"/>
    <cellStyle name="Input [yellow] 5 2 2 4 3" xfId="29308"/>
    <cellStyle name="Input [yellow] 5 2 2 5" xfId="15906"/>
    <cellStyle name="Input [yellow] 5 2 3" xfId="1940"/>
    <cellStyle name="Input [yellow] 5 2 3 2" xfId="1941"/>
    <cellStyle name="Input [yellow] 5 2 3 2 2" xfId="2389"/>
    <cellStyle name="Input [yellow] 5 2 3 2 2 2" xfId="3495"/>
    <cellStyle name="Input [yellow] 5 2 3 2 2 2 2" xfId="6929"/>
    <cellStyle name="Input [yellow] 5 2 3 2 2 2 2 2" xfId="20579"/>
    <cellStyle name="Input [yellow] 5 2 3 2 2 2 2 3" xfId="16139"/>
    <cellStyle name="Input [yellow] 5 2 3 2 2 2 3" xfId="29287"/>
    <cellStyle name="Input [yellow] 5 2 3 2 2 3" xfId="29533"/>
    <cellStyle name="Input [yellow] 5 2 3 2 3" xfId="2487"/>
    <cellStyle name="Input [yellow] 5 2 3 2 3 2" xfId="6150"/>
    <cellStyle name="Input [yellow] 5 2 3 2 3 2 2" xfId="19800"/>
    <cellStyle name="Input [yellow] 5 2 3 2 3 2 3" xfId="29409"/>
    <cellStyle name="Input [yellow] 5 2 3 2 3 3" xfId="29462"/>
    <cellStyle name="Input [yellow] 5 2 3 2 4" xfId="16298"/>
    <cellStyle name="Input [yellow] 5 2 3 3" xfId="2388"/>
    <cellStyle name="Input [yellow] 5 2 3 3 2" xfId="3494"/>
    <cellStyle name="Input [yellow] 5 2 3 3 2 2" xfId="6928"/>
    <cellStyle name="Input [yellow] 5 2 3 3 2 2 2" xfId="20578"/>
    <cellStyle name="Input [yellow] 5 2 3 3 2 2 3" xfId="29130"/>
    <cellStyle name="Input [yellow] 5 2 3 3 2 3" xfId="29418"/>
    <cellStyle name="Input [yellow] 5 2 3 3 3" xfId="29269"/>
    <cellStyle name="Input [yellow] 5 2 3 4" xfId="2488"/>
    <cellStyle name="Input [yellow] 5 2 3 4 2" xfId="6151"/>
    <cellStyle name="Input [yellow] 5 2 3 4 2 2" xfId="19801"/>
    <cellStyle name="Input [yellow] 5 2 3 4 2 3" xfId="29277"/>
    <cellStyle name="Input [yellow] 5 2 3 4 3" xfId="29381"/>
    <cellStyle name="Input [yellow] 5 2 3 5" xfId="17054"/>
    <cellStyle name="Input [yellow] 5 2 4" xfId="1942"/>
    <cellStyle name="Input [yellow] 5 2 4 2" xfId="2390"/>
    <cellStyle name="Input [yellow] 5 2 4 2 2" xfId="3496"/>
    <cellStyle name="Input [yellow] 5 2 4 2 2 2" xfId="6930"/>
    <cellStyle name="Input [yellow] 5 2 4 2 2 2 2" xfId="20580"/>
    <cellStyle name="Input [yellow] 5 2 4 2 2 2 3" xfId="18367"/>
    <cellStyle name="Input [yellow] 5 2 4 2 2 3" xfId="29546"/>
    <cellStyle name="Input [yellow] 5 2 4 2 3" xfId="29447"/>
    <cellStyle name="Input [yellow] 5 2 4 3" xfId="2484"/>
    <cellStyle name="Input [yellow] 5 2 4 3 2" xfId="6147"/>
    <cellStyle name="Input [yellow] 5 2 4 3 2 2" xfId="19797"/>
    <cellStyle name="Input [yellow] 5 2 4 3 2 3" xfId="29201"/>
    <cellStyle name="Input [yellow] 5 2 4 3 3" xfId="29420"/>
    <cellStyle name="Input [yellow] 5 2 4 4" xfId="17059"/>
    <cellStyle name="Input [yellow] 5 2 5" xfId="2250"/>
    <cellStyle name="Input [yellow] 5 2 5 2" xfId="3363"/>
    <cellStyle name="Input [yellow] 5 2 5 2 2" xfId="6797"/>
    <cellStyle name="Input [yellow] 5 2 5 2 2 2" xfId="20447"/>
    <cellStyle name="Input [yellow] 5 2 5 2 2 3" xfId="15986"/>
    <cellStyle name="Input [yellow] 5 2 5 2 3" xfId="29206"/>
    <cellStyle name="Input [yellow] 5 2 5 3" xfId="29458"/>
    <cellStyle name="Input [yellow] 5 2 6" xfId="2493"/>
    <cellStyle name="Input [yellow] 5 2 6 2" xfId="6156"/>
    <cellStyle name="Input [yellow] 5 2 6 2 2" xfId="19806"/>
    <cellStyle name="Input [yellow] 5 2 6 2 3" xfId="29518"/>
    <cellStyle name="Input [yellow] 5 2 6 3" xfId="29567"/>
    <cellStyle name="Input [yellow] 5 2 7" xfId="29075"/>
    <cellStyle name="Input [yellow] 5 3" xfId="1943"/>
    <cellStyle name="Input [yellow] 5 3 2" xfId="1944"/>
    <cellStyle name="Input [yellow] 5 3 2 2" xfId="1945"/>
    <cellStyle name="Input [yellow] 5 3 2 2 2" xfId="2392"/>
    <cellStyle name="Input [yellow] 5 3 2 2 2 2" xfId="3498"/>
    <cellStyle name="Input [yellow] 5 3 2 2 2 2 2" xfId="6932"/>
    <cellStyle name="Input [yellow] 5 3 2 2 2 2 2 2" xfId="20582"/>
    <cellStyle name="Input [yellow] 5 3 2 2 2 2 2 3" xfId="29243"/>
    <cellStyle name="Input [yellow] 5 3 2 2 2 2 3" xfId="29378"/>
    <cellStyle name="Input [yellow] 5 3 2 2 2 3" xfId="29217"/>
    <cellStyle name="Input [yellow] 5 3 2 2 3" xfId="2479"/>
    <cellStyle name="Input [yellow] 5 3 2 2 3 2" xfId="6142"/>
    <cellStyle name="Input [yellow] 5 3 2 2 3 2 2" xfId="19792"/>
    <cellStyle name="Input [yellow] 5 3 2 2 3 2 3" xfId="29303"/>
    <cellStyle name="Input [yellow] 5 3 2 2 3 3" xfId="29466"/>
    <cellStyle name="Input [yellow] 5 3 2 2 4" xfId="15870"/>
    <cellStyle name="Input [yellow] 5 3 2 3" xfId="2391"/>
    <cellStyle name="Input [yellow] 5 3 2 3 2" xfId="3497"/>
    <cellStyle name="Input [yellow] 5 3 2 3 2 2" xfId="6931"/>
    <cellStyle name="Input [yellow] 5 3 2 3 2 2 2" xfId="20581"/>
    <cellStyle name="Input [yellow] 5 3 2 3 2 2 3" xfId="16204"/>
    <cellStyle name="Input [yellow] 5 3 2 3 2 3" xfId="29460"/>
    <cellStyle name="Input [yellow] 5 3 2 3 3" xfId="29319"/>
    <cellStyle name="Input [yellow] 5 3 2 4" xfId="2480"/>
    <cellStyle name="Input [yellow] 5 3 2 4 2" xfId="6143"/>
    <cellStyle name="Input [yellow] 5 3 2 4 2 2" xfId="19793"/>
    <cellStyle name="Input [yellow] 5 3 2 4 2 3" xfId="29562"/>
    <cellStyle name="Input [yellow] 5 3 2 4 3" xfId="29386"/>
    <cellStyle name="Input [yellow] 5 3 2 5" xfId="16125"/>
    <cellStyle name="Input [yellow] 5 3 3" xfId="1946"/>
    <cellStyle name="Input [yellow] 5 3 3 2" xfId="1947"/>
    <cellStyle name="Input [yellow] 5 3 3 2 2" xfId="2394"/>
    <cellStyle name="Input [yellow] 5 3 3 2 2 2" xfId="3500"/>
    <cellStyle name="Input [yellow] 5 3 3 2 2 2 2" xfId="6934"/>
    <cellStyle name="Input [yellow] 5 3 3 2 2 2 2 2" xfId="20584"/>
    <cellStyle name="Input [yellow] 5 3 3 2 2 2 2 3" xfId="29236"/>
    <cellStyle name="Input [yellow] 5 3 3 2 2 2 3" xfId="29525"/>
    <cellStyle name="Input [yellow] 5 3 3 2 2 3" xfId="29427"/>
    <cellStyle name="Input [yellow] 5 3 3 2 3" xfId="2477"/>
    <cellStyle name="Input [yellow] 5 3 3 2 3 2" xfId="6140"/>
    <cellStyle name="Input [yellow] 5 3 3 2 3 2 2" xfId="19790"/>
    <cellStyle name="Input [yellow] 5 3 3 2 3 2 3" xfId="29522"/>
    <cellStyle name="Input [yellow] 5 3 3 2 3 3" xfId="29293"/>
    <cellStyle name="Input [yellow] 5 3 3 2 4" xfId="16206"/>
    <cellStyle name="Input [yellow] 5 3 3 3" xfId="2393"/>
    <cellStyle name="Input [yellow] 5 3 3 3 2" xfId="3499"/>
    <cellStyle name="Input [yellow] 5 3 3 3 2 2" xfId="6933"/>
    <cellStyle name="Input [yellow] 5 3 3 3 2 2 2" xfId="20583"/>
    <cellStyle name="Input [yellow] 5 3 3 3 2 2 3" xfId="29239"/>
    <cellStyle name="Input [yellow] 5 3 3 3 2 3" xfId="29227"/>
    <cellStyle name="Input [yellow] 5 3 3 3 3" xfId="29516"/>
    <cellStyle name="Input [yellow] 5 3 3 4" xfId="2478"/>
    <cellStyle name="Input [yellow] 5 3 3 4 2" xfId="6141"/>
    <cellStyle name="Input [yellow] 5 3 3 4 2 2" xfId="19791"/>
    <cellStyle name="Input [yellow] 5 3 3 4 2 3" xfId="29433"/>
    <cellStyle name="Input [yellow] 5 3 3 4 3" xfId="29553"/>
    <cellStyle name="Input [yellow] 5 3 3 5" xfId="15854"/>
    <cellStyle name="Input [yellow] 5 3 4" xfId="1948"/>
    <cellStyle name="Input [yellow] 5 3 4 2" xfId="2395"/>
    <cellStyle name="Input [yellow] 5 3 4 2 2" xfId="3501"/>
    <cellStyle name="Input [yellow] 5 3 4 2 2 2" xfId="6935"/>
    <cellStyle name="Input [yellow] 5 3 4 2 2 2 2" xfId="20585"/>
    <cellStyle name="Input [yellow] 5 3 4 2 2 2 3" xfId="29234"/>
    <cellStyle name="Input [yellow] 5 3 4 2 2 3" xfId="29436"/>
    <cellStyle name="Input [yellow] 5 3 4 2 3" xfId="29297"/>
    <cellStyle name="Input [yellow] 5 3 4 3" xfId="2476"/>
    <cellStyle name="Input [yellow] 5 3 4 3 2" xfId="6139"/>
    <cellStyle name="Input [yellow] 5 3 4 3 2 2" xfId="19789"/>
    <cellStyle name="Input [yellow] 5 3 4 3 2 3" xfId="29223"/>
    <cellStyle name="Input [yellow] 5 3 4 3 3" xfId="29423"/>
    <cellStyle name="Input [yellow] 5 3 4 4" xfId="15861"/>
    <cellStyle name="Input [yellow] 5 3 5" xfId="2140"/>
    <cellStyle name="Input [yellow] 5 3 5 2" xfId="3253"/>
    <cellStyle name="Input [yellow] 5 3 5 2 2" xfId="6687"/>
    <cellStyle name="Input [yellow] 5 3 5 2 2 2" xfId="20337"/>
    <cellStyle name="Input [yellow] 5 3 5 2 2 3" xfId="29395"/>
    <cellStyle name="Input [yellow] 5 3 5 2 3" xfId="29579"/>
    <cellStyle name="Input [yellow] 5 3 5 3" xfId="29581"/>
    <cellStyle name="Input [yellow] 5 3 6" xfId="2483"/>
    <cellStyle name="Input [yellow] 5 3 6 2" xfId="6146"/>
    <cellStyle name="Input [yellow] 5 3 6 2 2" xfId="19796"/>
    <cellStyle name="Input [yellow] 5 3 6 2 3" xfId="29258"/>
    <cellStyle name="Input [yellow] 5 3 6 3" xfId="29508"/>
    <cellStyle name="Input [yellow] 5 3 7" xfId="18361"/>
    <cellStyle name="Input [yellow] 5 4" xfId="1949"/>
    <cellStyle name="Input [yellow] 5 4 2" xfId="1950"/>
    <cellStyle name="Input [yellow] 5 4 2 2" xfId="1951"/>
    <cellStyle name="Input [yellow] 5 4 2 2 2" xfId="2398"/>
    <cellStyle name="Input [yellow] 5 4 2 2 2 2" xfId="3504"/>
    <cellStyle name="Input [yellow] 5 4 2 2 2 2 2" xfId="6938"/>
    <cellStyle name="Input [yellow] 5 4 2 2 2 2 2 2" xfId="20588"/>
    <cellStyle name="Input [yellow] 5 4 2 2 2 2 2 3" xfId="29237"/>
    <cellStyle name="Input [yellow] 5 4 2 2 2 2 3" xfId="29476"/>
    <cellStyle name="Input [yellow] 5 4 2 2 2 3" xfId="29389"/>
    <cellStyle name="Input [yellow] 5 4 2 2 3" xfId="2473"/>
    <cellStyle name="Input [yellow] 5 4 2 2 3 2" xfId="6136"/>
    <cellStyle name="Input [yellow] 5 4 2 2 3 2 2" xfId="19786"/>
    <cellStyle name="Input [yellow] 5 4 2 2 3 2 3" xfId="29540"/>
    <cellStyle name="Input [yellow] 5 4 2 2 3 3" xfId="29317"/>
    <cellStyle name="Input [yellow] 5 4 2 2 4" xfId="18364"/>
    <cellStyle name="Input [yellow] 5 4 2 3" xfId="2397"/>
    <cellStyle name="Input [yellow] 5 4 2 3 2" xfId="3503"/>
    <cellStyle name="Input [yellow] 5 4 2 3 2 2" xfId="6937"/>
    <cellStyle name="Input [yellow] 5 4 2 3 2 2 2" xfId="20587"/>
    <cellStyle name="Input [yellow] 5 4 2 3 2 2 3" xfId="29233"/>
    <cellStyle name="Input [yellow] 5 4 2 3 2 3" xfId="29564"/>
    <cellStyle name="Input [yellow] 5 4 2 3 3" xfId="29469"/>
    <cellStyle name="Input [yellow] 5 4 2 4" xfId="2474"/>
    <cellStyle name="Input [yellow] 5 4 2 4 2" xfId="6137"/>
    <cellStyle name="Input [yellow] 5 4 2 4 2 2" xfId="19787"/>
    <cellStyle name="Input [yellow] 5 4 2 4 2 3" xfId="29454"/>
    <cellStyle name="Input [yellow] 5 4 2 4 3" xfId="29215"/>
    <cellStyle name="Input [yellow] 5 4 2 5" xfId="18365"/>
    <cellStyle name="Input [yellow] 5 4 3" xfId="1952"/>
    <cellStyle name="Input [yellow] 5 4 3 2" xfId="2399"/>
    <cellStyle name="Input [yellow] 5 4 3 2 2" xfId="3505"/>
    <cellStyle name="Input [yellow] 5 4 3 2 2 2" xfId="6939"/>
    <cellStyle name="Input [yellow] 5 4 3 2 2 2 2" xfId="20589"/>
    <cellStyle name="Input [yellow] 5 4 3 2 2 2 3" xfId="29231"/>
    <cellStyle name="Input [yellow] 5 4 3 2 2 3" xfId="29397"/>
    <cellStyle name="Input [yellow] 5 4 3 2 3" xfId="29252"/>
    <cellStyle name="Input [yellow] 5 4 3 3" xfId="2470"/>
    <cellStyle name="Input [yellow] 5 4 3 3 2" xfId="6133"/>
    <cellStyle name="Input [yellow] 5 4 3 3 2 2" xfId="19783"/>
    <cellStyle name="Input [yellow] 5 4 3 3 2 3" xfId="29501"/>
    <cellStyle name="Input [yellow] 5 4 3 3 3" xfId="29268"/>
    <cellStyle name="Input [yellow] 5 4 3 4" xfId="29175"/>
    <cellStyle name="Input [yellow] 5 4 4" xfId="2396"/>
    <cellStyle name="Input [yellow] 5 4 4 2" xfId="3502"/>
    <cellStyle name="Input [yellow] 5 4 4 2 2" xfId="6936"/>
    <cellStyle name="Input [yellow] 5 4 4 2 2 2" xfId="20586"/>
    <cellStyle name="Input [yellow] 5 4 4 2 2 3" xfId="29232"/>
    <cellStyle name="Input [yellow] 5 4 4 2 3" xfId="29305"/>
    <cellStyle name="Input [yellow] 5 4 4 3" xfId="29556"/>
    <cellStyle name="Input [yellow] 5 4 5" xfId="2475"/>
    <cellStyle name="Input [yellow] 5 4 5 2" xfId="6138"/>
    <cellStyle name="Input [yellow] 5 4 5 2 2" xfId="19788"/>
    <cellStyle name="Input [yellow] 5 4 5 2 3" xfId="29325"/>
    <cellStyle name="Input [yellow] 5 4 5 3" xfId="29512"/>
    <cellStyle name="Input [yellow] 5 4 6" xfId="18356"/>
    <cellStyle name="Input [yellow] 5 5" xfId="1953"/>
    <cellStyle name="Input [yellow] 5 5 2" xfId="1954"/>
    <cellStyle name="Input [yellow] 5 5 2 2" xfId="2401"/>
    <cellStyle name="Input [yellow] 5 5 2 2 2" xfId="3507"/>
    <cellStyle name="Input [yellow] 5 5 2 2 2 2" xfId="6941"/>
    <cellStyle name="Input [yellow] 5 5 2 2 2 2 2" xfId="20591"/>
    <cellStyle name="Input [yellow] 5 5 2 2 2 2 3" xfId="29238"/>
    <cellStyle name="Input [yellow] 5 5 2 2 2 3" xfId="29205"/>
    <cellStyle name="Input [yellow] 5 5 2 2 3" xfId="29509"/>
    <cellStyle name="Input [yellow] 5 5 2 3" xfId="2464"/>
    <cellStyle name="Input [yellow] 5 5 2 3 2" xfId="6127"/>
    <cellStyle name="Input [yellow] 5 5 2 3 2 2" xfId="19777"/>
    <cellStyle name="Input [yellow] 5 5 2 3 2 3" xfId="29563"/>
    <cellStyle name="Input [yellow] 5 5 2 3 3" xfId="18372"/>
    <cellStyle name="Input [yellow] 5 5 2 4" xfId="29174"/>
    <cellStyle name="Input [yellow] 5 5 3" xfId="2400"/>
    <cellStyle name="Input [yellow] 5 5 3 2" xfId="3506"/>
    <cellStyle name="Input [yellow] 5 5 3 2 2" xfId="6940"/>
    <cellStyle name="Input [yellow] 5 5 3 2 2 2" xfId="20590"/>
    <cellStyle name="Input [yellow] 5 5 3 2 2 3" xfId="29235"/>
    <cellStyle name="Input [yellow] 5 5 3 2 3" xfId="29262"/>
    <cellStyle name="Input [yellow] 5 5 3 3" xfId="29195"/>
    <cellStyle name="Input [yellow] 5 5 4" xfId="2467"/>
    <cellStyle name="Input [yellow] 5 5 4 2" xfId="6130"/>
    <cellStyle name="Input [yellow] 5 5 4 2 2" xfId="19780"/>
    <cellStyle name="Input [yellow] 5 5 4 2 3" xfId="29261"/>
    <cellStyle name="Input [yellow] 5 5 4 3" xfId="29570"/>
    <cellStyle name="Input [yellow] 5 5 5" xfId="18359"/>
    <cellStyle name="Input [yellow] 5 6" xfId="1955"/>
    <cellStyle name="Input [yellow] 5 6 2" xfId="2402"/>
    <cellStyle name="Input [yellow] 5 6 2 2" xfId="3508"/>
    <cellStyle name="Input [yellow] 5 6 2 2 2" xfId="6942"/>
    <cellStyle name="Input [yellow] 5 6 2 2 2 2" xfId="20592"/>
    <cellStyle name="Input [yellow] 5 6 2 2 2 3" xfId="16201"/>
    <cellStyle name="Input [yellow] 5 6 2 2 3" xfId="29164"/>
    <cellStyle name="Input [yellow] 5 6 2 3" xfId="29421"/>
    <cellStyle name="Input [yellow] 5 6 3" xfId="2461"/>
    <cellStyle name="Input [yellow] 5 6 3 2" xfId="6124"/>
    <cellStyle name="Input [yellow] 5 6 3 2 2" xfId="19774"/>
    <cellStyle name="Input [yellow] 5 6 3 2 3" xfId="29524"/>
    <cellStyle name="Input [yellow] 5 6 3 3" xfId="15827"/>
    <cellStyle name="Input [yellow] 5 6 4" xfId="18371"/>
    <cellStyle name="Input [yellow] 5 7" xfId="2233"/>
    <cellStyle name="Input [yellow] 5 7 2" xfId="3346"/>
    <cellStyle name="Input [yellow] 5 7 2 2" xfId="6780"/>
    <cellStyle name="Input [yellow] 5 7 2 2 2" xfId="20430"/>
    <cellStyle name="Input [yellow] 5 7 2 2 3" xfId="29402"/>
    <cellStyle name="Input [yellow] 5 7 2 3" xfId="29385"/>
    <cellStyle name="Input [yellow] 5 7 3" xfId="29549"/>
    <cellStyle name="Input [yellow] 5 8" xfId="2494"/>
    <cellStyle name="Input [yellow] 5 8 2" xfId="6157"/>
    <cellStyle name="Input [yellow] 5 8 2 2" xfId="19807"/>
    <cellStyle name="Input [yellow] 5 8 2 3" xfId="29429"/>
    <cellStyle name="Input [yellow] 5 8 3" xfId="29479"/>
    <cellStyle name="Input [yellow] 5 9" xfId="12042"/>
    <cellStyle name="Input [yellow] 5 9 2" xfId="25673"/>
    <cellStyle name="Input [yellow] 5 9 3" xfId="29403"/>
    <cellStyle name="Input [yellow] 6" xfId="995"/>
    <cellStyle name="Input [yellow] 6 2" xfId="1956"/>
    <cellStyle name="Input [yellow] 6 2 2" xfId="1957"/>
    <cellStyle name="Input [yellow] 6 2 2 2" xfId="2405"/>
    <cellStyle name="Input [yellow] 6 2 2 2 2" xfId="3511"/>
    <cellStyle name="Input [yellow] 6 2 2 2 2 2" xfId="6945"/>
    <cellStyle name="Input [yellow] 6 2 2 2 2 2 2" xfId="20595"/>
    <cellStyle name="Input [yellow] 6 2 2 2 2 2 3" xfId="16192"/>
    <cellStyle name="Input [yellow] 6 2 2 2 2 3" xfId="29282"/>
    <cellStyle name="Input [yellow] 6 2 2 2 3" xfId="29463"/>
    <cellStyle name="Input [yellow] 6 2 2 3" xfId="2458"/>
    <cellStyle name="Input [yellow] 6 2 2 3 2" xfId="6121"/>
    <cellStyle name="Input [yellow] 6 2 2 3 2 2" xfId="19771"/>
    <cellStyle name="Input [yellow] 6 2 2 3 2 3" xfId="29459"/>
    <cellStyle name="Input [yellow] 6 2 2 3 3" xfId="18376"/>
    <cellStyle name="Input [yellow] 6 2 2 4" xfId="18375"/>
    <cellStyle name="Input [yellow] 6 2 3" xfId="2404"/>
    <cellStyle name="Input [yellow] 6 2 3 2" xfId="3510"/>
    <cellStyle name="Input [yellow] 6 2 3 2 2" xfId="6944"/>
    <cellStyle name="Input [yellow] 6 2 3 2 2 2" xfId="20594"/>
    <cellStyle name="Input [yellow] 6 2 3 2 2 3" xfId="16142"/>
    <cellStyle name="Input [yellow] 6 2 3 2 3" xfId="29413"/>
    <cellStyle name="Input [yellow] 6 2 3 3" xfId="29548"/>
    <cellStyle name="Input [yellow] 6 2 4" xfId="2459"/>
    <cellStyle name="Input [yellow] 6 2 4 2" xfId="6122"/>
    <cellStyle name="Input [yellow] 6 2 4 2 2" xfId="19772"/>
    <cellStyle name="Input [yellow] 6 2 4 2 3" xfId="29377"/>
    <cellStyle name="Input [yellow] 6 2 4 3" xfId="16190"/>
    <cellStyle name="Input [yellow] 6 2 5" xfId="29173"/>
    <cellStyle name="Input [yellow] 6 3" xfId="1958"/>
    <cellStyle name="Input [yellow] 6 3 2" xfId="2406"/>
    <cellStyle name="Input [yellow] 6 3 2 2" xfId="3512"/>
    <cellStyle name="Input [yellow] 6 3 2 2 2" xfId="6946"/>
    <cellStyle name="Input [yellow] 6 3 2 2 2 2" xfId="20596"/>
    <cellStyle name="Input [yellow] 6 3 2 2 2 3" xfId="16090"/>
    <cellStyle name="Input [yellow] 6 3 2 2 3" xfId="29541"/>
    <cellStyle name="Input [yellow] 6 3 2 3" xfId="29382"/>
    <cellStyle name="Input [yellow] 6 3 3" xfId="2457"/>
    <cellStyle name="Input [yellow] 6 3 3 2" xfId="6120"/>
    <cellStyle name="Input [yellow] 6 3 3 2 2" xfId="19770"/>
    <cellStyle name="Input [yellow] 6 3 3 2 3" xfId="29545"/>
    <cellStyle name="Input [yellow] 6 3 3 3" xfId="18373"/>
    <cellStyle name="Input [yellow] 6 3 4" xfId="29172"/>
    <cellStyle name="Input [yellow] 6 4" xfId="2403"/>
    <cellStyle name="Input [yellow] 6 4 2" xfId="3509"/>
    <cellStyle name="Input [yellow] 6 4 2 2" xfId="6943"/>
    <cellStyle name="Input [yellow] 6 4 2 2 2" xfId="20593"/>
    <cellStyle name="Input [yellow] 6 4 2 2 3" xfId="16146"/>
    <cellStyle name="Input [yellow] 6 4 2 3" xfId="29502"/>
    <cellStyle name="Input [yellow] 6 4 3" xfId="29289"/>
    <cellStyle name="Input [yellow] 6 5" xfId="2460"/>
    <cellStyle name="Input [yellow] 6 5 2" xfId="6123"/>
    <cellStyle name="Input [yellow] 6 5 2 2" xfId="19773"/>
    <cellStyle name="Input [yellow] 6 5 2 3" xfId="29226"/>
    <cellStyle name="Input [yellow] 6 5 3" xfId="29583"/>
    <cellStyle name="Input [yellow] 6 6" xfId="29383"/>
    <cellStyle name="Input [yellow] 7" xfId="996"/>
    <cellStyle name="Input [yellow] 7 2" xfId="1959"/>
    <cellStyle name="Input [yellow] 7 2 2" xfId="1960"/>
    <cellStyle name="Input [yellow] 7 2 2 2" xfId="2409"/>
    <cellStyle name="Input [yellow] 7 2 2 2 2" xfId="3515"/>
    <cellStyle name="Input [yellow] 7 2 2 2 2 2" xfId="6949"/>
    <cellStyle name="Input [yellow] 7 2 2 2 2 2 2" xfId="20599"/>
    <cellStyle name="Input [yellow] 7 2 2 2 2 2 3" xfId="17056"/>
    <cellStyle name="Input [yellow] 7 2 2 2 2 3" xfId="29224"/>
    <cellStyle name="Input [yellow] 7 2 2 2 3" xfId="29439"/>
    <cellStyle name="Input [yellow] 7 2 2 3" xfId="2454"/>
    <cellStyle name="Input [yellow] 7 2 2 3 2" xfId="6117"/>
    <cellStyle name="Input [yellow] 7 2 2 3 2 2" xfId="19767"/>
    <cellStyle name="Input [yellow] 7 2 2 3 2 3" xfId="29506"/>
    <cellStyle name="Input [yellow] 7 2 2 3 3" xfId="28899"/>
    <cellStyle name="Input [yellow] 7 2 2 4" xfId="29171"/>
    <cellStyle name="Input [yellow] 7 2 3" xfId="2408"/>
    <cellStyle name="Input [yellow] 7 2 3 2" xfId="3514"/>
    <cellStyle name="Input [yellow] 7 2 3 2 2" xfId="6948"/>
    <cellStyle name="Input [yellow] 7 2 3 2 2 2" xfId="20598"/>
    <cellStyle name="Input [yellow] 7 2 3 2 2 3" xfId="16195"/>
    <cellStyle name="Input [yellow] 7 2 3 2 3" xfId="29326"/>
    <cellStyle name="Input [yellow] 7 2 3 3" xfId="29526"/>
    <cellStyle name="Input [yellow] 7 2 4" xfId="2455"/>
    <cellStyle name="Input [yellow] 7 2 4 2" xfId="6118"/>
    <cellStyle name="Input [yellow] 7 2 4 2 2" xfId="19768"/>
    <cellStyle name="Input [yellow] 7 2 4 2 3" xfId="29417"/>
    <cellStyle name="Input [yellow] 7 2 4 3" xfId="15863"/>
    <cellStyle name="Input [yellow] 7 2 5" xfId="18378"/>
    <cellStyle name="Input [yellow] 7 3" xfId="1961"/>
    <cellStyle name="Input [yellow] 7 3 2" xfId="2410"/>
    <cellStyle name="Input [yellow] 7 3 2 2" xfId="3516"/>
    <cellStyle name="Input [yellow] 7 3 2 2 2" xfId="6950"/>
    <cellStyle name="Input [yellow] 7 3 2 2 2 2" xfId="20600"/>
    <cellStyle name="Input [yellow] 7 3 2 2 2 3" xfId="16143"/>
    <cellStyle name="Input [yellow] 7 3 2 2 3" xfId="29523"/>
    <cellStyle name="Input [yellow] 7 3 2 3" xfId="29309"/>
    <cellStyle name="Input [yellow] 7 3 3" xfId="2453"/>
    <cellStyle name="Input [yellow] 7 3 3 2" xfId="6116"/>
    <cellStyle name="Input [yellow] 7 3 3 2 2" xfId="19766"/>
    <cellStyle name="Input [yellow] 7 3 3 2 3" xfId="29169"/>
    <cellStyle name="Input [yellow] 7 3 3 3" xfId="29405"/>
    <cellStyle name="Input [yellow] 7 3 4" xfId="18380"/>
    <cellStyle name="Input [yellow] 7 4" xfId="2407"/>
    <cellStyle name="Input [yellow] 7 4 2" xfId="3513"/>
    <cellStyle name="Input [yellow] 7 4 2 2" xfId="6947"/>
    <cellStyle name="Input [yellow] 7 4 2 2 2" xfId="20597"/>
    <cellStyle name="Input [yellow] 7 4 2 2 3" xfId="28900"/>
    <cellStyle name="Input [yellow] 7 4 2 3" xfId="29455"/>
    <cellStyle name="Input [yellow] 7 4 3" xfId="29229"/>
    <cellStyle name="Input [yellow] 7 5" xfId="2456"/>
    <cellStyle name="Input [yellow] 7 5 2" xfId="6119"/>
    <cellStyle name="Input [yellow] 7 5 2 2" xfId="19769"/>
    <cellStyle name="Input [yellow] 7 5 2 3" xfId="29286"/>
    <cellStyle name="Input [yellow] 7 5 3" xfId="18374"/>
    <cellStyle name="Input [yellow] 7 6" xfId="29230"/>
    <cellStyle name="Input [yellow] 8" xfId="1962"/>
    <cellStyle name="Input [yellow] 8 2" xfId="2411"/>
    <cellStyle name="Input [yellow] 8 2 2" xfId="3517"/>
    <cellStyle name="Input [yellow] 8 2 2 2" xfId="6951"/>
    <cellStyle name="Input [yellow] 8 2 2 2 2" xfId="20601"/>
    <cellStyle name="Input [yellow] 8 2 2 2 3" xfId="16140"/>
    <cellStyle name="Input [yellow] 8 2 2 3" xfId="29434"/>
    <cellStyle name="Input [yellow] 8 2 3" xfId="29568"/>
    <cellStyle name="Input [yellow] 8 3" xfId="2452"/>
    <cellStyle name="Input [yellow] 8 3 2" xfId="6115"/>
    <cellStyle name="Input [yellow] 8 3 2 2" xfId="19765"/>
    <cellStyle name="Input [yellow] 8 3 2 3" xfId="29248"/>
    <cellStyle name="Input [yellow] 8 3 3" xfId="29485"/>
    <cellStyle name="Input [yellow] 8 4" xfId="29573"/>
    <cellStyle name="Input [yellow] 9" xfId="2575"/>
    <cellStyle name="Input [yellow] 9 2" xfId="6238"/>
    <cellStyle name="Input [yellow] 9 2 2" xfId="19888"/>
    <cellStyle name="Input [yellow] 9 2 3" xfId="29192"/>
    <cellStyle name="Input [yellow] 9 3" xfId="29456"/>
    <cellStyle name="Input 10" xfId="15796"/>
    <cellStyle name="Input 10 2" xfId="29138"/>
    <cellStyle name="Input 10 3" xfId="29603"/>
    <cellStyle name="Input 11" xfId="15785"/>
    <cellStyle name="Input 11 2" xfId="29159"/>
    <cellStyle name="Input 11 2 2" xfId="29593"/>
    <cellStyle name="Input 11 3" xfId="29157"/>
    <cellStyle name="Input 11 3 2" xfId="29591"/>
    <cellStyle name="Input 12" xfId="15932"/>
    <cellStyle name="Input 13" xfId="29144"/>
    <cellStyle name="Input 14" xfId="29151"/>
    <cellStyle name="Input 15" xfId="15831"/>
    <cellStyle name="Input 16" xfId="15828"/>
    <cellStyle name="Input 17" xfId="16209"/>
    <cellStyle name="Input 18" xfId="16522"/>
    <cellStyle name="Input 2" xfId="397"/>
    <cellStyle name="Input 2 2" xfId="997"/>
    <cellStyle name="Input 2 3" xfId="5675"/>
    <cellStyle name="Input 2 3 2" xfId="19325"/>
    <cellStyle name="Input 2 3 3" xfId="29535"/>
    <cellStyle name="Input 2 4" xfId="15908"/>
    <cellStyle name="Input 2 5" xfId="29576"/>
    <cellStyle name="Input 3" xfId="998"/>
    <cellStyle name="Input 4" xfId="999"/>
    <cellStyle name="Input 5" xfId="1000"/>
    <cellStyle name="Input 6" xfId="15737"/>
    <cellStyle name="Input 6 2" xfId="29125"/>
    <cellStyle name="Input 6 3" xfId="16207"/>
    <cellStyle name="Input 7" xfId="15790"/>
    <cellStyle name="Input 7 2" xfId="29134"/>
    <cellStyle name="Input 7 3" xfId="29600"/>
    <cellStyle name="Input 8" xfId="15799"/>
    <cellStyle name="Input 8 2" xfId="29139"/>
    <cellStyle name="Input 8 3" xfId="29604"/>
    <cellStyle name="Input 9" xfId="15791"/>
    <cellStyle name="Input 9 2" xfId="29135"/>
    <cellStyle name="Input 9 3" xfId="29601"/>
    <cellStyle name="Linked Cell" xfId="432" builtinId="24" customBuiltin="1"/>
    <cellStyle name="Linked Cell 2" xfId="399"/>
    <cellStyle name="Linked Cell 2 2" xfId="1001"/>
    <cellStyle name="Linked Cell 3" xfId="15738"/>
    <cellStyle name="Linked Cell 4" xfId="15935"/>
    <cellStyle name="M" xfId="400"/>
    <cellStyle name="M.00" xfId="401"/>
    <cellStyle name="M_9. Rev2Cost_GDPIPI" xfId="15756"/>
    <cellStyle name="M_lists" xfId="15755"/>
    <cellStyle name="M_lists_4. Current Monthly Fixed Charge" xfId="15754"/>
    <cellStyle name="M_Sheet4" xfId="15753"/>
    <cellStyle name="multiple" xfId="62"/>
    <cellStyle name="multiple 2" xfId="140"/>
    <cellStyle name="multiple 2 2" xfId="1002"/>
    <cellStyle name="multiple 3" xfId="1003"/>
    <cellStyle name="multiple 3 2" xfId="1004"/>
    <cellStyle name="multiple 4" xfId="1005"/>
    <cellStyle name="multiple_Data Check Control" xfId="199"/>
    <cellStyle name="Neutral" xfId="428" builtinId="28" customBuiltin="1"/>
    <cellStyle name="Neutral 2" xfId="402"/>
    <cellStyle name="Neutral 2 2" xfId="1006"/>
    <cellStyle name="Neutral 3" xfId="15739"/>
    <cellStyle name="Neutral 4" xfId="15795"/>
    <cellStyle name="Neutral 5" xfId="15931"/>
    <cellStyle name="Normal" xfId="0" builtinId="0"/>
    <cellStyle name="Normal - Style1" xfId="63"/>
    <cellStyle name="Normal - Style1 2" xfId="64"/>
    <cellStyle name="Normal - Style1 2 2" xfId="1007"/>
    <cellStyle name="Normal - Style1 3" xfId="403"/>
    <cellStyle name="Normal - Style1 3 2" xfId="1008"/>
    <cellStyle name="Normal - Style1_Adjustments-RSVA" xfId="65"/>
    <cellStyle name="Normal 1" xfId="1009"/>
    <cellStyle name="Normal 10" xfId="66"/>
    <cellStyle name="Normal 10 2" xfId="1010"/>
    <cellStyle name="Normal 10 3" xfId="9626"/>
    <cellStyle name="Normal 10 3 2" xfId="23260"/>
    <cellStyle name="Normal 100" xfId="1011"/>
    <cellStyle name="Normal 100 2" xfId="15292"/>
    <cellStyle name="Normal 101" xfId="1012"/>
    <cellStyle name="Normal 101 2" xfId="15293"/>
    <cellStyle name="Normal 102" xfId="1013"/>
    <cellStyle name="Normal 102 10" xfId="12038"/>
    <cellStyle name="Normal 102 10 2" xfId="25669"/>
    <cellStyle name="Normal 102 11" xfId="12112"/>
    <cellStyle name="Normal 102 11 2" xfId="25740"/>
    <cellStyle name="Normal 102 12" xfId="12355"/>
    <cellStyle name="Normal 102 12 2" xfId="25983"/>
    <cellStyle name="Normal 102 13" xfId="15294"/>
    <cellStyle name="Normal 102 14" xfId="16099"/>
    <cellStyle name="Normal 102 15" xfId="29634"/>
    <cellStyle name="Normal 102 2" xfId="2229"/>
    <cellStyle name="Normal 102 2 2" xfId="3342"/>
    <cellStyle name="Normal 102 2 2 2" xfId="5088"/>
    <cellStyle name="Normal 102 2 2 2 2" xfId="8352"/>
    <cellStyle name="Normal 102 2 2 2 2 2" xfId="22000"/>
    <cellStyle name="Normal 102 2 2 2 3" xfId="11419"/>
    <cellStyle name="Normal 102 2 2 2 3 2" xfId="25050"/>
    <cellStyle name="Normal 102 2 2 2 4" xfId="14715"/>
    <cellStyle name="Normal 102 2 2 2 4 2" xfId="28343"/>
    <cellStyle name="Normal 102 2 2 2 5" xfId="18746"/>
    <cellStyle name="Normal 102 2 2 3" xfId="6776"/>
    <cellStyle name="Normal 102 2 2 3 2" xfId="20426"/>
    <cellStyle name="Normal 102 2 2 4" xfId="9996"/>
    <cellStyle name="Normal 102 2 2 4 2" xfId="23627"/>
    <cellStyle name="Normal 102 2 2 5" xfId="13291"/>
    <cellStyle name="Normal 102 2 2 5 2" xfId="26919"/>
    <cellStyle name="Normal 102 2 2 6" xfId="17221"/>
    <cellStyle name="Normal 102 2 3" xfId="4142"/>
    <cellStyle name="Normal 102 2 3 2" xfId="7572"/>
    <cellStyle name="Normal 102 2 3 2 2" xfId="21220"/>
    <cellStyle name="Normal 102 2 3 3" xfId="10710"/>
    <cellStyle name="Normal 102 2 3 3 2" xfId="24341"/>
    <cellStyle name="Normal 102 2 3 4" xfId="14006"/>
    <cellStyle name="Normal 102 2 3 4 2" xfId="27634"/>
    <cellStyle name="Normal 102 2 3 5" xfId="17937"/>
    <cellStyle name="Normal 102 2 4" xfId="5978"/>
    <cellStyle name="Normal 102 2 4 2" xfId="19628"/>
    <cellStyle name="Normal 102 2 5" xfId="9264"/>
    <cellStyle name="Normal 102 2 5 2" xfId="22906"/>
    <cellStyle name="Normal 102 2 6" xfId="12578"/>
    <cellStyle name="Normal 102 2 6 2" xfId="26206"/>
    <cellStyle name="Normal 102 2 7" xfId="15295"/>
    <cellStyle name="Normal 102 2 8" xfId="16423"/>
    <cellStyle name="Normal 102 3" xfId="2412"/>
    <cellStyle name="Normal 102 3 2" xfId="3518"/>
    <cellStyle name="Normal 102 3 2 2" xfId="5185"/>
    <cellStyle name="Normal 102 3 2 2 2" xfId="8449"/>
    <cellStyle name="Normal 102 3 2 2 2 2" xfId="22097"/>
    <cellStyle name="Normal 102 3 2 2 3" xfId="11516"/>
    <cellStyle name="Normal 102 3 2 2 3 2" xfId="25147"/>
    <cellStyle name="Normal 102 3 2 2 4" xfId="14812"/>
    <cellStyle name="Normal 102 3 2 2 4 2" xfId="28440"/>
    <cellStyle name="Normal 102 3 2 2 5" xfId="18843"/>
    <cellStyle name="Normal 102 3 2 3" xfId="6952"/>
    <cellStyle name="Normal 102 3 2 3 2" xfId="20602"/>
    <cellStyle name="Normal 102 3 2 4" xfId="10093"/>
    <cellStyle name="Normal 102 3 2 4 2" xfId="23724"/>
    <cellStyle name="Normal 102 3 2 5" xfId="13388"/>
    <cellStyle name="Normal 102 3 2 5 2" xfId="27016"/>
    <cellStyle name="Normal 102 3 2 6" xfId="17319"/>
    <cellStyle name="Normal 102 3 3" xfId="4239"/>
    <cellStyle name="Normal 102 3 3 2" xfId="7669"/>
    <cellStyle name="Normal 102 3 3 2 2" xfId="21317"/>
    <cellStyle name="Normal 102 3 3 3" xfId="10807"/>
    <cellStyle name="Normal 102 3 3 3 2" xfId="24438"/>
    <cellStyle name="Normal 102 3 3 4" xfId="14103"/>
    <cellStyle name="Normal 102 3 3 4 2" xfId="27731"/>
    <cellStyle name="Normal 102 3 3 5" xfId="18034"/>
    <cellStyle name="Normal 102 3 4" xfId="6075"/>
    <cellStyle name="Normal 102 3 4 2" xfId="19725"/>
    <cellStyle name="Normal 102 3 5" xfId="9361"/>
    <cellStyle name="Normal 102 3 5 2" xfId="23003"/>
    <cellStyle name="Normal 102 3 6" xfId="12675"/>
    <cellStyle name="Normal 102 3 6 2" xfId="26303"/>
    <cellStyle name="Normal 102 3 7" xfId="15486"/>
    <cellStyle name="Normal 102 3 7 2" xfId="28997"/>
    <cellStyle name="Normal 102 3 8" xfId="16523"/>
    <cellStyle name="Normal 102 4" xfId="2721"/>
    <cellStyle name="Normal 102 4 2" xfId="3675"/>
    <cellStyle name="Normal 102 4 2 2" xfId="5342"/>
    <cellStyle name="Normal 102 4 2 2 2" xfId="8605"/>
    <cellStyle name="Normal 102 4 2 2 2 2" xfId="22253"/>
    <cellStyle name="Normal 102 4 2 2 3" xfId="11672"/>
    <cellStyle name="Normal 102 4 2 2 3 2" xfId="25303"/>
    <cellStyle name="Normal 102 4 2 2 4" xfId="14968"/>
    <cellStyle name="Normal 102 4 2 2 4 2" xfId="28596"/>
    <cellStyle name="Normal 102 4 2 2 5" xfId="19000"/>
    <cellStyle name="Normal 102 4 2 3" xfId="7109"/>
    <cellStyle name="Normal 102 4 2 3 2" xfId="20759"/>
    <cellStyle name="Normal 102 4 2 4" xfId="10250"/>
    <cellStyle name="Normal 102 4 2 4 2" xfId="23881"/>
    <cellStyle name="Normal 102 4 2 5" xfId="13545"/>
    <cellStyle name="Normal 102 4 2 5 2" xfId="27173"/>
    <cellStyle name="Normal 102 4 2 6" xfId="17476"/>
    <cellStyle name="Normal 102 4 3" xfId="4464"/>
    <cellStyle name="Normal 102 4 3 2" xfId="7894"/>
    <cellStyle name="Normal 102 4 3 2 2" xfId="21542"/>
    <cellStyle name="Normal 102 4 3 3" xfId="10963"/>
    <cellStyle name="Normal 102 4 3 3 2" xfId="24594"/>
    <cellStyle name="Normal 102 4 3 4" xfId="14259"/>
    <cellStyle name="Normal 102 4 3 4 2" xfId="27887"/>
    <cellStyle name="Normal 102 4 3 5" xfId="18259"/>
    <cellStyle name="Normal 102 4 4" xfId="6315"/>
    <cellStyle name="Normal 102 4 4 2" xfId="19965"/>
    <cellStyle name="Normal 102 4 5" xfId="9517"/>
    <cellStyle name="Normal 102 4 5 2" xfId="23159"/>
    <cellStyle name="Normal 102 4 6" xfId="12831"/>
    <cellStyle name="Normal 102 4 6 2" xfId="26459"/>
    <cellStyle name="Normal 102 4 7" xfId="16748"/>
    <cellStyle name="Normal 102 5" xfId="2911"/>
    <cellStyle name="Normal 102 5 2" xfId="4758"/>
    <cellStyle name="Normal 102 5 2 2" xfId="8026"/>
    <cellStyle name="Normal 102 5 2 2 2" xfId="21674"/>
    <cellStyle name="Normal 102 5 2 3" xfId="11095"/>
    <cellStyle name="Normal 102 5 2 3 2" xfId="24726"/>
    <cellStyle name="Normal 102 5 2 4" xfId="14391"/>
    <cellStyle name="Normal 102 5 2 4 2" xfId="28019"/>
    <cellStyle name="Normal 102 5 2 5" xfId="18417"/>
    <cellStyle name="Normal 102 5 3" xfId="6448"/>
    <cellStyle name="Normal 102 5 3 2" xfId="20098"/>
    <cellStyle name="Normal 102 5 4" xfId="9669"/>
    <cellStyle name="Normal 102 5 4 2" xfId="23300"/>
    <cellStyle name="Normal 102 5 5" xfId="12964"/>
    <cellStyle name="Normal 102 5 5 2" xfId="26592"/>
    <cellStyle name="Normal 102 5 6" xfId="16882"/>
    <cellStyle name="Normal 102 6" xfId="3916"/>
    <cellStyle name="Normal 102 6 2" xfId="7346"/>
    <cellStyle name="Normal 102 6 2 2" xfId="20994"/>
    <cellStyle name="Normal 102 6 3" xfId="10484"/>
    <cellStyle name="Normal 102 6 3 2" xfId="24115"/>
    <cellStyle name="Normal 102 6 4" xfId="13780"/>
    <cellStyle name="Normal 102 6 4 2" xfId="27408"/>
    <cellStyle name="Normal 102 6 5" xfId="17711"/>
    <cellStyle name="Normal 102 7" xfId="5508"/>
    <cellStyle name="Normal 102 7 2" xfId="8769"/>
    <cellStyle name="Normal 102 7 2 2" xfId="22412"/>
    <cellStyle name="Normal 102 7 3" xfId="11829"/>
    <cellStyle name="Normal 102 7 3 2" xfId="25460"/>
    <cellStyle name="Normal 102 7 4" xfId="15125"/>
    <cellStyle name="Normal 102 7 4 2" xfId="28753"/>
    <cellStyle name="Normal 102 7 5" xfId="19158"/>
    <cellStyle name="Normal 102 8" xfId="5755"/>
    <cellStyle name="Normal 102 8 2" xfId="19405"/>
    <cellStyle name="Normal 102 9" xfId="8960"/>
    <cellStyle name="Normal 102 9 2" xfId="22603"/>
    <cellStyle name="Normal 103" xfId="1014"/>
    <cellStyle name="Normal 103 2" xfId="1964"/>
    <cellStyle name="Normal 103 2 10" xfId="12113"/>
    <cellStyle name="Normal 103 2 10 2" xfId="25741"/>
    <cellStyle name="Normal 103 2 11" xfId="12457"/>
    <cellStyle name="Normal 103 2 11 2" xfId="26085"/>
    <cellStyle name="Normal 103 2 12" xfId="15296"/>
    <cellStyle name="Normal 103 2 13" xfId="16275"/>
    <cellStyle name="Normal 103 2 2" xfId="2252"/>
    <cellStyle name="Normal 103 2 2 2" xfId="3365"/>
    <cellStyle name="Normal 103 2 2 2 2" xfId="5101"/>
    <cellStyle name="Normal 103 2 2 2 2 2" xfId="8365"/>
    <cellStyle name="Normal 103 2 2 2 2 2 2" xfId="22013"/>
    <cellStyle name="Normal 103 2 2 2 2 3" xfId="11432"/>
    <cellStyle name="Normal 103 2 2 2 2 3 2" xfId="25063"/>
    <cellStyle name="Normal 103 2 2 2 2 4" xfId="14728"/>
    <cellStyle name="Normal 103 2 2 2 2 4 2" xfId="28356"/>
    <cellStyle name="Normal 103 2 2 2 2 5" xfId="18759"/>
    <cellStyle name="Normal 103 2 2 2 3" xfId="6799"/>
    <cellStyle name="Normal 103 2 2 2 3 2" xfId="20449"/>
    <cellStyle name="Normal 103 2 2 2 4" xfId="10009"/>
    <cellStyle name="Normal 103 2 2 2 4 2" xfId="23640"/>
    <cellStyle name="Normal 103 2 2 2 5" xfId="13304"/>
    <cellStyle name="Normal 103 2 2 2 5 2" xfId="26932"/>
    <cellStyle name="Normal 103 2 2 2 6" xfId="17234"/>
    <cellStyle name="Normal 103 2 2 3" xfId="4155"/>
    <cellStyle name="Normal 103 2 2 3 2" xfId="7585"/>
    <cellStyle name="Normal 103 2 2 3 2 2" xfId="21233"/>
    <cellStyle name="Normal 103 2 2 3 3" xfId="10723"/>
    <cellStyle name="Normal 103 2 2 3 3 2" xfId="24354"/>
    <cellStyle name="Normal 103 2 2 3 4" xfId="14019"/>
    <cellStyle name="Normal 103 2 2 3 4 2" xfId="27647"/>
    <cellStyle name="Normal 103 2 2 3 5" xfId="17950"/>
    <cellStyle name="Normal 103 2 2 4" xfId="5991"/>
    <cellStyle name="Normal 103 2 2 4 2" xfId="19641"/>
    <cellStyle name="Normal 103 2 2 5" xfId="9277"/>
    <cellStyle name="Normal 103 2 2 5 2" xfId="22919"/>
    <cellStyle name="Normal 103 2 2 6" xfId="12591"/>
    <cellStyle name="Normal 103 2 2 6 2" xfId="26219"/>
    <cellStyle name="Normal 103 2 2 7" xfId="16436"/>
    <cellStyle name="Normal 103 2 3" xfId="2413"/>
    <cellStyle name="Normal 103 2 3 2" xfId="3519"/>
    <cellStyle name="Normal 103 2 3 2 2" xfId="5186"/>
    <cellStyle name="Normal 103 2 3 2 2 2" xfId="8450"/>
    <cellStyle name="Normal 103 2 3 2 2 2 2" xfId="22098"/>
    <cellStyle name="Normal 103 2 3 2 2 3" xfId="11517"/>
    <cellStyle name="Normal 103 2 3 2 2 3 2" xfId="25148"/>
    <cellStyle name="Normal 103 2 3 2 2 4" xfId="14813"/>
    <cellStyle name="Normal 103 2 3 2 2 4 2" xfId="28441"/>
    <cellStyle name="Normal 103 2 3 2 2 5" xfId="18844"/>
    <cellStyle name="Normal 103 2 3 2 3" xfId="6953"/>
    <cellStyle name="Normal 103 2 3 2 3 2" xfId="20603"/>
    <cellStyle name="Normal 103 2 3 2 4" xfId="10094"/>
    <cellStyle name="Normal 103 2 3 2 4 2" xfId="23725"/>
    <cellStyle name="Normal 103 2 3 2 5" xfId="13389"/>
    <cellStyle name="Normal 103 2 3 2 5 2" xfId="27017"/>
    <cellStyle name="Normal 103 2 3 2 6" xfId="17320"/>
    <cellStyle name="Normal 103 2 3 3" xfId="4240"/>
    <cellStyle name="Normal 103 2 3 3 2" xfId="7670"/>
    <cellStyle name="Normal 103 2 3 3 2 2" xfId="21318"/>
    <cellStyle name="Normal 103 2 3 3 3" xfId="10808"/>
    <cellStyle name="Normal 103 2 3 3 3 2" xfId="24439"/>
    <cellStyle name="Normal 103 2 3 3 4" xfId="14104"/>
    <cellStyle name="Normal 103 2 3 3 4 2" xfId="27732"/>
    <cellStyle name="Normal 103 2 3 3 5" xfId="18035"/>
    <cellStyle name="Normal 103 2 3 4" xfId="6076"/>
    <cellStyle name="Normal 103 2 3 4 2" xfId="19726"/>
    <cellStyle name="Normal 103 2 3 5" xfId="9362"/>
    <cellStyle name="Normal 103 2 3 5 2" xfId="23004"/>
    <cellStyle name="Normal 103 2 3 6" xfId="12676"/>
    <cellStyle name="Normal 103 2 3 6 2" xfId="26304"/>
    <cellStyle name="Normal 103 2 3 7" xfId="16524"/>
    <cellStyle name="Normal 103 2 4" xfId="2722"/>
    <cellStyle name="Normal 103 2 4 2" xfId="3676"/>
    <cellStyle name="Normal 103 2 4 2 2" xfId="5343"/>
    <cellStyle name="Normal 103 2 4 2 2 2" xfId="8606"/>
    <cellStyle name="Normal 103 2 4 2 2 2 2" xfId="22254"/>
    <cellStyle name="Normal 103 2 4 2 2 3" xfId="11673"/>
    <cellStyle name="Normal 103 2 4 2 2 3 2" xfId="25304"/>
    <cellStyle name="Normal 103 2 4 2 2 4" xfId="14969"/>
    <cellStyle name="Normal 103 2 4 2 2 4 2" xfId="28597"/>
    <cellStyle name="Normal 103 2 4 2 2 5" xfId="19001"/>
    <cellStyle name="Normal 103 2 4 2 3" xfId="7110"/>
    <cellStyle name="Normal 103 2 4 2 3 2" xfId="20760"/>
    <cellStyle name="Normal 103 2 4 2 4" xfId="10251"/>
    <cellStyle name="Normal 103 2 4 2 4 2" xfId="23882"/>
    <cellStyle name="Normal 103 2 4 2 5" xfId="13546"/>
    <cellStyle name="Normal 103 2 4 2 5 2" xfId="27174"/>
    <cellStyle name="Normal 103 2 4 2 6" xfId="17477"/>
    <cellStyle name="Normal 103 2 4 3" xfId="4465"/>
    <cellStyle name="Normal 103 2 4 3 2" xfId="7895"/>
    <cellStyle name="Normal 103 2 4 3 2 2" xfId="21543"/>
    <cellStyle name="Normal 103 2 4 3 3" xfId="10964"/>
    <cellStyle name="Normal 103 2 4 3 3 2" xfId="24595"/>
    <cellStyle name="Normal 103 2 4 3 4" xfId="14260"/>
    <cellStyle name="Normal 103 2 4 3 4 2" xfId="27888"/>
    <cellStyle name="Normal 103 2 4 3 5" xfId="18260"/>
    <cellStyle name="Normal 103 2 4 4" xfId="6316"/>
    <cellStyle name="Normal 103 2 4 4 2" xfId="19966"/>
    <cellStyle name="Normal 103 2 4 5" xfId="9518"/>
    <cellStyle name="Normal 103 2 4 5 2" xfId="23160"/>
    <cellStyle name="Normal 103 2 4 6" xfId="12832"/>
    <cellStyle name="Normal 103 2 4 6 2" xfId="26460"/>
    <cellStyle name="Normal 103 2 4 7" xfId="16749"/>
    <cellStyle name="Normal 103 2 5" xfId="3219"/>
    <cellStyle name="Normal 103 2 5 2" xfId="4967"/>
    <cellStyle name="Normal 103 2 5 2 2" xfId="8231"/>
    <cellStyle name="Normal 103 2 5 2 2 2" xfId="21879"/>
    <cellStyle name="Normal 103 2 5 2 3" xfId="11298"/>
    <cellStyle name="Normal 103 2 5 2 3 2" xfId="24929"/>
    <cellStyle name="Normal 103 2 5 2 4" xfId="14594"/>
    <cellStyle name="Normal 103 2 5 2 4 2" xfId="28222"/>
    <cellStyle name="Normal 103 2 5 2 5" xfId="18625"/>
    <cellStyle name="Normal 103 2 5 3" xfId="6654"/>
    <cellStyle name="Normal 103 2 5 3 2" xfId="20304"/>
    <cellStyle name="Normal 103 2 5 4" xfId="9875"/>
    <cellStyle name="Normal 103 2 5 4 2" xfId="23506"/>
    <cellStyle name="Normal 103 2 5 5" xfId="13170"/>
    <cellStyle name="Normal 103 2 5 5 2" xfId="26798"/>
    <cellStyle name="Normal 103 2 5 6" xfId="17100"/>
    <cellStyle name="Normal 103 2 6" xfId="4021"/>
    <cellStyle name="Normal 103 2 6 2" xfId="7451"/>
    <cellStyle name="Normal 103 2 6 2 2" xfId="21099"/>
    <cellStyle name="Normal 103 2 6 3" xfId="10589"/>
    <cellStyle name="Normal 103 2 6 3 2" xfId="24220"/>
    <cellStyle name="Normal 103 2 6 4" xfId="13885"/>
    <cellStyle name="Normal 103 2 6 4 2" xfId="27513"/>
    <cellStyle name="Normal 103 2 6 5" xfId="17816"/>
    <cellStyle name="Normal 103 2 7" xfId="5509"/>
    <cellStyle name="Normal 103 2 7 2" xfId="8770"/>
    <cellStyle name="Normal 103 2 7 2 2" xfId="22413"/>
    <cellStyle name="Normal 103 2 7 3" xfId="11830"/>
    <cellStyle name="Normal 103 2 7 3 2" xfId="25461"/>
    <cellStyle name="Normal 103 2 7 4" xfId="15126"/>
    <cellStyle name="Normal 103 2 7 4 2" xfId="28754"/>
    <cellStyle name="Normal 103 2 7 5" xfId="19159"/>
    <cellStyle name="Normal 103 2 8" xfId="5857"/>
    <cellStyle name="Normal 103 2 8 2" xfId="19507"/>
    <cellStyle name="Normal 103 2 9" xfId="8961"/>
    <cellStyle name="Normal 103 2 9 2" xfId="22604"/>
    <cellStyle name="Normal 103 3" xfId="1963"/>
    <cellStyle name="Normal 103 3 2" xfId="15487"/>
    <cellStyle name="Normal 103 3 2 2" xfId="28998"/>
    <cellStyle name="Normal 103 4" xfId="2912"/>
    <cellStyle name="Normal 103 4 2" xfId="4759"/>
    <cellStyle name="Normal 103 4 2 2" xfId="8027"/>
    <cellStyle name="Normal 103 4 2 2 2" xfId="21675"/>
    <cellStyle name="Normal 103 4 2 3" xfId="11096"/>
    <cellStyle name="Normal 103 4 2 3 2" xfId="24727"/>
    <cellStyle name="Normal 103 4 2 4" xfId="14392"/>
    <cellStyle name="Normal 103 4 2 4 2" xfId="28020"/>
    <cellStyle name="Normal 103 4 2 5" xfId="18418"/>
    <cellStyle name="Normal 103 4 3" xfId="6449"/>
    <cellStyle name="Normal 103 4 3 2" xfId="20099"/>
    <cellStyle name="Normal 103 4 4" xfId="9670"/>
    <cellStyle name="Normal 103 4 4 2" xfId="23301"/>
    <cellStyle name="Normal 103 4 5" xfId="12965"/>
    <cellStyle name="Normal 103 4 5 2" xfId="26593"/>
    <cellStyle name="Normal 103 4 6" xfId="16883"/>
    <cellStyle name="Normal 103 5" xfId="3917"/>
    <cellStyle name="Normal 103 5 2" xfId="7347"/>
    <cellStyle name="Normal 103 5 2 2" xfId="20995"/>
    <cellStyle name="Normal 103 5 3" xfId="10485"/>
    <cellStyle name="Normal 103 5 3 2" xfId="24116"/>
    <cellStyle name="Normal 103 5 4" xfId="13781"/>
    <cellStyle name="Normal 103 5 4 2" xfId="27409"/>
    <cellStyle name="Normal 103 5 5" xfId="17712"/>
    <cellStyle name="Normal 103 6" xfId="5756"/>
    <cellStyle name="Normal 103 6 2" xfId="19406"/>
    <cellStyle name="Normal 103 7" xfId="12356"/>
    <cellStyle name="Normal 103 7 2" xfId="25984"/>
    <cellStyle name="Normal 103 8" xfId="16100"/>
    <cellStyle name="Normal 103 9" xfId="29635"/>
    <cellStyle name="Normal 104" xfId="1015"/>
    <cellStyle name="Normal 104 2" xfId="1966"/>
    <cellStyle name="Normal 104 2 10" xfId="12114"/>
    <cellStyle name="Normal 104 2 10 2" xfId="25742"/>
    <cellStyle name="Normal 104 2 11" xfId="12458"/>
    <cellStyle name="Normal 104 2 11 2" xfId="26086"/>
    <cellStyle name="Normal 104 2 12" xfId="15297"/>
    <cellStyle name="Normal 104 2 13" xfId="16276"/>
    <cellStyle name="Normal 104 2 2" xfId="2253"/>
    <cellStyle name="Normal 104 2 2 2" xfId="3366"/>
    <cellStyle name="Normal 104 2 2 2 2" xfId="5102"/>
    <cellStyle name="Normal 104 2 2 2 2 2" xfId="8366"/>
    <cellStyle name="Normal 104 2 2 2 2 2 2" xfId="22014"/>
    <cellStyle name="Normal 104 2 2 2 2 3" xfId="11433"/>
    <cellStyle name="Normal 104 2 2 2 2 3 2" xfId="25064"/>
    <cellStyle name="Normal 104 2 2 2 2 4" xfId="14729"/>
    <cellStyle name="Normal 104 2 2 2 2 4 2" xfId="28357"/>
    <cellStyle name="Normal 104 2 2 2 2 5" xfId="18760"/>
    <cellStyle name="Normal 104 2 2 2 3" xfId="6800"/>
    <cellStyle name="Normal 104 2 2 2 3 2" xfId="20450"/>
    <cellStyle name="Normal 104 2 2 2 4" xfId="10010"/>
    <cellStyle name="Normal 104 2 2 2 4 2" xfId="23641"/>
    <cellStyle name="Normal 104 2 2 2 5" xfId="13305"/>
    <cellStyle name="Normal 104 2 2 2 5 2" xfId="26933"/>
    <cellStyle name="Normal 104 2 2 2 6" xfId="17235"/>
    <cellStyle name="Normal 104 2 2 3" xfId="4156"/>
    <cellStyle name="Normal 104 2 2 3 2" xfId="7586"/>
    <cellStyle name="Normal 104 2 2 3 2 2" xfId="21234"/>
    <cellStyle name="Normal 104 2 2 3 3" xfId="10724"/>
    <cellStyle name="Normal 104 2 2 3 3 2" xfId="24355"/>
    <cellStyle name="Normal 104 2 2 3 4" xfId="14020"/>
    <cellStyle name="Normal 104 2 2 3 4 2" xfId="27648"/>
    <cellStyle name="Normal 104 2 2 3 5" xfId="17951"/>
    <cellStyle name="Normal 104 2 2 4" xfId="5992"/>
    <cellStyle name="Normal 104 2 2 4 2" xfId="19642"/>
    <cellStyle name="Normal 104 2 2 5" xfId="9278"/>
    <cellStyle name="Normal 104 2 2 5 2" xfId="22920"/>
    <cellStyle name="Normal 104 2 2 6" xfId="12592"/>
    <cellStyle name="Normal 104 2 2 6 2" xfId="26220"/>
    <cellStyle name="Normal 104 2 2 7" xfId="16437"/>
    <cellStyle name="Normal 104 2 3" xfId="2414"/>
    <cellStyle name="Normal 104 2 3 2" xfId="3520"/>
    <cellStyle name="Normal 104 2 3 2 2" xfId="5187"/>
    <cellStyle name="Normal 104 2 3 2 2 2" xfId="8451"/>
    <cellStyle name="Normal 104 2 3 2 2 2 2" xfId="22099"/>
    <cellStyle name="Normal 104 2 3 2 2 3" xfId="11518"/>
    <cellStyle name="Normal 104 2 3 2 2 3 2" xfId="25149"/>
    <cellStyle name="Normal 104 2 3 2 2 4" xfId="14814"/>
    <cellStyle name="Normal 104 2 3 2 2 4 2" xfId="28442"/>
    <cellStyle name="Normal 104 2 3 2 2 5" xfId="18845"/>
    <cellStyle name="Normal 104 2 3 2 3" xfId="6954"/>
    <cellStyle name="Normal 104 2 3 2 3 2" xfId="20604"/>
    <cellStyle name="Normal 104 2 3 2 4" xfId="10095"/>
    <cellStyle name="Normal 104 2 3 2 4 2" xfId="23726"/>
    <cellStyle name="Normal 104 2 3 2 5" xfId="13390"/>
    <cellStyle name="Normal 104 2 3 2 5 2" xfId="27018"/>
    <cellStyle name="Normal 104 2 3 2 6" xfId="17321"/>
    <cellStyle name="Normal 104 2 3 3" xfId="4241"/>
    <cellStyle name="Normal 104 2 3 3 2" xfId="7671"/>
    <cellStyle name="Normal 104 2 3 3 2 2" xfId="21319"/>
    <cellStyle name="Normal 104 2 3 3 3" xfId="10809"/>
    <cellStyle name="Normal 104 2 3 3 3 2" xfId="24440"/>
    <cellStyle name="Normal 104 2 3 3 4" xfId="14105"/>
    <cellStyle name="Normal 104 2 3 3 4 2" xfId="27733"/>
    <cellStyle name="Normal 104 2 3 3 5" xfId="18036"/>
    <cellStyle name="Normal 104 2 3 4" xfId="6077"/>
    <cellStyle name="Normal 104 2 3 4 2" xfId="19727"/>
    <cellStyle name="Normal 104 2 3 5" xfId="9363"/>
    <cellStyle name="Normal 104 2 3 5 2" xfId="23005"/>
    <cellStyle name="Normal 104 2 3 6" xfId="12677"/>
    <cellStyle name="Normal 104 2 3 6 2" xfId="26305"/>
    <cellStyle name="Normal 104 2 3 7" xfId="16525"/>
    <cellStyle name="Normal 104 2 4" xfId="2723"/>
    <cellStyle name="Normal 104 2 4 2" xfId="3677"/>
    <cellStyle name="Normal 104 2 4 2 2" xfId="5344"/>
    <cellStyle name="Normal 104 2 4 2 2 2" xfId="8607"/>
    <cellStyle name="Normal 104 2 4 2 2 2 2" xfId="22255"/>
    <cellStyle name="Normal 104 2 4 2 2 3" xfId="11674"/>
    <cellStyle name="Normal 104 2 4 2 2 3 2" xfId="25305"/>
    <cellStyle name="Normal 104 2 4 2 2 4" xfId="14970"/>
    <cellStyle name="Normal 104 2 4 2 2 4 2" xfId="28598"/>
    <cellStyle name="Normal 104 2 4 2 2 5" xfId="19002"/>
    <cellStyle name="Normal 104 2 4 2 3" xfId="7111"/>
    <cellStyle name="Normal 104 2 4 2 3 2" xfId="20761"/>
    <cellStyle name="Normal 104 2 4 2 4" xfId="10252"/>
    <cellStyle name="Normal 104 2 4 2 4 2" xfId="23883"/>
    <cellStyle name="Normal 104 2 4 2 5" xfId="13547"/>
    <cellStyle name="Normal 104 2 4 2 5 2" xfId="27175"/>
    <cellStyle name="Normal 104 2 4 2 6" xfId="17478"/>
    <cellStyle name="Normal 104 2 4 3" xfId="4466"/>
    <cellStyle name="Normal 104 2 4 3 2" xfId="7896"/>
    <cellStyle name="Normal 104 2 4 3 2 2" xfId="21544"/>
    <cellStyle name="Normal 104 2 4 3 3" xfId="10965"/>
    <cellStyle name="Normal 104 2 4 3 3 2" xfId="24596"/>
    <cellStyle name="Normal 104 2 4 3 4" xfId="14261"/>
    <cellStyle name="Normal 104 2 4 3 4 2" xfId="27889"/>
    <cellStyle name="Normal 104 2 4 3 5" xfId="18261"/>
    <cellStyle name="Normal 104 2 4 4" xfId="6317"/>
    <cellStyle name="Normal 104 2 4 4 2" xfId="19967"/>
    <cellStyle name="Normal 104 2 4 5" xfId="9519"/>
    <cellStyle name="Normal 104 2 4 5 2" xfId="23161"/>
    <cellStyle name="Normal 104 2 4 6" xfId="12833"/>
    <cellStyle name="Normal 104 2 4 6 2" xfId="26461"/>
    <cellStyle name="Normal 104 2 4 7" xfId="16750"/>
    <cellStyle name="Normal 104 2 5" xfId="3220"/>
    <cellStyle name="Normal 104 2 5 2" xfId="4968"/>
    <cellStyle name="Normal 104 2 5 2 2" xfId="8232"/>
    <cellStyle name="Normal 104 2 5 2 2 2" xfId="21880"/>
    <cellStyle name="Normal 104 2 5 2 3" xfId="11299"/>
    <cellStyle name="Normal 104 2 5 2 3 2" xfId="24930"/>
    <cellStyle name="Normal 104 2 5 2 4" xfId="14595"/>
    <cellStyle name="Normal 104 2 5 2 4 2" xfId="28223"/>
    <cellStyle name="Normal 104 2 5 2 5" xfId="18626"/>
    <cellStyle name="Normal 104 2 5 3" xfId="6655"/>
    <cellStyle name="Normal 104 2 5 3 2" xfId="20305"/>
    <cellStyle name="Normal 104 2 5 4" xfId="9876"/>
    <cellStyle name="Normal 104 2 5 4 2" xfId="23507"/>
    <cellStyle name="Normal 104 2 5 5" xfId="13171"/>
    <cellStyle name="Normal 104 2 5 5 2" xfId="26799"/>
    <cellStyle name="Normal 104 2 5 6" xfId="17101"/>
    <cellStyle name="Normal 104 2 6" xfId="4022"/>
    <cellStyle name="Normal 104 2 6 2" xfId="7452"/>
    <cellStyle name="Normal 104 2 6 2 2" xfId="21100"/>
    <cellStyle name="Normal 104 2 6 3" xfId="10590"/>
    <cellStyle name="Normal 104 2 6 3 2" xfId="24221"/>
    <cellStyle name="Normal 104 2 6 4" xfId="13886"/>
    <cellStyle name="Normal 104 2 6 4 2" xfId="27514"/>
    <cellStyle name="Normal 104 2 6 5" xfId="17817"/>
    <cellStyle name="Normal 104 2 7" xfId="5510"/>
    <cellStyle name="Normal 104 2 7 2" xfId="8771"/>
    <cellStyle name="Normal 104 2 7 2 2" xfId="22414"/>
    <cellStyle name="Normal 104 2 7 3" xfId="11831"/>
    <cellStyle name="Normal 104 2 7 3 2" xfId="25462"/>
    <cellStyle name="Normal 104 2 7 4" xfId="15127"/>
    <cellStyle name="Normal 104 2 7 4 2" xfId="28755"/>
    <cellStyle name="Normal 104 2 7 5" xfId="19160"/>
    <cellStyle name="Normal 104 2 8" xfId="5858"/>
    <cellStyle name="Normal 104 2 8 2" xfId="19508"/>
    <cellStyle name="Normal 104 2 9" xfId="8962"/>
    <cellStyle name="Normal 104 2 9 2" xfId="22605"/>
    <cellStyle name="Normal 104 3" xfId="1965"/>
    <cellStyle name="Normal 104 3 2" xfId="15488"/>
    <cellStyle name="Normal 104 3 2 2" xfId="28999"/>
    <cellStyle name="Normal 104 4" xfId="2913"/>
    <cellStyle name="Normal 104 4 2" xfId="4760"/>
    <cellStyle name="Normal 104 4 2 2" xfId="8028"/>
    <cellStyle name="Normal 104 4 2 2 2" xfId="21676"/>
    <cellStyle name="Normal 104 4 2 3" xfId="11097"/>
    <cellStyle name="Normal 104 4 2 3 2" xfId="24728"/>
    <cellStyle name="Normal 104 4 2 4" xfId="14393"/>
    <cellStyle name="Normal 104 4 2 4 2" xfId="28021"/>
    <cellStyle name="Normal 104 4 2 5" xfId="18419"/>
    <cellStyle name="Normal 104 4 3" xfId="6450"/>
    <cellStyle name="Normal 104 4 3 2" xfId="20100"/>
    <cellStyle name="Normal 104 4 4" xfId="9671"/>
    <cellStyle name="Normal 104 4 4 2" xfId="23302"/>
    <cellStyle name="Normal 104 4 5" xfId="12966"/>
    <cellStyle name="Normal 104 4 5 2" xfId="26594"/>
    <cellStyle name="Normal 104 4 6" xfId="16884"/>
    <cellStyle name="Normal 104 5" xfId="3918"/>
    <cellStyle name="Normal 104 5 2" xfId="7348"/>
    <cellStyle name="Normal 104 5 2 2" xfId="20996"/>
    <cellStyle name="Normal 104 5 3" xfId="10486"/>
    <cellStyle name="Normal 104 5 3 2" xfId="24117"/>
    <cellStyle name="Normal 104 5 4" xfId="13782"/>
    <cellStyle name="Normal 104 5 4 2" xfId="27410"/>
    <cellStyle name="Normal 104 5 5" xfId="17713"/>
    <cellStyle name="Normal 104 6" xfId="5757"/>
    <cellStyle name="Normal 104 6 2" xfId="19407"/>
    <cellStyle name="Normal 104 7" xfId="12357"/>
    <cellStyle name="Normal 104 7 2" xfId="25985"/>
    <cellStyle name="Normal 104 8" xfId="16101"/>
    <cellStyle name="Normal 104 9" xfId="29636"/>
    <cellStyle name="Normal 105" xfId="1016"/>
    <cellStyle name="Normal 105 10" xfId="29637"/>
    <cellStyle name="Normal 105 2" xfId="1968"/>
    <cellStyle name="Normal 105 2 10" xfId="12115"/>
    <cellStyle name="Normal 105 2 10 2" xfId="25743"/>
    <cellStyle name="Normal 105 2 11" xfId="12459"/>
    <cellStyle name="Normal 105 2 11 2" xfId="26087"/>
    <cellStyle name="Normal 105 2 12" xfId="15489"/>
    <cellStyle name="Normal 105 2 13" xfId="16277"/>
    <cellStyle name="Normal 105 2 2" xfId="2254"/>
    <cellStyle name="Normal 105 2 2 2" xfId="3367"/>
    <cellStyle name="Normal 105 2 2 2 2" xfId="5103"/>
    <cellStyle name="Normal 105 2 2 2 2 2" xfId="8367"/>
    <cellStyle name="Normal 105 2 2 2 2 2 2" xfId="22015"/>
    <cellStyle name="Normal 105 2 2 2 2 3" xfId="11434"/>
    <cellStyle name="Normal 105 2 2 2 2 3 2" xfId="25065"/>
    <cellStyle name="Normal 105 2 2 2 2 4" xfId="14730"/>
    <cellStyle name="Normal 105 2 2 2 2 4 2" xfId="28358"/>
    <cellStyle name="Normal 105 2 2 2 2 5" xfId="18761"/>
    <cellStyle name="Normal 105 2 2 2 3" xfId="6801"/>
    <cellStyle name="Normal 105 2 2 2 3 2" xfId="20451"/>
    <cellStyle name="Normal 105 2 2 2 4" xfId="10011"/>
    <cellStyle name="Normal 105 2 2 2 4 2" xfId="23642"/>
    <cellStyle name="Normal 105 2 2 2 5" xfId="13306"/>
    <cellStyle name="Normal 105 2 2 2 5 2" xfId="26934"/>
    <cellStyle name="Normal 105 2 2 2 6" xfId="17236"/>
    <cellStyle name="Normal 105 2 2 3" xfId="4157"/>
    <cellStyle name="Normal 105 2 2 3 2" xfId="7587"/>
    <cellStyle name="Normal 105 2 2 3 2 2" xfId="21235"/>
    <cellStyle name="Normal 105 2 2 3 3" xfId="10725"/>
    <cellStyle name="Normal 105 2 2 3 3 2" xfId="24356"/>
    <cellStyle name="Normal 105 2 2 3 4" xfId="14021"/>
    <cellStyle name="Normal 105 2 2 3 4 2" xfId="27649"/>
    <cellStyle name="Normal 105 2 2 3 5" xfId="17952"/>
    <cellStyle name="Normal 105 2 2 4" xfId="5993"/>
    <cellStyle name="Normal 105 2 2 4 2" xfId="19643"/>
    <cellStyle name="Normal 105 2 2 5" xfId="9279"/>
    <cellStyle name="Normal 105 2 2 5 2" xfId="22921"/>
    <cellStyle name="Normal 105 2 2 6" xfId="12593"/>
    <cellStyle name="Normal 105 2 2 6 2" xfId="26221"/>
    <cellStyle name="Normal 105 2 2 7" xfId="16438"/>
    <cellStyle name="Normal 105 2 3" xfId="2415"/>
    <cellStyle name="Normal 105 2 3 2" xfId="3521"/>
    <cellStyle name="Normal 105 2 3 2 2" xfId="5188"/>
    <cellStyle name="Normal 105 2 3 2 2 2" xfId="8452"/>
    <cellStyle name="Normal 105 2 3 2 2 2 2" xfId="22100"/>
    <cellStyle name="Normal 105 2 3 2 2 3" xfId="11519"/>
    <cellStyle name="Normal 105 2 3 2 2 3 2" xfId="25150"/>
    <cellStyle name="Normal 105 2 3 2 2 4" xfId="14815"/>
    <cellStyle name="Normal 105 2 3 2 2 4 2" xfId="28443"/>
    <cellStyle name="Normal 105 2 3 2 2 5" xfId="18846"/>
    <cellStyle name="Normal 105 2 3 2 3" xfId="6955"/>
    <cellStyle name="Normal 105 2 3 2 3 2" xfId="20605"/>
    <cellStyle name="Normal 105 2 3 2 4" xfId="10096"/>
    <cellStyle name="Normal 105 2 3 2 4 2" xfId="23727"/>
    <cellStyle name="Normal 105 2 3 2 5" xfId="13391"/>
    <cellStyle name="Normal 105 2 3 2 5 2" xfId="27019"/>
    <cellStyle name="Normal 105 2 3 2 6" xfId="17322"/>
    <cellStyle name="Normal 105 2 3 3" xfId="4242"/>
    <cellStyle name="Normal 105 2 3 3 2" xfId="7672"/>
    <cellStyle name="Normal 105 2 3 3 2 2" xfId="21320"/>
    <cellStyle name="Normal 105 2 3 3 3" xfId="10810"/>
    <cellStyle name="Normal 105 2 3 3 3 2" xfId="24441"/>
    <cellStyle name="Normal 105 2 3 3 4" xfId="14106"/>
    <cellStyle name="Normal 105 2 3 3 4 2" xfId="27734"/>
    <cellStyle name="Normal 105 2 3 3 5" xfId="18037"/>
    <cellStyle name="Normal 105 2 3 4" xfId="6078"/>
    <cellStyle name="Normal 105 2 3 4 2" xfId="19728"/>
    <cellStyle name="Normal 105 2 3 5" xfId="9364"/>
    <cellStyle name="Normal 105 2 3 5 2" xfId="23006"/>
    <cellStyle name="Normal 105 2 3 6" xfId="12678"/>
    <cellStyle name="Normal 105 2 3 6 2" xfId="26306"/>
    <cellStyle name="Normal 105 2 3 7" xfId="16526"/>
    <cellStyle name="Normal 105 2 4" xfId="2724"/>
    <cellStyle name="Normal 105 2 4 2" xfId="3678"/>
    <cellStyle name="Normal 105 2 4 2 2" xfId="5345"/>
    <cellStyle name="Normal 105 2 4 2 2 2" xfId="8608"/>
    <cellStyle name="Normal 105 2 4 2 2 2 2" xfId="22256"/>
    <cellStyle name="Normal 105 2 4 2 2 3" xfId="11675"/>
    <cellStyle name="Normal 105 2 4 2 2 3 2" xfId="25306"/>
    <cellStyle name="Normal 105 2 4 2 2 4" xfId="14971"/>
    <cellStyle name="Normal 105 2 4 2 2 4 2" xfId="28599"/>
    <cellStyle name="Normal 105 2 4 2 2 5" xfId="19003"/>
    <cellStyle name="Normal 105 2 4 2 3" xfId="7112"/>
    <cellStyle name="Normal 105 2 4 2 3 2" xfId="20762"/>
    <cellStyle name="Normal 105 2 4 2 4" xfId="10253"/>
    <cellStyle name="Normal 105 2 4 2 4 2" xfId="23884"/>
    <cellStyle name="Normal 105 2 4 2 5" xfId="13548"/>
    <cellStyle name="Normal 105 2 4 2 5 2" xfId="27176"/>
    <cellStyle name="Normal 105 2 4 2 6" xfId="17479"/>
    <cellStyle name="Normal 105 2 4 3" xfId="4467"/>
    <cellStyle name="Normal 105 2 4 3 2" xfId="7897"/>
    <cellStyle name="Normal 105 2 4 3 2 2" xfId="21545"/>
    <cellStyle name="Normal 105 2 4 3 3" xfId="10966"/>
    <cellStyle name="Normal 105 2 4 3 3 2" xfId="24597"/>
    <cellStyle name="Normal 105 2 4 3 4" xfId="14262"/>
    <cellStyle name="Normal 105 2 4 3 4 2" xfId="27890"/>
    <cellStyle name="Normal 105 2 4 3 5" xfId="18262"/>
    <cellStyle name="Normal 105 2 4 4" xfId="6318"/>
    <cellStyle name="Normal 105 2 4 4 2" xfId="19968"/>
    <cellStyle name="Normal 105 2 4 5" xfId="9520"/>
    <cellStyle name="Normal 105 2 4 5 2" xfId="23162"/>
    <cellStyle name="Normal 105 2 4 6" xfId="12834"/>
    <cellStyle name="Normal 105 2 4 6 2" xfId="26462"/>
    <cellStyle name="Normal 105 2 4 7" xfId="16751"/>
    <cellStyle name="Normal 105 2 5" xfId="3221"/>
    <cellStyle name="Normal 105 2 5 2" xfId="4969"/>
    <cellStyle name="Normal 105 2 5 2 2" xfId="8233"/>
    <cellStyle name="Normal 105 2 5 2 2 2" xfId="21881"/>
    <cellStyle name="Normal 105 2 5 2 3" xfId="11300"/>
    <cellStyle name="Normal 105 2 5 2 3 2" xfId="24931"/>
    <cellStyle name="Normal 105 2 5 2 4" xfId="14596"/>
    <cellStyle name="Normal 105 2 5 2 4 2" xfId="28224"/>
    <cellStyle name="Normal 105 2 5 2 5" xfId="18627"/>
    <cellStyle name="Normal 105 2 5 3" xfId="6656"/>
    <cellStyle name="Normal 105 2 5 3 2" xfId="20306"/>
    <cellStyle name="Normal 105 2 5 4" xfId="9877"/>
    <cellStyle name="Normal 105 2 5 4 2" xfId="23508"/>
    <cellStyle name="Normal 105 2 5 5" xfId="13172"/>
    <cellStyle name="Normal 105 2 5 5 2" xfId="26800"/>
    <cellStyle name="Normal 105 2 5 6" xfId="17102"/>
    <cellStyle name="Normal 105 2 6" xfId="4023"/>
    <cellStyle name="Normal 105 2 6 2" xfId="7453"/>
    <cellStyle name="Normal 105 2 6 2 2" xfId="21101"/>
    <cellStyle name="Normal 105 2 6 3" xfId="10591"/>
    <cellStyle name="Normal 105 2 6 3 2" xfId="24222"/>
    <cellStyle name="Normal 105 2 6 4" xfId="13887"/>
    <cellStyle name="Normal 105 2 6 4 2" xfId="27515"/>
    <cellStyle name="Normal 105 2 6 5" xfId="17818"/>
    <cellStyle name="Normal 105 2 7" xfId="5511"/>
    <cellStyle name="Normal 105 2 7 2" xfId="8772"/>
    <cellStyle name="Normal 105 2 7 2 2" xfId="22415"/>
    <cellStyle name="Normal 105 2 7 3" xfId="11832"/>
    <cellStyle name="Normal 105 2 7 3 2" xfId="25463"/>
    <cellStyle name="Normal 105 2 7 4" xfId="15128"/>
    <cellStyle name="Normal 105 2 7 4 2" xfId="28756"/>
    <cellStyle name="Normal 105 2 7 5" xfId="19161"/>
    <cellStyle name="Normal 105 2 8" xfId="5859"/>
    <cellStyle name="Normal 105 2 8 2" xfId="19509"/>
    <cellStyle name="Normal 105 2 9" xfId="8963"/>
    <cellStyle name="Normal 105 2 9 2" xfId="22606"/>
    <cellStyle name="Normal 105 3" xfId="1967"/>
    <cellStyle name="Normal 105 3 2" xfId="15490"/>
    <cellStyle name="Normal 105 3 2 2" xfId="29000"/>
    <cellStyle name="Normal 105 4" xfId="2914"/>
    <cellStyle name="Normal 105 4 2" xfId="4761"/>
    <cellStyle name="Normal 105 4 2 2" xfId="8029"/>
    <cellStyle name="Normal 105 4 2 2 2" xfId="21677"/>
    <cellStyle name="Normal 105 4 2 3" xfId="11098"/>
    <cellStyle name="Normal 105 4 2 3 2" xfId="24729"/>
    <cellStyle name="Normal 105 4 2 4" xfId="14394"/>
    <cellStyle name="Normal 105 4 2 4 2" xfId="28022"/>
    <cellStyle name="Normal 105 4 2 5" xfId="18420"/>
    <cellStyle name="Normal 105 4 3" xfId="6451"/>
    <cellStyle name="Normal 105 4 3 2" xfId="20101"/>
    <cellStyle name="Normal 105 4 4" xfId="9672"/>
    <cellStyle name="Normal 105 4 4 2" xfId="23303"/>
    <cellStyle name="Normal 105 4 5" xfId="12967"/>
    <cellStyle name="Normal 105 4 5 2" xfId="26595"/>
    <cellStyle name="Normal 105 4 6" xfId="16885"/>
    <cellStyle name="Normal 105 5" xfId="3919"/>
    <cellStyle name="Normal 105 5 2" xfId="7349"/>
    <cellStyle name="Normal 105 5 2 2" xfId="20997"/>
    <cellStyle name="Normal 105 5 3" xfId="10487"/>
    <cellStyle name="Normal 105 5 3 2" xfId="24118"/>
    <cellStyle name="Normal 105 5 4" xfId="13783"/>
    <cellStyle name="Normal 105 5 4 2" xfId="27411"/>
    <cellStyle name="Normal 105 5 5" xfId="17714"/>
    <cellStyle name="Normal 105 6" xfId="5758"/>
    <cellStyle name="Normal 105 6 2" xfId="19408"/>
    <cellStyle name="Normal 105 7" xfId="12358"/>
    <cellStyle name="Normal 105 7 2" xfId="25986"/>
    <cellStyle name="Normal 105 8" xfId="15298"/>
    <cellStyle name="Normal 105 9" xfId="16102"/>
    <cellStyle name="Normal 106" xfId="1017"/>
    <cellStyle name="Normal 106 10" xfId="16103"/>
    <cellStyle name="Normal 106 11" xfId="29638"/>
    <cellStyle name="Normal 106 2" xfId="1970"/>
    <cellStyle name="Normal 106 2 10" xfId="12116"/>
    <cellStyle name="Normal 106 2 10 2" xfId="25744"/>
    <cellStyle name="Normal 106 2 11" xfId="12460"/>
    <cellStyle name="Normal 106 2 11 2" xfId="26088"/>
    <cellStyle name="Normal 106 2 12" xfId="15491"/>
    <cellStyle name="Normal 106 2 13" xfId="16278"/>
    <cellStyle name="Normal 106 2 2" xfId="2255"/>
    <cellStyle name="Normal 106 2 2 2" xfId="3368"/>
    <cellStyle name="Normal 106 2 2 2 2" xfId="5104"/>
    <cellStyle name="Normal 106 2 2 2 2 2" xfId="8368"/>
    <cellStyle name="Normal 106 2 2 2 2 2 2" xfId="22016"/>
    <cellStyle name="Normal 106 2 2 2 2 3" xfId="11435"/>
    <cellStyle name="Normal 106 2 2 2 2 3 2" xfId="25066"/>
    <cellStyle name="Normal 106 2 2 2 2 4" xfId="14731"/>
    <cellStyle name="Normal 106 2 2 2 2 4 2" xfId="28359"/>
    <cellStyle name="Normal 106 2 2 2 2 5" xfId="18762"/>
    <cellStyle name="Normal 106 2 2 2 3" xfId="6802"/>
    <cellStyle name="Normal 106 2 2 2 3 2" xfId="20452"/>
    <cellStyle name="Normal 106 2 2 2 4" xfId="10012"/>
    <cellStyle name="Normal 106 2 2 2 4 2" xfId="23643"/>
    <cellStyle name="Normal 106 2 2 2 5" xfId="13307"/>
    <cellStyle name="Normal 106 2 2 2 5 2" xfId="26935"/>
    <cellStyle name="Normal 106 2 2 2 6" xfId="17237"/>
    <cellStyle name="Normal 106 2 2 3" xfId="4158"/>
    <cellStyle name="Normal 106 2 2 3 2" xfId="7588"/>
    <cellStyle name="Normal 106 2 2 3 2 2" xfId="21236"/>
    <cellStyle name="Normal 106 2 2 3 3" xfId="10726"/>
    <cellStyle name="Normal 106 2 2 3 3 2" xfId="24357"/>
    <cellStyle name="Normal 106 2 2 3 4" xfId="14022"/>
    <cellStyle name="Normal 106 2 2 3 4 2" xfId="27650"/>
    <cellStyle name="Normal 106 2 2 3 5" xfId="17953"/>
    <cellStyle name="Normal 106 2 2 4" xfId="5994"/>
    <cellStyle name="Normal 106 2 2 4 2" xfId="19644"/>
    <cellStyle name="Normal 106 2 2 5" xfId="9280"/>
    <cellStyle name="Normal 106 2 2 5 2" xfId="22922"/>
    <cellStyle name="Normal 106 2 2 6" xfId="12594"/>
    <cellStyle name="Normal 106 2 2 6 2" xfId="26222"/>
    <cellStyle name="Normal 106 2 2 7" xfId="16439"/>
    <cellStyle name="Normal 106 2 3" xfId="2416"/>
    <cellStyle name="Normal 106 2 3 2" xfId="3522"/>
    <cellStyle name="Normal 106 2 3 2 2" xfId="5189"/>
    <cellStyle name="Normal 106 2 3 2 2 2" xfId="8453"/>
    <cellStyle name="Normal 106 2 3 2 2 2 2" xfId="22101"/>
    <cellStyle name="Normal 106 2 3 2 2 3" xfId="11520"/>
    <cellStyle name="Normal 106 2 3 2 2 3 2" xfId="25151"/>
    <cellStyle name="Normal 106 2 3 2 2 4" xfId="14816"/>
    <cellStyle name="Normal 106 2 3 2 2 4 2" xfId="28444"/>
    <cellStyle name="Normal 106 2 3 2 2 5" xfId="18847"/>
    <cellStyle name="Normal 106 2 3 2 3" xfId="6956"/>
    <cellStyle name="Normal 106 2 3 2 3 2" xfId="20606"/>
    <cellStyle name="Normal 106 2 3 2 4" xfId="10097"/>
    <cellStyle name="Normal 106 2 3 2 4 2" xfId="23728"/>
    <cellStyle name="Normal 106 2 3 2 5" xfId="13392"/>
    <cellStyle name="Normal 106 2 3 2 5 2" xfId="27020"/>
    <cellStyle name="Normal 106 2 3 2 6" xfId="17323"/>
    <cellStyle name="Normal 106 2 3 3" xfId="4243"/>
    <cellStyle name="Normal 106 2 3 3 2" xfId="7673"/>
    <cellStyle name="Normal 106 2 3 3 2 2" xfId="21321"/>
    <cellStyle name="Normal 106 2 3 3 3" xfId="10811"/>
    <cellStyle name="Normal 106 2 3 3 3 2" xfId="24442"/>
    <cellStyle name="Normal 106 2 3 3 4" xfId="14107"/>
    <cellStyle name="Normal 106 2 3 3 4 2" xfId="27735"/>
    <cellStyle name="Normal 106 2 3 3 5" xfId="18038"/>
    <cellStyle name="Normal 106 2 3 4" xfId="6079"/>
    <cellStyle name="Normal 106 2 3 4 2" xfId="19729"/>
    <cellStyle name="Normal 106 2 3 5" xfId="9365"/>
    <cellStyle name="Normal 106 2 3 5 2" xfId="23007"/>
    <cellStyle name="Normal 106 2 3 6" xfId="12679"/>
    <cellStyle name="Normal 106 2 3 6 2" xfId="26307"/>
    <cellStyle name="Normal 106 2 3 7" xfId="16527"/>
    <cellStyle name="Normal 106 2 4" xfId="2725"/>
    <cellStyle name="Normal 106 2 4 2" xfId="3679"/>
    <cellStyle name="Normal 106 2 4 2 2" xfId="5346"/>
    <cellStyle name="Normal 106 2 4 2 2 2" xfId="8609"/>
    <cellStyle name="Normal 106 2 4 2 2 2 2" xfId="22257"/>
    <cellStyle name="Normal 106 2 4 2 2 3" xfId="11676"/>
    <cellStyle name="Normal 106 2 4 2 2 3 2" xfId="25307"/>
    <cellStyle name="Normal 106 2 4 2 2 4" xfId="14972"/>
    <cellStyle name="Normal 106 2 4 2 2 4 2" xfId="28600"/>
    <cellStyle name="Normal 106 2 4 2 2 5" xfId="19004"/>
    <cellStyle name="Normal 106 2 4 2 3" xfId="7113"/>
    <cellStyle name="Normal 106 2 4 2 3 2" xfId="20763"/>
    <cellStyle name="Normal 106 2 4 2 4" xfId="10254"/>
    <cellStyle name="Normal 106 2 4 2 4 2" xfId="23885"/>
    <cellStyle name="Normal 106 2 4 2 5" xfId="13549"/>
    <cellStyle name="Normal 106 2 4 2 5 2" xfId="27177"/>
    <cellStyle name="Normal 106 2 4 2 6" xfId="17480"/>
    <cellStyle name="Normal 106 2 4 3" xfId="4468"/>
    <cellStyle name="Normal 106 2 4 3 2" xfId="7898"/>
    <cellStyle name="Normal 106 2 4 3 2 2" xfId="21546"/>
    <cellStyle name="Normal 106 2 4 3 3" xfId="10967"/>
    <cellStyle name="Normal 106 2 4 3 3 2" xfId="24598"/>
    <cellStyle name="Normal 106 2 4 3 4" xfId="14263"/>
    <cellStyle name="Normal 106 2 4 3 4 2" xfId="27891"/>
    <cellStyle name="Normal 106 2 4 3 5" xfId="18263"/>
    <cellStyle name="Normal 106 2 4 4" xfId="6319"/>
    <cellStyle name="Normal 106 2 4 4 2" xfId="19969"/>
    <cellStyle name="Normal 106 2 4 5" xfId="9521"/>
    <cellStyle name="Normal 106 2 4 5 2" xfId="23163"/>
    <cellStyle name="Normal 106 2 4 6" xfId="12835"/>
    <cellStyle name="Normal 106 2 4 6 2" xfId="26463"/>
    <cellStyle name="Normal 106 2 4 7" xfId="16752"/>
    <cellStyle name="Normal 106 2 5" xfId="3222"/>
    <cellStyle name="Normal 106 2 5 2" xfId="4970"/>
    <cellStyle name="Normal 106 2 5 2 2" xfId="8234"/>
    <cellStyle name="Normal 106 2 5 2 2 2" xfId="21882"/>
    <cellStyle name="Normal 106 2 5 2 3" xfId="11301"/>
    <cellStyle name="Normal 106 2 5 2 3 2" xfId="24932"/>
    <cellStyle name="Normal 106 2 5 2 4" xfId="14597"/>
    <cellStyle name="Normal 106 2 5 2 4 2" xfId="28225"/>
    <cellStyle name="Normal 106 2 5 2 5" xfId="18628"/>
    <cellStyle name="Normal 106 2 5 3" xfId="6657"/>
    <cellStyle name="Normal 106 2 5 3 2" xfId="20307"/>
    <cellStyle name="Normal 106 2 5 4" xfId="9878"/>
    <cellStyle name="Normal 106 2 5 4 2" xfId="23509"/>
    <cellStyle name="Normal 106 2 5 5" xfId="13173"/>
    <cellStyle name="Normal 106 2 5 5 2" xfId="26801"/>
    <cellStyle name="Normal 106 2 5 6" xfId="17103"/>
    <cellStyle name="Normal 106 2 6" xfId="4024"/>
    <cellStyle name="Normal 106 2 6 2" xfId="7454"/>
    <cellStyle name="Normal 106 2 6 2 2" xfId="21102"/>
    <cellStyle name="Normal 106 2 6 3" xfId="10592"/>
    <cellStyle name="Normal 106 2 6 3 2" xfId="24223"/>
    <cellStyle name="Normal 106 2 6 4" xfId="13888"/>
    <cellStyle name="Normal 106 2 6 4 2" xfId="27516"/>
    <cellStyle name="Normal 106 2 6 5" xfId="17819"/>
    <cellStyle name="Normal 106 2 7" xfId="5512"/>
    <cellStyle name="Normal 106 2 7 2" xfId="8773"/>
    <cellStyle name="Normal 106 2 7 2 2" xfId="22416"/>
    <cellStyle name="Normal 106 2 7 3" xfId="11833"/>
    <cellStyle name="Normal 106 2 7 3 2" xfId="25464"/>
    <cellStyle name="Normal 106 2 7 4" xfId="15129"/>
    <cellStyle name="Normal 106 2 7 4 2" xfId="28757"/>
    <cellStyle name="Normal 106 2 7 5" xfId="19162"/>
    <cellStyle name="Normal 106 2 8" xfId="5860"/>
    <cellStyle name="Normal 106 2 8 2" xfId="19510"/>
    <cellStyle name="Normal 106 2 9" xfId="8964"/>
    <cellStyle name="Normal 106 2 9 2" xfId="22607"/>
    <cellStyle name="Normal 106 3" xfId="1971"/>
    <cellStyle name="Normal 106 3 2" xfId="15492"/>
    <cellStyle name="Normal 106 3 2 2" xfId="29001"/>
    <cellStyle name="Normal 106 4" xfId="1969"/>
    <cellStyle name="Normal 106 5" xfId="2915"/>
    <cellStyle name="Normal 106 5 2" xfId="4762"/>
    <cellStyle name="Normal 106 5 2 2" xfId="8030"/>
    <cellStyle name="Normal 106 5 2 2 2" xfId="21678"/>
    <cellStyle name="Normal 106 5 2 3" xfId="11099"/>
    <cellStyle name="Normal 106 5 2 3 2" xfId="24730"/>
    <cellStyle name="Normal 106 5 2 4" xfId="14395"/>
    <cellStyle name="Normal 106 5 2 4 2" xfId="28023"/>
    <cellStyle name="Normal 106 5 2 5" xfId="18421"/>
    <cellStyle name="Normal 106 5 3" xfId="6452"/>
    <cellStyle name="Normal 106 5 3 2" xfId="20102"/>
    <cellStyle name="Normal 106 5 4" xfId="9673"/>
    <cellStyle name="Normal 106 5 4 2" xfId="23304"/>
    <cellStyle name="Normal 106 5 5" xfId="12968"/>
    <cellStyle name="Normal 106 5 5 2" xfId="26596"/>
    <cellStyle name="Normal 106 5 6" xfId="16886"/>
    <cellStyle name="Normal 106 6" xfId="3920"/>
    <cellStyle name="Normal 106 6 2" xfId="7350"/>
    <cellStyle name="Normal 106 6 2 2" xfId="20998"/>
    <cellStyle name="Normal 106 6 3" xfId="10488"/>
    <cellStyle name="Normal 106 6 3 2" xfId="24119"/>
    <cellStyle name="Normal 106 6 4" xfId="13784"/>
    <cellStyle name="Normal 106 6 4 2" xfId="27412"/>
    <cellStyle name="Normal 106 6 5" xfId="17715"/>
    <cellStyle name="Normal 106 7" xfId="5759"/>
    <cellStyle name="Normal 106 7 2" xfId="19409"/>
    <cellStyle name="Normal 106 8" xfId="12359"/>
    <cellStyle name="Normal 106 8 2" xfId="25987"/>
    <cellStyle name="Normal 106 9" xfId="15299"/>
    <cellStyle name="Normal 107" xfId="1018"/>
    <cellStyle name="Normal 107 10" xfId="15493"/>
    <cellStyle name="Normal 107 10 2" xfId="29002"/>
    <cellStyle name="Normal 107 11" xfId="16104"/>
    <cellStyle name="Normal 107 12" xfId="29639"/>
    <cellStyle name="Normal 107 2" xfId="1973"/>
    <cellStyle name="Normal 107 2 10" xfId="12117"/>
    <cellStyle name="Normal 107 2 10 2" xfId="25745"/>
    <cellStyle name="Normal 107 2 11" xfId="12461"/>
    <cellStyle name="Normal 107 2 11 2" xfId="26089"/>
    <cellStyle name="Normal 107 2 12" xfId="16279"/>
    <cellStyle name="Normal 107 2 2" xfId="2256"/>
    <cellStyle name="Normal 107 2 2 2" xfId="3369"/>
    <cellStyle name="Normal 107 2 2 2 2" xfId="5105"/>
    <cellStyle name="Normal 107 2 2 2 2 2" xfId="8369"/>
    <cellStyle name="Normal 107 2 2 2 2 2 2" xfId="22017"/>
    <cellStyle name="Normal 107 2 2 2 2 3" xfId="11436"/>
    <cellStyle name="Normal 107 2 2 2 2 3 2" xfId="25067"/>
    <cellStyle name="Normal 107 2 2 2 2 4" xfId="14732"/>
    <cellStyle name="Normal 107 2 2 2 2 4 2" xfId="28360"/>
    <cellStyle name="Normal 107 2 2 2 2 5" xfId="18763"/>
    <cellStyle name="Normal 107 2 2 2 3" xfId="6803"/>
    <cellStyle name="Normal 107 2 2 2 3 2" xfId="20453"/>
    <cellStyle name="Normal 107 2 2 2 4" xfId="10013"/>
    <cellStyle name="Normal 107 2 2 2 4 2" xfId="23644"/>
    <cellStyle name="Normal 107 2 2 2 5" xfId="13308"/>
    <cellStyle name="Normal 107 2 2 2 5 2" xfId="26936"/>
    <cellStyle name="Normal 107 2 2 2 6" xfId="17238"/>
    <cellStyle name="Normal 107 2 2 3" xfId="4159"/>
    <cellStyle name="Normal 107 2 2 3 2" xfId="7589"/>
    <cellStyle name="Normal 107 2 2 3 2 2" xfId="21237"/>
    <cellStyle name="Normal 107 2 2 3 3" xfId="10727"/>
    <cellStyle name="Normal 107 2 2 3 3 2" xfId="24358"/>
    <cellStyle name="Normal 107 2 2 3 4" xfId="14023"/>
    <cellStyle name="Normal 107 2 2 3 4 2" xfId="27651"/>
    <cellStyle name="Normal 107 2 2 3 5" xfId="17954"/>
    <cellStyle name="Normal 107 2 2 4" xfId="5995"/>
    <cellStyle name="Normal 107 2 2 4 2" xfId="19645"/>
    <cellStyle name="Normal 107 2 2 5" xfId="9281"/>
    <cellStyle name="Normal 107 2 2 5 2" xfId="22923"/>
    <cellStyle name="Normal 107 2 2 6" xfId="12595"/>
    <cellStyle name="Normal 107 2 2 6 2" xfId="26223"/>
    <cellStyle name="Normal 107 2 2 7" xfId="16440"/>
    <cellStyle name="Normal 107 2 3" xfId="2417"/>
    <cellStyle name="Normal 107 2 3 2" xfId="3523"/>
    <cellStyle name="Normal 107 2 3 2 2" xfId="5190"/>
    <cellStyle name="Normal 107 2 3 2 2 2" xfId="8454"/>
    <cellStyle name="Normal 107 2 3 2 2 2 2" xfId="22102"/>
    <cellStyle name="Normal 107 2 3 2 2 3" xfId="11521"/>
    <cellStyle name="Normal 107 2 3 2 2 3 2" xfId="25152"/>
    <cellStyle name="Normal 107 2 3 2 2 4" xfId="14817"/>
    <cellStyle name="Normal 107 2 3 2 2 4 2" xfId="28445"/>
    <cellStyle name="Normal 107 2 3 2 2 5" xfId="18848"/>
    <cellStyle name="Normal 107 2 3 2 3" xfId="6957"/>
    <cellStyle name="Normal 107 2 3 2 3 2" xfId="20607"/>
    <cellStyle name="Normal 107 2 3 2 4" xfId="10098"/>
    <cellStyle name="Normal 107 2 3 2 4 2" xfId="23729"/>
    <cellStyle name="Normal 107 2 3 2 5" xfId="13393"/>
    <cellStyle name="Normal 107 2 3 2 5 2" xfId="27021"/>
    <cellStyle name="Normal 107 2 3 2 6" xfId="17324"/>
    <cellStyle name="Normal 107 2 3 3" xfId="4244"/>
    <cellStyle name="Normal 107 2 3 3 2" xfId="7674"/>
    <cellStyle name="Normal 107 2 3 3 2 2" xfId="21322"/>
    <cellStyle name="Normal 107 2 3 3 3" xfId="10812"/>
    <cellStyle name="Normal 107 2 3 3 3 2" xfId="24443"/>
    <cellStyle name="Normal 107 2 3 3 4" xfId="14108"/>
    <cellStyle name="Normal 107 2 3 3 4 2" xfId="27736"/>
    <cellStyle name="Normal 107 2 3 3 5" xfId="18039"/>
    <cellStyle name="Normal 107 2 3 4" xfId="6080"/>
    <cellStyle name="Normal 107 2 3 4 2" xfId="19730"/>
    <cellStyle name="Normal 107 2 3 5" xfId="9366"/>
    <cellStyle name="Normal 107 2 3 5 2" xfId="23008"/>
    <cellStyle name="Normal 107 2 3 6" xfId="12680"/>
    <cellStyle name="Normal 107 2 3 6 2" xfId="26308"/>
    <cellStyle name="Normal 107 2 3 7" xfId="16528"/>
    <cellStyle name="Normal 107 2 4" xfId="2726"/>
    <cellStyle name="Normal 107 2 4 2" xfId="3680"/>
    <cellStyle name="Normal 107 2 4 2 2" xfId="5347"/>
    <cellStyle name="Normal 107 2 4 2 2 2" xfId="8610"/>
    <cellStyle name="Normal 107 2 4 2 2 2 2" xfId="22258"/>
    <cellStyle name="Normal 107 2 4 2 2 3" xfId="11677"/>
    <cellStyle name="Normal 107 2 4 2 2 3 2" xfId="25308"/>
    <cellStyle name="Normal 107 2 4 2 2 4" xfId="14973"/>
    <cellStyle name="Normal 107 2 4 2 2 4 2" xfId="28601"/>
    <cellStyle name="Normal 107 2 4 2 2 5" xfId="19005"/>
    <cellStyle name="Normal 107 2 4 2 3" xfId="7114"/>
    <cellStyle name="Normal 107 2 4 2 3 2" xfId="20764"/>
    <cellStyle name="Normal 107 2 4 2 4" xfId="10255"/>
    <cellStyle name="Normal 107 2 4 2 4 2" xfId="23886"/>
    <cellStyle name="Normal 107 2 4 2 5" xfId="13550"/>
    <cellStyle name="Normal 107 2 4 2 5 2" xfId="27178"/>
    <cellStyle name="Normal 107 2 4 2 6" xfId="17481"/>
    <cellStyle name="Normal 107 2 4 3" xfId="4469"/>
    <cellStyle name="Normal 107 2 4 3 2" xfId="7899"/>
    <cellStyle name="Normal 107 2 4 3 2 2" xfId="21547"/>
    <cellStyle name="Normal 107 2 4 3 3" xfId="10968"/>
    <cellStyle name="Normal 107 2 4 3 3 2" xfId="24599"/>
    <cellStyle name="Normal 107 2 4 3 4" xfId="14264"/>
    <cellStyle name="Normal 107 2 4 3 4 2" xfId="27892"/>
    <cellStyle name="Normal 107 2 4 3 5" xfId="18264"/>
    <cellStyle name="Normal 107 2 4 4" xfId="6320"/>
    <cellStyle name="Normal 107 2 4 4 2" xfId="19970"/>
    <cellStyle name="Normal 107 2 4 5" xfId="9522"/>
    <cellStyle name="Normal 107 2 4 5 2" xfId="23164"/>
    <cellStyle name="Normal 107 2 4 6" xfId="12836"/>
    <cellStyle name="Normal 107 2 4 6 2" xfId="26464"/>
    <cellStyle name="Normal 107 2 4 7" xfId="16753"/>
    <cellStyle name="Normal 107 2 5" xfId="3223"/>
    <cellStyle name="Normal 107 2 5 2" xfId="4971"/>
    <cellStyle name="Normal 107 2 5 2 2" xfId="8235"/>
    <cellStyle name="Normal 107 2 5 2 2 2" xfId="21883"/>
    <cellStyle name="Normal 107 2 5 2 3" xfId="11302"/>
    <cellStyle name="Normal 107 2 5 2 3 2" xfId="24933"/>
    <cellStyle name="Normal 107 2 5 2 4" xfId="14598"/>
    <cellStyle name="Normal 107 2 5 2 4 2" xfId="28226"/>
    <cellStyle name="Normal 107 2 5 2 5" xfId="18629"/>
    <cellStyle name="Normal 107 2 5 3" xfId="6658"/>
    <cellStyle name="Normal 107 2 5 3 2" xfId="20308"/>
    <cellStyle name="Normal 107 2 5 4" xfId="9879"/>
    <cellStyle name="Normal 107 2 5 4 2" xfId="23510"/>
    <cellStyle name="Normal 107 2 5 5" xfId="13174"/>
    <cellStyle name="Normal 107 2 5 5 2" xfId="26802"/>
    <cellStyle name="Normal 107 2 5 6" xfId="17104"/>
    <cellStyle name="Normal 107 2 6" xfId="4025"/>
    <cellStyle name="Normal 107 2 6 2" xfId="7455"/>
    <cellStyle name="Normal 107 2 6 2 2" xfId="21103"/>
    <cellStyle name="Normal 107 2 6 3" xfId="10593"/>
    <cellStyle name="Normal 107 2 6 3 2" xfId="24224"/>
    <cellStyle name="Normal 107 2 6 4" xfId="13889"/>
    <cellStyle name="Normal 107 2 6 4 2" xfId="27517"/>
    <cellStyle name="Normal 107 2 6 5" xfId="17820"/>
    <cellStyle name="Normal 107 2 7" xfId="5513"/>
    <cellStyle name="Normal 107 2 7 2" xfId="8774"/>
    <cellStyle name="Normal 107 2 7 2 2" xfId="22417"/>
    <cellStyle name="Normal 107 2 7 3" xfId="11834"/>
    <cellStyle name="Normal 107 2 7 3 2" xfId="25465"/>
    <cellStyle name="Normal 107 2 7 4" xfId="15130"/>
    <cellStyle name="Normal 107 2 7 4 2" xfId="28758"/>
    <cellStyle name="Normal 107 2 7 5" xfId="19163"/>
    <cellStyle name="Normal 107 2 8" xfId="5861"/>
    <cellStyle name="Normal 107 2 8 2" xfId="19511"/>
    <cellStyle name="Normal 107 2 9" xfId="8965"/>
    <cellStyle name="Normal 107 2 9 2" xfId="22608"/>
    <cellStyle name="Normal 107 3" xfId="1974"/>
    <cellStyle name="Normal 107 4" xfId="1972"/>
    <cellStyle name="Normal 107 5" xfId="2916"/>
    <cellStyle name="Normal 107 5 2" xfId="4763"/>
    <cellStyle name="Normal 107 5 2 2" xfId="8031"/>
    <cellStyle name="Normal 107 5 2 2 2" xfId="21679"/>
    <cellStyle name="Normal 107 5 2 3" xfId="11100"/>
    <cellStyle name="Normal 107 5 2 3 2" xfId="24731"/>
    <cellStyle name="Normal 107 5 2 4" xfId="14396"/>
    <cellStyle name="Normal 107 5 2 4 2" xfId="28024"/>
    <cellStyle name="Normal 107 5 2 5" xfId="18422"/>
    <cellStyle name="Normal 107 5 3" xfId="6453"/>
    <cellStyle name="Normal 107 5 3 2" xfId="20103"/>
    <cellStyle name="Normal 107 5 4" xfId="9674"/>
    <cellStyle name="Normal 107 5 4 2" xfId="23305"/>
    <cellStyle name="Normal 107 5 5" xfId="12969"/>
    <cellStyle name="Normal 107 5 5 2" xfId="26597"/>
    <cellStyle name="Normal 107 5 6" xfId="16887"/>
    <cellStyle name="Normal 107 6" xfId="3921"/>
    <cellStyle name="Normal 107 6 2" xfId="7351"/>
    <cellStyle name="Normal 107 6 2 2" xfId="20999"/>
    <cellStyle name="Normal 107 6 3" xfId="10489"/>
    <cellStyle name="Normal 107 6 3 2" xfId="24120"/>
    <cellStyle name="Normal 107 6 4" xfId="13785"/>
    <cellStyle name="Normal 107 6 4 2" xfId="27413"/>
    <cellStyle name="Normal 107 6 5" xfId="17716"/>
    <cellStyle name="Normal 107 7" xfId="5760"/>
    <cellStyle name="Normal 107 7 2" xfId="19410"/>
    <cellStyle name="Normal 107 8" xfId="12360"/>
    <cellStyle name="Normal 107 8 2" xfId="25988"/>
    <cellStyle name="Normal 107 9" xfId="15300"/>
    <cellStyle name="Normal 107 9 2" xfId="28901"/>
    <cellStyle name="Normal 108" xfId="1019"/>
    <cellStyle name="Normal 108 10" xfId="15494"/>
    <cellStyle name="Normal 108 10 2" xfId="29003"/>
    <cellStyle name="Normal 108 11" xfId="16105"/>
    <cellStyle name="Normal 108 12" xfId="29640"/>
    <cellStyle name="Normal 108 2" xfId="1976"/>
    <cellStyle name="Normal 108 2 10" xfId="12118"/>
    <cellStyle name="Normal 108 2 10 2" xfId="25746"/>
    <cellStyle name="Normal 108 2 11" xfId="12462"/>
    <cellStyle name="Normal 108 2 11 2" xfId="26090"/>
    <cellStyle name="Normal 108 2 12" xfId="16280"/>
    <cellStyle name="Normal 108 2 2" xfId="2257"/>
    <cellStyle name="Normal 108 2 2 2" xfId="3370"/>
    <cellStyle name="Normal 108 2 2 2 2" xfId="5106"/>
    <cellStyle name="Normal 108 2 2 2 2 2" xfId="8370"/>
    <cellStyle name="Normal 108 2 2 2 2 2 2" xfId="22018"/>
    <cellStyle name="Normal 108 2 2 2 2 3" xfId="11437"/>
    <cellStyle name="Normal 108 2 2 2 2 3 2" xfId="25068"/>
    <cellStyle name="Normal 108 2 2 2 2 4" xfId="14733"/>
    <cellStyle name="Normal 108 2 2 2 2 4 2" xfId="28361"/>
    <cellStyle name="Normal 108 2 2 2 2 5" xfId="18764"/>
    <cellStyle name="Normal 108 2 2 2 3" xfId="6804"/>
    <cellStyle name="Normal 108 2 2 2 3 2" xfId="20454"/>
    <cellStyle name="Normal 108 2 2 2 4" xfId="10014"/>
    <cellStyle name="Normal 108 2 2 2 4 2" xfId="23645"/>
    <cellStyle name="Normal 108 2 2 2 5" xfId="13309"/>
    <cellStyle name="Normal 108 2 2 2 5 2" xfId="26937"/>
    <cellStyle name="Normal 108 2 2 2 6" xfId="17239"/>
    <cellStyle name="Normal 108 2 2 3" xfId="4160"/>
    <cellStyle name="Normal 108 2 2 3 2" xfId="7590"/>
    <cellStyle name="Normal 108 2 2 3 2 2" xfId="21238"/>
    <cellStyle name="Normal 108 2 2 3 3" xfId="10728"/>
    <cellStyle name="Normal 108 2 2 3 3 2" xfId="24359"/>
    <cellStyle name="Normal 108 2 2 3 4" xfId="14024"/>
    <cellStyle name="Normal 108 2 2 3 4 2" xfId="27652"/>
    <cellStyle name="Normal 108 2 2 3 5" xfId="17955"/>
    <cellStyle name="Normal 108 2 2 4" xfId="5996"/>
    <cellStyle name="Normal 108 2 2 4 2" xfId="19646"/>
    <cellStyle name="Normal 108 2 2 5" xfId="9282"/>
    <cellStyle name="Normal 108 2 2 5 2" xfId="22924"/>
    <cellStyle name="Normal 108 2 2 6" xfId="12596"/>
    <cellStyle name="Normal 108 2 2 6 2" xfId="26224"/>
    <cellStyle name="Normal 108 2 2 7" xfId="16441"/>
    <cellStyle name="Normal 108 2 3" xfId="2418"/>
    <cellStyle name="Normal 108 2 3 2" xfId="3524"/>
    <cellStyle name="Normal 108 2 3 2 2" xfId="5191"/>
    <cellStyle name="Normal 108 2 3 2 2 2" xfId="8455"/>
    <cellStyle name="Normal 108 2 3 2 2 2 2" xfId="22103"/>
    <cellStyle name="Normal 108 2 3 2 2 3" xfId="11522"/>
    <cellStyle name="Normal 108 2 3 2 2 3 2" xfId="25153"/>
    <cellStyle name="Normal 108 2 3 2 2 4" xfId="14818"/>
    <cellStyle name="Normal 108 2 3 2 2 4 2" xfId="28446"/>
    <cellStyle name="Normal 108 2 3 2 2 5" xfId="18849"/>
    <cellStyle name="Normal 108 2 3 2 3" xfId="6958"/>
    <cellStyle name="Normal 108 2 3 2 3 2" xfId="20608"/>
    <cellStyle name="Normal 108 2 3 2 4" xfId="10099"/>
    <cellStyle name="Normal 108 2 3 2 4 2" xfId="23730"/>
    <cellStyle name="Normal 108 2 3 2 5" xfId="13394"/>
    <cellStyle name="Normal 108 2 3 2 5 2" xfId="27022"/>
    <cellStyle name="Normal 108 2 3 2 6" xfId="17325"/>
    <cellStyle name="Normal 108 2 3 3" xfId="4245"/>
    <cellStyle name="Normal 108 2 3 3 2" xfId="7675"/>
    <cellStyle name="Normal 108 2 3 3 2 2" xfId="21323"/>
    <cellStyle name="Normal 108 2 3 3 3" xfId="10813"/>
    <cellStyle name="Normal 108 2 3 3 3 2" xfId="24444"/>
    <cellStyle name="Normal 108 2 3 3 4" xfId="14109"/>
    <cellStyle name="Normal 108 2 3 3 4 2" xfId="27737"/>
    <cellStyle name="Normal 108 2 3 3 5" xfId="18040"/>
    <cellStyle name="Normal 108 2 3 4" xfId="6081"/>
    <cellStyle name="Normal 108 2 3 4 2" xfId="19731"/>
    <cellStyle name="Normal 108 2 3 5" xfId="9367"/>
    <cellStyle name="Normal 108 2 3 5 2" xfId="23009"/>
    <cellStyle name="Normal 108 2 3 6" xfId="12681"/>
    <cellStyle name="Normal 108 2 3 6 2" xfId="26309"/>
    <cellStyle name="Normal 108 2 3 7" xfId="16529"/>
    <cellStyle name="Normal 108 2 4" xfId="2727"/>
    <cellStyle name="Normal 108 2 4 2" xfId="3681"/>
    <cellStyle name="Normal 108 2 4 2 2" xfId="5348"/>
    <cellStyle name="Normal 108 2 4 2 2 2" xfId="8611"/>
    <cellStyle name="Normal 108 2 4 2 2 2 2" xfId="22259"/>
    <cellStyle name="Normal 108 2 4 2 2 3" xfId="11678"/>
    <cellStyle name="Normal 108 2 4 2 2 3 2" xfId="25309"/>
    <cellStyle name="Normal 108 2 4 2 2 4" xfId="14974"/>
    <cellStyle name="Normal 108 2 4 2 2 4 2" xfId="28602"/>
    <cellStyle name="Normal 108 2 4 2 2 5" xfId="19006"/>
    <cellStyle name="Normal 108 2 4 2 3" xfId="7115"/>
    <cellStyle name="Normal 108 2 4 2 3 2" xfId="20765"/>
    <cellStyle name="Normal 108 2 4 2 4" xfId="10256"/>
    <cellStyle name="Normal 108 2 4 2 4 2" xfId="23887"/>
    <cellStyle name="Normal 108 2 4 2 5" xfId="13551"/>
    <cellStyle name="Normal 108 2 4 2 5 2" xfId="27179"/>
    <cellStyle name="Normal 108 2 4 2 6" xfId="17482"/>
    <cellStyle name="Normal 108 2 4 3" xfId="4470"/>
    <cellStyle name="Normal 108 2 4 3 2" xfId="7900"/>
    <cellStyle name="Normal 108 2 4 3 2 2" xfId="21548"/>
    <cellStyle name="Normal 108 2 4 3 3" xfId="10969"/>
    <cellStyle name="Normal 108 2 4 3 3 2" xfId="24600"/>
    <cellStyle name="Normal 108 2 4 3 4" xfId="14265"/>
    <cellStyle name="Normal 108 2 4 3 4 2" xfId="27893"/>
    <cellStyle name="Normal 108 2 4 3 5" xfId="18265"/>
    <cellStyle name="Normal 108 2 4 4" xfId="6321"/>
    <cellStyle name="Normal 108 2 4 4 2" xfId="19971"/>
    <cellStyle name="Normal 108 2 4 5" xfId="9523"/>
    <cellStyle name="Normal 108 2 4 5 2" xfId="23165"/>
    <cellStyle name="Normal 108 2 4 6" xfId="12837"/>
    <cellStyle name="Normal 108 2 4 6 2" xfId="26465"/>
    <cellStyle name="Normal 108 2 4 7" xfId="16754"/>
    <cellStyle name="Normal 108 2 5" xfId="3224"/>
    <cellStyle name="Normal 108 2 5 2" xfId="4972"/>
    <cellStyle name="Normal 108 2 5 2 2" xfId="8236"/>
    <cellStyle name="Normal 108 2 5 2 2 2" xfId="21884"/>
    <cellStyle name="Normal 108 2 5 2 3" xfId="11303"/>
    <cellStyle name="Normal 108 2 5 2 3 2" xfId="24934"/>
    <cellStyle name="Normal 108 2 5 2 4" xfId="14599"/>
    <cellStyle name="Normal 108 2 5 2 4 2" xfId="28227"/>
    <cellStyle name="Normal 108 2 5 2 5" xfId="18630"/>
    <cellStyle name="Normal 108 2 5 3" xfId="6659"/>
    <cellStyle name="Normal 108 2 5 3 2" xfId="20309"/>
    <cellStyle name="Normal 108 2 5 4" xfId="9880"/>
    <cellStyle name="Normal 108 2 5 4 2" xfId="23511"/>
    <cellStyle name="Normal 108 2 5 5" xfId="13175"/>
    <cellStyle name="Normal 108 2 5 5 2" xfId="26803"/>
    <cellStyle name="Normal 108 2 5 6" xfId="17105"/>
    <cellStyle name="Normal 108 2 6" xfId="4026"/>
    <cellStyle name="Normal 108 2 6 2" xfId="7456"/>
    <cellStyle name="Normal 108 2 6 2 2" xfId="21104"/>
    <cellStyle name="Normal 108 2 6 3" xfId="10594"/>
    <cellStyle name="Normal 108 2 6 3 2" xfId="24225"/>
    <cellStyle name="Normal 108 2 6 4" xfId="13890"/>
    <cellStyle name="Normal 108 2 6 4 2" xfId="27518"/>
    <cellStyle name="Normal 108 2 6 5" xfId="17821"/>
    <cellStyle name="Normal 108 2 7" xfId="5514"/>
    <cellStyle name="Normal 108 2 7 2" xfId="8775"/>
    <cellStyle name="Normal 108 2 7 2 2" xfId="22418"/>
    <cellStyle name="Normal 108 2 7 3" xfId="11835"/>
    <cellStyle name="Normal 108 2 7 3 2" xfId="25466"/>
    <cellStyle name="Normal 108 2 7 4" xfId="15131"/>
    <cellStyle name="Normal 108 2 7 4 2" xfId="28759"/>
    <cellStyle name="Normal 108 2 7 5" xfId="19164"/>
    <cellStyle name="Normal 108 2 8" xfId="5862"/>
    <cellStyle name="Normal 108 2 8 2" xfId="19512"/>
    <cellStyle name="Normal 108 2 9" xfId="8966"/>
    <cellStyle name="Normal 108 2 9 2" xfId="22609"/>
    <cellStyle name="Normal 108 3" xfId="1977"/>
    <cellStyle name="Normal 108 4" xfId="1975"/>
    <cellStyle name="Normal 108 5" xfId="2917"/>
    <cellStyle name="Normal 108 5 2" xfId="4764"/>
    <cellStyle name="Normal 108 5 2 2" xfId="8032"/>
    <cellStyle name="Normal 108 5 2 2 2" xfId="21680"/>
    <cellStyle name="Normal 108 5 2 3" xfId="11101"/>
    <cellStyle name="Normal 108 5 2 3 2" xfId="24732"/>
    <cellStyle name="Normal 108 5 2 4" xfId="14397"/>
    <cellStyle name="Normal 108 5 2 4 2" xfId="28025"/>
    <cellStyle name="Normal 108 5 2 5" xfId="18423"/>
    <cellStyle name="Normal 108 5 3" xfId="6454"/>
    <cellStyle name="Normal 108 5 3 2" xfId="20104"/>
    <cellStyle name="Normal 108 5 4" xfId="9675"/>
    <cellStyle name="Normal 108 5 4 2" xfId="23306"/>
    <cellStyle name="Normal 108 5 5" xfId="12970"/>
    <cellStyle name="Normal 108 5 5 2" xfId="26598"/>
    <cellStyle name="Normal 108 5 6" xfId="16888"/>
    <cellStyle name="Normal 108 6" xfId="3922"/>
    <cellStyle name="Normal 108 6 2" xfId="7352"/>
    <cellStyle name="Normal 108 6 2 2" xfId="21000"/>
    <cellStyle name="Normal 108 6 3" xfId="10490"/>
    <cellStyle name="Normal 108 6 3 2" xfId="24121"/>
    <cellStyle name="Normal 108 6 4" xfId="13786"/>
    <cellStyle name="Normal 108 6 4 2" xfId="27414"/>
    <cellStyle name="Normal 108 6 5" xfId="17717"/>
    <cellStyle name="Normal 108 7" xfId="5761"/>
    <cellStyle name="Normal 108 7 2" xfId="19411"/>
    <cellStyle name="Normal 108 8" xfId="12361"/>
    <cellStyle name="Normal 108 8 2" xfId="25989"/>
    <cellStyle name="Normal 108 9" xfId="15301"/>
    <cellStyle name="Normal 108 9 2" xfId="28902"/>
    <cellStyle name="Normal 109" xfId="1020"/>
    <cellStyle name="Normal 109 10" xfId="16106"/>
    <cellStyle name="Normal 109 11" xfId="29641"/>
    <cellStyle name="Normal 109 2" xfId="1979"/>
    <cellStyle name="Normal 109 2 10" xfId="12119"/>
    <cellStyle name="Normal 109 2 10 2" xfId="25747"/>
    <cellStyle name="Normal 109 2 11" xfId="12463"/>
    <cellStyle name="Normal 109 2 11 2" xfId="26091"/>
    <cellStyle name="Normal 109 2 12" xfId="16281"/>
    <cellStyle name="Normal 109 2 2" xfId="2258"/>
    <cellStyle name="Normal 109 2 2 2" xfId="3371"/>
    <cellStyle name="Normal 109 2 2 2 2" xfId="5107"/>
    <cellStyle name="Normal 109 2 2 2 2 2" xfId="8371"/>
    <cellStyle name="Normal 109 2 2 2 2 2 2" xfId="22019"/>
    <cellStyle name="Normal 109 2 2 2 2 3" xfId="11438"/>
    <cellStyle name="Normal 109 2 2 2 2 3 2" xfId="25069"/>
    <cellStyle name="Normal 109 2 2 2 2 4" xfId="14734"/>
    <cellStyle name="Normal 109 2 2 2 2 4 2" xfId="28362"/>
    <cellStyle name="Normal 109 2 2 2 2 5" xfId="18765"/>
    <cellStyle name="Normal 109 2 2 2 3" xfId="6805"/>
    <cellStyle name="Normal 109 2 2 2 3 2" xfId="20455"/>
    <cellStyle name="Normal 109 2 2 2 4" xfId="10015"/>
    <cellStyle name="Normal 109 2 2 2 4 2" xfId="23646"/>
    <cellStyle name="Normal 109 2 2 2 5" xfId="13310"/>
    <cellStyle name="Normal 109 2 2 2 5 2" xfId="26938"/>
    <cellStyle name="Normal 109 2 2 2 6" xfId="17240"/>
    <cellStyle name="Normal 109 2 2 3" xfId="4161"/>
    <cellStyle name="Normal 109 2 2 3 2" xfId="7591"/>
    <cellStyle name="Normal 109 2 2 3 2 2" xfId="21239"/>
    <cellStyle name="Normal 109 2 2 3 3" xfId="10729"/>
    <cellStyle name="Normal 109 2 2 3 3 2" xfId="24360"/>
    <cellStyle name="Normal 109 2 2 3 4" xfId="14025"/>
    <cellStyle name="Normal 109 2 2 3 4 2" xfId="27653"/>
    <cellStyle name="Normal 109 2 2 3 5" xfId="17956"/>
    <cellStyle name="Normal 109 2 2 4" xfId="5997"/>
    <cellStyle name="Normal 109 2 2 4 2" xfId="19647"/>
    <cellStyle name="Normal 109 2 2 5" xfId="9283"/>
    <cellStyle name="Normal 109 2 2 5 2" xfId="22925"/>
    <cellStyle name="Normal 109 2 2 6" xfId="12597"/>
    <cellStyle name="Normal 109 2 2 6 2" xfId="26225"/>
    <cellStyle name="Normal 109 2 2 7" xfId="16442"/>
    <cellStyle name="Normal 109 2 3" xfId="2419"/>
    <cellStyle name="Normal 109 2 3 2" xfId="3525"/>
    <cellStyle name="Normal 109 2 3 2 2" xfId="5192"/>
    <cellStyle name="Normal 109 2 3 2 2 2" xfId="8456"/>
    <cellStyle name="Normal 109 2 3 2 2 2 2" xfId="22104"/>
    <cellStyle name="Normal 109 2 3 2 2 3" xfId="11523"/>
    <cellStyle name="Normal 109 2 3 2 2 3 2" xfId="25154"/>
    <cellStyle name="Normal 109 2 3 2 2 4" xfId="14819"/>
    <cellStyle name="Normal 109 2 3 2 2 4 2" xfId="28447"/>
    <cellStyle name="Normal 109 2 3 2 2 5" xfId="18850"/>
    <cellStyle name="Normal 109 2 3 2 3" xfId="6959"/>
    <cellStyle name="Normal 109 2 3 2 3 2" xfId="20609"/>
    <cellStyle name="Normal 109 2 3 2 4" xfId="10100"/>
    <cellStyle name="Normal 109 2 3 2 4 2" xfId="23731"/>
    <cellStyle name="Normal 109 2 3 2 5" xfId="13395"/>
    <cellStyle name="Normal 109 2 3 2 5 2" xfId="27023"/>
    <cellStyle name="Normal 109 2 3 2 6" xfId="17326"/>
    <cellStyle name="Normal 109 2 3 3" xfId="4246"/>
    <cellStyle name="Normal 109 2 3 3 2" xfId="7676"/>
    <cellStyle name="Normal 109 2 3 3 2 2" xfId="21324"/>
    <cellStyle name="Normal 109 2 3 3 3" xfId="10814"/>
    <cellStyle name="Normal 109 2 3 3 3 2" xfId="24445"/>
    <cellStyle name="Normal 109 2 3 3 4" xfId="14110"/>
    <cellStyle name="Normal 109 2 3 3 4 2" xfId="27738"/>
    <cellStyle name="Normal 109 2 3 3 5" xfId="18041"/>
    <cellStyle name="Normal 109 2 3 4" xfId="6082"/>
    <cellStyle name="Normal 109 2 3 4 2" xfId="19732"/>
    <cellStyle name="Normal 109 2 3 5" xfId="9368"/>
    <cellStyle name="Normal 109 2 3 5 2" xfId="23010"/>
    <cellStyle name="Normal 109 2 3 6" xfId="12682"/>
    <cellStyle name="Normal 109 2 3 6 2" xfId="26310"/>
    <cellStyle name="Normal 109 2 3 7" xfId="16530"/>
    <cellStyle name="Normal 109 2 4" xfId="2728"/>
    <cellStyle name="Normal 109 2 4 2" xfId="3682"/>
    <cellStyle name="Normal 109 2 4 2 2" xfId="5349"/>
    <cellStyle name="Normal 109 2 4 2 2 2" xfId="8612"/>
    <cellStyle name="Normal 109 2 4 2 2 2 2" xfId="22260"/>
    <cellStyle name="Normal 109 2 4 2 2 3" xfId="11679"/>
    <cellStyle name="Normal 109 2 4 2 2 3 2" xfId="25310"/>
    <cellStyle name="Normal 109 2 4 2 2 4" xfId="14975"/>
    <cellStyle name="Normal 109 2 4 2 2 4 2" xfId="28603"/>
    <cellStyle name="Normal 109 2 4 2 2 5" xfId="19007"/>
    <cellStyle name="Normal 109 2 4 2 3" xfId="7116"/>
    <cellStyle name="Normal 109 2 4 2 3 2" xfId="20766"/>
    <cellStyle name="Normal 109 2 4 2 4" xfId="10257"/>
    <cellStyle name="Normal 109 2 4 2 4 2" xfId="23888"/>
    <cellStyle name="Normal 109 2 4 2 5" xfId="13552"/>
    <cellStyle name="Normal 109 2 4 2 5 2" xfId="27180"/>
    <cellStyle name="Normal 109 2 4 2 6" xfId="17483"/>
    <cellStyle name="Normal 109 2 4 3" xfId="4471"/>
    <cellStyle name="Normal 109 2 4 3 2" xfId="7901"/>
    <cellStyle name="Normal 109 2 4 3 2 2" xfId="21549"/>
    <cellStyle name="Normal 109 2 4 3 3" xfId="10970"/>
    <cellStyle name="Normal 109 2 4 3 3 2" xfId="24601"/>
    <cellStyle name="Normal 109 2 4 3 4" xfId="14266"/>
    <cellStyle name="Normal 109 2 4 3 4 2" xfId="27894"/>
    <cellStyle name="Normal 109 2 4 3 5" xfId="18266"/>
    <cellStyle name="Normal 109 2 4 4" xfId="6322"/>
    <cellStyle name="Normal 109 2 4 4 2" xfId="19972"/>
    <cellStyle name="Normal 109 2 4 5" xfId="9524"/>
    <cellStyle name="Normal 109 2 4 5 2" xfId="23166"/>
    <cellStyle name="Normal 109 2 4 6" xfId="12838"/>
    <cellStyle name="Normal 109 2 4 6 2" xfId="26466"/>
    <cellStyle name="Normal 109 2 4 7" xfId="16755"/>
    <cellStyle name="Normal 109 2 5" xfId="3225"/>
    <cellStyle name="Normal 109 2 5 2" xfId="4973"/>
    <cellStyle name="Normal 109 2 5 2 2" xfId="8237"/>
    <cellStyle name="Normal 109 2 5 2 2 2" xfId="21885"/>
    <cellStyle name="Normal 109 2 5 2 3" xfId="11304"/>
    <cellStyle name="Normal 109 2 5 2 3 2" xfId="24935"/>
    <cellStyle name="Normal 109 2 5 2 4" xfId="14600"/>
    <cellStyle name="Normal 109 2 5 2 4 2" xfId="28228"/>
    <cellStyle name="Normal 109 2 5 2 5" xfId="18631"/>
    <cellStyle name="Normal 109 2 5 3" xfId="6660"/>
    <cellStyle name="Normal 109 2 5 3 2" xfId="20310"/>
    <cellStyle name="Normal 109 2 5 4" xfId="9881"/>
    <cellStyle name="Normal 109 2 5 4 2" xfId="23512"/>
    <cellStyle name="Normal 109 2 5 5" xfId="13176"/>
    <cellStyle name="Normal 109 2 5 5 2" xfId="26804"/>
    <cellStyle name="Normal 109 2 5 6" xfId="17106"/>
    <cellStyle name="Normal 109 2 6" xfId="4027"/>
    <cellStyle name="Normal 109 2 6 2" xfId="7457"/>
    <cellStyle name="Normal 109 2 6 2 2" xfId="21105"/>
    <cellStyle name="Normal 109 2 6 3" xfId="10595"/>
    <cellStyle name="Normal 109 2 6 3 2" xfId="24226"/>
    <cellStyle name="Normal 109 2 6 4" xfId="13891"/>
    <cellStyle name="Normal 109 2 6 4 2" xfId="27519"/>
    <cellStyle name="Normal 109 2 6 5" xfId="17822"/>
    <cellStyle name="Normal 109 2 7" xfId="5515"/>
    <cellStyle name="Normal 109 2 7 2" xfId="8776"/>
    <cellStyle name="Normal 109 2 7 2 2" xfId="22419"/>
    <cellStyle name="Normal 109 2 7 3" xfId="11836"/>
    <cellStyle name="Normal 109 2 7 3 2" xfId="25467"/>
    <cellStyle name="Normal 109 2 7 4" xfId="15132"/>
    <cellStyle name="Normal 109 2 7 4 2" xfId="28760"/>
    <cellStyle name="Normal 109 2 7 5" xfId="19165"/>
    <cellStyle name="Normal 109 2 8" xfId="5863"/>
    <cellStyle name="Normal 109 2 8 2" xfId="19513"/>
    <cellStyle name="Normal 109 2 9" xfId="8967"/>
    <cellStyle name="Normal 109 2 9 2" xfId="22610"/>
    <cellStyle name="Normal 109 3" xfId="1978"/>
    <cellStyle name="Normal 109 4" xfId="2918"/>
    <cellStyle name="Normal 109 4 2" xfId="4765"/>
    <cellStyle name="Normal 109 4 2 2" xfId="8033"/>
    <cellStyle name="Normal 109 4 2 2 2" xfId="21681"/>
    <cellStyle name="Normal 109 4 2 3" xfId="11102"/>
    <cellStyle name="Normal 109 4 2 3 2" xfId="24733"/>
    <cellStyle name="Normal 109 4 2 4" xfId="14398"/>
    <cellStyle name="Normal 109 4 2 4 2" xfId="28026"/>
    <cellStyle name="Normal 109 4 2 5" xfId="18424"/>
    <cellStyle name="Normal 109 4 3" xfId="6455"/>
    <cellStyle name="Normal 109 4 3 2" xfId="20105"/>
    <cellStyle name="Normal 109 4 4" xfId="9676"/>
    <cellStyle name="Normal 109 4 4 2" xfId="23307"/>
    <cellStyle name="Normal 109 4 5" xfId="12971"/>
    <cellStyle name="Normal 109 4 5 2" xfId="26599"/>
    <cellStyle name="Normal 109 4 6" xfId="16889"/>
    <cellStyle name="Normal 109 5" xfId="3923"/>
    <cellStyle name="Normal 109 5 2" xfId="7353"/>
    <cellStyle name="Normal 109 5 2 2" xfId="21001"/>
    <cellStyle name="Normal 109 5 3" xfId="10491"/>
    <cellStyle name="Normal 109 5 3 2" xfId="24122"/>
    <cellStyle name="Normal 109 5 4" xfId="13787"/>
    <cellStyle name="Normal 109 5 4 2" xfId="27415"/>
    <cellStyle name="Normal 109 5 5" xfId="17718"/>
    <cellStyle name="Normal 109 6" xfId="5762"/>
    <cellStyle name="Normal 109 6 2" xfId="19412"/>
    <cellStyle name="Normal 109 7" xfId="12362"/>
    <cellStyle name="Normal 109 7 2" xfId="25990"/>
    <cellStyle name="Normal 109 8" xfId="15302"/>
    <cellStyle name="Normal 109 8 2" xfId="28903"/>
    <cellStyle name="Normal 109 9" xfId="15495"/>
    <cellStyle name="Normal 109 9 2" xfId="29004"/>
    <cellStyle name="Normal 11" xfId="67"/>
    <cellStyle name="Normal 11 2" xfId="1021"/>
    <cellStyle name="Normal 110" xfId="1022"/>
    <cellStyle name="Normal 110 10" xfId="12120"/>
    <cellStyle name="Normal 110 10 2" xfId="25748"/>
    <cellStyle name="Normal 110 11" xfId="12363"/>
    <cellStyle name="Normal 110 11 2" xfId="25991"/>
    <cellStyle name="Normal 110 12" xfId="15303"/>
    <cellStyle name="Normal 110 12 2" xfId="28904"/>
    <cellStyle name="Normal 110 13" xfId="15496"/>
    <cellStyle name="Normal 110 13 2" xfId="29005"/>
    <cellStyle name="Normal 110 14" xfId="16107"/>
    <cellStyle name="Normal 110 15" xfId="29642"/>
    <cellStyle name="Normal 110 2" xfId="2259"/>
    <cellStyle name="Normal 110 2 2" xfId="3372"/>
    <cellStyle name="Normal 110 2 2 2" xfId="5108"/>
    <cellStyle name="Normal 110 2 2 2 2" xfId="8372"/>
    <cellStyle name="Normal 110 2 2 2 2 2" xfId="22020"/>
    <cellStyle name="Normal 110 2 2 2 3" xfId="11439"/>
    <cellStyle name="Normal 110 2 2 2 3 2" xfId="25070"/>
    <cellStyle name="Normal 110 2 2 2 4" xfId="14735"/>
    <cellStyle name="Normal 110 2 2 2 4 2" xfId="28363"/>
    <cellStyle name="Normal 110 2 2 2 5" xfId="18766"/>
    <cellStyle name="Normal 110 2 2 3" xfId="6806"/>
    <cellStyle name="Normal 110 2 2 3 2" xfId="20456"/>
    <cellStyle name="Normal 110 2 2 4" xfId="10016"/>
    <cellStyle name="Normal 110 2 2 4 2" xfId="23647"/>
    <cellStyle name="Normal 110 2 2 5" xfId="13311"/>
    <cellStyle name="Normal 110 2 2 5 2" xfId="26939"/>
    <cellStyle name="Normal 110 2 2 6" xfId="17241"/>
    <cellStyle name="Normal 110 2 3" xfId="4162"/>
    <cellStyle name="Normal 110 2 3 2" xfId="7592"/>
    <cellStyle name="Normal 110 2 3 2 2" xfId="21240"/>
    <cellStyle name="Normal 110 2 3 3" xfId="10730"/>
    <cellStyle name="Normal 110 2 3 3 2" xfId="24361"/>
    <cellStyle name="Normal 110 2 3 4" xfId="14026"/>
    <cellStyle name="Normal 110 2 3 4 2" xfId="27654"/>
    <cellStyle name="Normal 110 2 3 5" xfId="17957"/>
    <cellStyle name="Normal 110 2 4" xfId="5998"/>
    <cellStyle name="Normal 110 2 4 2" xfId="19648"/>
    <cellStyle name="Normal 110 2 5" xfId="9284"/>
    <cellStyle name="Normal 110 2 5 2" xfId="22926"/>
    <cellStyle name="Normal 110 2 6" xfId="12598"/>
    <cellStyle name="Normal 110 2 6 2" xfId="26226"/>
    <cellStyle name="Normal 110 2 7" xfId="16443"/>
    <cellStyle name="Normal 110 3" xfId="2420"/>
    <cellStyle name="Normal 110 3 2" xfId="3526"/>
    <cellStyle name="Normal 110 3 2 2" xfId="5193"/>
    <cellStyle name="Normal 110 3 2 2 2" xfId="8457"/>
    <cellStyle name="Normal 110 3 2 2 2 2" xfId="22105"/>
    <cellStyle name="Normal 110 3 2 2 3" xfId="11524"/>
    <cellStyle name="Normal 110 3 2 2 3 2" xfId="25155"/>
    <cellStyle name="Normal 110 3 2 2 4" xfId="14820"/>
    <cellStyle name="Normal 110 3 2 2 4 2" xfId="28448"/>
    <cellStyle name="Normal 110 3 2 2 5" xfId="18851"/>
    <cellStyle name="Normal 110 3 2 3" xfId="6960"/>
    <cellStyle name="Normal 110 3 2 3 2" xfId="20610"/>
    <cellStyle name="Normal 110 3 2 4" xfId="10101"/>
    <cellStyle name="Normal 110 3 2 4 2" xfId="23732"/>
    <cellStyle name="Normal 110 3 2 5" xfId="13396"/>
    <cellStyle name="Normal 110 3 2 5 2" xfId="27024"/>
    <cellStyle name="Normal 110 3 2 6" xfId="17327"/>
    <cellStyle name="Normal 110 3 3" xfId="4247"/>
    <cellStyle name="Normal 110 3 3 2" xfId="7677"/>
    <cellStyle name="Normal 110 3 3 2 2" xfId="21325"/>
    <cellStyle name="Normal 110 3 3 3" xfId="10815"/>
    <cellStyle name="Normal 110 3 3 3 2" xfId="24446"/>
    <cellStyle name="Normal 110 3 3 4" xfId="14111"/>
    <cellStyle name="Normal 110 3 3 4 2" xfId="27739"/>
    <cellStyle name="Normal 110 3 3 5" xfId="18042"/>
    <cellStyle name="Normal 110 3 4" xfId="6083"/>
    <cellStyle name="Normal 110 3 4 2" xfId="19733"/>
    <cellStyle name="Normal 110 3 5" xfId="9369"/>
    <cellStyle name="Normal 110 3 5 2" xfId="23011"/>
    <cellStyle name="Normal 110 3 6" xfId="12683"/>
    <cellStyle name="Normal 110 3 6 2" xfId="26311"/>
    <cellStyle name="Normal 110 3 7" xfId="16531"/>
    <cellStyle name="Normal 110 4" xfId="2729"/>
    <cellStyle name="Normal 110 4 2" xfId="3683"/>
    <cellStyle name="Normal 110 4 2 2" xfId="5350"/>
    <cellStyle name="Normal 110 4 2 2 2" xfId="8613"/>
    <cellStyle name="Normal 110 4 2 2 2 2" xfId="22261"/>
    <cellStyle name="Normal 110 4 2 2 3" xfId="11680"/>
    <cellStyle name="Normal 110 4 2 2 3 2" xfId="25311"/>
    <cellStyle name="Normal 110 4 2 2 4" xfId="14976"/>
    <cellStyle name="Normal 110 4 2 2 4 2" xfId="28604"/>
    <cellStyle name="Normal 110 4 2 2 5" xfId="19008"/>
    <cellStyle name="Normal 110 4 2 3" xfId="7117"/>
    <cellStyle name="Normal 110 4 2 3 2" xfId="20767"/>
    <cellStyle name="Normal 110 4 2 4" xfId="10258"/>
    <cellStyle name="Normal 110 4 2 4 2" xfId="23889"/>
    <cellStyle name="Normal 110 4 2 5" xfId="13553"/>
    <cellStyle name="Normal 110 4 2 5 2" xfId="27181"/>
    <cellStyle name="Normal 110 4 2 6" xfId="17484"/>
    <cellStyle name="Normal 110 4 3" xfId="4472"/>
    <cellStyle name="Normal 110 4 3 2" xfId="7902"/>
    <cellStyle name="Normal 110 4 3 2 2" xfId="21550"/>
    <cellStyle name="Normal 110 4 3 3" xfId="10971"/>
    <cellStyle name="Normal 110 4 3 3 2" xfId="24602"/>
    <cellStyle name="Normal 110 4 3 4" xfId="14267"/>
    <cellStyle name="Normal 110 4 3 4 2" xfId="27895"/>
    <cellStyle name="Normal 110 4 3 5" xfId="18267"/>
    <cellStyle name="Normal 110 4 4" xfId="6323"/>
    <cellStyle name="Normal 110 4 4 2" xfId="19973"/>
    <cellStyle name="Normal 110 4 5" xfId="9525"/>
    <cellStyle name="Normal 110 4 5 2" xfId="23167"/>
    <cellStyle name="Normal 110 4 6" xfId="12839"/>
    <cellStyle name="Normal 110 4 6 2" xfId="26467"/>
    <cellStyle name="Normal 110 4 7" xfId="16756"/>
    <cellStyle name="Normal 110 5" xfId="2919"/>
    <cellStyle name="Normal 110 5 2" xfId="4766"/>
    <cellStyle name="Normal 110 5 2 2" xfId="8034"/>
    <cellStyle name="Normal 110 5 2 2 2" xfId="21682"/>
    <cellStyle name="Normal 110 5 2 3" xfId="11103"/>
    <cellStyle name="Normal 110 5 2 3 2" xfId="24734"/>
    <cellStyle name="Normal 110 5 2 4" xfId="14399"/>
    <cellStyle name="Normal 110 5 2 4 2" xfId="28027"/>
    <cellStyle name="Normal 110 5 2 5" xfId="18425"/>
    <cellStyle name="Normal 110 5 3" xfId="6456"/>
    <cellStyle name="Normal 110 5 3 2" xfId="20106"/>
    <cellStyle name="Normal 110 5 4" xfId="9677"/>
    <cellStyle name="Normal 110 5 4 2" xfId="23308"/>
    <cellStyle name="Normal 110 5 5" xfId="12972"/>
    <cellStyle name="Normal 110 5 5 2" xfId="26600"/>
    <cellStyle name="Normal 110 5 6" xfId="16890"/>
    <cellStyle name="Normal 110 6" xfId="3924"/>
    <cellStyle name="Normal 110 6 2" xfId="7354"/>
    <cellStyle name="Normal 110 6 2 2" xfId="21002"/>
    <cellStyle name="Normal 110 6 3" xfId="10492"/>
    <cellStyle name="Normal 110 6 3 2" xfId="24123"/>
    <cellStyle name="Normal 110 6 4" xfId="13788"/>
    <cellStyle name="Normal 110 6 4 2" xfId="27416"/>
    <cellStyle name="Normal 110 6 5" xfId="17719"/>
    <cellStyle name="Normal 110 7" xfId="5516"/>
    <cellStyle name="Normal 110 7 2" xfId="8777"/>
    <cellStyle name="Normal 110 7 2 2" xfId="22420"/>
    <cellStyle name="Normal 110 7 3" xfId="11837"/>
    <cellStyle name="Normal 110 7 3 2" xfId="25468"/>
    <cellStyle name="Normal 110 7 4" xfId="15133"/>
    <cellStyle name="Normal 110 7 4 2" xfId="28761"/>
    <cellStyle name="Normal 110 7 5" xfId="19166"/>
    <cellStyle name="Normal 110 8" xfId="5763"/>
    <cellStyle name="Normal 110 8 2" xfId="19413"/>
    <cellStyle name="Normal 110 9" xfId="8968"/>
    <cellStyle name="Normal 110 9 2" xfId="22611"/>
    <cellStyle name="Normal 111" xfId="1023"/>
    <cellStyle name="Normal 111 10" xfId="12121"/>
    <cellStyle name="Normal 111 10 2" xfId="25749"/>
    <cellStyle name="Normal 111 11" xfId="12364"/>
    <cellStyle name="Normal 111 11 2" xfId="25992"/>
    <cellStyle name="Normal 111 12" xfId="15304"/>
    <cellStyle name="Normal 111 13" xfId="15497"/>
    <cellStyle name="Normal 111 13 2" xfId="29006"/>
    <cellStyle name="Normal 111 14" xfId="16108"/>
    <cellStyle name="Normal 111 15" xfId="29643"/>
    <cellStyle name="Normal 111 2" xfId="2260"/>
    <cellStyle name="Normal 111 2 2" xfId="3373"/>
    <cellStyle name="Normal 111 2 2 2" xfId="5109"/>
    <cellStyle name="Normal 111 2 2 2 2" xfId="8373"/>
    <cellStyle name="Normal 111 2 2 2 2 2" xfId="22021"/>
    <cellStyle name="Normal 111 2 2 2 3" xfId="11440"/>
    <cellStyle name="Normal 111 2 2 2 3 2" xfId="25071"/>
    <cellStyle name="Normal 111 2 2 2 4" xfId="14736"/>
    <cellStyle name="Normal 111 2 2 2 4 2" xfId="28364"/>
    <cellStyle name="Normal 111 2 2 2 5" xfId="18767"/>
    <cellStyle name="Normal 111 2 2 3" xfId="6807"/>
    <cellStyle name="Normal 111 2 2 3 2" xfId="20457"/>
    <cellStyle name="Normal 111 2 2 4" xfId="10017"/>
    <cellStyle name="Normal 111 2 2 4 2" xfId="23648"/>
    <cellStyle name="Normal 111 2 2 5" xfId="13312"/>
    <cellStyle name="Normal 111 2 2 5 2" xfId="26940"/>
    <cellStyle name="Normal 111 2 2 6" xfId="17242"/>
    <cellStyle name="Normal 111 2 3" xfId="4163"/>
    <cellStyle name="Normal 111 2 3 2" xfId="7593"/>
    <cellStyle name="Normal 111 2 3 2 2" xfId="21241"/>
    <cellStyle name="Normal 111 2 3 3" xfId="10731"/>
    <cellStyle name="Normal 111 2 3 3 2" xfId="24362"/>
    <cellStyle name="Normal 111 2 3 4" xfId="14027"/>
    <cellStyle name="Normal 111 2 3 4 2" xfId="27655"/>
    <cellStyle name="Normal 111 2 3 5" xfId="17958"/>
    <cellStyle name="Normal 111 2 4" xfId="5999"/>
    <cellStyle name="Normal 111 2 4 2" xfId="19649"/>
    <cellStyle name="Normal 111 2 5" xfId="9285"/>
    <cellStyle name="Normal 111 2 5 2" xfId="22927"/>
    <cellStyle name="Normal 111 2 6" xfId="12599"/>
    <cellStyle name="Normal 111 2 6 2" xfId="26227"/>
    <cellStyle name="Normal 111 2 7" xfId="15498"/>
    <cellStyle name="Normal 111 2 8" xfId="16444"/>
    <cellStyle name="Normal 111 3" xfId="2421"/>
    <cellStyle name="Normal 111 3 2" xfId="3527"/>
    <cellStyle name="Normal 111 3 2 2" xfId="5194"/>
    <cellStyle name="Normal 111 3 2 2 2" xfId="8458"/>
    <cellStyle name="Normal 111 3 2 2 2 2" xfId="22106"/>
    <cellStyle name="Normal 111 3 2 2 3" xfId="11525"/>
    <cellStyle name="Normal 111 3 2 2 3 2" xfId="25156"/>
    <cellStyle name="Normal 111 3 2 2 4" xfId="14821"/>
    <cellStyle name="Normal 111 3 2 2 4 2" xfId="28449"/>
    <cellStyle name="Normal 111 3 2 2 5" xfId="18852"/>
    <cellStyle name="Normal 111 3 2 3" xfId="6961"/>
    <cellStyle name="Normal 111 3 2 3 2" xfId="20611"/>
    <cellStyle name="Normal 111 3 2 4" xfId="10102"/>
    <cellStyle name="Normal 111 3 2 4 2" xfId="23733"/>
    <cellStyle name="Normal 111 3 2 5" xfId="13397"/>
    <cellStyle name="Normal 111 3 2 5 2" xfId="27025"/>
    <cellStyle name="Normal 111 3 2 6" xfId="17328"/>
    <cellStyle name="Normal 111 3 3" xfId="4248"/>
    <cellStyle name="Normal 111 3 3 2" xfId="7678"/>
    <cellStyle name="Normal 111 3 3 2 2" xfId="21326"/>
    <cellStyle name="Normal 111 3 3 3" xfId="10816"/>
    <cellStyle name="Normal 111 3 3 3 2" xfId="24447"/>
    <cellStyle name="Normal 111 3 3 4" xfId="14112"/>
    <cellStyle name="Normal 111 3 3 4 2" xfId="27740"/>
    <cellStyle name="Normal 111 3 3 5" xfId="18043"/>
    <cellStyle name="Normal 111 3 4" xfId="6084"/>
    <cellStyle name="Normal 111 3 4 2" xfId="19734"/>
    <cellStyle name="Normal 111 3 5" xfId="9370"/>
    <cellStyle name="Normal 111 3 5 2" xfId="23012"/>
    <cellStyle name="Normal 111 3 6" xfId="12684"/>
    <cellStyle name="Normal 111 3 6 2" xfId="26312"/>
    <cellStyle name="Normal 111 3 7" xfId="16532"/>
    <cellStyle name="Normal 111 4" xfId="2730"/>
    <cellStyle name="Normal 111 4 2" xfId="3684"/>
    <cellStyle name="Normal 111 4 2 2" xfId="5351"/>
    <cellStyle name="Normal 111 4 2 2 2" xfId="8614"/>
    <cellStyle name="Normal 111 4 2 2 2 2" xfId="22262"/>
    <cellStyle name="Normal 111 4 2 2 3" xfId="11681"/>
    <cellStyle name="Normal 111 4 2 2 3 2" xfId="25312"/>
    <cellStyle name="Normal 111 4 2 2 4" xfId="14977"/>
    <cellStyle name="Normal 111 4 2 2 4 2" xfId="28605"/>
    <cellStyle name="Normal 111 4 2 2 5" xfId="19009"/>
    <cellStyle name="Normal 111 4 2 3" xfId="7118"/>
    <cellStyle name="Normal 111 4 2 3 2" xfId="20768"/>
    <cellStyle name="Normal 111 4 2 4" xfId="10259"/>
    <cellStyle name="Normal 111 4 2 4 2" xfId="23890"/>
    <cellStyle name="Normal 111 4 2 5" xfId="13554"/>
    <cellStyle name="Normal 111 4 2 5 2" xfId="27182"/>
    <cellStyle name="Normal 111 4 2 6" xfId="17485"/>
    <cellStyle name="Normal 111 4 3" xfId="4473"/>
    <cellStyle name="Normal 111 4 3 2" xfId="7903"/>
    <cellStyle name="Normal 111 4 3 2 2" xfId="21551"/>
    <cellStyle name="Normal 111 4 3 3" xfId="10972"/>
    <cellStyle name="Normal 111 4 3 3 2" xfId="24603"/>
    <cellStyle name="Normal 111 4 3 4" xfId="14268"/>
    <cellStyle name="Normal 111 4 3 4 2" xfId="27896"/>
    <cellStyle name="Normal 111 4 3 5" xfId="18268"/>
    <cellStyle name="Normal 111 4 4" xfId="6324"/>
    <cellStyle name="Normal 111 4 4 2" xfId="19974"/>
    <cellStyle name="Normal 111 4 5" xfId="9526"/>
    <cellStyle name="Normal 111 4 5 2" xfId="23168"/>
    <cellStyle name="Normal 111 4 6" xfId="12840"/>
    <cellStyle name="Normal 111 4 6 2" xfId="26468"/>
    <cellStyle name="Normal 111 4 7" xfId="16757"/>
    <cellStyle name="Normal 111 5" xfId="2920"/>
    <cellStyle name="Normal 111 5 2" xfId="4767"/>
    <cellStyle name="Normal 111 5 2 2" xfId="8035"/>
    <cellStyle name="Normal 111 5 2 2 2" xfId="21683"/>
    <cellStyle name="Normal 111 5 2 3" xfId="11104"/>
    <cellStyle name="Normal 111 5 2 3 2" xfId="24735"/>
    <cellStyle name="Normal 111 5 2 4" xfId="14400"/>
    <cellStyle name="Normal 111 5 2 4 2" xfId="28028"/>
    <cellStyle name="Normal 111 5 2 5" xfId="18426"/>
    <cellStyle name="Normal 111 5 3" xfId="6457"/>
    <cellStyle name="Normal 111 5 3 2" xfId="20107"/>
    <cellStyle name="Normal 111 5 4" xfId="9678"/>
    <cellStyle name="Normal 111 5 4 2" xfId="23309"/>
    <cellStyle name="Normal 111 5 5" xfId="12973"/>
    <cellStyle name="Normal 111 5 5 2" xfId="26601"/>
    <cellStyle name="Normal 111 5 6" xfId="16891"/>
    <cellStyle name="Normal 111 6" xfId="3925"/>
    <cellStyle name="Normal 111 6 2" xfId="7355"/>
    <cellStyle name="Normal 111 6 2 2" xfId="21003"/>
    <cellStyle name="Normal 111 6 3" xfId="10493"/>
    <cellStyle name="Normal 111 6 3 2" xfId="24124"/>
    <cellStyle name="Normal 111 6 4" xfId="13789"/>
    <cellStyle name="Normal 111 6 4 2" xfId="27417"/>
    <cellStyle name="Normal 111 6 5" xfId="17720"/>
    <cellStyle name="Normal 111 7" xfId="5517"/>
    <cellStyle name="Normal 111 7 2" xfId="8778"/>
    <cellStyle name="Normal 111 7 2 2" xfId="22421"/>
    <cellStyle name="Normal 111 7 3" xfId="11838"/>
    <cellStyle name="Normal 111 7 3 2" xfId="25469"/>
    <cellStyle name="Normal 111 7 4" xfId="15134"/>
    <cellStyle name="Normal 111 7 4 2" xfId="28762"/>
    <cellStyle name="Normal 111 7 5" xfId="19167"/>
    <cellStyle name="Normal 111 8" xfId="5764"/>
    <cellStyle name="Normal 111 8 2" xfId="19414"/>
    <cellStyle name="Normal 111 9" xfId="8969"/>
    <cellStyle name="Normal 111 9 2" xfId="22612"/>
    <cellStyle name="Normal 112" xfId="1024"/>
    <cellStyle name="Normal 112 10" xfId="12122"/>
    <cellStyle name="Normal 112 10 2" xfId="25750"/>
    <cellStyle name="Normal 112 11" xfId="12365"/>
    <cellStyle name="Normal 112 11 2" xfId="25993"/>
    <cellStyle name="Normal 112 12" xfId="15305"/>
    <cellStyle name="Normal 112 13" xfId="15499"/>
    <cellStyle name="Normal 112 13 2" xfId="29007"/>
    <cellStyle name="Normal 112 14" xfId="16109"/>
    <cellStyle name="Normal 112 15" xfId="29644"/>
    <cellStyle name="Normal 112 2" xfId="2261"/>
    <cellStyle name="Normal 112 2 2" xfId="3374"/>
    <cellStyle name="Normal 112 2 2 2" xfId="5110"/>
    <cellStyle name="Normal 112 2 2 2 2" xfId="8374"/>
    <cellStyle name="Normal 112 2 2 2 2 2" xfId="22022"/>
    <cellStyle name="Normal 112 2 2 2 3" xfId="11441"/>
    <cellStyle name="Normal 112 2 2 2 3 2" xfId="25072"/>
    <cellStyle name="Normal 112 2 2 2 4" xfId="14737"/>
    <cellStyle name="Normal 112 2 2 2 4 2" xfId="28365"/>
    <cellStyle name="Normal 112 2 2 2 5" xfId="18768"/>
    <cellStyle name="Normal 112 2 2 3" xfId="6808"/>
    <cellStyle name="Normal 112 2 2 3 2" xfId="20458"/>
    <cellStyle name="Normal 112 2 2 4" xfId="10018"/>
    <cellStyle name="Normal 112 2 2 4 2" xfId="23649"/>
    <cellStyle name="Normal 112 2 2 5" xfId="13313"/>
    <cellStyle name="Normal 112 2 2 5 2" xfId="26941"/>
    <cellStyle name="Normal 112 2 2 6" xfId="17243"/>
    <cellStyle name="Normal 112 2 3" xfId="4164"/>
    <cellStyle name="Normal 112 2 3 2" xfId="7594"/>
    <cellStyle name="Normal 112 2 3 2 2" xfId="21242"/>
    <cellStyle name="Normal 112 2 3 3" xfId="10732"/>
    <cellStyle name="Normal 112 2 3 3 2" xfId="24363"/>
    <cellStyle name="Normal 112 2 3 4" xfId="14028"/>
    <cellStyle name="Normal 112 2 3 4 2" xfId="27656"/>
    <cellStyle name="Normal 112 2 3 5" xfId="17959"/>
    <cellStyle name="Normal 112 2 4" xfId="6000"/>
    <cellStyle name="Normal 112 2 4 2" xfId="19650"/>
    <cellStyle name="Normal 112 2 5" xfId="9286"/>
    <cellStyle name="Normal 112 2 5 2" xfId="22928"/>
    <cellStyle name="Normal 112 2 6" xfId="12600"/>
    <cellStyle name="Normal 112 2 6 2" xfId="26228"/>
    <cellStyle name="Normal 112 2 7" xfId="15500"/>
    <cellStyle name="Normal 112 2 8" xfId="16445"/>
    <cellStyle name="Normal 112 3" xfId="2422"/>
    <cellStyle name="Normal 112 3 2" xfId="3528"/>
    <cellStyle name="Normal 112 3 2 2" xfId="5195"/>
    <cellStyle name="Normal 112 3 2 2 2" xfId="8459"/>
    <cellStyle name="Normal 112 3 2 2 2 2" xfId="22107"/>
    <cellStyle name="Normal 112 3 2 2 3" xfId="11526"/>
    <cellStyle name="Normal 112 3 2 2 3 2" xfId="25157"/>
    <cellStyle name="Normal 112 3 2 2 4" xfId="14822"/>
    <cellStyle name="Normal 112 3 2 2 4 2" xfId="28450"/>
    <cellStyle name="Normal 112 3 2 2 5" xfId="18853"/>
    <cellStyle name="Normal 112 3 2 3" xfId="6962"/>
    <cellStyle name="Normal 112 3 2 3 2" xfId="20612"/>
    <cellStyle name="Normal 112 3 2 4" xfId="10103"/>
    <cellStyle name="Normal 112 3 2 4 2" xfId="23734"/>
    <cellStyle name="Normal 112 3 2 5" xfId="13398"/>
    <cellStyle name="Normal 112 3 2 5 2" xfId="27026"/>
    <cellStyle name="Normal 112 3 2 6" xfId="17329"/>
    <cellStyle name="Normal 112 3 3" xfId="4249"/>
    <cellStyle name="Normal 112 3 3 2" xfId="7679"/>
    <cellStyle name="Normal 112 3 3 2 2" xfId="21327"/>
    <cellStyle name="Normal 112 3 3 3" xfId="10817"/>
    <cellStyle name="Normal 112 3 3 3 2" xfId="24448"/>
    <cellStyle name="Normal 112 3 3 4" xfId="14113"/>
    <cellStyle name="Normal 112 3 3 4 2" xfId="27741"/>
    <cellStyle name="Normal 112 3 3 5" xfId="18044"/>
    <cellStyle name="Normal 112 3 4" xfId="6085"/>
    <cellStyle name="Normal 112 3 4 2" xfId="19735"/>
    <cellStyle name="Normal 112 3 5" xfId="9371"/>
    <cellStyle name="Normal 112 3 5 2" xfId="23013"/>
    <cellStyle name="Normal 112 3 6" xfId="12685"/>
    <cellStyle name="Normal 112 3 6 2" xfId="26313"/>
    <cellStyle name="Normal 112 3 7" xfId="16533"/>
    <cellStyle name="Normal 112 4" xfId="2731"/>
    <cellStyle name="Normal 112 4 2" xfId="3685"/>
    <cellStyle name="Normal 112 4 2 2" xfId="5352"/>
    <cellStyle name="Normal 112 4 2 2 2" xfId="8615"/>
    <cellStyle name="Normal 112 4 2 2 2 2" xfId="22263"/>
    <cellStyle name="Normal 112 4 2 2 3" xfId="11682"/>
    <cellStyle name="Normal 112 4 2 2 3 2" xfId="25313"/>
    <cellStyle name="Normal 112 4 2 2 4" xfId="14978"/>
    <cellStyle name="Normal 112 4 2 2 4 2" xfId="28606"/>
    <cellStyle name="Normal 112 4 2 2 5" xfId="19010"/>
    <cellStyle name="Normal 112 4 2 3" xfId="7119"/>
    <cellStyle name="Normal 112 4 2 3 2" xfId="20769"/>
    <cellStyle name="Normal 112 4 2 4" xfId="10260"/>
    <cellStyle name="Normal 112 4 2 4 2" xfId="23891"/>
    <cellStyle name="Normal 112 4 2 5" xfId="13555"/>
    <cellStyle name="Normal 112 4 2 5 2" xfId="27183"/>
    <cellStyle name="Normal 112 4 2 6" xfId="17486"/>
    <cellStyle name="Normal 112 4 3" xfId="4474"/>
    <cellStyle name="Normal 112 4 3 2" xfId="7904"/>
    <cellStyle name="Normal 112 4 3 2 2" xfId="21552"/>
    <cellStyle name="Normal 112 4 3 3" xfId="10973"/>
    <cellStyle name="Normal 112 4 3 3 2" xfId="24604"/>
    <cellStyle name="Normal 112 4 3 4" xfId="14269"/>
    <cellStyle name="Normal 112 4 3 4 2" xfId="27897"/>
    <cellStyle name="Normal 112 4 3 5" xfId="18269"/>
    <cellStyle name="Normal 112 4 4" xfId="6325"/>
    <cellStyle name="Normal 112 4 4 2" xfId="19975"/>
    <cellStyle name="Normal 112 4 5" xfId="9527"/>
    <cellStyle name="Normal 112 4 5 2" xfId="23169"/>
    <cellStyle name="Normal 112 4 6" xfId="12841"/>
    <cellStyle name="Normal 112 4 6 2" xfId="26469"/>
    <cellStyle name="Normal 112 4 7" xfId="16758"/>
    <cellStyle name="Normal 112 5" xfId="2921"/>
    <cellStyle name="Normal 112 5 2" xfId="4768"/>
    <cellStyle name="Normal 112 5 2 2" xfId="8036"/>
    <cellStyle name="Normal 112 5 2 2 2" xfId="21684"/>
    <cellStyle name="Normal 112 5 2 3" xfId="11105"/>
    <cellStyle name="Normal 112 5 2 3 2" xfId="24736"/>
    <cellStyle name="Normal 112 5 2 4" xfId="14401"/>
    <cellStyle name="Normal 112 5 2 4 2" xfId="28029"/>
    <cellStyle name="Normal 112 5 2 5" xfId="18427"/>
    <cellStyle name="Normal 112 5 3" xfId="6458"/>
    <cellStyle name="Normal 112 5 3 2" xfId="20108"/>
    <cellStyle name="Normal 112 5 4" xfId="9679"/>
    <cellStyle name="Normal 112 5 4 2" xfId="23310"/>
    <cellStyle name="Normal 112 5 5" xfId="12974"/>
    <cellStyle name="Normal 112 5 5 2" xfId="26602"/>
    <cellStyle name="Normal 112 5 6" xfId="16892"/>
    <cellStyle name="Normal 112 6" xfId="3926"/>
    <cellStyle name="Normal 112 6 2" xfId="7356"/>
    <cellStyle name="Normal 112 6 2 2" xfId="21004"/>
    <cellStyle name="Normal 112 6 3" xfId="10494"/>
    <cellStyle name="Normal 112 6 3 2" xfId="24125"/>
    <cellStyle name="Normal 112 6 4" xfId="13790"/>
    <cellStyle name="Normal 112 6 4 2" xfId="27418"/>
    <cellStyle name="Normal 112 6 5" xfId="17721"/>
    <cellStyle name="Normal 112 7" xfId="5518"/>
    <cellStyle name="Normal 112 7 2" xfId="8779"/>
    <cellStyle name="Normal 112 7 2 2" xfId="22422"/>
    <cellStyle name="Normal 112 7 3" xfId="11839"/>
    <cellStyle name="Normal 112 7 3 2" xfId="25470"/>
    <cellStyle name="Normal 112 7 4" xfId="15135"/>
    <cellStyle name="Normal 112 7 4 2" xfId="28763"/>
    <cellStyle name="Normal 112 7 5" xfId="19168"/>
    <cellStyle name="Normal 112 8" xfId="5765"/>
    <cellStyle name="Normal 112 8 2" xfId="19415"/>
    <cellStyle name="Normal 112 9" xfId="8970"/>
    <cellStyle name="Normal 112 9 2" xfId="22613"/>
    <cellStyle name="Normal 113" xfId="1025"/>
    <cellStyle name="Normal 113 10" xfId="12123"/>
    <cellStyle name="Normal 113 10 2" xfId="25751"/>
    <cellStyle name="Normal 113 11" xfId="12366"/>
    <cellStyle name="Normal 113 11 2" xfId="25994"/>
    <cellStyle name="Normal 113 12" xfId="15306"/>
    <cellStyle name="Normal 113 13" xfId="15501"/>
    <cellStyle name="Normal 113 13 2" xfId="29008"/>
    <cellStyle name="Normal 113 14" xfId="16110"/>
    <cellStyle name="Normal 113 15" xfId="29645"/>
    <cellStyle name="Normal 113 2" xfId="2262"/>
    <cellStyle name="Normal 113 2 2" xfId="3375"/>
    <cellStyle name="Normal 113 2 2 2" xfId="5111"/>
    <cellStyle name="Normal 113 2 2 2 2" xfId="8375"/>
    <cellStyle name="Normal 113 2 2 2 2 2" xfId="22023"/>
    <cellStyle name="Normal 113 2 2 2 3" xfId="11442"/>
    <cellStyle name="Normal 113 2 2 2 3 2" xfId="25073"/>
    <cellStyle name="Normal 113 2 2 2 4" xfId="14738"/>
    <cellStyle name="Normal 113 2 2 2 4 2" xfId="28366"/>
    <cellStyle name="Normal 113 2 2 2 5" xfId="18769"/>
    <cellStyle name="Normal 113 2 2 3" xfId="6809"/>
    <cellStyle name="Normal 113 2 2 3 2" xfId="20459"/>
    <cellStyle name="Normal 113 2 2 4" xfId="10019"/>
    <cellStyle name="Normal 113 2 2 4 2" xfId="23650"/>
    <cellStyle name="Normal 113 2 2 5" xfId="13314"/>
    <cellStyle name="Normal 113 2 2 5 2" xfId="26942"/>
    <cellStyle name="Normal 113 2 2 6" xfId="17244"/>
    <cellStyle name="Normal 113 2 3" xfId="4165"/>
    <cellStyle name="Normal 113 2 3 2" xfId="7595"/>
    <cellStyle name="Normal 113 2 3 2 2" xfId="21243"/>
    <cellStyle name="Normal 113 2 3 3" xfId="10733"/>
    <cellStyle name="Normal 113 2 3 3 2" xfId="24364"/>
    <cellStyle name="Normal 113 2 3 4" xfId="14029"/>
    <cellStyle name="Normal 113 2 3 4 2" xfId="27657"/>
    <cellStyle name="Normal 113 2 3 5" xfId="17960"/>
    <cellStyle name="Normal 113 2 4" xfId="6001"/>
    <cellStyle name="Normal 113 2 4 2" xfId="19651"/>
    <cellStyle name="Normal 113 2 5" xfId="9287"/>
    <cellStyle name="Normal 113 2 5 2" xfId="22929"/>
    <cellStyle name="Normal 113 2 6" xfId="12601"/>
    <cellStyle name="Normal 113 2 6 2" xfId="26229"/>
    <cellStyle name="Normal 113 2 7" xfId="15502"/>
    <cellStyle name="Normal 113 2 8" xfId="16446"/>
    <cellStyle name="Normal 113 3" xfId="2423"/>
    <cellStyle name="Normal 113 3 2" xfId="3529"/>
    <cellStyle name="Normal 113 3 2 2" xfId="5196"/>
    <cellStyle name="Normal 113 3 2 2 2" xfId="8460"/>
    <cellStyle name="Normal 113 3 2 2 2 2" xfId="22108"/>
    <cellStyle name="Normal 113 3 2 2 3" xfId="11527"/>
    <cellStyle name="Normal 113 3 2 2 3 2" xfId="25158"/>
    <cellStyle name="Normal 113 3 2 2 4" xfId="14823"/>
    <cellStyle name="Normal 113 3 2 2 4 2" xfId="28451"/>
    <cellStyle name="Normal 113 3 2 2 5" xfId="18854"/>
    <cellStyle name="Normal 113 3 2 3" xfId="6963"/>
    <cellStyle name="Normal 113 3 2 3 2" xfId="20613"/>
    <cellStyle name="Normal 113 3 2 4" xfId="10104"/>
    <cellStyle name="Normal 113 3 2 4 2" xfId="23735"/>
    <cellStyle name="Normal 113 3 2 5" xfId="13399"/>
    <cellStyle name="Normal 113 3 2 5 2" xfId="27027"/>
    <cellStyle name="Normal 113 3 2 6" xfId="17330"/>
    <cellStyle name="Normal 113 3 3" xfId="4250"/>
    <cellStyle name="Normal 113 3 3 2" xfId="7680"/>
    <cellStyle name="Normal 113 3 3 2 2" xfId="21328"/>
    <cellStyle name="Normal 113 3 3 3" xfId="10818"/>
    <cellStyle name="Normal 113 3 3 3 2" xfId="24449"/>
    <cellStyle name="Normal 113 3 3 4" xfId="14114"/>
    <cellStyle name="Normal 113 3 3 4 2" xfId="27742"/>
    <cellStyle name="Normal 113 3 3 5" xfId="18045"/>
    <cellStyle name="Normal 113 3 4" xfId="6086"/>
    <cellStyle name="Normal 113 3 4 2" xfId="19736"/>
    <cellStyle name="Normal 113 3 5" xfId="9372"/>
    <cellStyle name="Normal 113 3 5 2" xfId="23014"/>
    <cellStyle name="Normal 113 3 6" xfId="12686"/>
    <cellStyle name="Normal 113 3 6 2" xfId="26314"/>
    <cellStyle name="Normal 113 3 7" xfId="16534"/>
    <cellStyle name="Normal 113 4" xfId="2732"/>
    <cellStyle name="Normal 113 4 2" xfId="3686"/>
    <cellStyle name="Normal 113 4 2 2" xfId="5353"/>
    <cellStyle name="Normal 113 4 2 2 2" xfId="8616"/>
    <cellStyle name="Normal 113 4 2 2 2 2" xfId="22264"/>
    <cellStyle name="Normal 113 4 2 2 3" xfId="11683"/>
    <cellStyle name="Normal 113 4 2 2 3 2" xfId="25314"/>
    <cellStyle name="Normal 113 4 2 2 4" xfId="14979"/>
    <cellStyle name="Normal 113 4 2 2 4 2" xfId="28607"/>
    <cellStyle name="Normal 113 4 2 2 5" xfId="19011"/>
    <cellStyle name="Normal 113 4 2 3" xfId="7120"/>
    <cellStyle name="Normal 113 4 2 3 2" xfId="20770"/>
    <cellStyle name="Normal 113 4 2 4" xfId="10261"/>
    <cellStyle name="Normal 113 4 2 4 2" xfId="23892"/>
    <cellStyle name="Normal 113 4 2 5" xfId="13556"/>
    <cellStyle name="Normal 113 4 2 5 2" xfId="27184"/>
    <cellStyle name="Normal 113 4 2 6" xfId="17487"/>
    <cellStyle name="Normal 113 4 3" xfId="4475"/>
    <cellStyle name="Normal 113 4 3 2" xfId="7905"/>
    <cellStyle name="Normal 113 4 3 2 2" xfId="21553"/>
    <cellStyle name="Normal 113 4 3 3" xfId="10974"/>
    <cellStyle name="Normal 113 4 3 3 2" xfId="24605"/>
    <cellStyle name="Normal 113 4 3 4" xfId="14270"/>
    <cellStyle name="Normal 113 4 3 4 2" xfId="27898"/>
    <cellStyle name="Normal 113 4 3 5" xfId="18270"/>
    <cellStyle name="Normal 113 4 4" xfId="6326"/>
    <cellStyle name="Normal 113 4 4 2" xfId="19976"/>
    <cellStyle name="Normal 113 4 5" xfId="9528"/>
    <cellStyle name="Normal 113 4 5 2" xfId="23170"/>
    <cellStyle name="Normal 113 4 6" xfId="12842"/>
    <cellStyle name="Normal 113 4 6 2" xfId="26470"/>
    <cellStyle name="Normal 113 4 7" xfId="16759"/>
    <cellStyle name="Normal 113 5" xfId="2922"/>
    <cellStyle name="Normal 113 5 2" xfId="4769"/>
    <cellStyle name="Normal 113 5 2 2" xfId="8037"/>
    <cellStyle name="Normal 113 5 2 2 2" xfId="21685"/>
    <cellStyle name="Normal 113 5 2 3" xfId="11106"/>
    <cellStyle name="Normal 113 5 2 3 2" xfId="24737"/>
    <cellStyle name="Normal 113 5 2 4" xfId="14402"/>
    <cellStyle name="Normal 113 5 2 4 2" xfId="28030"/>
    <cellStyle name="Normal 113 5 2 5" xfId="18428"/>
    <cellStyle name="Normal 113 5 3" xfId="6459"/>
    <cellStyle name="Normal 113 5 3 2" xfId="20109"/>
    <cellStyle name="Normal 113 5 4" xfId="9680"/>
    <cellStyle name="Normal 113 5 4 2" xfId="23311"/>
    <cellStyle name="Normal 113 5 5" xfId="12975"/>
    <cellStyle name="Normal 113 5 5 2" xfId="26603"/>
    <cellStyle name="Normal 113 5 6" xfId="16893"/>
    <cellStyle name="Normal 113 6" xfId="3927"/>
    <cellStyle name="Normal 113 6 2" xfId="7357"/>
    <cellStyle name="Normal 113 6 2 2" xfId="21005"/>
    <cellStyle name="Normal 113 6 3" xfId="10495"/>
    <cellStyle name="Normal 113 6 3 2" xfId="24126"/>
    <cellStyle name="Normal 113 6 4" xfId="13791"/>
    <cellStyle name="Normal 113 6 4 2" xfId="27419"/>
    <cellStyle name="Normal 113 6 5" xfId="17722"/>
    <cellStyle name="Normal 113 7" xfId="5519"/>
    <cellStyle name="Normal 113 7 2" xfId="8780"/>
    <cellStyle name="Normal 113 7 2 2" xfId="22423"/>
    <cellStyle name="Normal 113 7 3" xfId="11840"/>
    <cellStyle name="Normal 113 7 3 2" xfId="25471"/>
    <cellStyle name="Normal 113 7 4" xfId="15136"/>
    <cellStyle name="Normal 113 7 4 2" xfId="28764"/>
    <cellStyle name="Normal 113 7 5" xfId="19169"/>
    <cellStyle name="Normal 113 8" xfId="5766"/>
    <cellStyle name="Normal 113 8 2" xfId="19416"/>
    <cellStyle name="Normal 113 9" xfId="8971"/>
    <cellStyle name="Normal 113 9 2" xfId="22614"/>
    <cellStyle name="Normal 114" xfId="1026"/>
    <cellStyle name="Normal 114 10" xfId="12124"/>
    <cellStyle name="Normal 114 10 2" xfId="25752"/>
    <cellStyle name="Normal 114 11" xfId="12367"/>
    <cellStyle name="Normal 114 11 2" xfId="25995"/>
    <cellStyle name="Normal 114 12" xfId="15503"/>
    <cellStyle name="Normal 114 12 2" xfId="29009"/>
    <cellStyle name="Normal 114 13" xfId="16111"/>
    <cellStyle name="Normal 114 14" xfId="29646"/>
    <cellStyle name="Normal 114 2" xfId="2263"/>
    <cellStyle name="Normal 114 2 2" xfId="3376"/>
    <cellStyle name="Normal 114 2 2 2" xfId="5112"/>
    <cellStyle name="Normal 114 2 2 2 2" xfId="8376"/>
    <cellStyle name="Normal 114 2 2 2 2 2" xfId="22024"/>
    <cellStyle name="Normal 114 2 2 2 3" xfId="11443"/>
    <cellStyle name="Normal 114 2 2 2 3 2" xfId="25074"/>
    <cellStyle name="Normal 114 2 2 2 4" xfId="14739"/>
    <cellStyle name="Normal 114 2 2 2 4 2" xfId="28367"/>
    <cellStyle name="Normal 114 2 2 2 5" xfId="18770"/>
    <cellStyle name="Normal 114 2 2 3" xfId="6810"/>
    <cellStyle name="Normal 114 2 2 3 2" xfId="20460"/>
    <cellStyle name="Normal 114 2 2 4" xfId="10020"/>
    <cellStyle name="Normal 114 2 2 4 2" xfId="23651"/>
    <cellStyle name="Normal 114 2 2 5" xfId="13315"/>
    <cellStyle name="Normal 114 2 2 5 2" xfId="26943"/>
    <cellStyle name="Normal 114 2 2 6" xfId="17245"/>
    <cellStyle name="Normal 114 2 3" xfId="4166"/>
    <cellStyle name="Normal 114 2 3 2" xfId="7596"/>
    <cellStyle name="Normal 114 2 3 2 2" xfId="21244"/>
    <cellStyle name="Normal 114 2 3 3" xfId="10734"/>
    <cellStyle name="Normal 114 2 3 3 2" xfId="24365"/>
    <cellStyle name="Normal 114 2 3 4" xfId="14030"/>
    <cellStyle name="Normal 114 2 3 4 2" xfId="27658"/>
    <cellStyle name="Normal 114 2 3 5" xfId="17961"/>
    <cellStyle name="Normal 114 2 4" xfId="6002"/>
    <cellStyle name="Normal 114 2 4 2" xfId="19652"/>
    <cellStyle name="Normal 114 2 5" xfId="9288"/>
    <cellStyle name="Normal 114 2 5 2" xfId="22930"/>
    <cellStyle name="Normal 114 2 6" xfId="12602"/>
    <cellStyle name="Normal 114 2 6 2" xfId="26230"/>
    <cellStyle name="Normal 114 2 7" xfId="16447"/>
    <cellStyle name="Normal 114 3" xfId="2424"/>
    <cellStyle name="Normal 114 3 2" xfId="3530"/>
    <cellStyle name="Normal 114 3 2 2" xfId="5197"/>
    <cellStyle name="Normal 114 3 2 2 2" xfId="8461"/>
    <cellStyle name="Normal 114 3 2 2 2 2" xfId="22109"/>
    <cellStyle name="Normal 114 3 2 2 3" xfId="11528"/>
    <cellStyle name="Normal 114 3 2 2 3 2" xfId="25159"/>
    <cellStyle name="Normal 114 3 2 2 4" xfId="14824"/>
    <cellStyle name="Normal 114 3 2 2 4 2" xfId="28452"/>
    <cellStyle name="Normal 114 3 2 2 5" xfId="18855"/>
    <cellStyle name="Normal 114 3 2 3" xfId="6964"/>
    <cellStyle name="Normal 114 3 2 3 2" xfId="20614"/>
    <cellStyle name="Normal 114 3 2 4" xfId="10105"/>
    <cellStyle name="Normal 114 3 2 4 2" xfId="23736"/>
    <cellStyle name="Normal 114 3 2 5" xfId="13400"/>
    <cellStyle name="Normal 114 3 2 5 2" xfId="27028"/>
    <cellStyle name="Normal 114 3 2 6" xfId="17331"/>
    <cellStyle name="Normal 114 3 3" xfId="4251"/>
    <cellStyle name="Normal 114 3 3 2" xfId="7681"/>
    <cellStyle name="Normal 114 3 3 2 2" xfId="21329"/>
    <cellStyle name="Normal 114 3 3 3" xfId="10819"/>
    <cellStyle name="Normal 114 3 3 3 2" xfId="24450"/>
    <cellStyle name="Normal 114 3 3 4" xfId="14115"/>
    <cellStyle name="Normal 114 3 3 4 2" xfId="27743"/>
    <cellStyle name="Normal 114 3 3 5" xfId="18046"/>
    <cellStyle name="Normal 114 3 4" xfId="6087"/>
    <cellStyle name="Normal 114 3 4 2" xfId="19737"/>
    <cellStyle name="Normal 114 3 5" xfId="9373"/>
    <cellStyle name="Normal 114 3 5 2" xfId="23015"/>
    <cellStyle name="Normal 114 3 6" xfId="12687"/>
    <cellStyle name="Normal 114 3 6 2" xfId="26315"/>
    <cellStyle name="Normal 114 3 7" xfId="16535"/>
    <cellStyle name="Normal 114 4" xfId="2733"/>
    <cellStyle name="Normal 114 4 2" xfId="3687"/>
    <cellStyle name="Normal 114 4 2 2" xfId="5354"/>
    <cellStyle name="Normal 114 4 2 2 2" xfId="8617"/>
    <cellStyle name="Normal 114 4 2 2 2 2" xfId="22265"/>
    <cellStyle name="Normal 114 4 2 2 3" xfId="11684"/>
    <cellStyle name="Normal 114 4 2 2 3 2" xfId="25315"/>
    <cellStyle name="Normal 114 4 2 2 4" xfId="14980"/>
    <cellStyle name="Normal 114 4 2 2 4 2" xfId="28608"/>
    <cellStyle name="Normal 114 4 2 2 5" xfId="19012"/>
    <cellStyle name="Normal 114 4 2 3" xfId="7121"/>
    <cellStyle name="Normal 114 4 2 3 2" xfId="20771"/>
    <cellStyle name="Normal 114 4 2 4" xfId="10262"/>
    <cellStyle name="Normal 114 4 2 4 2" xfId="23893"/>
    <cellStyle name="Normal 114 4 2 5" xfId="13557"/>
    <cellStyle name="Normal 114 4 2 5 2" xfId="27185"/>
    <cellStyle name="Normal 114 4 2 6" xfId="17488"/>
    <cellStyle name="Normal 114 4 3" xfId="4476"/>
    <cellStyle name="Normal 114 4 3 2" xfId="7906"/>
    <cellStyle name="Normal 114 4 3 2 2" xfId="21554"/>
    <cellStyle name="Normal 114 4 3 3" xfId="10975"/>
    <cellStyle name="Normal 114 4 3 3 2" xfId="24606"/>
    <cellStyle name="Normal 114 4 3 4" xfId="14271"/>
    <cellStyle name="Normal 114 4 3 4 2" xfId="27899"/>
    <cellStyle name="Normal 114 4 3 5" xfId="18271"/>
    <cellStyle name="Normal 114 4 4" xfId="6327"/>
    <cellStyle name="Normal 114 4 4 2" xfId="19977"/>
    <cellStyle name="Normal 114 4 5" xfId="9529"/>
    <cellStyle name="Normal 114 4 5 2" xfId="23171"/>
    <cellStyle name="Normal 114 4 6" xfId="12843"/>
    <cellStyle name="Normal 114 4 6 2" xfId="26471"/>
    <cellStyle name="Normal 114 4 7" xfId="16760"/>
    <cellStyle name="Normal 114 5" xfId="2923"/>
    <cellStyle name="Normal 114 5 2" xfId="4770"/>
    <cellStyle name="Normal 114 5 2 2" xfId="8038"/>
    <cellStyle name="Normal 114 5 2 2 2" xfId="21686"/>
    <cellStyle name="Normal 114 5 2 3" xfId="11107"/>
    <cellStyle name="Normal 114 5 2 3 2" xfId="24738"/>
    <cellStyle name="Normal 114 5 2 4" xfId="14403"/>
    <cellStyle name="Normal 114 5 2 4 2" xfId="28031"/>
    <cellStyle name="Normal 114 5 2 5" xfId="18429"/>
    <cellStyle name="Normal 114 5 3" xfId="6460"/>
    <cellStyle name="Normal 114 5 3 2" xfId="20110"/>
    <cellStyle name="Normal 114 5 4" xfId="9681"/>
    <cellStyle name="Normal 114 5 4 2" xfId="23312"/>
    <cellStyle name="Normal 114 5 5" xfId="12976"/>
    <cellStyle name="Normal 114 5 5 2" xfId="26604"/>
    <cellStyle name="Normal 114 5 6" xfId="16894"/>
    <cellStyle name="Normal 114 6" xfId="3928"/>
    <cellStyle name="Normal 114 6 2" xfId="7358"/>
    <cellStyle name="Normal 114 6 2 2" xfId="21006"/>
    <cellStyle name="Normal 114 6 3" xfId="10496"/>
    <cellStyle name="Normal 114 6 3 2" xfId="24127"/>
    <cellStyle name="Normal 114 6 4" xfId="13792"/>
    <cellStyle name="Normal 114 6 4 2" xfId="27420"/>
    <cellStyle name="Normal 114 6 5" xfId="17723"/>
    <cellStyle name="Normal 114 7" xfId="5520"/>
    <cellStyle name="Normal 114 7 2" xfId="8781"/>
    <cellStyle name="Normal 114 7 2 2" xfId="22424"/>
    <cellStyle name="Normal 114 7 3" xfId="11841"/>
    <cellStyle name="Normal 114 7 3 2" xfId="25472"/>
    <cellStyle name="Normal 114 7 4" xfId="15137"/>
    <cellStyle name="Normal 114 7 4 2" xfId="28765"/>
    <cellStyle name="Normal 114 7 5" xfId="19170"/>
    <cellStyle name="Normal 114 8" xfId="5767"/>
    <cellStyle name="Normal 114 8 2" xfId="19417"/>
    <cellStyle name="Normal 114 9" xfId="8972"/>
    <cellStyle name="Normal 114 9 2" xfId="22615"/>
    <cellStyle name="Normal 115" xfId="1027"/>
    <cellStyle name="Normal 115 10" xfId="12125"/>
    <cellStyle name="Normal 115 10 2" xfId="25753"/>
    <cellStyle name="Normal 115 11" xfId="12368"/>
    <cellStyle name="Normal 115 11 2" xfId="25996"/>
    <cellStyle name="Normal 115 12" xfId="15504"/>
    <cellStyle name="Normal 115 12 2" xfId="29010"/>
    <cellStyle name="Normal 115 13" xfId="16112"/>
    <cellStyle name="Normal 115 14" xfId="29647"/>
    <cellStyle name="Normal 115 2" xfId="2264"/>
    <cellStyle name="Normal 115 2 2" xfId="3377"/>
    <cellStyle name="Normal 115 2 2 2" xfId="5113"/>
    <cellStyle name="Normal 115 2 2 2 2" xfId="8377"/>
    <cellStyle name="Normal 115 2 2 2 2 2" xfId="22025"/>
    <cellStyle name="Normal 115 2 2 2 3" xfId="11444"/>
    <cellStyle name="Normal 115 2 2 2 3 2" xfId="25075"/>
    <cellStyle name="Normal 115 2 2 2 4" xfId="14740"/>
    <cellStyle name="Normal 115 2 2 2 4 2" xfId="28368"/>
    <cellStyle name="Normal 115 2 2 2 5" xfId="18771"/>
    <cellStyle name="Normal 115 2 2 3" xfId="6811"/>
    <cellStyle name="Normal 115 2 2 3 2" xfId="20461"/>
    <cellStyle name="Normal 115 2 2 4" xfId="10021"/>
    <cellStyle name="Normal 115 2 2 4 2" xfId="23652"/>
    <cellStyle name="Normal 115 2 2 5" xfId="13316"/>
    <cellStyle name="Normal 115 2 2 5 2" xfId="26944"/>
    <cellStyle name="Normal 115 2 2 6" xfId="17246"/>
    <cellStyle name="Normal 115 2 3" xfId="4167"/>
    <cellStyle name="Normal 115 2 3 2" xfId="7597"/>
    <cellStyle name="Normal 115 2 3 2 2" xfId="21245"/>
    <cellStyle name="Normal 115 2 3 3" xfId="10735"/>
    <cellStyle name="Normal 115 2 3 3 2" xfId="24366"/>
    <cellStyle name="Normal 115 2 3 4" xfId="14031"/>
    <cellStyle name="Normal 115 2 3 4 2" xfId="27659"/>
    <cellStyle name="Normal 115 2 3 5" xfId="17962"/>
    <cellStyle name="Normal 115 2 4" xfId="6003"/>
    <cellStyle name="Normal 115 2 4 2" xfId="19653"/>
    <cellStyle name="Normal 115 2 5" xfId="9289"/>
    <cellStyle name="Normal 115 2 5 2" xfId="22931"/>
    <cellStyle name="Normal 115 2 6" xfId="12603"/>
    <cellStyle name="Normal 115 2 6 2" xfId="26231"/>
    <cellStyle name="Normal 115 2 7" xfId="16448"/>
    <cellStyle name="Normal 115 3" xfId="2425"/>
    <cellStyle name="Normal 115 3 2" xfId="3531"/>
    <cellStyle name="Normal 115 3 2 2" xfId="5198"/>
    <cellStyle name="Normal 115 3 2 2 2" xfId="8462"/>
    <cellStyle name="Normal 115 3 2 2 2 2" xfId="22110"/>
    <cellStyle name="Normal 115 3 2 2 3" xfId="11529"/>
    <cellStyle name="Normal 115 3 2 2 3 2" xfId="25160"/>
    <cellStyle name="Normal 115 3 2 2 4" xfId="14825"/>
    <cellStyle name="Normal 115 3 2 2 4 2" xfId="28453"/>
    <cellStyle name="Normal 115 3 2 2 5" xfId="18856"/>
    <cellStyle name="Normal 115 3 2 3" xfId="6965"/>
    <cellStyle name="Normal 115 3 2 3 2" xfId="20615"/>
    <cellStyle name="Normal 115 3 2 4" xfId="10106"/>
    <cellStyle name="Normal 115 3 2 4 2" xfId="23737"/>
    <cellStyle name="Normal 115 3 2 5" xfId="13401"/>
    <cellStyle name="Normal 115 3 2 5 2" xfId="27029"/>
    <cellStyle name="Normal 115 3 2 6" xfId="17332"/>
    <cellStyle name="Normal 115 3 3" xfId="4252"/>
    <cellStyle name="Normal 115 3 3 2" xfId="7682"/>
    <cellStyle name="Normal 115 3 3 2 2" xfId="21330"/>
    <cellStyle name="Normal 115 3 3 3" xfId="10820"/>
    <cellStyle name="Normal 115 3 3 3 2" xfId="24451"/>
    <cellStyle name="Normal 115 3 3 4" xfId="14116"/>
    <cellStyle name="Normal 115 3 3 4 2" xfId="27744"/>
    <cellStyle name="Normal 115 3 3 5" xfId="18047"/>
    <cellStyle name="Normal 115 3 4" xfId="6088"/>
    <cellStyle name="Normal 115 3 4 2" xfId="19738"/>
    <cellStyle name="Normal 115 3 5" xfId="9374"/>
    <cellStyle name="Normal 115 3 5 2" xfId="23016"/>
    <cellStyle name="Normal 115 3 6" xfId="12688"/>
    <cellStyle name="Normal 115 3 6 2" xfId="26316"/>
    <cellStyle name="Normal 115 3 7" xfId="16536"/>
    <cellStyle name="Normal 115 4" xfId="2734"/>
    <cellStyle name="Normal 115 4 2" xfId="3688"/>
    <cellStyle name="Normal 115 4 2 2" xfId="5355"/>
    <cellStyle name="Normal 115 4 2 2 2" xfId="8618"/>
    <cellStyle name="Normal 115 4 2 2 2 2" xfId="22266"/>
    <cellStyle name="Normal 115 4 2 2 3" xfId="11685"/>
    <cellStyle name="Normal 115 4 2 2 3 2" xfId="25316"/>
    <cellStyle name="Normal 115 4 2 2 4" xfId="14981"/>
    <cellStyle name="Normal 115 4 2 2 4 2" xfId="28609"/>
    <cellStyle name="Normal 115 4 2 2 5" xfId="19013"/>
    <cellStyle name="Normal 115 4 2 3" xfId="7122"/>
    <cellStyle name="Normal 115 4 2 3 2" xfId="20772"/>
    <cellStyle name="Normal 115 4 2 4" xfId="10263"/>
    <cellStyle name="Normal 115 4 2 4 2" xfId="23894"/>
    <cellStyle name="Normal 115 4 2 5" xfId="13558"/>
    <cellStyle name="Normal 115 4 2 5 2" xfId="27186"/>
    <cellStyle name="Normal 115 4 2 6" xfId="17489"/>
    <cellStyle name="Normal 115 4 3" xfId="4477"/>
    <cellStyle name="Normal 115 4 3 2" xfId="7907"/>
    <cellStyle name="Normal 115 4 3 2 2" xfId="21555"/>
    <cellStyle name="Normal 115 4 3 3" xfId="10976"/>
    <cellStyle name="Normal 115 4 3 3 2" xfId="24607"/>
    <cellStyle name="Normal 115 4 3 4" xfId="14272"/>
    <cellStyle name="Normal 115 4 3 4 2" xfId="27900"/>
    <cellStyle name="Normal 115 4 3 5" xfId="18272"/>
    <cellStyle name="Normal 115 4 4" xfId="6328"/>
    <cellStyle name="Normal 115 4 4 2" xfId="19978"/>
    <cellStyle name="Normal 115 4 5" xfId="9530"/>
    <cellStyle name="Normal 115 4 5 2" xfId="23172"/>
    <cellStyle name="Normal 115 4 6" xfId="12844"/>
    <cellStyle name="Normal 115 4 6 2" xfId="26472"/>
    <cellStyle name="Normal 115 4 7" xfId="16761"/>
    <cellStyle name="Normal 115 5" xfId="2924"/>
    <cellStyle name="Normal 115 5 2" xfId="4771"/>
    <cellStyle name="Normal 115 5 2 2" xfId="8039"/>
    <cellStyle name="Normal 115 5 2 2 2" xfId="21687"/>
    <cellStyle name="Normal 115 5 2 3" xfId="11108"/>
    <cellStyle name="Normal 115 5 2 3 2" xfId="24739"/>
    <cellStyle name="Normal 115 5 2 4" xfId="14404"/>
    <cellStyle name="Normal 115 5 2 4 2" xfId="28032"/>
    <cellStyle name="Normal 115 5 2 5" xfId="18430"/>
    <cellStyle name="Normal 115 5 3" xfId="6461"/>
    <cellStyle name="Normal 115 5 3 2" xfId="20111"/>
    <cellStyle name="Normal 115 5 4" xfId="9682"/>
    <cellStyle name="Normal 115 5 4 2" xfId="23313"/>
    <cellStyle name="Normal 115 5 5" xfId="12977"/>
    <cellStyle name="Normal 115 5 5 2" xfId="26605"/>
    <cellStyle name="Normal 115 5 6" xfId="16895"/>
    <cellStyle name="Normal 115 6" xfId="3929"/>
    <cellStyle name="Normal 115 6 2" xfId="7359"/>
    <cellStyle name="Normal 115 6 2 2" xfId="21007"/>
    <cellStyle name="Normal 115 6 3" xfId="10497"/>
    <cellStyle name="Normal 115 6 3 2" xfId="24128"/>
    <cellStyle name="Normal 115 6 4" xfId="13793"/>
    <cellStyle name="Normal 115 6 4 2" xfId="27421"/>
    <cellStyle name="Normal 115 6 5" xfId="17724"/>
    <cellStyle name="Normal 115 7" xfId="5521"/>
    <cellStyle name="Normal 115 7 2" xfId="8782"/>
    <cellStyle name="Normal 115 7 2 2" xfId="22425"/>
    <cellStyle name="Normal 115 7 3" xfId="11842"/>
    <cellStyle name="Normal 115 7 3 2" xfId="25473"/>
    <cellStyle name="Normal 115 7 4" xfId="15138"/>
    <cellStyle name="Normal 115 7 4 2" xfId="28766"/>
    <cellStyle name="Normal 115 7 5" xfId="19171"/>
    <cellStyle name="Normal 115 8" xfId="5768"/>
    <cellStyle name="Normal 115 8 2" xfId="19418"/>
    <cellStyle name="Normal 115 9" xfId="8973"/>
    <cellStyle name="Normal 115 9 2" xfId="22616"/>
    <cellStyle name="Normal 116" xfId="1028"/>
    <cellStyle name="Normal 117" xfId="1029"/>
    <cellStyle name="Normal 118" xfId="1030"/>
    <cellStyle name="Normal 119" xfId="1031"/>
    <cellStyle name="Normal 12" xfId="68"/>
    <cellStyle name="Normal 12 2" xfId="141"/>
    <cellStyle name="Normal 12 2 2" xfId="1032"/>
    <cellStyle name="Normal 12 3" xfId="1033"/>
    <cellStyle name="Normal 12 4" xfId="1034"/>
    <cellStyle name="Normal 12 5" xfId="1980"/>
    <cellStyle name="Normal 12_Data Check Control" xfId="200"/>
    <cellStyle name="Normal 120" xfId="1035"/>
    <cellStyle name="Normal 120 10" xfId="12126"/>
    <cellStyle name="Normal 120 10 2" xfId="25754"/>
    <cellStyle name="Normal 120 11" xfId="12369"/>
    <cellStyle name="Normal 120 11 2" xfId="25997"/>
    <cellStyle name="Normal 120 12" xfId="15505"/>
    <cellStyle name="Normal 120 12 2" xfId="29011"/>
    <cellStyle name="Normal 120 13" xfId="16113"/>
    <cellStyle name="Normal 120 14" xfId="29648"/>
    <cellStyle name="Normal 120 2" xfId="2265"/>
    <cellStyle name="Normal 120 2 2" xfId="3378"/>
    <cellStyle name="Normal 120 2 2 2" xfId="5114"/>
    <cellStyle name="Normal 120 2 2 2 2" xfId="8378"/>
    <cellStyle name="Normal 120 2 2 2 2 2" xfId="22026"/>
    <cellStyle name="Normal 120 2 2 2 3" xfId="11445"/>
    <cellStyle name="Normal 120 2 2 2 3 2" xfId="25076"/>
    <cellStyle name="Normal 120 2 2 2 4" xfId="14741"/>
    <cellStyle name="Normal 120 2 2 2 4 2" xfId="28369"/>
    <cellStyle name="Normal 120 2 2 2 5" xfId="18772"/>
    <cellStyle name="Normal 120 2 2 3" xfId="6812"/>
    <cellStyle name="Normal 120 2 2 3 2" xfId="20462"/>
    <cellStyle name="Normal 120 2 2 4" xfId="10022"/>
    <cellStyle name="Normal 120 2 2 4 2" xfId="23653"/>
    <cellStyle name="Normal 120 2 2 5" xfId="13317"/>
    <cellStyle name="Normal 120 2 2 5 2" xfId="26945"/>
    <cellStyle name="Normal 120 2 2 6" xfId="17247"/>
    <cellStyle name="Normal 120 2 3" xfId="4168"/>
    <cellStyle name="Normal 120 2 3 2" xfId="7598"/>
    <cellStyle name="Normal 120 2 3 2 2" xfId="21246"/>
    <cellStyle name="Normal 120 2 3 3" xfId="10736"/>
    <cellStyle name="Normal 120 2 3 3 2" xfId="24367"/>
    <cellStyle name="Normal 120 2 3 4" xfId="14032"/>
    <cellStyle name="Normal 120 2 3 4 2" xfId="27660"/>
    <cellStyle name="Normal 120 2 3 5" xfId="17963"/>
    <cellStyle name="Normal 120 2 4" xfId="6004"/>
    <cellStyle name="Normal 120 2 4 2" xfId="19654"/>
    <cellStyle name="Normal 120 2 5" xfId="9290"/>
    <cellStyle name="Normal 120 2 5 2" xfId="22932"/>
    <cellStyle name="Normal 120 2 6" xfId="12604"/>
    <cellStyle name="Normal 120 2 6 2" xfId="26232"/>
    <cellStyle name="Normal 120 2 7" xfId="16449"/>
    <cellStyle name="Normal 120 3" xfId="2426"/>
    <cellStyle name="Normal 120 3 2" xfId="3532"/>
    <cellStyle name="Normal 120 3 2 2" xfId="5199"/>
    <cellStyle name="Normal 120 3 2 2 2" xfId="8463"/>
    <cellStyle name="Normal 120 3 2 2 2 2" xfId="22111"/>
    <cellStyle name="Normal 120 3 2 2 3" xfId="11530"/>
    <cellStyle name="Normal 120 3 2 2 3 2" xfId="25161"/>
    <cellStyle name="Normal 120 3 2 2 4" xfId="14826"/>
    <cellStyle name="Normal 120 3 2 2 4 2" xfId="28454"/>
    <cellStyle name="Normal 120 3 2 2 5" xfId="18857"/>
    <cellStyle name="Normal 120 3 2 3" xfId="6966"/>
    <cellStyle name="Normal 120 3 2 3 2" xfId="20616"/>
    <cellStyle name="Normal 120 3 2 4" xfId="10107"/>
    <cellStyle name="Normal 120 3 2 4 2" xfId="23738"/>
    <cellStyle name="Normal 120 3 2 5" xfId="13402"/>
    <cellStyle name="Normal 120 3 2 5 2" xfId="27030"/>
    <cellStyle name="Normal 120 3 2 6" xfId="17333"/>
    <cellStyle name="Normal 120 3 3" xfId="4253"/>
    <cellStyle name="Normal 120 3 3 2" xfId="7683"/>
    <cellStyle name="Normal 120 3 3 2 2" xfId="21331"/>
    <cellStyle name="Normal 120 3 3 3" xfId="10821"/>
    <cellStyle name="Normal 120 3 3 3 2" xfId="24452"/>
    <cellStyle name="Normal 120 3 3 4" xfId="14117"/>
    <cellStyle name="Normal 120 3 3 4 2" xfId="27745"/>
    <cellStyle name="Normal 120 3 3 5" xfId="18048"/>
    <cellStyle name="Normal 120 3 4" xfId="6089"/>
    <cellStyle name="Normal 120 3 4 2" xfId="19739"/>
    <cellStyle name="Normal 120 3 5" xfId="9375"/>
    <cellStyle name="Normal 120 3 5 2" xfId="23017"/>
    <cellStyle name="Normal 120 3 6" xfId="12689"/>
    <cellStyle name="Normal 120 3 6 2" xfId="26317"/>
    <cellStyle name="Normal 120 3 7" xfId="16537"/>
    <cellStyle name="Normal 120 4" xfId="2735"/>
    <cellStyle name="Normal 120 4 2" xfId="3689"/>
    <cellStyle name="Normal 120 4 2 2" xfId="5356"/>
    <cellStyle name="Normal 120 4 2 2 2" xfId="8619"/>
    <cellStyle name="Normal 120 4 2 2 2 2" xfId="22267"/>
    <cellStyle name="Normal 120 4 2 2 3" xfId="11686"/>
    <cellStyle name="Normal 120 4 2 2 3 2" xfId="25317"/>
    <cellStyle name="Normal 120 4 2 2 4" xfId="14982"/>
    <cellStyle name="Normal 120 4 2 2 4 2" xfId="28610"/>
    <cellStyle name="Normal 120 4 2 2 5" xfId="19014"/>
    <cellStyle name="Normal 120 4 2 3" xfId="7123"/>
    <cellStyle name="Normal 120 4 2 3 2" xfId="20773"/>
    <cellStyle name="Normal 120 4 2 4" xfId="10264"/>
    <cellStyle name="Normal 120 4 2 4 2" xfId="23895"/>
    <cellStyle name="Normal 120 4 2 5" xfId="13559"/>
    <cellStyle name="Normal 120 4 2 5 2" xfId="27187"/>
    <cellStyle name="Normal 120 4 2 6" xfId="17490"/>
    <cellStyle name="Normal 120 4 3" xfId="4478"/>
    <cellStyle name="Normal 120 4 3 2" xfId="7908"/>
    <cellStyle name="Normal 120 4 3 2 2" xfId="21556"/>
    <cellStyle name="Normal 120 4 3 3" xfId="10977"/>
    <cellStyle name="Normal 120 4 3 3 2" xfId="24608"/>
    <cellStyle name="Normal 120 4 3 4" xfId="14273"/>
    <cellStyle name="Normal 120 4 3 4 2" xfId="27901"/>
    <cellStyle name="Normal 120 4 3 5" xfId="18273"/>
    <cellStyle name="Normal 120 4 4" xfId="6329"/>
    <cellStyle name="Normal 120 4 4 2" xfId="19979"/>
    <cellStyle name="Normal 120 4 5" xfId="9531"/>
    <cellStyle name="Normal 120 4 5 2" xfId="23173"/>
    <cellStyle name="Normal 120 4 6" xfId="12845"/>
    <cellStyle name="Normal 120 4 6 2" xfId="26473"/>
    <cellStyle name="Normal 120 4 7" xfId="16762"/>
    <cellStyle name="Normal 120 5" xfId="2925"/>
    <cellStyle name="Normal 120 5 2" xfId="4772"/>
    <cellStyle name="Normal 120 5 2 2" xfId="8040"/>
    <cellStyle name="Normal 120 5 2 2 2" xfId="21688"/>
    <cellStyle name="Normal 120 5 2 3" xfId="11109"/>
    <cellStyle name="Normal 120 5 2 3 2" xfId="24740"/>
    <cellStyle name="Normal 120 5 2 4" xfId="14405"/>
    <cellStyle name="Normal 120 5 2 4 2" xfId="28033"/>
    <cellStyle name="Normal 120 5 2 5" xfId="18431"/>
    <cellStyle name="Normal 120 5 3" xfId="6462"/>
    <cellStyle name="Normal 120 5 3 2" xfId="20112"/>
    <cellStyle name="Normal 120 5 4" xfId="9683"/>
    <cellStyle name="Normal 120 5 4 2" xfId="23314"/>
    <cellStyle name="Normal 120 5 5" xfId="12978"/>
    <cellStyle name="Normal 120 5 5 2" xfId="26606"/>
    <cellStyle name="Normal 120 5 6" xfId="16896"/>
    <cellStyle name="Normal 120 6" xfId="3930"/>
    <cellStyle name="Normal 120 6 2" xfId="7360"/>
    <cellStyle name="Normal 120 6 2 2" xfId="21008"/>
    <cellStyle name="Normal 120 6 3" xfId="10498"/>
    <cellStyle name="Normal 120 6 3 2" xfId="24129"/>
    <cellStyle name="Normal 120 6 4" xfId="13794"/>
    <cellStyle name="Normal 120 6 4 2" xfId="27422"/>
    <cellStyle name="Normal 120 6 5" xfId="17725"/>
    <cellStyle name="Normal 120 7" xfId="5522"/>
    <cellStyle name="Normal 120 7 2" xfId="8783"/>
    <cellStyle name="Normal 120 7 2 2" xfId="22426"/>
    <cellStyle name="Normal 120 7 3" xfId="11843"/>
    <cellStyle name="Normal 120 7 3 2" xfId="25474"/>
    <cellStyle name="Normal 120 7 4" xfId="15139"/>
    <cellStyle name="Normal 120 7 4 2" xfId="28767"/>
    <cellStyle name="Normal 120 7 5" xfId="19172"/>
    <cellStyle name="Normal 120 8" xfId="5769"/>
    <cellStyle name="Normal 120 8 2" xfId="19419"/>
    <cellStyle name="Normal 120 9" xfId="8974"/>
    <cellStyle name="Normal 120 9 2" xfId="22617"/>
    <cellStyle name="Normal 121" xfId="1036"/>
    <cellStyle name="Normal 121 10" xfId="12127"/>
    <cellStyle name="Normal 121 10 2" xfId="25755"/>
    <cellStyle name="Normal 121 11" xfId="12370"/>
    <cellStyle name="Normal 121 11 2" xfId="25998"/>
    <cellStyle name="Normal 121 12" xfId="15506"/>
    <cellStyle name="Normal 121 12 2" xfId="29012"/>
    <cellStyle name="Normal 121 13" xfId="16114"/>
    <cellStyle name="Normal 121 14" xfId="29649"/>
    <cellStyle name="Normal 121 2" xfId="2266"/>
    <cellStyle name="Normal 121 2 2" xfId="3379"/>
    <cellStyle name="Normal 121 2 2 2" xfId="5115"/>
    <cellStyle name="Normal 121 2 2 2 2" xfId="8379"/>
    <cellStyle name="Normal 121 2 2 2 2 2" xfId="22027"/>
    <cellStyle name="Normal 121 2 2 2 3" xfId="11446"/>
    <cellStyle name="Normal 121 2 2 2 3 2" xfId="25077"/>
    <cellStyle name="Normal 121 2 2 2 4" xfId="14742"/>
    <cellStyle name="Normal 121 2 2 2 4 2" xfId="28370"/>
    <cellStyle name="Normal 121 2 2 2 5" xfId="18773"/>
    <cellStyle name="Normal 121 2 2 3" xfId="6813"/>
    <cellStyle name="Normal 121 2 2 3 2" xfId="20463"/>
    <cellStyle name="Normal 121 2 2 4" xfId="10023"/>
    <cellStyle name="Normal 121 2 2 4 2" xfId="23654"/>
    <cellStyle name="Normal 121 2 2 5" xfId="13318"/>
    <cellStyle name="Normal 121 2 2 5 2" xfId="26946"/>
    <cellStyle name="Normal 121 2 2 6" xfId="17248"/>
    <cellStyle name="Normal 121 2 3" xfId="4169"/>
    <cellStyle name="Normal 121 2 3 2" xfId="7599"/>
    <cellStyle name="Normal 121 2 3 2 2" xfId="21247"/>
    <cellStyle name="Normal 121 2 3 3" xfId="10737"/>
    <cellStyle name="Normal 121 2 3 3 2" xfId="24368"/>
    <cellStyle name="Normal 121 2 3 4" xfId="14033"/>
    <cellStyle name="Normal 121 2 3 4 2" xfId="27661"/>
    <cellStyle name="Normal 121 2 3 5" xfId="17964"/>
    <cellStyle name="Normal 121 2 4" xfId="6005"/>
    <cellStyle name="Normal 121 2 4 2" xfId="19655"/>
    <cellStyle name="Normal 121 2 5" xfId="9291"/>
    <cellStyle name="Normal 121 2 5 2" xfId="22933"/>
    <cellStyle name="Normal 121 2 6" xfId="12605"/>
    <cellStyle name="Normal 121 2 6 2" xfId="26233"/>
    <cellStyle name="Normal 121 2 7" xfId="16450"/>
    <cellStyle name="Normal 121 3" xfId="2427"/>
    <cellStyle name="Normal 121 3 2" xfId="3533"/>
    <cellStyle name="Normal 121 3 2 2" xfId="5200"/>
    <cellStyle name="Normal 121 3 2 2 2" xfId="8464"/>
    <cellStyle name="Normal 121 3 2 2 2 2" xfId="22112"/>
    <cellStyle name="Normal 121 3 2 2 3" xfId="11531"/>
    <cellStyle name="Normal 121 3 2 2 3 2" xfId="25162"/>
    <cellStyle name="Normal 121 3 2 2 4" xfId="14827"/>
    <cellStyle name="Normal 121 3 2 2 4 2" xfId="28455"/>
    <cellStyle name="Normal 121 3 2 2 5" xfId="18858"/>
    <cellStyle name="Normal 121 3 2 3" xfId="6967"/>
    <cellStyle name="Normal 121 3 2 3 2" xfId="20617"/>
    <cellStyle name="Normal 121 3 2 4" xfId="10108"/>
    <cellStyle name="Normal 121 3 2 4 2" xfId="23739"/>
    <cellStyle name="Normal 121 3 2 5" xfId="13403"/>
    <cellStyle name="Normal 121 3 2 5 2" xfId="27031"/>
    <cellStyle name="Normal 121 3 2 6" xfId="17334"/>
    <cellStyle name="Normal 121 3 3" xfId="4254"/>
    <cellStyle name="Normal 121 3 3 2" xfId="7684"/>
    <cellStyle name="Normal 121 3 3 2 2" xfId="21332"/>
    <cellStyle name="Normal 121 3 3 3" xfId="10822"/>
    <cellStyle name="Normal 121 3 3 3 2" xfId="24453"/>
    <cellStyle name="Normal 121 3 3 4" xfId="14118"/>
    <cellStyle name="Normal 121 3 3 4 2" xfId="27746"/>
    <cellStyle name="Normal 121 3 3 5" xfId="18049"/>
    <cellStyle name="Normal 121 3 4" xfId="6090"/>
    <cellStyle name="Normal 121 3 4 2" xfId="19740"/>
    <cellStyle name="Normal 121 3 5" xfId="9376"/>
    <cellStyle name="Normal 121 3 5 2" xfId="23018"/>
    <cellStyle name="Normal 121 3 6" xfId="12690"/>
    <cellStyle name="Normal 121 3 6 2" xfId="26318"/>
    <cellStyle name="Normal 121 3 7" xfId="16538"/>
    <cellStyle name="Normal 121 4" xfId="2736"/>
    <cellStyle name="Normal 121 4 2" xfId="3690"/>
    <cellStyle name="Normal 121 4 2 2" xfId="5357"/>
    <cellStyle name="Normal 121 4 2 2 2" xfId="8620"/>
    <cellStyle name="Normal 121 4 2 2 2 2" xfId="22268"/>
    <cellStyle name="Normal 121 4 2 2 3" xfId="11687"/>
    <cellStyle name="Normal 121 4 2 2 3 2" xfId="25318"/>
    <cellStyle name="Normal 121 4 2 2 4" xfId="14983"/>
    <cellStyle name="Normal 121 4 2 2 4 2" xfId="28611"/>
    <cellStyle name="Normal 121 4 2 2 5" xfId="19015"/>
    <cellStyle name="Normal 121 4 2 3" xfId="7124"/>
    <cellStyle name="Normal 121 4 2 3 2" xfId="20774"/>
    <cellStyle name="Normal 121 4 2 4" xfId="10265"/>
    <cellStyle name="Normal 121 4 2 4 2" xfId="23896"/>
    <cellStyle name="Normal 121 4 2 5" xfId="13560"/>
    <cellStyle name="Normal 121 4 2 5 2" xfId="27188"/>
    <cellStyle name="Normal 121 4 2 6" xfId="17491"/>
    <cellStyle name="Normal 121 4 3" xfId="4479"/>
    <cellStyle name="Normal 121 4 3 2" xfId="7909"/>
    <cellStyle name="Normal 121 4 3 2 2" xfId="21557"/>
    <cellStyle name="Normal 121 4 3 3" xfId="10978"/>
    <cellStyle name="Normal 121 4 3 3 2" xfId="24609"/>
    <cellStyle name="Normal 121 4 3 4" xfId="14274"/>
    <cellStyle name="Normal 121 4 3 4 2" xfId="27902"/>
    <cellStyle name="Normal 121 4 3 5" xfId="18274"/>
    <cellStyle name="Normal 121 4 4" xfId="6330"/>
    <cellStyle name="Normal 121 4 4 2" xfId="19980"/>
    <cellStyle name="Normal 121 4 5" xfId="9532"/>
    <cellStyle name="Normal 121 4 5 2" xfId="23174"/>
    <cellStyle name="Normal 121 4 6" xfId="12846"/>
    <cellStyle name="Normal 121 4 6 2" xfId="26474"/>
    <cellStyle name="Normal 121 4 7" xfId="16763"/>
    <cellStyle name="Normal 121 5" xfId="2926"/>
    <cellStyle name="Normal 121 5 2" xfId="4773"/>
    <cellStyle name="Normal 121 5 2 2" xfId="8041"/>
    <cellStyle name="Normal 121 5 2 2 2" xfId="21689"/>
    <cellStyle name="Normal 121 5 2 3" xfId="11110"/>
    <cellStyle name="Normal 121 5 2 3 2" xfId="24741"/>
    <cellStyle name="Normal 121 5 2 4" xfId="14406"/>
    <cellStyle name="Normal 121 5 2 4 2" xfId="28034"/>
    <cellStyle name="Normal 121 5 2 5" xfId="18432"/>
    <cellStyle name="Normal 121 5 3" xfId="6463"/>
    <cellStyle name="Normal 121 5 3 2" xfId="20113"/>
    <cellStyle name="Normal 121 5 4" xfId="9684"/>
    <cellStyle name="Normal 121 5 4 2" xfId="23315"/>
    <cellStyle name="Normal 121 5 5" xfId="12979"/>
    <cellStyle name="Normal 121 5 5 2" xfId="26607"/>
    <cellStyle name="Normal 121 5 6" xfId="16897"/>
    <cellStyle name="Normal 121 6" xfId="3931"/>
    <cellStyle name="Normal 121 6 2" xfId="7361"/>
    <cellStyle name="Normal 121 6 2 2" xfId="21009"/>
    <cellStyle name="Normal 121 6 3" xfId="10499"/>
    <cellStyle name="Normal 121 6 3 2" xfId="24130"/>
    <cellStyle name="Normal 121 6 4" xfId="13795"/>
    <cellStyle name="Normal 121 6 4 2" xfId="27423"/>
    <cellStyle name="Normal 121 6 5" xfId="17726"/>
    <cellStyle name="Normal 121 7" xfId="5523"/>
    <cellStyle name="Normal 121 7 2" xfId="8784"/>
    <cellStyle name="Normal 121 7 2 2" xfId="22427"/>
    <cellStyle name="Normal 121 7 3" xfId="11844"/>
    <cellStyle name="Normal 121 7 3 2" xfId="25475"/>
    <cellStyle name="Normal 121 7 4" xfId="15140"/>
    <cellStyle name="Normal 121 7 4 2" xfId="28768"/>
    <cellStyle name="Normal 121 7 5" xfId="19173"/>
    <cellStyle name="Normal 121 8" xfId="5770"/>
    <cellStyle name="Normal 121 8 2" xfId="19420"/>
    <cellStyle name="Normal 121 9" xfId="8975"/>
    <cellStyle name="Normal 121 9 2" xfId="22618"/>
    <cellStyle name="Normal 122" xfId="1037"/>
    <cellStyle name="Normal 122 10" xfId="12128"/>
    <cellStyle name="Normal 122 10 2" xfId="25756"/>
    <cellStyle name="Normal 122 11" xfId="12371"/>
    <cellStyle name="Normal 122 11 2" xfId="25999"/>
    <cellStyle name="Normal 122 12" xfId="15507"/>
    <cellStyle name="Normal 122 12 2" xfId="29013"/>
    <cellStyle name="Normal 122 13" xfId="16115"/>
    <cellStyle name="Normal 122 14" xfId="29650"/>
    <cellStyle name="Normal 122 2" xfId="2267"/>
    <cellStyle name="Normal 122 2 2" xfId="3380"/>
    <cellStyle name="Normal 122 2 2 2" xfId="5116"/>
    <cellStyle name="Normal 122 2 2 2 2" xfId="8380"/>
    <cellStyle name="Normal 122 2 2 2 2 2" xfId="22028"/>
    <cellStyle name="Normal 122 2 2 2 3" xfId="11447"/>
    <cellStyle name="Normal 122 2 2 2 3 2" xfId="25078"/>
    <cellStyle name="Normal 122 2 2 2 4" xfId="14743"/>
    <cellStyle name="Normal 122 2 2 2 4 2" xfId="28371"/>
    <cellStyle name="Normal 122 2 2 2 5" xfId="18774"/>
    <cellStyle name="Normal 122 2 2 3" xfId="6814"/>
    <cellStyle name="Normal 122 2 2 3 2" xfId="20464"/>
    <cellStyle name="Normal 122 2 2 4" xfId="10024"/>
    <cellStyle name="Normal 122 2 2 4 2" xfId="23655"/>
    <cellStyle name="Normal 122 2 2 5" xfId="13319"/>
    <cellStyle name="Normal 122 2 2 5 2" xfId="26947"/>
    <cellStyle name="Normal 122 2 2 6" xfId="17249"/>
    <cellStyle name="Normal 122 2 3" xfId="4170"/>
    <cellStyle name="Normal 122 2 3 2" xfId="7600"/>
    <cellStyle name="Normal 122 2 3 2 2" xfId="21248"/>
    <cellStyle name="Normal 122 2 3 3" xfId="10738"/>
    <cellStyle name="Normal 122 2 3 3 2" xfId="24369"/>
    <cellStyle name="Normal 122 2 3 4" xfId="14034"/>
    <cellStyle name="Normal 122 2 3 4 2" xfId="27662"/>
    <cellStyle name="Normal 122 2 3 5" xfId="17965"/>
    <cellStyle name="Normal 122 2 4" xfId="6006"/>
    <cellStyle name="Normal 122 2 4 2" xfId="19656"/>
    <cellStyle name="Normal 122 2 5" xfId="9292"/>
    <cellStyle name="Normal 122 2 5 2" xfId="22934"/>
    <cellStyle name="Normal 122 2 6" xfId="12606"/>
    <cellStyle name="Normal 122 2 6 2" xfId="26234"/>
    <cellStyle name="Normal 122 2 7" xfId="16451"/>
    <cellStyle name="Normal 122 3" xfId="2428"/>
    <cellStyle name="Normal 122 3 2" xfId="3534"/>
    <cellStyle name="Normal 122 3 2 2" xfId="5201"/>
    <cellStyle name="Normal 122 3 2 2 2" xfId="8465"/>
    <cellStyle name="Normal 122 3 2 2 2 2" xfId="22113"/>
    <cellStyle name="Normal 122 3 2 2 3" xfId="11532"/>
    <cellStyle name="Normal 122 3 2 2 3 2" xfId="25163"/>
    <cellStyle name="Normal 122 3 2 2 4" xfId="14828"/>
    <cellStyle name="Normal 122 3 2 2 4 2" xfId="28456"/>
    <cellStyle name="Normal 122 3 2 2 5" xfId="18859"/>
    <cellStyle name="Normal 122 3 2 3" xfId="6968"/>
    <cellStyle name="Normal 122 3 2 3 2" xfId="20618"/>
    <cellStyle name="Normal 122 3 2 4" xfId="10109"/>
    <cellStyle name="Normal 122 3 2 4 2" xfId="23740"/>
    <cellStyle name="Normal 122 3 2 5" xfId="13404"/>
    <cellStyle name="Normal 122 3 2 5 2" xfId="27032"/>
    <cellStyle name="Normal 122 3 2 6" xfId="17335"/>
    <cellStyle name="Normal 122 3 3" xfId="4255"/>
    <cellStyle name="Normal 122 3 3 2" xfId="7685"/>
    <cellStyle name="Normal 122 3 3 2 2" xfId="21333"/>
    <cellStyle name="Normal 122 3 3 3" xfId="10823"/>
    <cellStyle name="Normal 122 3 3 3 2" xfId="24454"/>
    <cellStyle name="Normal 122 3 3 4" xfId="14119"/>
    <cellStyle name="Normal 122 3 3 4 2" xfId="27747"/>
    <cellStyle name="Normal 122 3 3 5" xfId="18050"/>
    <cellStyle name="Normal 122 3 4" xfId="6091"/>
    <cellStyle name="Normal 122 3 4 2" xfId="19741"/>
    <cellStyle name="Normal 122 3 5" xfId="9377"/>
    <cellStyle name="Normal 122 3 5 2" xfId="23019"/>
    <cellStyle name="Normal 122 3 6" xfId="12691"/>
    <cellStyle name="Normal 122 3 6 2" xfId="26319"/>
    <cellStyle name="Normal 122 3 7" xfId="16539"/>
    <cellStyle name="Normal 122 4" xfId="2737"/>
    <cellStyle name="Normal 122 4 2" xfId="3691"/>
    <cellStyle name="Normal 122 4 2 2" xfId="5358"/>
    <cellStyle name="Normal 122 4 2 2 2" xfId="8621"/>
    <cellStyle name="Normal 122 4 2 2 2 2" xfId="22269"/>
    <cellStyle name="Normal 122 4 2 2 3" xfId="11688"/>
    <cellStyle name="Normal 122 4 2 2 3 2" xfId="25319"/>
    <cellStyle name="Normal 122 4 2 2 4" xfId="14984"/>
    <cellStyle name="Normal 122 4 2 2 4 2" xfId="28612"/>
    <cellStyle name="Normal 122 4 2 2 5" xfId="19016"/>
    <cellStyle name="Normal 122 4 2 3" xfId="7125"/>
    <cellStyle name="Normal 122 4 2 3 2" xfId="20775"/>
    <cellStyle name="Normal 122 4 2 4" xfId="10266"/>
    <cellStyle name="Normal 122 4 2 4 2" xfId="23897"/>
    <cellStyle name="Normal 122 4 2 5" xfId="13561"/>
    <cellStyle name="Normal 122 4 2 5 2" xfId="27189"/>
    <cellStyle name="Normal 122 4 2 6" xfId="17492"/>
    <cellStyle name="Normal 122 4 3" xfId="4480"/>
    <cellStyle name="Normal 122 4 3 2" xfId="7910"/>
    <cellStyle name="Normal 122 4 3 2 2" xfId="21558"/>
    <cellStyle name="Normal 122 4 3 3" xfId="10979"/>
    <cellStyle name="Normal 122 4 3 3 2" xfId="24610"/>
    <cellStyle name="Normal 122 4 3 4" xfId="14275"/>
    <cellStyle name="Normal 122 4 3 4 2" xfId="27903"/>
    <cellStyle name="Normal 122 4 3 5" xfId="18275"/>
    <cellStyle name="Normal 122 4 4" xfId="6331"/>
    <cellStyle name="Normal 122 4 4 2" xfId="19981"/>
    <cellStyle name="Normal 122 4 5" xfId="9533"/>
    <cellStyle name="Normal 122 4 5 2" xfId="23175"/>
    <cellStyle name="Normal 122 4 6" xfId="12847"/>
    <cellStyle name="Normal 122 4 6 2" xfId="26475"/>
    <cellStyle name="Normal 122 4 7" xfId="16764"/>
    <cellStyle name="Normal 122 5" xfId="2927"/>
    <cellStyle name="Normal 122 5 2" xfId="4774"/>
    <cellStyle name="Normal 122 5 2 2" xfId="8042"/>
    <cellStyle name="Normal 122 5 2 2 2" xfId="21690"/>
    <cellStyle name="Normal 122 5 2 3" xfId="11111"/>
    <cellStyle name="Normal 122 5 2 3 2" xfId="24742"/>
    <cellStyle name="Normal 122 5 2 4" xfId="14407"/>
    <cellStyle name="Normal 122 5 2 4 2" xfId="28035"/>
    <cellStyle name="Normal 122 5 2 5" xfId="18433"/>
    <cellStyle name="Normal 122 5 3" xfId="6464"/>
    <cellStyle name="Normal 122 5 3 2" xfId="20114"/>
    <cellStyle name="Normal 122 5 4" xfId="9685"/>
    <cellStyle name="Normal 122 5 4 2" xfId="23316"/>
    <cellStyle name="Normal 122 5 5" xfId="12980"/>
    <cellStyle name="Normal 122 5 5 2" xfId="26608"/>
    <cellStyle name="Normal 122 5 6" xfId="16898"/>
    <cellStyle name="Normal 122 6" xfId="3932"/>
    <cellStyle name="Normal 122 6 2" xfId="7362"/>
    <cellStyle name="Normal 122 6 2 2" xfId="21010"/>
    <cellStyle name="Normal 122 6 3" xfId="10500"/>
    <cellStyle name="Normal 122 6 3 2" xfId="24131"/>
    <cellStyle name="Normal 122 6 4" xfId="13796"/>
    <cellStyle name="Normal 122 6 4 2" xfId="27424"/>
    <cellStyle name="Normal 122 6 5" xfId="17727"/>
    <cellStyle name="Normal 122 7" xfId="5524"/>
    <cellStyle name="Normal 122 7 2" xfId="8785"/>
    <cellStyle name="Normal 122 7 2 2" xfId="22428"/>
    <cellStyle name="Normal 122 7 3" xfId="11845"/>
    <cellStyle name="Normal 122 7 3 2" xfId="25476"/>
    <cellStyle name="Normal 122 7 4" xfId="15141"/>
    <cellStyle name="Normal 122 7 4 2" xfId="28769"/>
    <cellStyle name="Normal 122 7 5" xfId="19174"/>
    <cellStyle name="Normal 122 8" xfId="5771"/>
    <cellStyle name="Normal 122 8 2" xfId="19421"/>
    <cellStyle name="Normal 122 9" xfId="8976"/>
    <cellStyle name="Normal 122 9 2" xfId="22619"/>
    <cellStyle name="Normal 123" xfId="1038"/>
    <cellStyle name="Normal 123 10" xfId="12129"/>
    <cellStyle name="Normal 123 10 2" xfId="25757"/>
    <cellStyle name="Normal 123 11" xfId="12372"/>
    <cellStyle name="Normal 123 11 2" xfId="26000"/>
    <cellStyle name="Normal 123 12" xfId="15508"/>
    <cellStyle name="Normal 123 12 2" xfId="29014"/>
    <cellStyle name="Normal 123 13" xfId="16116"/>
    <cellStyle name="Normal 123 14" xfId="29651"/>
    <cellStyle name="Normal 123 2" xfId="2268"/>
    <cellStyle name="Normal 123 2 2" xfId="3381"/>
    <cellStyle name="Normal 123 2 2 2" xfId="5117"/>
    <cellStyle name="Normal 123 2 2 2 2" xfId="8381"/>
    <cellStyle name="Normal 123 2 2 2 2 2" xfId="22029"/>
    <cellStyle name="Normal 123 2 2 2 3" xfId="11448"/>
    <cellStyle name="Normal 123 2 2 2 3 2" xfId="25079"/>
    <cellStyle name="Normal 123 2 2 2 4" xfId="14744"/>
    <cellStyle name="Normal 123 2 2 2 4 2" xfId="28372"/>
    <cellStyle name="Normal 123 2 2 2 5" xfId="18775"/>
    <cellStyle name="Normal 123 2 2 3" xfId="6815"/>
    <cellStyle name="Normal 123 2 2 3 2" xfId="20465"/>
    <cellStyle name="Normal 123 2 2 4" xfId="10025"/>
    <cellStyle name="Normal 123 2 2 4 2" xfId="23656"/>
    <cellStyle name="Normal 123 2 2 5" xfId="13320"/>
    <cellStyle name="Normal 123 2 2 5 2" xfId="26948"/>
    <cellStyle name="Normal 123 2 2 6" xfId="17250"/>
    <cellStyle name="Normal 123 2 3" xfId="4171"/>
    <cellStyle name="Normal 123 2 3 2" xfId="7601"/>
    <cellStyle name="Normal 123 2 3 2 2" xfId="21249"/>
    <cellStyle name="Normal 123 2 3 3" xfId="10739"/>
    <cellStyle name="Normal 123 2 3 3 2" xfId="24370"/>
    <cellStyle name="Normal 123 2 3 4" xfId="14035"/>
    <cellStyle name="Normal 123 2 3 4 2" xfId="27663"/>
    <cellStyle name="Normal 123 2 3 5" xfId="17966"/>
    <cellStyle name="Normal 123 2 4" xfId="6007"/>
    <cellStyle name="Normal 123 2 4 2" xfId="19657"/>
    <cellStyle name="Normal 123 2 5" xfId="9293"/>
    <cellStyle name="Normal 123 2 5 2" xfId="22935"/>
    <cellStyle name="Normal 123 2 6" xfId="12607"/>
    <cellStyle name="Normal 123 2 6 2" xfId="26235"/>
    <cellStyle name="Normal 123 2 7" xfId="16452"/>
    <cellStyle name="Normal 123 3" xfId="2429"/>
    <cellStyle name="Normal 123 3 2" xfId="3535"/>
    <cellStyle name="Normal 123 3 2 2" xfId="5202"/>
    <cellStyle name="Normal 123 3 2 2 2" xfId="8466"/>
    <cellStyle name="Normal 123 3 2 2 2 2" xfId="22114"/>
    <cellStyle name="Normal 123 3 2 2 3" xfId="11533"/>
    <cellStyle name="Normal 123 3 2 2 3 2" xfId="25164"/>
    <cellStyle name="Normal 123 3 2 2 4" xfId="14829"/>
    <cellStyle name="Normal 123 3 2 2 4 2" xfId="28457"/>
    <cellStyle name="Normal 123 3 2 2 5" xfId="18860"/>
    <cellStyle name="Normal 123 3 2 3" xfId="6969"/>
    <cellStyle name="Normal 123 3 2 3 2" xfId="20619"/>
    <cellStyle name="Normal 123 3 2 4" xfId="10110"/>
    <cellStyle name="Normal 123 3 2 4 2" xfId="23741"/>
    <cellStyle name="Normal 123 3 2 5" xfId="13405"/>
    <cellStyle name="Normal 123 3 2 5 2" xfId="27033"/>
    <cellStyle name="Normal 123 3 2 6" xfId="17336"/>
    <cellStyle name="Normal 123 3 3" xfId="4256"/>
    <cellStyle name="Normal 123 3 3 2" xfId="7686"/>
    <cellStyle name="Normal 123 3 3 2 2" xfId="21334"/>
    <cellStyle name="Normal 123 3 3 3" xfId="10824"/>
    <cellStyle name="Normal 123 3 3 3 2" xfId="24455"/>
    <cellStyle name="Normal 123 3 3 4" xfId="14120"/>
    <cellStyle name="Normal 123 3 3 4 2" xfId="27748"/>
    <cellStyle name="Normal 123 3 3 5" xfId="18051"/>
    <cellStyle name="Normal 123 3 4" xfId="6092"/>
    <cellStyle name="Normal 123 3 4 2" xfId="19742"/>
    <cellStyle name="Normal 123 3 5" xfId="9378"/>
    <cellStyle name="Normal 123 3 5 2" xfId="23020"/>
    <cellStyle name="Normal 123 3 6" xfId="12692"/>
    <cellStyle name="Normal 123 3 6 2" xfId="26320"/>
    <cellStyle name="Normal 123 3 7" xfId="16540"/>
    <cellStyle name="Normal 123 4" xfId="2738"/>
    <cellStyle name="Normal 123 4 2" xfId="3692"/>
    <cellStyle name="Normal 123 4 2 2" xfId="5359"/>
    <cellStyle name="Normal 123 4 2 2 2" xfId="8622"/>
    <cellStyle name="Normal 123 4 2 2 2 2" xfId="22270"/>
    <cellStyle name="Normal 123 4 2 2 3" xfId="11689"/>
    <cellStyle name="Normal 123 4 2 2 3 2" xfId="25320"/>
    <cellStyle name="Normal 123 4 2 2 4" xfId="14985"/>
    <cellStyle name="Normal 123 4 2 2 4 2" xfId="28613"/>
    <cellStyle name="Normal 123 4 2 2 5" xfId="19017"/>
    <cellStyle name="Normal 123 4 2 3" xfId="7126"/>
    <cellStyle name="Normal 123 4 2 3 2" xfId="20776"/>
    <cellStyle name="Normal 123 4 2 4" xfId="10267"/>
    <cellStyle name="Normal 123 4 2 4 2" xfId="23898"/>
    <cellStyle name="Normal 123 4 2 5" xfId="13562"/>
    <cellStyle name="Normal 123 4 2 5 2" xfId="27190"/>
    <cellStyle name="Normal 123 4 2 6" xfId="17493"/>
    <cellStyle name="Normal 123 4 3" xfId="4481"/>
    <cellStyle name="Normal 123 4 3 2" xfId="7911"/>
    <cellStyle name="Normal 123 4 3 2 2" xfId="21559"/>
    <cellStyle name="Normal 123 4 3 3" xfId="10980"/>
    <cellStyle name="Normal 123 4 3 3 2" xfId="24611"/>
    <cellStyle name="Normal 123 4 3 4" xfId="14276"/>
    <cellStyle name="Normal 123 4 3 4 2" xfId="27904"/>
    <cellStyle name="Normal 123 4 3 5" xfId="18276"/>
    <cellStyle name="Normal 123 4 4" xfId="6332"/>
    <cellStyle name="Normal 123 4 4 2" xfId="19982"/>
    <cellStyle name="Normal 123 4 5" xfId="9534"/>
    <cellStyle name="Normal 123 4 5 2" xfId="23176"/>
    <cellStyle name="Normal 123 4 6" xfId="12848"/>
    <cellStyle name="Normal 123 4 6 2" xfId="26476"/>
    <cellStyle name="Normal 123 4 7" xfId="16765"/>
    <cellStyle name="Normal 123 5" xfId="2928"/>
    <cellStyle name="Normal 123 5 2" xfId="4775"/>
    <cellStyle name="Normal 123 5 2 2" xfId="8043"/>
    <cellStyle name="Normal 123 5 2 2 2" xfId="21691"/>
    <cellStyle name="Normal 123 5 2 3" xfId="11112"/>
    <cellStyle name="Normal 123 5 2 3 2" xfId="24743"/>
    <cellStyle name="Normal 123 5 2 4" xfId="14408"/>
    <cellStyle name="Normal 123 5 2 4 2" xfId="28036"/>
    <cellStyle name="Normal 123 5 2 5" xfId="18434"/>
    <cellStyle name="Normal 123 5 3" xfId="6465"/>
    <cellStyle name="Normal 123 5 3 2" xfId="20115"/>
    <cellStyle name="Normal 123 5 4" xfId="9686"/>
    <cellStyle name="Normal 123 5 4 2" xfId="23317"/>
    <cellStyle name="Normal 123 5 5" xfId="12981"/>
    <cellStyle name="Normal 123 5 5 2" xfId="26609"/>
    <cellStyle name="Normal 123 5 6" xfId="16899"/>
    <cellStyle name="Normal 123 6" xfId="3933"/>
    <cellStyle name="Normal 123 6 2" xfId="7363"/>
    <cellStyle name="Normal 123 6 2 2" xfId="21011"/>
    <cellStyle name="Normal 123 6 3" xfId="10501"/>
    <cellStyle name="Normal 123 6 3 2" xfId="24132"/>
    <cellStyle name="Normal 123 6 4" xfId="13797"/>
    <cellStyle name="Normal 123 6 4 2" xfId="27425"/>
    <cellStyle name="Normal 123 6 5" xfId="17728"/>
    <cellStyle name="Normal 123 7" xfId="5525"/>
    <cellStyle name="Normal 123 7 2" xfId="8786"/>
    <cellStyle name="Normal 123 7 2 2" xfId="22429"/>
    <cellStyle name="Normal 123 7 3" xfId="11846"/>
    <cellStyle name="Normal 123 7 3 2" xfId="25477"/>
    <cellStyle name="Normal 123 7 4" xfId="15142"/>
    <cellStyle name="Normal 123 7 4 2" xfId="28770"/>
    <cellStyle name="Normal 123 7 5" xfId="19175"/>
    <cellStyle name="Normal 123 8" xfId="5772"/>
    <cellStyle name="Normal 123 8 2" xfId="19422"/>
    <cellStyle name="Normal 123 9" xfId="8977"/>
    <cellStyle name="Normal 123 9 2" xfId="22620"/>
    <cellStyle name="Normal 124" xfId="1039"/>
    <cellStyle name="Normal 124 10" xfId="12130"/>
    <cellStyle name="Normal 124 10 2" xfId="25758"/>
    <cellStyle name="Normal 124 11" xfId="12373"/>
    <cellStyle name="Normal 124 11 2" xfId="26001"/>
    <cellStyle name="Normal 124 12" xfId="15509"/>
    <cellStyle name="Normal 124 12 2" xfId="29015"/>
    <cellStyle name="Normal 124 13" xfId="16117"/>
    <cellStyle name="Normal 124 14" xfId="29652"/>
    <cellStyle name="Normal 124 2" xfId="2269"/>
    <cellStyle name="Normal 124 2 2" xfId="3382"/>
    <cellStyle name="Normal 124 2 2 2" xfId="5118"/>
    <cellStyle name="Normal 124 2 2 2 2" xfId="8382"/>
    <cellStyle name="Normal 124 2 2 2 2 2" xfId="22030"/>
    <cellStyle name="Normal 124 2 2 2 3" xfId="11449"/>
    <cellStyle name="Normal 124 2 2 2 3 2" xfId="25080"/>
    <cellStyle name="Normal 124 2 2 2 4" xfId="14745"/>
    <cellStyle name="Normal 124 2 2 2 4 2" xfId="28373"/>
    <cellStyle name="Normal 124 2 2 2 5" xfId="18776"/>
    <cellStyle name="Normal 124 2 2 3" xfId="6816"/>
    <cellStyle name="Normal 124 2 2 3 2" xfId="20466"/>
    <cellStyle name="Normal 124 2 2 4" xfId="10026"/>
    <cellStyle name="Normal 124 2 2 4 2" xfId="23657"/>
    <cellStyle name="Normal 124 2 2 5" xfId="13321"/>
    <cellStyle name="Normal 124 2 2 5 2" xfId="26949"/>
    <cellStyle name="Normal 124 2 2 6" xfId="17251"/>
    <cellStyle name="Normal 124 2 3" xfId="4172"/>
    <cellStyle name="Normal 124 2 3 2" xfId="7602"/>
    <cellStyle name="Normal 124 2 3 2 2" xfId="21250"/>
    <cellStyle name="Normal 124 2 3 3" xfId="10740"/>
    <cellStyle name="Normal 124 2 3 3 2" xfId="24371"/>
    <cellStyle name="Normal 124 2 3 4" xfId="14036"/>
    <cellStyle name="Normal 124 2 3 4 2" xfId="27664"/>
    <cellStyle name="Normal 124 2 3 5" xfId="17967"/>
    <cellStyle name="Normal 124 2 4" xfId="6008"/>
    <cellStyle name="Normal 124 2 4 2" xfId="19658"/>
    <cellStyle name="Normal 124 2 5" xfId="9294"/>
    <cellStyle name="Normal 124 2 5 2" xfId="22936"/>
    <cellStyle name="Normal 124 2 6" xfId="12608"/>
    <cellStyle name="Normal 124 2 6 2" xfId="26236"/>
    <cellStyle name="Normal 124 2 7" xfId="16453"/>
    <cellStyle name="Normal 124 3" xfId="2430"/>
    <cellStyle name="Normal 124 3 2" xfId="3536"/>
    <cellStyle name="Normal 124 3 2 2" xfId="5203"/>
    <cellStyle name="Normal 124 3 2 2 2" xfId="8467"/>
    <cellStyle name="Normal 124 3 2 2 2 2" xfId="22115"/>
    <cellStyle name="Normal 124 3 2 2 3" xfId="11534"/>
    <cellStyle name="Normal 124 3 2 2 3 2" xfId="25165"/>
    <cellStyle name="Normal 124 3 2 2 4" xfId="14830"/>
    <cellStyle name="Normal 124 3 2 2 4 2" xfId="28458"/>
    <cellStyle name="Normal 124 3 2 2 5" xfId="18861"/>
    <cellStyle name="Normal 124 3 2 3" xfId="6970"/>
    <cellStyle name="Normal 124 3 2 3 2" xfId="20620"/>
    <cellStyle name="Normal 124 3 2 4" xfId="10111"/>
    <cellStyle name="Normal 124 3 2 4 2" xfId="23742"/>
    <cellStyle name="Normal 124 3 2 5" xfId="13406"/>
    <cellStyle name="Normal 124 3 2 5 2" xfId="27034"/>
    <cellStyle name="Normal 124 3 2 6" xfId="17337"/>
    <cellStyle name="Normal 124 3 3" xfId="4257"/>
    <cellStyle name="Normal 124 3 3 2" xfId="7687"/>
    <cellStyle name="Normal 124 3 3 2 2" xfId="21335"/>
    <cellStyle name="Normal 124 3 3 3" xfId="10825"/>
    <cellStyle name="Normal 124 3 3 3 2" xfId="24456"/>
    <cellStyle name="Normal 124 3 3 4" xfId="14121"/>
    <cellStyle name="Normal 124 3 3 4 2" xfId="27749"/>
    <cellStyle name="Normal 124 3 3 5" xfId="18052"/>
    <cellStyle name="Normal 124 3 4" xfId="6093"/>
    <cellStyle name="Normal 124 3 4 2" xfId="19743"/>
    <cellStyle name="Normal 124 3 5" xfId="9379"/>
    <cellStyle name="Normal 124 3 5 2" xfId="23021"/>
    <cellStyle name="Normal 124 3 6" xfId="12693"/>
    <cellStyle name="Normal 124 3 6 2" xfId="26321"/>
    <cellStyle name="Normal 124 3 7" xfId="16541"/>
    <cellStyle name="Normal 124 4" xfId="2739"/>
    <cellStyle name="Normal 124 4 2" xfId="3693"/>
    <cellStyle name="Normal 124 4 2 2" xfId="5360"/>
    <cellStyle name="Normal 124 4 2 2 2" xfId="8623"/>
    <cellStyle name="Normal 124 4 2 2 2 2" xfId="22271"/>
    <cellStyle name="Normal 124 4 2 2 3" xfId="11690"/>
    <cellStyle name="Normal 124 4 2 2 3 2" xfId="25321"/>
    <cellStyle name="Normal 124 4 2 2 4" xfId="14986"/>
    <cellStyle name="Normal 124 4 2 2 4 2" xfId="28614"/>
    <cellStyle name="Normal 124 4 2 2 5" xfId="19018"/>
    <cellStyle name="Normal 124 4 2 3" xfId="7127"/>
    <cellStyle name="Normal 124 4 2 3 2" xfId="20777"/>
    <cellStyle name="Normal 124 4 2 4" xfId="10268"/>
    <cellStyle name="Normal 124 4 2 4 2" xfId="23899"/>
    <cellStyle name="Normal 124 4 2 5" xfId="13563"/>
    <cellStyle name="Normal 124 4 2 5 2" xfId="27191"/>
    <cellStyle name="Normal 124 4 2 6" xfId="17494"/>
    <cellStyle name="Normal 124 4 3" xfId="4482"/>
    <cellStyle name="Normal 124 4 3 2" xfId="7912"/>
    <cellStyle name="Normal 124 4 3 2 2" xfId="21560"/>
    <cellStyle name="Normal 124 4 3 3" xfId="10981"/>
    <cellStyle name="Normal 124 4 3 3 2" xfId="24612"/>
    <cellStyle name="Normal 124 4 3 4" xfId="14277"/>
    <cellStyle name="Normal 124 4 3 4 2" xfId="27905"/>
    <cellStyle name="Normal 124 4 3 5" xfId="18277"/>
    <cellStyle name="Normal 124 4 4" xfId="6333"/>
    <cellStyle name="Normal 124 4 4 2" xfId="19983"/>
    <cellStyle name="Normal 124 4 5" xfId="9535"/>
    <cellStyle name="Normal 124 4 5 2" xfId="23177"/>
    <cellStyle name="Normal 124 4 6" xfId="12849"/>
    <cellStyle name="Normal 124 4 6 2" xfId="26477"/>
    <cellStyle name="Normal 124 4 7" xfId="16766"/>
    <cellStyle name="Normal 124 5" xfId="2929"/>
    <cellStyle name="Normal 124 5 2" xfId="4776"/>
    <cellStyle name="Normal 124 5 2 2" xfId="8044"/>
    <cellStyle name="Normal 124 5 2 2 2" xfId="21692"/>
    <cellStyle name="Normal 124 5 2 3" xfId="11113"/>
    <cellStyle name="Normal 124 5 2 3 2" xfId="24744"/>
    <cellStyle name="Normal 124 5 2 4" xfId="14409"/>
    <cellStyle name="Normal 124 5 2 4 2" xfId="28037"/>
    <cellStyle name="Normal 124 5 2 5" xfId="18435"/>
    <cellStyle name="Normal 124 5 3" xfId="6466"/>
    <cellStyle name="Normal 124 5 3 2" xfId="20116"/>
    <cellStyle name="Normal 124 5 4" xfId="9687"/>
    <cellStyle name="Normal 124 5 4 2" xfId="23318"/>
    <cellStyle name="Normal 124 5 5" xfId="12982"/>
    <cellStyle name="Normal 124 5 5 2" xfId="26610"/>
    <cellStyle name="Normal 124 5 6" xfId="16900"/>
    <cellStyle name="Normal 124 6" xfId="3934"/>
    <cellStyle name="Normal 124 6 2" xfId="7364"/>
    <cellStyle name="Normal 124 6 2 2" xfId="21012"/>
    <cellStyle name="Normal 124 6 3" xfId="10502"/>
    <cellStyle name="Normal 124 6 3 2" xfId="24133"/>
    <cellStyle name="Normal 124 6 4" xfId="13798"/>
    <cellStyle name="Normal 124 6 4 2" xfId="27426"/>
    <cellStyle name="Normal 124 6 5" xfId="17729"/>
    <cellStyle name="Normal 124 7" xfId="5526"/>
    <cellStyle name="Normal 124 7 2" xfId="8787"/>
    <cellStyle name="Normal 124 7 2 2" xfId="22430"/>
    <cellStyle name="Normal 124 7 3" xfId="11847"/>
    <cellStyle name="Normal 124 7 3 2" xfId="25478"/>
    <cellStyle name="Normal 124 7 4" xfId="15143"/>
    <cellStyle name="Normal 124 7 4 2" xfId="28771"/>
    <cellStyle name="Normal 124 7 5" xfId="19176"/>
    <cellStyle name="Normal 124 8" xfId="5773"/>
    <cellStyle name="Normal 124 8 2" xfId="19423"/>
    <cellStyle name="Normal 124 9" xfId="8978"/>
    <cellStyle name="Normal 124 9 2" xfId="22621"/>
    <cellStyle name="Normal 125" xfId="1040"/>
    <cellStyle name="Normal 125 10" xfId="12131"/>
    <cellStyle name="Normal 125 10 2" xfId="25759"/>
    <cellStyle name="Normal 125 11" xfId="12374"/>
    <cellStyle name="Normal 125 11 2" xfId="26002"/>
    <cellStyle name="Normal 125 12" xfId="15510"/>
    <cellStyle name="Normal 125 12 2" xfId="29016"/>
    <cellStyle name="Normal 125 13" xfId="16118"/>
    <cellStyle name="Normal 125 14" xfId="29653"/>
    <cellStyle name="Normal 125 2" xfId="2270"/>
    <cellStyle name="Normal 125 2 2" xfId="3383"/>
    <cellStyle name="Normal 125 2 2 2" xfId="5119"/>
    <cellStyle name="Normal 125 2 2 2 2" xfId="8383"/>
    <cellStyle name="Normal 125 2 2 2 2 2" xfId="22031"/>
    <cellStyle name="Normal 125 2 2 2 3" xfId="11450"/>
    <cellStyle name="Normal 125 2 2 2 3 2" xfId="25081"/>
    <cellStyle name="Normal 125 2 2 2 4" xfId="14746"/>
    <cellStyle name="Normal 125 2 2 2 4 2" xfId="28374"/>
    <cellStyle name="Normal 125 2 2 2 5" xfId="18777"/>
    <cellStyle name="Normal 125 2 2 3" xfId="6817"/>
    <cellStyle name="Normal 125 2 2 3 2" xfId="20467"/>
    <cellStyle name="Normal 125 2 2 4" xfId="10027"/>
    <cellStyle name="Normal 125 2 2 4 2" xfId="23658"/>
    <cellStyle name="Normal 125 2 2 5" xfId="13322"/>
    <cellStyle name="Normal 125 2 2 5 2" xfId="26950"/>
    <cellStyle name="Normal 125 2 2 6" xfId="17252"/>
    <cellStyle name="Normal 125 2 3" xfId="4173"/>
    <cellStyle name="Normal 125 2 3 2" xfId="7603"/>
    <cellStyle name="Normal 125 2 3 2 2" xfId="21251"/>
    <cellStyle name="Normal 125 2 3 3" xfId="10741"/>
    <cellStyle name="Normal 125 2 3 3 2" xfId="24372"/>
    <cellStyle name="Normal 125 2 3 4" xfId="14037"/>
    <cellStyle name="Normal 125 2 3 4 2" xfId="27665"/>
    <cellStyle name="Normal 125 2 3 5" xfId="17968"/>
    <cellStyle name="Normal 125 2 4" xfId="6009"/>
    <cellStyle name="Normal 125 2 4 2" xfId="19659"/>
    <cellStyle name="Normal 125 2 5" xfId="9295"/>
    <cellStyle name="Normal 125 2 5 2" xfId="22937"/>
    <cellStyle name="Normal 125 2 6" xfId="12609"/>
    <cellStyle name="Normal 125 2 6 2" xfId="26237"/>
    <cellStyle name="Normal 125 2 7" xfId="16454"/>
    <cellStyle name="Normal 125 3" xfId="2431"/>
    <cellStyle name="Normal 125 3 2" xfId="3537"/>
    <cellStyle name="Normal 125 3 2 2" xfId="5204"/>
    <cellStyle name="Normal 125 3 2 2 2" xfId="8468"/>
    <cellStyle name="Normal 125 3 2 2 2 2" xfId="22116"/>
    <cellStyle name="Normal 125 3 2 2 3" xfId="11535"/>
    <cellStyle name="Normal 125 3 2 2 3 2" xfId="25166"/>
    <cellStyle name="Normal 125 3 2 2 4" xfId="14831"/>
    <cellStyle name="Normal 125 3 2 2 4 2" xfId="28459"/>
    <cellStyle name="Normal 125 3 2 2 5" xfId="18862"/>
    <cellStyle name="Normal 125 3 2 3" xfId="6971"/>
    <cellStyle name="Normal 125 3 2 3 2" xfId="20621"/>
    <cellStyle name="Normal 125 3 2 4" xfId="10112"/>
    <cellStyle name="Normal 125 3 2 4 2" xfId="23743"/>
    <cellStyle name="Normal 125 3 2 5" xfId="13407"/>
    <cellStyle name="Normal 125 3 2 5 2" xfId="27035"/>
    <cellStyle name="Normal 125 3 2 6" xfId="17338"/>
    <cellStyle name="Normal 125 3 3" xfId="4258"/>
    <cellStyle name="Normal 125 3 3 2" xfId="7688"/>
    <cellStyle name="Normal 125 3 3 2 2" xfId="21336"/>
    <cellStyle name="Normal 125 3 3 3" xfId="10826"/>
    <cellStyle name="Normal 125 3 3 3 2" xfId="24457"/>
    <cellStyle name="Normal 125 3 3 4" xfId="14122"/>
    <cellStyle name="Normal 125 3 3 4 2" xfId="27750"/>
    <cellStyle name="Normal 125 3 3 5" xfId="18053"/>
    <cellStyle name="Normal 125 3 4" xfId="6094"/>
    <cellStyle name="Normal 125 3 4 2" xfId="19744"/>
    <cellStyle name="Normal 125 3 5" xfId="9380"/>
    <cellStyle name="Normal 125 3 5 2" xfId="23022"/>
    <cellStyle name="Normal 125 3 6" xfId="12694"/>
    <cellStyle name="Normal 125 3 6 2" xfId="26322"/>
    <cellStyle name="Normal 125 3 7" xfId="16542"/>
    <cellStyle name="Normal 125 4" xfId="2740"/>
    <cellStyle name="Normal 125 4 2" xfId="3694"/>
    <cellStyle name="Normal 125 4 2 2" xfId="5361"/>
    <cellStyle name="Normal 125 4 2 2 2" xfId="8624"/>
    <cellStyle name="Normal 125 4 2 2 2 2" xfId="22272"/>
    <cellStyle name="Normal 125 4 2 2 3" xfId="11691"/>
    <cellStyle name="Normal 125 4 2 2 3 2" xfId="25322"/>
    <cellStyle name="Normal 125 4 2 2 4" xfId="14987"/>
    <cellStyle name="Normal 125 4 2 2 4 2" xfId="28615"/>
    <cellStyle name="Normal 125 4 2 2 5" xfId="19019"/>
    <cellStyle name="Normal 125 4 2 3" xfId="7128"/>
    <cellStyle name="Normal 125 4 2 3 2" xfId="20778"/>
    <cellStyle name="Normal 125 4 2 4" xfId="10269"/>
    <cellStyle name="Normal 125 4 2 4 2" xfId="23900"/>
    <cellStyle name="Normal 125 4 2 5" xfId="13564"/>
    <cellStyle name="Normal 125 4 2 5 2" xfId="27192"/>
    <cellStyle name="Normal 125 4 2 6" xfId="17495"/>
    <cellStyle name="Normal 125 4 3" xfId="4483"/>
    <cellStyle name="Normal 125 4 3 2" xfId="7913"/>
    <cellStyle name="Normal 125 4 3 2 2" xfId="21561"/>
    <cellStyle name="Normal 125 4 3 3" xfId="10982"/>
    <cellStyle name="Normal 125 4 3 3 2" xfId="24613"/>
    <cellStyle name="Normal 125 4 3 4" xfId="14278"/>
    <cellStyle name="Normal 125 4 3 4 2" xfId="27906"/>
    <cellStyle name="Normal 125 4 3 5" xfId="18278"/>
    <cellStyle name="Normal 125 4 4" xfId="6334"/>
    <cellStyle name="Normal 125 4 4 2" xfId="19984"/>
    <cellStyle name="Normal 125 4 5" xfId="9536"/>
    <cellStyle name="Normal 125 4 5 2" xfId="23178"/>
    <cellStyle name="Normal 125 4 6" xfId="12850"/>
    <cellStyle name="Normal 125 4 6 2" xfId="26478"/>
    <cellStyle name="Normal 125 4 7" xfId="16767"/>
    <cellStyle name="Normal 125 5" xfId="2930"/>
    <cellStyle name="Normal 125 5 2" xfId="4777"/>
    <cellStyle name="Normal 125 5 2 2" xfId="8045"/>
    <cellStyle name="Normal 125 5 2 2 2" xfId="21693"/>
    <cellStyle name="Normal 125 5 2 3" xfId="11114"/>
    <cellStyle name="Normal 125 5 2 3 2" xfId="24745"/>
    <cellStyle name="Normal 125 5 2 4" xfId="14410"/>
    <cellStyle name="Normal 125 5 2 4 2" xfId="28038"/>
    <cellStyle name="Normal 125 5 2 5" xfId="18436"/>
    <cellStyle name="Normal 125 5 3" xfId="6467"/>
    <cellStyle name="Normal 125 5 3 2" xfId="20117"/>
    <cellStyle name="Normal 125 5 4" xfId="9688"/>
    <cellStyle name="Normal 125 5 4 2" xfId="23319"/>
    <cellStyle name="Normal 125 5 5" xfId="12983"/>
    <cellStyle name="Normal 125 5 5 2" xfId="26611"/>
    <cellStyle name="Normal 125 5 6" xfId="16901"/>
    <cellStyle name="Normal 125 6" xfId="3935"/>
    <cellStyle name="Normal 125 6 2" xfId="7365"/>
    <cellStyle name="Normal 125 6 2 2" xfId="21013"/>
    <cellStyle name="Normal 125 6 3" xfId="10503"/>
    <cellStyle name="Normal 125 6 3 2" xfId="24134"/>
    <cellStyle name="Normal 125 6 4" xfId="13799"/>
    <cellStyle name="Normal 125 6 4 2" xfId="27427"/>
    <cellStyle name="Normal 125 6 5" xfId="17730"/>
    <cellStyle name="Normal 125 7" xfId="5527"/>
    <cellStyle name="Normal 125 7 2" xfId="8788"/>
    <cellStyle name="Normal 125 7 2 2" xfId="22431"/>
    <cellStyle name="Normal 125 7 3" xfId="11848"/>
    <cellStyle name="Normal 125 7 3 2" xfId="25479"/>
    <cellStyle name="Normal 125 7 4" xfId="15144"/>
    <cellStyle name="Normal 125 7 4 2" xfId="28772"/>
    <cellStyle name="Normal 125 7 5" xfId="19177"/>
    <cellStyle name="Normal 125 8" xfId="5774"/>
    <cellStyle name="Normal 125 8 2" xfId="19424"/>
    <cellStyle name="Normal 125 9" xfId="8979"/>
    <cellStyle name="Normal 125 9 2" xfId="22622"/>
    <cellStyle name="Normal 126" xfId="1041"/>
    <cellStyle name="Normal 126 10" xfId="12132"/>
    <cellStyle name="Normal 126 10 2" xfId="25760"/>
    <cellStyle name="Normal 126 11" xfId="12375"/>
    <cellStyle name="Normal 126 11 2" xfId="26003"/>
    <cellStyle name="Normal 126 12" xfId="15511"/>
    <cellStyle name="Normal 126 12 2" xfId="29017"/>
    <cellStyle name="Normal 126 13" xfId="16119"/>
    <cellStyle name="Normal 126 14" xfId="29654"/>
    <cellStyle name="Normal 126 2" xfId="2271"/>
    <cellStyle name="Normal 126 2 2" xfId="3384"/>
    <cellStyle name="Normal 126 2 2 2" xfId="5120"/>
    <cellStyle name="Normal 126 2 2 2 2" xfId="8384"/>
    <cellStyle name="Normal 126 2 2 2 2 2" xfId="22032"/>
    <cellStyle name="Normal 126 2 2 2 3" xfId="11451"/>
    <cellStyle name="Normal 126 2 2 2 3 2" xfId="25082"/>
    <cellStyle name="Normal 126 2 2 2 4" xfId="14747"/>
    <cellStyle name="Normal 126 2 2 2 4 2" xfId="28375"/>
    <cellStyle name="Normal 126 2 2 2 5" xfId="18778"/>
    <cellStyle name="Normal 126 2 2 3" xfId="6818"/>
    <cellStyle name="Normal 126 2 2 3 2" xfId="20468"/>
    <cellStyle name="Normal 126 2 2 4" xfId="10028"/>
    <cellStyle name="Normal 126 2 2 4 2" xfId="23659"/>
    <cellStyle name="Normal 126 2 2 5" xfId="13323"/>
    <cellStyle name="Normal 126 2 2 5 2" xfId="26951"/>
    <cellStyle name="Normal 126 2 2 6" xfId="17253"/>
    <cellStyle name="Normal 126 2 3" xfId="4174"/>
    <cellStyle name="Normal 126 2 3 2" xfId="7604"/>
    <cellStyle name="Normal 126 2 3 2 2" xfId="21252"/>
    <cellStyle name="Normal 126 2 3 3" xfId="10742"/>
    <cellStyle name="Normal 126 2 3 3 2" xfId="24373"/>
    <cellStyle name="Normal 126 2 3 4" xfId="14038"/>
    <cellStyle name="Normal 126 2 3 4 2" xfId="27666"/>
    <cellStyle name="Normal 126 2 3 5" xfId="17969"/>
    <cellStyle name="Normal 126 2 4" xfId="6010"/>
    <cellStyle name="Normal 126 2 4 2" xfId="19660"/>
    <cellStyle name="Normal 126 2 5" xfId="9296"/>
    <cellStyle name="Normal 126 2 5 2" xfId="22938"/>
    <cellStyle name="Normal 126 2 6" xfId="12610"/>
    <cellStyle name="Normal 126 2 6 2" xfId="26238"/>
    <cellStyle name="Normal 126 2 7" xfId="16455"/>
    <cellStyle name="Normal 126 3" xfId="2432"/>
    <cellStyle name="Normal 126 3 2" xfId="3538"/>
    <cellStyle name="Normal 126 3 2 2" xfId="5205"/>
    <cellStyle name="Normal 126 3 2 2 2" xfId="8469"/>
    <cellStyle name="Normal 126 3 2 2 2 2" xfId="22117"/>
    <cellStyle name="Normal 126 3 2 2 3" xfId="11536"/>
    <cellStyle name="Normal 126 3 2 2 3 2" xfId="25167"/>
    <cellStyle name="Normal 126 3 2 2 4" xfId="14832"/>
    <cellStyle name="Normal 126 3 2 2 4 2" xfId="28460"/>
    <cellStyle name="Normal 126 3 2 2 5" xfId="18863"/>
    <cellStyle name="Normal 126 3 2 3" xfId="6972"/>
    <cellStyle name="Normal 126 3 2 3 2" xfId="20622"/>
    <cellStyle name="Normal 126 3 2 4" xfId="10113"/>
    <cellStyle name="Normal 126 3 2 4 2" xfId="23744"/>
    <cellStyle name="Normal 126 3 2 5" xfId="13408"/>
    <cellStyle name="Normal 126 3 2 5 2" xfId="27036"/>
    <cellStyle name="Normal 126 3 2 6" xfId="17339"/>
    <cellStyle name="Normal 126 3 3" xfId="4259"/>
    <cellStyle name="Normal 126 3 3 2" xfId="7689"/>
    <cellStyle name="Normal 126 3 3 2 2" xfId="21337"/>
    <cellStyle name="Normal 126 3 3 3" xfId="10827"/>
    <cellStyle name="Normal 126 3 3 3 2" xfId="24458"/>
    <cellStyle name="Normal 126 3 3 4" xfId="14123"/>
    <cellStyle name="Normal 126 3 3 4 2" xfId="27751"/>
    <cellStyle name="Normal 126 3 3 5" xfId="18054"/>
    <cellStyle name="Normal 126 3 4" xfId="6095"/>
    <cellStyle name="Normal 126 3 4 2" xfId="19745"/>
    <cellStyle name="Normal 126 3 5" xfId="9381"/>
    <cellStyle name="Normal 126 3 5 2" xfId="23023"/>
    <cellStyle name="Normal 126 3 6" xfId="12695"/>
    <cellStyle name="Normal 126 3 6 2" xfId="26323"/>
    <cellStyle name="Normal 126 3 7" xfId="16543"/>
    <cellStyle name="Normal 126 4" xfId="2741"/>
    <cellStyle name="Normal 126 4 2" xfId="3695"/>
    <cellStyle name="Normal 126 4 2 2" xfId="5362"/>
    <cellStyle name="Normal 126 4 2 2 2" xfId="8625"/>
    <cellStyle name="Normal 126 4 2 2 2 2" xfId="22273"/>
    <cellStyle name="Normal 126 4 2 2 3" xfId="11692"/>
    <cellStyle name="Normal 126 4 2 2 3 2" xfId="25323"/>
    <cellStyle name="Normal 126 4 2 2 4" xfId="14988"/>
    <cellStyle name="Normal 126 4 2 2 4 2" xfId="28616"/>
    <cellStyle name="Normal 126 4 2 2 5" xfId="19020"/>
    <cellStyle name="Normal 126 4 2 3" xfId="7129"/>
    <cellStyle name="Normal 126 4 2 3 2" xfId="20779"/>
    <cellStyle name="Normal 126 4 2 4" xfId="10270"/>
    <cellStyle name="Normal 126 4 2 4 2" xfId="23901"/>
    <cellStyle name="Normal 126 4 2 5" xfId="13565"/>
    <cellStyle name="Normal 126 4 2 5 2" xfId="27193"/>
    <cellStyle name="Normal 126 4 2 6" xfId="17496"/>
    <cellStyle name="Normal 126 4 3" xfId="4484"/>
    <cellStyle name="Normal 126 4 3 2" xfId="7914"/>
    <cellStyle name="Normal 126 4 3 2 2" xfId="21562"/>
    <cellStyle name="Normal 126 4 3 3" xfId="10983"/>
    <cellStyle name="Normal 126 4 3 3 2" xfId="24614"/>
    <cellStyle name="Normal 126 4 3 4" xfId="14279"/>
    <cellStyle name="Normal 126 4 3 4 2" xfId="27907"/>
    <cellStyle name="Normal 126 4 3 5" xfId="18279"/>
    <cellStyle name="Normal 126 4 4" xfId="6335"/>
    <cellStyle name="Normal 126 4 4 2" xfId="19985"/>
    <cellStyle name="Normal 126 4 5" xfId="9537"/>
    <cellStyle name="Normal 126 4 5 2" xfId="23179"/>
    <cellStyle name="Normal 126 4 6" xfId="12851"/>
    <cellStyle name="Normal 126 4 6 2" xfId="26479"/>
    <cellStyle name="Normal 126 4 7" xfId="16768"/>
    <cellStyle name="Normal 126 5" xfId="2931"/>
    <cellStyle name="Normal 126 5 2" xfId="4778"/>
    <cellStyle name="Normal 126 5 2 2" xfId="8046"/>
    <cellStyle name="Normal 126 5 2 2 2" xfId="21694"/>
    <cellStyle name="Normal 126 5 2 3" xfId="11115"/>
    <cellStyle name="Normal 126 5 2 3 2" xfId="24746"/>
    <cellStyle name="Normal 126 5 2 4" xfId="14411"/>
    <cellStyle name="Normal 126 5 2 4 2" xfId="28039"/>
    <cellStyle name="Normal 126 5 2 5" xfId="18437"/>
    <cellStyle name="Normal 126 5 3" xfId="6468"/>
    <cellStyle name="Normal 126 5 3 2" xfId="20118"/>
    <cellStyle name="Normal 126 5 4" xfId="9689"/>
    <cellStyle name="Normal 126 5 4 2" xfId="23320"/>
    <cellStyle name="Normal 126 5 5" xfId="12984"/>
    <cellStyle name="Normal 126 5 5 2" xfId="26612"/>
    <cellStyle name="Normal 126 5 6" xfId="16902"/>
    <cellStyle name="Normal 126 6" xfId="3936"/>
    <cellStyle name="Normal 126 6 2" xfId="7366"/>
    <cellStyle name="Normal 126 6 2 2" xfId="21014"/>
    <cellStyle name="Normal 126 6 3" xfId="10504"/>
    <cellStyle name="Normal 126 6 3 2" xfId="24135"/>
    <cellStyle name="Normal 126 6 4" xfId="13800"/>
    <cellStyle name="Normal 126 6 4 2" xfId="27428"/>
    <cellStyle name="Normal 126 6 5" xfId="17731"/>
    <cellStyle name="Normal 126 7" xfId="5528"/>
    <cellStyle name="Normal 126 7 2" xfId="8789"/>
    <cellStyle name="Normal 126 7 2 2" xfId="22432"/>
    <cellStyle name="Normal 126 7 3" xfId="11849"/>
    <cellStyle name="Normal 126 7 3 2" xfId="25480"/>
    <cellStyle name="Normal 126 7 4" xfId="15145"/>
    <cellStyle name="Normal 126 7 4 2" xfId="28773"/>
    <cellStyle name="Normal 126 7 5" xfId="19178"/>
    <cellStyle name="Normal 126 8" xfId="5775"/>
    <cellStyle name="Normal 126 8 2" xfId="19425"/>
    <cellStyle name="Normal 126 9" xfId="8980"/>
    <cellStyle name="Normal 126 9 2" xfId="22623"/>
    <cellStyle name="Normal 127" xfId="1042"/>
    <cellStyle name="Normal 128" xfId="1043"/>
    <cellStyle name="Normal 128 10" xfId="12133"/>
    <cellStyle name="Normal 128 10 2" xfId="25761"/>
    <cellStyle name="Normal 128 11" xfId="12376"/>
    <cellStyle name="Normal 128 11 2" xfId="26004"/>
    <cellStyle name="Normal 128 12" xfId="15512"/>
    <cellStyle name="Normal 128 12 2" xfId="29018"/>
    <cellStyle name="Normal 128 13" xfId="16120"/>
    <cellStyle name="Normal 128 14" xfId="29655"/>
    <cellStyle name="Normal 128 2" xfId="2272"/>
    <cellStyle name="Normal 128 2 2" xfId="3385"/>
    <cellStyle name="Normal 128 2 2 2" xfId="5121"/>
    <cellStyle name="Normal 128 2 2 2 2" xfId="8385"/>
    <cellStyle name="Normal 128 2 2 2 2 2" xfId="22033"/>
    <cellStyle name="Normal 128 2 2 2 3" xfId="11452"/>
    <cellStyle name="Normal 128 2 2 2 3 2" xfId="25083"/>
    <cellStyle name="Normal 128 2 2 2 4" xfId="14748"/>
    <cellStyle name="Normal 128 2 2 2 4 2" xfId="28376"/>
    <cellStyle name="Normal 128 2 2 2 5" xfId="18779"/>
    <cellStyle name="Normal 128 2 2 3" xfId="6819"/>
    <cellStyle name="Normal 128 2 2 3 2" xfId="20469"/>
    <cellStyle name="Normal 128 2 2 4" xfId="10029"/>
    <cellStyle name="Normal 128 2 2 4 2" xfId="23660"/>
    <cellStyle name="Normal 128 2 2 5" xfId="13324"/>
    <cellStyle name="Normal 128 2 2 5 2" xfId="26952"/>
    <cellStyle name="Normal 128 2 2 6" xfId="17254"/>
    <cellStyle name="Normal 128 2 3" xfId="4175"/>
    <cellStyle name="Normal 128 2 3 2" xfId="7605"/>
    <cellStyle name="Normal 128 2 3 2 2" xfId="21253"/>
    <cellStyle name="Normal 128 2 3 3" xfId="10743"/>
    <cellStyle name="Normal 128 2 3 3 2" xfId="24374"/>
    <cellStyle name="Normal 128 2 3 4" xfId="14039"/>
    <cellStyle name="Normal 128 2 3 4 2" xfId="27667"/>
    <cellStyle name="Normal 128 2 3 5" xfId="17970"/>
    <cellStyle name="Normal 128 2 4" xfId="6011"/>
    <cellStyle name="Normal 128 2 4 2" xfId="19661"/>
    <cellStyle name="Normal 128 2 5" xfId="9297"/>
    <cellStyle name="Normal 128 2 5 2" xfId="22939"/>
    <cellStyle name="Normal 128 2 6" xfId="12611"/>
    <cellStyle name="Normal 128 2 6 2" xfId="26239"/>
    <cellStyle name="Normal 128 2 7" xfId="16456"/>
    <cellStyle name="Normal 128 3" xfId="2433"/>
    <cellStyle name="Normal 128 3 2" xfId="3539"/>
    <cellStyle name="Normal 128 3 2 2" xfId="5206"/>
    <cellStyle name="Normal 128 3 2 2 2" xfId="8470"/>
    <cellStyle name="Normal 128 3 2 2 2 2" xfId="22118"/>
    <cellStyle name="Normal 128 3 2 2 3" xfId="11537"/>
    <cellStyle name="Normal 128 3 2 2 3 2" xfId="25168"/>
    <cellStyle name="Normal 128 3 2 2 4" xfId="14833"/>
    <cellStyle name="Normal 128 3 2 2 4 2" xfId="28461"/>
    <cellStyle name="Normal 128 3 2 2 5" xfId="18864"/>
    <cellStyle name="Normal 128 3 2 3" xfId="6973"/>
    <cellStyle name="Normal 128 3 2 3 2" xfId="20623"/>
    <cellStyle name="Normal 128 3 2 4" xfId="10114"/>
    <cellStyle name="Normal 128 3 2 4 2" xfId="23745"/>
    <cellStyle name="Normal 128 3 2 5" xfId="13409"/>
    <cellStyle name="Normal 128 3 2 5 2" xfId="27037"/>
    <cellStyle name="Normal 128 3 2 6" xfId="17340"/>
    <cellStyle name="Normal 128 3 3" xfId="4260"/>
    <cellStyle name="Normal 128 3 3 2" xfId="7690"/>
    <cellStyle name="Normal 128 3 3 2 2" xfId="21338"/>
    <cellStyle name="Normal 128 3 3 3" xfId="10828"/>
    <cellStyle name="Normal 128 3 3 3 2" xfId="24459"/>
    <cellStyle name="Normal 128 3 3 4" xfId="14124"/>
    <cellStyle name="Normal 128 3 3 4 2" xfId="27752"/>
    <cellStyle name="Normal 128 3 3 5" xfId="18055"/>
    <cellStyle name="Normal 128 3 4" xfId="6096"/>
    <cellStyle name="Normal 128 3 4 2" xfId="19746"/>
    <cellStyle name="Normal 128 3 5" xfId="9382"/>
    <cellStyle name="Normal 128 3 5 2" xfId="23024"/>
    <cellStyle name="Normal 128 3 6" xfId="12696"/>
    <cellStyle name="Normal 128 3 6 2" xfId="26324"/>
    <cellStyle name="Normal 128 3 7" xfId="16544"/>
    <cellStyle name="Normal 128 4" xfId="2742"/>
    <cellStyle name="Normal 128 4 2" xfId="3696"/>
    <cellStyle name="Normal 128 4 2 2" xfId="5363"/>
    <cellStyle name="Normal 128 4 2 2 2" xfId="8626"/>
    <cellStyle name="Normal 128 4 2 2 2 2" xfId="22274"/>
    <cellStyle name="Normal 128 4 2 2 3" xfId="11693"/>
    <cellStyle name="Normal 128 4 2 2 3 2" xfId="25324"/>
    <cellStyle name="Normal 128 4 2 2 4" xfId="14989"/>
    <cellStyle name="Normal 128 4 2 2 4 2" xfId="28617"/>
    <cellStyle name="Normal 128 4 2 2 5" xfId="19021"/>
    <cellStyle name="Normal 128 4 2 3" xfId="7130"/>
    <cellStyle name="Normal 128 4 2 3 2" xfId="20780"/>
    <cellStyle name="Normal 128 4 2 4" xfId="10271"/>
    <cellStyle name="Normal 128 4 2 4 2" xfId="23902"/>
    <cellStyle name="Normal 128 4 2 5" xfId="13566"/>
    <cellStyle name="Normal 128 4 2 5 2" xfId="27194"/>
    <cellStyle name="Normal 128 4 2 6" xfId="17497"/>
    <cellStyle name="Normal 128 4 3" xfId="4485"/>
    <cellStyle name="Normal 128 4 3 2" xfId="7915"/>
    <cellStyle name="Normal 128 4 3 2 2" xfId="21563"/>
    <cellStyle name="Normal 128 4 3 3" xfId="10984"/>
    <cellStyle name="Normal 128 4 3 3 2" xfId="24615"/>
    <cellStyle name="Normal 128 4 3 4" xfId="14280"/>
    <cellStyle name="Normal 128 4 3 4 2" xfId="27908"/>
    <cellStyle name="Normal 128 4 3 5" xfId="18280"/>
    <cellStyle name="Normal 128 4 4" xfId="6336"/>
    <cellStyle name="Normal 128 4 4 2" xfId="19986"/>
    <cellStyle name="Normal 128 4 5" xfId="9538"/>
    <cellStyle name="Normal 128 4 5 2" xfId="23180"/>
    <cellStyle name="Normal 128 4 6" xfId="12852"/>
    <cellStyle name="Normal 128 4 6 2" xfId="26480"/>
    <cellStyle name="Normal 128 4 7" xfId="16769"/>
    <cellStyle name="Normal 128 5" xfId="2932"/>
    <cellStyle name="Normal 128 5 2" xfId="4779"/>
    <cellStyle name="Normal 128 5 2 2" xfId="8047"/>
    <cellStyle name="Normal 128 5 2 2 2" xfId="21695"/>
    <cellStyle name="Normal 128 5 2 3" xfId="11116"/>
    <cellStyle name="Normal 128 5 2 3 2" xfId="24747"/>
    <cellStyle name="Normal 128 5 2 4" xfId="14412"/>
    <cellStyle name="Normal 128 5 2 4 2" xfId="28040"/>
    <cellStyle name="Normal 128 5 2 5" xfId="18438"/>
    <cellStyle name="Normal 128 5 3" xfId="6469"/>
    <cellStyle name="Normal 128 5 3 2" xfId="20119"/>
    <cellStyle name="Normal 128 5 4" xfId="9690"/>
    <cellStyle name="Normal 128 5 4 2" xfId="23321"/>
    <cellStyle name="Normal 128 5 5" xfId="12985"/>
    <cellStyle name="Normal 128 5 5 2" xfId="26613"/>
    <cellStyle name="Normal 128 5 6" xfId="16903"/>
    <cellStyle name="Normal 128 6" xfId="3937"/>
    <cellStyle name="Normal 128 6 2" xfId="7367"/>
    <cellStyle name="Normal 128 6 2 2" xfId="21015"/>
    <cellStyle name="Normal 128 6 3" xfId="10505"/>
    <cellStyle name="Normal 128 6 3 2" xfId="24136"/>
    <cellStyle name="Normal 128 6 4" xfId="13801"/>
    <cellStyle name="Normal 128 6 4 2" xfId="27429"/>
    <cellStyle name="Normal 128 6 5" xfId="17732"/>
    <cellStyle name="Normal 128 7" xfId="5529"/>
    <cellStyle name="Normal 128 7 2" xfId="8790"/>
    <cellStyle name="Normal 128 7 2 2" xfId="22433"/>
    <cellStyle name="Normal 128 7 3" xfId="11850"/>
    <cellStyle name="Normal 128 7 3 2" xfId="25481"/>
    <cellStyle name="Normal 128 7 4" xfId="15146"/>
    <cellStyle name="Normal 128 7 4 2" xfId="28774"/>
    <cellStyle name="Normal 128 7 5" xfId="19179"/>
    <cellStyle name="Normal 128 8" xfId="5776"/>
    <cellStyle name="Normal 128 8 2" xfId="19426"/>
    <cellStyle name="Normal 128 9" xfId="8981"/>
    <cellStyle name="Normal 128 9 2" xfId="22624"/>
    <cellStyle name="Normal 129" xfId="1044"/>
    <cellStyle name="Normal 129 10" xfId="12134"/>
    <cellStyle name="Normal 129 10 2" xfId="25762"/>
    <cellStyle name="Normal 129 11" xfId="12377"/>
    <cellStyle name="Normal 129 11 2" xfId="26005"/>
    <cellStyle name="Normal 129 12" xfId="15513"/>
    <cellStyle name="Normal 129 12 2" xfId="29019"/>
    <cellStyle name="Normal 129 13" xfId="16121"/>
    <cellStyle name="Normal 129 14" xfId="29656"/>
    <cellStyle name="Normal 129 2" xfId="2273"/>
    <cellStyle name="Normal 129 2 2" xfId="3386"/>
    <cellStyle name="Normal 129 2 2 2" xfId="5122"/>
    <cellStyle name="Normal 129 2 2 2 2" xfId="8386"/>
    <cellStyle name="Normal 129 2 2 2 2 2" xfId="22034"/>
    <cellStyle name="Normal 129 2 2 2 3" xfId="11453"/>
    <cellStyle name="Normal 129 2 2 2 3 2" xfId="25084"/>
    <cellStyle name="Normal 129 2 2 2 4" xfId="14749"/>
    <cellStyle name="Normal 129 2 2 2 4 2" xfId="28377"/>
    <cellStyle name="Normal 129 2 2 2 5" xfId="18780"/>
    <cellStyle name="Normal 129 2 2 3" xfId="6820"/>
    <cellStyle name="Normal 129 2 2 3 2" xfId="20470"/>
    <cellStyle name="Normal 129 2 2 4" xfId="10030"/>
    <cellStyle name="Normal 129 2 2 4 2" xfId="23661"/>
    <cellStyle name="Normal 129 2 2 5" xfId="13325"/>
    <cellStyle name="Normal 129 2 2 5 2" xfId="26953"/>
    <cellStyle name="Normal 129 2 2 6" xfId="17255"/>
    <cellStyle name="Normal 129 2 3" xfId="4176"/>
    <cellStyle name="Normal 129 2 3 2" xfId="7606"/>
    <cellStyle name="Normal 129 2 3 2 2" xfId="21254"/>
    <cellStyle name="Normal 129 2 3 3" xfId="10744"/>
    <cellStyle name="Normal 129 2 3 3 2" xfId="24375"/>
    <cellStyle name="Normal 129 2 3 4" xfId="14040"/>
    <cellStyle name="Normal 129 2 3 4 2" xfId="27668"/>
    <cellStyle name="Normal 129 2 3 5" xfId="17971"/>
    <cellStyle name="Normal 129 2 4" xfId="6012"/>
    <cellStyle name="Normal 129 2 4 2" xfId="19662"/>
    <cellStyle name="Normal 129 2 5" xfId="9298"/>
    <cellStyle name="Normal 129 2 5 2" xfId="22940"/>
    <cellStyle name="Normal 129 2 6" xfId="12612"/>
    <cellStyle name="Normal 129 2 6 2" xfId="26240"/>
    <cellStyle name="Normal 129 2 7" xfId="16457"/>
    <cellStyle name="Normal 129 3" xfId="2434"/>
    <cellStyle name="Normal 129 3 2" xfId="3540"/>
    <cellStyle name="Normal 129 3 2 2" xfId="5207"/>
    <cellStyle name="Normal 129 3 2 2 2" xfId="8471"/>
    <cellStyle name="Normal 129 3 2 2 2 2" xfId="22119"/>
    <cellStyle name="Normal 129 3 2 2 3" xfId="11538"/>
    <cellStyle name="Normal 129 3 2 2 3 2" xfId="25169"/>
    <cellStyle name="Normal 129 3 2 2 4" xfId="14834"/>
    <cellStyle name="Normal 129 3 2 2 4 2" xfId="28462"/>
    <cellStyle name="Normal 129 3 2 2 5" xfId="18865"/>
    <cellStyle name="Normal 129 3 2 3" xfId="6974"/>
    <cellStyle name="Normal 129 3 2 3 2" xfId="20624"/>
    <cellStyle name="Normal 129 3 2 4" xfId="10115"/>
    <cellStyle name="Normal 129 3 2 4 2" xfId="23746"/>
    <cellStyle name="Normal 129 3 2 5" xfId="13410"/>
    <cellStyle name="Normal 129 3 2 5 2" xfId="27038"/>
    <cellStyle name="Normal 129 3 2 6" xfId="17341"/>
    <cellStyle name="Normal 129 3 3" xfId="4261"/>
    <cellStyle name="Normal 129 3 3 2" xfId="7691"/>
    <cellStyle name="Normal 129 3 3 2 2" xfId="21339"/>
    <cellStyle name="Normal 129 3 3 3" xfId="10829"/>
    <cellStyle name="Normal 129 3 3 3 2" xfId="24460"/>
    <cellStyle name="Normal 129 3 3 4" xfId="14125"/>
    <cellStyle name="Normal 129 3 3 4 2" xfId="27753"/>
    <cellStyle name="Normal 129 3 3 5" xfId="18056"/>
    <cellStyle name="Normal 129 3 4" xfId="6097"/>
    <cellStyle name="Normal 129 3 4 2" xfId="19747"/>
    <cellStyle name="Normal 129 3 5" xfId="9383"/>
    <cellStyle name="Normal 129 3 5 2" xfId="23025"/>
    <cellStyle name="Normal 129 3 6" xfId="12697"/>
    <cellStyle name="Normal 129 3 6 2" xfId="26325"/>
    <cellStyle name="Normal 129 3 7" xfId="16545"/>
    <cellStyle name="Normal 129 4" xfId="2743"/>
    <cellStyle name="Normal 129 4 2" xfId="3697"/>
    <cellStyle name="Normal 129 4 2 2" xfId="5364"/>
    <cellStyle name="Normal 129 4 2 2 2" xfId="8627"/>
    <cellStyle name="Normal 129 4 2 2 2 2" xfId="22275"/>
    <cellStyle name="Normal 129 4 2 2 3" xfId="11694"/>
    <cellStyle name="Normal 129 4 2 2 3 2" xfId="25325"/>
    <cellStyle name="Normal 129 4 2 2 4" xfId="14990"/>
    <cellStyle name="Normal 129 4 2 2 4 2" xfId="28618"/>
    <cellStyle name="Normal 129 4 2 2 5" xfId="19022"/>
    <cellStyle name="Normal 129 4 2 3" xfId="7131"/>
    <cellStyle name="Normal 129 4 2 3 2" xfId="20781"/>
    <cellStyle name="Normal 129 4 2 4" xfId="10272"/>
    <cellStyle name="Normal 129 4 2 4 2" xfId="23903"/>
    <cellStyle name="Normal 129 4 2 5" xfId="13567"/>
    <cellStyle name="Normal 129 4 2 5 2" xfId="27195"/>
    <cellStyle name="Normal 129 4 2 6" xfId="17498"/>
    <cellStyle name="Normal 129 4 3" xfId="4486"/>
    <cellStyle name="Normal 129 4 3 2" xfId="7916"/>
    <cellStyle name="Normal 129 4 3 2 2" xfId="21564"/>
    <cellStyle name="Normal 129 4 3 3" xfId="10985"/>
    <cellStyle name="Normal 129 4 3 3 2" xfId="24616"/>
    <cellStyle name="Normal 129 4 3 4" xfId="14281"/>
    <cellStyle name="Normal 129 4 3 4 2" xfId="27909"/>
    <cellStyle name="Normal 129 4 3 5" xfId="18281"/>
    <cellStyle name="Normal 129 4 4" xfId="6337"/>
    <cellStyle name="Normal 129 4 4 2" xfId="19987"/>
    <cellStyle name="Normal 129 4 5" xfId="9539"/>
    <cellStyle name="Normal 129 4 5 2" xfId="23181"/>
    <cellStyle name="Normal 129 4 6" xfId="12853"/>
    <cellStyle name="Normal 129 4 6 2" xfId="26481"/>
    <cellStyle name="Normal 129 4 7" xfId="16770"/>
    <cellStyle name="Normal 129 5" xfId="2933"/>
    <cellStyle name="Normal 129 5 2" xfId="4780"/>
    <cellStyle name="Normal 129 5 2 2" xfId="8048"/>
    <cellStyle name="Normal 129 5 2 2 2" xfId="21696"/>
    <cellStyle name="Normal 129 5 2 3" xfId="11117"/>
    <cellStyle name="Normal 129 5 2 3 2" xfId="24748"/>
    <cellStyle name="Normal 129 5 2 4" xfId="14413"/>
    <cellStyle name="Normal 129 5 2 4 2" xfId="28041"/>
    <cellStyle name="Normal 129 5 2 5" xfId="18439"/>
    <cellStyle name="Normal 129 5 3" xfId="6470"/>
    <cellStyle name="Normal 129 5 3 2" xfId="20120"/>
    <cellStyle name="Normal 129 5 4" xfId="9691"/>
    <cellStyle name="Normal 129 5 4 2" xfId="23322"/>
    <cellStyle name="Normal 129 5 5" xfId="12986"/>
    <cellStyle name="Normal 129 5 5 2" xfId="26614"/>
    <cellStyle name="Normal 129 5 6" xfId="16904"/>
    <cellStyle name="Normal 129 6" xfId="3938"/>
    <cellStyle name="Normal 129 6 2" xfId="7368"/>
    <cellStyle name="Normal 129 6 2 2" xfId="21016"/>
    <cellStyle name="Normal 129 6 3" xfId="10506"/>
    <cellStyle name="Normal 129 6 3 2" xfId="24137"/>
    <cellStyle name="Normal 129 6 4" xfId="13802"/>
    <cellStyle name="Normal 129 6 4 2" xfId="27430"/>
    <cellStyle name="Normal 129 6 5" xfId="17733"/>
    <cellStyle name="Normal 129 7" xfId="5530"/>
    <cellStyle name="Normal 129 7 2" xfId="8791"/>
    <cellStyle name="Normal 129 7 2 2" xfId="22434"/>
    <cellStyle name="Normal 129 7 3" xfId="11851"/>
    <cellStyle name="Normal 129 7 3 2" xfId="25482"/>
    <cellStyle name="Normal 129 7 4" xfId="15147"/>
    <cellStyle name="Normal 129 7 4 2" xfId="28775"/>
    <cellStyle name="Normal 129 7 5" xfId="19180"/>
    <cellStyle name="Normal 129 8" xfId="5777"/>
    <cellStyle name="Normal 129 8 2" xfId="19427"/>
    <cellStyle name="Normal 129 9" xfId="8982"/>
    <cellStyle name="Normal 129 9 2" xfId="22625"/>
    <cellStyle name="Normal 13" xfId="69"/>
    <cellStyle name="Normal 13 2" xfId="142"/>
    <cellStyle name="Normal 13 2 2" xfId="1045"/>
    <cellStyle name="Normal 13 2 3" xfId="1046"/>
    <cellStyle name="Normal 13 3" xfId="1047"/>
    <cellStyle name="Normal 13 4" xfId="1048"/>
    <cellStyle name="Normal 13 5" xfId="1981"/>
    <cellStyle name="Normal 13_Data Check Control" xfId="197"/>
    <cellStyle name="Normal 130" xfId="1049"/>
    <cellStyle name="Normal 130 10" xfId="12135"/>
    <cellStyle name="Normal 130 10 2" xfId="25763"/>
    <cellStyle name="Normal 130 11" xfId="12378"/>
    <cellStyle name="Normal 130 11 2" xfId="26006"/>
    <cellStyle name="Normal 130 12" xfId="15514"/>
    <cellStyle name="Normal 130 12 2" xfId="29020"/>
    <cellStyle name="Normal 130 13" xfId="16122"/>
    <cellStyle name="Normal 130 14" xfId="29657"/>
    <cellStyle name="Normal 130 2" xfId="2274"/>
    <cellStyle name="Normal 130 2 2" xfId="3387"/>
    <cellStyle name="Normal 130 2 2 2" xfId="5123"/>
    <cellStyle name="Normal 130 2 2 2 2" xfId="8387"/>
    <cellStyle name="Normal 130 2 2 2 2 2" xfId="22035"/>
    <cellStyle name="Normal 130 2 2 2 3" xfId="11454"/>
    <cellStyle name="Normal 130 2 2 2 3 2" xfId="25085"/>
    <cellStyle name="Normal 130 2 2 2 4" xfId="14750"/>
    <cellStyle name="Normal 130 2 2 2 4 2" xfId="28378"/>
    <cellStyle name="Normal 130 2 2 2 5" xfId="18781"/>
    <cellStyle name="Normal 130 2 2 3" xfId="6821"/>
    <cellStyle name="Normal 130 2 2 3 2" xfId="20471"/>
    <cellStyle name="Normal 130 2 2 4" xfId="10031"/>
    <cellStyle name="Normal 130 2 2 4 2" xfId="23662"/>
    <cellStyle name="Normal 130 2 2 5" xfId="13326"/>
    <cellStyle name="Normal 130 2 2 5 2" xfId="26954"/>
    <cellStyle name="Normal 130 2 2 6" xfId="17256"/>
    <cellStyle name="Normal 130 2 3" xfId="4177"/>
    <cellStyle name="Normal 130 2 3 2" xfId="7607"/>
    <cellStyle name="Normal 130 2 3 2 2" xfId="21255"/>
    <cellStyle name="Normal 130 2 3 3" xfId="10745"/>
    <cellStyle name="Normal 130 2 3 3 2" xfId="24376"/>
    <cellStyle name="Normal 130 2 3 4" xfId="14041"/>
    <cellStyle name="Normal 130 2 3 4 2" xfId="27669"/>
    <cellStyle name="Normal 130 2 3 5" xfId="17972"/>
    <cellStyle name="Normal 130 2 4" xfId="6013"/>
    <cellStyle name="Normal 130 2 4 2" xfId="19663"/>
    <cellStyle name="Normal 130 2 5" xfId="9299"/>
    <cellStyle name="Normal 130 2 5 2" xfId="22941"/>
    <cellStyle name="Normal 130 2 6" xfId="12613"/>
    <cellStyle name="Normal 130 2 6 2" xfId="26241"/>
    <cellStyle name="Normal 130 2 7" xfId="16458"/>
    <cellStyle name="Normal 130 3" xfId="2435"/>
    <cellStyle name="Normal 130 3 2" xfId="3541"/>
    <cellStyle name="Normal 130 3 2 2" xfId="5208"/>
    <cellStyle name="Normal 130 3 2 2 2" xfId="8472"/>
    <cellStyle name="Normal 130 3 2 2 2 2" xfId="22120"/>
    <cellStyle name="Normal 130 3 2 2 3" xfId="11539"/>
    <cellStyle name="Normal 130 3 2 2 3 2" xfId="25170"/>
    <cellStyle name="Normal 130 3 2 2 4" xfId="14835"/>
    <cellStyle name="Normal 130 3 2 2 4 2" xfId="28463"/>
    <cellStyle name="Normal 130 3 2 2 5" xfId="18866"/>
    <cellStyle name="Normal 130 3 2 3" xfId="6975"/>
    <cellStyle name="Normal 130 3 2 3 2" xfId="20625"/>
    <cellStyle name="Normal 130 3 2 4" xfId="10116"/>
    <cellStyle name="Normal 130 3 2 4 2" xfId="23747"/>
    <cellStyle name="Normal 130 3 2 5" xfId="13411"/>
    <cellStyle name="Normal 130 3 2 5 2" xfId="27039"/>
    <cellStyle name="Normal 130 3 2 6" xfId="17342"/>
    <cellStyle name="Normal 130 3 3" xfId="4262"/>
    <cellStyle name="Normal 130 3 3 2" xfId="7692"/>
    <cellStyle name="Normal 130 3 3 2 2" xfId="21340"/>
    <cellStyle name="Normal 130 3 3 3" xfId="10830"/>
    <cellStyle name="Normal 130 3 3 3 2" xfId="24461"/>
    <cellStyle name="Normal 130 3 3 4" xfId="14126"/>
    <cellStyle name="Normal 130 3 3 4 2" xfId="27754"/>
    <cellStyle name="Normal 130 3 3 5" xfId="18057"/>
    <cellStyle name="Normal 130 3 4" xfId="6098"/>
    <cellStyle name="Normal 130 3 4 2" xfId="19748"/>
    <cellStyle name="Normal 130 3 5" xfId="9384"/>
    <cellStyle name="Normal 130 3 5 2" xfId="23026"/>
    <cellStyle name="Normal 130 3 6" xfId="12698"/>
    <cellStyle name="Normal 130 3 6 2" xfId="26326"/>
    <cellStyle name="Normal 130 3 7" xfId="16546"/>
    <cellStyle name="Normal 130 4" xfId="2744"/>
    <cellStyle name="Normal 130 4 2" xfId="3698"/>
    <cellStyle name="Normal 130 4 2 2" xfId="5365"/>
    <cellStyle name="Normal 130 4 2 2 2" xfId="8628"/>
    <cellStyle name="Normal 130 4 2 2 2 2" xfId="22276"/>
    <cellStyle name="Normal 130 4 2 2 3" xfId="11695"/>
    <cellStyle name="Normal 130 4 2 2 3 2" xfId="25326"/>
    <cellStyle name="Normal 130 4 2 2 4" xfId="14991"/>
    <cellStyle name="Normal 130 4 2 2 4 2" xfId="28619"/>
    <cellStyle name="Normal 130 4 2 2 5" xfId="19023"/>
    <cellStyle name="Normal 130 4 2 3" xfId="7132"/>
    <cellStyle name="Normal 130 4 2 3 2" xfId="20782"/>
    <cellStyle name="Normal 130 4 2 4" xfId="10273"/>
    <cellStyle name="Normal 130 4 2 4 2" xfId="23904"/>
    <cellStyle name="Normal 130 4 2 5" xfId="13568"/>
    <cellStyle name="Normal 130 4 2 5 2" xfId="27196"/>
    <cellStyle name="Normal 130 4 2 6" xfId="17499"/>
    <cellStyle name="Normal 130 4 3" xfId="4487"/>
    <cellStyle name="Normal 130 4 3 2" xfId="7917"/>
    <cellStyle name="Normal 130 4 3 2 2" xfId="21565"/>
    <cellStyle name="Normal 130 4 3 3" xfId="10986"/>
    <cellStyle name="Normal 130 4 3 3 2" xfId="24617"/>
    <cellStyle name="Normal 130 4 3 4" xfId="14282"/>
    <cellStyle name="Normal 130 4 3 4 2" xfId="27910"/>
    <cellStyle name="Normal 130 4 3 5" xfId="18282"/>
    <cellStyle name="Normal 130 4 4" xfId="6338"/>
    <cellStyle name="Normal 130 4 4 2" xfId="19988"/>
    <cellStyle name="Normal 130 4 5" xfId="9540"/>
    <cellStyle name="Normal 130 4 5 2" xfId="23182"/>
    <cellStyle name="Normal 130 4 6" xfId="12854"/>
    <cellStyle name="Normal 130 4 6 2" xfId="26482"/>
    <cellStyle name="Normal 130 4 7" xfId="16771"/>
    <cellStyle name="Normal 130 5" xfId="2934"/>
    <cellStyle name="Normal 130 5 2" xfId="4781"/>
    <cellStyle name="Normal 130 5 2 2" xfId="8049"/>
    <cellStyle name="Normal 130 5 2 2 2" xfId="21697"/>
    <cellStyle name="Normal 130 5 2 3" xfId="11118"/>
    <cellStyle name="Normal 130 5 2 3 2" xfId="24749"/>
    <cellStyle name="Normal 130 5 2 4" xfId="14414"/>
    <cellStyle name="Normal 130 5 2 4 2" xfId="28042"/>
    <cellStyle name="Normal 130 5 2 5" xfId="18440"/>
    <cellStyle name="Normal 130 5 3" xfId="6471"/>
    <cellStyle name="Normal 130 5 3 2" xfId="20121"/>
    <cellStyle name="Normal 130 5 4" xfId="9692"/>
    <cellStyle name="Normal 130 5 4 2" xfId="23323"/>
    <cellStyle name="Normal 130 5 5" xfId="12987"/>
    <cellStyle name="Normal 130 5 5 2" xfId="26615"/>
    <cellStyle name="Normal 130 5 6" xfId="16905"/>
    <cellStyle name="Normal 130 6" xfId="3939"/>
    <cellStyle name="Normal 130 6 2" xfId="7369"/>
    <cellStyle name="Normal 130 6 2 2" xfId="21017"/>
    <cellStyle name="Normal 130 6 3" xfId="10507"/>
    <cellStyle name="Normal 130 6 3 2" xfId="24138"/>
    <cellStyle name="Normal 130 6 4" xfId="13803"/>
    <cellStyle name="Normal 130 6 4 2" xfId="27431"/>
    <cellStyle name="Normal 130 6 5" xfId="17734"/>
    <cellStyle name="Normal 130 7" xfId="5531"/>
    <cellStyle name="Normal 130 7 2" xfId="8792"/>
    <cellStyle name="Normal 130 7 2 2" xfId="22435"/>
    <cellStyle name="Normal 130 7 3" xfId="11852"/>
    <cellStyle name="Normal 130 7 3 2" xfId="25483"/>
    <cellStyle name="Normal 130 7 4" xfId="15148"/>
    <cellStyle name="Normal 130 7 4 2" xfId="28776"/>
    <cellStyle name="Normal 130 7 5" xfId="19181"/>
    <cellStyle name="Normal 130 8" xfId="5778"/>
    <cellStyle name="Normal 130 8 2" xfId="19428"/>
    <cellStyle name="Normal 130 9" xfId="8983"/>
    <cellStyle name="Normal 130 9 2" xfId="22626"/>
    <cellStyle name="Normal 131" xfId="1050"/>
    <cellStyle name="Normal 131 10" xfId="12136"/>
    <cellStyle name="Normal 131 10 2" xfId="25764"/>
    <cellStyle name="Normal 131 11" xfId="12379"/>
    <cellStyle name="Normal 131 11 2" xfId="26007"/>
    <cellStyle name="Normal 131 12" xfId="15515"/>
    <cellStyle name="Normal 131 12 2" xfId="29021"/>
    <cellStyle name="Normal 131 13" xfId="16123"/>
    <cellStyle name="Normal 131 14" xfId="29658"/>
    <cellStyle name="Normal 131 2" xfId="2275"/>
    <cellStyle name="Normal 131 2 2" xfId="3388"/>
    <cellStyle name="Normal 131 2 2 2" xfId="5124"/>
    <cellStyle name="Normal 131 2 2 2 2" xfId="8388"/>
    <cellStyle name="Normal 131 2 2 2 2 2" xfId="22036"/>
    <cellStyle name="Normal 131 2 2 2 3" xfId="11455"/>
    <cellStyle name="Normal 131 2 2 2 3 2" xfId="25086"/>
    <cellStyle name="Normal 131 2 2 2 4" xfId="14751"/>
    <cellStyle name="Normal 131 2 2 2 4 2" xfId="28379"/>
    <cellStyle name="Normal 131 2 2 2 5" xfId="18782"/>
    <cellStyle name="Normal 131 2 2 3" xfId="6822"/>
    <cellStyle name="Normal 131 2 2 3 2" xfId="20472"/>
    <cellStyle name="Normal 131 2 2 4" xfId="10032"/>
    <cellStyle name="Normal 131 2 2 4 2" xfId="23663"/>
    <cellStyle name="Normal 131 2 2 5" xfId="13327"/>
    <cellStyle name="Normal 131 2 2 5 2" xfId="26955"/>
    <cellStyle name="Normal 131 2 2 6" xfId="17257"/>
    <cellStyle name="Normal 131 2 3" xfId="4178"/>
    <cellStyle name="Normal 131 2 3 2" xfId="7608"/>
    <cellStyle name="Normal 131 2 3 2 2" xfId="21256"/>
    <cellStyle name="Normal 131 2 3 3" xfId="10746"/>
    <cellStyle name="Normal 131 2 3 3 2" xfId="24377"/>
    <cellStyle name="Normal 131 2 3 4" xfId="14042"/>
    <cellStyle name="Normal 131 2 3 4 2" xfId="27670"/>
    <cellStyle name="Normal 131 2 3 5" xfId="17973"/>
    <cellStyle name="Normal 131 2 4" xfId="6014"/>
    <cellStyle name="Normal 131 2 4 2" xfId="19664"/>
    <cellStyle name="Normal 131 2 5" xfId="9300"/>
    <cellStyle name="Normal 131 2 5 2" xfId="22942"/>
    <cellStyle name="Normal 131 2 6" xfId="12614"/>
    <cellStyle name="Normal 131 2 6 2" xfId="26242"/>
    <cellStyle name="Normal 131 2 7" xfId="16459"/>
    <cellStyle name="Normal 131 3" xfId="2436"/>
    <cellStyle name="Normal 131 3 2" xfId="3542"/>
    <cellStyle name="Normal 131 3 2 2" xfId="5209"/>
    <cellStyle name="Normal 131 3 2 2 2" xfId="8473"/>
    <cellStyle name="Normal 131 3 2 2 2 2" xfId="22121"/>
    <cellStyle name="Normal 131 3 2 2 3" xfId="11540"/>
    <cellStyle name="Normal 131 3 2 2 3 2" xfId="25171"/>
    <cellStyle name="Normal 131 3 2 2 4" xfId="14836"/>
    <cellStyle name="Normal 131 3 2 2 4 2" xfId="28464"/>
    <cellStyle name="Normal 131 3 2 2 5" xfId="18867"/>
    <cellStyle name="Normal 131 3 2 3" xfId="6976"/>
    <cellStyle name="Normal 131 3 2 3 2" xfId="20626"/>
    <cellStyle name="Normal 131 3 2 4" xfId="10117"/>
    <cellStyle name="Normal 131 3 2 4 2" xfId="23748"/>
    <cellStyle name="Normal 131 3 2 5" xfId="13412"/>
    <cellStyle name="Normal 131 3 2 5 2" xfId="27040"/>
    <cellStyle name="Normal 131 3 2 6" xfId="17343"/>
    <cellStyle name="Normal 131 3 3" xfId="4263"/>
    <cellStyle name="Normal 131 3 3 2" xfId="7693"/>
    <cellStyle name="Normal 131 3 3 2 2" xfId="21341"/>
    <cellStyle name="Normal 131 3 3 3" xfId="10831"/>
    <cellStyle name="Normal 131 3 3 3 2" xfId="24462"/>
    <cellStyle name="Normal 131 3 3 4" xfId="14127"/>
    <cellStyle name="Normal 131 3 3 4 2" xfId="27755"/>
    <cellStyle name="Normal 131 3 3 5" xfId="18058"/>
    <cellStyle name="Normal 131 3 4" xfId="6099"/>
    <cellStyle name="Normal 131 3 4 2" xfId="19749"/>
    <cellStyle name="Normal 131 3 5" xfId="9385"/>
    <cellStyle name="Normal 131 3 5 2" xfId="23027"/>
    <cellStyle name="Normal 131 3 6" xfId="12699"/>
    <cellStyle name="Normal 131 3 6 2" xfId="26327"/>
    <cellStyle name="Normal 131 3 7" xfId="16547"/>
    <cellStyle name="Normal 131 4" xfId="2745"/>
    <cellStyle name="Normal 131 4 2" xfId="3699"/>
    <cellStyle name="Normal 131 4 2 2" xfId="5366"/>
    <cellStyle name="Normal 131 4 2 2 2" xfId="8629"/>
    <cellStyle name="Normal 131 4 2 2 2 2" xfId="22277"/>
    <cellStyle name="Normal 131 4 2 2 3" xfId="11696"/>
    <cellStyle name="Normal 131 4 2 2 3 2" xfId="25327"/>
    <cellStyle name="Normal 131 4 2 2 4" xfId="14992"/>
    <cellStyle name="Normal 131 4 2 2 4 2" xfId="28620"/>
    <cellStyle name="Normal 131 4 2 2 5" xfId="19024"/>
    <cellStyle name="Normal 131 4 2 3" xfId="7133"/>
    <cellStyle name="Normal 131 4 2 3 2" xfId="20783"/>
    <cellStyle name="Normal 131 4 2 4" xfId="10274"/>
    <cellStyle name="Normal 131 4 2 4 2" xfId="23905"/>
    <cellStyle name="Normal 131 4 2 5" xfId="13569"/>
    <cellStyle name="Normal 131 4 2 5 2" xfId="27197"/>
    <cellStyle name="Normal 131 4 2 6" xfId="17500"/>
    <cellStyle name="Normal 131 4 3" xfId="4488"/>
    <cellStyle name="Normal 131 4 3 2" xfId="7918"/>
    <cellStyle name="Normal 131 4 3 2 2" xfId="21566"/>
    <cellStyle name="Normal 131 4 3 3" xfId="10987"/>
    <cellStyle name="Normal 131 4 3 3 2" xfId="24618"/>
    <cellStyle name="Normal 131 4 3 4" xfId="14283"/>
    <cellStyle name="Normal 131 4 3 4 2" xfId="27911"/>
    <cellStyle name="Normal 131 4 3 5" xfId="18283"/>
    <cellStyle name="Normal 131 4 4" xfId="6339"/>
    <cellStyle name="Normal 131 4 4 2" xfId="19989"/>
    <cellStyle name="Normal 131 4 5" xfId="9541"/>
    <cellStyle name="Normal 131 4 5 2" xfId="23183"/>
    <cellStyle name="Normal 131 4 6" xfId="12855"/>
    <cellStyle name="Normal 131 4 6 2" xfId="26483"/>
    <cellStyle name="Normal 131 4 7" xfId="16772"/>
    <cellStyle name="Normal 131 5" xfId="2935"/>
    <cellStyle name="Normal 131 5 2" xfId="4782"/>
    <cellStyle name="Normal 131 5 2 2" xfId="8050"/>
    <cellStyle name="Normal 131 5 2 2 2" xfId="21698"/>
    <cellStyle name="Normal 131 5 2 3" xfId="11119"/>
    <cellStyle name="Normal 131 5 2 3 2" xfId="24750"/>
    <cellStyle name="Normal 131 5 2 4" xfId="14415"/>
    <cellStyle name="Normal 131 5 2 4 2" xfId="28043"/>
    <cellStyle name="Normal 131 5 2 5" xfId="18441"/>
    <cellStyle name="Normal 131 5 3" xfId="6472"/>
    <cellStyle name="Normal 131 5 3 2" xfId="20122"/>
    <cellStyle name="Normal 131 5 4" xfId="9693"/>
    <cellStyle name="Normal 131 5 4 2" xfId="23324"/>
    <cellStyle name="Normal 131 5 5" xfId="12988"/>
    <cellStyle name="Normal 131 5 5 2" xfId="26616"/>
    <cellStyle name="Normal 131 5 6" xfId="16906"/>
    <cellStyle name="Normal 131 6" xfId="3940"/>
    <cellStyle name="Normal 131 6 2" xfId="7370"/>
    <cellStyle name="Normal 131 6 2 2" xfId="21018"/>
    <cellStyle name="Normal 131 6 3" xfId="10508"/>
    <cellStyle name="Normal 131 6 3 2" xfId="24139"/>
    <cellStyle name="Normal 131 6 4" xfId="13804"/>
    <cellStyle name="Normal 131 6 4 2" xfId="27432"/>
    <cellStyle name="Normal 131 6 5" xfId="17735"/>
    <cellStyle name="Normal 131 7" xfId="5532"/>
    <cellStyle name="Normal 131 7 2" xfId="8793"/>
    <cellStyle name="Normal 131 7 2 2" xfId="22436"/>
    <cellStyle name="Normal 131 7 3" xfId="11853"/>
    <cellStyle name="Normal 131 7 3 2" xfId="25484"/>
    <cellStyle name="Normal 131 7 4" xfId="15149"/>
    <cellStyle name="Normal 131 7 4 2" xfId="28777"/>
    <cellStyle name="Normal 131 7 5" xfId="19182"/>
    <cellStyle name="Normal 131 8" xfId="5779"/>
    <cellStyle name="Normal 131 8 2" xfId="19429"/>
    <cellStyle name="Normal 131 9" xfId="8984"/>
    <cellStyle name="Normal 131 9 2" xfId="22627"/>
    <cellStyle name="Normal 132" xfId="518"/>
    <cellStyle name="Normal 132 2" xfId="1983"/>
    <cellStyle name="Normal 132 3" xfId="1982"/>
    <cellStyle name="Normal 133" xfId="1659"/>
    <cellStyle name="Normal 133 2" xfId="1985"/>
    <cellStyle name="Normal 133 3" xfId="1984"/>
    <cellStyle name="Normal 133 4" xfId="2936"/>
    <cellStyle name="Normal 133 4 2" xfId="4783"/>
    <cellStyle name="Normal 133 4 2 2" xfId="8051"/>
    <cellStyle name="Normal 133 4 2 2 2" xfId="21699"/>
    <cellStyle name="Normal 133 4 2 3" xfId="11120"/>
    <cellStyle name="Normal 133 4 2 3 2" xfId="24751"/>
    <cellStyle name="Normal 133 4 2 4" xfId="14416"/>
    <cellStyle name="Normal 133 4 2 4 2" xfId="28044"/>
    <cellStyle name="Normal 133 4 2 5" xfId="18442"/>
    <cellStyle name="Normal 133 4 3" xfId="6473"/>
    <cellStyle name="Normal 133 4 3 2" xfId="20123"/>
    <cellStyle name="Normal 133 4 4" xfId="9694"/>
    <cellStyle name="Normal 133 4 4 2" xfId="23325"/>
    <cellStyle name="Normal 133 4 5" xfId="12989"/>
    <cellStyle name="Normal 133 4 5 2" xfId="26617"/>
    <cellStyle name="Normal 133 4 6" xfId="16907"/>
    <cellStyle name="Normal 133 5" xfId="3188"/>
    <cellStyle name="Normal 133 6" xfId="29659"/>
    <cellStyle name="Normal 134" xfId="2095"/>
    <cellStyle name="Normal 134 2" xfId="1987"/>
    <cellStyle name="Normal 134 3" xfId="1986"/>
    <cellStyle name="Normal 134 4" xfId="2937"/>
    <cellStyle name="Normal 134 4 2" xfId="4784"/>
    <cellStyle name="Normal 134 4 2 2" xfId="8052"/>
    <cellStyle name="Normal 134 4 2 2 2" xfId="21700"/>
    <cellStyle name="Normal 134 4 2 3" xfId="11121"/>
    <cellStyle name="Normal 134 4 2 3 2" xfId="24752"/>
    <cellStyle name="Normal 134 4 2 4" xfId="14417"/>
    <cellStyle name="Normal 134 4 2 4 2" xfId="28045"/>
    <cellStyle name="Normal 134 4 2 5" xfId="18443"/>
    <cellStyle name="Normal 134 4 3" xfId="6474"/>
    <cellStyle name="Normal 134 4 3 2" xfId="20124"/>
    <cellStyle name="Normal 134 4 4" xfId="9695"/>
    <cellStyle name="Normal 134 4 4 2" xfId="23326"/>
    <cellStyle name="Normal 134 4 5" xfId="12990"/>
    <cellStyle name="Normal 134 4 5 2" xfId="26618"/>
    <cellStyle name="Normal 134 4 6" xfId="16908"/>
    <cellStyle name="Normal 134 5" xfId="29660"/>
    <cellStyle name="Normal 135" xfId="2096"/>
    <cellStyle name="Normal 135 2" xfId="1989"/>
    <cellStyle name="Normal 135 2 10" xfId="12137"/>
    <cellStyle name="Normal 135 2 10 2" xfId="25765"/>
    <cellStyle name="Normal 135 2 11" xfId="12464"/>
    <cellStyle name="Normal 135 2 11 2" xfId="26092"/>
    <cellStyle name="Normal 135 2 12" xfId="16282"/>
    <cellStyle name="Normal 135 2 2" xfId="2276"/>
    <cellStyle name="Normal 135 2 2 2" xfId="3389"/>
    <cellStyle name="Normal 135 2 2 2 2" xfId="5125"/>
    <cellStyle name="Normal 135 2 2 2 2 2" xfId="8389"/>
    <cellStyle name="Normal 135 2 2 2 2 2 2" xfId="22037"/>
    <cellStyle name="Normal 135 2 2 2 2 3" xfId="11456"/>
    <cellStyle name="Normal 135 2 2 2 2 3 2" xfId="25087"/>
    <cellStyle name="Normal 135 2 2 2 2 4" xfId="14752"/>
    <cellStyle name="Normal 135 2 2 2 2 4 2" xfId="28380"/>
    <cellStyle name="Normal 135 2 2 2 2 5" xfId="18783"/>
    <cellStyle name="Normal 135 2 2 2 3" xfId="6823"/>
    <cellStyle name="Normal 135 2 2 2 3 2" xfId="20473"/>
    <cellStyle name="Normal 135 2 2 2 4" xfId="10033"/>
    <cellStyle name="Normal 135 2 2 2 4 2" xfId="23664"/>
    <cellStyle name="Normal 135 2 2 2 5" xfId="13328"/>
    <cellStyle name="Normal 135 2 2 2 5 2" xfId="26956"/>
    <cellStyle name="Normal 135 2 2 2 6" xfId="17258"/>
    <cellStyle name="Normal 135 2 2 3" xfId="4179"/>
    <cellStyle name="Normal 135 2 2 3 2" xfId="7609"/>
    <cellStyle name="Normal 135 2 2 3 2 2" xfId="21257"/>
    <cellStyle name="Normal 135 2 2 3 3" xfId="10747"/>
    <cellStyle name="Normal 135 2 2 3 3 2" xfId="24378"/>
    <cellStyle name="Normal 135 2 2 3 4" xfId="14043"/>
    <cellStyle name="Normal 135 2 2 3 4 2" xfId="27671"/>
    <cellStyle name="Normal 135 2 2 3 5" xfId="17974"/>
    <cellStyle name="Normal 135 2 2 4" xfId="6015"/>
    <cellStyle name="Normal 135 2 2 4 2" xfId="19665"/>
    <cellStyle name="Normal 135 2 2 5" xfId="9301"/>
    <cellStyle name="Normal 135 2 2 5 2" xfId="22943"/>
    <cellStyle name="Normal 135 2 2 6" xfId="12615"/>
    <cellStyle name="Normal 135 2 2 6 2" xfId="26243"/>
    <cellStyle name="Normal 135 2 2 7" xfId="16460"/>
    <cellStyle name="Normal 135 2 3" xfId="2437"/>
    <cellStyle name="Normal 135 2 3 2" xfId="3543"/>
    <cellStyle name="Normal 135 2 3 2 2" xfId="5210"/>
    <cellStyle name="Normal 135 2 3 2 2 2" xfId="8474"/>
    <cellStyle name="Normal 135 2 3 2 2 2 2" xfId="22122"/>
    <cellStyle name="Normal 135 2 3 2 2 3" xfId="11541"/>
    <cellStyle name="Normal 135 2 3 2 2 3 2" xfId="25172"/>
    <cellStyle name="Normal 135 2 3 2 2 4" xfId="14837"/>
    <cellStyle name="Normal 135 2 3 2 2 4 2" xfId="28465"/>
    <cellStyle name="Normal 135 2 3 2 2 5" xfId="18868"/>
    <cellStyle name="Normal 135 2 3 2 3" xfId="6977"/>
    <cellStyle name="Normal 135 2 3 2 3 2" xfId="20627"/>
    <cellStyle name="Normal 135 2 3 2 4" xfId="10118"/>
    <cellStyle name="Normal 135 2 3 2 4 2" xfId="23749"/>
    <cellStyle name="Normal 135 2 3 2 5" xfId="13413"/>
    <cellStyle name="Normal 135 2 3 2 5 2" xfId="27041"/>
    <cellStyle name="Normal 135 2 3 2 6" xfId="17344"/>
    <cellStyle name="Normal 135 2 3 3" xfId="4264"/>
    <cellStyle name="Normal 135 2 3 3 2" xfId="7694"/>
    <cellStyle name="Normal 135 2 3 3 2 2" xfId="21342"/>
    <cellStyle name="Normal 135 2 3 3 3" xfId="10832"/>
    <cellStyle name="Normal 135 2 3 3 3 2" xfId="24463"/>
    <cellStyle name="Normal 135 2 3 3 4" xfId="14128"/>
    <cellStyle name="Normal 135 2 3 3 4 2" xfId="27756"/>
    <cellStyle name="Normal 135 2 3 3 5" xfId="18059"/>
    <cellStyle name="Normal 135 2 3 4" xfId="6100"/>
    <cellStyle name="Normal 135 2 3 4 2" xfId="19750"/>
    <cellStyle name="Normal 135 2 3 5" xfId="9386"/>
    <cellStyle name="Normal 135 2 3 5 2" xfId="23028"/>
    <cellStyle name="Normal 135 2 3 6" xfId="12700"/>
    <cellStyle name="Normal 135 2 3 6 2" xfId="26328"/>
    <cellStyle name="Normal 135 2 3 7" xfId="16548"/>
    <cellStyle name="Normal 135 2 4" xfId="2746"/>
    <cellStyle name="Normal 135 2 4 2" xfId="3700"/>
    <cellStyle name="Normal 135 2 4 2 2" xfId="5367"/>
    <cellStyle name="Normal 135 2 4 2 2 2" xfId="8630"/>
    <cellStyle name="Normal 135 2 4 2 2 2 2" xfId="22278"/>
    <cellStyle name="Normal 135 2 4 2 2 3" xfId="11697"/>
    <cellStyle name="Normal 135 2 4 2 2 3 2" xfId="25328"/>
    <cellStyle name="Normal 135 2 4 2 2 4" xfId="14993"/>
    <cellStyle name="Normal 135 2 4 2 2 4 2" xfId="28621"/>
    <cellStyle name="Normal 135 2 4 2 2 5" xfId="19025"/>
    <cellStyle name="Normal 135 2 4 2 3" xfId="7134"/>
    <cellStyle name="Normal 135 2 4 2 3 2" xfId="20784"/>
    <cellStyle name="Normal 135 2 4 2 4" xfId="10275"/>
    <cellStyle name="Normal 135 2 4 2 4 2" xfId="23906"/>
    <cellStyle name="Normal 135 2 4 2 5" xfId="13570"/>
    <cellStyle name="Normal 135 2 4 2 5 2" xfId="27198"/>
    <cellStyle name="Normal 135 2 4 2 6" xfId="17501"/>
    <cellStyle name="Normal 135 2 4 3" xfId="4489"/>
    <cellStyle name="Normal 135 2 4 3 2" xfId="7919"/>
    <cellStyle name="Normal 135 2 4 3 2 2" xfId="21567"/>
    <cellStyle name="Normal 135 2 4 3 3" xfId="10988"/>
    <cellStyle name="Normal 135 2 4 3 3 2" xfId="24619"/>
    <cellStyle name="Normal 135 2 4 3 4" xfId="14284"/>
    <cellStyle name="Normal 135 2 4 3 4 2" xfId="27912"/>
    <cellStyle name="Normal 135 2 4 3 5" xfId="18284"/>
    <cellStyle name="Normal 135 2 4 4" xfId="6340"/>
    <cellStyle name="Normal 135 2 4 4 2" xfId="19990"/>
    <cellStyle name="Normal 135 2 4 5" xfId="9542"/>
    <cellStyle name="Normal 135 2 4 5 2" xfId="23184"/>
    <cellStyle name="Normal 135 2 4 6" xfId="12856"/>
    <cellStyle name="Normal 135 2 4 6 2" xfId="26484"/>
    <cellStyle name="Normal 135 2 4 7" xfId="16773"/>
    <cellStyle name="Normal 135 2 5" xfId="3226"/>
    <cellStyle name="Normal 135 2 5 2" xfId="4974"/>
    <cellStyle name="Normal 135 2 5 2 2" xfId="8238"/>
    <cellStyle name="Normal 135 2 5 2 2 2" xfId="21886"/>
    <cellStyle name="Normal 135 2 5 2 3" xfId="11305"/>
    <cellStyle name="Normal 135 2 5 2 3 2" xfId="24936"/>
    <cellStyle name="Normal 135 2 5 2 4" xfId="14601"/>
    <cellStyle name="Normal 135 2 5 2 4 2" xfId="28229"/>
    <cellStyle name="Normal 135 2 5 2 5" xfId="18632"/>
    <cellStyle name="Normal 135 2 5 3" xfId="6661"/>
    <cellStyle name="Normal 135 2 5 3 2" xfId="20311"/>
    <cellStyle name="Normal 135 2 5 4" xfId="9882"/>
    <cellStyle name="Normal 135 2 5 4 2" xfId="23513"/>
    <cellStyle name="Normal 135 2 5 5" xfId="13177"/>
    <cellStyle name="Normal 135 2 5 5 2" xfId="26805"/>
    <cellStyle name="Normal 135 2 5 6" xfId="17107"/>
    <cellStyle name="Normal 135 2 6" xfId="4028"/>
    <cellStyle name="Normal 135 2 6 2" xfId="7458"/>
    <cellStyle name="Normal 135 2 6 2 2" xfId="21106"/>
    <cellStyle name="Normal 135 2 6 3" xfId="10596"/>
    <cellStyle name="Normal 135 2 6 3 2" xfId="24227"/>
    <cellStyle name="Normal 135 2 6 4" xfId="13892"/>
    <cellStyle name="Normal 135 2 6 4 2" xfId="27520"/>
    <cellStyle name="Normal 135 2 6 5" xfId="17823"/>
    <cellStyle name="Normal 135 2 7" xfId="5533"/>
    <cellStyle name="Normal 135 2 7 2" xfId="8794"/>
    <cellStyle name="Normal 135 2 7 2 2" xfId="22437"/>
    <cellStyle name="Normal 135 2 7 3" xfId="11854"/>
    <cellStyle name="Normal 135 2 7 3 2" xfId="25485"/>
    <cellStyle name="Normal 135 2 7 4" xfId="15150"/>
    <cellStyle name="Normal 135 2 7 4 2" xfId="28778"/>
    <cellStyle name="Normal 135 2 7 5" xfId="19183"/>
    <cellStyle name="Normal 135 2 8" xfId="5864"/>
    <cellStyle name="Normal 135 2 8 2" xfId="19514"/>
    <cellStyle name="Normal 135 2 9" xfId="8985"/>
    <cellStyle name="Normal 135 2 9 2" xfId="22628"/>
    <cellStyle name="Normal 135 3" xfId="1988"/>
    <cellStyle name="Normal 135 4" xfId="2938"/>
    <cellStyle name="Normal 135 4 2" xfId="4785"/>
    <cellStyle name="Normal 135 4 2 2" xfId="8053"/>
    <cellStyle name="Normal 135 4 2 2 2" xfId="21701"/>
    <cellStyle name="Normal 135 4 2 3" xfId="11122"/>
    <cellStyle name="Normal 135 4 2 3 2" xfId="24753"/>
    <cellStyle name="Normal 135 4 2 4" xfId="14418"/>
    <cellStyle name="Normal 135 4 2 4 2" xfId="28046"/>
    <cellStyle name="Normal 135 4 2 5" xfId="18444"/>
    <cellStyle name="Normal 135 4 3" xfId="6475"/>
    <cellStyle name="Normal 135 4 3 2" xfId="20125"/>
    <cellStyle name="Normal 135 4 4" xfId="9696"/>
    <cellStyle name="Normal 135 4 4 2" xfId="23327"/>
    <cellStyle name="Normal 135 4 5" xfId="12991"/>
    <cellStyle name="Normal 135 4 5 2" xfId="26619"/>
    <cellStyle name="Normal 135 4 6" xfId="16909"/>
    <cellStyle name="Normal 135 5" xfId="29661"/>
    <cellStyle name="Normal 136" xfId="2097"/>
    <cellStyle name="Normal 136 2" xfId="1991"/>
    <cellStyle name="Normal 136 2 10" xfId="12138"/>
    <cellStyle name="Normal 136 2 10 2" xfId="25766"/>
    <cellStyle name="Normal 136 2 11" xfId="12465"/>
    <cellStyle name="Normal 136 2 11 2" xfId="26093"/>
    <cellStyle name="Normal 136 2 12" xfId="16283"/>
    <cellStyle name="Normal 136 2 2" xfId="2277"/>
    <cellStyle name="Normal 136 2 2 2" xfId="3390"/>
    <cellStyle name="Normal 136 2 2 2 2" xfId="5126"/>
    <cellStyle name="Normal 136 2 2 2 2 2" xfId="8390"/>
    <cellStyle name="Normal 136 2 2 2 2 2 2" xfId="22038"/>
    <cellStyle name="Normal 136 2 2 2 2 3" xfId="11457"/>
    <cellStyle name="Normal 136 2 2 2 2 3 2" xfId="25088"/>
    <cellStyle name="Normal 136 2 2 2 2 4" xfId="14753"/>
    <cellStyle name="Normal 136 2 2 2 2 4 2" xfId="28381"/>
    <cellStyle name="Normal 136 2 2 2 2 5" xfId="18784"/>
    <cellStyle name="Normal 136 2 2 2 3" xfId="6824"/>
    <cellStyle name="Normal 136 2 2 2 3 2" xfId="20474"/>
    <cellStyle name="Normal 136 2 2 2 4" xfId="10034"/>
    <cellStyle name="Normal 136 2 2 2 4 2" xfId="23665"/>
    <cellStyle name="Normal 136 2 2 2 5" xfId="13329"/>
    <cellStyle name="Normal 136 2 2 2 5 2" xfId="26957"/>
    <cellStyle name="Normal 136 2 2 2 6" xfId="17259"/>
    <cellStyle name="Normal 136 2 2 3" xfId="4180"/>
    <cellStyle name="Normal 136 2 2 3 2" xfId="7610"/>
    <cellStyle name="Normal 136 2 2 3 2 2" xfId="21258"/>
    <cellStyle name="Normal 136 2 2 3 3" xfId="10748"/>
    <cellStyle name="Normal 136 2 2 3 3 2" xfId="24379"/>
    <cellStyle name="Normal 136 2 2 3 4" xfId="14044"/>
    <cellStyle name="Normal 136 2 2 3 4 2" xfId="27672"/>
    <cellStyle name="Normal 136 2 2 3 5" xfId="17975"/>
    <cellStyle name="Normal 136 2 2 4" xfId="6016"/>
    <cellStyle name="Normal 136 2 2 4 2" xfId="19666"/>
    <cellStyle name="Normal 136 2 2 5" xfId="9302"/>
    <cellStyle name="Normal 136 2 2 5 2" xfId="22944"/>
    <cellStyle name="Normal 136 2 2 6" xfId="12616"/>
    <cellStyle name="Normal 136 2 2 6 2" xfId="26244"/>
    <cellStyle name="Normal 136 2 2 7" xfId="16461"/>
    <cellStyle name="Normal 136 2 3" xfId="2438"/>
    <cellStyle name="Normal 136 2 3 2" xfId="3544"/>
    <cellStyle name="Normal 136 2 3 2 2" xfId="5211"/>
    <cellStyle name="Normal 136 2 3 2 2 2" xfId="8475"/>
    <cellStyle name="Normal 136 2 3 2 2 2 2" xfId="22123"/>
    <cellStyle name="Normal 136 2 3 2 2 3" xfId="11542"/>
    <cellStyle name="Normal 136 2 3 2 2 3 2" xfId="25173"/>
    <cellStyle name="Normal 136 2 3 2 2 4" xfId="14838"/>
    <cellStyle name="Normal 136 2 3 2 2 4 2" xfId="28466"/>
    <cellStyle name="Normal 136 2 3 2 2 5" xfId="18869"/>
    <cellStyle name="Normal 136 2 3 2 3" xfId="6978"/>
    <cellStyle name="Normal 136 2 3 2 3 2" xfId="20628"/>
    <cellStyle name="Normal 136 2 3 2 4" xfId="10119"/>
    <cellStyle name="Normal 136 2 3 2 4 2" xfId="23750"/>
    <cellStyle name="Normal 136 2 3 2 5" xfId="13414"/>
    <cellStyle name="Normal 136 2 3 2 5 2" xfId="27042"/>
    <cellStyle name="Normal 136 2 3 2 6" xfId="17345"/>
    <cellStyle name="Normal 136 2 3 3" xfId="4265"/>
    <cellStyle name="Normal 136 2 3 3 2" xfId="7695"/>
    <cellStyle name="Normal 136 2 3 3 2 2" xfId="21343"/>
    <cellStyle name="Normal 136 2 3 3 3" xfId="10833"/>
    <cellStyle name="Normal 136 2 3 3 3 2" xfId="24464"/>
    <cellStyle name="Normal 136 2 3 3 4" xfId="14129"/>
    <cellStyle name="Normal 136 2 3 3 4 2" xfId="27757"/>
    <cellStyle name="Normal 136 2 3 3 5" xfId="18060"/>
    <cellStyle name="Normal 136 2 3 4" xfId="6101"/>
    <cellStyle name="Normal 136 2 3 4 2" xfId="19751"/>
    <cellStyle name="Normal 136 2 3 5" xfId="9387"/>
    <cellStyle name="Normal 136 2 3 5 2" xfId="23029"/>
    <cellStyle name="Normal 136 2 3 6" xfId="12701"/>
    <cellStyle name="Normal 136 2 3 6 2" xfId="26329"/>
    <cellStyle name="Normal 136 2 3 7" xfId="16549"/>
    <cellStyle name="Normal 136 2 4" xfId="2747"/>
    <cellStyle name="Normal 136 2 4 2" xfId="3701"/>
    <cellStyle name="Normal 136 2 4 2 2" xfId="5368"/>
    <cellStyle name="Normal 136 2 4 2 2 2" xfId="8631"/>
    <cellStyle name="Normal 136 2 4 2 2 2 2" xfId="22279"/>
    <cellStyle name="Normal 136 2 4 2 2 3" xfId="11698"/>
    <cellStyle name="Normal 136 2 4 2 2 3 2" xfId="25329"/>
    <cellStyle name="Normal 136 2 4 2 2 4" xfId="14994"/>
    <cellStyle name="Normal 136 2 4 2 2 4 2" xfId="28622"/>
    <cellStyle name="Normal 136 2 4 2 2 5" xfId="19026"/>
    <cellStyle name="Normal 136 2 4 2 3" xfId="7135"/>
    <cellStyle name="Normal 136 2 4 2 3 2" xfId="20785"/>
    <cellStyle name="Normal 136 2 4 2 4" xfId="10276"/>
    <cellStyle name="Normal 136 2 4 2 4 2" xfId="23907"/>
    <cellStyle name="Normal 136 2 4 2 5" xfId="13571"/>
    <cellStyle name="Normal 136 2 4 2 5 2" xfId="27199"/>
    <cellStyle name="Normal 136 2 4 2 6" xfId="17502"/>
    <cellStyle name="Normal 136 2 4 3" xfId="4490"/>
    <cellStyle name="Normal 136 2 4 3 2" xfId="7920"/>
    <cellStyle name="Normal 136 2 4 3 2 2" xfId="21568"/>
    <cellStyle name="Normal 136 2 4 3 3" xfId="10989"/>
    <cellStyle name="Normal 136 2 4 3 3 2" xfId="24620"/>
    <cellStyle name="Normal 136 2 4 3 4" xfId="14285"/>
    <cellStyle name="Normal 136 2 4 3 4 2" xfId="27913"/>
    <cellStyle name="Normal 136 2 4 3 5" xfId="18285"/>
    <cellStyle name="Normal 136 2 4 4" xfId="6341"/>
    <cellStyle name="Normal 136 2 4 4 2" xfId="19991"/>
    <cellStyle name="Normal 136 2 4 5" xfId="9543"/>
    <cellStyle name="Normal 136 2 4 5 2" xfId="23185"/>
    <cellStyle name="Normal 136 2 4 6" xfId="12857"/>
    <cellStyle name="Normal 136 2 4 6 2" xfId="26485"/>
    <cellStyle name="Normal 136 2 4 7" xfId="16774"/>
    <cellStyle name="Normal 136 2 5" xfId="3227"/>
    <cellStyle name="Normal 136 2 5 2" xfId="4975"/>
    <cellStyle name="Normal 136 2 5 2 2" xfId="8239"/>
    <cellStyle name="Normal 136 2 5 2 2 2" xfId="21887"/>
    <cellStyle name="Normal 136 2 5 2 3" xfId="11306"/>
    <cellStyle name="Normal 136 2 5 2 3 2" xfId="24937"/>
    <cellStyle name="Normal 136 2 5 2 4" xfId="14602"/>
    <cellStyle name="Normal 136 2 5 2 4 2" xfId="28230"/>
    <cellStyle name="Normal 136 2 5 2 5" xfId="18633"/>
    <cellStyle name="Normal 136 2 5 3" xfId="6662"/>
    <cellStyle name="Normal 136 2 5 3 2" xfId="20312"/>
    <cellStyle name="Normal 136 2 5 4" xfId="9883"/>
    <cellStyle name="Normal 136 2 5 4 2" xfId="23514"/>
    <cellStyle name="Normal 136 2 5 5" xfId="13178"/>
    <cellStyle name="Normal 136 2 5 5 2" xfId="26806"/>
    <cellStyle name="Normal 136 2 5 6" xfId="17108"/>
    <cellStyle name="Normal 136 2 6" xfId="4029"/>
    <cellStyle name="Normal 136 2 6 2" xfId="7459"/>
    <cellStyle name="Normal 136 2 6 2 2" xfId="21107"/>
    <cellStyle name="Normal 136 2 6 3" xfId="10597"/>
    <cellStyle name="Normal 136 2 6 3 2" xfId="24228"/>
    <cellStyle name="Normal 136 2 6 4" xfId="13893"/>
    <cellStyle name="Normal 136 2 6 4 2" xfId="27521"/>
    <cellStyle name="Normal 136 2 6 5" xfId="17824"/>
    <cellStyle name="Normal 136 2 7" xfId="5534"/>
    <cellStyle name="Normal 136 2 7 2" xfId="8795"/>
    <cellStyle name="Normal 136 2 7 2 2" xfId="22438"/>
    <cellStyle name="Normal 136 2 7 3" xfId="11855"/>
    <cellStyle name="Normal 136 2 7 3 2" xfId="25486"/>
    <cellStyle name="Normal 136 2 7 4" xfId="15151"/>
    <cellStyle name="Normal 136 2 7 4 2" xfId="28779"/>
    <cellStyle name="Normal 136 2 7 5" xfId="19184"/>
    <cellStyle name="Normal 136 2 8" xfId="5865"/>
    <cellStyle name="Normal 136 2 8 2" xfId="19515"/>
    <cellStyle name="Normal 136 2 9" xfId="8986"/>
    <cellStyle name="Normal 136 2 9 2" xfId="22629"/>
    <cellStyle name="Normal 136 3" xfId="1990"/>
    <cellStyle name="Normal 137" xfId="1992"/>
    <cellStyle name="Normal 137 2" xfId="15516"/>
    <cellStyle name="Normal 138" xfId="1993"/>
    <cellStyle name="Normal 138 2" xfId="15517"/>
    <cellStyle name="Normal 138 2 2" xfId="29022"/>
    <cellStyle name="Normal 138 3" xfId="29662"/>
    <cellStyle name="Normal 139" xfId="1994"/>
    <cellStyle name="Normal 139 2" xfId="15518"/>
    <cellStyle name="Normal 14" xfId="70"/>
    <cellStyle name="Normal 14 2" xfId="143"/>
    <cellStyle name="Normal 14 2 2" xfId="1051"/>
    <cellStyle name="Normal 14 3" xfId="1052"/>
    <cellStyle name="Normal 14 4" xfId="1995"/>
    <cellStyle name="Normal 14_Data Check Control" xfId="201"/>
    <cellStyle name="Normal 140" xfId="1996"/>
    <cellStyle name="Normal 140 2" xfId="15519"/>
    <cellStyle name="Normal 141" xfId="1997"/>
    <cellStyle name="Normal 141 2" xfId="15520"/>
    <cellStyle name="Normal 142" xfId="1559"/>
    <cellStyle name="Normal 142 2" xfId="3187"/>
    <cellStyle name="Normal 142 2 2" xfId="4936"/>
    <cellStyle name="Normal 142 2 2 2" xfId="8202"/>
    <cellStyle name="Normal 142 2 2 2 2" xfId="21850"/>
    <cellStyle name="Normal 142 2 2 3" xfId="11269"/>
    <cellStyle name="Normal 142 2 2 3 2" xfId="24900"/>
    <cellStyle name="Normal 142 2 2 4" xfId="14565"/>
    <cellStyle name="Normal 142 2 2 4 2" xfId="28193"/>
    <cellStyle name="Normal 142 2 2 5" xfId="18594"/>
    <cellStyle name="Normal 142 2 3" xfId="6623"/>
    <cellStyle name="Normal 142 2 3 2" xfId="20273"/>
    <cellStyle name="Normal 142 2 4" xfId="9844"/>
    <cellStyle name="Normal 142 2 4 2" xfId="23475"/>
    <cellStyle name="Normal 142 2 5" xfId="13139"/>
    <cellStyle name="Normal 142 2 5 2" xfId="26767"/>
    <cellStyle name="Normal 142 2 6" xfId="17069"/>
    <cellStyle name="Normal 142 3" xfId="3991"/>
    <cellStyle name="Normal 142 3 2" xfId="7421"/>
    <cellStyle name="Normal 142 3 2 2" xfId="21069"/>
    <cellStyle name="Normal 142 3 3" xfId="10559"/>
    <cellStyle name="Normal 142 3 3 2" xfId="24190"/>
    <cellStyle name="Normal 142 3 4" xfId="13855"/>
    <cellStyle name="Normal 142 3 4 2" xfId="27483"/>
    <cellStyle name="Normal 142 3 5" xfId="17786"/>
    <cellStyle name="Normal 142 4" xfId="5828"/>
    <cellStyle name="Normal 142 4 2" xfId="19478"/>
    <cellStyle name="Normal 142 5" xfId="8899"/>
    <cellStyle name="Normal 142 5 2" xfId="22542"/>
    <cellStyle name="Normal 142 6" xfId="12428"/>
    <cellStyle name="Normal 142 6 2" xfId="26056"/>
    <cellStyle name="Normal 142 7" xfId="15521"/>
    <cellStyle name="Normal 142 8" xfId="16202"/>
    <cellStyle name="Normal 143" xfId="2125"/>
    <cellStyle name="Normal 143 2" xfId="3238"/>
    <cellStyle name="Normal 143 2 2" xfId="4985"/>
    <cellStyle name="Normal 143 2 2 2" xfId="8249"/>
    <cellStyle name="Normal 143 2 2 2 2" xfId="21897"/>
    <cellStyle name="Normal 143 2 2 3" xfId="11316"/>
    <cellStyle name="Normal 143 2 2 3 2" xfId="24947"/>
    <cellStyle name="Normal 143 2 2 4" xfId="14612"/>
    <cellStyle name="Normal 143 2 2 4 2" xfId="28240"/>
    <cellStyle name="Normal 143 2 2 5" xfId="18643"/>
    <cellStyle name="Normal 143 2 3" xfId="6672"/>
    <cellStyle name="Normal 143 2 3 2" xfId="20322"/>
    <cellStyle name="Normal 143 2 4" xfId="9893"/>
    <cellStyle name="Normal 143 2 4 2" xfId="23524"/>
    <cellStyle name="Normal 143 2 5" xfId="13188"/>
    <cellStyle name="Normal 143 2 5 2" xfId="26816"/>
    <cellStyle name="Normal 143 2 6" xfId="17118"/>
    <cellStyle name="Normal 143 3" xfId="4039"/>
    <cellStyle name="Normal 143 3 2" xfId="7469"/>
    <cellStyle name="Normal 143 3 2 2" xfId="21117"/>
    <cellStyle name="Normal 143 3 3" xfId="10607"/>
    <cellStyle name="Normal 143 3 3 2" xfId="24238"/>
    <cellStyle name="Normal 143 3 4" xfId="13903"/>
    <cellStyle name="Normal 143 3 4 2" xfId="27531"/>
    <cellStyle name="Normal 143 3 5" xfId="17834"/>
    <cellStyle name="Normal 143 4" xfId="5875"/>
    <cellStyle name="Normal 143 4 2" xfId="19525"/>
    <cellStyle name="Normal 143 5" xfId="9161"/>
    <cellStyle name="Normal 143 5 2" xfId="22803"/>
    <cellStyle name="Normal 143 6" xfId="12475"/>
    <cellStyle name="Normal 143 6 2" xfId="26103"/>
    <cellStyle name="Normal 143 7" xfId="15522"/>
    <cellStyle name="Normal 143 8" xfId="16320"/>
    <cellStyle name="Normal 144" xfId="2139"/>
    <cellStyle name="Normal 144 2" xfId="3252"/>
    <cellStyle name="Normal 144 2 2" xfId="4999"/>
    <cellStyle name="Normal 144 2 2 2" xfId="8263"/>
    <cellStyle name="Normal 144 2 2 2 2" xfId="21911"/>
    <cellStyle name="Normal 144 2 2 3" xfId="11330"/>
    <cellStyle name="Normal 144 2 2 3 2" xfId="24961"/>
    <cellStyle name="Normal 144 2 2 4" xfId="14626"/>
    <cellStyle name="Normal 144 2 2 4 2" xfId="28254"/>
    <cellStyle name="Normal 144 2 2 5" xfId="18657"/>
    <cellStyle name="Normal 144 2 3" xfId="6686"/>
    <cellStyle name="Normal 144 2 3 2" xfId="20336"/>
    <cellStyle name="Normal 144 2 4" xfId="9907"/>
    <cellStyle name="Normal 144 2 4 2" xfId="23538"/>
    <cellStyle name="Normal 144 2 5" xfId="13202"/>
    <cellStyle name="Normal 144 2 5 2" xfId="26830"/>
    <cellStyle name="Normal 144 2 6" xfId="17132"/>
    <cellStyle name="Normal 144 3" xfId="4053"/>
    <cellStyle name="Normal 144 3 2" xfId="7483"/>
    <cellStyle name="Normal 144 3 2 2" xfId="21131"/>
    <cellStyle name="Normal 144 3 3" xfId="10621"/>
    <cellStyle name="Normal 144 3 3 2" xfId="24252"/>
    <cellStyle name="Normal 144 3 4" xfId="13917"/>
    <cellStyle name="Normal 144 3 4 2" xfId="27545"/>
    <cellStyle name="Normal 144 3 5" xfId="17848"/>
    <cellStyle name="Normal 144 4" xfId="5889"/>
    <cellStyle name="Normal 144 4 2" xfId="19539"/>
    <cellStyle name="Normal 144 5" xfId="9175"/>
    <cellStyle name="Normal 144 5 2" xfId="22817"/>
    <cellStyle name="Normal 144 6" xfId="12489"/>
    <cellStyle name="Normal 144 6 2" xfId="26117"/>
    <cellStyle name="Normal 144 7" xfId="15523"/>
    <cellStyle name="Normal 144 8" xfId="16334"/>
    <cellStyle name="Normal 145" xfId="2285"/>
    <cellStyle name="Normal 145 2" xfId="3391"/>
    <cellStyle name="Normal 145 2 2" xfId="5127"/>
    <cellStyle name="Normal 145 2 2 2" xfId="8391"/>
    <cellStyle name="Normal 145 2 2 2 2" xfId="22039"/>
    <cellStyle name="Normal 145 2 2 3" xfId="11458"/>
    <cellStyle name="Normal 145 2 2 3 2" xfId="25089"/>
    <cellStyle name="Normal 145 2 2 4" xfId="14754"/>
    <cellStyle name="Normal 145 2 2 4 2" xfId="28382"/>
    <cellStyle name="Normal 145 2 2 5" xfId="18785"/>
    <cellStyle name="Normal 145 2 3" xfId="6825"/>
    <cellStyle name="Normal 145 2 3 2" xfId="20475"/>
    <cellStyle name="Normal 145 2 4" xfId="10035"/>
    <cellStyle name="Normal 145 2 4 2" xfId="23666"/>
    <cellStyle name="Normal 145 2 5" xfId="13330"/>
    <cellStyle name="Normal 145 2 5 2" xfId="26958"/>
    <cellStyle name="Normal 145 2 6" xfId="17260"/>
    <cellStyle name="Normal 145 3" xfId="4181"/>
    <cellStyle name="Normal 145 3 2" xfId="7611"/>
    <cellStyle name="Normal 145 3 2 2" xfId="21259"/>
    <cellStyle name="Normal 145 3 3" xfId="10749"/>
    <cellStyle name="Normal 145 3 3 2" xfId="24380"/>
    <cellStyle name="Normal 145 3 4" xfId="14045"/>
    <cellStyle name="Normal 145 3 4 2" xfId="27673"/>
    <cellStyle name="Normal 145 3 5" xfId="17976"/>
    <cellStyle name="Normal 145 4" xfId="6017"/>
    <cellStyle name="Normal 145 4 2" xfId="19667"/>
    <cellStyle name="Normal 145 5" xfId="9303"/>
    <cellStyle name="Normal 145 5 2" xfId="22945"/>
    <cellStyle name="Normal 145 6" xfId="12617"/>
    <cellStyle name="Normal 145 6 2" xfId="26245"/>
    <cellStyle name="Normal 145 7" xfId="15524"/>
    <cellStyle name="Normal 145 8" xfId="16463"/>
    <cellStyle name="Normal 146" xfId="2656"/>
    <cellStyle name="Normal 146 2" xfId="3610"/>
    <cellStyle name="Normal 146 2 2" xfId="5277"/>
    <cellStyle name="Normal 146 2 2 2" xfId="8540"/>
    <cellStyle name="Normal 146 2 2 2 2" xfId="22188"/>
    <cellStyle name="Normal 146 2 2 3" xfId="11607"/>
    <cellStyle name="Normal 146 2 2 3 2" xfId="25238"/>
    <cellStyle name="Normal 146 2 2 4" xfId="14903"/>
    <cellStyle name="Normal 146 2 2 4 2" xfId="28531"/>
    <cellStyle name="Normal 146 2 2 5" xfId="18935"/>
    <cellStyle name="Normal 146 2 3" xfId="7044"/>
    <cellStyle name="Normal 146 2 3 2" xfId="20694"/>
    <cellStyle name="Normal 146 2 4" xfId="10185"/>
    <cellStyle name="Normal 146 2 4 2" xfId="23816"/>
    <cellStyle name="Normal 146 2 5" xfId="13480"/>
    <cellStyle name="Normal 146 2 5 2" xfId="27108"/>
    <cellStyle name="Normal 146 2 6" xfId="17411"/>
    <cellStyle name="Normal 146 3" xfId="4399"/>
    <cellStyle name="Normal 146 3 2" xfId="7829"/>
    <cellStyle name="Normal 146 3 2 2" xfId="21477"/>
    <cellStyle name="Normal 146 3 3" xfId="10898"/>
    <cellStyle name="Normal 146 3 3 2" xfId="24529"/>
    <cellStyle name="Normal 146 3 4" xfId="14194"/>
    <cellStyle name="Normal 146 3 4 2" xfId="27822"/>
    <cellStyle name="Normal 146 3 5" xfId="18194"/>
    <cellStyle name="Normal 146 4" xfId="6250"/>
    <cellStyle name="Normal 146 4 2" xfId="19900"/>
    <cellStyle name="Normal 146 5" xfId="9452"/>
    <cellStyle name="Normal 146 5 2" xfId="23094"/>
    <cellStyle name="Normal 146 6" xfId="12766"/>
    <cellStyle name="Normal 146 6 2" xfId="26394"/>
    <cellStyle name="Normal 146 7" xfId="15525"/>
    <cellStyle name="Normal 146 8" xfId="16683"/>
    <cellStyle name="Normal 147" xfId="2657"/>
    <cellStyle name="Normal 147 2" xfId="2939"/>
    <cellStyle name="Normal 147 3" xfId="3611"/>
    <cellStyle name="Normal 147 3 2" xfId="5278"/>
    <cellStyle name="Normal 147 3 2 2" xfId="8541"/>
    <cellStyle name="Normal 147 3 2 2 2" xfId="22189"/>
    <cellStyle name="Normal 147 3 2 3" xfId="11608"/>
    <cellStyle name="Normal 147 3 2 3 2" xfId="25239"/>
    <cellStyle name="Normal 147 3 2 4" xfId="14904"/>
    <cellStyle name="Normal 147 3 2 4 2" xfId="28532"/>
    <cellStyle name="Normal 147 3 2 5" xfId="18936"/>
    <cellStyle name="Normal 147 3 3" xfId="7045"/>
    <cellStyle name="Normal 147 3 3 2" xfId="20695"/>
    <cellStyle name="Normal 147 3 4" xfId="10186"/>
    <cellStyle name="Normal 147 3 4 2" xfId="23817"/>
    <cellStyle name="Normal 147 3 5" xfId="13481"/>
    <cellStyle name="Normal 147 3 5 2" xfId="27109"/>
    <cellStyle name="Normal 147 3 6" xfId="17412"/>
    <cellStyle name="Normal 147 4" xfId="4400"/>
    <cellStyle name="Normal 147 4 2" xfId="7830"/>
    <cellStyle name="Normal 147 4 2 2" xfId="21478"/>
    <cellStyle name="Normal 147 4 3" xfId="10899"/>
    <cellStyle name="Normal 147 4 3 2" xfId="24530"/>
    <cellStyle name="Normal 147 4 4" xfId="14195"/>
    <cellStyle name="Normal 147 4 4 2" xfId="27823"/>
    <cellStyle name="Normal 147 4 5" xfId="18195"/>
    <cellStyle name="Normal 147 5" xfId="6251"/>
    <cellStyle name="Normal 147 5 2" xfId="19901"/>
    <cellStyle name="Normal 147 6" xfId="9453"/>
    <cellStyle name="Normal 147 6 2" xfId="23095"/>
    <cellStyle name="Normal 147 7" xfId="12767"/>
    <cellStyle name="Normal 147 7 2" xfId="26395"/>
    <cellStyle name="Normal 147 8" xfId="16684"/>
    <cellStyle name="Normal 148" xfId="2658"/>
    <cellStyle name="Normal 148 2" xfId="3612"/>
    <cellStyle name="Normal 148 2 2" xfId="5279"/>
    <cellStyle name="Normal 148 2 2 2" xfId="8542"/>
    <cellStyle name="Normal 148 2 2 2 2" xfId="22190"/>
    <cellStyle name="Normal 148 2 2 3" xfId="11609"/>
    <cellStyle name="Normal 148 2 2 3 2" xfId="25240"/>
    <cellStyle name="Normal 148 2 2 4" xfId="14905"/>
    <cellStyle name="Normal 148 2 2 4 2" xfId="28533"/>
    <cellStyle name="Normal 148 2 2 5" xfId="18937"/>
    <cellStyle name="Normal 148 2 3" xfId="7046"/>
    <cellStyle name="Normal 148 2 3 2" xfId="20696"/>
    <cellStyle name="Normal 148 2 4" xfId="10187"/>
    <cellStyle name="Normal 148 2 4 2" xfId="23818"/>
    <cellStyle name="Normal 148 2 5" xfId="13482"/>
    <cellStyle name="Normal 148 2 5 2" xfId="27110"/>
    <cellStyle name="Normal 148 2 6" xfId="17413"/>
    <cellStyle name="Normal 148 3" xfId="4401"/>
    <cellStyle name="Normal 148 3 2" xfId="7831"/>
    <cellStyle name="Normal 148 3 2 2" xfId="21479"/>
    <cellStyle name="Normal 148 3 3" xfId="10900"/>
    <cellStyle name="Normal 148 3 3 2" xfId="24531"/>
    <cellStyle name="Normal 148 3 4" xfId="14196"/>
    <cellStyle name="Normal 148 3 4 2" xfId="27824"/>
    <cellStyle name="Normal 148 3 5" xfId="18196"/>
    <cellStyle name="Normal 148 4" xfId="6252"/>
    <cellStyle name="Normal 148 4 2" xfId="19902"/>
    <cellStyle name="Normal 148 5" xfId="9454"/>
    <cellStyle name="Normal 148 5 2" xfId="23096"/>
    <cellStyle name="Normal 148 6" xfId="12768"/>
    <cellStyle name="Normal 148 6 2" xfId="26396"/>
    <cellStyle name="Normal 148 7" xfId="15443"/>
    <cellStyle name="Normal 148 8" xfId="16685"/>
    <cellStyle name="Normal 149" xfId="2659"/>
    <cellStyle name="Normal 149 2" xfId="3613"/>
    <cellStyle name="Normal 149 2 2" xfId="5280"/>
    <cellStyle name="Normal 149 2 2 2" xfId="8543"/>
    <cellStyle name="Normal 149 2 2 2 2" xfId="22191"/>
    <cellStyle name="Normal 149 2 2 3" xfId="11610"/>
    <cellStyle name="Normal 149 2 2 3 2" xfId="25241"/>
    <cellStyle name="Normal 149 2 2 4" xfId="14906"/>
    <cellStyle name="Normal 149 2 2 4 2" xfId="28534"/>
    <cellStyle name="Normal 149 2 2 5" xfId="18938"/>
    <cellStyle name="Normal 149 2 3" xfId="7047"/>
    <cellStyle name="Normal 149 2 3 2" xfId="20697"/>
    <cellStyle name="Normal 149 2 4" xfId="10188"/>
    <cellStyle name="Normal 149 2 4 2" xfId="23819"/>
    <cellStyle name="Normal 149 2 5" xfId="13483"/>
    <cellStyle name="Normal 149 2 5 2" xfId="27111"/>
    <cellStyle name="Normal 149 2 6" xfId="17414"/>
    <cellStyle name="Normal 149 3" xfId="4402"/>
    <cellStyle name="Normal 149 3 2" xfId="7832"/>
    <cellStyle name="Normal 149 3 2 2" xfId="21480"/>
    <cellStyle name="Normal 149 3 3" xfId="10901"/>
    <cellStyle name="Normal 149 3 3 2" xfId="24532"/>
    <cellStyle name="Normal 149 3 4" xfId="14197"/>
    <cellStyle name="Normal 149 3 4 2" xfId="27825"/>
    <cellStyle name="Normal 149 3 5" xfId="18197"/>
    <cellStyle name="Normal 149 4" xfId="6253"/>
    <cellStyle name="Normal 149 4 2" xfId="19903"/>
    <cellStyle name="Normal 149 5" xfId="9455"/>
    <cellStyle name="Normal 149 5 2" xfId="23097"/>
    <cellStyle name="Normal 149 6" xfId="12769"/>
    <cellStyle name="Normal 149 6 2" xfId="26397"/>
    <cellStyle name="Normal 149 7" xfId="15485"/>
    <cellStyle name="Normal 149 8" xfId="16686"/>
    <cellStyle name="Normal 15" xfId="71"/>
    <cellStyle name="Normal 15 2" xfId="144"/>
    <cellStyle name="Normal 15 2 2" xfId="1053"/>
    <cellStyle name="Normal 15 3" xfId="1054"/>
    <cellStyle name="Normal 15_Data Check Control" xfId="202"/>
    <cellStyle name="Normal 150" xfId="2660"/>
    <cellStyle name="Normal 150 2" xfId="3614"/>
    <cellStyle name="Normal 150 2 2" xfId="5281"/>
    <cellStyle name="Normal 150 2 2 2" xfId="8544"/>
    <cellStyle name="Normal 150 2 2 2 2" xfId="22192"/>
    <cellStyle name="Normal 150 2 2 3" xfId="11611"/>
    <cellStyle name="Normal 150 2 2 3 2" xfId="25242"/>
    <cellStyle name="Normal 150 2 2 4" xfId="14907"/>
    <cellStyle name="Normal 150 2 2 4 2" xfId="28535"/>
    <cellStyle name="Normal 150 2 2 5" xfId="18939"/>
    <cellStyle name="Normal 150 2 3" xfId="7048"/>
    <cellStyle name="Normal 150 2 3 2" xfId="20698"/>
    <cellStyle name="Normal 150 2 4" xfId="10189"/>
    <cellStyle name="Normal 150 2 4 2" xfId="23820"/>
    <cellStyle name="Normal 150 2 5" xfId="13484"/>
    <cellStyle name="Normal 150 2 5 2" xfId="27112"/>
    <cellStyle name="Normal 150 2 6" xfId="17415"/>
    <cellStyle name="Normal 150 3" xfId="4403"/>
    <cellStyle name="Normal 150 3 2" xfId="7833"/>
    <cellStyle name="Normal 150 3 2 2" xfId="21481"/>
    <cellStyle name="Normal 150 3 3" xfId="10902"/>
    <cellStyle name="Normal 150 3 3 2" xfId="24533"/>
    <cellStyle name="Normal 150 3 4" xfId="14198"/>
    <cellStyle name="Normal 150 3 4 2" xfId="27826"/>
    <cellStyle name="Normal 150 3 5" xfId="18198"/>
    <cellStyle name="Normal 150 4" xfId="6254"/>
    <cellStyle name="Normal 150 4 2" xfId="19904"/>
    <cellStyle name="Normal 150 5" xfId="9456"/>
    <cellStyle name="Normal 150 5 2" xfId="23098"/>
    <cellStyle name="Normal 150 6" xfId="12770"/>
    <cellStyle name="Normal 150 6 2" xfId="26398"/>
    <cellStyle name="Normal 150 7" xfId="15644"/>
    <cellStyle name="Normal 150 8" xfId="16687"/>
    <cellStyle name="Normal 151" xfId="2661"/>
    <cellStyle name="Normal 151 2" xfId="3615"/>
    <cellStyle name="Normal 151 2 2" xfId="5282"/>
    <cellStyle name="Normal 151 2 2 2" xfId="8545"/>
    <cellStyle name="Normal 151 2 2 2 2" xfId="22193"/>
    <cellStyle name="Normal 151 2 2 3" xfId="11612"/>
    <cellStyle name="Normal 151 2 2 3 2" xfId="25243"/>
    <cellStyle name="Normal 151 2 2 4" xfId="14908"/>
    <cellStyle name="Normal 151 2 2 4 2" xfId="28536"/>
    <cellStyle name="Normal 151 2 2 5" xfId="18940"/>
    <cellStyle name="Normal 151 2 3" xfId="7049"/>
    <cellStyle name="Normal 151 2 3 2" xfId="20699"/>
    <cellStyle name="Normal 151 2 4" xfId="10190"/>
    <cellStyle name="Normal 151 2 4 2" xfId="23821"/>
    <cellStyle name="Normal 151 2 5" xfId="13485"/>
    <cellStyle name="Normal 151 2 5 2" xfId="27113"/>
    <cellStyle name="Normal 151 2 6" xfId="17416"/>
    <cellStyle name="Normal 151 3" xfId="4404"/>
    <cellStyle name="Normal 151 3 2" xfId="7834"/>
    <cellStyle name="Normal 151 3 2 2" xfId="21482"/>
    <cellStyle name="Normal 151 3 3" xfId="10903"/>
    <cellStyle name="Normal 151 3 3 2" xfId="24534"/>
    <cellStyle name="Normal 151 3 4" xfId="14199"/>
    <cellStyle name="Normal 151 3 4 2" xfId="27827"/>
    <cellStyle name="Normal 151 3 5" xfId="18199"/>
    <cellStyle name="Normal 151 4" xfId="6255"/>
    <cellStyle name="Normal 151 4 2" xfId="19905"/>
    <cellStyle name="Normal 151 5" xfId="9457"/>
    <cellStyle name="Normal 151 5 2" xfId="23099"/>
    <cellStyle name="Normal 151 6" xfId="12771"/>
    <cellStyle name="Normal 151 6 2" xfId="26399"/>
    <cellStyle name="Normal 151 7" xfId="15645"/>
    <cellStyle name="Normal 151 8" xfId="16688"/>
    <cellStyle name="Normal 152" xfId="2662"/>
    <cellStyle name="Normal 152 2" xfId="3616"/>
    <cellStyle name="Normal 152 2 2" xfId="5283"/>
    <cellStyle name="Normal 152 2 2 2" xfId="8546"/>
    <cellStyle name="Normal 152 2 2 2 2" xfId="22194"/>
    <cellStyle name="Normal 152 2 2 3" xfId="11613"/>
    <cellStyle name="Normal 152 2 2 3 2" xfId="25244"/>
    <cellStyle name="Normal 152 2 2 4" xfId="14909"/>
    <cellStyle name="Normal 152 2 2 4 2" xfId="28537"/>
    <cellStyle name="Normal 152 2 2 5" xfId="18941"/>
    <cellStyle name="Normal 152 2 3" xfId="7050"/>
    <cellStyle name="Normal 152 2 3 2" xfId="20700"/>
    <cellStyle name="Normal 152 2 4" xfId="10191"/>
    <cellStyle name="Normal 152 2 4 2" xfId="23822"/>
    <cellStyle name="Normal 152 2 5" xfId="13486"/>
    <cellStyle name="Normal 152 2 5 2" xfId="27114"/>
    <cellStyle name="Normal 152 2 6" xfId="17417"/>
    <cellStyle name="Normal 152 3" xfId="4405"/>
    <cellStyle name="Normal 152 3 2" xfId="7835"/>
    <cellStyle name="Normal 152 3 2 2" xfId="21483"/>
    <cellStyle name="Normal 152 3 3" xfId="10904"/>
    <cellStyle name="Normal 152 3 3 2" xfId="24535"/>
    <cellStyle name="Normal 152 3 4" xfId="14200"/>
    <cellStyle name="Normal 152 3 4 2" xfId="27828"/>
    <cellStyle name="Normal 152 3 5" xfId="18200"/>
    <cellStyle name="Normal 152 4" xfId="6256"/>
    <cellStyle name="Normal 152 4 2" xfId="19906"/>
    <cellStyle name="Normal 152 5" xfId="9458"/>
    <cellStyle name="Normal 152 5 2" xfId="23100"/>
    <cellStyle name="Normal 152 6" xfId="12772"/>
    <cellStyle name="Normal 152 6 2" xfId="26400"/>
    <cellStyle name="Normal 152 7" xfId="15643"/>
    <cellStyle name="Normal 152 8" xfId="16689"/>
    <cellStyle name="Normal 153" xfId="2663"/>
    <cellStyle name="Normal 153 2" xfId="3617"/>
    <cellStyle name="Normal 153 2 2" xfId="5284"/>
    <cellStyle name="Normal 153 2 2 2" xfId="8547"/>
    <cellStyle name="Normal 153 2 2 2 2" xfId="22195"/>
    <cellStyle name="Normal 153 2 2 3" xfId="11614"/>
    <cellStyle name="Normal 153 2 2 3 2" xfId="25245"/>
    <cellStyle name="Normal 153 2 2 4" xfId="14910"/>
    <cellStyle name="Normal 153 2 2 4 2" xfId="28538"/>
    <cellStyle name="Normal 153 2 2 5" xfId="18942"/>
    <cellStyle name="Normal 153 2 3" xfId="7051"/>
    <cellStyle name="Normal 153 2 3 2" xfId="20701"/>
    <cellStyle name="Normal 153 2 4" xfId="10192"/>
    <cellStyle name="Normal 153 2 4 2" xfId="23823"/>
    <cellStyle name="Normal 153 2 5" xfId="13487"/>
    <cellStyle name="Normal 153 2 5 2" xfId="27115"/>
    <cellStyle name="Normal 153 2 6" xfId="17418"/>
    <cellStyle name="Normal 153 3" xfId="4406"/>
    <cellStyle name="Normal 153 3 2" xfId="7836"/>
    <cellStyle name="Normal 153 3 2 2" xfId="21484"/>
    <cellStyle name="Normal 153 3 3" xfId="10905"/>
    <cellStyle name="Normal 153 3 3 2" xfId="24536"/>
    <cellStyle name="Normal 153 3 4" xfId="14201"/>
    <cellStyle name="Normal 153 3 4 2" xfId="27829"/>
    <cellStyle name="Normal 153 3 5" xfId="18201"/>
    <cellStyle name="Normal 153 4" xfId="6257"/>
    <cellStyle name="Normal 153 4 2" xfId="19907"/>
    <cellStyle name="Normal 153 5" xfId="9459"/>
    <cellStyle name="Normal 153 5 2" xfId="23101"/>
    <cellStyle name="Normal 153 6" xfId="12773"/>
    <cellStyle name="Normal 153 6 2" xfId="26401"/>
    <cellStyle name="Normal 153 7" xfId="15646"/>
    <cellStyle name="Normal 153 8" xfId="16690"/>
    <cellStyle name="Normal 154" xfId="2664"/>
    <cellStyle name="Normal 154 2" xfId="3618"/>
    <cellStyle name="Normal 154 2 2" xfId="5285"/>
    <cellStyle name="Normal 154 2 2 2" xfId="8548"/>
    <cellStyle name="Normal 154 2 2 2 2" xfId="22196"/>
    <cellStyle name="Normal 154 2 2 3" xfId="11615"/>
    <cellStyle name="Normal 154 2 2 3 2" xfId="25246"/>
    <cellStyle name="Normal 154 2 2 4" xfId="14911"/>
    <cellStyle name="Normal 154 2 2 4 2" xfId="28539"/>
    <cellStyle name="Normal 154 2 2 5" xfId="18943"/>
    <cellStyle name="Normal 154 2 3" xfId="7052"/>
    <cellStyle name="Normal 154 2 3 2" xfId="20702"/>
    <cellStyle name="Normal 154 2 4" xfId="10193"/>
    <cellStyle name="Normal 154 2 4 2" xfId="23824"/>
    <cellStyle name="Normal 154 2 5" xfId="13488"/>
    <cellStyle name="Normal 154 2 5 2" xfId="27116"/>
    <cellStyle name="Normal 154 2 6" xfId="17419"/>
    <cellStyle name="Normal 154 3" xfId="4407"/>
    <cellStyle name="Normal 154 3 2" xfId="7837"/>
    <cellStyle name="Normal 154 3 2 2" xfId="21485"/>
    <cellStyle name="Normal 154 3 3" xfId="10906"/>
    <cellStyle name="Normal 154 3 3 2" xfId="24537"/>
    <cellStyle name="Normal 154 3 4" xfId="14202"/>
    <cellStyle name="Normal 154 3 4 2" xfId="27830"/>
    <cellStyle name="Normal 154 3 5" xfId="18202"/>
    <cellStyle name="Normal 154 4" xfId="6258"/>
    <cellStyle name="Normal 154 4 2" xfId="19908"/>
    <cellStyle name="Normal 154 5" xfId="9460"/>
    <cellStyle name="Normal 154 5 2" xfId="23102"/>
    <cellStyle name="Normal 154 6" xfId="12774"/>
    <cellStyle name="Normal 154 6 2" xfId="26402"/>
    <cellStyle name="Normal 154 7" xfId="15647"/>
    <cellStyle name="Normal 154 8" xfId="16691"/>
    <cellStyle name="Normal 155" xfId="2665"/>
    <cellStyle name="Normal 155 2" xfId="3619"/>
    <cellStyle name="Normal 155 2 2" xfId="5286"/>
    <cellStyle name="Normal 155 2 2 2" xfId="8549"/>
    <cellStyle name="Normal 155 2 2 2 2" xfId="22197"/>
    <cellStyle name="Normal 155 2 2 3" xfId="11616"/>
    <cellStyle name="Normal 155 2 2 3 2" xfId="25247"/>
    <cellStyle name="Normal 155 2 2 4" xfId="14912"/>
    <cellStyle name="Normal 155 2 2 4 2" xfId="28540"/>
    <cellStyle name="Normal 155 2 2 5" xfId="18944"/>
    <cellStyle name="Normal 155 2 3" xfId="7053"/>
    <cellStyle name="Normal 155 2 3 2" xfId="20703"/>
    <cellStyle name="Normal 155 2 4" xfId="10194"/>
    <cellStyle name="Normal 155 2 4 2" xfId="23825"/>
    <cellStyle name="Normal 155 2 5" xfId="13489"/>
    <cellStyle name="Normal 155 2 5 2" xfId="27117"/>
    <cellStyle name="Normal 155 2 6" xfId="17420"/>
    <cellStyle name="Normal 155 3" xfId="4408"/>
    <cellStyle name="Normal 155 3 2" xfId="7838"/>
    <cellStyle name="Normal 155 3 2 2" xfId="21486"/>
    <cellStyle name="Normal 155 3 3" xfId="10907"/>
    <cellStyle name="Normal 155 3 3 2" xfId="24538"/>
    <cellStyle name="Normal 155 3 4" xfId="14203"/>
    <cellStyle name="Normal 155 3 4 2" xfId="27831"/>
    <cellStyle name="Normal 155 3 5" xfId="18203"/>
    <cellStyle name="Normal 155 4" xfId="6259"/>
    <cellStyle name="Normal 155 4 2" xfId="19909"/>
    <cellStyle name="Normal 155 5" xfId="9461"/>
    <cellStyle name="Normal 155 5 2" xfId="23103"/>
    <cellStyle name="Normal 155 6" xfId="12775"/>
    <cellStyle name="Normal 155 6 2" xfId="26403"/>
    <cellStyle name="Normal 155 7" xfId="15648"/>
    <cellStyle name="Normal 155 8" xfId="16692"/>
    <cellStyle name="Normal 156" xfId="2811"/>
    <cellStyle name="Normal 156 2" xfId="3765"/>
    <cellStyle name="Normal 156 2 2" xfId="5432"/>
    <cellStyle name="Normal 156 2 2 2" xfId="8695"/>
    <cellStyle name="Normal 156 2 2 2 2" xfId="22343"/>
    <cellStyle name="Normal 156 2 2 3" xfId="11762"/>
    <cellStyle name="Normal 156 2 2 3 2" xfId="25393"/>
    <cellStyle name="Normal 156 2 2 4" xfId="15058"/>
    <cellStyle name="Normal 156 2 2 4 2" xfId="28686"/>
    <cellStyle name="Normal 156 2 2 5" xfId="19090"/>
    <cellStyle name="Normal 156 2 3" xfId="7199"/>
    <cellStyle name="Normal 156 2 3 2" xfId="20849"/>
    <cellStyle name="Normal 156 2 4" xfId="10340"/>
    <cellStyle name="Normal 156 2 4 2" xfId="23971"/>
    <cellStyle name="Normal 156 2 5" xfId="13635"/>
    <cellStyle name="Normal 156 2 5 2" xfId="27263"/>
    <cellStyle name="Normal 156 2 6" xfId="17566"/>
    <cellStyle name="Normal 156 3" xfId="4554"/>
    <cellStyle name="Normal 156 3 2" xfId="7984"/>
    <cellStyle name="Normal 156 3 2 2" xfId="21632"/>
    <cellStyle name="Normal 156 3 3" xfId="11053"/>
    <cellStyle name="Normal 156 3 3 2" xfId="24684"/>
    <cellStyle name="Normal 156 3 4" xfId="14349"/>
    <cellStyle name="Normal 156 3 4 2" xfId="27977"/>
    <cellStyle name="Normal 156 3 5" xfId="18349"/>
    <cellStyle name="Normal 156 4" xfId="6405"/>
    <cellStyle name="Normal 156 4 2" xfId="20055"/>
    <cellStyle name="Normal 156 5" xfId="9607"/>
    <cellStyle name="Normal 156 5 2" xfId="23249"/>
    <cellStyle name="Normal 156 6" xfId="12921"/>
    <cellStyle name="Normal 156 6 2" xfId="26549"/>
    <cellStyle name="Normal 156 7" xfId="15649"/>
    <cellStyle name="Normal 156 8" xfId="16838"/>
    <cellStyle name="Normal 157" xfId="2812"/>
    <cellStyle name="Normal 157 2" xfId="3766"/>
    <cellStyle name="Normal 157 2 2" xfId="5433"/>
    <cellStyle name="Normal 157 2 2 2" xfId="8696"/>
    <cellStyle name="Normal 157 2 2 2 2" xfId="22344"/>
    <cellStyle name="Normal 157 2 2 3" xfId="11763"/>
    <cellStyle name="Normal 157 2 2 3 2" xfId="25394"/>
    <cellStyle name="Normal 157 2 2 4" xfId="15059"/>
    <cellStyle name="Normal 157 2 2 4 2" xfId="28687"/>
    <cellStyle name="Normal 157 2 2 5" xfId="19091"/>
    <cellStyle name="Normal 157 2 3" xfId="7200"/>
    <cellStyle name="Normal 157 2 3 2" xfId="20850"/>
    <cellStyle name="Normal 157 2 4" xfId="10341"/>
    <cellStyle name="Normal 157 2 4 2" xfId="23972"/>
    <cellStyle name="Normal 157 2 5" xfId="13636"/>
    <cellStyle name="Normal 157 2 5 2" xfId="27264"/>
    <cellStyle name="Normal 157 2 6" xfId="17567"/>
    <cellStyle name="Normal 157 3" xfId="4555"/>
    <cellStyle name="Normal 157 3 2" xfId="7985"/>
    <cellStyle name="Normal 157 3 2 2" xfId="21633"/>
    <cellStyle name="Normal 157 3 3" xfId="11054"/>
    <cellStyle name="Normal 157 3 3 2" xfId="24685"/>
    <cellStyle name="Normal 157 3 4" xfId="14350"/>
    <cellStyle name="Normal 157 3 4 2" xfId="27978"/>
    <cellStyle name="Normal 157 3 5" xfId="18350"/>
    <cellStyle name="Normal 157 4" xfId="6406"/>
    <cellStyle name="Normal 157 4 2" xfId="20056"/>
    <cellStyle name="Normal 157 5" xfId="9608"/>
    <cellStyle name="Normal 157 5 2" xfId="23250"/>
    <cellStyle name="Normal 157 6" xfId="12922"/>
    <cellStyle name="Normal 157 6 2" xfId="26550"/>
    <cellStyle name="Normal 157 7" xfId="15650"/>
    <cellStyle name="Normal 157 8" xfId="16839"/>
    <cellStyle name="Normal 158" xfId="2813"/>
    <cellStyle name="Normal 158 2" xfId="3767"/>
    <cellStyle name="Normal 158 2 2" xfId="5434"/>
    <cellStyle name="Normal 158 2 2 2" xfId="8697"/>
    <cellStyle name="Normal 158 2 2 2 2" xfId="22345"/>
    <cellStyle name="Normal 158 2 2 3" xfId="11764"/>
    <cellStyle name="Normal 158 2 2 3 2" xfId="25395"/>
    <cellStyle name="Normal 158 2 2 4" xfId="15060"/>
    <cellStyle name="Normal 158 2 2 4 2" xfId="28688"/>
    <cellStyle name="Normal 158 2 2 5" xfId="19092"/>
    <cellStyle name="Normal 158 2 3" xfId="7201"/>
    <cellStyle name="Normal 158 2 3 2" xfId="20851"/>
    <cellStyle name="Normal 158 2 4" xfId="10342"/>
    <cellStyle name="Normal 158 2 4 2" xfId="23973"/>
    <cellStyle name="Normal 158 2 5" xfId="13637"/>
    <cellStyle name="Normal 158 2 5 2" xfId="27265"/>
    <cellStyle name="Normal 158 2 6" xfId="17568"/>
    <cellStyle name="Normal 158 3" xfId="4556"/>
    <cellStyle name="Normal 158 3 2" xfId="7986"/>
    <cellStyle name="Normal 158 3 2 2" xfId="21634"/>
    <cellStyle name="Normal 158 3 3" xfId="11055"/>
    <cellStyle name="Normal 158 3 3 2" xfId="24686"/>
    <cellStyle name="Normal 158 3 4" xfId="14351"/>
    <cellStyle name="Normal 158 3 4 2" xfId="27979"/>
    <cellStyle name="Normal 158 3 5" xfId="18351"/>
    <cellStyle name="Normal 158 4" xfId="6407"/>
    <cellStyle name="Normal 158 4 2" xfId="20057"/>
    <cellStyle name="Normal 158 5" xfId="9609"/>
    <cellStyle name="Normal 158 5 2" xfId="23251"/>
    <cellStyle name="Normal 158 6" xfId="12923"/>
    <cellStyle name="Normal 158 6 2" xfId="26551"/>
    <cellStyle name="Normal 158 7" xfId="15651"/>
    <cellStyle name="Normal 158 8" xfId="16840"/>
    <cellStyle name="Normal 159" xfId="2814"/>
    <cellStyle name="Normal 159 2" xfId="3768"/>
    <cellStyle name="Normal 159 2 2" xfId="5435"/>
    <cellStyle name="Normal 159 2 2 2" xfId="8698"/>
    <cellStyle name="Normal 159 2 2 2 2" xfId="22346"/>
    <cellStyle name="Normal 159 2 2 3" xfId="11765"/>
    <cellStyle name="Normal 159 2 2 3 2" xfId="25396"/>
    <cellStyle name="Normal 159 2 2 4" xfId="15061"/>
    <cellStyle name="Normal 159 2 2 4 2" xfId="28689"/>
    <cellStyle name="Normal 159 2 2 5" xfId="19093"/>
    <cellStyle name="Normal 159 2 3" xfId="7202"/>
    <cellStyle name="Normal 159 2 3 2" xfId="20852"/>
    <cellStyle name="Normal 159 2 4" xfId="10343"/>
    <cellStyle name="Normal 159 2 4 2" xfId="23974"/>
    <cellStyle name="Normal 159 2 5" xfId="13638"/>
    <cellStyle name="Normal 159 2 5 2" xfId="27266"/>
    <cellStyle name="Normal 159 2 6" xfId="17569"/>
    <cellStyle name="Normal 159 3" xfId="4557"/>
    <cellStyle name="Normal 159 3 2" xfId="7987"/>
    <cellStyle name="Normal 159 3 2 2" xfId="21635"/>
    <cellStyle name="Normal 159 3 3" xfId="11056"/>
    <cellStyle name="Normal 159 3 3 2" xfId="24687"/>
    <cellStyle name="Normal 159 3 4" xfId="14352"/>
    <cellStyle name="Normal 159 3 4 2" xfId="27980"/>
    <cellStyle name="Normal 159 3 5" xfId="18352"/>
    <cellStyle name="Normal 159 4" xfId="6408"/>
    <cellStyle name="Normal 159 4 2" xfId="20058"/>
    <cellStyle name="Normal 159 5" xfId="9610"/>
    <cellStyle name="Normal 159 5 2" xfId="23252"/>
    <cellStyle name="Normal 159 6" xfId="12924"/>
    <cellStyle name="Normal 159 6 2" xfId="26552"/>
    <cellStyle name="Normal 159 7" xfId="15652"/>
    <cellStyle name="Normal 159 8" xfId="16841"/>
    <cellStyle name="Normal 16" xfId="145"/>
    <cellStyle name="Normal 16 2" xfId="1998"/>
    <cellStyle name="Normal 16 3" xfId="1999"/>
    <cellStyle name="Normal 160" xfId="2815"/>
    <cellStyle name="Normal 160 2" xfId="3769"/>
    <cellStyle name="Normal 160 2 2" xfId="5436"/>
    <cellStyle name="Normal 160 2 2 2" xfId="8699"/>
    <cellStyle name="Normal 160 2 2 2 2" xfId="22347"/>
    <cellStyle name="Normal 160 2 2 3" xfId="11766"/>
    <cellStyle name="Normal 160 2 2 3 2" xfId="25397"/>
    <cellStyle name="Normal 160 2 2 4" xfId="15062"/>
    <cellStyle name="Normal 160 2 2 4 2" xfId="28690"/>
    <cellStyle name="Normal 160 2 2 5" xfId="19094"/>
    <cellStyle name="Normal 160 2 3" xfId="7203"/>
    <cellStyle name="Normal 160 2 3 2" xfId="20853"/>
    <cellStyle name="Normal 160 2 4" xfId="10344"/>
    <cellStyle name="Normal 160 2 4 2" xfId="23975"/>
    <cellStyle name="Normal 160 2 5" xfId="13639"/>
    <cellStyle name="Normal 160 2 5 2" xfId="27267"/>
    <cellStyle name="Normal 160 2 6" xfId="17570"/>
    <cellStyle name="Normal 160 3" xfId="4558"/>
    <cellStyle name="Normal 160 3 2" xfId="7988"/>
    <cellStyle name="Normal 160 3 2 2" xfId="21636"/>
    <cellStyle name="Normal 160 3 3" xfId="11057"/>
    <cellStyle name="Normal 160 3 3 2" xfId="24688"/>
    <cellStyle name="Normal 160 3 4" xfId="14353"/>
    <cellStyle name="Normal 160 3 4 2" xfId="27981"/>
    <cellStyle name="Normal 160 3 5" xfId="18353"/>
    <cellStyle name="Normal 160 4" xfId="6409"/>
    <cellStyle name="Normal 160 4 2" xfId="20059"/>
    <cellStyle name="Normal 160 5" xfId="9611"/>
    <cellStyle name="Normal 160 5 2" xfId="23253"/>
    <cellStyle name="Normal 160 6" xfId="12925"/>
    <cellStyle name="Normal 160 6 2" xfId="26553"/>
    <cellStyle name="Normal 160 7" xfId="15653"/>
    <cellStyle name="Normal 160 8" xfId="16842"/>
    <cellStyle name="Normal 161" xfId="2816"/>
    <cellStyle name="Normal 161 2" xfId="3770"/>
    <cellStyle name="Normal 161 2 2" xfId="5437"/>
    <cellStyle name="Normal 161 2 2 2" xfId="8700"/>
    <cellStyle name="Normal 161 2 2 2 2" xfId="22348"/>
    <cellStyle name="Normal 161 2 2 3" xfId="11767"/>
    <cellStyle name="Normal 161 2 2 3 2" xfId="25398"/>
    <cellStyle name="Normal 161 2 2 4" xfId="15063"/>
    <cellStyle name="Normal 161 2 2 4 2" xfId="28691"/>
    <cellStyle name="Normal 161 2 2 5" xfId="19095"/>
    <cellStyle name="Normal 161 2 3" xfId="7204"/>
    <cellStyle name="Normal 161 2 3 2" xfId="20854"/>
    <cellStyle name="Normal 161 2 4" xfId="10345"/>
    <cellStyle name="Normal 161 2 4 2" xfId="23976"/>
    <cellStyle name="Normal 161 2 5" xfId="13640"/>
    <cellStyle name="Normal 161 2 5 2" xfId="27268"/>
    <cellStyle name="Normal 161 2 6" xfId="17571"/>
    <cellStyle name="Normal 161 3" xfId="4559"/>
    <cellStyle name="Normal 161 3 2" xfId="7989"/>
    <cellStyle name="Normal 161 3 2 2" xfId="21637"/>
    <cellStyle name="Normal 161 3 3" xfId="11058"/>
    <cellStyle name="Normal 161 3 3 2" xfId="24689"/>
    <cellStyle name="Normal 161 3 4" xfId="14354"/>
    <cellStyle name="Normal 161 3 4 2" xfId="27982"/>
    <cellStyle name="Normal 161 3 5" xfId="18354"/>
    <cellStyle name="Normal 161 4" xfId="6410"/>
    <cellStyle name="Normal 161 4 2" xfId="20060"/>
    <cellStyle name="Normal 161 5" xfId="9612"/>
    <cellStyle name="Normal 161 5 2" xfId="23254"/>
    <cellStyle name="Normal 161 6" xfId="12926"/>
    <cellStyle name="Normal 161 6 2" xfId="26554"/>
    <cellStyle name="Normal 161 7" xfId="15654"/>
    <cellStyle name="Normal 161 8" xfId="16843"/>
    <cellStyle name="Normal 162" xfId="2817"/>
    <cellStyle name="Normal 162 2" xfId="4721"/>
    <cellStyle name="Normal 162 3" xfId="3786"/>
    <cellStyle name="Normal 163" xfId="3189"/>
    <cellStyle name="Normal 163 2" xfId="4937"/>
    <cellStyle name="Normal 163 2 2" xfId="6624"/>
    <cellStyle name="Normal 163 2 2 2" xfId="20274"/>
    <cellStyle name="Normal 163 2 3" xfId="9845"/>
    <cellStyle name="Normal 163 2 3 2" xfId="23476"/>
    <cellStyle name="Normal 163 2 4" xfId="13140"/>
    <cellStyle name="Normal 163 2 4 2" xfId="26768"/>
    <cellStyle name="Normal 163 2 5" xfId="18595"/>
    <cellStyle name="Normal 163 3" xfId="3846"/>
    <cellStyle name="Normal 163 4" xfId="17070"/>
    <cellStyle name="Normal 164" xfId="2959"/>
    <cellStyle name="Normal 164 2" xfId="4801"/>
    <cellStyle name="Normal 164 2 2" xfId="6491"/>
    <cellStyle name="Normal 164 2 2 2" xfId="20141"/>
    <cellStyle name="Normal 164 2 3" xfId="9712"/>
    <cellStyle name="Normal 164 2 3 2" xfId="23343"/>
    <cellStyle name="Normal 164 2 4" xfId="13007"/>
    <cellStyle name="Normal 164 2 4 2" xfId="26635"/>
    <cellStyle name="Normal 164 2 5" xfId="18460"/>
    <cellStyle name="Normal 164 3" xfId="4601"/>
    <cellStyle name="Normal 164 4" xfId="16925"/>
    <cellStyle name="Normal 165" xfId="3771"/>
    <cellStyle name="Normal 165 2" xfId="5438"/>
    <cellStyle name="Normal 165 2 2" xfId="7205"/>
    <cellStyle name="Normal 165 2 2 2" xfId="20855"/>
    <cellStyle name="Normal 165 2 3" xfId="10346"/>
    <cellStyle name="Normal 165 2 3 2" xfId="23977"/>
    <cellStyle name="Normal 165 2 4" xfId="13641"/>
    <cellStyle name="Normal 165 2 4 2" xfId="27269"/>
    <cellStyle name="Normal 165 2 5" xfId="19096"/>
    <cellStyle name="Normal 165 3" xfId="4605"/>
    <cellStyle name="Normal 165 4" xfId="17572"/>
    <cellStyle name="Normal 166" xfId="4576"/>
    <cellStyle name="Normal 167" xfId="4570"/>
    <cellStyle name="Normal 168" xfId="4592"/>
    <cellStyle name="Normal 169" xfId="4561"/>
    <cellStyle name="Normal 17" xfId="160"/>
    <cellStyle name="Normal 17 2" xfId="1056"/>
    <cellStyle name="Normal 17 2 2" xfId="2000"/>
    <cellStyle name="Normal 17 3" xfId="1055"/>
    <cellStyle name="Normal 170" xfId="4623"/>
    <cellStyle name="Normal 171" xfId="4567"/>
    <cellStyle name="Normal 172" xfId="4579"/>
    <cellStyle name="Normal 173" xfId="4607"/>
    <cellStyle name="Normal 174" xfId="4627"/>
    <cellStyle name="Normal 175" xfId="4604"/>
    <cellStyle name="Normal 176" xfId="4574"/>
    <cellStyle name="Normal 177" xfId="4626"/>
    <cellStyle name="Normal 178" xfId="4602"/>
    <cellStyle name="Normal 179" xfId="4631"/>
    <cellStyle name="Normal 18" xfId="165"/>
    <cellStyle name="Normal 18 2" xfId="1058"/>
    <cellStyle name="Normal 18 2 2" xfId="2001"/>
    <cellStyle name="Normal 18 3" xfId="1057"/>
    <cellStyle name="Normal 180" xfId="4573"/>
    <cellStyle name="Normal 181" xfId="4581"/>
    <cellStyle name="Normal 182" xfId="4560"/>
    <cellStyle name="Normal 183" xfId="4580"/>
    <cellStyle name="Normal 184" xfId="4622"/>
    <cellStyle name="Normal 185" xfId="4632"/>
    <cellStyle name="Normal 186" xfId="4611"/>
    <cellStyle name="Normal 187" xfId="4603"/>
    <cellStyle name="Normal 188" xfId="4577"/>
    <cellStyle name="Normal 189" xfId="4591"/>
    <cellStyle name="Normal 19" xfId="166"/>
    <cellStyle name="Normal 19 2" xfId="191"/>
    <cellStyle name="Normal 19 2 2" xfId="2002"/>
    <cellStyle name="Normal 19 2 3" xfId="2003"/>
    <cellStyle name="Normal 19 3" xfId="226"/>
    <cellStyle name="Normal 19 3 2" xfId="247"/>
    <cellStyle name="Normal 19 4" xfId="266"/>
    <cellStyle name="Normal 19 5" xfId="285"/>
    <cellStyle name="Normal 19 5 2" xfId="2004"/>
    <cellStyle name="Normal 19 5 3" xfId="2005"/>
    <cellStyle name="Normal 19 6" xfId="306"/>
    <cellStyle name="Normal 19 7" xfId="1060"/>
    <cellStyle name="Normal 19 8" xfId="1059"/>
    <cellStyle name="Normal 19_Data Check Control" xfId="203"/>
    <cellStyle name="Normal 190" xfId="4568"/>
    <cellStyle name="Normal 191" xfId="4609"/>
    <cellStyle name="Normal 192" xfId="4608"/>
    <cellStyle name="Normal 193" xfId="4584"/>
    <cellStyle name="Normal 194" xfId="4634"/>
    <cellStyle name="Normal 195" xfId="4667"/>
    <cellStyle name="Normal 196" xfId="4686"/>
    <cellStyle name="Normal 197" xfId="4693"/>
    <cellStyle name="Normal 198" xfId="4662"/>
    <cellStyle name="Normal 199" xfId="4663"/>
    <cellStyle name="Normal 2" xfId="6"/>
    <cellStyle name="Normal 2 2" xfId="72"/>
    <cellStyle name="Normal 2 2 10" xfId="15850"/>
    <cellStyle name="Normal 2 2 2" xfId="147"/>
    <cellStyle name="Normal 2 2 2 2" xfId="1062"/>
    <cellStyle name="Normal 2 2 2 2 2" xfId="2006"/>
    <cellStyle name="Normal 2 2 2 3" xfId="1063"/>
    <cellStyle name="Normal 2 2 2 4" xfId="1061"/>
    <cellStyle name="Normal 2 2 3" xfId="146"/>
    <cellStyle name="Normal 2 2 3 2" xfId="1065"/>
    <cellStyle name="Normal 2 2 3 3" xfId="1064"/>
    <cellStyle name="Normal 2 2 3 3 10" xfId="11979"/>
    <cellStyle name="Normal 2 2 3 3 10 2" xfId="25610"/>
    <cellStyle name="Normal 2 2 3 3 11" xfId="12139"/>
    <cellStyle name="Normal 2 2 3 3 11 2" xfId="25767"/>
    <cellStyle name="Normal 2 2 3 3 12" xfId="12380"/>
    <cellStyle name="Normal 2 2 3 3 12 2" xfId="26008"/>
    <cellStyle name="Normal 2 2 3 3 13" xfId="16126"/>
    <cellStyle name="Normal 2 2 3 3 2" xfId="2170"/>
    <cellStyle name="Normal 2 2 3 3 2 2" xfId="3283"/>
    <cellStyle name="Normal 2 2 3 3 2 2 2" xfId="5029"/>
    <cellStyle name="Normal 2 2 3 3 2 2 2 2" xfId="8293"/>
    <cellStyle name="Normal 2 2 3 3 2 2 2 2 2" xfId="21941"/>
    <cellStyle name="Normal 2 2 3 3 2 2 2 3" xfId="11360"/>
    <cellStyle name="Normal 2 2 3 3 2 2 2 3 2" xfId="24991"/>
    <cellStyle name="Normal 2 2 3 3 2 2 2 4" xfId="14656"/>
    <cellStyle name="Normal 2 2 3 3 2 2 2 4 2" xfId="28284"/>
    <cellStyle name="Normal 2 2 3 3 2 2 2 5" xfId="18687"/>
    <cellStyle name="Normal 2 2 3 3 2 2 3" xfId="6717"/>
    <cellStyle name="Normal 2 2 3 3 2 2 3 2" xfId="20367"/>
    <cellStyle name="Normal 2 2 3 3 2 2 4" xfId="9937"/>
    <cellStyle name="Normal 2 2 3 3 2 2 4 2" xfId="23568"/>
    <cellStyle name="Normal 2 2 3 3 2 2 5" xfId="13232"/>
    <cellStyle name="Normal 2 2 3 3 2 2 5 2" xfId="26860"/>
    <cellStyle name="Normal 2 2 3 3 2 2 6" xfId="17162"/>
    <cellStyle name="Normal 2 2 3 3 2 3" xfId="4083"/>
    <cellStyle name="Normal 2 2 3 3 2 3 2" xfId="7513"/>
    <cellStyle name="Normal 2 2 3 3 2 3 2 2" xfId="21161"/>
    <cellStyle name="Normal 2 2 3 3 2 3 3" xfId="10651"/>
    <cellStyle name="Normal 2 2 3 3 2 3 3 2" xfId="24282"/>
    <cellStyle name="Normal 2 2 3 3 2 3 4" xfId="13947"/>
    <cellStyle name="Normal 2 2 3 3 2 3 4 2" xfId="27575"/>
    <cellStyle name="Normal 2 2 3 3 2 3 5" xfId="17878"/>
    <cellStyle name="Normal 2 2 3 3 2 4" xfId="5919"/>
    <cellStyle name="Normal 2 2 3 3 2 4 2" xfId="19569"/>
    <cellStyle name="Normal 2 2 3 3 2 5" xfId="9205"/>
    <cellStyle name="Normal 2 2 3 3 2 5 2" xfId="22847"/>
    <cellStyle name="Normal 2 2 3 3 2 6" xfId="12519"/>
    <cellStyle name="Normal 2 2 3 3 2 6 2" xfId="26147"/>
    <cellStyle name="Normal 2 2 3 3 2 7" xfId="16364"/>
    <cellStyle name="Normal 2 2 3 3 3" xfId="2439"/>
    <cellStyle name="Normal 2 2 3 3 3 2" xfId="3545"/>
    <cellStyle name="Normal 2 2 3 3 3 2 2" xfId="5212"/>
    <cellStyle name="Normal 2 2 3 3 3 2 2 2" xfId="8476"/>
    <cellStyle name="Normal 2 2 3 3 3 2 2 2 2" xfId="22124"/>
    <cellStyle name="Normal 2 2 3 3 3 2 2 3" xfId="11543"/>
    <cellStyle name="Normal 2 2 3 3 3 2 2 3 2" xfId="25174"/>
    <cellStyle name="Normal 2 2 3 3 3 2 2 4" xfId="14839"/>
    <cellStyle name="Normal 2 2 3 3 3 2 2 4 2" xfId="28467"/>
    <cellStyle name="Normal 2 2 3 3 3 2 2 5" xfId="18870"/>
    <cellStyle name="Normal 2 2 3 3 3 2 3" xfId="6979"/>
    <cellStyle name="Normal 2 2 3 3 3 2 3 2" xfId="20629"/>
    <cellStyle name="Normal 2 2 3 3 3 2 4" xfId="10120"/>
    <cellStyle name="Normal 2 2 3 3 3 2 4 2" xfId="23751"/>
    <cellStyle name="Normal 2 2 3 3 3 2 5" xfId="13415"/>
    <cellStyle name="Normal 2 2 3 3 3 2 5 2" xfId="27043"/>
    <cellStyle name="Normal 2 2 3 3 3 2 6" xfId="17346"/>
    <cellStyle name="Normal 2 2 3 3 3 3" xfId="4266"/>
    <cellStyle name="Normal 2 2 3 3 3 3 2" xfId="7696"/>
    <cellStyle name="Normal 2 2 3 3 3 3 2 2" xfId="21344"/>
    <cellStyle name="Normal 2 2 3 3 3 3 3" xfId="10834"/>
    <cellStyle name="Normal 2 2 3 3 3 3 3 2" xfId="24465"/>
    <cellStyle name="Normal 2 2 3 3 3 3 4" xfId="14130"/>
    <cellStyle name="Normal 2 2 3 3 3 3 4 2" xfId="27758"/>
    <cellStyle name="Normal 2 2 3 3 3 3 5" xfId="18061"/>
    <cellStyle name="Normal 2 2 3 3 3 4" xfId="6102"/>
    <cellStyle name="Normal 2 2 3 3 3 4 2" xfId="19752"/>
    <cellStyle name="Normal 2 2 3 3 3 5" xfId="9388"/>
    <cellStyle name="Normal 2 2 3 3 3 5 2" xfId="23030"/>
    <cellStyle name="Normal 2 2 3 3 3 6" xfId="12702"/>
    <cellStyle name="Normal 2 2 3 3 3 6 2" xfId="26330"/>
    <cellStyle name="Normal 2 2 3 3 3 7" xfId="16550"/>
    <cellStyle name="Normal 2 2 3 3 4" xfId="2748"/>
    <cellStyle name="Normal 2 2 3 3 4 2" xfId="3702"/>
    <cellStyle name="Normal 2 2 3 3 4 2 2" xfId="5369"/>
    <cellStyle name="Normal 2 2 3 3 4 2 2 2" xfId="8632"/>
    <cellStyle name="Normal 2 2 3 3 4 2 2 2 2" xfId="22280"/>
    <cellStyle name="Normal 2 2 3 3 4 2 2 3" xfId="11699"/>
    <cellStyle name="Normal 2 2 3 3 4 2 2 3 2" xfId="25330"/>
    <cellStyle name="Normal 2 2 3 3 4 2 2 4" xfId="14995"/>
    <cellStyle name="Normal 2 2 3 3 4 2 2 4 2" xfId="28623"/>
    <cellStyle name="Normal 2 2 3 3 4 2 2 5" xfId="19027"/>
    <cellStyle name="Normal 2 2 3 3 4 2 3" xfId="7136"/>
    <cellStyle name="Normal 2 2 3 3 4 2 3 2" xfId="20786"/>
    <cellStyle name="Normal 2 2 3 3 4 2 4" xfId="10277"/>
    <cellStyle name="Normal 2 2 3 3 4 2 4 2" xfId="23908"/>
    <cellStyle name="Normal 2 2 3 3 4 2 5" xfId="13572"/>
    <cellStyle name="Normal 2 2 3 3 4 2 5 2" xfId="27200"/>
    <cellStyle name="Normal 2 2 3 3 4 2 6" xfId="17503"/>
    <cellStyle name="Normal 2 2 3 3 4 3" xfId="4491"/>
    <cellStyle name="Normal 2 2 3 3 4 3 2" xfId="7921"/>
    <cellStyle name="Normal 2 2 3 3 4 3 2 2" xfId="21569"/>
    <cellStyle name="Normal 2 2 3 3 4 3 3" xfId="10990"/>
    <cellStyle name="Normal 2 2 3 3 4 3 3 2" xfId="24621"/>
    <cellStyle name="Normal 2 2 3 3 4 3 4" xfId="14286"/>
    <cellStyle name="Normal 2 2 3 3 4 3 4 2" xfId="27914"/>
    <cellStyle name="Normal 2 2 3 3 4 3 5" xfId="18286"/>
    <cellStyle name="Normal 2 2 3 3 4 4" xfId="6342"/>
    <cellStyle name="Normal 2 2 3 3 4 4 2" xfId="19992"/>
    <cellStyle name="Normal 2 2 3 3 4 5" xfId="9544"/>
    <cellStyle name="Normal 2 2 3 3 4 5 2" xfId="23186"/>
    <cellStyle name="Normal 2 2 3 3 4 6" xfId="12858"/>
    <cellStyle name="Normal 2 2 3 3 4 6 2" xfId="26486"/>
    <cellStyle name="Normal 2 2 3 3 4 7" xfId="16775"/>
    <cellStyle name="Normal 2 2 3 3 5" xfId="2886"/>
    <cellStyle name="Normal 2 2 3 3 5 2" xfId="4757"/>
    <cellStyle name="Normal 2 2 3 3 5 2 2" xfId="8025"/>
    <cellStyle name="Normal 2 2 3 3 5 2 2 2" xfId="21673"/>
    <cellStyle name="Normal 2 2 3 3 5 2 3" xfId="11094"/>
    <cellStyle name="Normal 2 2 3 3 5 2 3 2" xfId="24725"/>
    <cellStyle name="Normal 2 2 3 3 5 2 4" xfId="14390"/>
    <cellStyle name="Normal 2 2 3 3 5 2 4 2" xfId="28018"/>
    <cellStyle name="Normal 2 2 3 3 5 2 5" xfId="18416"/>
    <cellStyle name="Normal 2 2 3 3 5 3" xfId="6447"/>
    <cellStyle name="Normal 2 2 3 3 5 3 2" xfId="20097"/>
    <cellStyle name="Normal 2 2 3 3 5 4" xfId="9668"/>
    <cellStyle name="Normal 2 2 3 3 5 4 2" xfId="23299"/>
    <cellStyle name="Normal 2 2 3 3 5 5" xfId="12963"/>
    <cellStyle name="Normal 2 2 3 3 5 5 2" xfId="26591"/>
    <cellStyle name="Normal 2 2 3 3 5 6" xfId="16880"/>
    <cellStyle name="Normal 2 2 3 3 6" xfId="3942"/>
    <cellStyle name="Normal 2 2 3 3 6 2" xfId="7372"/>
    <cellStyle name="Normal 2 2 3 3 6 2 2" xfId="21020"/>
    <cellStyle name="Normal 2 2 3 3 6 3" xfId="10510"/>
    <cellStyle name="Normal 2 2 3 3 6 3 2" xfId="24141"/>
    <cellStyle name="Normal 2 2 3 3 6 4" xfId="13806"/>
    <cellStyle name="Normal 2 2 3 3 6 4 2" xfId="27434"/>
    <cellStyle name="Normal 2 2 3 3 6 5" xfId="17737"/>
    <cellStyle name="Normal 2 2 3 3 7" xfId="5535"/>
    <cellStyle name="Normal 2 2 3 3 7 2" xfId="8796"/>
    <cellStyle name="Normal 2 2 3 3 7 2 2" xfId="22439"/>
    <cellStyle name="Normal 2 2 3 3 7 3" xfId="11856"/>
    <cellStyle name="Normal 2 2 3 3 7 3 2" xfId="25487"/>
    <cellStyle name="Normal 2 2 3 3 7 4" xfId="15152"/>
    <cellStyle name="Normal 2 2 3 3 7 4 2" xfId="28780"/>
    <cellStyle name="Normal 2 2 3 3 7 5" xfId="19185"/>
    <cellStyle name="Normal 2 2 3 3 8" xfId="5780"/>
    <cellStyle name="Normal 2 2 3 3 8 2" xfId="19430"/>
    <cellStyle name="Normal 2 2 3 3 9" xfId="8987"/>
    <cellStyle name="Normal 2 2 3 3 9 2" xfId="22630"/>
    <cellStyle name="Normal 2 2 3 4" xfId="2940"/>
    <cellStyle name="Normal 2 2 3 4 2" xfId="4786"/>
    <cellStyle name="Normal 2 2 3 4 2 2" xfId="8054"/>
    <cellStyle name="Normal 2 2 3 4 2 2 2" xfId="21702"/>
    <cellStyle name="Normal 2 2 3 4 2 3" xfId="11123"/>
    <cellStyle name="Normal 2 2 3 4 2 3 2" xfId="24754"/>
    <cellStyle name="Normal 2 2 3 4 2 4" xfId="14419"/>
    <cellStyle name="Normal 2 2 3 4 2 4 2" xfId="28047"/>
    <cellStyle name="Normal 2 2 3 4 2 5" xfId="18445"/>
    <cellStyle name="Normal 2 2 3 4 3" xfId="6476"/>
    <cellStyle name="Normal 2 2 3 4 3 2" xfId="20126"/>
    <cellStyle name="Normal 2 2 3 4 4" xfId="9697"/>
    <cellStyle name="Normal 2 2 3 4 4 2" xfId="23328"/>
    <cellStyle name="Normal 2 2 3 4 5" xfId="12992"/>
    <cellStyle name="Normal 2 2 3 4 5 2" xfId="26620"/>
    <cellStyle name="Normal 2 2 3 4 6" xfId="16910"/>
    <cellStyle name="Normal 2 2 3 5" xfId="15308"/>
    <cellStyle name="Normal 2 2 3 5 2" xfId="28906"/>
    <cellStyle name="Normal 2 2 3 6" xfId="15527"/>
    <cellStyle name="Normal 2 2 3 6 2" xfId="29024"/>
    <cellStyle name="Normal 2 2 3 7" xfId="29663"/>
    <cellStyle name="Normal 2 2 4" xfId="1066"/>
    <cellStyle name="Normal 2 2 5" xfId="1067"/>
    <cellStyle name="Normal 2 2 6" xfId="2007"/>
    <cellStyle name="Normal 2 2 7" xfId="15307"/>
    <cellStyle name="Normal 2 2 7 2" xfId="28905"/>
    <cellStyle name="Normal 2 2 8" xfId="15526"/>
    <cellStyle name="Normal 2 2 8 2" xfId="29023"/>
    <cellStyle name="Normal 2 2 9" xfId="15749"/>
    <cellStyle name="Normal 2 2_Data Check Control" xfId="204"/>
    <cellStyle name="Normal 2 3" xfId="73"/>
    <cellStyle name="Normal 2 3 2" xfId="1068"/>
    <cellStyle name="Normal 2 3 3" xfId="15750"/>
    <cellStyle name="Normal 2 3 4" xfId="15851"/>
    <cellStyle name="Normal 2 4" xfId="310"/>
    <cellStyle name="Normal 2 4 2" xfId="1070"/>
    <cellStyle name="Normal 2 4 3" xfId="1069"/>
    <cellStyle name="Normal 2 5" xfId="311"/>
    <cellStyle name="Normal 2 6" xfId="123"/>
    <cellStyle name="Normal 2 7" xfId="15745"/>
    <cellStyle name="Normal 2 8" xfId="15840"/>
    <cellStyle name="Normal 20" xfId="163"/>
    <cellStyle name="Normal 20 2" xfId="190"/>
    <cellStyle name="Normal 20 3" xfId="225"/>
    <cellStyle name="Normal 20 3 2" xfId="246"/>
    <cellStyle name="Normal 20 4" xfId="265"/>
    <cellStyle name="Normal 20 5" xfId="284"/>
    <cellStyle name="Normal 20 5 2" xfId="2008"/>
    <cellStyle name="Normal 20 5 3" xfId="2009"/>
    <cellStyle name="Normal 20 6" xfId="305"/>
    <cellStyle name="Normal 20 7" xfId="1072"/>
    <cellStyle name="Normal 20 8" xfId="1071"/>
    <cellStyle name="Normal 20_Data Check Control" xfId="217"/>
    <cellStyle name="Normal 200" xfId="4687"/>
    <cellStyle name="Normal 201" xfId="4665"/>
    <cellStyle name="Normal 202" xfId="4684"/>
    <cellStyle name="Normal 203" xfId="4664"/>
    <cellStyle name="Normal 204" xfId="4694"/>
    <cellStyle name="Normal 205" xfId="4675"/>
    <cellStyle name="Normal 206" xfId="4690"/>
    <cellStyle name="Normal 207" xfId="4653"/>
    <cellStyle name="Normal 208" xfId="4659"/>
    <cellStyle name="Normal 209" xfId="4697"/>
    <cellStyle name="Normal 21" xfId="168"/>
    <cellStyle name="Normal 21 2" xfId="192"/>
    <cellStyle name="Normal 21 2 2" xfId="1075"/>
    <cellStyle name="Normal 21 2 3" xfId="1074"/>
    <cellStyle name="Normal 21 3" xfId="227"/>
    <cellStyle name="Normal 21 3 2" xfId="248"/>
    <cellStyle name="Normal 21 3 3" xfId="1077"/>
    <cellStyle name="Normal 21 3 4" xfId="1076"/>
    <cellStyle name="Normal 21 4" xfId="267"/>
    <cellStyle name="Normal 21 5" xfId="286"/>
    <cellStyle name="Normal 21 5 2" xfId="2010"/>
    <cellStyle name="Normal 21 5 3" xfId="2011"/>
    <cellStyle name="Normal 21 6" xfId="304"/>
    <cellStyle name="Normal 21 7" xfId="1078"/>
    <cellStyle name="Normal 21 8" xfId="1073"/>
    <cellStyle name="Normal 21_Data Check Control" xfId="210"/>
    <cellStyle name="Normal 210" xfId="4655"/>
    <cellStyle name="Normal 211" xfId="4644"/>
    <cellStyle name="Normal 212" xfId="4670"/>
    <cellStyle name="Normal 213" xfId="4682"/>
    <cellStyle name="Normal 214" xfId="4637"/>
    <cellStyle name="Normal 215" xfId="4648"/>
    <cellStyle name="Normal 216" xfId="4658"/>
    <cellStyle name="Normal 217" xfId="4660"/>
    <cellStyle name="Normal 218" xfId="4691"/>
    <cellStyle name="Normal 219" xfId="4661"/>
    <cellStyle name="Normal 22" xfId="169"/>
    <cellStyle name="Normal 22 2" xfId="193"/>
    <cellStyle name="Normal 22 2 2" xfId="1081"/>
    <cellStyle name="Normal 22 2 3" xfId="1080"/>
    <cellStyle name="Normal 22 3" xfId="228"/>
    <cellStyle name="Normal 22 3 2" xfId="249"/>
    <cellStyle name="Normal 22 3 3" xfId="1083"/>
    <cellStyle name="Normal 22 3 4" xfId="1082"/>
    <cellStyle name="Normal 22 4" xfId="268"/>
    <cellStyle name="Normal 22 5" xfId="287"/>
    <cellStyle name="Normal 22 5 2" xfId="2013"/>
    <cellStyle name="Normal 22 5 3" xfId="2014"/>
    <cellStyle name="Normal 22 6" xfId="299"/>
    <cellStyle name="Normal 22 7" xfId="1084"/>
    <cellStyle name="Normal 22 8" xfId="1079"/>
    <cellStyle name="Normal 22_Data Check Control" xfId="233"/>
    <cellStyle name="Normal 220" xfId="4692"/>
    <cellStyle name="Normal 221" xfId="4676"/>
    <cellStyle name="Normal 222" xfId="4654"/>
    <cellStyle name="Normal 223" xfId="4689"/>
    <cellStyle name="Normal 224" xfId="4669"/>
    <cellStyle name="Normal 225" xfId="4668"/>
    <cellStyle name="Normal 226" xfId="4673"/>
    <cellStyle name="Normal 227" xfId="4680"/>
    <cellStyle name="Normal 228" xfId="4702"/>
    <cellStyle name="Normal 229" xfId="4711"/>
    <cellStyle name="Normal 23" xfId="170"/>
    <cellStyle name="Normal 23 2" xfId="194"/>
    <cellStyle name="Normal 23 2 2" xfId="1087"/>
    <cellStyle name="Normal 23 2 3" xfId="1086"/>
    <cellStyle name="Normal 23 3" xfId="229"/>
    <cellStyle name="Normal 23 3 2" xfId="250"/>
    <cellStyle name="Normal 23 3 3" xfId="1089"/>
    <cellStyle name="Normal 23 3 4" xfId="1088"/>
    <cellStyle name="Normal 23 4" xfId="269"/>
    <cellStyle name="Normal 23 5" xfId="288"/>
    <cellStyle name="Normal 23 5 2" xfId="2016"/>
    <cellStyle name="Normal 23 5 3" xfId="2017"/>
    <cellStyle name="Normal 23 6" xfId="297"/>
    <cellStyle name="Normal 23 7" xfId="1090"/>
    <cellStyle name="Normal 23 8" xfId="1085"/>
    <cellStyle name="Normal 23_Data Check Control" xfId="211"/>
    <cellStyle name="Normal 230" xfId="4717"/>
    <cellStyle name="Normal 231" xfId="4708"/>
    <cellStyle name="Normal 232" xfId="4714"/>
    <cellStyle name="Normal 233" xfId="4715"/>
    <cellStyle name="Normal 234" xfId="5439"/>
    <cellStyle name="Normal 235" xfId="4704"/>
    <cellStyle name="Normal 236" xfId="4719"/>
    <cellStyle name="Normal 237" xfId="4709"/>
    <cellStyle name="Normal 238" xfId="3772"/>
    <cellStyle name="Normal 238 2" xfId="7208"/>
    <cellStyle name="Normal 238 2 2" xfId="20856"/>
    <cellStyle name="Normal 238 3" xfId="10347"/>
    <cellStyle name="Normal 238 3 2" xfId="23978"/>
    <cellStyle name="Normal 238 4" xfId="13642"/>
    <cellStyle name="Normal 238 4 2" xfId="27270"/>
    <cellStyle name="Normal 238 5" xfId="17573"/>
    <cellStyle name="Normal 239" xfId="3992"/>
    <cellStyle name="Normal 239 2" xfId="7422"/>
    <cellStyle name="Normal 239 2 2" xfId="21070"/>
    <cellStyle name="Normal 239 3" xfId="10560"/>
    <cellStyle name="Normal 239 3 2" xfId="24191"/>
    <cellStyle name="Normal 239 4" xfId="13856"/>
    <cellStyle name="Normal 239 4 2" xfId="27484"/>
    <cellStyle name="Normal 239 5" xfId="17787"/>
    <cellStyle name="Normal 24" xfId="171"/>
    <cellStyle name="Normal 24 2" xfId="195"/>
    <cellStyle name="Normal 24 2 2" xfId="1093"/>
    <cellStyle name="Normal 24 2 3" xfId="1092"/>
    <cellStyle name="Normal 24 3" xfId="230"/>
    <cellStyle name="Normal 24 3 2" xfId="251"/>
    <cellStyle name="Normal 24 4" xfId="270"/>
    <cellStyle name="Normal 24 5" xfId="289"/>
    <cellStyle name="Normal 24 5 2" xfId="2018"/>
    <cellStyle name="Normal 24 5 3" xfId="2019"/>
    <cellStyle name="Normal 24 6" xfId="307"/>
    <cellStyle name="Normal 24 7" xfId="1094"/>
    <cellStyle name="Normal 24 8" xfId="1091"/>
    <cellStyle name="Normal 24_Data Check Control" xfId="205"/>
    <cellStyle name="Normal 240" xfId="3915"/>
    <cellStyle name="Normal 240 2" xfId="7345"/>
    <cellStyle name="Normal 240 2 2" xfId="20993"/>
    <cellStyle name="Normal 240 3" xfId="10483"/>
    <cellStyle name="Normal 240 3 2" xfId="24114"/>
    <cellStyle name="Normal 240 4" xfId="13779"/>
    <cellStyle name="Normal 240 4 2" xfId="27407"/>
    <cellStyle name="Normal 240 5" xfId="17710"/>
    <cellStyle name="Normal 241" xfId="3941"/>
    <cellStyle name="Normal 241 2" xfId="7371"/>
    <cellStyle name="Normal 241 2 2" xfId="21019"/>
    <cellStyle name="Normal 241 3" xfId="10509"/>
    <cellStyle name="Normal 241 3 2" xfId="24140"/>
    <cellStyle name="Normal 241 4" xfId="13805"/>
    <cellStyle name="Normal 241 4 2" xfId="27433"/>
    <cellStyle name="Normal 241 5" xfId="17736"/>
    <cellStyle name="Normal 242" xfId="5448"/>
    <cellStyle name="Normal 242 2" xfId="8709"/>
    <cellStyle name="Normal 242 2 2" xfId="22352"/>
    <cellStyle name="Normal 242 3" xfId="11769"/>
    <cellStyle name="Normal 242 3 2" xfId="25400"/>
    <cellStyle name="Normal 242 4" xfId="15065"/>
    <cellStyle name="Normal 242 4 2" xfId="28693"/>
    <cellStyle name="Normal 242 5" xfId="19098"/>
    <cellStyle name="Normal 243" xfId="5602"/>
    <cellStyle name="Normal 243 2" xfId="8863"/>
    <cellStyle name="Normal 243 2 2" xfId="22506"/>
    <cellStyle name="Normal 243 3" xfId="11923"/>
    <cellStyle name="Normal 243 3 2" xfId="25554"/>
    <cellStyle name="Normal 243 4" xfId="15219"/>
    <cellStyle name="Normal 243 4 2" xfId="28847"/>
    <cellStyle name="Normal 243 5" xfId="19252"/>
    <cellStyle name="Normal 244" xfId="5604"/>
    <cellStyle name="Normal 244 2" xfId="8865"/>
    <cellStyle name="Normal 244 2 2" xfId="22508"/>
    <cellStyle name="Normal 244 3" xfId="11925"/>
    <cellStyle name="Normal 244 3 2" xfId="25556"/>
    <cellStyle name="Normal 244 4" xfId="15221"/>
    <cellStyle name="Normal 244 4 2" xfId="28849"/>
    <cellStyle name="Normal 244 5" xfId="19254"/>
    <cellStyle name="Normal 245" xfId="5605"/>
    <cellStyle name="Normal 245 2" xfId="8866"/>
    <cellStyle name="Normal 245 2 2" xfId="22509"/>
    <cellStyle name="Normal 245 3" xfId="11926"/>
    <cellStyle name="Normal 245 3 2" xfId="25557"/>
    <cellStyle name="Normal 245 4" xfId="15222"/>
    <cellStyle name="Normal 245 4 2" xfId="28850"/>
    <cellStyle name="Normal 245 5" xfId="19255"/>
    <cellStyle name="Normal 246" xfId="5606"/>
    <cellStyle name="Normal 246 2" xfId="8867"/>
    <cellStyle name="Normal 246 2 2" xfId="22510"/>
    <cellStyle name="Normal 246 3" xfId="11927"/>
    <cellStyle name="Normal 246 3 2" xfId="25558"/>
    <cellStyle name="Normal 246 4" xfId="15223"/>
    <cellStyle name="Normal 246 4 2" xfId="28851"/>
    <cellStyle name="Normal 246 5" xfId="19256"/>
    <cellStyle name="Normal 247" xfId="5607"/>
    <cellStyle name="Normal 247 2" xfId="8868"/>
    <cellStyle name="Normal 247 2 2" xfId="22511"/>
    <cellStyle name="Normal 247 3" xfId="11928"/>
    <cellStyle name="Normal 247 3 2" xfId="25559"/>
    <cellStyle name="Normal 247 4" xfId="15224"/>
    <cellStyle name="Normal 247 4 2" xfId="28852"/>
    <cellStyle name="Normal 247 5" xfId="19257"/>
    <cellStyle name="Normal 248" xfId="5608"/>
    <cellStyle name="Normal 248 2" xfId="8869"/>
    <cellStyle name="Normal 248 2 2" xfId="22512"/>
    <cellStyle name="Normal 248 3" xfId="11929"/>
    <cellStyle name="Normal 248 3 2" xfId="25560"/>
    <cellStyle name="Normal 248 4" xfId="15225"/>
    <cellStyle name="Normal 248 4 2" xfId="28853"/>
    <cellStyle name="Normal 248 5" xfId="19258"/>
    <cellStyle name="Normal 249" xfId="5609"/>
    <cellStyle name="Normal 249 2" xfId="8870"/>
    <cellStyle name="Normal 249 2 2" xfId="22513"/>
    <cellStyle name="Normal 249 3" xfId="11930"/>
    <cellStyle name="Normal 249 3 2" xfId="25561"/>
    <cellStyle name="Normal 249 4" xfId="15226"/>
    <cellStyle name="Normal 249 4 2" xfId="28854"/>
    <cellStyle name="Normal 249 5" xfId="19259"/>
    <cellStyle name="Normal 25" xfId="172"/>
    <cellStyle name="Normal 25 2" xfId="196"/>
    <cellStyle name="Normal 25 2 2" xfId="1097"/>
    <cellStyle name="Normal 25 2 3" xfId="1096"/>
    <cellStyle name="Normal 25 3" xfId="231"/>
    <cellStyle name="Normal 25 3 2" xfId="252"/>
    <cellStyle name="Normal 25 4" xfId="271"/>
    <cellStyle name="Normal 25 5" xfId="290"/>
    <cellStyle name="Normal 25 5 2" xfId="2020"/>
    <cellStyle name="Normal 25 5 3" xfId="2021"/>
    <cellStyle name="Normal 25 6" xfId="308"/>
    <cellStyle name="Normal 25 7" xfId="1098"/>
    <cellStyle name="Normal 25 8" xfId="1095"/>
    <cellStyle name="Normal 25_Data Check Control" xfId="206"/>
    <cellStyle name="Normal 250" xfId="5603"/>
    <cellStyle name="Normal 250 2" xfId="8864"/>
    <cellStyle name="Normal 250 2 2" xfId="22507"/>
    <cellStyle name="Normal 250 3" xfId="11924"/>
    <cellStyle name="Normal 250 3 2" xfId="25555"/>
    <cellStyle name="Normal 250 4" xfId="15220"/>
    <cellStyle name="Normal 250 4 2" xfId="28848"/>
    <cellStyle name="Normal 250 5" xfId="19253"/>
    <cellStyle name="Normal 251" xfId="5610"/>
    <cellStyle name="Normal 251 2" xfId="8871"/>
    <cellStyle name="Normal 251 2 2" xfId="22514"/>
    <cellStyle name="Normal 251 3" xfId="11931"/>
    <cellStyle name="Normal 251 3 2" xfId="25562"/>
    <cellStyle name="Normal 251 4" xfId="15227"/>
    <cellStyle name="Normal 251 4 2" xfId="28855"/>
    <cellStyle name="Normal 251 5" xfId="19260"/>
    <cellStyle name="Normal 252" xfId="5611"/>
    <cellStyle name="Normal 252 2" xfId="8872"/>
    <cellStyle name="Normal 252 2 2" xfId="22515"/>
    <cellStyle name="Normal 252 3" xfId="11932"/>
    <cellStyle name="Normal 252 3 2" xfId="25563"/>
    <cellStyle name="Normal 252 4" xfId="15228"/>
    <cellStyle name="Normal 252 4 2" xfId="28856"/>
    <cellStyle name="Normal 252 5" xfId="19261"/>
    <cellStyle name="Normal 253" xfId="5612"/>
    <cellStyle name="Normal 253 2" xfId="8873"/>
    <cellStyle name="Normal 253 2 2" xfId="22516"/>
    <cellStyle name="Normal 253 3" xfId="11933"/>
    <cellStyle name="Normal 253 3 2" xfId="25564"/>
    <cellStyle name="Normal 253 4" xfId="15229"/>
    <cellStyle name="Normal 253 4 2" xfId="28857"/>
    <cellStyle name="Normal 253 5" xfId="19262"/>
    <cellStyle name="Normal 254" xfId="5613"/>
    <cellStyle name="Normal 254 2" xfId="8874"/>
    <cellStyle name="Normal 254 2 2" xfId="22517"/>
    <cellStyle name="Normal 254 3" xfId="11934"/>
    <cellStyle name="Normal 254 3 2" xfId="25565"/>
    <cellStyle name="Normal 254 4" xfId="15230"/>
    <cellStyle name="Normal 254 4 2" xfId="28858"/>
    <cellStyle name="Normal 254 5" xfId="19263"/>
    <cellStyle name="Normal 255" xfId="5614"/>
    <cellStyle name="Normal 255 2" xfId="8875"/>
    <cellStyle name="Normal 255 2 2" xfId="22518"/>
    <cellStyle name="Normal 255 3" xfId="11935"/>
    <cellStyle name="Normal 255 3 2" xfId="25566"/>
    <cellStyle name="Normal 255 4" xfId="15231"/>
    <cellStyle name="Normal 255 4 2" xfId="28859"/>
    <cellStyle name="Normal 255 5" xfId="19264"/>
    <cellStyle name="Normal 256" xfId="5615"/>
    <cellStyle name="Normal 256 2" xfId="8876"/>
    <cellStyle name="Normal 256 2 2" xfId="22519"/>
    <cellStyle name="Normal 256 3" xfId="11936"/>
    <cellStyle name="Normal 256 3 2" xfId="25567"/>
    <cellStyle name="Normal 256 4" xfId="15232"/>
    <cellStyle name="Normal 256 4 2" xfId="28860"/>
    <cellStyle name="Normal 256 5" xfId="19265"/>
    <cellStyle name="Normal 257" xfId="7206"/>
    <cellStyle name="Normal 258" xfId="5616"/>
    <cellStyle name="Normal 258 2" xfId="19266"/>
    <cellStyle name="Normal 259" xfId="8877"/>
    <cellStyle name="Normal 259 2" xfId="22520"/>
    <cellStyle name="Normal 26" xfId="162"/>
    <cellStyle name="Normal 26 2" xfId="189"/>
    <cellStyle name="Normal 26 2 2" xfId="1101"/>
    <cellStyle name="Normal 26 2 3" xfId="1100"/>
    <cellStyle name="Normal 26 3" xfId="224"/>
    <cellStyle name="Normal 26 3 2" xfId="245"/>
    <cellStyle name="Normal 26 4" xfId="264"/>
    <cellStyle name="Normal 26 5" xfId="283"/>
    <cellStyle name="Normal 26 5 2" xfId="2022"/>
    <cellStyle name="Normal 26 5 3" xfId="2023"/>
    <cellStyle name="Normal 26 6" xfId="300"/>
    <cellStyle name="Normal 26 7" xfId="1102"/>
    <cellStyle name="Normal 26 8" xfId="1099"/>
    <cellStyle name="Normal 26_Data Check Control" xfId="207"/>
    <cellStyle name="Normal 260" xfId="8879"/>
    <cellStyle name="Normal 260 2" xfId="22522"/>
    <cellStyle name="Normal 261" xfId="8884"/>
    <cellStyle name="Normal 261 2" xfId="22527"/>
    <cellStyle name="Normal 262" xfId="8886"/>
    <cellStyle name="Normal 262 2" xfId="22529"/>
    <cellStyle name="Normal 263" xfId="8885"/>
    <cellStyle name="Normal 263 2" xfId="22528"/>
    <cellStyle name="Normal 264" xfId="8883"/>
    <cellStyle name="Normal 264 2" xfId="22526"/>
    <cellStyle name="Normal 265" xfId="8878"/>
    <cellStyle name="Normal 265 2" xfId="22521"/>
    <cellStyle name="Normal 266" xfId="8888"/>
    <cellStyle name="Normal 266 2" xfId="22531"/>
    <cellStyle name="Normal 267" xfId="8890"/>
    <cellStyle name="Normal 267 2" xfId="22533"/>
    <cellStyle name="Normal 268" xfId="8897"/>
    <cellStyle name="Normal 268 2" xfId="22540"/>
    <cellStyle name="Normal 269" xfId="9127"/>
    <cellStyle name="Normal 269 2" xfId="22769"/>
    <cellStyle name="Normal 27" xfId="167"/>
    <cellStyle name="Normal 27 2" xfId="1104"/>
    <cellStyle name="Normal 27 3" xfId="1105"/>
    <cellStyle name="Normal 27 4" xfId="1103"/>
    <cellStyle name="Normal 270" xfId="8898"/>
    <cellStyle name="Normal 270 2" xfId="22541"/>
    <cellStyle name="Normal 271" xfId="11937"/>
    <cellStyle name="Normal 271 2" xfId="25568"/>
    <cellStyle name="Normal 272" xfId="12057"/>
    <cellStyle name="Normal 272 2" xfId="25685"/>
    <cellStyle name="Normal 273" xfId="12200"/>
    <cellStyle name="Normal 273 2" xfId="25828"/>
    <cellStyle name="Normal 274" xfId="12201"/>
    <cellStyle name="Normal 274 2" xfId="25829"/>
    <cellStyle name="Normal 275" xfId="12202"/>
    <cellStyle name="Normal 275 2" xfId="25830"/>
    <cellStyle name="Normal 276" xfId="12203"/>
    <cellStyle name="Normal 276 2" xfId="25831"/>
    <cellStyle name="Normal 277" xfId="12218"/>
    <cellStyle name="Normal 277 2" xfId="25846"/>
    <cellStyle name="Normal 278" xfId="12219"/>
    <cellStyle name="Normal 278 2" xfId="25847"/>
    <cellStyle name="Normal 279" xfId="15233"/>
    <cellStyle name="Normal 279 2" xfId="28861"/>
    <cellStyle name="Normal 28" xfId="173"/>
    <cellStyle name="Normal 28 2" xfId="1107"/>
    <cellStyle name="Normal 28 3" xfId="1108"/>
    <cellStyle name="Normal 28 3 2" xfId="2024"/>
    <cellStyle name="Normal 28 4" xfId="1106"/>
    <cellStyle name="Normal 28 4 2" xfId="2025"/>
    <cellStyle name="Normal 280" xfId="15428"/>
    <cellStyle name="Normal 280 2" xfId="28958"/>
    <cellStyle name="Normal 281" xfId="9624"/>
    <cellStyle name="Normal 281 2" xfId="23258"/>
    <cellStyle name="Normal 282" xfId="15655"/>
    <cellStyle name="Normal 283" xfId="15656"/>
    <cellStyle name="Normal 283 2" xfId="29077"/>
    <cellStyle name="Normal 284" xfId="15665"/>
    <cellStyle name="Normal 284 2" xfId="29086"/>
    <cellStyle name="Normal 285" xfId="15679"/>
    <cellStyle name="Normal 285 2" xfId="29100"/>
    <cellStyle name="Normal 286" xfId="15663"/>
    <cellStyle name="Normal 286 2" xfId="29084"/>
    <cellStyle name="Normal 287" xfId="15658"/>
    <cellStyle name="Normal 287 2" xfId="29079"/>
    <cellStyle name="Normal 288" xfId="15676"/>
    <cellStyle name="Normal 288 2" xfId="29097"/>
    <cellStyle name="Normal 289" xfId="15667"/>
    <cellStyle name="Normal 289 2" xfId="29088"/>
    <cellStyle name="Normal 29" xfId="323"/>
    <cellStyle name="Normal 29 2" xfId="465"/>
    <cellStyle name="Normal 29 3" xfId="3121"/>
    <cellStyle name="Normal 29 3 2" xfId="4916"/>
    <cellStyle name="Normal 29 3 2 2" xfId="8182"/>
    <cellStyle name="Normal 29 3 2 2 2" xfId="21830"/>
    <cellStyle name="Normal 29 3 2 3" xfId="11249"/>
    <cellStyle name="Normal 29 3 2 3 2" xfId="24880"/>
    <cellStyle name="Normal 29 3 2 4" xfId="14545"/>
    <cellStyle name="Normal 29 3 2 4 2" xfId="28173"/>
    <cellStyle name="Normal 29 3 2 5" xfId="18574"/>
    <cellStyle name="Normal 29 3 3" xfId="6603"/>
    <cellStyle name="Normal 29 3 3 2" xfId="20253"/>
    <cellStyle name="Normal 29 3 4" xfId="9824"/>
    <cellStyle name="Normal 29 3 4 2" xfId="23455"/>
    <cellStyle name="Normal 29 3 5" xfId="13119"/>
    <cellStyle name="Normal 29 3 5 2" xfId="26747"/>
    <cellStyle name="Normal 29 3 6" xfId="17039"/>
    <cellStyle name="Normal 29 4" xfId="3811"/>
    <cellStyle name="Normal 29 4 2" xfId="7243"/>
    <cellStyle name="Normal 29 4 2 2" xfId="20891"/>
    <cellStyle name="Normal 29 4 3" xfId="10381"/>
    <cellStyle name="Normal 29 4 3 2" xfId="24012"/>
    <cellStyle name="Normal 29 4 4" xfId="13677"/>
    <cellStyle name="Normal 29 4 4 2" xfId="27305"/>
    <cellStyle name="Normal 29 4 5" xfId="17608"/>
    <cellStyle name="Normal 29 5" xfId="5651"/>
    <cellStyle name="Normal 29 5 2" xfId="19301"/>
    <cellStyle name="Normal 29 6" xfId="9114"/>
    <cellStyle name="Normal 29 6 2" xfId="22757"/>
    <cellStyle name="Normal 29 7" xfId="12254"/>
    <cellStyle name="Normal 29 7 2" xfId="25882"/>
    <cellStyle name="Normal 29 8" xfId="15882"/>
    <cellStyle name="Normal 290" xfId="15662"/>
    <cellStyle name="Normal 290 2" xfId="29083"/>
    <cellStyle name="Normal 291" xfId="15687"/>
    <cellStyle name="Normal 291 2" xfId="29108"/>
    <cellStyle name="Normal 292" xfId="15701"/>
    <cellStyle name="Normal 292 2" xfId="29122"/>
    <cellStyle name="Normal 293" xfId="15702"/>
    <cellStyle name="Normal 293 2" xfId="29123"/>
    <cellStyle name="Normal 294" xfId="15703"/>
    <cellStyle name="Normal 295" xfId="15792"/>
    <cellStyle name="Normal 296" xfId="15824"/>
    <cellStyle name="Normal 297" xfId="15825"/>
    <cellStyle name="Normal 298" xfId="15752"/>
    <cellStyle name="Normal 299" xfId="15834"/>
    <cellStyle name="Normal 3" xfId="3"/>
    <cellStyle name="Normal 3 10" xfId="1110"/>
    <cellStyle name="Normal 3 10 2" xfId="2954"/>
    <cellStyle name="Normal 3 10 2 2" xfId="9617"/>
    <cellStyle name="Normal 3 10 2 2 2" xfId="23256"/>
    <cellStyle name="Normal 3 11" xfId="1111"/>
    <cellStyle name="Normal 3 11 2" xfId="2955"/>
    <cellStyle name="Normal 3 12" xfId="1112"/>
    <cellStyle name="Normal 3 12 2" xfId="2956"/>
    <cellStyle name="Normal 3 13" xfId="1109"/>
    <cellStyle name="Normal 3 13 2" xfId="2027"/>
    <cellStyle name="Normal 3 13 2 2" xfId="15529"/>
    <cellStyle name="Normal 3 13 2 2 2" xfId="29026"/>
    <cellStyle name="Normal 3 13 3" xfId="2026"/>
    <cellStyle name="Normal 3 13 4" xfId="15309"/>
    <cellStyle name="Normal 3 13 4 2" xfId="28907"/>
    <cellStyle name="Normal 3 14" xfId="2129"/>
    <cellStyle name="Normal 3 14 2" xfId="3242"/>
    <cellStyle name="Normal 3 14 2 2" xfId="4989"/>
    <cellStyle name="Normal 3 14 2 2 2" xfId="8253"/>
    <cellStyle name="Normal 3 14 2 2 2 2" xfId="21901"/>
    <cellStyle name="Normal 3 14 2 2 3" xfId="11320"/>
    <cellStyle name="Normal 3 14 2 2 3 2" xfId="24951"/>
    <cellStyle name="Normal 3 14 2 2 4" xfId="14616"/>
    <cellStyle name="Normal 3 14 2 2 4 2" xfId="28244"/>
    <cellStyle name="Normal 3 14 2 2 5" xfId="18647"/>
    <cellStyle name="Normal 3 14 2 3" xfId="6676"/>
    <cellStyle name="Normal 3 14 2 3 2" xfId="20326"/>
    <cellStyle name="Normal 3 14 2 4" xfId="9897"/>
    <cellStyle name="Normal 3 14 2 4 2" xfId="23528"/>
    <cellStyle name="Normal 3 14 2 5" xfId="13192"/>
    <cellStyle name="Normal 3 14 2 5 2" xfId="26820"/>
    <cellStyle name="Normal 3 14 2 6" xfId="17122"/>
    <cellStyle name="Normal 3 14 3" xfId="4043"/>
    <cellStyle name="Normal 3 14 3 2" xfId="7473"/>
    <cellStyle name="Normal 3 14 3 2 2" xfId="21121"/>
    <cellStyle name="Normal 3 14 3 3" xfId="10611"/>
    <cellStyle name="Normal 3 14 3 3 2" xfId="24242"/>
    <cellStyle name="Normal 3 14 3 4" xfId="13907"/>
    <cellStyle name="Normal 3 14 3 4 2" xfId="27535"/>
    <cellStyle name="Normal 3 14 3 5" xfId="17838"/>
    <cellStyle name="Normal 3 14 4" xfId="5879"/>
    <cellStyle name="Normal 3 14 4 2" xfId="19529"/>
    <cellStyle name="Normal 3 14 5" xfId="9165"/>
    <cellStyle name="Normal 3 14 5 2" xfId="22807"/>
    <cellStyle name="Normal 3 14 6" xfId="12479"/>
    <cellStyle name="Normal 3 14 6 2" xfId="26107"/>
    <cellStyle name="Normal 3 14 7" xfId="16324"/>
    <cellStyle name="Normal 3 15" xfId="2440"/>
    <cellStyle name="Normal 3 15 2" xfId="3546"/>
    <cellStyle name="Normal 3 15 2 2" xfId="5213"/>
    <cellStyle name="Normal 3 15 2 2 2" xfId="8477"/>
    <cellStyle name="Normal 3 15 2 2 2 2" xfId="22125"/>
    <cellStyle name="Normal 3 15 2 2 3" xfId="11544"/>
    <cellStyle name="Normal 3 15 2 2 3 2" xfId="25175"/>
    <cellStyle name="Normal 3 15 2 2 4" xfId="14840"/>
    <cellStyle name="Normal 3 15 2 2 4 2" xfId="28468"/>
    <cellStyle name="Normal 3 15 2 2 5" xfId="18871"/>
    <cellStyle name="Normal 3 15 2 3" xfId="6980"/>
    <cellStyle name="Normal 3 15 2 3 2" xfId="20630"/>
    <cellStyle name="Normal 3 15 2 4" xfId="10121"/>
    <cellStyle name="Normal 3 15 2 4 2" xfId="23752"/>
    <cellStyle name="Normal 3 15 2 5" xfId="13416"/>
    <cellStyle name="Normal 3 15 2 5 2" xfId="27044"/>
    <cellStyle name="Normal 3 15 2 6" xfId="17347"/>
    <cellStyle name="Normal 3 15 3" xfId="4267"/>
    <cellStyle name="Normal 3 15 3 2" xfId="7697"/>
    <cellStyle name="Normal 3 15 3 2 2" xfId="21345"/>
    <cellStyle name="Normal 3 15 3 3" xfId="10835"/>
    <cellStyle name="Normal 3 15 3 3 2" xfId="24466"/>
    <cellStyle name="Normal 3 15 3 4" xfId="14131"/>
    <cellStyle name="Normal 3 15 3 4 2" xfId="27759"/>
    <cellStyle name="Normal 3 15 3 5" xfId="18062"/>
    <cellStyle name="Normal 3 15 4" xfId="6103"/>
    <cellStyle name="Normal 3 15 4 2" xfId="19753"/>
    <cellStyle name="Normal 3 15 5" xfId="9389"/>
    <cellStyle name="Normal 3 15 5 2" xfId="23031"/>
    <cellStyle name="Normal 3 15 6" xfId="12703"/>
    <cellStyle name="Normal 3 15 6 2" xfId="26331"/>
    <cellStyle name="Normal 3 15 7" xfId="16551"/>
    <cellStyle name="Normal 3 16" xfId="2749"/>
    <cellStyle name="Normal 3 16 2" xfId="3703"/>
    <cellStyle name="Normal 3 16 2 2" xfId="5370"/>
    <cellStyle name="Normal 3 16 2 2 2" xfId="8633"/>
    <cellStyle name="Normal 3 16 2 2 2 2" xfId="22281"/>
    <cellStyle name="Normal 3 16 2 2 3" xfId="11700"/>
    <cellStyle name="Normal 3 16 2 2 3 2" xfId="25331"/>
    <cellStyle name="Normal 3 16 2 2 4" xfId="14996"/>
    <cellStyle name="Normal 3 16 2 2 4 2" xfId="28624"/>
    <cellStyle name="Normal 3 16 2 2 5" xfId="19028"/>
    <cellStyle name="Normal 3 16 2 3" xfId="7137"/>
    <cellStyle name="Normal 3 16 2 3 2" xfId="20787"/>
    <cellStyle name="Normal 3 16 2 4" xfId="10278"/>
    <cellStyle name="Normal 3 16 2 4 2" xfId="23909"/>
    <cellStyle name="Normal 3 16 2 5" xfId="13573"/>
    <cellStyle name="Normal 3 16 2 5 2" xfId="27201"/>
    <cellStyle name="Normal 3 16 2 6" xfId="17504"/>
    <cellStyle name="Normal 3 16 3" xfId="4492"/>
    <cellStyle name="Normal 3 16 3 2" xfId="7922"/>
    <cellStyle name="Normal 3 16 3 2 2" xfId="21570"/>
    <cellStyle name="Normal 3 16 3 3" xfId="10991"/>
    <cellStyle name="Normal 3 16 3 3 2" xfId="24622"/>
    <cellStyle name="Normal 3 16 3 4" xfId="14287"/>
    <cellStyle name="Normal 3 16 3 4 2" xfId="27915"/>
    <cellStyle name="Normal 3 16 3 5" xfId="18287"/>
    <cellStyle name="Normal 3 16 4" xfId="6343"/>
    <cellStyle name="Normal 3 16 4 2" xfId="19993"/>
    <cellStyle name="Normal 3 16 5" xfId="9545"/>
    <cellStyle name="Normal 3 16 5 2" xfId="23187"/>
    <cellStyle name="Normal 3 16 6" xfId="12859"/>
    <cellStyle name="Normal 3 16 6 2" xfId="26487"/>
    <cellStyle name="Normal 3 16 7" xfId="16776"/>
    <cellStyle name="Normal 3 17" xfId="3790"/>
    <cellStyle name="Normal 3 17 2" xfId="7222"/>
    <cellStyle name="Normal 3 17 2 2" xfId="20870"/>
    <cellStyle name="Normal 3 17 3" xfId="9125"/>
    <cellStyle name="Normal 3 17 3 2" xfId="22767"/>
    <cellStyle name="Normal 3 17 4" xfId="13656"/>
    <cellStyle name="Normal 3 17 4 2" xfId="27284"/>
    <cellStyle name="Normal 3 17 5" xfId="17587"/>
    <cellStyle name="Normal 3 18" xfId="5536"/>
    <cellStyle name="Normal 3 18 2" xfId="8797"/>
    <cellStyle name="Normal 3 18 2 2" xfId="22440"/>
    <cellStyle name="Normal 3 18 3" xfId="9628"/>
    <cellStyle name="Normal 3 18 4" xfId="11857"/>
    <cellStyle name="Normal 3 18 4 2" xfId="25488"/>
    <cellStyle name="Normal 3 18 5" xfId="15153"/>
    <cellStyle name="Normal 3 18 5 2" xfId="28781"/>
    <cellStyle name="Normal 3 18 6" xfId="19186"/>
    <cellStyle name="Normal 3 19" xfId="5630"/>
    <cellStyle name="Normal 3 19 2" xfId="19280"/>
    <cellStyle name="Normal 3 2" xfId="148"/>
    <cellStyle name="Normal 3 2 10" xfId="3796"/>
    <cellStyle name="Normal 3 2 10 2" xfId="7228"/>
    <cellStyle name="Normal 3 2 10 2 2" xfId="20876"/>
    <cellStyle name="Normal 3 2 10 3" xfId="10366"/>
    <cellStyle name="Normal 3 2 10 3 2" xfId="23997"/>
    <cellStyle name="Normal 3 2 10 4" xfId="13662"/>
    <cellStyle name="Normal 3 2 10 4 2" xfId="27290"/>
    <cellStyle name="Normal 3 2 10 5" xfId="17593"/>
    <cellStyle name="Normal 3 2 11" xfId="5537"/>
    <cellStyle name="Normal 3 2 11 2" xfId="8798"/>
    <cellStyle name="Normal 3 2 11 2 2" xfId="22441"/>
    <cellStyle name="Normal 3 2 11 3" xfId="11858"/>
    <cellStyle name="Normal 3 2 11 3 2" xfId="25489"/>
    <cellStyle name="Normal 3 2 11 4" xfId="15154"/>
    <cellStyle name="Normal 3 2 11 4 2" xfId="28782"/>
    <cellStyle name="Normal 3 2 11 5" xfId="19187"/>
    <cellStyle name="Normal 3 2 12" xfId="5636"/>
    <cellStyle name="Normal 3 2 12 2" xfId="19286"/>
    <cellStyle name="Normal 3 2 13" xfId="8989"/>
    <cellStyle name="Normal 3 2 13 2" xfId="22632"/>
    <cellStyle name="Normal 3 2 14" xfId="11947"/>
    <cellStyle name="Normal 3 2 14 2" xfId="25578"/>
    <cellStyle name="Normal 3 2 15" xfId="12141"/>
    <cellStyle name="Normal 3 2 15 2" xfId="25769"/>
    <cellStyle name="Normal 3 2 16" xfId="12239"/>
    <cellStyle name="Normal 3 2 16 2" xfId="25867"/>
    <cellStyle name="Normal 3 2 17" xfId="15856"/>
    <cellStyle name="Normal 3 2 2" xfId="348"/>
    <cellStyle name="Normal 3 2 2 2" xfId="1114"/>
    <cellStyle name="Normal 3 2 2 3" xfId="3106"/>
    <cellStyle name="Normal 3 2 2 3 2" xfId="4901"/>
    <cellStyle name="Normal 3 2 2 3 2 2" xfId="8167"/>
    <cellStyle name="Normal 3 2 2 3 2 2 2" xfId="21815"/>
    <cellStyle name="Normal 3 2 2 3 2 3" xfId="11234"/>
    <cellStyle name="Normal 3 2 2 3 2 3 2" xfId="24865"/>
    <cellStyle name="Normal 3 2 2 3 2 4" xfId="14530"/>
    <cellStyle name="Normal 3 2 2 3 2 4 2" xfId="28158"/>
    <cellStyle name="Normal 3 2 2 3 2 5" xfId="18559"/>
    <cellStyle name="Normal 3 2 2 3 3" xfId="6588"/>
    <cellStyle name="Normal 3 2 2 3 3 2" xfId="20238"/>
    <cellStyle name="Normal 3 2 2 3 4" xfId="9809"/>
    <cellStyle name="Normal 3 2 2 3 4 2" xfId="23440"/>
    <cellStyle name="Normal 3 2 2 3 5" xfId="13104"/>
    <cellStyle name="Normal 3 2 2 3 5 2" xfId="26732"/>
    <cellStyle name="Normal 3 2 2 3 6" xfId="17024"/>
    <cellStyle name="Normal 3 2 2 4" xfId="3828"/>
    <cellStyle name="Normal 3 2 2 4 2" xfId="7260"/>
    <cellStyle name="Normal 3 2 2 4 2 2" xfId="20908"/>
    <cellStyle name="Normal 3 2 2 4 3" xfId="10398"/>
    <cellStyle name="Normal 3 2 2 4 3 2" xfId="24029"/>
    <cellStyle name="Normal 3 2 2 4 4" xfId="13694"/>
    <cellStyle name="Normal 3 2 2 4 4 2" xfId="27322"/>
    <cellStyle name="Normal 3 2 2 4 5" xfId="17625"/>
    <cellStyle name="Normal 3 2 2 5" xfId="5668"/>
    <cellStyle name="Normal 3 2 2 5 2" xfId="19318"/>
    <cellStyle name="Normal 3 2 2 6" xfId="9104"/>
    <cellStyle name="Normal 3 2 2 6 2" xfId="22747"/>
    <cellStyle name="Normal 3 2 2 7" xfId="12271"/>
    <cellStyle name="Normal 3 2 2 7 2" xfId="25899"/>
    <cellStyle name="Normal 3 2 2 8" xfId="15899"/>
    <cellStyle name="Normal 3 2 3" xfId="321"/>
    <cellStyle name="Normal 3 2 3 2" xfId="1115"/>
    <cellStyle name="Normal 3 2 3 3" xfId="3123"/>
    <cellStyle name="Normal 3 2 3 3 2" xfId="4918"/>
    <cellStyle name="Normal 3 2 3 3 2 2" xfId="8184"/>
    <cellStyle name="Normal 3 2 3 3 2 2 2" xfId="21832"/>
    <cellStyle name="Normal 3 2 3 3 2 3" xfId="11251"/>
    <cellStyle name="Normal 3 2 3 3 2 3 2" xfId="24882"/>
    <cellStyle name="Normal 3 2 3 3 2 4" xfId="14547"/>
    <cellStyle name="Normal 3 2 3 3 2 4 2" xfId="28175"/>
    <cellStyle name="Normal 3 2 3 3 2 5" xfId="18576"/>
    <cellStyle name="Normal 3 2 3 3 3" xfId="6605"/>
    <cellStyle name="Normal 3 2 3 3 3 2" xfId="20255"/>
    <cellStyle name="Normal 3 2 3 3 4" xfId="9826"/>
    <cellStyle name="Normal 3 2 3 3 4 2" xfId="23457"/>
    <cellStyle name="Normal 3 2 3 3 5" xfId="13121"/>
    <cellStyle name="Normal 3 2 3 3 5 2" xfId="26749"/>
    <cellStyle name="Normal 3 2 3 3 6" xfId="17041"/>
    <cellStyle name="Normal 3 2 3 4" xfId="3809"/>
    <cellStyle name="Normal 3 2 3 4 2" xfId="7241"/>
    <cellStyle name="Normal 3 2 3 4 2 2" xfId="20889"/>
    <cellStyle name="Normal 3 2 3 4 3" xfId="10379"/>
    <cellStyle name="Normal 3 2 3 4 3 2" xfId="24010"/>
    <cellStyle name="Normal 3 2 3 4 4" xfId="13675"/>
    <cellStyle name="Normal 3 2 3 4 4 2" xfId="27303"/>
    <cellStyle name="Normal 3 2 3 4 5" xfId="17606"/>
    <cellStyle name="Normal 3 2 3 5" xfId="5649"/>
    <cellStyle name="Normal 3 2 3 5 2" xfId="19299"/>
    <cellStyle name="Normal 3 2 3 6" xfId="9116"/>
    <cellStyle name="Normal 3 2 3 6 2" xfId="22759"/>
    <cellStyle name="Normal 3 2 3 7" xfId="12252"/>
    <cellStyle name="Normal 3 2 3 7 2" xfId="25880"/>
    <cellStyle name="Normal 3 2 3 8" xfId="15880"/>
    <cellStyle name="Normal 3 2 4" xfId="415"/>
    <cellStyle name="Normal 3 2 4 10" xfId="8990"/>
    <cellStyle name="Normal 3 2 4 10 2" xfId="22633"/>
    <cellStyle name="Normal 3 2 4 11" xfId="11980"/>
    <cellStyle name="Normal 3 2 4 11 2" xfId="25611"/>
    <cellStyle name="Normal 3 2 4 12" xfId="12142"/>
    <cellStyle name="Normal 3 2 4 12 2" xfId="25770"/>
    <cellStyle name="Normal 3 2 4 13" xfId="12282"/>
    <cellStyle name="Normal 3 2 4 13 2" xfId="25910"/>
    <cellStyle name="Normal 3 2 4 14" xfId="15310"/>
    <cellStyle name="Normal 3 2 4 14 2" xfId="28908"/>
    <cellStyle name="Normal 3 2 4 15" xfId="15530"/>
    <cellStyle name="Normal 3 2 4 15 2" xfId="29027"/>
    <cellStyle name="Normal 3 2 4 16" xfId="15918"/>
    <cellStyle name="Normal 3 2 4 17" xfId="29664"/>
    <cellStyle name="Normal 3 2 4 2" xfId="1116"/>
    <cellStyle name="Normal 3 2 4 2 2" xfId="2869"/>
    <cellStyle name="Normal 3 2 4 2 2 2" xfId="4756"/>
    <cellStyle name="Normal 3 2 4 2 2 2 2" xfId="8024"/>
    <cellStyle name="Normal 3 2 4 2 2 2 2 2" xfId="21672"/>
    <cellStyle name="Normal 3 2 4 2 2 2 3" xfId="11093"/>
    <cellStyle name="Normal 3 2 4 2 2 2 3 2" xfId="24724"/>
    <cellStyle name="Normal 3 2 4 2 2 2 4" xfId="14389"/>
    <cellStyle name="Normal 3 2 4 2 2 2 4 2" xfId="28017"/>
    <cellStyle name="Normal 3 2 4 2 2 2 5" xfId="18415"/>
    <cellStyle name="Normal 3 2 4 2 2 3" xfId="6446"/>
    <cellStyle name="Normal 3 2 4 2 2 3 2" xfId="20096"/>
    <cellStyle name="Normal 3 2 4 2 2 4" xfId="9667"/>
    <cellStyle name="Normal 3 2 4 2 2 4 2" xfId="23298"/>
    <cellStyle name="Normal 3 2 4 2 2 5" xfId="12962"/>
    <cellStyle name="Normal 3 2 4 2 2 5 2" xfId="26590"/>
    <cellStyle name="Normal 3 2 4 2 2 6" xfId="16878"/>
    <cellStyle name="Normal 3 2 4 2 3" xfId="3943"/>
    <cellStyle name="Normal 3 2 4 2 3 2" xfId="7373"/>
    <cellStyle name="Normal 3 2 4 2 3 2 2" xfId="21021"/>
    <cellStyle name="Normal 3 2 4 2 3 3" xfId="10511"/>
    <cellStyle name="Normal 3 2 4 2 3 3 2" xfId="24142"/>
    <cellStyle name="Normal 3 2 4 2 3 4" xfId="13807"/>
    <cellStyle name="Normal 3 2 4 2 3 4 2" xfId="27435"/>
    <cellStyle name="Normal 3 2 4 2 3 5" xfId="17738"/>
    <cellStyle name="Normal 3 2 4 2 4" xfId="5781"/>
    <cellStyle name="Normal 3 2 4 2 4 2" xfId="19431"/>
    <cellStyle name="Normal 3 2 4 2 5" xfId="8959"/>
    <cellStyle name="Normal 3 2 4 2 5 2" xfId="22602"/>
    <cellStyle name="Normal 3 2 4 2 6" xfId="12381"/>
    <cellStyle name="Normal 3 2 4 2 6 2" xfId="26009"/>
    <cellStyle name="Normal 3 2 4 2 7" xfId="16129"/>
    <cellStyle name="Normal 3 2 4 3" xfId="2171"/>
    <cellStyle name="Normal 3 2 4 3 2" xfId="3284"/>
    <cellStyle name="Normal 3 2 4 3 2 2" xfId="5030"/>
    <cellStyle name="Normal 3 2 4 3 2 2 2" xfId="8294"/>
    <cellStyle name="Normal 3 2 4 3 2 2 2 2" xfId="21942"/>
    <cellStyle name="Normal 3 2 4 3 2 2 3" xfId="11361"/>
    <cellStyle name="Normal 3 2 4 3 2 2 3 2" xfId="24992"/>
    <cellStyle name="Normal 3 2 4 3 2 2 4" xfId="14657"/>
    <cellStyle name="Normal 3 2 4 3 2 2 4 2" xfId="28285"/>
    <cellStyle name="Normal 3 2 4 3 2 2 5" xfId="18688"/>
    <cellStyle name="Normal 3 2 4 3 2 3" xfId="6718"/>
    <cellStyle name="Normal 3 2 4 3 2 3 2" xfId="20368"/>
    <cellStyle name="Normal 3 2 4 3 2 4" xfId="9938"/>
    <cellStyle name="Normal 3 2 4 3 2 4 2" xfId="23569"/>
    <cellStyle name="Normal 3 2 4 3 2 5" xfId="13233"/>
    <cellStyle name="Normal 3 2 4 3 2 5 2" xfId="26861"/>
    <cellStyle name="Normal 3 2 4 3 2 6" xfId="17163"/>
    <cellStyle name="Normal 3 2 4 3 3" xfId="4084"/>
    <cellStyle name="Normal 3 2 4 3 3 2" xfId="7514"/>
    <cellStyle name="Normal 3 2 4 3 3 2 2" xfId="21162"/>
    <cellStyle name="Normal 3 2 4 3 3 3" xfId="10652"/>
    <cellStyle name="Normal 3 2 4 3 3 3 2" xfId="24283"/>
    <cellStyle name="Normal 3 2 4 3 3 4" xfId="13948"/>
    <cellStyle name="Normal 3 2 4 3 3 4 2" xfId="27576"/>
    <cellStyle name="Normal 3 2 4 3 3 5" xfId="17879"/>
    <cellStyle name="Normal 3 2 4 3 4" xfId="5920"/>
    <cellStyle name="Normal 3 2 4 3 4 2" xfId="19570"/>
    <cellStyle name="Normal 3 2 4 3 5" xfId="9206"/>
    <cellStyle name="Normal 3 2 4 3 5 2" xfId="22848"/>
    <cellStyle name="Normal 3 2 4 3 6" xfId="12520"/>
    <cellStyle name="Normal 3 2 4 3 6 2" xfId="26148"/>
    <cellStyle name="Normal 3 2 4 3 7" xfId="16365"/>
    <cellStyle name="Normal 3 2 4 4" xfId="2442"/>
    <cellStyle name="Normal 3 2 4 4 2" xfId="3548"/>
    <cellStyle name="Normal 3 2 4 4 2 2" xfId="5215"/>
    <cellStyle name="Normal 3 2 4 4 2 2 2" xfId="8479"/>
    <cellStyle name="Normal 3 2 4 4 2 2 2 2" xfId="22127"/>
    <cellStyle name="Normal 3 2 4 4 2 2 3" xfId="11546"/>
    <cellStyle name="Normal 3 2 4 4 2 2 3 2" xfId="25177"/>
    <cellStyle name="Normal 3 2 4 4 2 2 4" xfId="14842"/>
    <cellStyle name="Normal 3 2 4 4 2 2 4 2" xfId="28470"/>
    <cellStyle name="Normal 3 2 4 4 2 2 5" xfId="18873"/>
    <cellStyle name="Normal 3 2 4 4 2 3" xfId="6982"/>
    <cellStyle name="Normal 3 2 4 4 2 3 2" xfId="20632"/>
    <cellStyle name="Normal 3 2 4 4 2 4" xfId="10123"/>
    <cellStyle name="Normal 3 2 4 4 2 4 2" xfId="23754"/>
    <cellStyle name="Normal 3 2 4 4 2 5" xfId="13418"/>
    <cellStyle name="Normal 3 2 4 4 2 5 2" xfId="27046"/>
    <cellStyle name="Normal 3 2 4 4 2 6" xfId="17349"/>
    <cellStyle name="Normal 3 2 4 4 3" xfId="4269"/>
    <cellStyle name="Normal 3 2 4 4 3 2" xfId="7699"/>
    <cellStyle name="Normal 3 2 4 4 3 2 2" xfId="21347"/>
    <cellStyle name="Normal 3 2 4 4 3 3" xfId="10837"/>
    <cellStyle name="Normal 3 2 4 4 3 3 2" xfId="24468"/>
    <cellStyle name="Normal 3 2 4 4 3 4" xfId="14133"/>
    <cellStyle name="Normal 3 2 4 4 3 4 2" xfId="27761"/>
    <cellStyle name="Normal 3 2 4 4 3 5" xfId="18064"/>
    <cellStyle name="Normal 3 2 4 4 4" xfId="6105"/>
    <cellStyle name="Normal 3 2 4 4 4 2" xfId="19755"/>
    <cellStyle name="Normal 3 2 4 4 5" xfId="9391"/>
    <cellStyle name="Normal 3 2 4 4 5 2" xfId="23033"/>
    <cellStyle name="Normal 3 2 4 4 6" xfId="12705"/>
    <cellStyle name="Normal 3 2 4 4 6 2" xfId="26333"/>
    <cellStyle name="Normal 3 2 4 4 7" xfId="16553"/>
    <cellStyle name="Normal 3 2 4 5" xfId="2751"/>
    <cellStyle name="Normal 3 2 4 5 2" xfId="3705"/>
    <cellStyle name="Normal 3 2 4 5 2 2" xfId="5372"/>
    <cellStyle name="Normal 3 2 4 5 2 2 2" xfId="8635"/>
    <cellStyle name="Normal 3 2 4 5 2 2 2 2" xfId="22283"/>
    <cellStyle name="Normal 3 2 4 5 2 2 3" xfId="11702"/>
    <cellStyle name="Normal 3 2 4 5 2 2 3 2" xfId="25333"/>
    <cellStyle name="Normal 3 2 4 5 2 2 4" xfId="14998"/>
    <cellStyle name="Normal 3 2 4 5 2 2 4 2" xfId="28626"/>
    <cellStyle name="Normal 3 2 4 5 2 2 5" xfId="19030"/>
    <cellStyle name="Normal 3 2 4 5 2 3" xfId="7139"/>
    <cellStyle name="Normal 3 2 4 5 2 3 2" xfId="20789"/>
    <cellStyle name="Normal 3 2 4 5 2 4" xfId="10280"/>
    <cellStyle name="Normal 3 2 4 5 2 4 2" xfId="23911"/>
    <cellStyle name="Normal 3 2 4 5 2 5" xfId="13575"/>
    <cellStyle name="Normal 3 2 4 5 2 5 2" xfId="27203"/>
    <cellStyle name="Normal 3 2 4 5 2 6" xfId="17506"/>
    <cellStyle name="Normal 3 2 4 5 3" xfId="4494"/>
    <cellStyle name="Normal 3 2 4 5 3 2" xfId="7924"/>
    <cellStyle name="Normal 3 2 4 5 3 2 2" xfId="21572"/>
    <cellStyle name="Normal 3 2 4 5 3 3" xfId="10993"/>
    <cellStyle name="Normal 3 2 4 5 3 3 2" xfId="24624"/>
    <cellStyle name="Normal 3 2 4 5 3 4" xfId="14289"/>
    <cellStyle name="Normal 3 2 4 5 3 4 2" xfId="27917"/>
    <cellStyle name="Normal 3 2 4 5 3 5" xfId="18289"/>
    <cellStyle name="Normal 3 2 4 5 4" xfId="6345"/>
    <cellStyle name="Normal 3 2 4 5 4 2" xfId="19995"/>
    <cellStyle name="Normal 3 2 4 5 5" xfId="9547"/>
    <cellStyle name="Normal 3 2 4 5 5 2" xfId="23189"/>
    <cellStyle name="Normal 3 2 4 5 6" xfId="12861"/>
    <cellStyle name="Normal 3 2 4 5 6 2" xfId="26489"/>
    <cellStyle name="Normal 3 2 4 5 7" xfId="16778"/>
    <cellStyle name="Normal 3 2 4 6" xfId="2957"/>
    <cellStyle name="Normal 3 2 4 6 2" xfId="4799"/>
    <cellStyle name="Normal 3 2 4 6 2 2" xfId="8067"/>
    <cellStyle name="Normal 3 2 4 6 2 2 2" xfId="21715"/>
    <cellStyle name="Normal 3 2 4 6 2 3" xfId="11136"/>
    <cellStyle name="Normal 3 2 4 6 2 3 2" xfId="24767"/>
    <cellStyle name="Normal 3 2 4 6 2 4" xfId="14432"/>
    <cellStyle name="Normal 3 2 4 6 2 4 2" xfId="28060"/>
    <cellStyle name="Normal 3 2 4 6 2 5" xfId="18458"/>
    <cellStyle name="Normal 3 2 4 6 3" xfId="6489"/>
    <cellStyle name="Normal 3 2 4 6 3 2" xfId="20139"/>
    <cellStyle name="Normal 3 2 4 6 4" xfId="9710"/>
    <cellStyle name="Normal 3 2 4 6 4 2" xfId="23341"/>
    <cellStyle name="Normal 3 2 4 6 5" xfId="13005"/>
    <cellStyle name="Normal 3 2 4 6 5 2" xfId="26633"/>
    <cellStyle name="Normal 3 2 4 6 6" xfId="16923"/>
    <cellStyle name="Normal 3 2 4 7" xfId="3839"/>
    <cellStyle name="Normal 3 2 4 7 2" xfId="7271"/>
    <cellStyle name="Normal 3 2 4 7 2 2" xfId="20919"/>
    <cellStyle name="Normal 3 2 4 7 3" xfId="10409"/>
    <cellStyle name="Normal 3 2 4 7 3 2" xfId="24040"/>
    <cellStyle name="Normal 3 2 4 7 4" xfId="13705"/>
    <cellStyle name="Normal 3 2 4 7 4 2" xfId="27333"/>
    <cellStyle name="Normal 3 2 4 7 5" xfId="17636"/>
    <cellStyle name="Normal 3 2 4 8" xfId="5538"/>
    <cellStyle name="Normal 3 2 4 8 2" xfId="8799"/>
    <cellStyle name="Normal 3 2 4 8 2 2" xfId="22442"/>
    <cellStyle name="Normal 3 2 4 8 3" xfId="11859"/>
    <cellStyle name="Normal 3 2 4 8 3 2" xfId="25490"/>
    <cellStyle name="Normal 3 2 4 8 4" xfId="15155"/>
    <cellStyle name="Normal 3 2 4 8 4 2" xfId="28783"/>
    <cellStyle name="Normal 3 2 4 8 5" xfId="19188"/>
    <cellStyle name="Normal 3 2 4 9" xfId="5682"/>
    <cellStyle name="Normal 3 2 4 9 2" xfId="19332"/>
    <cellStyle name="Normal 3 2 5" xfId="481"/>
    <cellStyle name="Normal 3 2 5 2" xfId="2028"/>
    <cellStyle name="Normal 3 2 5 3" xfId="3063"/>
    <cellStyle name="Normal 3 2 5 3 2" xfId="4869"/>
    <cellStyle name="Normal 3 2 5 3 2 2" xfId="8135"/>
    <cellStyle name="Normal 3 2 5 3 2 2 2" xfId="21783"/>
    <cellStyle name="Normal 3 2 5 3 2 3" xfId="11204"/>
    <cellStyle name="Normal 3 2 5 3 2 3 2" xfId="24835"/>
    <cellStyle name="Normal 3 2 5 3 2 4" xfId="14500"/>
    <cellStyle name="Normal 3 2 5 3 2 4 2" xfId="28128"/>
    <cellStyle name="Normal 3 2 5 3 2 5" xfId="18527"/>
    <cellStyle name="Normal 3 2 5 3 3" xfId="6558"/>
    <cellStyle name="Normal 3 2 5 3 3 2" xfId="20208"/>
    <cellStyle name="Normal 3 2 5 3 4" xfId="9779"/>
    <cellStyle name="Normal 3 2 5 3 4 2" xfId="23410"/>
    <cellStyle name="Normal 3 2 5 3 5" xfId="13074"/>
    <cellStyle name="Normal 3 2 5 3 5 2" xfId="26702"/>
    <cellStyle name="Normal 3 2 5 3 6" xfId="16992"/>
    <cellStyle name="Normal 3 2 5 4" xfId="3863"/>
    <cellStyle name="Normal 3 2 5 4 2" xfId="7293"/>
    <cellStyle name="Normal 3 2 5 4 2 2" xfId="20941"/>
    <cellStyle name="Normal 3 2 5 4 3" xfId="10431"/>
    <cellStyle name="Normal 3 2 5 4 3 2" xfId="24062"/>
    <cellStyle name="Normal 3 2 5 4 4" xfId="13727"/>
    <cellStyle name="Normal 3 2 5 4 4 2" xfId="27355"/>
    <cellStyle name="Normal 3 2 5 4 5" xfId="17658"/>
    <cellStyle name="Normal 3 2 5 5" xfId="5704"/>
    <cellStyle name="Normal 3 2 5 5 2" xfId="19354"/>
    <cellStyle name="Normal 3 2 5 6" xfId="9076"/>
    <cellStyle name="Normal 3 2 5 6 2" xfId="22719"/>
    <cellStyle name="Normal 3 2 5 7" xfId="12304"/>
    <cellStyle name="Normal 3 2 5 7 2" xfId="25932"/>
    <cellStyle name="Normal 3 2 5 8" xfId="15980"/>
    <cellStyle name="Normal 3 2 6" xfId="1113"/>
    <cellStyle name="Normal 3 2 7" xfId="2135"/>
    <cellStyle name="Normal 3 2 7 2" xfId="3248"/>
    <cellStyle name="Normal 3 2 7 2 2" xfId="4995"/>
    <cellStyle name="Normal 3 2 7 2 2 2" xfId="8259"/>
    <cellStyle name="Normal 3 2 7 2 2 2 2" xfId="21907"/>
    <cellStyle name="Normal 3 2 7 2 2 3" xfId="11326"/>
    <cellStyle name="Normal 3 2 7 2 2 3 2" xfId="24957"/>
    <cellStyle name="Normal 3 2 7 2 2 4" xfId="14622"/>
    <cellStyle name="Normal 3 2 7 2 2 4 2" xfId="28250"/>
    <cellStyle name="Normal 3 2 7 2 2 5" xfId="18653"/>
    <cellStyle name="Normal 3 2 7 2 3" xfId="6682"/>
    <cellStyle name="Normal 3 2 7 2 3 2" xfId="20332"/>
    <cellStyle name="Normal 3 2 7 2 4" xfId="9903"/>
    <cellStyle name="Normal 3 2 7 2 4 2" xfId="23534"/>
    <cellStyle name="Normal 3 2 7 2 5" xfId="13198"/>
    <cellStyle name="Normal 3 2 7 2 5 2" xfId="26826"/>
    <cellStyle name="Normal 3 2 7 2 6" xfId="17128"/>
    <cellStyle name="Normal 3 2 7 3" xfId="4049"/>
    <cellStyle name="Normal 3 2 7 3 2" xfId="7479"/>
    <cellStyle name="Normal 3 2 7 3 2 2" xfId="21127"/>
    <cellStyle name="Normal 3 2 7 3 3" xfId="10617"/>
    <cellStyle name="Normal 3 2 7 3 3 2" xfId="24248"/>
    <cellStyle name="Normal 3 2 7 3 4" xfId="13913"/>
    <cellStyle name="Normal 3 2 7 3 4 2" xfId="27541"/>
    <cellStyle name="Normal 3 2 7 3 5" xfId="17844"/>
    <cellStyle name="Normal 3 2 7 4" xfId="5885"/>
    <cellStyle name="Normal 3 2 7 4 2" xfId="19535"/>
    <cellStyle name="Normal 3 2 7 5" xfId="9171"/>
    <cellStyle name="Normal 3 2 7 5 2" xfId="22813"/>
    <cellStyle name="Normal 3 2 7 6" xfId="12485"/>
    <cellStyle name="Normal 3 2 7 6 2" xfId="26113"/>
    <cellStyle name="Normal 3 2 7 7" xfId="16330"/>
    <cellStyle name="Normal 3 2 8" xfId="2441"/>
    <cellStyle name="Normal 3 2 8 2" xfId="3547"/>
    <cellStyle name="Normal 3 2 8 2 2" xfId="5214"/>
    <cellStyle name="Normal 3 2 8 2 2 2" xfId="8478"/>
    <cellStyle name="Normal 3 2 8 2 2 2 2" xfId="22126"/>
    <cellStyle name="Normal 3 2 8 2 2 3" xfId="11545"/>
    <cellStyle name="Normal 3 2 8 2 2 3 2" xfId="25176"/>
    <cellStyle name="Normal 3 2 8 2 2 4" xfId="14841"/>
    <cellStyle name="Normal 3 2 8 2 2 4 2" xfId="28469"/>
    <cellStyle name="Normal 3 2 8 2 2 5" xfId="18872"/>
    <cellStyle name="Normal 3 2 8 2 3" xfId="6981"/>
    <cellStyle name="Normal 3 2 8 2 3 2" xfId="20631"/>
    <cellStyle name="Normal 3 2 8 2 4" xfId="10122"/>
    <cellStyle name="Normal 3 2 8 2 4 2" xfId="23753"/>
    <cellStyle name="Normal 3 2 8 2 5" xfId="13417"/>
    <cellStyle name="Normal 3 2 8 2 5 2" xfId="27045"/>
    <cellStyle name="Normal 3 2 8 2 6" xfId="17348"/>
    <cellStyle name="Normal 3 2 8 3" xfId="4268"/>
    <cellStyle name="Normal 3 2 8 3 2" xfId="7698"/>
    <cellStyle name="Normal 3 2 8 3 2 2" xfId="21346"/>
    <cellStyle name="Normal 3 2 8 3 3" xfId="10836"/>
    <cellStyle name="Normal 3 2 8 3 3 2" xfId="24467"/>
    <cellStyle name="Normal 3 2 8 3 4" xfId="14132"/>
    <cellStyle name="Normal 3 2 8 3 4 2" xfId="27760"/>
    <cellStyle name="Normal 3 2 8 3 5" xfId="18063"/>
    <cellStyle name="Normal 3 2 8 4" xfId="6104"/>
    <cellStyle name="Normal 3 2 8 4 2" xfId="19754"/>
    <cellStyle name="Normal 3 2 8 5" xfId="9390"/>
    <cellStyle name="Normal 3 2 8 5 2" xfId="23032"/>
    <cellStyle name="Normal 3 2 8 6" xfId="12704"/>
    <cellStyle name="Normal 3 2 8 6 2" xfId="26332"/>
    <cellStyle name="Normal 3 2 8 7" xfId="16552"/>
    <cellStyle name="Normal 3 2 9" xfId="2750"/>
    <cellStyle name="Normal 3 2 9 2" xfId="3704"/>
    <cellStyle name="Normal 3 2 9 2 2" xfId="5371"/>
    <cellStyle name="Normal 3 2 9 2 2 2" xfId="8634"/>
    <cellStyle name="Normal 3 2 9 2 2 2 2" xfId="22282"/>
    <cellStyle name="Normal 3 2 9 2 2 3" xfId="11701"/>
    <cellStyle name="Normal 3 2 9 2 2 3 2" xfId="25332"/>
    <cellStyle name="Normal 3 2 9 2 2 4" xfId="14997"/>
    <cellStyle name="Normal 3 2 9 2 2 4 2" xfId="28625"/>
    <cellStyle name="Normal 3 2 9 2 2 5" xfId="19029"/>
    <cellStyle name="Normal 3 2 9 2 3" xfId="7138"/>
    <cellStyle name="Normal 3 2 9 2 3 2" xfId="20788"/>
    <cellStyle name="Normal 3 2 9 2 4" xfId="10279"/>
    <cellStyle name="Normal 3 2 9 2 4 2" xfId="23910"/>
    <cellStyle name="Normal 3 2 9 2 5" xfId="13574"/>
    <cellStyle name="Normal 3 2 9 2 5 2" xfId="27202"/>
    <cellStyle name="Normal 3 2 9 2 6" xfId="17505"/>
    <cellStyle name="Normal 3 2 9 3" xfId="4493"/>
    <cellStyle name="Normal 3 2 9 3 2" xfId="7923"/>
    <cellStyle name="Normal 3 2 9 3 2 2" xfId="21571"/>
    <cellStyle name="Normal 3 2 9 3 3" xfId="10992"/>
    <cellStyle name="Normal 3 2 9 3 3 2" xfId="24623"/>
    <cellStyle name="Normal 3 2 9 3 4" xfId="14288"/>
    <cellStyle name="Normal 3 2 9 3 4 2" xfId="27916"/>
    <cellStyle name="Normal 3 2 9 3 5" xfId="18288"/>
    <cellStyle name="Normal 3 2 9 4" xfId="6344"/>
    <cellStyle name="Normal 3 2 9 4 2" xfId="19994"/>
    <cellStyle name="Normal 3 2 9 5" xfId="9546"/>
    <cellStyle name="Normal 3 2 9 5 2" xfId="23188"/>
    <cellStyle name="Normal 3 2 9 6" xfId="12860"/>
    <cellStyle name="Normal 3 2 9 6 2" xfId="26488"/>
    <cellStyle name="Normal 3 2 9 7" xfId="16777"/>
    <cellStyle name="Normal 3 20" xfId="8988"/>
    <cellStyle name="Normal 3 20 2" xfId="22631"/>
    <cellStyle name="Normal 3 21" xfId="11941"/>
    <cellStyle name="Normal 3 21 2" xfId="25572"/>
    <cellStyle name="Normal 3 22" xfId="12140"/>
    <cellStyle name="Normal 3 22 2" xfId="25768"/>
    <cellStyle name="Normal 3 23" xfId="12233"/>
    <cellStyle name="Normal 3 23 2" xfId="25861"/>
    <cellStyle name="Normal 3 24" xfId="15528"/>
    <cellStyle name="Normal 3 24 2" xfId="29025"/>
    <cellStyle name="Normal 3 25" xfId="15751"/>
    <cellStyle name="Normal 3 26" xfId="15787"/>
    <cellStyle name="Normal 3 27" xfId="15838"/>
    <cellStyle name="Normal 3 3" xfId="136"/>
    <cellStyle name="Normal 3 3 2" xfId="182"/>
    <cellStyle name="Normal 3 3 3" xfId="216"/>
    <cellStyle name="Normal 3 3 3 2" xfId="238"/>
    <cellStyle name="Normal 3 3 4" xfId="257"/>
    <cellStyle name="Normal 3 3 5" xfId="276"/>
    <cellStyle name="Normal 3 3 5 2" xfId="2029"/>
    <cellStyle name="Normal 3 3 5 3" xfId="2030"/>
    <cellStyle name="Normal 3 3 6" xfId="294"/>
    <cellStyle name="Normal 3 3_Data Check Control" xfId="208"/>
    <cellStyle name="Normal 3 4" xfId="74"/>
    <cellStyle name="Normal 3 4 2" xfId="1118"/>
    <cellStyle name="Normal 3 4 3" xfId="1117"/>
    <cellStyle name="Normal 3 5" xfId="342"/>
    <cellStyle name="Normal 3 5 10" xfId="5662"/>
    <cellStyle name="Normal 3 5 10 2" xfId="19312"/>
    <cellStyle name="Normal 3 5 11" xfId="8991"/>
    <cellStyle name="Normal 3 5 11 2" xfId="22634"/>
    <cellStyle name="Normal 3 5 12" xfId="11981"/>
    <cellStyle name="Normal 3 5 12 2" xfId="25612"/>
    <cellStyle name="Normal 3 5 13" xfId="12143"/>
    <cellStyle name="Normal 3 5 13 2" xfId="25771"/>
    <cellStyle name="Normal 3 5 14" xfId="12265"/>
    <cellStyle name="Normal 3 5 14 2" xfId="25893"/>
    <cellStyle name="Normal 3 5 15" xfId="15311"/>
    <cellStyle name="Normal 3 5 15 2" xfId="28909"/>
    <cellStyle name="Normal 3 5 16" xfId="15531"/>
    <cellStyle name="Normal 3 5 16 2" xfId="29028"/>
    <cellStyle name="Normal 3 5 17" xfId="15893"/>
    <cellStyle name="Normal 3 5 18" xfId="29665"/>
    <cellStyle name="Normal 3 5 2" xfId="1119"/>
    <cellStyle name="Normal 3 5 2 10" xfId="12045"/>
    <cellStyle name="Normal 3 5 2 10 2" xfId="25675"/>
    <cellStyle name="Normal 3 5 2 11" xfId="12144"/>
    <cellStyle name="Normal 3 5 2 11 2" xfId="25772"/>
    <cellStyle name="Normal 3 5 2 12" xfId="12382"/>
    <cellStyle name="Normal 3 5 2 12 2" xfId="26010"/>
    <cellStyle name="Normal 3 5 2 13" xfId="16130"/>
    <cellStyle name="Normal 3 5 2 2" xfId="2235"/>
    <cellStyle name="Normal 3 5 2 2 2" xfId="3348"/>
    <cellStyle name="Normal 3 5 2 2 2 2" xfId="5092"/>
    <cellStyle name="Normal 3 5 2 2 2 2 2" xfId="8356"/>
    <cellStyle name="Normal 3 5 2 2 2 2 2 2" xfId="22004"/>
    <cellStyle name="Normal 3 5 2 2 2 2 3" xfId="11423"/>
    <cellStyle name="Normal 3 5 2 2 2 2 3 2" xfId="25054"/>
    <cellStyle name="Normal 3 5 2 2 2 2 4" xfId="14719"/>
    <cellStyle name="Normal 3 5 2 2 2 2 4 2" xfId="28347"/>
    <cellStyle name="Normal 3 5 2 2 2 2 5" xfId="18750"/>
    <cellStyle name="Normal 3 5 2 2 2 3" xfId="6782"/>
    <cellStyle name="Normal 3 5 2 2 2 3 2" xfId="20432"/>
    <cellStyle name="Normal 3 5 2 2 2 4" xfId="10000"/>
    <cellStyle name="Normal 3 5 2 2 2 4 2" xfId="23631"/>
    <cellStyle name="Normal 3 5 2 2 2 5" xfId="13295"/>
    <cellStyle name="Normal 3 5 2 2 2 5 2" xfId="26923"/>
    <cellStyle name="Normal 3 5 2 2 2 6" xfId="17225"/>
    <cellStyle name="Normal 3 5 2 2 3" xfId="4146"/>
    <cellStyle name="Normal 3 5 2 2 3 2" xfId="7576"/>
    <cellStyle name="Normal 3 5 2 2 3 2 2" xfId="21224"/>
    <cellStyle name="Normal 3 5 2 2 3 3" xfId="10714"/>
    <cellStyle name="Normal 3 5 2 2 3 3 2" xfId="24345"/>
    <cellStyle name="Normal 3 5 2 2 3 4" xfId="14010"/>
    <cellStyle name="Normal 3 5 2 2 3 4 2" xfId="27638"/>
    <cellStyle name="Normal 3 5 2 2 3 5" xfId="17941"/>
    <cellStyle name="Normal 3 5 2 2 4" xfId="5982"/>
    <cellStyle name="Normal 3 5 2 2 4 2" xfId="19632"/>
    <cellStyle name="Normal 3 5 2 2 5" xfId="9268"/>
    <cellStyle name="Normal 3 5 2 2 5 2" xfId="22910"/>
    <cellStyle name="Normal 3 5 2 2 6" xfId="12582"/>
    <cellStyle name="Normal 3 5 2 2 6 2" xfId="26210"/>
    <cellStyle name="Normal 3 5 2 2 7" xfId="16427"/>
    <cellStyle name="Normal 3 5 2 3" xfId="2444"/>
    <cellStyle name="Normal 3 5 2 3 2" xfId="3550"/>
    <cellStyle name="Normal 3 5 2 3 2 2" xfId="5217"/>
    <cellStyle name="Normal 3 5 2 3 2 2 2" xfId="8481"/>
    <cellStyle name="Normal 3 5 2 3 2 2 2 2" xfId="22129"/>
    <cellStyle name="Normal 3 5 2 3 2 2 3" xfId="11548"/>
    <cellStyle name="Normal 3 5 2 3 2 2 3 2" xfId="25179"/>
    <cellStyle name="Normal 3 5 2 3 2 2 4" xfId="14844"/>
    <cellStyle name="Normal 3 5 2 3 2 2 4 2" xfId="28472"/>
    <cellStyle name="Normal 3 5 2 3 2 2 5" xfId="18875"/>
    <cellStyle name="Normal 3 5 2 3 2 3" xfId="6984"/>
    <cellStyle name="Normal 3 5 2 3 2 3 2" xfId="20634"/>
    <cellStyle name="Normal 3 5 2 3 2 4" xfId="10125"/>
    <cellStyle name="Normal 3 5 2 3 2 4 2" xfId="23756"/>
    <cellStyle name="Normal 3 5 2 3 2 5" xfId="13420"/>
    <cellStyle name="Normal 3 5 2 3 2 5 2" xfId="27048"/>
    <cellStyle name="Normal 3 5 2 3 2 6" xfId="17351"/>
    <cellStyle name="Normal 3 5 2 3 3" xfId="4271"/>
    <cellStyle name="Normal 3 5 2 3 3 2" xfId="7701"/>
    <cellStyle name="Normal 3 5 2 3 3 2 2" xfId="21349"/>
    <cellStyle name="Normal 3 5 2 3 3 3" xfId="10839"/>
    <cellStyle name="Normal 3 5 2 3 3 3 2" xfId="24470"/>
    <cellStyle name="Normal 3 5 2 3 3 4" xfId="14135"/>
    <cellStyle name="Normal 3 5 2 3 3 4 2" xfId="27763"/>
    <cellStyle name="Normal 3 5 2 3 3 5" xfId="18066"/>
    <cellStyle name="Normal 3 5 2 3 4" xfId="6107"/>
    <cellStyle name="Normal 3 5 2 3 4 2" xfId="19757"/>
    <cellStyle name="Normal 3 5 2 3 5" xfId="9393"/>
    <cellStyle name="Normal 3 5 2 3 5 2" xfId="23035"/>
    <cellStyle name="Normal 3 5 2 3 6" xfId="12707"/>
    <cellStyle name="Normal 3 5 2 3 6 2" xfId="26335"/>
    <cellStyle name="Normal 3 5 2 3 7" xfId="16555"/>
    <cellStyle name="Normal 3 5 2 4" xfId="2753"/>
    <cellStyle name="Normal 3 5 2 4 2" xfId="3707"/>
    <cellStyle name="Normal 3 5 2 4 2 2" xfId="5374"/>
    <cellStyle name="Normal 3 5 2 4 2 2 2" xfId="8637"/>
    <cellStyle name="Normal 3 5 2 4 2 2 2 2" xfId="22285"/>
    <cellStyle name="Normal 3 5 2 4 2 2 3" xfId="11704"/>
    <cellStyle name="Normal 3 5 2 4 2 2 3 2" xfId="25335"/>
    <cellStyle name="Normal 3 5 2 4 2 2 4" xfId="15000"/>
    <cellStyle name="Normal 3 5 2 4 2 2 4 2" xfId="28628"/>
    <cellStyle name="Normal 3 5 2 4 2 2 5" xfId="19032"/>
    <cellStyle name="Normal 3 5 2 4 2 3" xfId="7141"/>
    <cellStyle name="Normal 3 5 2 4 2 3 2" xfId="20791"/>
    <cellStyle name="Normal 3 5 2 4 2 4" xfId="10282"/>
    <cellStyle name="Normal 3 5 2 4 2 4 2" xfId="23913"/>
    <cellStyle name="Normal 3 5 2 4 2 5" xfId="13577"/>
    <cellStyle name="Normal 3 5 2 4 2 5 2" xfId="27205"/>
    <cellStyle name="Normal 3 5 2 4 2 6" xfId="17508"/>
    <cellStyle name="Normal 3 5 2 4 3" xfId="4496"/>
    <cellStyle name="Normal 3 5 2 4 3 2" xfId="7926"/>
    <cellStyle name="Normal 3 5 2 4 3 2 2" xfId="21574"/>
    <cellStyle name="Normal 3 5 2 4 3 3" xfId="10995"/>
    <cellStyle name="Normal 3 5 2 4 3 3 2" xfId="24626"/>
    <cellStyle name="Normal 3 5 2 4 3 4" xfId="14291"/>
    <cellStyle name="Normal 3 5 2 4 3 4 2" xfId="27919"/>
    <cellStyle name="Normal 3 5 2 4 3 5" xfId="18291"/>
    <cellStyle name="Normal 3 5 2 4 4" xfId="6347"/>
    <cellStyle name="Normal 3 5 2 4 4 2" xfId="19997"/>
    <cellStyle name="Normal 3 5 2 4 5" xfId="9549"/>
    <cellStyle name="Normal 3 5 2 4 5 2" xfId="23191"/>
    <cellStyle name="Normal 3 5 2 4 6" xfId="12863"/>
    <cellStyle name="Normal 3 5 2 4 6 2" xfId="26491"/>
    <cellStyle name="Normal 3 5 2 4 7" xfId="16780"/>
    <cellStyle name="Normal 3 5 2 5" xfId="2868"/>
    <cellStyle name="Normal 3 5 2 5 2" xfId="4755"/>
    <cellStyle name="Normal 3 5 2 5 2 2" xfId="8023"/>
    <cellStyle name="Normal 3 5 2 5 2 2 2" xfId="21671"/>
    <cellStyle name="Normal 3 5 2 5 2 3" xfId="11092"/>
    <cellStyle name="Normal 3 5 2 5 2 3 2" xfId="24723"/>
    <cellStyle name="Normal 3 5 2 5 2 4" xfId="14388"/>
    <cellStyle name="Normal 3 5 2 5 2 4 2" xfId="28016"/>
    <cellStyle name="Normal 3 5 2 5 2 5" xfId="18414"/>
    <cellStyle name="Normal 3 5 2 5 3" xfId="6445"/>
    <cellStyle name="Normal 3 5 2 5 3 2" xfId="20095"/>
    <cellStyle name="Normal 3 5 2 5 4" xfId="9666"/>
    <cellStyle name="Normal 3 5 2 5 4 2" xfId="23297"/>
    <cellStyle name="Normal 3 5 2 5 5" xfId="12961"/>
    <cellStyle name="Normal 3 5 2 5 5 2" xfId="26589"/>
    <cellStyle name="Normal 3 5 2 5 6" xfId="16877"/>
    <cellStyle name="Normal 3 5 2 6" xfId="3944"/>
    <cellStyle name="Normal 3 5 2 6 2" xfId="7374"/>
    <cellStyle name="Normal 3 5 2 6 2 2" xfId="21022"/>
    <cellStyle name="Normal 3 5 2 6 3" xfId="10512"/>
    <cellStyle name="Normal 3 5 2 6 3 2" xfId="24143"/>
    <cellStyle name="Normal 3 5 2 6 4" xfId="13808"/>
    <cellStyle name="Normal 3 5 2 6 4 2" xfId="27436"/>
    <cellStyle name="Normal 3 5 2 6 5" xfId="17739"/>
    <cellStyle name="Normal 3 5 2 7" xfId="5540"/>
    <cellStyle name="Normal 3 5 2 7 2" xfId="8801"/>
    <cellStyle name="Normal 3 5 2 7 2 2" xfId="22444"/>
    <cellStyle name="Normal 3 5 2 7 3" xfId="11861"/>
    <cellStyle name="Normal 3 5 2 7 3 2" xfId="25492"/>
    <cellStyle name="Normal 3 5 2 7 4" xfId="15157"/>
    <cellStyle name="Normal 3 5 2 7 4 2" xfId="28785"/>
    <cellStyle name="Normal 3 5 2 7 5" xfId="19190"/>
    <cellStyle name="Normal 3 5 2 8" xfId="5782"/>
    <cellStyle name="Normal 3 5 2 8 2" xfId="19432"/>
    <cellStyle name="Normal 3 5 2 9" xfId="8992"/>
    <cellStyle name="Normal 3 5 2 9 2" xfId="22635"/>
    <cellStyle name="Normal 3 5 3" xfId="2031"/>
    <cellStyle name="Normal 3 5 4" xfId="2172"/>
    <cellStyle name="Normal 3 5 4 2" xfId="3285"/>
    <cellStyle name="Normal 3 5 4 2 2" xfId="5031"/>
    <cellStyle name="Normal 3 5 4 2 2 2" xfId="8295"/>
    <cellStyle name="Normal 3 5 4 2 2 2 2" xfId="21943"/>
    <cellStyle name="Normal 3 5 4 2 2 3" xfId="11362"/>
    <cellStyle name="Normal 3 5 4 2 2 3 2" xfId="24993"/>
    <cellStyle name="Normal 3 5 4 2 2 4" xfId="14658"/>
    <cellStyle name="Normal 3 5 4 2 2 4 2" xfId="28286"/>
    <cellStyle name="Normal 3 5 4 2 2 5" xfId="18689"/>
    <cellStyle name="Normal 3 5 4 2 3" xfId="6719"/>
    <cellStyle name="Normal 3 5 4 2 3 2" xfId="20369"/>
    <cellStyle name="Normal 3 5 4 2 4" xfId="9939"/>
    <cellStyle name="Normal 3 5 4 2 4 2" xfId="23570"/>
    <cellStyle name="Normal 3 5 4 2 5" xfId="13234"/>
    <cellStyle name="Normal 3 5 4 2 5 2" xfId="26862"/>
    <cellStyle name="Normal 3 5 4 2 6" xfId="17164"/>
    <cellStyle name="Normal 3 5 4 3" xfId="4085"/>
    <cellStyle name="Normal 3 5 4 3 2" xfId="7515"/>
    <cellStyle name="Normal 3 5 4 3 2 2" xfId="21163"/>
    <cellStyle name="Normal 3 5 4 3 3" xfId="10653"/>
    <cellStyle name="Normal 3 5 4 3 3 2" xfId="24284"/>
    <cellStyle name="Normal 3 5 4 3 4" xfId="13949"/>
    <cellStyle name="Normal 3 5 4 3 4 2" xfId="27577"/>
    <cellStyle name="Normal 3 5 4 3 5" xfId="17880"/>
    <cellStyle name="Normal 3 5 4 4" xfId="5921"/>
    <cellStyle name="Normal 3 5 4 4 2" xfId="19571"/>
    <cellStyle name="Normal 3 5 4 5" xfId="9207"/>
    <cellStyle name="Normal 3 5 4 5 2" xfId="22849"/>
    <cellStyle name="Normal 3 5 4 6" xfId="12521"/>
    <cellStyle name="Normal 3 5 4 6 2" xfId="26149"/>
    <cellStyle name="Normal 3 5 4 7" xfId="16366"/>
    <cellStyle name="Normal 3 5 5" xfId="2443"/>
    <cellStyle name="Normal 3 5 5 2" xfId="3549"/>
    <cellStyle name="Normal 3 5 5 2 2" xfId="5216"/>
    <cellStyle name="Normal 3 5 5 2 2 2" xfId="8480"/>
    <cellStyle name="Normal 3 5 5 2 2 2 2" xfId="22128"/>
    <cellStyle name="Normal 3 5 5 2 2 3" xfId="11547"/>
    <cellStyle name="Normal 3 5 5 2 2 3 2" xfId="25178"/>
    <cellStyle name="Normal 3 5 5 2 2 4" xfId="14843"/>
    <cellStyle name="Normal 3 5 5 2 2 4 2" xfId="28471"/>
    <cellStyle name="Normal 3 5 5 2 2 5" xfId="18874"/>
    <cellStyle name="Normal 3 5 5 2 3" xfId="6983"/>
    <cellStyle name="Normal 3 5 5 2 3 2" xfId="20633"/>
    <cellStyle name="Normal 3 5 5 2 4" xfId="10124"/>
    <cellStyle name="Normal 3 5 5 2 4 2" xfId="23755"/>
    <cellStyle name="Normal 3 5 5 2 5" xfId="13419"/>
    <cellStyle name="Normal 3 5 5 2 5 2" xfId="27047"/>
    <cellStyle name="Normal 3 5 5 2 6" xfId="17350"/>
    <cellStyle name="Normal 3 5 5 3" xfId="4270"/>
    <cellStyle name="Normal 3 5 5 3 2" xfId="7700"/>
    <cellStyle name="Normal 3 5 5 3 2 2" xfId="21348"/>
    <cellStyle name="Normal 3 5 5 3 3" xfId="10838"/>
    <cellStyle name="Normal 3 5 5 3 3 2" xfId="24469"/>
    <cellStyle name="Normal 3 5 5 3 4" xfId="14134"/>
    <cellStyle name="Normal 3 5 5 3 4 2" xfId="27762"/>
    <cellStyle name="Normal 3 5 5 3 5" xfId="18065"/>
    <cellStyle name="Normal 3 5 5 4" xfId="6106"/>
    <cellStyle name="Normal 3 5 5 4 2" xfId="19756"/>
    <cellStyle name="Normal 3 5 5 5" xfId="9392"/>
    <cellStyle name="Normal 3 5 5 5 2" xfId="23034"/>
    <cellStyle name="Normal 3 5 5 6" xfId="12706"/>
    <cellStyle name="Normal 3 5 5 6 2" xfId="26334"/>
    <cellStyle name="Normal 3 5 5 7" xfId="16554"/>
    <cellStyle name="Normal 3 5 6" xfId="2752"/>
    <cellStyle name="Normal 3 5 6 2" xfId="3706"/>
    <cellStyle name="Normal 3 5 6 2 2" xfId="5373"/>
    <cellStyle name="Normal 3 5 6 2 2 2" xfId="8636"/>
    <cellStyle name="Normal 3 5 6 2 2 2 2" xfId="22284"/>
    <cellStyle name="Normal 3 5 6 2 2 3" xfId="11703"/>
    <cellStyle name="Normal 3 5 6 2 2 3 2" xfId="25334"/>
    <cellStyle name="Normal 3 5 6 2 2 4" xfId="14999"/>
    <cellStyle name="Normal 3 5 6 2 2 4 2" xfId="28627"/>
    <cellStyle name="Normal 3 5 6 2 2 5" xfId="19031"/>
    <cellStyle name="Normal 3 5 6 2 3" xfId="7140"/>
    <cellStyle name="Normal 3 5 6 2 3 2" xfId="20790"/>
    <cellStyle name="Normal 3 5 6 2 4" xfId="10281"/>
    <cellStyle name="Normal 3 5 6 2 4 2" xfId="23912"/>
    <cellStyle name="Normal 3 5 6 2 5" xfId="13576"/>
    <cellStyle name="Normal 3 5 6 2 5 2" xfId="27204"/>
    <cellStyle name="Normal 3 5 6 2 6" xfId="17507"/>
    <cellStyle name="Normal 3 5 6 3" xfId="4495"/>
    <cellStyle name="Normal 3 5 6 3 2" xfId="7925"/>
    <cellStyle name="Normal 3 5 6 3 2 2" xfId="21573"/>
    <cellStyle name="Normal 3 5 6 3 3" xfId="10994"/>
    <cellStyle name="Normal 3 5 6 3 3 2" xfId="24625"/>
    <cellStyle name="Normal 3 5 6 3 4" xfId="14290"/>
    <cellStyle name="Normal 3 5 6 3 4 2" xfId="27918"/>
    <cellStyle name="Normal 3 5 6 3 5" xfId="18290"/>
    <cellStyle name="Normal 3 5 6 4" xfId="6346"/>
    <cellStyle name="Normal 3 5 6 4 2" xfId="19996"/>
    <cellStyle name="Normal 3 5 6 5" xfId="9548"/>
    <cellStyle name="Normal 3 5 6 5 2" xfId="23190"/>
    <cellStyle name="Normal 3 5 6 6" xfId="12862"/>
    <cellStyle name="Normal 3 5 6 6 2" xfId="26490"/>
    <cellStyle name="Normal 3 5 6 7" xfId="16779"/>
    <cellStyle name="Normal 3 5 7" xfId="2958"/>
    <cellStyle name="Normal 3 5 7 2" xfId="4800"/>
    <cellStyle name="Normal 3 5 7 2 2" xfId="8068"/>
    <cellStyle name="Normal 3 5 7 2 2 2" xfId="21716"/>
    <cellStyle name="Normal 3 5 7 2 3" xfId="11137"/>
    <cellStyle name="Normal 3 5 7 2 3 2" xfId="24768"/>
    <cellStyle name="Normal 3 5 7 2 4" xfId="14433"/>
    <cellStyle name="Normal 3 5 7 2 4 2" xfId="28061"/>
    <cellStyle name="Normal 3 5 7 2 5" xfId="18459"/>
    <cellStyle name="Normal 3 5 7 3" xfId="6490"/>
    <cellStyle name="Normal 3 5 7 3 2" xfId="20140"/>
    <cellStyle name="Normal 3 5 7 4" xfId="9711"/>
    <cellStyle name="Normal 3 5 7 4 2" xfId="23342"/>
    <cellStyle name="Normal 3 5 7 5" xfId="13006"/>
    <cellStyle name="Normal 3 5 7 5 2" xfId="26634"/>
    <cellStyle name="Normal 3 5 7 6" xfId="16924"/>
    <cellStyle name="Normal 3 5 8" xfId="3822"/>
    <cellStyle name="Normal 3 5 8 2" xfId="7254"/>
    <cellStyle name="Normal 3 5 8 2 2" xfId="20902"/>
    <cellStyle name="Normal 3 5 8 3" xfId="10392"/>
    <cellStyle name="Normal 3 5 8 3 2" xfId="24023"/>
    <cellStyle name="Normal 3 5 8 4" xfId="13688"/>
    <cellStyle name="Normal 3 5 8 4 2" xfId="27316"/>
    <cellStyle name="Normal 3 5 8 5" xfId="17619"/>
    <cellStyle name="Normal 3 5 9" xfId="5539"/>
    <cellStyle name="Normal 3 5 9 2" xfId="8800"/>
    <cellStyle name="Normal 3 5 9 2 2" xfId="22443"/>
    <cellStyle name="Normal 3 5 9 3" xfId="11860"/>
    <cellStyle name="Normal 3 5 9 3 2" xfId="25491"/>
    <cellStyle name="Normal 3 5 9 4" xfId="15156"/>
    <cellStyle name="Normal 3 5 9 4 2" xfId="28784"/>
    <cellStyle name="Normal 3 5 9 5" xfId="19189"/>
    <cellStyle name="Normal 3 6" xfId="320"/>
    <cellStyle name="Normal 3 6 10" xfId="15879"/>
    <cellStyle name="Normal 3 6 2" xfId="1121"/>
    <cellStyle name="Normal 3 6 3" xfId="1122"/>
    <cellStyle name="Normal 3 6 4" xfId="1120"/>
    <cellStyle name="Normal 3 6 5" xfId="3124"/>
    <cellStyle name="Normal 3 6 5 2" xfId="4919"/>
    <cellStyle name="Normal 3 6 5 2 2" xfId="8185"/>
    <cellStyle name="Normal 3 6 5 2 2 2" xfId="21833"/>
    <cellStyle name="Normal 3 6 5 2 3" xfId="11252"/>
    <cellStyle name="Normal 3 6 5 2 3 2" xfId="24883"/>
    <cellStyle name="Normal 3 6 5 2 4" xfId="14548"/>
    <cellStyle name="Normal 3 6 5 2 4 2" xfId="28176"/>
    <cellStyle name="Normal 3 6 5 2 5" xfId="18577"/>
    <cellStyle name="Normal 3 6 5 3" xfId="6606"/>
    <cellStyle name="Normal 3 6 5 3 2" xfId="20256"/>
    <cellStyle name="Normal 3 6 5 4" xfId="9827"/>
    <cellStyle name="Normal 3 6 5 4 2" xfId="23458"/>
    <cellStyle name="Normal 3 6 5 5" xfId="13122"/>
    <cellStyle name="Normal 3 6 5 5 2" xfId="26750"/>
    <cellStyle name="Normal 3 6 5 6" xfId="17042"/>
    <cellStyle name="Normal 3 6 6" xfId="3808"/>
    <cellStyle name="Normal 3 6 6 2" xfId="7240"/>
    <cellStyle name="Normal 3 6 6 2 2" xfId="20888"/>
    <cellStyle name="Normal 3 6 6 3" xfId="10378"/>
    <cellStyle name="Normal 3 6 6 3 2" xfId="24009"/>
    <cellStyle name="Normal 3 6 6 4" xfId="13674"/>
    <cellStyle name="Normal 3 6 6 4 2" xfId="27302"/>
    <cellStyle name="Normal 3 6 6 5" xfId="17605"/>
    <cellStyle name="Normal 3 6 7" xfId="5648"/>
    <cellStyle name="Normal 3 6 7 2" xfId="19298"/>
    <cellStyle name="Normal 3 6 8" xfId="9117"/>
    <cellStyle name="Normal 3 6 8 2" xfId="22760"/>
    <cellStyle name="Normal 3 6 9" xfId="12251"/>
    <cellStyle name="Normal 3 6 9 2" xfId="25879"/>
    <cellStyle name="Normal 3 7" xfId="468"/>
    <cellStyle name="Normal 3 7 2" xfId="1123"/>
    <cellStyle name="Normal 3 7 3" xfId="3078"/>
    <cellStyle name="Normal 3 7 3 2" xfId="4879"/>
    <cellStyle name="Normal 3 7 3 2 2" xfId="8145"/>
    <cellStyle name="Normal 3 7 3 2 2 2" xfId="21793"/>
    <cellStyle name="Normal 3 7 3 2 3" xfId="11214"/>
    <cellStyle name="Normal 3 7 3 2 3 2" xfId="24845"/>
    <cellStyle name="Normal 3 7 3 2 4" xfId="14510"/>
    <cellStyle name="Normal 3 7 3 2 4 2" xfId="28138"/>
    <cellStyle name="Normal 3 7 3 2 5" xfId="18537"/>
    <cellStyle name="Normal 3 7 3 3" xfId="6568"/>
    <cellStyle name="Normal 3 7 3 3 2" xfId="20218"/>
    <cellStyle name="Normal 3 7 3 4" xfId="9789"/>
    <cellStyle name="Normal 3 7 3 4 2" xfId="23420"/>
    <cellStyle name="Normal 3 7 3 5" xfId="13084"/>
    <cellStyle name="Normal 3 7 3 5 2" xfId="26712"/>
    <cellStyle name="Normal 3 7 3 6" xfId="17002"/>
    <cellStyle name="Normal 3 7 4" xfId="3851"/>
    <cellStyle name="Normal 3 7 4 2" xfId="7281"/>
    <cellStyle name="Normal 3 7 4 2 2" xfId="20929"/>
    <cellStyle name="Normal 3 7 4 3" xfId="10419"/>
    <cellStyle name="Normal 3 7 4 3 2" xfId="24050"/>
    <cellStyle name="Normal 3 7 4 4" xfId="13715"/>
    <cellStyle name="Normal 3 7 4 4 2" xfId="27343"/>
    <cellStyle name="Normal 3 7 4 5" xfId="17646"/>
    <cellStyle name="Normal 3 7 5" xfId="5692"/>
    <cellStyle name="Normal 3 7 5 2" xfId="19342"/>
    <cellStyle name="Normal 3 7 6" xfId="9083"/>
    <cellStyle name="Normal 3 7 6 2" xfId="22726"/>
    <cellStyle name="Normal 3 7 7" xfId="12292"/>
    <cellStyle name="Normal 3 7 7 2" xfId="25920"/>
    <cellStyle name="Normal 3 7 8" xfId="15968"/>
    <cellStyle name="Normal 3 8" xfId="1124"/>
    <cellStyle name="Normal 3 8 2" xfId="1125"/>
    <cellStyle name="Normal 3 8 3" xfId="1126"/>
    <cellStyle name="Normal 3 9" xfId="1127"/>
    <cellStyle name="Normal 3 9 2" xfId="1128"/>
    <cellStyle name="Normal 3 9 3" xfId="1129"/>
    <cellStyle name="Normal 30" xfId="325"/>
    <cellStyle name="Normal 30 2" xfId="486"/>
    <cellStyle name="Normal 30 3" xfId="3119"/>
    <cellStyle name="Normal 30 3 2" xfId="4914"/>
    <cellStyle name="Normal 30 3 2 2" xfId="8180"/>
    <cellStyle name="Normal 30 3 2 2 2" xfId="21828"/>
    <cellStyle name="Normal 30 3 2 3" xfId="11247"/>
    <cellStyle name="Normal 30 3 2 3 2" xfId="24878"/>
    <cellStyle name="Normal 30 3 2 4" xfId="14543"/>
    <cellStyle name="Normal 30 3 2 4 2" xfId="28171"/>
    <cellStyle name="Normal 30 3 2 5" xfId="18572"/>
    <cellStyle name="Normal 30 3 3" xfId="6601"/>
    <cellStyle name="Normal 30 3 3 2" xfId="20251"/>
    <cellStyle name="Normal 30 3 4" xfId="9822"/>
    <cellStyle name="Normal 30 3 4 2" xfId="23453"/>
    <cellStyle name="Normal 30 3 5" xfId="13117"/>
    <cellStyle name="Normal 30 3 5 2" xfId="26745"/>
    <cellStyle name="Normal 30 3 6" xfId="17037"/>
    <cellStyle name="Normal 30 4" xfId="3813"/>
    <cellStyle name="Normal 30 4 2" xfId="7245"/>
    <cellStyle name="Normal 30 4 2 2" xfId="20893"/>
    <cellStyle name="Normal 30 4 3" xfId="10383"/>
    <cellStyle name="Normal 30 4 3 2" xfId="24014"/>
    <cellStyle name="Normal 30 4 4" xfId="13679"/>
    <cellStyle name="Normal 30 4 4 2" xfId="27307"/>
    <cellStyle name="Normal 30 4 5" xfId="17610"/>
    <cellStyle name="Normal 30 5" xfId="5653"/>
    <cellStyle name="Normal 30 5 2" xfId="19303"/>
    <cellStyle name="Normal 30 6" xfId="9113"/>
    <cellStyle name="Normal 30 6 2" xfId="22756"/>
    <cellStyle name="Normal 30 7" xfId="12256"/>
    <cellStyle name="Normal 30 7 2" xfId="25884"/>
    <cellStyle name="Normal 30 8" xfId="15884"/>
    <cellStyle name="Normal 300" xfId="29141"/>
    <cellStyle name="Normal 301" xfId="29150"/>
    <cellStyle name="Normal 302" xfId="15832"/>
    <cellStyle name="Normal 303" xfId="15833"/>
    <cellStyle name="Normal 304" xfId="16210"/>
    <cellStyle name="Normal 305" xfId="17318"/>
    <cellStyle name="Normal 306" xfId="29582"/>
    <cellStyle name="Normal 307" xfId="29606"/>
    <cellStyle name="Normal 308" xfId="29713"/>
    <cellStyle name="Normal 31" xfId="326"/>
    <cellStyle name="Normal 31 2" xfId="489"/>
    <cellStyle name="Normal 31 3" xfId="3118"/>
    <cellStyle name="Normal 31 3 2" xfId="4913"/>
    <cellStyle name="Normal 31 3 2 2" xfId="8179"/>
    <cellStyle name="Normal 31 3 2 2 2" xfId="21827"/>
    <cellStyle name="Normal 31 3 2 3" xfId="11246"/>
    <cellStyle name="Normal 31 3 2 3 2" xfId="24877"/>
    <cellStyle name="Normal 31 3 2 4" xfId="14542"/>
    <cellStyle name="Normal 31 3 2 4 2" xfId="28170"/>
    <cellStyle name="Normal 31 3 2 5" xfId="18571"/>
    <cellStyle name="Normal 31 3 3" xfId="6600"/>
    <cellStyle name="Normal 31 3 3 2" xfId="20250"/>
    <cellStyle name="Normal 31 3 4" xfId="9821"/>
    <cellStyle name="Normal 31 3 4 2" xfId="23452"/>
    <cellStyle name="Normal 31 3 5" xfId="13116"/>
    <cellStyle name="Normal 31 3 5 2" xfId="26744"/>
    <cellStyle name="Normal 31 3 6" xfId="17036"/>
    <cellStyle name="Normal 31 4" xfId="3814"/>
    <cellStyle name="Normal 31 4 2" xfId="7246"/>
    <cellStyle name="Normal 31 4 2 2" xfId="20894"/>
    <cellStyle name="Normal 31 4 3" xfId="10384"/>
    <cellStyle name="Normal 31 4 3 2" xfId="24015"/>
    <cellStyle name="Normal 31 4 4" xfId="13680"/>
    <cellStyle name="Normal 31 4 4 2" xfId="27308"/>
    <cellStyle name="Normal 31 4 5" xfId="17611"/>
    <cellStyle name="Normal 31 5" xfId="5654"/>
    <cellStyle name="Normal 31 5 2" xfId="19304"/>
    <cellStyle name="Normal 31 6" xfId="9112"/>
    <cellStyle name="Normal 31 6 2" xfId="22755"/>
    <cellStyle name="Normal 31 7" xfId="12257"/>
    <cellStyle name="Normal 31 7 2" xfId="25885"/>
    <cellStyle name="Normal 31 8" xfId="15885"/>
    <cellStyle name="Normal 32" xfId="327"/>
    <cellStyle name="Normal 32 2" xfId="491"/>
    <cellStyle name="Normal 32 3" xfId="3117"/>
    <cellStyle name="Normal 32 3 2" xfId="4912"/>
    <cellStyle name="Normal 32 3 2 2" xfId="8178"/>
    <cellStyle name="Normal 32 3 2 2 2" xfId="21826"/>
    <cellStyle name="Normal 32 3 2 3" xfId="11245"/>
    <cellStyle name="Normal 32 3 2 3 2" xfId="24876"/>
    <cellStyle name="Normal 32 3 2 4" xfId="14541"/>
    <cellStyle name="Normal 32 3 2 4 2" xfId="28169"/>
    <cellStyle name="Normal 32 3 2 5" xfId="18570"/>
    <cellStyle name="Normal 32 3 3" xfId="6599"/>
    <cellStyle name="Normal 32 3 3 2" xfId="20249"/>
    <cellStyle name="Normal 32 3 4" xfId="9820"/>
    <cellStyle name="Normal 32 3 4 2" xfId="23451"/>
    <cellStyle name="Normal 32 3 5" xfId="13115"/>
    <cellStyle name="Normal 32 3 5 2" xfId="26743"/>
    <cellStyle name="Normal 32 3 6" xfId="17035"/>
    <cellStyle name="Normal 32 4" xfId="3815"/>
    <cellStyle name="Normal 32 4 2" xfId="7247"/>
    <cellStyle name="Normal 32 4 2 2" xfId="20895"/>
    <cellStyle name="Normal 32 4 3" xfId="10385"/>
    <cellStyle name="Normal 32 4 3 2" xfId="24016"/>
    <cellStyle name="Normal 32 4 4" xfId="13681"/>
    <cellStyle name="Normal 32 4 4 2" xfId="27309"/>
    <cellStyle name="Normal 32 4 5" xfId="17612"/>
    <cellStyle name="Normal 32 5" xfId="5655"/>
    <cellStyle name="Normal 32 5 2" xfId="19305"/>
    <cellStyle name="Normal 32 6" xfId="9111"/>
    <cellStyle name="Normal 32 6 2" xfId="22754"/>
    <cellStyle name="Normal 32 7" xfId="12258"/>
    <cellStyle name="Normal 32 7 2" xfId="25886"/>
    <cellStyle name="Normal 32 8" xfId="15886"/>
    <cellStyle name="Normal 33" xfId="328"/>
    <cellStyle name="Normal 33 2" xfId="490"/>
    <cellStyle name="Normal 33 3" xfId="3116"/>
    <cellStyle name="Normal 33 3 2" xfId="4911"/>
    <cellStyle name="Normal 33 3 2 2" xfId="8177"/>
    <cellStyle name="Normal 33 3 2 2 2" xfId="21825"/>
    <cellStyle name="Normal 33 3 2 3" xfId="11244"/>
    <cellStyle name="Normal 33 3 2 3 2" xfId="24875"/>
    <cellStyle name="Normal 33 3 2 4" xfId="14540"/>
    <cellStyle name="Normal 33 3 2 4 2" xfId="28168"/>
    <cellStyle name="Normal 33 3 2 5" xfId="18569"/>
    <cellStyle name="Normal 33 3 3" xfId="6598"/>
    <cellStyle name="Normal 33 3 3 2" xfId="20248"/>
    <cellStyle name="Normal 33 3 4" xfId="9819"/>
    <cellStyle name="Normal 33 3 4 2" xfId="23450"/>
    <cellStyle name="Normal 33 3 5" xfId="13114"/>
    <cellStyle name="Normal 33 3 5 2" xfId="26742"/>
    <cellStyle name="Normal 33 3 6" xfId="17034"/>
    <cellStyle name="Normal 33 4" xfId="3816"/>
    <cellStyle name="Normal 33 4 2" xfId="7248"/>
    <cellStyle name="Normal 33 4 2 2" xfId="20896"/>
    <cellStyle name="Normal 33 4 3" xfId="10386"/>
    <cellStyle name="Normal 33 4 3 2" xfId="24017"/>
    <cellStyle name="Normal 33 4 4" xfId="13682"/>
    <cellStyle name="Normal 33 4 4 2" xfId="27310"/>
    <cellStyle name="Normal 33 4 5" xfId="17613"/>
    <cellStyle name="Normal 33 5" xfId="5656"/>
    <cellStyle name="Normal 33 5 2" xfId="19306"/>
    <cellStyle name="Normal 33 6" xfId="9110"/>
    <cellStyle name="Normal 33 6 2" xfId="22753"/>
    <cellStyle name="Normal 33 7" xfId="12259"/>
    <cellStyle name="Normal 33 7 2" xfId="25887"/>
    <cellStyle name="Normal 33 8" xfId="15887"/>
    <cellStyle name="Normal 34" xfId="329"/>
    <cellStyle name="Normal 34 10" xfId="15888"/>
    <cellStyle name="Normal 34 11" xfId="29666"/>
    <cellStyle name="Normal 34 2" xfId="487"/>
    <cellStyle name="Normal 34 3" xfId="1130"/>
    <cellStyle name="Normal 34 3 10" xfId="11982"/>
    <cellStyle name="Normal 34 3 10 2" xfId="25613"/>
    <cellStyle name="Normal 34 3 11" xfId="12145"/>
    <cellStyle name="Normal 34 3 11 2" xfId="25773"/>
    <cellStyle name="Normal 34 3 12" xfId="12383"/>
    <cellStyle name="Normal 34 3 12 2" xfId="26011"/>
    <cellStyle name="Normal 34 3 13" xfId="16131"/>
    <cellStyle name="Normal 34 3 2" xfId="2173"/>
    <cellStyle name="Normal 34 3 2 2" xfId="3286"/>
    <cellStyle name="Normal 34 3 2 2 2" xfId="5032"/>
    <cellStyle name="Normal 34 3 2 2 2 2" xfId="8296"/>
    <cellStyle name="Normal 34 3 2 2 2 2 2" xfId="21944"/>
    <cellStyle name="Normal 34 3 2 2 2 3" xfId="11363"/>
    <cellStyle name="Normal 34 3 2 2 2 3 2" xfId="24994"/>
    <cellStyle name="Normal 34 3 2 2 2 4" xfId="14659"/>
    <cellStyle name="Normal 34 3 2 2 2 4 2" xfId="28287"/>
    <cellStyle name="Normal 34 3 2 2 2 5" xfId="18690"/>
    <cellStyle name="Normal 34 3 2 2 3" xfId="6720"/>
    <cellStyle name="Normal 34 3 2 2 3 2" xfId="20370"/>
    <cellStyle name="Normal 34 3 2 2 4" xfId="9940"/>
    <cellStyle name="Normal 34 3 2 2 4 2" xfId="23571"/>
    <cellStyle name="Normal 34 3 2 2 5" xfId="13235"/>
    <cellStyle name="Normal 34 3 2 2 5 2" xfId="26863"/>
    <cellStyle name="Normal 34 3 2 2 6" xfId="17165"/>
    <cellStyle name="Normal 34 3 2 3" xfId="4086"/>
    <cellStyle name="Normal 34 3 2 3 2" xfId="7516"/>
    <cellStyle name="Normal 34 3 2 3 2 2" xfId="21164"/>
    <cellStyle name="Normal 34 3 2 3 3" xfId="10654"/>
    <cellStyle name="Normal 34 3 2 3 3 2" xfId="24285"/>
    <cellStyle name="Normal 34 3 2 3 4" xfId="13950"/>
    <cellStyle name="Normal 34 3 2 3 4 2" xfId="27578"/>
    <cellStyle name="Normal 34 3 2 3 5" xfId="17881"/>
    <cellStyle name="Normal 34 3 2 4" xfId="5922"/>
    <cellStyle name="Normal 34 3 2 4 2" xfId="19572"/>
    <cellStyle name="Normal 34 3 2 5" xfId="9208"/>
    <cellStyle name="Normal 34 3 2 5 2" xfId="22850"/>
    <cellStyle name="Normal 34 3 2 6" xfId="12522"/>
    <cellStyle name="Normal 34 3 2 6 2" xfId="26150"/>
    <cellStyle name="Normal 34 3 2 7" xfId="16367"/>
    <cellStyle name="Normal 34 3 3" xfId="2445"/>
    <cellStyle name="Normal 34 3 3 2" xfId="3551"/>
    <cellStyle name="Normal 34 3 3 2 2" xfId="5218"/>
    <cellStyle name="Normal 34 3 3 2 2 2" xfId="8482"/>
    <cellStyle name="Normal 34 3 3 2 2 2 2" xfId="22130"/>
    <cellStyle name="Normal 34 3 3 2 2 3" xfId="11549"/>
    <cellStyle name="Normal 34 3 3 2 2 3 2" xfId="25180"/>
    <cellStyle name="Normal 34 3 3 2 2 4" xfId="14845"/>
    <cellStyle name="Normal 34 3 3 2 2 4 2" xfId="28473"/>
    <cellStyle name="Normal 34 3 3 2 2 5" xfId="18876"/>
    <cellStyle name="Normal 34 3 3 2 3" xfId="6985"/>
    <cellStyle name="Normal 34 3 3 2 3 2" xfId="20635"/>
    <cellStyle name="Normal 34 3 3 2 4" xfId="10126"/>
    <cellStyle name="Normal 34 3 3 2 4 2" xfId="23757"/>
    <cellStyle name="Normal 34 3 3 2 5" xfId="13421"/>
    <cellStyle name="Normal 34 3 3 2 5 2" xfId="27049"/>
    <cellStyle name="Normal 34 3 3 2 6" xfId="17352"/>
    <cellStyle name="Normal 34 3 3 3" xfId="4272"/>
    <cellStyle name="Normal 34 3 3 3 2" xfId="7702"/>
    <cellStyle name="Normal 34 3 3 3 2 2" xfId="21350"/>
    <cellStyle name="Normal 34 3 3 3 3" xfId="10840"/>
    <cellStyle name="Normal 34 3 3 3 3 2" xfId="24471"/>
    <cellStyle name="Normal 34 3 3 3 4" xfId="14136"/>
    <cellStyle name="Normal 34 3 3 3 4 2" xfId="27764"/>
    <cellStyle name="Normal 34 3 3 3 5" xfId="18067"/>
    <cellStyle name="Normal 34 3 3 4" xfId="6108"/>
    <cellStyle name="Normal 34 3 3 4 2" xfId="19758"/>
    <cellStyle name="Normal 34 3 3 5" xfId="9394"/>
    <cellStyle name="Normal 34 3 3 5 2" xfId="23036"/>
    <cellStyle name="Normal 34 3 3 6" xfId="12708"/>
    <cellStyle name="Normal 34 3 3 6 2" xfId="26336"/>
    <cellStyle name="Normal 34 3 3 7" xfId="16556"/>
    <cellStyle name="Normal 34 3 4" xfId="2754"/>
    <cellStyle name="Normal 34 3 4 2" xfId="3708"/>
    <cellStyle name="Normal 34 3 4 2 2" xfId="5375"/>
    <cellStyle name="Normal 34 3 4 2 2 2" xfId="8638"/>
    <cellStyle name="Normal 34 3 4 2 2 2 2" xfId="22286"/>
    <cellStyle name="Normal 34 3 4 2 2 3" xfId="11705"/>
    <cellStyle name="Normal 34 3 4 2 2 3 2" xfId="25336"/>
    <cellStyle name="Normal 34 3 4 2 2 4" xfId="15001"/>
    <cellStyle name="Normal 34 3 4 2 2 4 2" xfId="28629"/>
    <cellStyle name="Normal 34 3 4 2 2 5" xfId="19033"/>
    <cellStyle name="Normal 34 3 4 2 3" xfId="7142"/>
    <cellStyle name="Normal 34 3 4 2 3 2" xfId="20792"/>
    <cellStyle name="Normal 34 3 4 2 4" xfId="10283"/>
    <cellStyle name="Normal 34 3 4 2 4 2" xfId="23914"/>
    <cellStyle name="Normal 34 3 4 2 5" xfId="13578"/>
    <cellStyle name="Normal 34 3 4 2 5 2" xfId="27206"/>
    <cellStyle name="Normal 34 3 4 2 6" xfId="17509"/>
    <cellStyle name="Normal 34 3 4 3" xfId="4497"/>
    <cellStyle name="Normal 34 3 4 3 2" xfId="7927"/>
    <cellStyle name="Normal 34 3 4 3 2 2" xfId="21575"/>
    <cellStyle name="Normal 34 3 4 3 3" xfId="10996"/>
    <cellStyle name="Normal 34 3 4 3 3 2" xfId="24627"/>
    <cellStyle name="Normal 34 3 4 3 4" xfId="14292"/>
    <cellStyle name="Normal 34 3 4 3 4 2" xfId="27920"/>
    <cellStyle name="Normal 34 3 4 3 5" xfId="18292"/>
    <cellStyle name="Normal 34 3 4 4" xfId="6348"/>
    <cellStyle name="Normal 34 3 4 4 2" xfId="19998"/>
    <cellStyle name="Normal 34 3 4 5" xfId="9550"/>
    <cellStyle name="Normal 34 3 4 5 2" xfId="23192"/>
    <cellStyle name="Normal 34 3 4 6" xfId="12864"/>
    <cellStyle name="Normal 34 3 4 6 2" xfId="26492"/>
    <cellStyle name="Normal 34 3 4 7" xfId="16781"/>
    <cellStyle name="Normal 34 3 5" xfId="2866"/>
    <cellStyle name="Normal 34 3 5 2" xfId="4754"/>
    <cellStyle name="Normal 34 3 5 2 2" xfId="8022"/>
    <cellStyle name="Normal 34 3 5 2 2 2" xfId="21670"/>
    <cellStyle name="Normal 34 3 5 2 3" xfId="11091"/>
    <cellStyle name="Normal 34 3 5 2 3 2" xfId="24722"/>
    <cellStyle name="Normal 34 3 5 2 4" xfId="14387"/>
    <cellStyle name="Normal 34 3 5 2 4 2" xfId="28015"/>
    <cellStyle name="Normal 34 3 5 2 5" xfId="18413"/>
    <cellStyle name="Normal 34 3 5 3" xfId="6444"/>
    <cellStyle name="Normal 34 3 5 3 2" xfId="20094"/>
    <cellStyle name="Normal 34 3 5 4" xfId="9665"/>
    <cellStyle name="Normal 34 3 5 4 2" xfId="23296"/>
    <cellStyle name="Normal 34 3 5 5" xfId="12960"/>
    <cellStyle name="Normal 34 3 5 5 2" xfId="26588"/>
    <cellStyle name="Normal 34 3 5 6" xfId="16876"/>
    <cellStyle name="Normal 34 3 6" xfId="3946"/>
    <cellStyle name="Normal 34 3 6 2" xfId="7376"/>
    <cellStyle name="Normal 34 3 6 2 2" xfId="21024"/>
    <cellStyle name="Normal 34 3 6 3" xfId="10514"/>
    <cellStyle name="Normal 34 3 6 3 2" xfId="24145"/>
    <cellStyle name="Normal 34 3 6 4" xfId="13810"/>
    <cellStyle name="Normal 34 3 6 4 2" xfId="27438"/>
    <cellStyle name="Normal 34 3 6 5" xfId="17741"/>
    <cellStyle name="Normal 34 3 7" xfId="5541"/>
    <cellStyle name="Normal 34 3 7 2" xfId="8802"/>
    <cellStyle name="Normal 34 3 7 2 2" xfId="22445"/>
    <cellStyle name="Normal 34 3 7 3" xfId="11862"/>
    <cellStyle name="Normal 34 3 7 3 2" xfId="25493"/>
    <cellStyle name="Normal 34 3 7 4" xfId="15158"/>
    <cellStyle name="Normal 34 3 7 4 2" xfId="28786"/>
    <cellStyle name="Normal 34 3 7 5" xfId="19191"/>
    <cellStyle name="Normal 34 3 8" xfId="5783"/>
    <cellStyle name="Normal 34 3 8 2" xfId="19433"/>
    <cellStyle name="Normal 34 3 9" xfId="8993"/>
    <cellStyle name="Normal 34 3 9 2" xfId="22636"/>
    <cellStyle name="Normal 34 4" xfId="2960"/>
    <cellStyle name="Normal 34 4 2" xfId="4802"/>
    <cellStyle name="Normal 34 4 2 2" xfId="8069"/>
    <cellStyle name="Normal 34 4 2 2 2" xfId="21717"/>
    <cellStyle name="Normal 34 4 2 3" xfId="11138"/>
    <cellStyle name="Normal 34 4 2 3 2" xfId="24769"/>
    <cellStyle name="Normal 34 4 2 4" xfId="14434"/>
    <cellStyle name="Normal 34 4 2 4 2" xfId="28062"/>
    <cellStyle name="Normal 34 4 2 5" xfId="18461"/>
    <cellStyle name="Normal 34 4 3" xfId="6492"/>
    <cellStyle name="Normal 34 4 3 2" xfId="20142"/>
    <cellStyle name="Normal 34 4 4" xfId="9713"/>
    <cellStyle name="Normal 34 4 4 2" xfId="23344"/>
    <cellStyle name="Normal 34 4 5" xfId="13008"/>
    <cellStyle name="Normal 34 4 5 2" xfId="26636"/>
    <cellStyle name="Normal 34 4 6" xfId="16926"/>
    <cellStyle name="Normal 34 5" xfId="3817"/>
    <cellStyle name="Normal 34 5 2" xfId="7249"/>
    <cellStyle name="Normal 34 5 2 2" xfId="20897"/>
    <cellStyle name="Normal 34 5 3" xfId="10387"/>
    <cellStyle name="Normal 34 5 3 2" xfId="24018"/>
    <cellStyle name="Normal 34 5 4" xfId="13683"/>
    <cellStyle name="Normal 34 5 4 2" xfId="27311"/>
    <cellStyle name="Normal 34 5 5" xfId="17614"/>
    <cellStyle name="Normal 34 6" xfId="5657"/>
    <cellStyle name="Normal 34 6 2" xfId="19307"/>
    <cellStyle name="Normal 34 7" xfId="12260"/>
    <cellStyle name="Normal 34 7 2" xfId="25888"/>
    <cellStyle name="Normal 34 8" xfId="15312"/>
    <cellStyle name="Normal 34 8 2" xfId="28910"/>
    <cellStyle name="Normal 34 9" xfId="15532"/>
    <cellStyle name="Normal 34 9 2" xfId="29029"/>
    <cellStyle name="Normal 35" xfId="330"/>
    <cellStyle name="Normal 35 2" xfId="488"/>
    <cellStyle name="Normal 35 3" xfId="1131"/>
    <cellStyle name="Normal 35 4" xfId="3115"/>
    <cellStyle name="Normal 35 4 2" xfId="4910"/>
    <cellStyle name="Normal 35 4 2 2" xfId="8176"/>
    <cellStyle name="Normal 35 4 2 2 2" xfId="21824"/>
    <cellStyle name="Normal 35 4 2 3" xfId="11243"/>
    <cellStyle name="Normal 35 4 2 3 2" xfId="24874"/>
    <cellStyle name="Normal 35 4 2 4" xfId="14539"/>
    <cellStyle name="Normal 35 4 2 4 2" xfId="28167"/>
    <cellStyle name="Normal 35 4 2 5" xfId="18568"/>
    <cellStyle name="Normal 35 4 3" xfId="6597"/>
    <cellStyle name="Normal 35 4 3 2" xfId="20247"/>
    <cellStyle name="Normal 35 4 4" xfId="9818"/>
    <cellStyle name="Normal 35 4 4 2" xfId="23449"/>
    <cellStyle name="Normal 35 4 5" xfId="13113"/>
    <cellStyle name="Normal 35 4 5 2" xfId="26741"/>
    <cellStyle name="Normal 35 4 6" xfId="17033"/>
    <cellStyle name="Normal 35 5" xfId="3818"/>
    <cellStyle name="Normal 35 5 2" xfId="7250"/>
    <cellStyle name="Normal 35 5 2 2" xfId="20898"/>
    <cellStyle name="Normal 35 5 3" xfId="10388"/>
    <cellStyle name="Normal 35 5 3 2" xfId="24019"/>
    <cellStyle name="Normal 35 5 4" xfId="13684"/>
    <cellStyle name="Normal 35 5 4 2" xfId="27312"/>
    <cellStyle name="Normal 35 5 5" xfId="17615"/>
    <cellStyle name="Normal 35 6" xfId="5658"/>
    <cellStyle name="Normal 35 6 2" xfId="19308"/>
    <cellStyle name="Normal 35 7" xfId="9109"/>
    <cellStyle name="Normal 35 7 2" xfId="22752"/>
    <cellStyle name="Normal 35 8" xfId="12261"/>
    <cellStyle name="Normal 35 8 2" xfId="25889"/>
    <cellStyle name="Normal 35 9" xfId="15889"/>
    <cellStyle name="Normal 36" xfId="331"/>
    <cellStyle name="Normal 36 2" xfId="493"/>
    <cellStyle name="Normal 36 3" xfId="1132"/>
    <cellStyle name="Normal 36 4" xfId="3114"/>
    <cellStyle name="Normal 36 4 2" xfId="4909"/>
    <cellStyle name="Normal 36 4 2 2" xfId="8175"/>
    <cellStyle name="Normal 36 4 2 2 2" xfId="21823"/>
    <cellStyle name="Normal 36 4 2 3" xfId="11242"/>
    <cellStyle name="Normal 36 4 2 3 2" xfId="24873"/>
    <cellStyle name="Normal 36 4 2 4" xfId="14538"/>
    <cellStyle name="Normal 36 4 2 4 2" xfId="28166"/>
    <cellStyle name="Normal 36 4 2 5" xfId="18567"/>
    <cellStyle name="Normal 36 4 3" xfId="6596"/>
    <cellStyle name="Normal 36 4 3 2" xfId="20246"/>
    <cellStyle name="Normal 36 4 4" xfId="9817"/>
    <cellStyle name="Normal 36 4 4 2" xfId="23448"/>
    <cellStyle name="Normal 36 4 5" xfId="13112"/>
    <cellStyle name="Normal 36 4 5 2" xfId="26740"/>
    <cellStyle name="Normal 36 4 6" xfId="17032"/>
    <cellStyle name="Normal 36 5" xfId="3819"/>
    <cellStyle name="Normal 36 5 2" xfId="7251"/>
    <cellStyle name="Normal 36 5 2 2" xfId="20899"/>
    <cellStyle name="Normal 36 5 3" xfId="10389"/>
    <cellStyle name="Normal 36 5 3 2" xfId="24020"/>
    <cellStyle name="Normal 36 5 4" xfId="13685"/>
    <cellStyle name="Normal 36 5 4 2" xfId="27313"/>
    <cellStyle name="Normal 36 5 5" xfId="17616"/>
    <cellStyle name="Normal 36 6" xfId="5659"/>
    <cellStyle name="Normal 36 6 2" xfId="19309"/>
    <cellStyle name="Normal 36 7" xfId="9108"/>
    <cellStyle name="Normal 36 7 2" xfId="22751"/>
    <cellStyle name="Normal 36 8" xfId="12262"/>
    <cellStyle name="Normal 36 8 2" xfId="25890"/>
    <cellStyle name="Normal 36 9" xfId="15890"/>
    <cellStyle name="Normal 37" xfId="332"/>
    <cellStyle name="Normal 37 2" xfId="1134"/>
    <cellStyle name="Normal 37 3" xfId="1133"/>
    <cellStyle name="Normal 37 4" xfId="3113"/>
    <cellStyle name="Normal 37 4 2" xfId="4908"/>
    <cellStyle name="Normal 37 4 2 2" xfId="8174"/>
    <cellStyle name="Normal 37 4 2 2 2" xfId="21822"/>
    <cellStyle name="Normal 37 4 2 3" xfId="11241"/>
    <cellStyle name="Normal 37 4 2 3 2" xfId="24872"/>
    <cellStyle name="Normal 37 4 2 4" xfId="14537"/>
    <cellStyle name="Normal 37 4 2 4 2" xfId="28165"/>
    <cellStyle name="Normal 37 4 2 5" xfId="18566"/>
    <cellStyle name="Normal 37 4 3" xfId="6595"/>
    <cellStyle name="Normal 37 4 3 2" xfId="20245"/>
    <cellStyle name="Normal 37 4 4" xfId="9816"/>
    <cellStyle name="Normal 37 4 4 2" xfId="23447"/>
    <cellStyle name="Normal 37 4 5" xfId="13111"/>
    <cellStyle name="Normal 37 4 5 2" xfId="26739"/>
    <cellStyle name="Normal 37 4 6" xfId="17031"/>
    <cellStyle name="Normal 37 5" xfId="3820"/>
    <cellStyle name="Normal 37 5 2" xfId="7252"/>
    <cellStyle name="Normal 37 5 2 2" xfId="20900"/>
    <cellStyle name="Normal 37 5 3" xfId="10390"/>
    <cellStyle name="Normal 37 5 3 2" xfId="24021"/>
    <cellStyle name="Normal 37 5 4" xfId="13686"/>
    <cellStyle name="Normal 37 5 4 2" xfId="27314"/>
    <cellStyle name="Normal 37 5 5" xfId="17617"/>
    <cellStyle name="Normal 37 6" xfId="5660"/>
    <cellStyle name="Normal 37 6 2" xfId="19310"/>
    <cellStyle name="Normal 37 7" xfId="9107"/>
    <cellStyle name="Normal 37 7 2" xfId="22750"/>
    <cellStyle name="Normal 37 8" xfId="12263"/>
    <cellStyle name="Normal 37 8 2" xfId="25891"/>
    <cellStyle name="Normal 37 9" xfId="15891"/>
    <cellStyle name="Normal 38" xfId="352"/>
    <cellStyle name="Normal 38 2" xfId="1136"/>
    <cellStyle name="Normal 38 3" xfId="1135"/>
    <cellStyle name="Normal 38 4" xfId="3102"/>
    <cellStyle name="Normal 38 4 2" xfId="4897"/>
    <cellStyle name="Normal 38 4 2 2" xfId="8163"/>
    <cellStyle name="Normal 38 4 2 2 2" xfId="21811"/>
    <cellStyle name="Normal 38 4 2 3" xfId="11230"/>
    <cellStyle name="Normal 38 4 2 3 2" xfId="24861"/>
    <cellStyle name="Normal 38 4 2 4" xfId="14526"/>
    <cellStyle name="Normal 38 4 2 4 2" xfId="28154"/>
    <cellStyle name="Normal 38 4 2 5" xfId="18555"/>
    <cellStyle name="Normal 38 4 3" xfId="6584"/>
    <cellStyle name="Normal 38 4 3 2" xfId="20234"/>
    <cellStyle name="Normal 38 4 4" xfId="9805"/>
    <cellStyle name="Normal 38 4 4 2" xfId="23436"/>
    <cellStyle name="Normal 38 4 5" xfId="13100"/>
    <cellStyle name="Normal 38 4 5 2" xfId="26728"/>
    <cellStyle name="Normal 38 4 6" xfId="17020"/>
    <cellStyle name="Normal 38 5" xfId="3832"/>
    <cellStyle name="Normal 38 5 2" xfId="7264"/>
    <cellStyle name="Normal 38 5 2 2" xfId="20912"/>
    <cellStyle name="Normal 38 5 3" xfId="10402"/>
    <cellStyle name="Normal 38 5 3 2" xfId="24033"/>
    <cellStyle name="Normal 38 5 4" xfId="13698"/>
    <cellStyle name="Normal 38 5 4 2" xfId="27326"/>
    <cellStyle name="Normal 38 5 5" xfId="17629"/>
    <cellStyle name="Normal 38 6" xfId="5672"/>
    <cellStyle name="Normal 38 6 2" xfId="19322"/>
    <cellStyle name="Normal 38 7" xfId="9101"/>
    <cellStyle name="Normal 38 7 2" xfId="22744"/>
    <cellStyle name="Normal 38 8" xfId="12275"/>
    <cellStyle name="Normal 38 8 2" xfId="25903"/>
    <cellStyle name="Normal 38 9" xfId="15903"/>
    <cellStyle name="Normal 39" xfId="409"/>
    <cellStyle name="Normal 39 10" xfId="12277"/>
    <cellStyle name="Normal 39 10 2" xfId="25905"/>
    <cellStyle name="Normal 39 11" xfId="15913"/>
    <cellStyle name="Normal 39 2" xfId="1138"/>
    <cellStyle name="Normal 39 3" xfId="1139"/>
    <cellStyle name="Normal 39 4" xfId="1140"/>
    <cellStyle name="Normal 39 5" xfId="1137"/>
    <cellStyle name="Normal 39 6" xfId="3093"/>
    <cellStyle name="Normal 39 6 2" xfId="4893"/>
    <cellStyle name="Normal 39 6 2 2" xfId="8159"/>
    <cellStyle name="Normal 39 6 2 2 2" xfId="21807"/>
    <cellStyle name="Normal 39 6 2 3" xfId="11228"/>
    <cellStyle name="Normal 39 6 2 3 2" xfId="24859"/>
    <cellStyle name="Normal 39 6 2 4" xfId="14524"/>
    <cellStyle name="Normal 39 6 2 4 2" xfId="28152"/>
    <cellStyle name="Normal 39 6 2 5" xfId="18551"/>
    <cellStyle name="Normal 39 6 3" xfId="6582"/>
    <cellStyle name="Normal 39 6 3 2" xfId="20232"/>
    <cellStyle name="Normal 39 6 4" xfId="9803"/>
    <cellStyle name="Normal 39 6 4 2" xfId="23434"/>
    <cellStyle name="Normal 39 6 5" xfId="13098"/>
    <cellStyle name="Normal 39 6 5 2" xfId="26726"/>
    <cellStyle name="Normal 39 6 6" xfId="17016"/>
    <cellStyle name="Normal 39 7" xfId="3834"/>
    <cellStyle name="Normal 39 7 2" xfId="7266"/>
    <cellStyle name="Normal 39 7 2 2" xfId="20914"/>
    <cellStyle name="Normal 39 7 3" xfId="10404"/>
    <cellStyle name="Normal 39 7 3 2" xfId="24035"/>
    <cellStyle name="Normal 39 7 4" xfId="13700"/>
    <cellStyle name="Normal 39 7 4 2" xfId="27328"/>
    <cellStyle name="Normal 39 7 5" xfId="17631"/>
    <cellStyle name="Normal 39 8" xfId="5677"/>
    <cellStyle name="Normal 39 8 2" xfId="19327"/>
    <cellStyle name="Normal 39 9" xfId="9096"/>
    <cellStyle name="Normal 39 9 2" xfId="22739"/>
    <cellStyle name="Normal 4" xfId="75"/>
    <cellStyle name="Normal 4 2" xfId="1141"/>
    <cellStyle name="Normal 4 3" xfId="15770"/>
    <cellStyle name="Normal 40" xfId="420"/>
    <cellStyle name="Normal 40 10" xfId="15923"/>
    <cellStyle name="Normal 40 2" xfId="1143"/>
    <cellStyle name="Normal 40 3" xfId="1144"/>
    <cellStyle name="Normal 40 4" xfId="1142"/>
    <cellStyle name="Normal 40 5" xfId="3084"/>
    <cellStyle name="Normal 40 5 2" xfId="4884"/>
    <cellStyle name="Normal 40 5 2 2" xfId="8150"/>
    <cellStyle name="Normal 40 5 2 2 2" xfId="21798"/>
    <cellStyle name="Normal 40 5 2 3" xfId="11219"/>
    <cellStyle name="Normal 40 5 2 3 2" xfId="24850"/>
    <cellStyle name="Normal 40 5 2 4" xfId="14515"/>
    <cellStyle name="Normal 40 5 2 4 2" xfId="28143"/>
    <cellStyle name="Normal 40 5 2 5" xfId="18542"/>
    <cellStyle name="Normal 40 5 3" xfId="6573"/>
    <cellStyle name="Normal 40 5 3 2" xfId="20223"/>
    <cellStyle name="Normal 40 5 4" xfId="9794"/>
    <cellStyle name="Normal 40 5 4 2" xfId="23425"/>
    <cellStyle name="Normal 40 5 5" xfId="13089"/>
    <cellStyle name="Normal 40 5 5 2" xfId="26717"/>
    <cellStyle name="Normal 40 5 6" xfId="17007"/>
    <cellStyle name="Normal 40 6" xfId="3844"/>
    <cellStyle name="Normal 40 6 2" xfId="7276"/>
    <cellStyle name="Normal 40 6 2 2" xfId="20924"/>
    <cellStyle name="Normal 40 6 3" xfId="10414"/>
    <cellStyle name="Normal 40 6 3 2" xfId="24045"/>
    <cellStyle name="Normal 40 6 4" xfId="13710"/>
    <cellStyle name="Normal 40 6 4 2" xfId="27338"/>
    <cellStyle name="Normal 40 6 5" xfId="17641"/>
    <cellStyle name="Normal 40 7" xfId="5687"/>
    <cellStyle name="Normal 40 7 2" xfId="19337"/>
    <cellStyle name="Normal 40 8" xfId="9088"/>
    <cellStyle name="Normal 40 8 2" xfId="22731"/>
    <cellStyle name="Normal 40 9" xfId="12287"/>
    <cellStyle name="Normal 40 9 2" xfId="25915"/>
    <cellStyle name="Normal 41" xfId="461"/>
    <cellStyle name="Normal 41 10" xfId="15964"/>
    <cellStyle name="Normal 41 2" xfId="1146"/>
    <cellStyle name="Normal 41 3" xfId="1147"/>
    <cellStyle name="Normal 41 4" xfId="1145"/>
    <cellStyle name="Normal 41 5" xfId="3082"/>
    <cellStyle name="Normal 41 5 2" xfId="4883"/>
    <cellStyle name="Normal 41 5 2 2" xfId="8149"/>
    <cellStyle name="Normal 41 5 2 2 2" xfId="21797"/>
    <cellStyle name="Normal 41 5 2 3" xfId="11218"/>
    <cellStyle name="Normal 41 5 2 3 2" xfId="24849"/>
    <cellStyle name="Normal 41 5 2 4" xfId="14514"/>
    <cellStyle name="Normal 41 5 2 4 2" xfId="28142"/>
    <cellStyle name="Normal 41 5 2 5" xfId="18541"/>
    <cellStyle name="Normal 41 5 3" xfId="6572"/>
    <cellStyle name="Normal 41 5 3 2" xfId="20222"/>
    <cellStyle name="Normal 41 5 4" xfId="9793"/>
    <cellStyle name="Normal 41 5 4 2" xfId="23424"/>
    <cellStyle name="Normal 41 5 5" xfId="13088"/>
    <cellStyle name="Normal 41 5 5 2" xfId="26716"/>
    <cellStyle name="Normal 41 5 6" xfId="17006"/>
    <cellStyle name="Normal 41 6" xfId="3847"/>
    <cellStyle name="Normal 41 6 2" xfId="7277"/>
    <cellStyle name="Normal 41 6 2 2" xfId="20925"/>
    <cellStyle name="Normal 41 6 3" xfId="10415"/>
    <cellStyle name="Normal 41 6 3 2" xfId="24046"/>
    <cellStyle name="Normal 41 6 4" xfId="13711"/>
    <cellStyle name="Normal 41 6 4 2" xfId="27339"/>
    <cellStyle name="Normal 41 6 5" xfId="17642"/>
    <cellStyle name="Normal 41 7" xfId="5688"/>
    <cellStyle name="Normal 41 7 2" xfId="19338"/>
    <cellStyle name="Normal 41 8" xfId="9087"/>
    <cellStyle name="Normal 41 8 2" xfId="22730"/>
    <cellStyle name="Normal 41 9" xfId="12288"/>
    <cellStyle name="Normal 41 9 2" xfId="25916"/>
    <cellStyle name="Normal 42" xfId="496"/>
    <cellStyle name="Normal 42 10" xfId="5542"/>
    <cellStyle name="Normal 42 10 2" xfId="8803"/>
    <cellStyle name="Normal 42 10 2 2" xfId="22446"/>
    <cellStyle name="Normal 42 10 3" xfId="11863"/>
    <cellStyle name="Normal 42 10 3 2" xfId="25494"/>
    <cellStyle name="Normal 42 10 4" xfId="15159"/>
    <cellStyle name="Normal 42 10 4 2" xfId="28787"/>
    <cellStyle name="Normal 42 10 5" xfId="19192"/>
    <cellStyle name="Normal 42 11" xfId="5712"/>
    <cellStyle name="Normal 42 11 2" xfId="19362"/>
    <cellStyle name="Normal 42 12" xfId="8994"/>
    <cellStyle name="Normal 42 12 2" xfId="22637"/>
    <cellStyle name="Normal 42 13" xfId="11983"/>
    <cellStyle name="Normal 42 13 2" xfId="25614"/>
    <cellStyle name="Normal 42 14" xfId="12146"/>
    <cellStyle name="Normal 42 14 2" xfId="25774"/>
    <cellStyle name="Normal 42 15" xfId="12312"/>
    <cellStyle name="Normal 42 15 2" xfId="25940"/>
    <cellStyle name="Normal 42 16" xfId="15313"/>
    <cellStyle name="Normal 42 16 2" xfId="28911"/>
    <cellStyle name="Normal 42 17" xfId="15533"/>
    <cellStyle name="Normal 42 17 2" xfId="29030"/>
    <cellStyle name="Normal 42 18" xfId="15990"/>
    <cellStyle name="Normal 42 19" xfId="29667"/>
    <cellStyle name="Normal 42 2" xfId="1149"/>
    <cellStyle name="Normal 42 2 10" xfId="11984"/>
    <cellStyle name="Normal 42 2 10 2" xfId="25615"/>
    <cellStyle name="Normal 42 2 11" xfId="12147"/>
    <cellStyle name="Normal 42 2 11 2" xfId="25775"/>
    <cellStyle name="Normal 42 2 12" xfId="12385"/>
    <cellStyle name="Normal 42 2 12 2" xfId="26013"/>
    <cellStyle name="Normal 42 2 13" xfId="15314"/>
    <cellStyle name="Normal 42 2 13 2" xfId="28912"/>
    <cellStyle name="Normal 42 2 14" xfId="15534"/>
    <cellStyle name="Normal 42 2 14 2" xfId="29031"/>
    <cellStyle name="Normal 42 2 15" xfId="16145"/>
    <cellStyle name="Normal 42 2 16" xfId="29668"/>
    <cellStyle name="Normal 42 2 2" xfId="2175"/>
    <cellStyle name="Normal 42 2 2 2" xfId="3288"/>
    <cellStyle name="Normal 42 2 2 2 2" xfId="5034"/>
    <cellStyle name="Normal 42 2 2 2 2 2" xfId="8298"/>
    <cellStyle name="Normal 42 2 2 2 2 2 2" xfId="21946"/>
    <cellStyle name="Normal 42 2 2 2 2 3" xfId="11365"/>
    <cellStyle name="Normal 42 2 2 2 2 3 2" xfId="24996"/>
    <cellStyle name="Normal 42 2 2 2 2 4" xfId="14661"/>
    <cellStyle name="Normal 42 2 2 2 2 4 2" xfId="28289"/>
    <cellStyle name="Normal 42 2 2 2 2 5" xfId="18692"/>
    <cellStyle name="Normal 42 2 2 2 3" xfId="6722"/>
    <cellStyle name="Normal 42 2 2 2 3 2" xfId="20372"/>
    <cellStyle name="Normal 42 2 2 2 4" xfId="9942"/>
    <cellStyle name="Normal 42 2 2 2 4 2" xfId="23573"/>
    <cellStyle name="Normal 42 2 2 2 5" xfId="13237"/>
    <cellStyle name="Normal 42 2 2 2 5 2" xfId="26865"/>
    <cellStyle name="Normal 42 2 2 2 6" xfId="17167"/>
    <cellStyle name="Normal 42 2 2 3" xfId="4088"/>
    <cellStyle name="Normal 42 2 2 3 2" xfId="7518"/>
    <cellStyle name="Normal 42 2 2 3 2 2" xfId="21166"/>
    <cellStyle name="Normal 42 2 2 3 3" xfId="10656"/>
    <cellStyle name="Normal 42 2 2 3 3 2" xfId="24287"/>
    <cellStyle name="Normal 42 2 2 3 4" xfId="13952"/>
    <cellStyle name="Normal 42 2 2 3 4 2" xfId="27580"/>
    <cellStyle name="Normal 42 2 2 3 5" xfId="17883"/>
    <cellStyle name="Normal 42 2 2 4" xfId="5924"/>
    <cellStyle name="Normal 42 2 2 4 2" xfId="19574"/>
    <cellStyle name="Normal 42 2 2 5" xfId="9210"/>
    <cellStyle name="Normal 42 2 2 5 2" xfId="22852"/>
    <cellStyle name="Normal 42 2 2 6" xfId="12524"/>
    <cellStyle name="Normal 42 2 2 6 2" xfId="26152"/>
    <cellStyle name="Normal 42 2 2 7" xfId="16369"/>
    <cellStyle name="Normal 42 2 3" xfId="2447"/>
    <cellStyle name="Normal 42 2 3 2" xfId="3553"/>
    <cellStyle name="Normal 42 2 3 2 2" xfId="5220"/>
    <cellStyle name="Normal 42 2 3 2 2 2" xfId="8484"/>
    <cellStyle name="Normal 42 2 3 2 2 2 2" xfId="22132"/>
    <cellStyle name="Normal 42 2 3 2 2 3" xfId="11551"/>
    <cellStyle name="Normal 42 2 3 2 2 3 2" xfId="25182"/>
    <cellStyle name="Normal 42 2 3 2 2 4" xfId="14847"/>
    <cellStyle name="Normal 42 2 3 2 2 4 2" xfId="28475"/>
    <cellStyle name="Normal 42 2 3 2 2 5" xfId="18878"/>
    <cellStyle name="Normal 42 2 3 2 3" xfId="6987"/>
    <cellStyle name="Normal 42 2 3 2 3 2" xfId="20637"/>
    <cellStyle name="Normal 42 2 3 2 4" xfId="10128"/>
    <cellStyle name="Normal 42 2 3 2 4 2" xfId="23759"/>
    <cellStyle name="Normal 42 2 3 2 5" xfId="13423"/>
    <cellStyle name="Normal 42 2 3 2 5 2" xfId="27051"/>
    <cellStyle name="Normal 42 2 3 2 6" xfId="17354"/>
    <cellStyle name="Normal 42 2 3 3" xfId="4274"/>
    <cellStyle name="Normal 42 2 3 3 2" xfId="7704"/>
    <cellStyle name="Normal 42 2 3 3 2 2" xfId="21352"/>
    <cellStyle name="Normal 42 2 3 3 3" xfId="10842"/>
    <cellStyle name="Normal 42 2 3 3 3 2" xfId="24473"/>
    <cellStyle name="Normal 42 2 3 3 4" xfId="14138"/>
    <cellStyle name="Normal 42 2 3 3 4 2" xfId="27766"/>
    <cellStyle name="Normal 42 2 3 3 5" xfId="18069"/>
    <cellStyle name="Normal 42 2 3 4" xfId="6110"/>
    <cellStyle name="Normal 42 2 3 4 2" xfId="19760"/>
    <cellStyle name="Normal 42 2 3 5" xfId="9396"/>
    <cellStyle name="Normal 42 2 3 5 2" xfId="23038"/>
    <cellStyle name="Normal 42 2 3 6" xfId="12710"/>
    <cellStyle name="Normal 42 2 3 6 2" xfId="26338"/>
    <cellStyle name="Normal 42 2 3 7" xfId="16558"/>
    <cellStyle name="Normal 42 2 4" xfId="2756"/>
    <cellStyle name="Normal 42 2 4 2" xfId="3710"/>
    <cellStyle name="Normal 42 2 4 2 2" xfId="5377"/>
    <cellStyle name="Normal 42 2 4 2 2 2" xfId="8640"/>
    <cellStyle name="Normal 42 2 4 2 2 2 2" xfId="22288"/>
    <cellStyle name="Normal 42 2 4 2 2 3" xfId="11707"/>
    <cellStyle name="Normal 42 2 4 2 2 3 2" xfId="25338"/>
    <cellStyle name="Normal 42 2 4 2 2 4" xfId="15003"/>
    <cellStyle name="Normal 42 2 4 2 2 4 2" xfId="28631"/>
    <cellStyle name="Normal 42 2 4 2 2 5" xfId="19035"/>
    <cellStyle name="Normal 42 2 4 2 3" xfId="7144"/>
    <cellStyle name="Normal 42 2 4 2 3 2" xfId="20794"/>
    <cellStyle name="Normal 42 2 4 2 4" xfId="10285"/>
    <cellStyle name="Normal 42 2 4 2 4 2" xfId="23916"/>
    <cellStyle name="Normal 42 2 4 2 5" xfId="13580"/>
    <cellStyle name="Normal 42 2 4 2 5 2" xfId="27208"/>
    <cellStyle name="Normal 42 2 4 2 6" xfId="17511"/>
    <cellStyle name="Normal 42 2 4 3" xfId="4499"/>
    <cellStyle name="Normal 42 2 4 3 2" xfId="7929"/>
    <cellStyle name="Normal 42 2 4 3 2 2" xfId="21577"/>
    <cellStyle name="Normal 42 2 4 3 3" xfId="10998"/>
    <cellStyle name="Normal 42 2 4 3 3 2" xfId="24629"/>
    <cellStyle name="Normal 42 2 4 3 4" xfId="14294"/>
    <cellStyle name="Normal 42 2 4 3 4 2" xfId="27922"/>
    <cellStyle name="Normal 42 2 4 3 5" xfId="18294"/>
    <cellStyle name="Normal 42 2 4 4" xfId="6350"/>
    <cellStyle name="Normal 42 2 4 4 2" xfId="20000"/>
    <cellStyle name="Normal 42 2 4 5" xfId="9552"/>
    <cellStyle name="Normal 42 2 4 5 2" xfId="23194"/>
    <cellStyle name="Normal 42 2 4 6" xfId="12866"/>
    <cellStyle name="Normal 42 2 4 6 2" xfId="26494"/>
    <cellStyle name="Normal 42 2 4 7" xfId="16783"/>
    <cellStyle name="Normal 42 2 5" xfId="2962"/>
    <cellStyle name="Normal 42 2 5 2" xfId="4804"/>
    <cellStyle name="Normal 42 2 5 2 2" xfId="8071"/>
    <cellStyle name="Normal 42 2 5 2 2 2" xfId="21719"/>
    <cellStyle name="Normal 42 2 5 2 3" xfId="11140"/>
    <cellStyle name="Normal 42 2 5 2 3 2" xfId="24771"/>
    <cellStyle name="Normal 42 2 5 2 4" xfId="14436"/>
    <cellStyle name="Normal 42 2 5 2 4 2" xfId="28064"/>
    <cellStyle name="Normal 42 2 5 2 5" xfId="18463"/>
    <cellStyle name="Normal 42 2 5 3" xfId="6494"/>
    <cellStyle name="Normal 42 2 5 3 2" xfId="20144"/>
    <cellStyle name="Normal 42 2 5 4" xfId="9715"/>
    <cellStyle name="Normal 42 2 5 4 2" xfId="23346"/>
    <cellStyle name="Normal 42 2 5 5" xfId="13010"/>
    <cellStyle name="Normal 42 2 5 5 2" xfId="26638"/>
    <cellStyle name="Normal 42 2 5 6" xfId="16928"/>
    <cellStyle name="Normal 42 2 6" xfId="3948"/>
    <cellStyle name="Normal 42 2 6 2" xfId="7378"/>
    <cellStyle name="Normal 42 2 6 2 2" xfId="21026"/>
    <cellStyle name="Normal 42 2 6 3" xfId="10516"/>
    <cellStyle name="Normal 42 2 6 3 2" xfId="24147"/>
    <cellStyle name="Normal 42 2 6 4" xfId="13812"/>
    <cellStyle name="Normal 42 2 6 4 2" xfId="27440"/>
    <cellStyle name="Normal 42 2 6 5" xfId="17743"/>
    <cellStyle name="Normal 42 2 7" xfId="5543"/>
    <cellStyle name="Normal 42 2 7 2" xfId="8804"/>
    <cellStyle name="Normal 42 2 7 2 2" xfId="22447"/>
    <cellStyle name="Normal 42 2 7 3" xfId="11864"/>
    <cellStyle name="Normal 42 2 7 3 2" xfId="25495"/>
    <cellStyle name="Normal 42 2 7 4" xfId="15160"/>
    <cellStyle name="Normal 42 2 7 4 2" xfId="28788"/>
    <cellStyle name="Normal 42 2 7 5" xfId="19193"/>
    <cellStyle name="Normal 42 2 8" xfId="5785"/>
    <cellStyle name="Normal 42 2 8 2" xfId="19435"/>
    <cellStyle name="Normal 42 2 9" xfId="8995"/>
    <cellStyle name="Normal 42 2 9 2" xfId="22638"/>
    <cellStyle name="Normal 42 3" xfId="1150"/>
    <cellStyle name="Normal 42 4" xfId="1148"/>
    <cellStyle name="Normal 42 4 2" xfId="2865"/>
    <cellStyle name="Normal 42 4 2 2" xfId="4753"/>
    <cellStyle name="Normal 42 4 2 2 2" xfId="8021"/>
    <cellStyle name="Normal 42 4 2 2 2 2" xfId="21669"/>
    <cellStyle name="Normal 42 4 2 2 3" xfId="11090"/>
    <cellStyle name="Normal 42 4 2 2 3 2" xfId="24721"/>
    <cellStyle name="Normal 42 4 2 2 4" xfId="14386"/>
    <cellStyle name="Normal 42 4 2 2 4 2" xfId="28014"/>
    <cellStyle name="Normal 42 4 2 2 5" xfId="18412"/>
    <cellStyle name="Normal 42 4 2 3" xfId="6443"/>
    <cellStyle name="Normal 42 4 2 3 2" xfId="20093"/>
    <cellStyle name="Normal 42 4 2 4" xfId="9664"/>
    <cellStyle name="Normal 42 4 2 4 2" xfId="23295"/>
    <cellStyle name="Normal 42 4 2 5" xfId="12959"/>
    <cellStyle name="Normal 42 4 2 5 2" xfId="26587"/>
    <cellStyle name="Normal 42 4 2 6" xfId="16875"/>
    <cellStyle name="Normal 42 4 3" xfId="3947"/>
    <cellStyle name="Normal 42 4 3 2" xfId="7377"/>
    <cellStyle name="Normal 42 4 3 2 2" xfId="21025"/>
    <cellStyle name="Normal 42 4 3 3" xfId="10515"/>
    <cellStyle name="Normal 42 4 3 3 2" xfId="24146"/>
    <cellStyle name="Normal 42 4 3 4" xfId="13811"/>
    <cellStyle name="Normal 42 4 3 4 2" xfId="27439"/>
    <cellStyle name="Normal 42 4 3 5" xfId="17742"/>
    <cellStyle name="Normal 42 4 4" xfId="5784"/>
    <cellStyle name="Normal 42 4 4 2" xfId="19434"/>
    <cellStyle name="Normal 42 4 5" xfId="8958"/>
    <cellStyle name="Normal 42 4 5 2" xfId="22601"/>
    <cellStyle name="Normal 42 4 6" xfId="12384"/>
    <cellStyle name="Normal 42 4 6 2" xfId="26012"/>
    <cellStyle name="Normal 42 4 7" xfId="16144"/>
    <cellStyle name="Normal 42 5" xfId="2174"/>
    <cellStyle name="Normal 42 5 2" xfId="3287"/>
    <cellStyle name="Normal 42 5 2 2" xfId="5033"/>
    <cellStyle name="Normal 42 5 2 2 2" xfId="8297"/>
    <cellStyle name="Normal 42 5 2 2 2 2" xfId="21945"/>
    <cellStyle name="Normal 42 5 2 2 3" xfId="11364"/>
    <cellStyle name="Normal 42 5 2 2 3 2" xfId="24995"/>
    <cellStyle name="Normal 42 5 2 2 4" xfId="14660"/>
    <cellStyle name="Normal 42 5 2 2 4 2" xfId="28288"/>
    <cellStyle name="Normal 42 5 2 2 5" xfId="18691"/>
    <cellStyle name="Normal 42 5 2 3" xfId="6721"/>
    <cellStyle name="Normal 42 5 2 3 2" xfId="20371"/>
    <cellStyle name="Normal 42 5 2 4" xfId="9941"/>
    <cellStyle name="Normal 42 5 2 4 2" xfId="23572"/>
    <cellStyle name="Normal 42 5 2 5" xfId="13236"/>
    <cellStyle name="Normal 42 5 2 5 2" xfId="26864"/>
    <cellStyle name="Normal 42 5 2 6" xfId="17166"/>
    <cellStyle name="Normal 42 5 3" xfId="4087"/>
    <cellStyle name="Normal 42 5 3 2" xfId="7517"/>
    <cellStyle name="Normal 42 5 3 2 2" xfId="21165"/>
    <cellStyle name="Normal 42 5 3 3" xfId="10655"/>
    <cellStyle name="Normal 42 5 3 3 2" xfId="24286"/>
    <cellStyle name="Normal 42 5 3 4" xfId="13951"/>
    <cellStyle name="Normal 42 5 3 4 2" xfId="27579"/>
    <cellStyle name="Normal 42 5 3 5" xfId="17882"/>
    <cellStyle name="Normal 42 5 4" xfId="5923"/>
    <cellStyle name="Normal 42 5 4 2" xfId="19573"/>
    <cellStyle name="Normal 42 5 5" xfId="9209"/>
    <cellStyle name="Normal 42 5 5 2" xfId="22851"/>
    <cellStyle name="Normal 42 5 6" xfId="12523"/>
    <cellStyle name="Normal 42 5 6 2" xfId="26151"/>
    <cellStyle name="Normal 42 5 7" xfId="16368"/>
    <cellStyle name="Normal 42 6" xfId="2446"/>
    <cellStyle name="Normal 42 6 2" xfId="3552"/>
    <cellStyle name="Normal 42 6 2 2" xfId="5219"/>
    <cellStyle name="Normal 42 6 2 2 2" xfId="8483"/>
    <cellStyle name="Normal 42 6 2 2 2 2" xfId="22131"/>
    <cellStyle name="Normal 42 6 2 2 3" xfId="11550"/>
    <cellStyle name="Normal 42 6 2 2 3 2" xfId="25181"/>
    <cellStyle name="Normal 42 6 2 2 4" xfId="14846"/>
    <cellStyle name="Normal 42 6 2 2 4 2" xfId="28474"/>
    <cellStyle name="Normal 42 6 2 2 5" xfId="18877"/>
    <cellStyle name="Normal 42 6 2 3" xfId="6986"/>
    <cellStyle name="Normal 42 6 2 3 2" xfId="20636"/>
    <cellStyle name="Normal 42 6 2 4" xfId="10127"/>
    <cellStyle name="Normal 42 6 2 4 2" xfId="23758"/>
    <cellStyle name="Normal 42 6 2 5" xfId="13422"/>
    <cellStyle name="Normal 42 6 2 5 2" xfId="27050"/>
    <cellStyle name="Normal 42 6 2 6" xfId="17353"/>
    <cellStyle name="Normal 42 6 3" xfId="4273"/>
    <cellStyle name="Normal 42 6 3 2" xfId="7703"/>
    <cellStyle name="Normal 42 6 3 2 2" xfId="21351"/>
    <cellStyle name="Normal 42 6 3 3" xfId="10841"/>
    <cellStyle name="Normal 42 6 3 3 2" xfId="24472"/>
    <cellStyle name="Normal 42 6 3 4" xfId="14137"/>
    <cellStyle name="Normal 42 6 3 4 2" xfId="27765"/>
    <cellStyle name="Normal 42 6 3 5" xfId="18068"/>
    <cellStyle name="Normal 42 6 4" xfId="6109"/>
    <cellStyle name="Normal 42 6 4 2" xfId="19759"/>
    <cellStyle name="Normal 42 6 5" xfId="9395"/>
    <cellStyle name="Normal 42 6 5 2" xfId="23037"/>
    <cellStyle name="Normal 42 6 6" xfId="12709"/>
    <cellStyle name="Normal 42 6 6 2" xfId="26337"/>
    <cellStyle name="Normal 42 6 7" xfId="16557"/>
    <cellStyle name="Normal 42 7" xfId="2755"/>
    <cellStyle name="Normal 42 7 2" xfId="3709"/>
    <cellStyle name="Normal 42 7 2 2" xfId="5376"/>
    <cellStyle name="Normal 42 7 2 2 2" xfId="8639"/>
    <cellStyle name="Normal 42 7 2 2 2 2" xfId="22287"/>
    <cellStyle name="Normal 42 7 2 2 3" xfId="11706"/>
    <cellStyle name="Normal 42 7 2 2 3 2" xfId="25337"/>
    <cellStyle name="Normal 42 7 2 2 4" xfId="15002"/>
    <cellStyle name="Normal 42 7 2 2 4 2" xfId="28630"/>
    <cellStyle name="Normal 42 7 2 2 5" xfId="19034"/>
    <cellStyle name="Normal 42 7 2 3" xfId="7143"/>
    <cellStyle name="Normal 42 7 2 3 2" xfId="20793"/>
    <cellStyle name="Normal 42 7 2 4" xfId="10284"/>
    <cellStyle name="Normal 42 7 2 4 2" xfId="23915"/>
    <cellStyle name="Normal 42 7 2 5" xfId="13579"/>
    <cellStyle name="Normal 42 7 2 5 2" xfId="27207"/>
    <cellStyle name="Normal 42 7 2 6" xfId="17510"/>
    <cellStyle name="Normal 42 7 3" xfId="4498"/>
    <cellStyle name="Normal 42 7 3 2" xfId="7928"/>
    <cellStyle name="Normal 42 7 3 2 2" xfId="21576"/>
    <cellStyle name="Normal 42 7 3 3" xfId="10997"/>
    <cellStyle name="Normal 42 7 3 3 2" xfId="24628"/>
    <cellStyle name="Normal 42 7 3 4" xfId="14293"/>
    <cellStyle name="Normal 42 7 3 4 2" xfId="27921"/>
    <cellStyle name="Normal 42 7 3 5" xfId="18293"/>
    <cellStyle name="Normal 42 7 4" xfId="6349"/>
    <cellStyle name="Normal 42 7 4 2" xfId="19999"/>
    <cellStyle name="Normal 42 7 5" xfId="9551"/>
    <cellStyle name="Normal 42 7 5 2" xfId="23193"/>
    <cellStyle name="Normal 42 7 6" xfId="12865"/>
    <cellStyle name="Normal 42 7 6 2" xfId="26493"/>
    <cellStyle name="Normal 42 7 7" xfId="16782"/>
    <cellStyle name="Normal 42 8" xfId="2961"/>
    <cellStyle name="Normal 42 8 2" xfId="4803"/>
    <cellStyle name="Normal 42 8 2 2" xfId="8070"/>
    <cellStyle name="Normal 42 8 2 2 2" xfId="21718"/>
    <cellStyle name="Normal 42 8 2 3" xfId="11139"/>
    <cellStyle name="Normal 42 8 2 3 2" xfId="24770"/>
    <cellStyle name="Normal 42 8 2 4" xfId="14435"/>
    <cellStyle name="Normal 42 8 2 4 2" xfId="28063"/>
    <cellStyle name="Normal 42 8 2 5" xfId="18462"/>
    <cellStyle name="Normal 42 8 3" xfId="6493"/>
    <cellStyle name="Normal 42 8 3 2" xfId="20143"/>
    <cellStyle name="Normal 42 8 4" xfId="9714"/>
    <cellStyle name="Normal 42 8 4 2" xfId="23345"/>
    <cellStyle name="Normal 42 8 5" xfId="13009"/>
    <cellStyle name="Normal 42 8 5 2" xfId="26637"/>
    <cellStyle name="Normal 42 8 6" xfId="16927"/>
    <cellStyle name="Normal 42 9" xfId="3871"/>
    <cellStyle name="Normal 42 9 2" xfId="7301"/>
    <cellStyle name="Normal 42 9 2 2" xfId="20949"/>
    <cellStyle name="Normal 42 9 3" xfId="10439"/>
    <cellStyle name="Normal 42 9 3 2" xfId="24070"/>
    <cellStyle name="Normal 42 9 4" xfId="13735"/>
    <cellStyle name="Normal 42 9 4 2" xfId="27363"/>
    <cellStyle name="Normal 42 9 5" xfId="17666"/>
    <cellStyle name="Normal 43" xfId="502"/>
    <cellStyle name="Normal 43 10" xfId="5544"/>
    <cellStyle name="Normal 43 10 2" xfId="8805"/>
    <cellStyle name="Normal 43 10 2 2" xfId="22448"/>
    <cellStyle name="Normal 43 10 3" xfId="11865"/>
    <cellStyle name="Normal 43 10 3 2" xfId="25496"/>
    <cellStyle name="Normal 43 10 4" xfId="15161"/>
    <cellStyle name="Normal 43 10 4 2" xfId="28789"/>
    <cellStyle name="Normal 43 10 5" xfId="19194"/>
    <cellStyle name="Normal 43 11" xfId="5716"/>
    <cellStyle name="Normal 43 11 2" xfId="19366"/>
    <cellStyle name="Normal 43 12" xfId="8996"/>
    <cellStyle name="Normal 43 12 2" xfId="22639"/>
    <cellStyle name="Normal 43 13" xfId="11985"/>
    <cellStyle name="Normal 43 13 2" xfId="25616"/>
    <cellStyle name="Normal 43 14" xfId="12148"/>
    <cellStyle name="Normal 43 14 2" xfId="25776"/>
    <cellStyle name="Normal 43 15" xfId="12316"/>
    <cellStyle name="Normal 43 15 2" xfId="25944"/>
    <cellStyle name="Normal 43 16" xfId="15315"/>
    <cellStyle name="Normal 43 16 2" xfId="28913"/>
    <cellStyle name="Normal 43 17" xfId="15535"/>
    <cellStyle name="Normal 43 17 2" xfId="29032"/>
    <cellStyle name="Normal 43 18" xfId="15994"/>
    <cellStyle name="Normal 43 19" xfId="29669"/>
    <cellStyle name="Normal 43 2" xfId="1152"/>
    <cellStyle name="Normal 43 2 10" xfId="11986"/>
    <cellStyle name="Normal 43 2 10 2" xfId="25617"/>
    <cellStyle name="Normal 43 2 11" xfId="12149"/>
    <cellStyle name="Normal 43 2 11 2" xfId="25777"/>
    <cellStyle name="Normal 43 2 12" xfId="12387"/>
    <cellStyle name="Normal 43 2 12 2" xfId="26015"/>
    <cellStyle name="Normal 43 2 13" xfId="15316"/>
    <cellStyle name="Normal 43 2 13 2" xfId="28914"/>
    <cellStyle name="Normal 43 2 14" xfId="15536"/>
    <cellStyle name="Normal 43 2 14 2" xfId="29033"/>
    <cellStyle name="Normal 43 2 15" xfId="16148"/>
    <cellStyle name="Normal 43 2 16" xfId="29670"/>
    <cellStyle name="Normal 43 2 2" xfId="2177"/>
    <cellStyle name="Normal 43 2 2 2" xfId="3290"/>
    <cellStyle name="Normal 43 2 2 2 2" xfId="5036"/>
    <cellStyle name="Normal 43 2 2 2 2 2" xfId="8300"/>
    <cellStyle name="Normal 43 2 2 2 2 2 2" xfId="21948"/>
    <cellStyle name="Normal 43 2 2 2 2 3" xfId="11367"/>
    <cellStyle name="Normal 43 2 2 2 2 3 2" xfId="24998"/>
    <cellStyle name="Normal 43 2 2 2 2 4" xfId="14663"/>
    <cellStyle name="Normal 43 2 2 2 2 4 2" xfId="28291"/>
    <cellStyle name="Normal 43 2 2 2 2 5" xfId="18694"/>
    <cellStyle name="Normal 43 2 2 2 3" xfId="6724"/>
    <cellStyle name="Normal 43 2 2 2 3 2" xfId="20374"/>
    <cellStyle name="Normal 43 2 2 2 4" xfId="9944"/>
    <cellStyle name="Normal 43 2 2 2 4 2" xfId="23575"/>
    <cellStyle name="Normal 43 2 2 2 5" xfId="13239"/>
    <cellStyle name="Normal 43 2 2 2 5 2" xfId="26867"/>
    <cellStyle name="Normal 43 2 2 2 6" xfId="17169"/>
    <cellStyle name="Normal 43 2 2 3" xfId="4090"/>
    <cellStyle name="Normal 43 2 2 3 2" xfId="7520"/>
    <cellStyle name="Normal 43 2 2 3 2 2" xfId="21168"/>
    <cellStyle name="Normal 43 2 2 3 3" xfId="10658"/>
    <cellStyle name="Normal 43 2 2 3 3 2" xfId="24289"/>
    <cellStyle name="Normal 43 2 2 3 4" xfId="13954"/>
    <cellStyle name="Normal 43 2 2 3 4 2" xfId="27582"/>
    <cellStyle name="Normal 43 2 2 3 5" xfId="17885"/>
    <cellStyle name="Normal 43 2 2 4" xfId="5926"/>
    <cellStyle name="Normal 43 2 2 4 2" xfId="19576"/>
    <cellStyle name="Normal 43 2 2 5" xfId="9212"/>
    <cellStyle name="Normal 43 2 2 5 2" xfId="22854"/>
    <cellStyle name="Normal 43 2 2 6" xfId="12526"/>
    <cellStyle name="Normal 43 2 2 6 2" xfId="26154"/>
    <cellStyle name="Normal 43 2 2 7" xfId="16371"/>
    <cellStyle name="Normal 43 2 3" xfId="2449"/>
    <cellStyle name="Normal 43 2 3 2" xfId="3555"/>
    <cellStyle name="Normal 43 2 3 2 2" xfId="5222"/>
    <cellStyle name="Normal 43 2 3 2 2 2" xfId="8486"/>
    <cellStyle name="Normal 43 2 3 2 2 2 2" xfId="22134"/>
    <cellStyle name="Normal 43 2 3 2 2 3" xfId="11553"/>
    <cellStyle name="Normal 43 2 3 2 2 3 2" xfId="25184"/>
    <cellStyle name="Normal 43 2 3 2 2 4" xfId="14849"/>
    <cellStyle name="Normal 43 2 3 2 2 4 2" xfId="28477"/>
    <cellStyle name="Normal 43 2 3 2 2 5" xfId="18880"/>
    <cellStyle name="Normal 43 2 3 2 3" xfId="6989"/>
    <cellStyle name="Normal 43 2 3 2 3 2" xfId="20639"/>
    <cellStyle name="Normal 43 2 3 2 4" xfId="10130"/>
    <cellStyle name="Normal 43 2 3 2 4 2" xfId="23761"/>
    <cellStyle name="Normal 43 2 3 2 5" xfId="13425"/>
    <cellStyle name="Normal 43 2 3 2 5 2" xfId="27053"/>
    <cellStyle name="Normal 43 2 3 2 6" xfId="17356"/>
    <cellStyle name="Normal 43 2 3 3" xfId="4276"/>
    <cellStyle name="Normal 43 2 3 3 2" xfId="7706"/>
    <cellStyle name="Normal 43 2 3 3 2 2" xfId="21354"/>
    <cellStyle name="Normal 43 2 3 3 3" xfId="10844"/>
    <cellStyle name="Normal 43 2 3 3 3 2" xfId="24475"/>
    <cellStyle name="Normal 43 2 3 3 4" xfId="14140"/>
    <cellStyle name="Normal 43 2 3 3 4 2" xfId="27768"/>
    <cellStyle name="Normal 43 2 3 3 5" xfId="18071"/>
    <cellStyle name="Normal 43 2 3 4" xfId="6112"/>
    <cellStyle name="Normal 43 2 3 4 2" xfId="19762"/>
    <cellStyle name="Normal 43 2 3 5" xfId="9398"/>
    <cellStyle name="Normal 43 2 3 5 2" xfId="23040"/>
    <cellStyle name="Normal 43 2 3 6" xfId="12712"/>
    <cellStyle name="Normal 43 2 3 6 2" xfId="26340"/>
    <cellStyle name="Normal 43 2 3 7" xfId="16560"/>
    <cellStyle name="Normal 43 2 4" xfId="2758"/>
    <cellStyle name="Normal 43 2 4 2" xfId="3712"/>
    <cellStyle name="Normal 43 2 4 2 2" xfId="5379"/>
    <cellStyle name="Normal 43 2 4 2 2 2" xfId="8642"/>
    <cellStyle name="Normal 43 2 4 2 2 2 2" xfId="22290"/>
    <cellStyle name="Normal 43 2 4 2 2 3" xfId="11709"/>
    <cellStyle name="Normal 43 2 4 2 2 3 2" xfId="25340"/>
    <cellStyle name="Normal 43 2 4 2 2 4" xfId="15005"/>
    <cellStyle name="Normal 43 2 4 2 2 4 2" xfId="28633"/>
    <cellStyle name="Normal 43 2 4 2 2 5" xfId="19037"/>
    <cellStyle name="Normal 43 2 4 2 3" xfId="7146"/>
    <cellStyle name="Normal 43 2 4 2 3 2" xfId="20796"/>
    <cellStyle name="Normal 43 2 4 2 4" xfId="10287"/>
    <cellStyle name="Normal 43 2 4 2 4 2" xfId="23918"/>
    <cellStyle name="Normal 43 2 4 2 5" xfId="13582"/>
    <cellStyle name="Normal 43 2 4 2 5 2" xfId="27210"/>
    <cellStyle name="Normal 43 2 4 2 6" xfId="17513"/>
    <cellStyle name="Normal 43 2 4 3" xfId="4501"/>
    <cellStyle name="Normal 43 2 4 3 2" xfId="7931"/>
    <cellStyle name="Normal 43 2 4 3 2 2" xfId="21579"/>
    <cellStyle name="Normal 43 2 4 3 3" xfId="11000"/>
    <cellStyle name="Normal 43 2 4 3 3 2" xfId="24631"/>
    <cellStyle name="Normal 43 2 4 3 4" xfId="14296"/>
    <cellStyle name="Normal 43 2 4 3 4 2" xfId="27924"/>
    <cellStyle name="Normal 43 2 4 3 5" xfId="18296"/>
    <cellStyle name="Normal 43 2 4 4" xfId="6352"/>
    <cellStyle name="Normal 43 2 4 4 2" xfId="20002"/>
    <cellStyle name="Normal 43 2 4 5" xfId="9554"/>
    <cellStyle name="Normal 43 2 4 5 2" xfId="23196"/>
    <cellStyle name="Normal 43 2 4 6" xfId="12868"/>
    <cellStyle name="Normal 43 2 4 6 2" xfId="26496"/>
    <cellStyle name="Normal 43 2 4 7" xfId="16785"/>
    <cellStyle name="Normal 43 2 5" xfId="2964"/>
    <cellStyle name="Normal 43 2 5 2" xfId="4806"/>
    <cellStyle name="Normal 43 2 5 2 2" xfId="8073"/>
    <cellStyle name="Normal 43 2 5 2 2 2" xfId="21721"/>
    <cellStyle name="Normal 43 2 5 2 3" xfId="11142"/>
    <cellStyle name="Normal 43 2 5 2 3 2" xfId="24773"/>
    <cellStyle name="Normal 43 2 5 2 4" xfId="14438"/>
    <cellStyle name="Normal 43 2 5 2 4 2" xfId="28066"/>
    <cellStyle name="Normal 43 2 5 2 5" xfId="18465"/>
    <cellStyle name="Normal 43 2 5 3" xfId="6496"/>
    <cellStyle name="Normal 43 2 5 3 2" xfId="20146"/>
    <cellStyle name="Normal 43 2 5 4" xfId="9717"/>
    <cellStyle name="Normal 43 2 5 4 2" xfId="23348"/>
    <cellStyle name="Normal 43 2 5 5" xfId="13012"/>
    <cellStyle name="Normal 43 2 5 5 2" xfId="26640"/>
    <cellStyle name="Normal 43 2 5 6" xfId="16930"/>
    <cellStyle name="Normal 43 2 6" xfId="3950"/>
    <cellStyle name="Normal 43 2 6 2" xfId="7380"/>
    <cellStyle name="Normal 43 2 6 2 2" xfId="21028"/>
    <cellStyle name="Normal 43 2 6 3" xfId="10518"/>
    <cellStyle name="Normal 43 2 6 3 2" xfId="24149"/>
    <cellStyle name="Normal 43 2 6 4" xfId="13814"/>
    <cellStyle name="Normal 43 2 6 4 2" xfId="27442"/>
    <cellStyle name="Normal 43 2 6 5" xfId="17745"/>
    <cellStyle name="Normal 43 2 7" xfId="5545"/>
    <cellStyle name="Normal 43 2 7 2" xfId="8806"/>
    <cellStyle name="Normal 43 2 7 2 2" xfId="22449"/>
    <cellStyle name="Normal 43 2 7 3" xfId="11866"/>
    <cellStyle name="Normal 43 2 7 3 2" xfId="25497"/>
    <cellStyle name="Normal 43 2 7 4" xfId="15162"/>
    <cellStyle name="Normal 43 2 7 4 2" xfId="28790"/>
    <cellStyle name="Normal 43 2 7 5" xfId="19195"/>
    <cellStyle name="Normal 43 2 8" xfId="5787"/>
    <cellStyle name="Normal 43 2 8 2" xfId="19437"/>
    <cellStyle name="Normal 43 2 9" xfId="8997"/>
    <cellStyle name="Normal 43 2 9 2" xfId="22640"/>
    <cellStyle name="Normal 43 3" xfId="1153"/>
    <cellStyle name="Normal 43 4" xfId="1151"/>
    <cellStyle name="Normal 43 4 2" xfId="2864"/>
    <cellStyle name="Normal 43 4 2 2" xfId="4752"/>
    <cellStyle name="Normal 43 4 2 2 2" xfId="8020"/>
    <cellStyle name="Normal 43 4 2 2 2 2" xfId="21668"/>
    <cellStyle name="Normal 43 4 2 2 3" xfId="11089"/>
    <cellStyle name="Normal 43 4 2 2 3 2" xfId="24720"/>
    <cellStyle name="Normal 43 4 2 2 4" xfId="14385"/>
    <cellStyle name="Normal 43 4 2 2 4 2" xfId="28013"/>
    <cellStyle name="Normal 43 4 2 2 5" xfId="18411"/>
    <cellStyle name="Normal 43 4 2 3" xfId="6442"/>
    <cellStyle name="Normal 43 4 2 3 2" xfId="20092"/>
    <cellStyle name="Normal 43 4 2 4" xfId="9663"/>
    <cellStyle name="Normal 43 4 2 4 2" xfId="23294"/>
    <cellStyle name="Normal 43 4 2 5" xfId="12958"/>
    <cellStyle name="Normal 43 4 2 5 2" xfId="26586"/>
    <cellStyle name="Normal 43 4 2 6" xfId="16874"/>
    <cellStyle name="Normal 43 4 3" xfId="3949"/>
    <cellStyle name="Normal 43 4 3 2" xfId="7379"/>
    <cellStyle name="Normal 43 4 3 2 2" xfId="21027"/>
    <cellStyle name="Normal 43 4 3 3" xfId="10517"/>
    <cellStyle name="Normal 43 4 3 3 2" xfId="24148"/>
    <cellStyle name="Normal 43 4 3 4" xfId="13813"/>
    <cellStyle name="Normal 43 4 3 4 2" xfId="27441"/>
    <cellStyle name="Normal 43 4 3 5" xfId="17744"/>
    <cellStyle name="Normal 43 4 4" xfId="5786"/>
    <cellStyle name="Normal 43 4 4 2" xfId="19436"/>
    <cellStyle name="Normal 43 4 5" xfId="8957"/>
    <cellStyle name="Normal 43 4 5 2" xfId="22600"/>
    <cellStyle name="Normal 43 4 6" xfId="12386"/>
    <cellStyle name="Normal 43 4 6 2" xfId="26014"/>
    <cellStyle name="Normal 43 4 7" xfId="16147"/>
    <cellStyle name="Normal 43 5" xfId="2176"/>
    <cellStyle name="Normal 43 5 2" xfId="3289"/>
    <cellStyle name="Normal 43 5 2 2" xfId="5035"/>
    <cellStyle name="Normal 43 5 2 2 2" xfId="8299"/>
    <cellStyle name="Normal 43 5 2 2 2 2" xfId="21947"/>
    <cellStyle name="Normal 43 5 2 2 3" xfId="11366"/>
    <cellStyle name="Normal 43 5 2 2 3 2" xfId="24997"/>
    <cellStyle name="Normal 43 5 2 2 4" xfId="14662"/>
    <cellStyle name="Normal 43 5 2 2 4 2" xfId="28290"/>
    <cellStyle name="Normal 43 5 2 2 5" xfId="18693"/>
    <cellStyle name="Normal 43 5 2 3" xfId="6723"/>
    <cellStyle name="Normal 43 5 2 3 2" xfId="20373"/>
    <cellStyle name="Normal 43 5 2 4" xfId="9943"/>
    <cellStyle name="Normal 43 5 2 4 2" xfId="23574"/>
    <cellStyle name="Normal 43 5 2 5" xfId="13238"/>
    <cellStyle name="Normal 43 5 2 5 2" xfId="26866"/>
    <cellStyle name="Normal 43 5 2 6" xfId="17168"/>
    <cellStyle name="Normal 43 5 3" xfId="4089"/>
    <cellStyle name="Normal 43 5 3 2" xfId="7519"/>
    <cellStyle name="Normal 43 5 3 2 2" xfId="21167"/>
    <cellStyle name="Normal 43 5 3 3" xfId="10657"/>
    <cellStyle name="Normal 43 5 3 3 2" xfId="24288"/>
    <cellStyle name="Normal 43 5 3 4" xfId="13953"/>
    <cellStyle name="Normal 43 5 3 4 2" xfId="27581"/>
    <cellStyle name="Normal 43 5 3 5" xfId="17884"/>
    <cellStyle name="Normal 43 5 4" xfId="5925"/>
    <cellStyle name="Normal 43 5 4 2" xfId="19575"/>
    <cellStyle name="Normal 43 5 5" xfId="9211"/>
    <cellStyle name="Normal 43 5 5 2" xfId="22853"/>
    <cellStyle name="Normal 43 5 6" xfId="12525"/>
    <cellStyle name="Normal 43 5 6 2" xfId="26153"/>
    <cellStyle name="Normal 43 5 7" xfId="16370"/>
    <cellStyle name="Normal 43 6" xfId="2448"/>
    <cellStyle name="Normal 43 6 2" xfId="3554"/>
    <cellStyle name="Normal 43 6 2 2" xfId="5221"/>
    <cellStyle name="Normal 43 6 2 2 2" xfId="8485"/>
    <cellStyle name="Normal 43 6 2 2 2 2" xfId="22133"/>
    <cellStyle name="Normal 43 6 2 2 3" xfId="11552"/>
    <cellStyle name="Normal 43 6 2 2 3 2" xfId="25183"/>
    <cellStyle name="Normal 43 6 2 2 4" xfId="14848"/>
    <cellStyle name="Normal 43 6 2 2 4 2" xfId="28476"/>
    <cellStyle name="Normal 43 6 2 2 5" xfId="18879"/>
    <cellStyle name="Normal 43 6 2 3" xfId="6988"/>
    <cellStyle name="Normal 43 6 2 3 2" xfId="20638"/>
    <cellStyle name="Normal 43 6 2 4" xfId="10129"/>
    <cellStyle name="Normal 43 6 2 4 2" xfId="23760"/>
    <cellStyle name="Normal 43 6 2 5" xfId="13424"/>
    <cellStyle name="Normal 43 6 2 5 2" xfId="27052"/>
    <cellStyle name="Normal 43 6 2 6" xfId="17355"/>
    <cellStyle name="Normal 43 6 3" xfId="4275"/>
    <cellStyle name="Normal 43 6 3 2" xfId="7705"/>
    <cellStyle name="Normal 43 6 3 2 2" xfId="21353"/>
    <cellStyle name="Normal 43 6 3 3" xfId="10843"/>
    <cellStyle name="Normal 43 6 3 3 2" xfId="24474"/>
    <cellStyle name="Normal 43 6 3 4" xfId="14139"/>
    <cellStyle name="Normal 43 6 3 4 2" xfId="27767"/>
    <cellStyle name="Normal 43 6 3 5" xfId="18070"/>
    <cellStyle name="Normal 43 6 4" xfId="6111"/>
    <cellStyle name="Normal 43 6 4 2" xfId="19761"/>
    <cellStyle name="Normal 43 6 5" xfId="9397"/>
    <cellStyle name="Normal 43 6 5 2" xfId="23039"/>
    <cellStyle name="Normal 43 6 6" xfId="12711"/>
    <cellStyle name="Normal 43 6 6 2" xfId="26339"/>
    <cellStyle name="Normal 43 6 7" xfId="16559"/>
    <cellStyle name="Normal 43 7" xfId="2757"/>
    <cellStyle name="Normal 43 7 2" xfId="3711"/>
    <cellStyle name="Normal 43 7 2 2" xfId="5378"/>
    <cellStyle name="Normal 43 7 2 2 2" xfId="8641"/>
    <cellStyle name="Normal 43 7 2 2 2 2" xfId="22289"/>
    <cellStyle name="Normal 43 7 2 2 3" xfId="11708"/>
    <cellStyle name="Normal 43 7 2 2 3 2" xfId="25339"/>
    <cellStyle name="Normal 43 7 2 2 4" xfId="15004"/>
    <cellStyle name="Normal 43 7 2 2 4 2" xfId="28632"/>
    <cellStyle name="Normal 43 7 2 2 5" xfId="19036"/>
    <cellStyle name="Normal 43 7 2 3" xfId="7145"/>
    <cellStyle name="Normal 43 7 2 3 2" xfId="20795"/>
    <cellStyle name="Normal 43 7 2 4" xfId="10286"/>
    <cellStyle name="Normal 43 7 2 4 2" xfId="23917"/>
    <cellStyle name="Normal 43 7 2 5" xfId="13581"/>
    <cellStyle name="Normal 43 7 2 5 2" xfId="27209"/>
    <cellStyle name="Normal 43 7 2 6" xfId="17512"/>
    <cellStyle name="Normal 43 7 3" xfId="4500"/>
    <cellStyle name="Normal 43 7 3 2" xfId="7930"/>
    <cellStyle name="Normal 43 7 3 2 2" xfId="21578"/>
    <cellStyle name="Normal 43 7 3 3" xfId="10999"/>
    <cellStyle name="Normal 43 7 3 3 2" xfId="24630"/>
    <cellStyle name="Normal 43 7 3 4" xfId="14295"/>
    <cellStyle name="Normal 43 7 3 4 2" xfId="27923"/>
    <cellStyle name="Normal 43 7 3 5" xfId="18295"/>
    <cellStyle name="Normal 43 7 4" xfId="6351"/>
    <cellStyle name="Normal 43 7 4 2" xfId="20001"/>
    <cellStyle name="Normal 43 7 5" xfId="9553"/>
    <cellStyle name="Normal 43 7 5 2" xfId="23195"/>
    <cellStyle name="Normal 43 7 6" xfId="12867"/>
    <cellStyle name="Normal 43 7 6 2" xfId="26495"/>
    <cellStyle name="Normal 43 7 7" xfId="16784"/>
    <cellStyle name="Normal 43 8" xfId="2963"/>
    <cellStyle name="Normal 43 8 2" xfId="4805"/>
    <cellStyle name="Normal 43 8 2 2" xfId="8072"/>
    <cellStyle name="Normal 43 8 2 2 2" xfId="21720"/>
    <cellStyle name="Normal 43 8 2 3" xfId="11141"/>
    <cellStyle name="Normal 43 8 2 3 2" xfId="24772"/>
    <cellStyle name="Normal 43 8 2 4" xfId="14437"/>
    <cellStyle name="Normal 43 8 2 4 2" xfId="28065"/>
    <cellStyle name="Normal 43 8 2 5" xfId="18464"/>
    <cellStyle name="Normal 43 8 3" xfId="6495"/>
    <cellStyle name="Normal 43 8 3 2" xfId="20145"/>
    <cellStyle name="Normal 43 8 4" xfId="9716"/>
    <cellStyle name="Normal 43 8 4 2" xfId="23347"/>
    <cellStyle name="Normal 43 8 5" xfId="13011"/>
    <cellStyle name="Normal 43 8 5 2" xfId="26639"/>
    <cellStyle name="Normal 43 8 6" xfId="16929"/>
    <cellStyle name="Normal 43 9" xfId="3875"/>
    <cellStyle name="Normal 43 9 2" xfId="7305"/>
    <cellStyle name="Normal 43 9 2 2" xfId="20953"/>
    <cellStyle name="Normal 43 9 3" xfId="10443"/>
    <cellStyle name="Normal 43 9 3 2" xfId="24074"/>
    <cellStyle name="Normal 43 9 4" xfId="13739"/>
    <cellStyle name="Normal 43 9 4 2" xfId="27367"/>
    <cellStyle name="Normal 43 9 5" xfId="17670"/>
    <cellStyle name="Normal 44" xfId="504"/>
    <cellStyle name="Normal 44 2" xfId="1155"/>
    <cellStyle name="Normal 44 3" xfId="1154"/>
    <cellStyle name="Normal 44 4" xfId="3042"/>
    <cellStyle name="Normal 44 4 2" xfId="4857"/>
    <cellStyle name="Normal 44 4 2 2" xfId="8123"/>
    <cellStyle name="Normal 44 4 2 2 2" xfId="21771"/>
    <cellStyle name="Normal 44 4 2 3" xfId="11192"/>
    <cellStyle name="Normal 44 4 2 3 2" xfId="24823"/>
    <cellStyle name="Normal 44 4 2 4" xfId="14488"/>
    <cellStyle name="Normal 44 4 2 4 2" xfId="28116"/>
    <cellStyle name="Normal 44 4 2 5" xfId="18515"/>
    <cellStyle name="Normal 44 4 3" xfId="6546"/>
    <cellStyle name="Normal 44 4 3 2" xfId="20196"/>
    <cellStyle name="Normal 44 4 4" xfId="9767"/>
    <cellStyle name="Normal 44 4 4 2" xfId="23398"/>
    <cellStyle name="Normal 44 4 5" xfId="13062"/>
    <cellStyle name="Normal 44 4 5 2" xfId="26690"/>
    <cellStyle name="Normal 44 4 6" xfId="16980"/>
    <cellStyle name="Normal 44 5" xfId="3877"/>
    <cellStyle name="Normal 44 5 2" xfId="7307"/>
    <cellStyle name="Normal 44 5 2 2" xfId="20955"/>
    <cellStyle name="Normal 44 5 3" xfId="10445"/>
    <cellStyle name="Normal 44 5 3 2" xfId="24076"/>
    <cellStyle name="Normal 44 5 4" xfId="13741"/>
    <cellStyle name="Normal 44 5 4 2" xfId="27369"/>
    <cellStyle name="Normal 44 5 5" xfId="17672"/>
    <cellStyle name="Normal 44 6" xfId="5718"/>
    <cellStyle name="Normal 44 6 2" xfId="19368"/>
    <cellStyle name="Normal 44 7" xfId="9064"/>
    <cellStyle name="Normal 44 7 2" xfId="22707"/>
    <cellStyle name="Normal 44 8" xfId="12318"/>
    <cellStyle name="Normal 44 8 2" xfId="25946"/>
    <cellStyle name="Normal 44 9" xfId="15996"/>
    <cellStyle name="Normal 45" xfId="506"/>
    <cellStyle name="Normal 45 10" xfId="5546"/>
    <cellStyle name="Normal 45 10 2" xfId="8807"/>
    <cellStyle name="Normal 45 10 2 2" xfId="22450"/>
    <cellStyle name="Normal 45 10 3" xfId="11867"/>
    <cellStyle name="Normal 45 10 3 2" xfId="25498"/>
    <cellStyle name="Normal 45 10 4" xfId="15163"/>
    <cellStyle name="Normal 45 10 4 2" xfId="28791"/>
    <cellStyle name="Normal 45 10 5" xfId="19196"/>
    <cellStyle name="Normal 45 11" xfId="5720"/>
    <cellStyle name="Normal 45 11 2" xfId="19370"/>
    <cellStyle name="Normal 45 12" xfId="8998"/>
    <cellStyle name="Normal 45 12 2" xfId="22641"/>
    <cellStyle name="Normal 45 13" xfId="11987"/>
    <cellStyle name="Normal 45 13 2" xfId="25618"/>
    <cellStyle name="Normal 45 14" xfId="12150"/>
    <cellStyle name="Normal 45 14 2" xfId="25778"/>
    <cellStyle name="Normal 45 15" xfId="12320"/>
    <cellStyle name="Normal 45 15 2" xfId="25948"/>
    <cellStyle name="Normal 45 16" xfId="15317"/>
    <cellStyle name="Normal 45 16 2" xfId="28915"/>
    <cellStyle name="Normal 45 17" xfId="15537"/>
    <cellStyle name="Normal 45 17 2" xfId="29034"/>
    <cellStyle name="Normal 45 18" xfId="15998"/>
    <cellStyle name="Normal 45 19" xfId="29671"/>
    <cellStyle name="Normal 45 2" xfId="1157"/>
    <cellStyle name="Normal 45 3" xfId="1158"/>
    <cellStyle name="Normal 45 3 10" xfId="11988"/>
    <cellStyle name="Normal 45 3 10 2" xfId="25619"/>
    <cellStyle name="Normal 45 3 11" xfId="12151"/>
    <cellStyle name="Normal 45 3 11 2" xfId="25779"/>
    <cellStyle name="Normal 45 3 12" xfId="12389"/>
    <cellStyle name="Normal 45 3 12 2" xfId="26017"/>
    <cellStyle name="Normal 45 3 13" xfId="15318"/>
    <cellStyle name="Normal 45 3 13 2" xfId="28916"/>
    <cellStyle name="Normal 45 3 14" xfId="15538"/>
    <cellStyle name="Normal 45 3 14 2" xfId="29035"/>
    <cellStyle name="Normal 45 3 15" xfId="16150"/>
    <cellStyle name="Normal 45 3 16" xfId="29672"/>
    <cellStyle name="Normal 45 3 2" xfId="2179"/>
    <cellStyle name="Normal 45 3 2 2" xfId="3292"/>
    <cellStyle name="Normal 45 3 2 2 2" xfId="5038"/>
    <cellStyle name="Normal 45 3 2 2 2 2" xfId="8302"/>
    <cellStyle name="Normal 45 3 2 2 2 2 2" xfId="21950"/>
    <cellStyle name="Normal 45 3 2 2 2 3" xfId="11369"/>
    <cellStyle name="Normal 45 3 2 2 2 3 2" xfId="25000"/>
    <cellStyle name="Normal 45 3 2 2 2 4" xfId="14665"/>
    <cellStyle name="Normal 45 3 2 2 2 4 2" xfId="28293"/>
    <cellStyle name="Normal 45 3 2 2 2 5" xfId="18696"/>
    <cellStyle name="Normal 45 3 2 2 3" xfId="6726"/>
    <cellStyle name="Normal 45 3 2 2 3 2" xfId="20376"/>
    <cellStyle name="Normal 45 3 2 2 4" xfId="9946"/>
    <cellStyle name="Normal 45 3 2 2 4 2" xfId="23577"/>
    <cellStyle name="Normal 45 3 2 2 5" xfId="13241"/>
    <cellStyle name="Normal 45 3 2 2 5 2" xfId="26869"/>
    <cellStyle name="Normal 45 3 2 2 6" xfId="17171"/>
    <cellStyle name="Normal 45 3 2 3" xfId="4092"/>
    <cellStyle name="Normal 45 3 2 3 2" xfId="7522"/>
    <cellStyle name="Normal 45 3 2 3 2 2" xfId="21170"/>
    <cellStyle name="Normal 45 3 2 3 3" xfId="10660"/>
    <cellStyle name="Normal 45 3 2 3 3 2" xfId="24291"/>
    <cellStyle name="Normal 45 3 2 3 4" xfId="13956"/>
    <cellStyle name="Normal 45 3 2 3 4 2" xfId="27584"/>
    <cellStyle name="Normal 45 3 2 3 5" xfId="17887"/>
    <cellStyle name="Normal 45 3 2 4" xfId="5928"/>
    <cellStyle name="Normal 45 3 2 4 2" xfId="19578"/>
    <cellStyle name="Normal 45 3 2 5" xfId="9214"/>
    <cellStyle name="Normal 45 3 2 5 2" xfId="22856"/>
    <cellStyle name="Normal 45 3 2 6" xfId="12528"/>
    <cellStyle name="Normal 45 3 2 6 2" xfId="26156"/>
    <cellStyle name="Normal 45 3 2 7" xfId="16373"/>
    <cellStyle name="Normal 45 3 3" xfId="2451"/>
    <cellStyle name="Normal 45 3 3 2" xfId="3557"/>
    <cellStyle name="Normal 45 3 3 2 2" xfId="5224"/>
    <cellStyle name="Normal 45 3 3 2 2 2" xfId="8488"/>
    <cellStyle name="Normal 45 3 3 2 2 2 2" xfId="22136"/>
    <cellStyle name="Normal 45 3 3 2 2 3" xfId="11555"/>
    <cellStyle name="Normal 45 3 3 2 2 3 2" xfId="25186"/>
    <cellStyle name="Normal 45 3 3 2 2 4" xfId="14851"/>
    <cellStyle name="Normal 45 3 3 2 2 4 2" xfId="28479"/>
    <cellStyle name="Normal 45 3 3 2 2 5" xfId="18882"/>
    <cellStyle name="Normal 45 3 3 2 3" xfId="6991"/>
    <cellStyle name="Normal 45 3 3 2 3 2" xfId="20641"/>
    <cellStyle name="Normal 45 3 3 2 4" xfId="10132"/>
    <cellStyle name="Normal 45 3 3 2 4 2" xfId="23763"/>
    <cellStyle name="Normal 45 3 3 2 5" xfId="13427"/>
    <cellStyle name="Normal 45 3 3 2 5 2" xfId="27055"/>
    <cellStyle name="Normal 45 3 3 2 6" xfId="17358"/>
    <cellStyle name="Normal 45 3 3 3" xfId="4278"/>
    <cellStyle name="Normal 45 3 3 3 2" xfId="7708"/>
    <cellStyle name="Normal 45 3 3 3 2 2" xfId="21356"/>
    <cellStyle name="Normal 45 3 3 3 3" xfId="10846"/>
    <cellStyle name="Normal 45 3 3 3 3 2" xfId="24477"/>
    <cellStyle name="Normal 45 3 3 3 4" xfId="14142"/>
    <cellStyle name="Normal 45 3 3 3 4 2" xfId="27770"/>
    <cellStyle name="Normal 45 3 3 3 5" xfId="18073"/>
    <cellStyle name="Normal 45 3 3 4" xfId="6114"/>
    <cellStyle name="Normal 45 3 3 4 2" xfId="19764"/>
    <cellStyle name="Normal 45 3 3 5" xfId="9400"/>
    <cellStyle name="Normal 45 3 3 5 2" xfId="23042"/>
    <cellStyle name="Normal 45 3 3 6" xfId="12714"/>
    <cellStyle name="Normal 45 3 3 6 2" xfId="26342"/>
    <cellStyle name="Normal 45 3 3 7" xfId="16562"/>
    <cellStyle name="Normal 45 3 4" xfId="2760"/>
    <cellStyle name="Normal 45 3 4 2" xfId="3714"/>
    <cellStyle name="Normal 45 3 4 2 2" xfId="5381"/>
    <cellStyle name="Normal 45 3 4 2 2 2" xfId="8644"/>
    <cellStyle name="Normal 45 3 4 2 2 2 2" xfId="22292"/>
    <cellStyle name="Normal 45 3 4 2 2 3" xfId="11711"/>
    <cellStyle name="Normal 45 3 4 2 2 3 2" xfId="25342"/>
    <cellStyle name="Normal 45 3 4 2 2 4" xfId="15007"/>
    <cellStyle name="Normal 45 3 4 2 2 4 2" xfId="28635"/>
    <cellStyle name="Normal 45 3 4 2 2 5" xfId="19039"/>
    <cellStyle name="Normal 45 3 4 2 3" xfId="7148"/>
    <cellStyle name="Normal 45 3 4 2 3 2" xfId="20798"/>
    <cellStyle name="Normal 45 3 4 2 4" xfId="10289"/>
    <cellStyle name="Normal 45 3 4 2 4 2" xfId="23920"/>
    <cellStyle name="Normal 45 3 4 2 5" xfId="13584"/>
    <cellStyle name="Normal 45 3 4 2 5 2" xfId="27212"/>
    <cellStyle name="Normal 45 3 4 2 6" xfId="17515"/>
    <cellStyle name="Normal 45 3 4 3" xfId="4503"/>
    <cellStyle name="Normal 45 3 4 3 2" xfId="7933"/>
    <cellStyle name="Normal 45 3 4 3 2 2" xfId="21581"/>
    <cellStyle name="Normal 45 3 4 3 3" xfId="11002"/>
    <cellStyle name="Normal 45 3 4 3 3 2" xfId="24633"/>
    <cellStyle name="Normal 45 3 4 3 4" xfId="14298"/>
    <cellStyle name="Normal 45 3 4 3 4 2" xfId="27926"/>
    <cellStyle name="Normal 45 3 4 3 5" xfId="18298"/>
    <cellStyle name="Normal 45 3 4 4" xfId="6354"/>
    <cellStyle name="Normal 45 3 4 4 2" xfId="20004"/>
    <cellStyle name="Normal 45 3 4 5" xfId="9556"/>
    <cellStyle name="Normal 45 3 4 5 2" xfId="23198"/>
    <cellStyle name="Normal 45 3 4 6" xfId="12870"/>
    <cellStyle name="Normal 45 3 4 6 2" xfId="26498"/>
    <cellStyle name="Normal 45 3 4 7" xfId="16787"/>
    <cellStyle name="Normal 45 3 5" xfId="2966"/>
    <cellStyle name="Normal 45 3 5 2" xfId="4808"/>
    <cellStyle name="Normal 45 3 5 2 2" xfId="8075"/>
    <cellStyle name="Normal 45 3 5 2 2 2" xfId="21723"/>
    <cellStyle name="Normal 45 3 5 2 3" xfId="11144"/>
    <cellStyle name="Normal 45 3 5 2 3 2" xfId="24775"/>
    <cellStyle name="Normal 45 3 5 2 4" xfId="14440"/>
    <cellStyle name="Normal 45 3 5 2 4 2" xfId="28068"/>
    <cellStyle name="Normal 45 3 5 2 5" xfId="18467"/>
    <cellStyle name="Normal 45 3 5 3" xfId="6498"/>
    <cellStyle name="Normal 45 3 5 3 2" xfId="20148"/>
    <cellStyle name="Normal 45 3 5 4" xfId="9719"/>
    <cellStyle name="Normal 45 3 5 4 2" xfId="23350"/>
    <cellStyle name="Normal 45 3 5 5" xfId="13014"/>
    <cellStyle name="Normal 45 3 5 5 2" xfId="26642"/>
    <cellStyle name="Normal 45 3 5 6" xfId="16932"/>
    <cellStyle name="Normal 45 3 6" xfId="3952"/>
    <cellStyle name="Normal 45 3 6 2" xfId="7382"/>
    <cellStyle name="Normal 45 3 6 2 2" xfId="21030"/>
    <cellStyle name="Normal 45 3 6 3" xfId="10520"/>
    <cellStyle name="Normal 45 3 6 3 2" xfId="24151"/>
    <cellStyle name="Normal 45 3 6 4" xfId="13816"/>
    <cellStyle name="Normal 45 3 6 4 2" xfId="27444"/>
    <cellStyle name="Normal 45 3 6 5" xfId="17747"/>
    <cellStyle name="Normal 45 3 7" xfId="5547"/>
    <cellStyle name="Normal 45 3 7 2" xfId="8808"/>
    <cellStyle name="Normal 45 3 7 2 2" xfId="22451"/>
    <cellStyle name="Normal 45 3 7 3" xfId="11868"/>
    <cellStyle name="Normal 45 3 7 3 2" xfId="25499"/>
    <cellStyle name="Normal 45 3 7 4" xfId="15164"/>
    <cellStyle name="Normal 45 3 7 4 2" xfId="28792"/>
    <cellStyle name="Normal 45 3 7 5" xfId="19197"/>
    <cellStyle name="Normal 45 3 8" xfId="5789"/>
    <cellStyle name="Normal 45 3 8 2" xfId="19439"/>
    <cellStyle name="Normal 45 3 9" xfId="9000"/>
    <cellStyle name="Normal 45 3 9 2" xfId="22643"/>
    <cellStyle name="Normal 45 4" xfId="1156"/>
    <cellStyle name="Normal 45 4 2" xfId="2861"/>
    <cellStyle name="Normal 45 4 2 2" xfId="4751"/>
    <cellStyle name="Normal 45 4 2 2 2" xfId="8019"/>
    <cellStyle name="Normal 45 4 2 2 2 2" xfId="21667"/>
    <cellStyle name="Normal 45 4 2 2 3" xfId="11088"/>
    <cellStyle name="Normal 45 4 2 2 3 2" xfId="24719"/>
    <cellStyle name="Normal 45 4 2 2 4" xfId="14384"/>
    <cellStyle name="Normal 45 4 2 2 4 2" xfId="28012"/>
    <cellStyle name="Normal 45 4 2 2 5" xfId="18410"/>
    <cellStyle name="Normal 45 4 2 3" xfId="6441"/>
    <cellStyle name="Normal 45 4 2 3 2" xfId="20091"/>
    <cellStyle name="Normal 45 4 2 4" xfId="9662"/>
    <cellStyle name="Normal 45 4 2 4 2" xfId="23293"/>
    <cellStyle name="Normal 45 4 2 5" xfId="12957"/>
    <cellStyle name="Normal 45 4 2 5 2" xfId="26585"/>
    <cellStyle name="Normal 45 4 2 6" xfId="16873"/>
    <cellStyle name="Normal 45 4 3" xfId="3951"/>
    <cellStyle name="Normal 45 4 3 2" xfId="7381"/>
    <cellStyle name="Normal 45 4 3 2 2" xfId="21029"/>
    <cellStyle name="Normal 45 4 3 3" xfId="10519"/>
    <cellStyle name="Normal 45 4 3 3 2" xfId="24150"/>
    <cellStyle name="Normal 45 4 3 4" xfId="13815"/>
    <cellStyle name="Normal 45 4 3 4 2" xfId="27443"/>
    <cellStyle name="Normal 45 4 3 5" xfId="17746"/>
    <cellStyle name="Normal 45 4 4" xfId="5788"/>
    <cellStyle name="Normal 45 4 4 2" xfId="19438"/>
    <cellStyle name="Normal 45 4 5" xfId="8956"/>
    <cellStyle name="Normal 45 4 5 2" xfId="22599"/>
    <cellStyle name="Normal 45 4 6" xfId="12388"/>
    <cellStyle name="Normal 45 4 6 2" xfId="26016"/>
    <cellStyle name="Normal 45 4 7" xfId="16149"/>
    <cellStyle name="Normal 45 5" xfId="2178"/>
    <cellStyle name="Normal 45 5 2" xfId="3291"/>
    <cellStyle name="Normal 45 5 2 2" xfId="5037"/>
    <cellStyle name="Normal 45 5 2 2 2" xfId="8301"/>
    <cellStyle name="Normal 45 5 2 2 2 2" xfId="21949"/>
    <cellStyle name="Normal 45 5 2 2 3" xfId="11368"/>
    <cellStyle name="Normal 45 5 2 2 3 2" xfId="24999"/>
    <cellStyle name="Normal 45 5 2 2 4" xfId="14664"/>
    <cellStyle name="Normal 45 5 2 2 4 2" xfId="28292"/>
    <cellStyle name="Normal 45 5 2 2 5" xfId="18695"/>
    <cellStyle name="Normal 45 5 2 3" xfId="6725"/>
    <cellStyle name="Normal 45 5 2 3 2" xfId="20375"/>
    <cellStyle name="Normal 45 5 2 4" xfId="9945"/>
    <cellStyle name="Normal 45 5 2 4 2" xfId="23576"/>
    <cellStyle name="Normal 45 5 2 5" xfId="13240"/>
    <cellStyle name="Normal 45 5 2 5 2" xfId="26868"/>
    <cellStyle name="Normal 45 5 2 6" xfId="17170"/>
    <cellStyle name="Normal 45 5 3" xfId="4091"/>
    <cellStyle name="Normal 45 5 3 2" xfId="7521"/>
    <cellStyle name="Normal 45 5 3 2 2" xfId="21169"/>
    <cellStyle name="Normal 45 5 3 3" xfId="10659"/>
    <cellStyle name="Normal 45 5 3 3 2" xfId="24290"/>
    <cellStyle name="Normal 45 5 3 4" xfId="13955"/>
    <cellStyle name="Normal 45 5 3 4 2" xfId="27583"/>
    <cellStyle name="Normal 45 5 3 5" xfId="17886"/>
    <cellStyle name="Normal 45 5 4" xfId="5927"/>
    <cellStyle name="Normal 45 5 4 2" xfId="19577"/>
    <cellStyle name="Normal 45 5 5" xfId="9213"/>
    <cellStyle name="Normal 45 5 5 2" xfId="22855"/>
    <cellStyle name="Normal 45 5 6" xfId="12527"/>
    <cellStyle name="Normal 45 5 6 2" xfId="26155"/>
    <cellStyle name="Normal 45 5 7" xfId="16372"/>
    <cellStyle name="Normal 45 6" xfId="2450"/>
    <cellStyle name="Normal 45 6 2" xfId="3556"/>
    <cellStyle name="Normal 45 6 2 2" xfId="5223"/>
    <cellStyle name="Normal 45 6 2 2 2" xfId="8487"/>
    <cellStyle name="Normal 45 6 2 2 2 2" xfId="22135"/>
    <cellStyle name="Normal 45 6 2 2 3" xfId="11554"/>
    <cellStyle name="Normal 45 6 2 2 3 2" xfId="25185"/>
    <cellStyle name="Normal 45 6 2 2 4" xfId="14850"/>
    <cellStyle name="Normal 45 6 2 2 4 2" xfId="28478"/>
    <cellStyle name="Normal 45 6 2 2 5" xfId="18881"/>
    <cellStyle name="Normal 45 6 2 3" xfId="6990"/>
    <cellStyle name="Normal 45 6 2 3 2" xfId="20640"/>
    <cellStyle name="Normal 45 6 2 4" xfId="10131"/>
    <cellStyle name="Normal 45 6 2 4 2" xfId="23762"/>
    <cellStyle name="Normal 45 6 2 5" xfId="13426"/>
    <cellStyle name="Normal 45 6 2 5 2" xfId="27054"/>
    <cellStyle name="Normal 45 6 2 6" xfId="17357"/>
    <cellStyle name="Normal 45 6 3" xfId="4277"/>
    <cellStyle name="Normal 45 6 3 2" xfId="7707"/>
    <cellStyle name="Normal 45 6 3 2 2" xfId="21355"/>
    <cellStyle name="Normal 45 6 3 3" xfId="10845"/>
    <cellStyle name="Normal 45 6 3 3 2" xfId="24476"/>
    <cellStyle name="Normal 45 6 3 4" xfId="14141"/>
    <cellStyle name="Normal 45 6 3 4 2" xfId="27769"/>
    <cellStyle name="Normal 45 6 3 5" xfId="18072"/>
    <cellStyle name="Normal 45 6 4" xfId="6113"/>
    <cellStyle name="Normal 45 6 4 2" xfId="19763"/>
    <cellStyle name="Normal 45 6 5" xfId="9399"/>
    <cellStyle name="Normal 45 6 5 2" xfId="23041"/>
    <cellStyle name="Normal 45 6 6" xfId="12713"/>
    <cellStyle name="Normal 45 6 6 2" xfId="26341"/>
    <cellStyle name="Normal 45 6 7" xfId="16561"/>
    <cellStyle name="Normal 45 7" xfId="2759"/>
    <cellStyle name="Normal 45 7 2" xfId="3713"/>
    <cellStyle name="Normal 45 7 2 2" xfId="5380"/>
    <cellStyle name="Normal 45 7 2 2 2" xfId="8643"/>
    <cellStyle name="Normal 45 7 2 2 2 2" xfId="22291"/>
    <cellStyle name="Normal 45 7 2 2 3" xfId="11710"/>
    <cellStyle name="Normal 45 7 2 2 3 2" xfId="25341"/>
    <cellStyle name="Normal 45 7 2 2 4" xfId="15006"/>
    <cellStyle name="Normal 45 7 2 2 4 2" xfId="28634"/>
    <cellStyle name="Normal 45 7 2 2 5" xfId="19038"/>
    <cellStyle name="Normal 45 7 2 3" xfId="7147"/>
    <cellStyle name="Normal 45 7 2 3 2" xfId="20797"/>
    <cellStyle name="Normal 45 7 2 4" xfId="10288"/>
    <cellStyle name="Normal 45 7 2 4 2" xfId="23919"/>
    <cellStyle name="Normal 45 7 2 5" xfId="13583"/>
    <cellStyle name="Normal 45 7 2 5 2" xfId="27211"/>
    <cellStyle name="Normal 45 7 2 6" xfId="17514"/>
    <cellStyle name="Normal 45 7 3" xfId="4502"/>
    <cellStyle name="Normal 45 7 3 2" xfId="7932"/>
    <cellStyle name="Normal 45 7 3 2 2" xfId="21580"/>
    <cellStyle name="Normal 45 7 3 3" xfId="11001"/>
    <cellStyle name="Normal 45 7 3 3 2" xfId="24632"/>
    <cellStyle name="Normal 45 7 3 4" xfId="14297"/>
    <cellStyle name="Normal 45 7 3 4 2" xfId="27925"/>
    <cellStyle name="Normal 45 7 3 5" xfId="18297"/>
    <cellStyle name="Normal 45 7 4" xfId="6353"/>
    <cellStyle name="Normal 45 7 4 2" xfId="20003"/>
    <cellStyle name="Normal 45 7 5" xfId="9555"/>
    <cellStyle name="Normal 45 7 5 2" xfId="23197"/>
    <cellStyle name="Normal 45 7 6" xfId="12869"/>
    <cellStyle name="Normal 45 7 6 2" xfId="26497"/>
    <cellStyle name="Normal 45 7 7" xfId="16786"/>
    <cellStyle name="Normal 45 8" xfId="2965"/>
    <cellStyle name="Normal 45 8 2" xfId="4807"/>
    <cellStyle name="Normal 45 8 2 2" xfId="8074"/>
    <cellStyle name="Normal 45 8 2 2 2" xfId="21722"/>
    <cellStyle name="Normal 45 8 2 3" xfId="11143"/>
    <cellStyle name="Normal 45 8 2 3 2" xfId="24774"/>
    <cellStyle name="Normal 45 8 2 4" xfId="14439"/>
    <cellStyle name="Normal 45 8 2 4 2" xfId="28067"/>
    <cellStyle name="Normal 45 8 2 5" xfId="18466"/>
    <cellStyle name="Normal 45 8 3" xfId="6497"/>
    <cellStyle name="Normal 45 8 3 2" xfId="20147"/>
    <cellStyle name="Normal 45 8 4" xfId="9718"/>
    <cellStyle name="Normal 45 8 4 2" xfId="23349"/>
    <cellStyle name="Normal 45 8 5" xfId="13013"/>
    <cellStyle name="Normal 45 8 5 2" xfId="26641"/>
    <cellStyle name="Normal 45 8 6" xfId="16931"/>
    <cellStyle name="Normal 45 9" xfId="3879"/>
    <cellStyle name="Normal 45 9 2" xfId="7309"/>
    <cellStyle name="Normal 45 9 2 2" xfId="20957"/>
    <cellStyle name="Normal 45 9 3" xfId="10447"/>
    <cellStyle name="Normal 45 9 3 2" xfId="24078"/>
    <cellStyle name="Normal 45 9 4" xfId="13743"/>
    <cellStyle name="Normal 45 9 4 2" xfId="27371"/>
    <cellStyle name="Normal 45 9 5" xfId="17674"/>
    <cellStyle name="Normal 46" xfId="508"/>
    <cellStyle name="Normal 46 10" xfId="12322"/>
    <cellStyle name="Normal 46 10 2" xfId="25950"/>
    <cellStyle name="Normal 46 11" xfId="16000"/>
    <cellStyle name="Normal 46 2" xfId="1160"/>
    <cellStyle name="Normal 46 3" xfId="1161"/>
    <cellStyle name="Normal 46 4" xfId="1162"/>
    <cellStyle name="Normal 46 5" xfId="1159"/>
    <cellStyle name="Normal 46 6" xfId="3039"/>
    <cellStyle name="Normal 46 6 2" xfId="4854"/>
    <cellStyle name="Normal 46 6 2 2" xfId="8120"/>
    <cellStyle name="Normal 46 6 2 2 2" xfId="21768"/>
    <cellStyle name="Normal 46 6 2 3" xfId="11189"/>
    <cellStyle name="Normal 46 6 2 3 2" xfId="24820"/>
    <cellStyle name="Normal 46 6 2 4" xfId="14485"/>
    <cellStyle name="Normal 46 6 2 4 2" xfId="28113"/>
    <cellStyle name="Normal 46 6 2 5" xfId="18512"/>
    <cellStyle name="Normal 46 6 3" xfId="6543"/>
    <cellStyle name="Normal 46 6 3 2" xfId="20193"/>
    <cellStyle name="Normal 46 6 4" xfId="9764"/>
    <cellStyle name="Normal 46 6 4 2" xfId="23395"/>
    <cellStyle name="Normal 46 6 5" xfId="13059"/>
    <cellStyle name="Normal 46 6 5 2" xfId="26687"/>
    <cellStyle name="Normal 46 6 6" xfId="16977"/>
    <cellStyle name="Normal 46 7" xfId="3881"/>
    <cellStyle name="Normal 46 7 2" xfId="7311"/>
    <cellStyle name="Normal 46 7 2 2" xfId="20959"/>
    <cellStyle name="Normal 46 7 3" xfId="10449"/>
    <cellStyle name="Normal 46 7 3 2" xfId="24080"/>
    <cellStyle name="Normal 46 7 4" xfId="13745"/>
    <cellStyle name="Normal 46 7 4 2" xfId="27373"/>
    <cellStyle name="Normal 46 7 5" xfId="17676"/>
    <cellStyle name="Normal 46 8" xfId="5722"/>
    <cellStyle name="Normal 46 8 2" xfId="19372"/>
    <cellStyle name="Normal 46 9" xfId="9061"/>
    <cellStyle name="Normal 46 9 2" xfId="22704"/>
    <cellStyle name="Normal 47" xfId="510"/>
    <cellStyle name="Normal 47 10" xfId="16002"/>
    <cellStyle name="Normal 47 2" xfId="1164"/>
    <cellStyle name="Normal 47 3" xfId="1165"/>
    <cellStyle name="Normal 47 4" xfId="1163"/>
    <cellStyle name="Normal 47 5" xfId="3036"/>
    <cellStyle name="Normal 47 5 2" xfId="4852"/>
    <cellStyle name="Normal 47 5 2 2" xfId="8118"/>
    <cellStyle name="Normal 47 5 2 2 2" xfId="21766"/>
    <cellStyle name="Normal 47 5 2 3" xfId="11187"/>
    <cellStyle name="Normal 47 5 2 3 2" xfId="24818"/>
    <cellStyle name="Normal 47 5 2 4" xfId="14483"/>
    <cellStyle name="Normal 47 5 2 4 2" xfId="28111"/>
    <cellStyle name="Normal 47 5 2 5" xfId="18510"/>
    <cellStyle name="Normal 47 5 3" xfId="6541"/>
    <cellStyle name="Normal 47 5 3 2" xfId="20191"/>
    <cellStyle name="Normal 47 5 4" xfId="9762"/>
    <cellStyle name="Normal 47 5 4 2" xfId="23393"/>
    <cellStyle name="Normal 47 5 5" xfId="13057"/>
    <cellStyle name="Normal 47 5 5 2" xfId="26685"/>
    <cellStyle name="Normal 47 5 6" xfId="16975"/>
    <cellStyle name="Normal 47 6" xfId="3883"/>
    <cellStyle name="Normal 47 6 2" xfId="7313"/>
    <cellStyle name="Normal 47 6 2 2" xfId="20961"/>
    <cellStyle name="Normal 47 6 3" xfId="10451"/>
    <cellStyle name="Normal 47 6 3 2" xfId="24082"/>
    <cellStyle name="Normal 47 6 4" xfId="13747"/>
    <cellStyle name="Normal 47 6 4 2" xfId="27375"/>
    <cellStyle name="Normal 47 6 5" xfId="17678"/>
    <cellStyle name="Normal 47 7" xfId="5724"/>
    <cellStyle name="Normal 47 7 2" xfId="19374"/>
    <cellStyle name="Normal 47 8" xfId="9059"/>
    <cellStyle name="Normal 47 8 2" xfId="22702"/>
    <cellStyle name="Normal 47 9" xfId="12324"/>
    <cellStyle name="Normal 47 9 2" xfId="25952"/>
    <cellStyle name="Normal 48" xfId="512"/>
    <cellStyle name="Normal 48 10" xfId="16004"/>
    <cellStyle name="Normal 48 2" xfId="1167"/>
    <cellStyle name="Normal 48 3" xfId="1168"/>
    <cellStyle name="Normal 48 4" xfId="1166"/>
    <cellStyle name="Normal 48 5" xfId="3032"/>
    <cellStyle name="Normal 48 5 2" xfId="4850"/>
    <cellStyle name="Normal 48 5 2 2" xfId="8116"/>
    <cellStyle name="Normal 48 5 2 2 2" xfId="21764"/>
    <cellStyle name="Normal 48 5 2 3" xfId="11185"/>
    <cellStyle name="Normal 48 5 2 3 2" xfId="24816"/>
    <cellStyle name="Normal 48 5 2 4" xfId="14481"/>
    <cellStyle name="Normal 48 5 2 4 2" xfId="28109"/>
    <cellStyle name="Normal 48 5 2 5" xfId="18508"/>
    <cellStyle name="Normal 48 5 3" xfId="6539"/>
    <cellStyle name="Normal 48 5 3 2" xfId="20189"/>
    <cellStyle name="Normal 48 5 4" xfId="9760"/>
    <cellStyle name="Normal 48 5 4 2" xfId="23391"/>
    <cellStyle name="Normal 48 5 5" xfId="13055"/>
    <cellStyle name="Normal 48 5 5 2" xfId="26683"/>
    <cellStyle name="Normal 48 5 6" xfId="16973"/>
    <cellStyle name="Normal 48 6" xfId="3885"/>
    <cellStyle name="Normal 48 6 2" xfId="7315"/>
    <cellStyle name="Normal 48 6 2 2" xfId="20963"/>
    <cellStyle name="Normal 48 6 3" xfId="10453"/>
    <cellStyle name="Normal 48 6 3 2" xfId="24084"/>
    <cellStyle name="Normal 48 6 4" xfId="13749"/>
    <cellStyle name="Normal 48 6 4 2" xfId="27377"/>
    <cellStyle name="Normal 48 6 5" xfId="17680"/>
    <cellStyle name="Normal 48 7" xfId="5726"/>
    <cellStyle name="Normal 48 7 2" xfId="19376"/>
    <cellStyle name="Normal 48 8" xfId="9057"/>
    <cellStyle name="Normal 48 8 2" xfId="22700"/>
    <cellStyle name="Normal 48 9" xfId="12326"/>
    <cellStyle name="Normal 48 9 2" xfId="25954"/>
    <cellStyle name="Normal 49" xfId="514"/>
    <cellStyle name="Normal 49 2" xfId="1169"/>
    <cellStyle name="Normal 49 3" xfId="3028"/>
    <cellStyle name="Normal 49 3 2" xfId="4848"/>
    <cellStyle name="Normal 49 3 2 2" xfId="8114"/>
    <cellStyle name="Normal 49 3 2 2 2" xfId="21762"/>
    <cellStyle name="Normal 49 3 2 3" xfId="11183"/>
    <cellStyle name="Normal 49 3 2 3 2" xfId="24814"/>
    <cellStyle name="Normal 49 3 2 4" xfId="14479"/>
    <cellStyle name="Normal 49 3 2 4 2" xfId="28107"/>
    <cellStyle name="Normal 49 3 2 5" xfId="18506"/>
    <cellStyle name="Normal 49 3 3" xfId="6537"/>
    <cellStyle name="Normal 49 3 3 2" xfId="20187"/>
    <cellStyle name="Normal 49 3 4" xfId="9758"/>
    <cellStyle name="Normal 49 3 4 2" xfId="23389"/>
    <cellStyle name="Normal 49 3 5" xfId="13053"/>
    <cellStyle name="Normal 49 3 5 2" xfId="26681"/>
    <cellStyle name="Normal 49 3 6" xfId="16971"/>
    <cellStyle name="Normal 49 4" xfId="3887"/>
    <cellStyle name="Normal 49 4 2" xfId="7317"/>
    <cellStyle name="Normal 49 4 2 2" xfId="20965"/>
    <cellStyle name="Normal 49 4 3" xfId="10455"/>
    <cellStyle name="Normal 49 4 3 2" xfId="24086"/>
    <cellStyle name="Normal 49 4 4" xfId="13751"/>
    <cellStyle name="Normal 49 4 4 2" xfId="27379"/>
    <cellStyle name="Normal 49 4 5" xfId="17682"/>
    <cellStyle name="Normal 49 5" xfId="5728"/>
    <cellStyle name="Normal 49 5 2" xfId="19378"/>
    <cellStyle name="Normal 49 6" xfId="9055"/>
    <cellStyle name="Normal 49 6 2" xfId="22698"/>
    <cellStyle name="Normal 49 7" xfId="12328"/>
    <cellStyle name="Normal 49 7 2" xfId="25956"/>
    <cellStyle name="Normal 49 8" xfId="16006"/>
    <cellStyle name="Normal 5" xfId="76"/>
    <cellStyle name="Normal 5 2" xfId="1170"/>
    <cellStyle name="Normal 5 3" xfId="15767"/>
    <cellStyle name="Normal 5 4" xfId="29714"/>
    <cellStyle name="Normal 50" xfId="515"/>
    <cellStyle name="Normal 50 10" xfId="5548"/>
    <cellStyle name="Normal 50 10 2" xfId="8809"/>
    <cellStyle name="Normal 50 10 2 2" xfId="22452"/>
    <cellStyle name="Normal 50 10 3" xfId="11869"/>
    <cellStyle name="Normal 50 10 3 2" xfId="25500"/>
    <cellStyle name="Normal 50 10 4" xfId="15165"/>
    <cellStyle name="Normal 50 10 4 2" xfId="28793"/>
    <cellStyle name="Normal 50 10 5" xfId="19198"/>
    <cellStyle name="Normal 50 11" xfId="5729"/>
    <cellStyle name="Normal 50 11 2" xfId="19379"/>
    <cellStyle name="Normal 50 12" xfId="9007"/>
    <cellStyle name="Normal 50 12 2" xfId="22650"/>
    <cellStyle name="Normal 50 13" xfId="11989"/>
    <cellStyle name="Normal 50 13 2" xfId="25620"/>
    <cellStyle name="Normal 50 14" xfId="12152"/>
    <cellStyle name="Normal 50 14 2" xfId="25780"/>
    <cellStyle name="Normal 50 15" xfId="12329"/>
    <cellStyle name="Normal 50 15 2" xfId="25957"/>
    <cellStyle name="Normal 50 16" xfId="15319"/>
    <cellStyle name="Normal 50 16 2" xfId="28917"/>
    <cellStyle name="Normal 50 17" xfId="15539"/>
    <cellStyle name="Normal 50 17 2" xfId="29036"/>
    <cellStyle name="Normal 50 18" xfId="16007"/>
    <cellStyle name="Normal 50 19" xfId="29673"/>
    <cellStyle name="Normal 50 2" xfId="1172"/>
    <cellStyle name="Normal 50 2 10" xfId="11990"/>
    <cellStyle name="Normal 50 2 10 2" xfId="25621"/>
    <cellStyle name="Normal 50 2 11" xfId="12153"/>
    <cellStyle name="Normal 50 2 11 2" xfId="25781"/>
    <cellStyle name="Normal 50 2 12" xfId="12391"/>
    <cellStyle name="Normal 50 2 12 2" xfId="26019"/>
    <cellStyle name="Normal 50 2 13" xfId="15320"/>
    <cellStyle name="Normal 50 2 13 2" xfId="28918"/>
    <cellStyle name="Normal 50 2 14" xfId="15540"/>
    <cellStyle name="Normal 50 2 14 2" xfId="29037"/>
    <cellStyle name="Normal 50 2 15" xfId="16152"/>
    <cellStyle name="Normal 50 2 16" xfId="29674"/>
    <cellStyle name="Normal 50 2 2" xfId="2181"/>
    <cellStyle name="Normal 50 2 2 2" xfId="3294"/>
    <cellStyle name="Normal 50 2 2 2 2" xfId="5040"/>
    <cellStyle name="Normal 50 2 2 2 2 2" xfId="8304"/>
    <cellStyle name="Normal 50 2 2 2 2 2 2" xfId="21952"/>
    <cellStyle name="Normal 50 2 2 2 2 3" xfId="11371"/>
    <cellStyle name="Normal 50 2 2 2 2 3 2" xfId="25002"/>
    <cellStyle name="Normal 50 2 2 2 2 4" xfId="14667"/>
    <cellStyle name="Normal 50 2 2 2 2 4 2" xfId="28295"/>
    <cellStyle name="Normal 50 2 2 2 2 5" xfId="18698"/>
    <cellStyle name="Normal 50 2 2 2 3" xfId="6728"/>
    <cellStyle name="Normal 50 2 2 2 3 2" xfId="20378"/>
    <cellStyle name="Normal 50 2 2 2 4" xfId="9948"/>
    <cellStyle name="Normal 50 2 2 2 4 2" xfId="23579"/>
    <cellStyle name="Normal 50 2 2 2 5" xfId="13243"/>
    <cellStyle name="Normal 50 2 2 2 5 2" xfId="26871"/>
    <cellStyle name="Normal 50 2 2 2 6" xfId="17173"/>
    <cellStyle name="Normal 50 2 2 3" xfId="4094"/>
    <cellStyle name="Normal 50 2 2 3 2" xfId="7524"/>
    <cellStyle name="Normal 50 2 2 3 2 2" xfId="21172"/>
    <cellStyle name="Normal 50 2 2 3 3" xfId="10662"/>
    <cellStyle name="Normal 50 2 2 3 3 2" xfId="24293"/>
    <cellStyle name="Normal 50 2 2 3 4" xfId="13958"/>
    <cellStyle name="Normal 50 2 2 3 4 2" xfId="27586"/>
    <cellStyle name="Normal 50 2 2 3 5" xfId="17889"/>
    <cellStyle name="Normal 50 2 2 4" xfId="5930"/>
    <cellStyle name="Normal 50 2 2 4 2" xfId="19580"/>
    <cellStyle name="Normal 50 2 2 5" xfId="9216"/>
    <cellStyle name="Normal 50 2 2 5 2" xfId="22858"/>
    <cellStyle name="Normal 50 2 2 6" xfId="12530"/>
    <cellStyle name="Normal 50 2 2 6 2" xfId="26158"/>
    <cellStyle name="Normal 50 2 2 7" xfId="16375"/>
    <cellStyle name="Normal 50 2 3" xfId="2463"/>
    <cellStyle name="Normal 50 2 3 2" xfId="3559"/>
    <cellStyle name="Normal 50 2 3 2 2" xfId="5226"/>
    <cellStyle name="Normal 50 2 3 2 2 2" xfId="8490"/>
    <cellStyle name="Normal 50 2 3 2 2 2 2" xfId="22138"/>
    <cellStyle name="Normal 50 2 3 2 2 3" xfId="11557"/>
    <cellStyle name="Normal 50 2 3 2 2 3 2" xfId="25188"/>
    <cellStyle name="Normal 50 2 3 2 2 4" xfId="14853"/>
    <cellStyle name="Normal 50 2 3 2 2 4 2" xfId="28481"/>
    <cellStyle name="Normal 50 2 3 2 2 5" xfId="18884"/>
    <cellStyle name="Normal 50 2 3 2 3" xfId="6993"/>
    <cellStyle name="Normal 50 2 3 2 3 2" xfId="20643"/>
    <cellStyle name="Normal 50 2 3 2 4" xfId="10134"/>
    <cellStyle name="Normal 50 2 3 2 4 2" xfId="23765"/>
    <cellStyle name="Normal 50 2 3 2 5" xfId="13429"/>
    <cellStyle name="Normal 50 2 3 2 5 2" xfId="27057"/>
    <cellStyle name="Normal 50 2 3 2 6" xfId="17360"/>
    <cellStyle name="Normal 50 2 3 3" xfId="4280"/>
    <cellStyle name="Normal 50 2 3 3 2" xfId="7710"/>
    <cellStyle name="Normal 50 2 3 3 2 2" xfId="21358"/>
    <cellStyle name="Normal 50 2 3 3 3" xfId="10848"/>
    <cellStyle name="Normal 50 2 3 3 3 2" xfId="24479"/>
    <cellStyle name="Normal 50 2 3 3 4" xfId="14144"/>
    <cellStyle name="Normal 50 2 3 3 4 2" xfId="27772"/>
    <cellStyle name="Normal 50 2 3 3 5" xfId="18075"/>
    <cellStyle name="Normal 50 2 3 4" xfId="6126"/>
    <cellStyle name="Normal 50 2 3 4 2" xfId="19776"/>
    <cellStyle name="Normal 50 2 3 5" xfId="9402"/>
    <cellStyle name="Normal 50 2 3 5 2" xfId="23044"/>
    <cellStyle name="Normal 50 2 3 6" xfId="12716"/>
    <cellStyle name="Normal 50 2 3 6 2" xfId="26344"/>
    <cellStyle name="Normal 50 2 3 7" xfId="16564"/>
    <cellStyle name="Normal 50 2 4" xfId="2762"/>
    <cellStyle name="Normal 50 2 4 2" xfId="3716"/>
    <cellStyle name="Normal 50 2 4 2 2" xfId="5383"/>
    <cellStyle name="Normal 50 2 4 2 2 2" xfId="8646"/>
    <cellStyle name="Normal 50 2 4 2 2 2 2" xfId="22294"/>
    <cellStyle name="Normal 50 2 4 2 2 3" xfId="11713"/>
    <cellStyle name="Normal 50 2 4 2 2 3 2" xfId="25344"/>
    <cellStyle name="Normal 50 2 4 2 2 4" xfId="15009"/>
    <cellStyle name="Normal 50 2 4 2 2 4 2" xfId="28637"/>
    <cellStyle name="Normal 50 2 4 2 2 5" xfId="19041"/>
    <cellStyle name="Normal 50 2 4 2 3" xfId="7150"/>
    <cellStyle name="Normal 50 2 4 2 3 2" xfId="20800"/>
    <cellStyle name="Normal 50 2 4 2 4" xfId="10291"/>
    <cellStyle name="Normal 50 2 4 2 4 2" xfId="23922"/>
    <cellStyle name="Normal 50 2 4 2 5" xfId="13586"/>
    <cellStyle name="Normal 50 2 4 2 5 2" xfId="27214"/>
    <cellStyle name="Normal 50 2 4 2 6" xfId="17517"/>
    <cellStyle name="Normal 50 2 4 3" xfId="4505"/>
    <cellStyle name="Normal 50 2 4 3 2" xfId="7935"/>
    <cellStyle name="Normal 50 2 4 3 2 2" xfId="21583"/>
    <cellStyle name="Normal 50 2 4 3 3" xfId="11004"/>
    <cellStyle name="Normal 50 2 4 3 3 2" xfId="24635"/>
    <cellStyle name="Normal 50 2 4 3 4" xfId="14300"/>
    <cellStyle name="Normal 50 2 4 3 4 2" xfId="27928"/>
    <cellStyle name="Normal 50 2 4 3 5" xfId="18300"/>
    <cellStyle name="Normal 50 2 4 4" xfId="6356"/>
    <cellStyle name="Normal 50 2 4 4 2" xfId="20006"/>
    <cellStyle name="Normal 50 2 4 5" xfId="9558"/>
    <cellStyle name="Normal 50 2 4 5 2" xfId="23200"/>
    <cellStyle name="Normal 50 2 4 6" xfId="12872"/>
    <cellStyle name="Normal 50 2 4 6 2" xfId="26500"/>
    <cellStyle name="Normal 50 2 4 7" xfId="16789"/>
    <cellStyle name="Normal 50 2 5" xfId="2968"/>
    <cellStyle name="Normal 50 2 5 2" xfId="4810"/>
    <cellStyle name="Normal 50 2 5 2 2" xfId="8077"/>
    <cellStyle name="Normal 50 2 5 2 2 2" xfId="21725"/>
    <cellStyle name="Normal 50 2 5 2 3" xfId="11146"/>
    <cellStyle name="Normal 50 2 5 2 3 2" xfId="24777"/>
    <cellStyle name="Normal 50 2 5 2 4" xfId="14442"/>
    <cellStyle name="Normal 50 2 5 2 4 2" xfId="28070"/>
    <cellStyle name="Normal 50 2 5 2 5" xfId="18469"/>
    <cellStyle name="Normal 50 2 5 3" xfId="6500"/>
    <cellStyle name="Normal 50 2 5 3 2" xfId="20150"/>
    <cellStyle name="Normal 50 2 5 4" xfId="9721"/>
    <cellStyle name="Normal 50 2 5 4 2" xfId="23352"/>
    <cellStyle name="Normal 50 2 5 5" xfId="13016"/>
    <cellStyle name="Normal 50 2 5 5 2" xfId="26644"/>
    <cellStyle name="Normal 50 2 5 6" xfId="16934"/>
    <cellStyle name="Normal 50 2 6" xfId="3954"/>
    <cellStyle name="Normal 50 2 6 2" xfId="7384"/>
    <cellStyle name="Normal 50 2 6 2 2" xfId="21032"/>
    <cellStyle name="Normal 50 2 6 3" xfId="10522"/>
    <cellStyle name="Normal 50 2 6 3 2" xfId="24153"/>
    <cellStyle name="Normal 50 2 6 4" xfId="13818"/>
    <cellStyle name="Normal 50 2 6 4 2" xfId="27446"/>
    <cellStyle name="Normal 50 2 6 5" xfId="17749"/>
    <cellStyle name="Normal 50 2 7" xfId="5549"/>
    <cellStyle name="Normal 50 2 7 2" xfId="8810"/>
    <cellStyle name="Normal 50 2 7 2 2" xfId="22453"/>
    <cellStyle name="Normal 50 2 7 3" xfId="11870"/>
    <cellStyle name="Normal 50 2 7 3 2" xfId="25501"/>
    <cellStyle name="Normal 50 2 7 4" xfId="15166"/>
    <cellStyle name="Normal 50 2 7 4 2" xfId="28794"/>
    <cellStyle name="Normal 50 2 7 5" xfId="19199"/>
    <cellStyle name="Normal 50 2 8" xfId="5791"/>
    <cellStyle name="Normal 50 2 8 2" xfId="19441"/>
    <cellStyle name="Normal 50 2 9" xfId="9008"/>
    <cellStyle name="Normal 50 2 9 2" xfId="22651"/>
    <cellStyle name="Normal 50 3" xfId="1173"/>
    <cellStyle name="Normal 50 4" xfId="1171"/>
    <cellStyle name="Normal 50 4 2" xfId="2853"/>
    <cellStyle name="Normal 50 4 2 2" xfId="4750"/>
    <cellStyle name="Normal 50 4 2 2 2" xfId="8018"/>
    <cellStyle name="Normal 50 4 2 2 2 2" xfId="21666"/>
    <cellStyle name="Normal 50 4 2 2 3" xfId="11087"/>
    <cellStyle name="Normal 50 4 2 2 3 2" xfId="24718"/>
    <cellStyle name="Normal 50 4 2 2 4" xfId="14383"/>
    <cellStyle name="Normal 50 4 2 2 4 2" xfId="28011"/>
    <cellStyle name="Normal 50 4 2 2 5" xfId="18409"/>
    <cellStyle name="Normal 50 4 2 3" xfId="6440"/>
    <cellStyle name="Normal 50 4 2 3 2" xfId="20090"/>
    <cellStyle name="Normal 50 4 2 4" xfId="9661"/>
    <cellStyle name="Normal 50 4 2 4 2" xfId="23292"/>
    <cellStyle name="Normal 50 4 2 5" xfId="12956"/>
    <cellStyle name="Normal 50 4 2 5 2" xfId="26584"/>
    <cellStyle name="Normal 50 4 2 6" xfId="16872"/>
    <cellStyle name="Normal 50 4 3" xfId="3953"/>
    <cellStyle name="Normal 50 4 3 2" xfId="7383"/>
    <cellStyle name="Normal 50 4 3 2 2" xfId="21031"/>
    <cellStyle name="Normal 50 4 3 3" xfId="10521"/>
    <cellStyle name="Normal 50 4 3 3 2" xfId="24152"/>
    <cellStyle name="Normal 50 4 3 4" xfId="13817"/>
    <cellStyle name="Normal 50 4 3 4 2" xfId="27445"/>
    <cellStyle name="Normal 50 4 3 5" xfId="17748"/>
    <cellStyle name="Normal 50 4 4" xfId="5790"/>
    <cellStyle name="Normal 50 4 4 2" xfId="19440"/>
    <cellStyle name="Normal 50 4 5" xfId="8955"/>
    <cellStyle name="Normal 50 4 5 2" xfId="22598"/>
    <cellStyle name="Normal 50 4 6" xfId="12390"/>
    <cellStyle name="Normal 50 4 6 2" xfId="26018"/>
    <cellStyle name="Normal 50 4 7" xfId="16151"/>
    <cellStyle name="Normal 50 5" xfId="2180"/>
    <cellStyle name="Normal 50 5 2" xfId="3293"/>
    <cellStyle name="Normal 50 5 2 2" xfId="5039"/>
    <cellStyle name="Normal 50 5 2 2 2" xfId="8303"/>
    <cellStyle name="Normal 50 5 2 2 2 2" xfId="21951"/>
    <cellStyle name="Normal 50 5 2 2 3" xfId="11370"/>
    <cellStyle name="Normal 50 5 2 2 3 2" xfId="25001"/>
    <cellStyle name="Normal 50 5 2 2 4" xfId="14666"/>
    <cellStyle name="Normal 50 5 2 2 4 2" xfId="28294"/>
    <cellStyle name="Normal 50 5 2 2 5" xfId="18697"/>
    <cellStyle name="Normal 50 5 2 3" xfId="6727"/>
    <cellStyle name="Normal 50 5 2 3 2" xfId="20377"/>
    <cellStyle name="Normal 50 5 2 4" xfId="9947"/>
    <cellStyle name="Normal 50 5 2 4 2" xfId="23578"/>
    <cellStyle name="Normal 50 5 2 5" xfId="13242"/>
    <cellStyle name="Normal 50 5 2 5 2" xfId="26870"/>
    <cellStyle name="Normal 50 5 2 6" xfId="17172"/>
    <cellStyle name="Normal 50 5 3" xfId="4093"/>
    <cellStyle name="Normal 50 5 3 2" xfId="7523"/>
    <cellStyle name="Normal 50 5 3 2 2" xfId="21171"/>
    <cellStyle name="Normal 50 5 3 3" xfId="10661"/>
    <cellStyle name="Normal 50 5 3 3 2" xfId="24292"/>
    <cellStyle name="Normal 50 5 3 4" xfId="13957"/>
    <cellStyle name="Normal 50 5 3 4 2" xfId="27585"/>
    <cellStyle name="Normal 50 5 3 5" xfId="17888"/>
    <cellStyle name="Normal 50 5 4" xfId="5929"/>
    <cellStyle name="Normal 50 5 4 2" xfId="19579"/>
    <cellStyle name="Normal 50 5 5" xfId="9215"/>
    <cellStyle name="Normal 50 5 5 2" xfId="22857"/>
    <cellStyle name="Normal 50 5 6" xfId="12529"/>
    <cellStyle name="Normal 50 5 6 2" xfId="26157"/>
    <cellStyle name="Normal 50 5 7" xfId="16374"/>
    <cellStyle name="Normal 50 6" xfId="2462"/>
    <cellStyle name="Normal 50 6 2" xfId="3558"/>
    <cellStyle name="Normal 50 6 2 2" xfId="5225"/>
    <cellStyle name="Normal 50 6 2 2 2" xfId="8489"/>
    <cellStyle name="Normal 50 6 2 2 2 2" xfId="22137"/>
    <cellStyle name="Normal 50 6 2 2 3" xfId="11556"/>
    <cellStyle name="Normal 50 6 2 2 3 2" xfId="25187"/>
    <cellStyle name="Normal 50 6 2 2 4" xfId="14852"/>
    <cellStyle name="Normal 50 6 2 2 4 2" xfId="28480"/>
    <cellStyle name="Normal 50 6 2 2 5" xfId="18883"/>
    <cellStyle name="Normal 50 6 2 3" xfId="6992"/>
    <cellStyle name="Normal 50 6 2 3 2" xfId="20642"/>
    <cellStyle name="Normal 50 6 2 4" xfId="10133"/>
    <cellStyle name="Normal 50 6 2 4 2" xfId="23764"/>
    <cellStyle name="Normal 50 6 2 5" xfId="13428"/>
    <cellStyle name="Normal 50 6 2 5 2" xfId="27056"/>
    <cellStyle name="Normal 50 6 2 6" xfId="17359"/>
    <cellStyle name="Normal 50 6 3" xfId="4279"/>
    <cellStyle name="Normal 50 6 3 2" xfId="7709"/>
    <cellStyle name="Normal 50 6 3 2 2" xfId="21357"/>
    <cellStyle name="Normal 50 6 3 3" xfId="10847"/>
    <cellStyle name="Normal 50 6 3 3 2" xfId="24478"/>
    <cellStyle name="Normal 50 6 3 4" xfId="14143"/>
    <cellStyle name="Normal 50 6 3 4 2" xfId="27771"/>
    <cellStyle name="Normal 50 6 3 5" xfId="18074"/>
    <cellStyle name="Normal 50 6 4" xfId="6125"/>
    <cellStyle name="Normal 50 6 4 2" xfId="19775"/>
    <cellStyle name="Normal 50 6 5" xfId="9401"/>
    <cellStyle name="Normal 50 6 5 2" xfId="23043"/>
    <cellStyle name="Normal 50 6 6" xfId="12715"/>
    <cellStyle name="Normal 50 6 6 2" xfId="26343"/>
    <cellStyle name="Normal 50 6 7" xfId="16563"/>
    <cellStyle name="Normal 50 7" xfId="2761"/>
    <cellStyle name="Normal 50 7 2" xfId="3715"/>
    <cellStyle name="Normal 50 7 2 2" xfId="5382"/>
    <cellStyle name="Normal 50 7 2 2 2" xfId="8645"/>
    <cellStyle name="Normal 50 7 2 2 2 2" xfId="22293"/>
    <cellStyle name="Normal 50 7 2 2 3" xfId="11712"/>
    <cellStyle name="Normal 50 7 2 2 3 2" xfId="25343"/>
    <cellStyle name="Normal 50 7 2 2 4" xfId="15008"/>
    <cellStyle name="Normal 50 7 2 2 4 2" xfId="28636"/>
    <cellStyle name="Normal 50 7 2 2 5" xfId="19040"/>
    <cellStyle name="Normal 50 7 2 3" xfId="7149"/>
    <cellStyle name="Normal 50 7 2 3 2" xfId="20799"/>
    <cellStyle name="Normal 50 7 2 4" xfId="10290"/>
    <cellStyle name="Normal 50 7 2 4 2" xfId="23921"/>
    <cellStyle name="Normal 50 7 2 5" xfId="13585"/>
    <cellStyle name="Normal 50 7 2 5 2" xfId="27213"/>
    <cellStyle name="Normal 50 7 2 6" xfId="17516"/>
    <cellStyle name="Normal 50 7 3" xfId="4504"/>
    <cellStyle name="Normal 50 7 3 2" xfId="7934"/>
    <cellStyle name="Normal 50 7 3 2 2" xfId="21582"/>
    <cellStyle name="Normal 50 7 3 3" xfId="11003"/>
    <cellStyle name="Normal 50 7 3 3 2" xfId="24634"/>
    <cellStyle name="Normal 50 7 3 4" xfId="14299"/>
    <cellStyle name="Normal 50 7 3 4 2" xfId="27927"/>
    <cellStyle name="Normal 50 7 3 5" xfId="18299"/>
    <cellStyle name="Normal 50 7 4" xfId="6355"/>
    <cellStyle name="Normal 50 7 4 2" xfId="20005"/>
    <cellStyle name="Normal 50 7 5" xfId="9557"/>
    <cellStyle name="Normal 50 7 5 2" xfId="23199"/>
    <cellStyle name="Normal 50 7 6" xfId="12871"/>
    <cellStyle name="Normal 50 7 6 2" xfId="26499"/>
    <cellStyle name="Normal 50 7 7" xfId="16788"/>
    <cellStyle name="Normal 50 8" xfId="2967"/>
    <cellStyle name="Normal 50 8 2" xfId="4809"/>
    <cellStyle name="Normal 50 8 2 2" xfId="8076"/>
    <cellStyle name="Normal 50 8 2 2 2" xfId="21724"/>
    <cellStyle name="Normal 50 8 2 3" xfId="11145"/>
    <cellStyle name="Normal 50 8 2 3 2" xfId="24776"/>
    <cellStyle name="Normal 50 8 2 4" xfId="14441"/>
    <cellStyle name="Normal 50 8 2 4 2" xfId="28069"/>
    <cellStyle name="Normal 50 8 2 5" xfId="18468"/>
    <cellStyle name="Normal 50 8 3" xfId="6499"/>
    <cellStyle name="Normal 50 8 3 2" xfId="20149"/>
    <cellStyle name="Normal 50 8 4" xfId="9720"/>
    <cellStyle name="Normal 50 8 4 2" xfId="23351"/>
    <cellStyle name="Normal 50 8 5" xfId="13015"/>
    <cellStyle name="Normal 50 8 5 2" xfId="26643"/>
    <cellStyle name="Normal 50 8 6" xfId="16933"/>
    <cellStyle name="Normal 50 9" xfId="3888"/>
    <cellStyle name="Normal 50 9 2" xfId="7318"/>
    <cellStyle name="Normal 50 9 2 2" xfId="20966"/>
    <cellStyle name="Normal 50 9 3" xfId="10456"/>
    <cellStyle name="Normal 50 9 3 2" xfId="24087"/>
    <cellStyle name="Normal 50 9 4" xfId="13752"/>
    <cellStyle name="Normal 50 9 4 2" xfId="27380"/>
    <cellStyle name="Normal 50 9 5" xfId="17683"/>
    <cellStyle name="Normal 51" xfId="516"/>
    <cellStyle name="Normal 51 10" xfId="5550"/>
    <cellStyle name="Normal 51 10 2" xfId="8811"/>
    <cellStyle name="Normal 51 10 2 2" xfId="22454"/>
    <cellStyle name="Normal 51 10 3" xfId="11871"/>
    <cellStyle name="Normal 51 10 3 2" xfId="25502"/>
    <cellStyle name="Normal 51 10 4" xfId="15167"/>
    <cellStyle name="Normal 51 10 4 2" xfId="28795"/>
    <cellStyle name="Normal 51 10 5" xfId="19200"/>
    <cellStyle name="Normal 51 11" xfId="5730"/>
    <cellStyle name="Normal 51 11 2" xfId="19380"/>
    <cellStyle name="Normal 51 12" xfId="9010"/>
    <cellStyle name="Normal 51 12 2" xfId="22653"/>
    <cellStyle name="Normal 51 13" xfId="11991"/>
    <cellStyle name="Normal 51 13 2" xfId="25622"/>
    <cellStyle name="Normal 51 14" xfId="12154"/>
    <cellStyle name="Normal 51 14 2" xfId="25782"/>
    <cellStyle name="Normal 51 15" xfId="12330"/>
    <cellStyle name="Normal 51 15 2" xfId="25958"/>
    <cellStyle name="Normal 51 16" xfId="15321"/>
    <cellStyle name="Normal 51 16 2" xfId="28919"/>
    <cellStyle name="Normal 51 17" xfId="15541"/>
    <cellStyle name="Normal 51 17 2" xfId="29038"/>
    <cellStyle name="Normal 51 18" xfId="16008"/>
    <cellStyle name="Normal 51 19" xfId="29675"/>
    <cellStyle name="Normal 51 2" xfId="1175"/>
    <cellStyle name="Normal 51 2 10" xfId="11992"/>
    <cellStyle name="Normal 51 2 10 2" xfId="25623"/>
    <cellStyle name="Normal 51 2 11" xfId="12155"/>
    <cellStyle name="Normal 51 2 11 2" xfId="25783"/>
    <cellStyle name="Normal 51 2 12" xfId="12393"/>
    <cellStyle name="Normal 51 2 12 2" xfId="26021"/>
    <cellStyle name="Normal 51 2 13" xfId="15322"/>
    <cellStyle name="Normal 51 2 13 2" xfId="28920"/>
    <cellStyle name="Normal 51 2 14" xfId="15542"/>
    <cellStyle name="Normal 51 2 14 2" xfId="29039"/>
    <cellStyle name="Normal 51 2 15" xfId="16154"/>
    <cellStyle name="Normal 51 2 16" xfId="29676"/>
    <cellStyle name="Normal 51 2 2" xfId="2183"/>
    <cellStyle name="Normal 51 2 2 2" xfId="3296"/>
    <cellStyle name="Normal 51 2 2 2 2" xfId="5042"/>
    <cellStyle name="Normal 51 2 2 2 2 2" xfId="8306"/>
    <cellStyle name="Normal 51 2 2 2 2 2 2" xfId="21954"/>
    <cellStyle name="Normal 51 2 2 2 2 3" xfId="11373"/>
    <cellStyle name="Normal 51 2 2 2 2 3 2" xfId="25004"/>
    <cellStyle name="Normal 51 2 2 2 2 4" xfId="14669"/>
    <cellStyle name="Normal 51 2 2 2 2 4 2" xfId="28297"/>
    <cellStyle name="Normal 51 2 2 2 2 5" xfId="18700"/>
    <cellStyle name="Normal 51 2 2 2 3" xfId="6730"/>
    <cellStyle name="Normal 51 2 2 2 3 2" xfId="20380"/>
    <cellStyle name="Normal 51 2 2 2 4" xfId="9950"/>
    <cellStyle name="Normal 51 2 2 2 4 2" xfId="23581"/>
    <cellStyle name="Normal 51 2 2 2 5" xfId="13245"/>
    <cellStyle name="Normal 51 2 2 2 5 2" xfId="26873"/>
    <cellStyle name="Normal 51 2 2 2 6" xfId="17175"/>
    <cellStyle name="Normal 51 2 2 3" xfId="4096"/>
    <cellStyle name="Normal 51 2 2 3 2" xfId="7526"/>
    <cellStyle name="Normal 51 2 2 3 2 2" xfId="21174"/>
    <cellStyle name="Normal 51 2 2 3 3" xfId="10664"/>
    <cellStyle name="Normal 51 2 2 3 3 2" xfId="24295"/>
    <cellStyle name="Normal 51 2 2 3 4" xfId="13960"/>
    <cellStyle name="Normal 51 2 2 3 4 2" xfId="27588"/>
    <cellStyle name="Normal 51 2 2 3 5" xfId="17891"/>
    <cellStyle name="Normal 51 2 2 4" xfId="5932"/>
    <cellStyle name="Normal 51 2 2 4 2" xfId="19582"/>
    <cellStyle name="Normal 51 2 2 5" xfId="9218"/>
    <cellStyle name="Normal 51 2 2 5 2" xfId="22860"/>
    <cellStyle name="Normal 51 2 2 6" xfId="12532"/>
    <cellStyle name="Normal 51 2 2 6 2" xfId="26160"/>
    <cellStyle name="Normal 51 2 2 7" xfId="16377"/>
    <cellStyle name="Normal 51 2 3" xfId="2466"/>
    <cellStyle name="Normal 51 2 3 2" xfId="3561"/>
    <cellStyle name="Normal 51 2 3 2 2" xfId="5228"/>
    <cellStyle name="Normal 51 2 3 2 2 2" xfId="8492"/>
    <cellStyle name="Normal 51 2 3 2 2 2 2" xfId="22140"/>
    <cellStyle name="Normal 51 2 3 2 2 3" xfId="11559"/>
    <cellStyle name="Normal 51 2 3 2 2 3 2" xfId="25190"/>
    <cellStyle name="Normal 51 2 3 2 2 4" xfId="14855"/>
    <cellStyle name="Normal 51 2 3 2 2 4 2" xfId="28483"/>
    <cellStyle name="Normal 51 2 3 2 2 5" xfId="18886"/>
    <cellStyle name="Normal 51 2 3 2 3" xfId="6995"/>
    <cellStyle name="Normal 51 2 3 2 3 2" xfId="20645"/>
    <cellStyle name="Normal 51 2 3 2 4" xfId="10136"/>
    <cellStyle name="Normal 51 2 3 2 4 2" xfId="23767"/>
    <cellStyle name="Normal 51 2 3 2 5" xfId="13431"/>
    <cellStyle name="Normal 51 2 3 2 5 2" xfId="27059"/>
    <cellStyle name="Normal 51 2 3 2 6" xfId="17362"/>
    <cellStyle name="Normal 51 2 3 3" xfId="4282"/>
    <cellStyle name="Normal 51 2 3 3 2" xfId="7712"/>
    <cellStyle name="Normal 51 2 3 3 2 2" xfId="21360"/>
    <cellStyle name="Normal 51 2 3 3 3" xfId="10850"/>
    <cellStyle name="Normal 51 2 3 3 3 2" xfId="24481"/>
    <cellStyle name="Normal 51 2 3 3 4" xfId="14146"/>
    <cellStyle name="Normal 51 2 3 3 4 2" xfId="27774"/>
    <cellStyle name="Normal 51 2 3 3 5" xfId="18077"/>
    <cellStyle name="Normal 51 2 3 4" xfId="6129"/>
    <cellStyle name="Normal 51 2 3 4 2" xfId="19779"/>
    <cellStyle name="Normal 51 2 3 5" xfId="9404"/>
    <cellStyle name="Normal 51 2 3 5 2" xfId="23046"/>
    <cellStyle name="Normal 51 2 3 6" xfId="12718"/>
    <cellStyle name="Normal 51 2 3 6 2" xfId="26346"/>
    <cellStyle name="Normal 51 2 3 7" xfId="16566"/>
    <cellStyle name="Normal 51 2 4" xfId="2764"/>
    <cellStyle name="Normal 51 2 4 2" xfId="3718"/>
    <cellStyle name="Normal 51 2 4 2 2" xfId="5385"/>
    <cellStyle name="Normal 51 2 4 2 2 2" xfId="8648"/>
    <cellStyle name="Normal 51 2 4 2 2 2 2" xfId="22296"/>
    <cellStyle name="Normal 51 2 4 2 2 3" xfId="11715"/>
    <cellStyle name="Normal 51 2 4 2 2 3 2" xfId="25346"/>
    <cellStyle name="Normal 51 2 4 2 2 4" xfId="15011"/>
    <cellStyle name="Normal 51 2 4 2 2 4 2" xfId="28639"/>
    <cellStyle name="Normal 51 2 4 2 2 5" xfId="19043"/>
    <cellStyle name="Normal 51 2 4 2 3" xfId="7152"/>
    <cellStyle name="Normal 51 2 4 2 3 2" xfId="20802"/>
    <cellStyle name="Normal 51 2 4 2 4" xfId="10293"/>
    <cellStyle name="Normal 51 2 4 2 4 2" xfId="23924"/>
    <cellStyle name="Normal 51 2 4 2 5" xfId="13588"/>
    <cellStyle name="Normal 51 2 4 2 5 2" xfId="27216"/>
    <cellStyle name="Normal 51 2 4 2 6" xfId="17519"/>
    <cellStyle name="Normal 51 2 4 3" xfId="4507"/>
    <cellStyle name="Normal 51 2 4 3 2" xfId="7937"/>
    <cellStyle name="Normal 51 2 4 3 2 2" xfId="21585"/>
    <cellStyle name="Normal 51 2 4 3 3" xfId="11006"/>
    <cellStyle name="Normal 51 2 4 3 3 2" xfId="24637"/>
    <cellStyle name="Normal 51 2 4 3 4" xfId="14302"/>
    <cellStyle name="Normal 51 2 4 3 4 2" xfId="27930"/>
    <cellStyle name="Normal 51 2 4 3 5" xfId="18302"/>
    <cellStyle name="Normal 51 2 4 4" xfId="6358"/>
    <cellStyle name="Normal 51 2 4 4 2" xfId="20008"/>
    <cellStyle name="Normal 51 2 4 5" xfId="9560"/>
    <cellStyle name="Normal 51 2 4 5 2" xfId="23202"/>
    <cellStyle name="Normal 51 2 4 6" xfId="12874"/>
    <cellStyle name="Normal 51 2 4 6 2" xfId="26502"/>
    <cellStyle name="Normal 51 2 4 7" xfId="16791"/>
    <cellStyle name="Normal 51 2 5" xfId="2970"/>
    <cellStyle name="Normal 51 2 5 2" xfId="4812"/>
    <cellStyle name="Normal 51 2 5 2 2" xfId="8079"/>
    <cellStyle name="Normal 51 2 5 2 2 2" xfId="21727"/>
    <cellStyle name="Normal 51 2 5 2 3" xfId="11148"/>
    <cellStyle name="Normal 51 2 5 2 3 2" xfId="24779"/>
    <cellStyle name="Normal 51 2 5 2 4" xfId="14444"/>
    <cellStyle name="Normal 51 2 5 2 4 2" xfId="28072"/>
    <cellStyle name="Normal 51 2 5 2 5" xfId="18471"/>
    <cellStyle name="Normal 51 2 5 3" xfId="6502"/>
    <cellStyle name="Normal 51 2 5 3 2" xfId="20152"/>
    <cellStyle name="Normal 51 2 5 4" xfId="9723"/>
    <cellStyle name="Normal 51 2 5 4 2" xfId="23354"/>
    <cellStyle name="Normal 51 2 5 5" xfId="13018"/>
    <cellStyle name="Normal 51 2 5 5 2" xfId="26646"/>
    <cellStyle name="Normal 51 2 5 6" xfId="16936"/>
    <cellStyle name="Normal 51 2 6" xfId="3956"/>
    <cellStyle name="Normal 51 2 6 2" xfId="7386"/>
    <cellStyle name="Normal 51 2 6 2 2" xfId="21034"/>
    <cellStyle name="Normal 51 2 6 3" xfId="10524"/>
    <cellStyle name="Normal 51 2 6 3 2" xfId="24155"/>
    <cellStyle name="Normal 51 2 6 4" xfId="13820"/>
    <cellStyle name="Normal 51 2 6 4 2" xfId="27448"/>
    <cellStyle name="Normal 51 2 6 5" xfId="17751"/>
    <cellStyle name="Normal 51 2 7" xfId="5551"/>
    <cellStyle name="Normal 51 2 7 2" xfId="8812"/>
    <cellStyle name="Normal 51 2 7 2 2" xfId="22455"/>
    <cellStyle name="Normal 51 2 7 3" xfId="11872"/>
    <cellStyle name="Normal 51 2 7 3 2" xfId="25503"/>
    <cellStyle name="Normal 51 2 7 4" xfId="15168"/>
    <cellStyle name="Normal 51 2 7 4 2" xfId="28796"/>
    <cellStyle name="Normal 51 2 7 5" xfId="19201"/>
    <cellStyle name="Normal 51 2 8" xfId="5793"/>
    <cellStyle name="Normal 51 2 8 2" xfId="19443"/>
    <cellStyle name="Normal 51 2 9" xfId="9011"/>
    <cellStyle name="Normal 51 2 9 2" xfId="22654"/>
    <cellStyle name="Normal 51 3" xfId="1176"/>
    <cellStyle name="Normal 51 4" xfId="1174"/>
    <cellStyle name="Normal 51 4 2" xfId="2852"/>
    <cellStyle name="Normal 51 4 2 2" xfId="4749"/>
    <cellStyle name="Normal 51 4 2 2 2" xfId="8017"/>
    <cellStyle name="Normal 51 4 2 2 2 2" xfId="21665"/>
    <cellStyle name="Normal 51 4 2 2 3" xfId="11086"/>
    <cellStyle name="Normal 51 4 2 2 3 2" xfId="24717"/>
    <cellStyle name="Normal 51 4 2 2 4" xfId="14382"/>
    <cellStyle name="Normal 51 4 2 2 4 2" xfId="28010"/>
    <cellStyle name="Normal 51 4 2 2 5" xfId="18408"/>
    <cellStyle name="Normal 51 4 2 3" xfId="6439"/>
    <cellStyle name="Normal 51 4 2 3 2" xfId="20089"/>
    <cellStyle name="Normal 51 4 2 4" xfId="9660"/>
    <cellStyle name="Normal 51 4 2 4 2" xfId="23291"/>
    <cellStyle name="Normal 51 4 2 5" xfId="12955"/>
    <cellStyle name="Normal 51 4 2 5 2" xfId="26583"/>
    <cellStyle name="Normal 51 4 2 6" xfId="16871"/>
    <cellStyle name="Normal 51 4 3" xfId="3955"/>
    <cellStyle name="Normal 51 4 3 2" xfId="7385"/>
    <cellStyle name="Normal 51 4 3 2 2" xfId="21033"/>
    <cellStyle name="Normal 51 4 3 3" xfId="10523"/>
    <cellStyle name="Normal 51 4 3 3 2" xfId="24154"/>
    <cellStyle name="Normal 51 4 3 4" xfId="13819"/>
    <cellStyle name="Normal 51 4 3 4 2" xfId="27447"/>
    <cellStyle name="Normal 51 4 3 5" xfId="17750"/>
    <cellStyle name="Normal 51 4 4" xfId="5792"/>
    <cellStyle name="Normal 51 4 4 2" xfId="19442"/>
    <cellStyle name="Normal 51 4 5" xfId="8954"/>
    <cellStyle name="Normal 51 4 5 2" xfId="22597"/>
    <cellStyle name="Normal 51 4 6" xfId="12392"/>
    <cellStyle name="Normal 51 4 6 2" xfId="26020"/>
    <cellStyle name="Normal 51 4 7" xfId="16153"/>
    <cellStyle name="Normal 51 5" xfId="2182"/>
    <cellStyle name="Normal 51 5 2" xfId="3295"/>
    <cellStyle name="Normal 51 5 2 2" xfId="5041"/>
    <cellStyle name="Normal 51 5 2 2 2" xfId="8305"/>
    <cellStyle name="Normal 51 5 2 2 2 2" xfId="21953"/>
    <cellStyle name="Normal 51 5 2 2 3" xfId="11372"/>
    <cellStyle name="Normal 51 5 2 2 3 2" xfId="25003"/>
    <cellStyle name="Normal 51 5 2 2 4" xfId="14668"/>
    <cellStyle name="Normal 51 5 2 2 4 2" xfId="28296"/>
    <cellStyle name="Normal 51 5 2 2 5" xfId="18699"/>
    <cellStyle name="Normal 51 5 2 3" xfId="6729"/>
    <cellStyle name="Normal 51 5 2 3 2" xfId="20379"/>
    <cellStyle name="Normal 51 5 2 4" xfId="9949"/>
    <cellStyle name="Normal 51 5 2 4 2" xfId="23580"/>
    <cellStyle name="Normal 51 5 2 5" xfId="13244"/>
    <cellStyle name="Normal 51 5 2 5 2" xfId="26872"/>
    <cellStyle name="Normal 51 5 2 6" xfId="17174"/>
    <cellStyle name="Normal 51 5 3" xfId="4095"/>
    <cellStyle name="Normal 51 5 3 2" xfId="7525"/>
    <cellStyle name="Normal 51 5 3 2 2" xfId="21173"/>
    <cellStyle name="Normal 51 5 3 3" xfId="10663"/>
    <cellStyle name="Normal 51 5 3 3 2" xfId="24294"/>
    <cellStyle name="Normal 51 5 3 4" xfId="13959"/>
    <cellStyle name="Normal 51 5 3 4 2" xfId="27587"/>
    <cellStyle name="Normal 51 5 3 5" xfId="17890"/>
    <cellStyle name="Normal 51 5 4" xfId="5931"/>
    <cellStyle name="Normal 51 5 4 2" xfId="19581"/>
    <cellStyle name="Normal 51 5 5" xfId="9217"/>
    <cellStyle name="Normal 51 5 5 2" xfId="22859"/>
    <cellStyle name="Normal 51 5 6" xfId="12531"/>
    <cellStyle name="Normal 51 5 6 2" xfId="26159"/>
    <cellStyle name="Normal 51 5 7" xfId="16376"/>
    <cellStyle name="Normal 51 6" xfId="2465"/>
    <cellStyle name="Normal 51 6 2" xfId="3560"/>
    <cellStyle name="Normal 51 6 2 2" xfId="5227"/>
    <cellStyle name="Normal 51 6 2 2 2" xfId="8491"/>
    <cellStyle name="Normal 51 6 2 2 2 2" xfId="22139"/>
    <cellStyle name="Normal 51 6 2 2 3" xfId="11558"/>
    <cellStyle name="Normal 51 6 2 2 3 2" xfId="25189"/>
    <cellStyle name="Normal 51 6 2 2 4" xfId="14854"/>
    <cellStyle name="Normal 51 6 2 2 4 2" xfId="28482"/>
    <cellStyle name="Normal 51 6 2 2 5" xfId="18885"/>
    <cellStyle name="Normal 51 6 2 3" xfId="6994"/>
    <cellStyle name="Normal 51 6 2 3 2" xfId="20644"/>
    <cellStyle name="Normal 51 6 2 4" xfId="10135"/>
    <cellStyle name="Normal 51 6 2 4 2" xfId="23766"/>
    <cellStyle name="Normal 51 6 2 5" xfId="13430"/>
    <cellStyle name="Normal 51 6 2 5 2" xfId="27058"/>
    <cellStyle name="Normal 51 6 2 6" xfId="17361"/>
    <cellStyle name="Normal 51 6 3" xfId="4281"/>
    <cellStyle name="Normal 51 6 3 2" xfId="7711"/>
    <cellStyle name="Normal 51 6 3 2 2" xfId="21359"/>
    <cellStyle name="Normal 51 6 3 3" xfId="10849"/>
    <cellStyle name="Normal 51 6 3 3 2" xfId="24480"/>
    <cellStyle name="Normal 51 6 3 4" xfId="14145"/>
    <cellStyle name="Normal 51 6 3 4 2" xfId="27773"/>
    <cellStyle name="Normal 51 6 3 5" xfId="18076"/>
    <cellStyle name="Normal 51 6 4" xfId="6128"/>
    <cellStyle name="Normal 51 6 4 2" xfId="19778"/>
    <cellStyle name="Normal 51 6 5" xfId="9403"/>
    <cellStyle name="Normal 51 6 5 2" xfId="23045"/>
    <cellStyle name="Normal 51 6 6" xfId="12717"/>
    <cellStyle name="Normal 51 6 6 2" xfId="26345"/>
    <cellStyle name="Normal 51 6 7" xfId="16565"/>
    <cellStyle name="Normal 51 7" xfId="2763"/>
    <cellStyle name="Normal 51 7 2" xfId="3717"/>
    <cellStyle name="Normal 51 7 2 2" xfId="5384"/>
    <cellStyle name="Normal 51 7 2 2 2" xfId="8647"/>
    <cellStyle name="Normal 51 7 2 2 2 2" xfId="22295"/>
    <cellStyle name="Normal 51 7 2 2 3" xfId="11714"/>
    <cellStyle name="Normal 51 7 2 2 3 2" xfId="25345"/>
    <cellStyle name="Normal 51 7 2 2 4" xfId="15010"/>
    <cellStyle name="Normal 51 7 2 2 4 2" xfId="28638"/>
    <cellStyle name="Normal 51 7 2 2 5" xfId="19042"/>
    <cellStyle name="Normal 51 7 2 3" xfId="7151"/>
    <cellStyle name="Normal 51 7 2 3 2" xfId="20801"/>
    <cellStyle name="Normal 51 7 2 4" xfId="10292"/>
    <cellStyle name="Normal 51 7 2 4 2" xfId="23923"/>
    <cellStyle name="Normal 51 7 2 5" xfId="13587"/>
    <cellStyle name="Normal 51 7 2 5 2" xfId="27215"/>
    <cellStyle name="Normal 51 7 2 6" xfId="17518"/>
    <cellStyle name="Normal 51 7 3" xfId="4506"/>
    <cellStyle name="Normal 51 7 3 2" xfId="7936"/>
    <cellStyle name="Normal 51 7 3 2 2" xfId="21584"/>
    <cellStyle name="Normal 51 7 3 3" xfId="11005"/>
    <cellStyle name="Normal 51 7 3 3 2" xfId="24636"/>
    <cellStyle name="Normal 51 7 3 4" xfId="14301"/>
    <cellStyle name="Normal 51 7 3 4 2" xfId="27929"/>
    <cellStyle name="Normal 51 7 3 5" xfId="18301"/>
    <cellStyle name="Normal 51 7 4" xfId="6357"/>
    <cellStyle name="Normal 51 7 4 2" xfId="20007"/>
    <cellStyle name="Normal 51 7 5" xfId="9559"/>
    <cellStyle name="Normal 51 7 5 2" xfId="23201"/>
    <cellStyle name="Normal 51 7 6" xfId="12873"/>
    <cellStyle name="Normal 51 7 6 2" xfId="26501"/>
    <cellStyle name="Normal 51 7 7" xfId="16790"/>
    <cellStyle name="Normal 51 8" xfId="2969"/>
    <cellStyle name="Normal 51 8 2" xfId="4811"/>
    <cellStyle name="Normal 51 8 2 2" xfId="8078"/>
    <cellStyle name="Normal 51 8 2 2 2" xfId="21726"/>
    <cellStyle name="Normal 51 8 2 3" xfId="11147"/>
    <cellStyle name="Normal 51 8 2 3 2" xfId="24778"/>
    <cellStyle name="Normal 51 8 2 4" xfId="14443"/>
    <cellStyle name="Normal 51 8 2 4 2" xfId="28071"/>
    <cellStyle name="Normal 51 8 2 5" xfId="18470"/>
    <cellStyle name="Normal 51 8 3" xfId="6501"/>
    <cellStyle name="Normal 51 8 3 2" xfId="20151"/>
    <cellStyle name="Normal 51 8 4" xfId="9722"/>
    <cellStyle name="Normal 51 8 4 2" xfId="23353"/>
    <cellStyle name="Normal 51 8 5" xfId="13017"/>
    <cellStyle name="Normal 51 8 5 2" xfId="26645"/>
    <cellStyle name="Normal 51 8 6" xfId="16935"/>
    <cellStyle name="Normal 51 9" xfId="3889"/>
    <cellStyle name="Normal 51 9 2" xfId="7319"/>
    <cellStyle name="Normal 51 9 2 2" xfId="20967"/>
    <cellStyle name="Normal 51 9 3" xfId="10457"/>
    <cellStyle name="Normal 51 9 3 2" xfId="24088"/>
    <cellStyle name="Normal 51 9 4" xfId="13753"/>
    <cellStyle name="Normal 51 9 4 2" xfId="27381"/>
    <cellStyle name="Normal 51 9 5" xfId="17684"/>
    <cellStyle name="Normal 52" xfId="478"/>
    <cellStyle name="Normal 52 10" xfId="5552"/>
    <cellStyle name="Normal 52 10 2" xfId="8813"/>
    <cellStyle name="Normal 52 10 2 2" xfId="22456"/>
    <cellStyle name="Normal 52 10 3" xfId="11873"/>
    <cellStyle name="Normal 52 10 3 2" xfId="25504"/>
    <cellStyle name="Normal 52 10 4" xfId="15169"/>
    <cellStyle name="Normal 52 10 4 2" xfId="28797"/>
    <cellStyle name="Normal 52 10 5" xfId="19202"/>
    <cellStyle name="Normal 52 11" xfId="5701"/>
    <cellStyle name="Normal 52 11 2" xfId="19351"/>
    <cellStyle name="Normal 52 12" xfId="9012"/>
    <cellStyle name="Normal 52 12 2" xfId="22655"/>
    <cellStyle name="Normal 52 13" xfId="11993"/>
    <cellStyle name="Normal 52 13 2" xfId="25624"/>
    <cellStyle name="Normal 52 14" xfId="12156"/>
    <cellStyle name="Normal 52 14 2" xfId="25784"/>
    <cellStyle name="Normal 52 15" xfId="12301"/>
    <cellStyle name="Normal 52 15 2" xfId="25929"/>
    <cellStyle name="Normal 52 16" xfId="15323"/>
    <cellStyle name="Normal 52 16 2" xfId="28921"/>
    <cellStyle name="Normal 52 17" xfId="15543"/>
    <cellStyle name="Normal 52 17 2" xfId="29040"/>
    <cellStyle name="Normal 52 18" xfId="15977"/>
    <cellStyle name="Normal 52 19" xfId="29677"/>
    <cellStyle name="Normal 52 2" xfId="1178"/>
    <cellStyle name="Normal 52 2 10" xfId="11994"/>
    <cellStyle name="Normal 52 2 10 2" xfId="25625"/>
    <cellStyle name="Normal 52 2 11" xfId="12157"/>
    <cellStyle name="Normal 52 2 11 2" xfId="25785"/>
    <cellStyle name="Normal 52 2 12" xfId="12395"/>
    <cellStyle name="Normal 52 2 12 2" xfId="26023"/>
    <cellStyle name="Normal 52 2 13" xfId="15324"/>
    <cellStyle name="Normal 52 2 13 2" xfId="28922"/>
    <cellStyle name="Normal 52 2 14" xfId="15544"/>
    <cellStyle name="Normal 52 2 14 2" xfId="29041"/>
    <cellStyle name="Normal 52 2 15" xfId="16156"/>
    <cellStyle name="Normal 52 2 16" xfId="29678"/>
    <cellStyle name="Normal 52 2 2" xfId="2185"/>
    <cellStyle name="Normal 52 2 2 2" xfId="3298"/>
    <cellStyle name="Normal 52 2 2 2 2" xfId="5044"/>
    <cellStyle name="Normal 52 2 2 2 2 2" xfId="8308"/>
    <cellStyle name="Normal 52 2 2 2 2 2 2" xfId="21956"/>
    <cellStyle name="Normal 52 2 2 2 2 3" xfId="11375"/>
    <cellStyle name="Normal 52 2 2 2 2 3 2" xfId="25006"/>
    <cellStyle name="Normal 52 2 2 2 2 4" xfId="14671"/>
    <cellStyle name="Normal 52 2 2 2 2 4 2" xfId="28299"/>
    <cellStyle name="Normal 52 2 2 2 2 5" xfId="18702"/>
    <cellStyle name="Normal 52 2 2 2 3" xfId="6732"/>
    <cellStyle name="Normal 52 2 2 2 3 2" xfId="20382"/>
    <cellStyle name="Normal 52 2 2 2 4" xfId="9952"/>
    <cellStyle name="Normal 52 2 2 2 4 2" xfId="23583"/>
    <cellStyle name="Normal 52 2 2 2 5" xfId="13247"/>
    <cellStyle name="Normal 52 2 2 2 5 2" xfId="26875"/>
    <cellStyle name="Normal 52 2 2 2 6" xfId="17177"/>
    <cellStyle name="Normal 52 2 2 3" xfId="4098"/>
    <cellStyle name="Normal 52 2 2 3 2" xfId="7528"/>
    <cellStyle name="Normal 52 2 2 3 2 2" xfId="21176"/>
    <cellStyle name="Normal 52 2 2 3 3" xfId="10666"/>
    <cellStyle name="Normal 52 2 2 3 3 2" xfId="24297"/>
    <cellStyle name="Normal 52 2 2 3 4" xfId="13962"/>
    <cellStyle name="Normal 52 2 2 3 4 2" xfId="27590"/>
    <cellStyle name="Normal 52 2 2 3 5" xfId="17893"/>
    <cellStyle name="Normal 52 2 2 4" xfId="5934"/>
    <cellStyle name="Normal 52 2 2 4 2" xfId="19584"/>
    <cellStyle name="Normal 52 2 2 5" xfId="9220"/>
    <cellStyle name="Normal 52 2 2 5 2" xfId="22862"/>
    <cellStyle name="Normal 52 2 2 6" xfId="12534"/>
    <cellStyle name="Normal 52 2 2 6 2" xfId="26162"/>
    <cellStyle name="Normal 52 2 2 7" xfId="16379"/>
    <cellStyle name="Normal 52 2 3" xfId="2469"/>
    <cellStyle name="Normal 52 2 3 2" xfId="3563"/>
    <cellStyle name="Normal 52 2 3 2 2" xfId="5230"/>
    <cellStyle name="Normal 52 2 3 2 2 2" xfId="8494"/>
    <cellStyle name="Normal 52 2 3 2 2 2 2" xfId="22142"/>
    <cellStyle name="Normal 52 2 3 2 2 3" xfId="11561"/>
    <cellStyle name="Normal 52 2 3 2 2 3 2" xfId="25192"/>
    <cellStyle name="Normal 52 2 3 2 2 4" xfId="14857"/>
    <cellStyle name="Normal 52 2 3 2 2 4 2" xfId="28485"/>
    <cellStyle name="Normal 52 2 3 2 2 5" xfId="18888"/>
    <cellStyle name="Normal 52 2 3 2 3" xfId="6997"/>
    <cellStyle name="Normal 52 2 3 2 3 2" xfId="20647"/>
    <cellStyle name="Normal 52 2 3 2 4" xfId="10138"/>
    <cellStyle name="Normal 52 2 3 2 4 2" xfId="23769"/>
    <cellStyle name="Normal 52 2 3 2 5" xfId="13433"/>
    <cellStyle name="Normal 52 2 3 2 5 2" xfId="27061"/>
    <cellStyle name="Normal 52 2 3 2 6" xfId="17364"/>
    <cellStyle name="Normal 52 2 3 3" xfId="4284"/>
    <cellStyle name="Normal 52 2 3 3 2" xfId="7714"/>
    <cellStyle name="Normal 52 2 3 3 2 2" xfId="21362"/>
    <cellStyle name="Normal 52 2 3 3 3" xfId="10852"/>
    <cellStyle name="Normal 52 2 3 3 3 2" xfId="24483"/>
    <cellStyle name="Normal 52 2 3 3 4" xfId="14148"/>
    <cellStyle name="Normal 52 2 3 3 4 2" xfId="27776"/>
    <cellStyle name="Normal 52 2 3 3 5" xfId="18079"/>
    <cellStyle name="Normal 52 2 3 4" xfId="6132"/>
    <cellStyle name="Normal 52 2 3 4 2" xfId="19782"/>
    <cellStyle name="Normal 52 2 3 5" xfId="9406"/>
    <cellStyle name="Normal 52 2 3 5 2" xfId="23048"/>
    <cellStyle name="Normal 52 2 3 6" xfId="12720"/>
    <cellStyle name="Normal 52 2 3 6 2" xfId="26348"/>
    <cellStyle name="Normal 52 2 3 7" xfId="16568"/>
    <cellStyle name="Normal 52 2 4" xfId="2766"/>
    <cellStyle name="Normal 52 2 4 2" xfId="3720"/>
    <cellStyle name="Normal 52 2 4 2 2" xfId="5387"/>
    <cellStyle name="Normal 52 2 4 2 2 2" xfId="8650"/>
    <cellStyle name="Normal 52 2 4 2 2 2 2" xfId="22298"/>
    <cellStyle name="Normal 52 2 4 2 2 3" xfId="11717"/>
    <cellStyle name="Normal 52 2 4 2 2 3 2" xfId="25348"/>
    <cellStyle name="Normal 52 2 4 2 2 4" xfId="15013"/>
    <cellStyle name="Normal 52 2 4 2 2 4 2" xfId="28641"/>
    <cellStyle name="Normal 52 2 4 2 2 5" xfId="19045"/>
    <cellStyle name="Normal 52 2 4 2 3" xfId="7154"/>
    <cellStyle name="Normal 52 2 4 2 3 2" xfId="20804"/>
    <cellStyle name="Normal 52 2 4 2 4" xfId="10295"/>
    <cellStyle name="Normal 52 2 4 2 4 2" xfId="23926"/>
    <cellStyle name="Normal 52 2 4 2 5" xfId="13590"/>
    <cellStyle name="Normal 52 2 4 2 5 2" xfId="27218"/>
    <cellStyle name="Normal 52 2 4 2 6" xfId="17521"/>
    <cellStyle name="Normal 52 2 4 3" xfId="4509"/>
    <cellStyle name="Normal 52 2 4 3 2" xfId="7939"/>
    <cellStyle name="Normal 52 2 4 3 2 2" xfId="21587"/>
    <cellStyle name="Normal 52 2 4 3 3" xfId="11008"/>
    <cellStyle name="Normal 52 2 4 3 3 2" xfId="24639"/>
    <cellStyle name="Normal 52 2 4 3 4" xfId="14304"/>
    <cellStyle name="Normal 52 2 4 3 4 2" xfId="27932"/>
    <cellStyle name="Normal 52 2 4 3 5" xfId="18304"/>
    <cellStyle name="Normal 52 2 4 4" xfId="6360"/>
    <cellStyle name="Normal 52 2 4 4 2" xfId="20010"/>
    <cellStyle name="Normal 52 2 4 5" xfId="9562"/>
    <cellStyle name="Normal 52 2 4 5 2" xfId="23204"/>
    <cellStyle name="Normal 52 2 4 6" xfId="12876"/>
    <cellStyle name="Normal 52 2 4 6 2" xfId="26504"/>
    <cellStyle name="Normal 52 2 4 7" xfId="16793"/>
    <cellStyle name="Normal 52 2 5" xfId="2972"/>
    <cellStyle name="Normal 52 2 5 2" xfId="4814"/>
    <cellStyle name="Normal 52 2 5 2 2" xfId="8081"/>
    <cellStyle name="Normal 52 2 5 2 2 2" xfId="21729"/>
    <cellStyle name="Normal 52 2 5 2 3" xfId="11150"/>
    <cellStyle name="Normal 52 2 5 2 3 2" xfId="24781"/>
    <cellStyle name="Normal 52 2 5 2 4" xfId="14446"/>
    <cellStyle name="Normal 52 2 5 2 4 2" xfId="28074"/>
    <cellStyle name="Normal 52 2 5 2 5" xfId="18473"/>
    <cellStyle name="Normal 52 2 5 3" xfId="6504"/>
    <cellStyle name="Normal 52 2 5 3 2" xfId="20154"/>
    <cellStyle name="Normal 52 2 5 4" xfId="9725"/>
    <cellStyle name="Normal 52 2 5 4 2" xfId="23356"/>
    <cellStyle name="Normal 52 2 5 5" xfId="13020"/>
    <cellStyle name="Normal 52 2 5 5 2" xfId="26648"/>
    <cellStyle name="Normal 52 2 5 6" xfId="16938"/>
    <cellStyle name="Normal 52 2 6" xfId="3958"/>
    <cellStyle name="Normal 52 2 6 2" xfId="7388"/>
    <cellStyle name="Normal 52 2 6 2 2" xfId="21036"/>
    <cellStyle name="Normal 52 2 6 3" xfId="10526"/>
    <cellStyle name="Normal 52 2 6 3 2" xfId="24157"/>
    <cellStyle name="Normal 52 2 6 4" xfId="13822"/>
    <cellStyle name="Normal 52 2 6 4 2" xfId="27450"/>
    <cellStyle name="Normal 52 2 6 5" xfId="17753"/>
    <cellStyle name="Normal 52 2 7" xfId="5553"/>
    <cellStyle name="Normal 52 2 7 2" xfId="8814"/>
    <cellStyle name="Normal 52 2 7 2 2" xfId="22457"/>
    <cellStyle name="Normal 52 2 7 3" xfId="11874"/>
    <cellStyle name="Normal 52 2 7 3 2" xfId="25505"/>
    <cellStyle name="Normal 52 2 7 4" xfId="15170"/>
    <cellStyle name="Normal 52 2 7 4 2" xfId="28798"/>
    <cellStyle name="Normal 52 2 7 5" xfId="19203"/>
    <cellStyle name="Normal 52 2 8" xfId="5795"/>
    <cellStyle name="Normal 52 2 8 2" xfId="19445"/>
    <cellStyle name="Normal 52 2 9" xfId="9013"/>
    <cellStyle name="Normal 52 2 9 2" xfId="22656"/>
    <cellStyle name="Normal 52 3" xfId="1179"/>
    <cellStyle name="Normal 52 4" xfId="1177"/>
    <cellStyle name="Normal 52 4 2" xfId="2851"/>
    <cellStyle name="Normal 52 4 2 2" xfId="4748"/>
    <cellStyle name="Normal 52 4 2 2 2" xfId="8016"/>
    <cellStyle name="Normal 52 4 2 2 2 2" xfId="21664"/>
    <cellStyle name="Normal 52 4 2 2 3" xfId="11085"/>
    <cellStyle name="Normal 52 4 2 2 3 2" xfId="24716"/>
    <cellStyle name="Normal 52 4 2 2 4" xfId="14381"/>
    <cellStyle name="Normal 52 4 2 2 4 2" xfId="28009"/>
    <cellStyle name="Normal 52 4 2 2 5" xfId="18407"/>
    <cellStyle name="Normal 52 4 2 3" xfId="6438"/>
    <cellStyle name="Normal 52 4 2 3 2" xfId="20088"/>
    <cellStyle name="Normal 52 4 2 4" xfId="9659"/>
    <cellStyle name="Normal 52 4 2 4 2" xfId="23290"/>
    <cellStyle name="Normal 52 4 2 5" xfId="12954"/>
    <cellStyle name="Normal 52 4 2 5 2" xfId="26582"/>
    <cellStyle name="Normal 52 4 2 6" xfId="16870"/>
    <cellStyle name="Normal 52 4 3" xfId="3957"/>
    <cellStyle name="Normal 52 4 3 2" xfId="7387"/>
    <cellStyle name="Normal 52 4 3 2 2" xfId="21035"/>
    <cellStyle name="Normal 52 4 3 3" xfId="10525"/>
    <cellStyle name="Normal 52 4 3 3 2" xfId="24156"/>
    <cellStyle name="Normal 52 4 3 4" xfId="13821"/>
    <cellStyle name="Normal 52 4 3 4 2" xfId="27449"/>
    <cellStyle name="Normal 52 4 3 5" xfId="17752"/>
    <cellStyle name="Normal 52 4 4" xfId="5794"/>
    <cellStyle name="Normal 52 4 4 2" xfId="19444"/>
    <cellStyle name="Normal 52 4 5" xfId="8953"/>
    <cellStyle name="Normal 52 4 5 2" xfId="22596"/>
    <cellStyle name="Normal 52 4 6" xfId="12394"/>
    <cellStyle name="Normal 52 4 6 2" xfId="26022"/>
    <cellStyle name="Normal 52 4 7" xfId="16155"/>
    <cellStyle name="Normal 52 5" xfId="2184"/>
    <cellStyle name="Normal 52 5 2" xfId="3297"/>
    <cellStyle name="Normal 52 5 2 2" xfId="5043"/>
    <cellStyle name="Normal 52 5 2 2 2" xfId="8307"/>
    <cellStyle name="Normal 52 5 2 2 2 2" xfId="21955"/>
    <cellStyle name="Normal 52 5 2 2 3" xfId="11374"/>
    <cellStyle name="Normal 52 5 2 2 3 2" xfId="25005"/>
    <cellStyle name="Normal 52 5 2 2 4" xfId="14670"/>
    <cellStyle name="Normal 52 5 2 2 4 2" xfId="28298"/>
    <cellStyle name="Normal 52 5 2 2 5" xfId="18701"/>
    <cellStyle name="Normal 52 5 2 3" xfId="6731"/>
    <cellStyle name="Normal 52 5 2 3 2" xfId="20381"/>
    <cellStyle name="Normal 52 5 2 4" xfId="9951"/>
    <cellStyle name="Normal 52 5 2 4 2" xfId="23582"/>
    <cellStyle name="Normal 52 5 2 5" xfId="13246"/>
    <cellStyle name="Normal 52 5 2 5 2" xfId="26874"/>
    <cellStyle name="Normal 52 5 2 6" xfId="17176"/>
    <cellStyle name="Normal 52 5 3" xfId="4097"/>
    <cellStyle name="Normal 52 5 3 2" xfId="7527"/>
    <cellStyle name="Normal 52 5 3 2 2" xfId="21175"/>
    <cellStyle name="Normal 52 5 3 3" xfId="10665"/>
    <cellStyle name="Normal 52 5 3 3 2" xfId="24296"/>
    <cellStyle name="Normal 52 5 3 4" xfId="13961"/>
    <cellStyle name="Normal 52 5 3 4 2" xfId="27589"/>
    <cellStyle name="Normal 52 5 3 5" xfId="17892"/>
    <cellStyle name="Normal 52 5 4" xfId="5933"/>
    <cellStyle name="Normal 52 5 4 2" xfId="19583"/>
    <cellStyle name="Normal 52 5 5" xfId="9219"/>
    <cellStyle name="Normal 52 5 5 2" xfId="22861"/>
    <cellStyle name="Normal 52 5 6" xfId="12533"/>
    <cellStyle name="Normal 52 5 6 2" xfId="26161"/>
    <cellStyle name="Normal 52 5 7" xfId="16378"/>
    <cellStyle name="Normal 52 6" xfId="2468"/>
    <cellStyle name="Normal 52 6 2" xfId="3562"/>
    <cellStyle name="Normal 52 6 2 2" xfId="5229"/>
    <cellStyle name="Normal 52 6 2 2 2" xfId="8493"/>
    <cellStyle name="Normal 52 6 2 2 2 2" xfId="22141"/>
    <cellStyle name="Normal 52 6 2 2 3" xfId="11560"/>
    <cellStyle name="Normal 52 6 2 2 3 2" xfId="25191"/>
    <cellStyle name="Normal 52 6 2 2 4" xfId="14856"/>
    <cellStyle name="Normal 52 6 2 2 4 2" xfId="28484"/>
    <cellStyle name="Normal 52 6 2 2 5" xfId="18887"/>
    <cellStyle name="Normal 52 6 2 3" xfId="6996"/>
    <cellStyle name="Normal 52 6 2 3 2" xfId="20646"/>
    <cellStyle name="Normal 52 6 2 4" xfId="10137"/>
    <cellStyle name="Normal 52 6 2 4 2" xfId="23768"/>
    <cellStyle name="Normal 52 6 2 5" xfId="13432"/>
    <cellStyle name="Normal 52 6 2 5 2" xfId="27060"/>
    <cellStyle name="Normal 52 6 2 6" xfId="17363"/>
    <cellStyle name="Normal 52 6 3" xfId="4283"/>
    <cellStyle name="Normal 52 6 3 2" xfId="7713"/>
    <cellStyle name="Normal 52 6 3 2 2" xfId="21361"/>
    <cellStyle name="Normal 52 6 3 3" xfId="10851"/>
    <cellStyle name="Normal 52 6 3 3 2" xfId="24482"/>
    <cellStyle name="Normal 52 6 3 4" xfId="14147"/>
    <cellStyle name="Normal 52 6 3 4 2" xfId="27775"/>
    <cellStyle name="Normal 52 6 3 5" xfId="18078"/>
    <cellStyle name="Normal 52 6 4" xfId="6131"/>
    <cellStyle name="Normal 52 6 4 2" xfId="19781"/>
    <cellStyle name="Normal 52 6 5" xfId="9405"/>
    <cellStyle name="Normal 52 6 5 2" xfId="23047"/>
    <cellStyle name="Normal 52 6 6" xfId="12719"/>
    <cellStyle name="Normal 52 6 6 2" xfId="26347"/>
    <cellStyle name="Normal 52 6 7" xfId="16567"/>
    <cellStyle name="Normal 52 7" xfId="2765"/>
    <cellStyle name="Normal 52 7 2" xfId="3719"/>
    <cellStyle name="Normal 52 7 2 2" xfId="5386"/>
    <cellStyle name="Normal 52 7 2 2 2" xfId="8649"/>
    <cellStyle name="Normal 52 7 2 2 2 2" xfId="22297"/>
    <cellStyle name="Normal 52 7 2 2 3" xfId="11716"/>
    <cellStyle name="Normal 52 7 2 2 3 2" xfId="25347"/>
    <cellStyle name="Normal 52 7 2 2 4" xfId="15012"/>
    <cellStyle name="Normal 52 7 2 2 4 2" xfId="28640"/>
    <cellStyle name="Normal 52 7 2 2 5" xfId="19044"/>
    <cellStyle name="Normal 52 7 2 3" xfId="7153"/>
    <cellStyle name="Normal 52 7 2 3 2" xfId="20803"/>
    <cellStyle name="Normal 52 7 2 4" xfId="10294"/>
    <cellStyle name="Normal 52 7 2 4 2" xfId="23925"/>
    <cellStyle name="Normal 52 7 2 5" xfId="13589"/>
    <cellStyle name="Normal 52 7 2 5 2" xfId="27217"/>
    <cellStyle name="Normal 52 7 2 6" xfId="17520"/>
    <cellStyle name="Normal 52 7 3" xfId="4508"/>
    <cellStyle name="Normal 52 7 3 2" xfId="7938"/>
    <cellStyle name="Normal 52 7 3 2 2" xfId="21586"/>
    <cellStyle name="Normal 52 7 3 3" xfId="11007"/>
    <cellStyle name="Normal 52 7 3 3 2" xfId="24638"/>
    <cellStyle name="Normal 52 7 3 4" xfId="14303"/>
    <cellStyle name="Normal 52 7 3 4 2" xfId="27931"/>
    <cellStyle name="Normal 52 7 3 5" xfId="18303"/>
    <cellStyle name="Normal 52 7 4" xfId="6359"/>
    <cellStyle name="Normal 52 7 4 2" xfId="20009"/>
    <cellStyle name="Normal 52 7 5" xfId="9561"/>
    <cellStyle name="Normal 52 7 5 2" xfId="23203"/>
    <cellStyle name="Normal 52 7 6" xfId="12875"/>
    <cellStyle name="Normal 52 7 6 2" xfId="26503"/>
    <cellStyle name="Normal 52 7 7" xfId="16792"/>
    <cellStyle name="Normal 52 8" xfId="2971"/>
    <cellStyle name="Normal 52 8 2" xfId="4813"/>
    <cellStyle name="Normal 52 8 2 2" xfId="8080"/>
    <cellStyle name="Normal 52 8 2 2 2" xfId="21728"/>
    <cellStyle name="Normal 52 8 2 3" xfId="11149"/>
    <cellStyle name="Normal 52 8 2 3 2" xfId="24780"/>
    <cellStyle name="Normal 52 8 2 4" xfId="14445"/>
    <cellStyle name="Normal 52 8 2 4 2" xfId="28073"/>
    <cellStyle name="Normal 52 8 2 5" xfId="18472"/>
    <cellStyle name="Normal 52 8 3" xfId="6503"/>
    <cellStyle name="Normal 52 8 3 2" xfId="20153"/>
    <cellStyle name="Normal 52 8 4" xfId="9724"/>
    <cellStyle name="Normal 52 8 4 2" xfId="23355"/>
    <cellStyle name="Normal 52 8 5" xfId="13019"/>
    <cellStyle name="Normal 52 8 5 2" xfId="26647"/>
    <cellStyle name="Normal 52 8 6" xfId="16937"/>
    <cellStyle name="Normal 52 9" xfId="3860"/>
    <cellStyle name="Normal 52 9 2" xfId="7290"/>
    <cellStyle name="Normal 52 9 2 2" xfId="20938"/>
    <cellStyle name="Normal 52 9 3" xfId="10428"/>
    <cellStyle name="Normal 52 9 3 2" xfId="24059"/>
    <cellStyle name="Normal 52 9 4" xfId="13724"/>
    <cellStyle name="Normal 52 9 4 2" xfId="27352"/>
    <cellStyle name="Normal 52 9 5" xfId="17655"/>
    <cellStyle name="Normal 53" xfId="474"/>
    <cellStyle name="Normal 53 10" xfId="5554"/>
    <cellStyle name="Normal 53 10 2" xfId="8815"/>
    <cellStyle name="Normal 53 10 2 2" xfId="22458"/>
    <cellStyle name="Normal 53 10 3" xfId="11875"/>
    <cellStyle name="Normal 53 10 3 2" xfId="25506"/>
    <cellStyle name="Normal 53 10 4" xfId="15171"/>
    <cellStyle name="Normal 53 10 4 2" xfId="28799"/>
    <cellStyle name="Normal 53 10 5" xfId="19204"/>
    <cellStyle name="Normal 53 11" xfId="5698"/>
    <cellStyle name="Normal 53 11 2" xfId="19348"/>
    <cellStyle name="Normal 53 12" xfId="9015"/>
    <cellStyle name="Normal 53 12 2" xfId="22658"/>
    <cellStyle name="Normal 53 13" xfId="11995"/>
    <cellStyle name="Normal 53 13 2" xfId="25626"/>
    <cellStyle name="Normal 53 14" xfId="12158"/>
    <cellStyle name="Normal 53 14 2" xfId="25786"/>
    <cellStyle name="Normal 53 15" xfId="12298"/>
    <cellStyle name="Normal 53 15 2" xfId="25926"/>
    <cellStyle name="Normal 53 16" xfId="15325"/>
    <cellStyle name="Normal 53 16 2" xfId="28923"/>
    <cellStyle name="Normal 53 17" xfId="15545"/>
    <cellStyle name="Normal 53 17 2" xfId="29042"/>
    <cellStyle name="Normal 53 18" xfId="15974"/>
    <cellStyle name="Normal 53 19" xfId="29679"/>
    <cellStyle name="Normal 53 2" xfId="1181"/>
    <cellStyle name="Normal 53 2 10" xfId="11996"/>
    <cellStyle name="Normal 53 2 10 2" xfId="25627"/>
    <cellStyle name="Normal 53 2 11" xfId="12159"/>
    <cellStyle name="Normal 53 2 11 2" xfId="25787"/>
    <cellStyle name="Normal 53 2 12" xfId="12397"/>
    <cellStyle name="Normal 53 2 12 2" xfId="26025"/>
    <cellStyle name="Normal 53 2 13" xfId="15326"/>
    <cellStyle name="Normal 53 2 13 2" xfId="28924"/>
    <cellStyle name="Normal 53 2 14" xfId="15546"/>
    <cellStyle name="Normal 53 2 14 2" xfId="29043"/>
    <cellStyle name="Normal 53 2 15" xfId="16158"/>
    <cellStyle name="Normal 53 2 16" xfId="29680"/>
    <cellStyle name="Normal 53 2 2" xfId="2187"/>
    <cellStyle name="Normal 53 2 2 2" xfId="3300"/>
    <cellStyle name="Normal 53 2 2 2 2" xfId="5046"/>
    <cellStyle name="Normal 53 2 2 2 2 2" xfId="8310"/>
    <cellStyle name="Normal 53 2 2 2 2 2 2" xfId="21958"/>
    <cellStyle name="Normal 53 2 2 2 2 3" xfId="11377"/>
    <cellStyle name="Normal 53 2 2 2 2 3 2" xfId="25008"/>
    <cellStyle name="Normal 53 2 2 2 2 4" xfId="14673"/>
    <cellStyle name="Normal 53 2 2 2 2 4 2" xfId="28301"/>
    <cellStyle name="Normal 53 2 2 2 2 5" xfId="18704"/>
    <cellStyle name="Normal 53 2 2 2 3" xfId="6734"/>
    <cellStyle name="Normal 53 2 2 2 3 2" xfId="20384"/>
    <cellStyle name="Normal 53 2 2 2 4" xfId="9954"/>
    <cellStyle name="Normal 53 2 2 2 4 2" xfId="23585"/>
    <cellStyle name="Normal 53 2 2 2 5" xfId="13249"/>
    <cellStyle name="Normal 53 2 2 2 5 2" xfId="26877"/>
    <cellStyle name="Normal 53 2 2 2 6" xfId="17179"/>
    <cellStyle name="Normal 53 2 2 3" xfId="4100"/>
    <cellStyle name="Normal 53 2 2 3 2" xfId="7530"/>
    <cellStyle name="Normal 53 2 2 3 2 2" xfId="21178"/>
    <cellStyle name="Normal 53 2 2 3 3" xfId="10668"/>
    <cellStyle name="Normal 53 2 2 3 3 2" xfId="24299"/>
    <cellStyle name="Normal 53 2 2 3 4" xfId="13964"/>
    <cellStyle name="Normal 53 2 2 3 4 2" xfId="27592"/>
    <cellStyle name="Normal 53 2 2 3 5" xfId="17895"/>
    <cellStyle name="Normal 53 2 2 4" xfId="5936"/>
    <cellStyle name="Normal 53 2 2 4 2" xfId="19586"/>
    <cellStyle name="Normal 53 2 2 5" xfId="9222"/>
    <cellStyle name="Normal 53 2 2 5 2" xfId="22864"/>
    <cellStyle name="Normal 53 2 2 6" xfId="12536"/>
    <cellStyle name="Normal 53 2 2 6 2" xfId="26164"/>
    <cellStyle name="Normal 53 2 2 7" xfId="16381"/>
    <cellStyle name="Normal 53 2 3" xfId="2472"/>
    <cellStyle name="Normal 53 2 3 2" xfId="3565"/>
    <cellStyle name="Normal 53 2 3 2 2" xfId="5232"/>
    <cellStyle name="Normal 53 2 3 2 2 2" xfId="8496"/>
    <cellStyle name="Normal 53 2 3 2 2 2 2" xfId="22144"/>
    <cellStyle name="Normal 53 2 3 2 2 3" xfId="11563"/>
    <cellStyle name="Normal 53 2 3 2 2 3 2" xfId="25194"/>
    <cellStyle name="Normal 53 2 3 2 2 4" xfId="14859"/>
    <cellStyle name="Normal 53 2 3 2 2 4 2" xfId="28487"/>
    <cellStyle name="Normal 53 2 3 2 2 5" xfId="18890"/>
    <cellStyle name="Normal 53 2 3 2 3" xfId="6999"/>
    <cellStyle name="Normal 53 2 3 2 3 2" xfId="20649"/>
    <cellStyle name="Normal 53 2 3 2 4" xfId="10140"/>
    <cellStyle name="Normal 53 2 3 2 4 2" xfId="23771"/>
    <cellStyle name="Normal 53 2 3 2 5" xfId="13435"/>
    <cellStyle name="Normal 53 2 3 2 5 2" xfId="27063"/>
    <cellStyle name="Normal 53 2 3 2 6" xfId="17366"/>
    <cellStyle name="Normal 53 2 3 3" xfId="4286"/>
    <cellStyle name="Normal 53 2 3 3 2" xfId="7716"/>
    <cellStyle name="Normal 53 2 3 3 2 2" xfId="21364"/>
    <cellStyle name="Normal 53 2 3 3 3" xfId="10854"/>
    <cellStyle name="Normal 53 2 3 3 3 2" xfId="24485"/>
    <cellStyle name="Normal 53 2 3 3 4" xfId="14150"/>
    <cellStyle name="Normal 53 2 3 3 4 2" xfId="27778"/>
    <cellStyle name="Normal 53 2 3 3 5" xfId="18081"/>
    <cellStyle name="Normal 53 2 3 4" xfId="6135"/>
    <cellStyle name="Normal 53 2 3 4 2" xfId="19785"/>
    <cellStyle name="Normal 53 2 3 5" xfId="9408"/>
    <cellStyle name="Normal 53 2 3 5 2" xfId="23050"/>
    <cellStyle name="Normal 53 2 3 6" xfId="12722"/>
    <cellStyle name="Normal 53 2 3 6 2" xfId="26350"/>
    <cellStyle name="Normal 53 2 3 7" xfId="16570"/>
    <cellStyle name="Normal 53 2 4" xfId="2768"/>
    <cellStyle name="Normal 53 2 4 2" xfId="3722"/>
    <cellStyle name="Normal 53 2 4 2 2" xfId="5389"/>
    <cellStyle name="Normal 53 2 4 2 2 2" xfId="8652"/>
    <cellStyle name="Normal 53 2 4 2 2 2 2" xfId="22300"/>
    <cellStyle name="Normal 53 2 4 2 2 3" xfId="11719"/>
    <cellStyle name="Normal 53 2 4 2 2 3 2" xfId="25350"/>
    <cellStyle name="Normal 53 2 4 2 2 4" xfId="15015"/>
    <cellStyle name="Normal 53 2 4 2 2 4 2" xfId="28643"/>
    <cellStyle name="Normal 53 2 4 2 2 5" xfId="19047"/>
    <cellStyle name="Normal 53 2 4 2 3" xfId="7156"/>
    <cellStyle name="Normal 53 2 4 2 3 2" xfId="20806"/>
    <cellStyle name="Normal 53 2 4 2 4" xfId="10297"/>
    <cellStyle name="Normal 53 2 4 2 4 2" xfId="23928"/>
    <cellStyle name="Normal 53 2 4 2 5" xfId="13592"/>
    <cellStyle name="Normal 53 2 4 2 5 2" xfId="27220"/>
    <cellStyle name="Normal 53 2 4 2 6" xfId="17523"/>
    <cellStyle name="Normal 53 2 4 3" xfId="4511"/>
    <cellStyle name="Normal 53 2 4 3 2" xfId="7941"/>
    <cellStyle name="Normal 53 2 4 3 2 2" xfId="21589"/>
    <cellStyle name="Normal 53 2 4 3 3" xfId="11010"/>
    <cellStyle name="Normal 53 2 4 3 3 2" xfId="24641"/>
    <cellStyle name="Normal 53 2 4 3 4" xfId="14306"/>
    <cellStyle name="Normal 53 2 4 3 4 2" xfId="27934"/>
    <cellStyle name="Normal 53 2 4 3 5" xfId="18306"/>
    <cellStyle name="Normal 53 2 4 4" xfId="6362"/>
    <cellStyle name="Normal 53 2 4 4 2" xfId="20012"/>
    <cellStyle name="Normal 53 2 4 5" xfId="9564"/>
    <cellStyle name="Normal 53 2 4 5 2" xfId="23206"/>
    <cellStyle name="Normal 53 2 4 6" xfId="12878"/>
    <cellStyle name="Normal 53 2 4 6 2" xfId="26506"/>
    <cellStyle name="Normal 53 2 4 7" xfId="16795"/>
    <cellStyle name="Normal 53 2 5" xfId="2974"/>
    <cellStyle name="Normal 53 2 5 2" xfId="4816"/>
    <cellStyle name="Normal 53 2 5 2 2" xfId="8083"/>
    <cellStyle name="Normal 53 2 5 2 2 2" xfId="21731"/>
    <cellStyle name="Normal 53 2 5 2 3" xfId="11152"/>
    <cellStyle name="Normal 53 2 5 2 3 2" xfId="24783"/>
    <cellStyle name="Normal 53 2 5 2 4" xfId="14448"/>
    <cellStyle name="Normal 53 2 5 2 4 2" xfId="28076"/>
    <cellStyle name="Normal 53 2 5 2 5" xfId="18475"/>
    <cellStyle name="Normal 53 2 5 3" xfId="6506"/>
    <cellStyle name="Normal 53 2 5 3 2" xfId="20156"/>
    <cellStyle name="Normal 53 2 5 4" xfId="9727"/>
    <cellStyle name="Normal 53 2 5 4 2" xfId="23358"/>
    <cellStyle name="Normal 53 2 5 5" xfId="13022"/>
    <cellStyle name="Normal 53 2 5 5 2" xfId="26650"/>
    <cellStyle name="Normal 53 2 5 6" xfId="16940"/>
    <cellStyle name="Normal 53 2 6" xfId="3960"/>
    <cellStyle name="Normal 53 2 6 2" xfId="7390"/>
    <cellStyle name="Normal 53 2 6 2 2" xfId="21038"/>
    <cellStyle name="Normal 53 2 6 3" xfId="10528"/>
    <cellStyle name="Normal 53 2 6 3 2" xfId="24159"/>
    <cellStyle name="Normal 53 2 6 4" xfId="13824"/>
    <cellStyle name="Normal 53 2 6 4 2" xfId="27452"/>
    <cellStyle name="Normal 53 2 6 5" xfId="17755"/>
    <cellStyle name="Normal 53 2 7" xfId="5555"/>
    <cellStyle name="Normal 53 2 7 2" xfId="8816"/>
    <cellStyle name="Normal 53 2 7 2 2" xfId="22459"/>
    <cellStyle name="Normal 53 2 7 3" xfId="11876"/>
    <cellStyle name="Normal 53 2 7 3 2" xfId="25507"/>
    <cellStyle name="Normal 53 2 7 4" xfId="15172"/>
    <cellStyle name="Normal 53 2 7 4 2" xfId="28800"/>
    <cellStyle name="Normal 53 2 7 5" xfId="19205"/>
    <cellStyle name="Normal 53 2 8" xfId="5797"/>
    <cellStyle name="Normal 53 2 8 2" xfId="19447"/>
    <cellStyle name="Normal 53 2 9" xfId="9016"/>
    <cellStyle name="Normal 53 2 9 2" xfId="22659"/>
    <cellStyle name="Normal 53 3" xfId="1182"/>
    <cellStyle name="Normal 53 4" xfId="1180"/>
    <cellStyle name="Normal 53 4 2" xfId="2848"/>
    <cellStyle name="Normal 53 4 2 2" xfId="4747"/>
    <cellStyle name="Normal 53 4 2 2 2" xfId="8015"/>
    <cellStyle name="Normal 53 4 2 2 2 2" xfId="21663"/>
    <cellStyle name="Normal 53 4 2 2 3" xfId="11084"/>
    <cellStyle name="Normal 53 4 2 2 3 2" xfId="24715"/>
    <cellStyle name="Normal 53 4 2 2 4" xfId="14380"/>
    <cellStyle name="Normal 53 4 2 2 4 2" xfId="28008"/>
    <cellStyle name="Normal 53 4 2 2 5" xfId="18406"/>
    <cellStyle name="Normal 53 4 2 3" xfId="6437"/>
    <cellStyle name="Normal 53 4 2 3 2" xfId="20087"/>
    <cellStyle name="Normal 53 4 2 4" xfId="9658"/>
    <cellStyle name="Normal 53 4 2 4 2" xfId="23289"/>
    <cellStyle name="Normal 53 4 2 5" xfId="12953"/>
    <cellStyle name="Normal 53 4 2 5 2" xfId="26581"/>
    <cellStyle name="Normal 53 4 2 6" xfId="16869"/>
    <cellStyle name="Normal 53 4 3" xfId="3959"/>
    <cellStyle name="Normal 53 4 3 2" xfId="7389"/>
    <cellStyle name="Normal 53 4 3 2 2" xfId="21037"/>
    <cellStyle name="Normal 53 4 3 3" xfId="10527"/>
    <cellStyle name="Normal 53 4 3 3 2" xfId="24158"/>
    <cellStyle name="Normal 53 4 3 4" xfId="13823"/>
    <cellStyle name="Normal 53 4 3 4 2" xfId="27451"/>
    <cellStyle name="Normal 53 4 3 5" xfId="17754"/>
    <cellStyle name="Normal 53 4 4" xfId="5796"/>
    <cellStyle name="Normal 53 4 4 2" xfId="19446"/>
    <cellStyle name="Normal 53 4 5" xfId="8952"/>
    <cellStyle name="Normal 53 4 5 2" xfId="22595"/>
    <cellStyle name="Normal 53 4 6" xfId="12396"/>
    <cellStyle name="Normal 53 4 6 2" xfId="26024"/>
    <cellStyle name="Normal 53 4 7" xfId="16157"/>
    <cellStyle name="Normal 53 5" xfId="2186"/>
    <cellStyle name="Normal 53 5 2" xfId="3299"/>
    <cellStyle name="Normal 53 5 2 2" xfId="5045"/>
    <cellStyle name="Normal 53 5 2 2 2" xfId="8309"/>
    <cellStyle name="Normal 53 5 2 2 2 2" xfId="21957"/>
    <cellStyle name="Normal 53 5 2 2 3" xfId="11376"/>
    <cellStyle name="Normal 53 5 2 2 3 2" xfId="25007"/>
    <cellStyle name="Normal 53 5 2 2 4" xfId="14672"/>
    <cellStyle name="Normal 53 5 2 2 4 2" xfId="28300"/>
    <cellStyle name="Normal 53 5 2 2 5" xfId="18703"/>
    <cellStyle name="Normal 53 5 2 3" xfId="6733"/>
    <cellStyle name="Normal 53 5 2 3 2" xfId="20383"/>
    <cellStyle name="Normal 53 5 2 4" xfId="9953"/>
    <cellStyle name="Normal 53 5 2 4 2" xfId="23584"/>
    <cellStyle name="Normal 53 5 2 5" xfId="13248"/>
    <cellStyle name="Normal 53 5 2 5 2" xfId="26876"/>
    <cellStyle name="Normal 53 5 2 6" xfId="17178"/>
    <cellStyle name="Normal 53 5 3" xfId="4099"/>
    <cellStyle name="Normal 53 5 3 2" xfId="7529"/>
    <cellStyle name="Normal 53 5 3 2 2" xfId="21177"/>
    <cellStyle name="Normal 53 5 3 3" xfId="10667"/>
    <cellStyle name="Normal 53 5 3 3 2" xfId="24298"/>
    <cellStyle name="Normal 53 5 3 4" xfId="13963"/>
    <cellStyle name="Normal 53 5 3 4 2" xfId="27591"/>
    <cellStyle name="Normal 53 5 3 5" xfId="17894"/>
    <cellStyle name="Normal 53 5 4" xfId="5935"/>
    <cellStyle name="Normal 53 5 4 2" xfId="19585"/>
    <cellStyle name="Normal 53 5 5" xfId="9221"/>
    <cellStyle name="Normal 53 5 5 2" xfId="22863"/>
    <cellStyle name="Normal 53 5 6" xfId="12535"/>
    <cellStyle name="Normal 53 5 6 2" xfId="26163"/>
    <cellStyle name="Normal 53 5 7" xfId="16380"/>
    <cellStyle name="Normal 53 6" xfId="2471"/>
    <cellStyle name="Normal 53 6 2" xfId="3564"/>
    <cellStyle name="Normal 53 6 2 2" xfId="5231"/>
    <cellStyle name="Normal 53 6 2 2 2" xfId="8495"/>
    <cellStyle name="Normal 53 6 2 2 2 2" xfId="22143"/>
    <cellStyle name="Normal 53 6 2 2 3" xfId="11562"/>
    <cellStyle name="Normal 53 6 2 2 3 2" xfId="25193"/>
    <cellStyle name="Normal 53 6 2 2 4" xfId="14858"/>
    <cellStyle name="Normal 53 6 2 2 4 2" xfId="28486"/>
    <cellStyle name="Normal 53 6 2 2 5" xfId="18889"/>
    <cellStyle name="Normal 53 6 2 3" xfId="6998"/>
    <cellStyle name="Normal 53 6 2 3 2" xfId="20648"/>
    <cellStyle name="Normal 53 6 2 4" xfId="10139"/>
    <cellStyle name="Normal 53 6 2 4 2" xfId="23770"/>
    <cellStyle name="Normal 53 6 2 5" xfId="13434"/>
    <cellStyle name="Normal 53 6 2 5 2" xfId="27062"/>
    <cellStyle name="Normal 53 6 2 6" xfId="17365"/>
    <cellStyle name="Normal 53 6 3" xfId="4285"/>
    <cellStyle name="Normal 53 6 3 2" xfId="7715"/>
    <cellStyle name="Normal 53 6 3 2 2" xfId="21363"/>
    <cellStyle name="Normal 53 6 3 3" xfId="10853"/>
    <cellStyle name="Normal 53 6 3 3 2" xfId="24484"/>
    <cellStyle name="Normal 53 6 3 4" xfId="14149"/>
    <cellStyle name="Normal 53 6 3 4 2" xfId="27777"/>
    <cellStyle name="Normal 53 6 3 5" xfId="18080"/>
    <cellStyle name="Normal 53 6 4" xfId="6134"/>
    <cellStyle name="Normal 53 6 4 2" xfId="19784"/>
    <cellStyle name="Normal 53 6 5" xfId="9407"/>
    <cellStyle name="Normal 53 6 5 2" xfId="23049"/>
    <cellStyle name="Normal 53 6 6" xfId="12721"/>
    <cellStyle name="Normal 53 6 6 2" xfId="26349"/>
    <cellStyle name="Normal 53 6 7" xfId="16569"/>
    <cellStyle name="Normal 53 7" xfId="2767"/>
    <cellStyle name="Normal 53 7 2" xfId="3721"/>
    <cellStyle name="Normal 53 7 2 2" xfId="5388"/>
    <cellStyle name="Normal 53 7 2 2 2" xfId="8651"/>
    <cellStyle name="Normal 53 7 2 2 2 2" xfId="22299"/>
    <cellStyle name="Normal 53 7 2 2 3" xfId="11718"/>
    <cellStyle name="Normal 53 7 2 2 3 2" xfId="25349"/>
    <cellStyle name="Normal 53 7 2 2 4" xfId="15014"/>
    <cellStyle name="Normal 53 7 2 2 4 2" xfId="28642"/>
    <cellStyle name="Normal 53 7 2 2 5" xfId="19046"/>
    <cellStyle name="Normal 53 7 2 3" xfId="7155"/>
    <cellStyle name="Normal 53 7 2 3 2" xfId="20805"/>
    <cellStyle name="Normal 53 7 2 4" xfId="10296"/>
    <cellStyle name="Normal 53 7 2 4 2" xfId="23927"/>
    <cellStyle name="Normal 53 7 2 5" xfId="13591"/>
    <cellStyle name="Normal 53 7 2 5 2" xfId="27219"/>
    <cellStyle name="Normal 53 7 2 6" xfId="17522"/>
    <cellStyle name="Normal 53 7 3" xfId="4510"/>
    <cellStyle name="Normal 53 7 3 2" xfId="7940"/>
    <cellStyle name="Normal 53 7 3 2 2" xfId="21588"/>
    <cellStyle name="Normal 53 7 3 3" xfId="11009"/>
    <cellStyle name="Normal 53 7 3 3 2" xfId="24640"/>
    <cellStyle name="Normal 53 7 3 4" xfId="14305"/>
    <cellStyle name="Normal 53 7 3 4 2" xfId="27933"/>
    <cellStyle name="Normal 53 7 3 5" xfId="18305"/>
    <cellStyle name="Normal 53 7 4" xfId="6361"/>
    <cellStyle name="Normal 53 7 4 2" xfId="20011"/>
    <cellStyle name="Normal 53 7 5" xfId="9563"/>
    <cellStyle name="Normal 53 7 5 2" xfId="23205"/>
    <cellStyle name="Normal 53 7 6" xfId="12877"/>
    <cellStyle name="Normal 53 7 6 2" xfId="26505"/>
    <cellStyle name="Normal 53 7 7" xfId="16794"/>
    <cellStyle name="Normal 53 8" xfId="2973"/>
    <cellStyle name="Normal 53 8 2" xfId="4815"/>
    <cellStyle name="Normal 53 8 2 2" xfId="8082"/>
    <cellStyle name="Normal 53 8 2 2 2" xfId="21730"/>
    <cellStyle name="Normal 53 8 2 3" xfId="11151"/>
    <cellStyle name="Normal 53 8 2 3 2" xfId="24782"/>
    <cellStyle name="Normal 53 8 2 4" xfId="14447"/>
    <cellStyle name="Normal 53 8 2 4 2" xfId="28075"/>
    <cellStyle name="Normal 53 8 2 5" xfId="18474"/>
    <cellStyle name="Normal 53 8 3" xfId="6505"/>
    <cellStyle name="Normal 53 8 3 2" xfId="20155"/>
    <cellStyle name="Normal 53 8 4" xfId="9726"/>
    <cellStyle name="Normal 53 8 4 2" xfId="23357"/>
    <cellStyle name="Normal 53 8 5" xfId="13021"/>
    <cellStyle name="Normal 53 8 5 2" xfId="26649"/>
    <cellStyle name="Normal 53 8 6" xfId="16939"/>
    <cellStyle name="Normal 53 9" xfId="3857"/>
    <cellStyle name="Normal 53 9 2" xfId="7287"/>
    <cellStyle name="Normal 53 9 2 2" xfId="20935"/>
    <cellStyle name="Normal 53 9 3" xfId="10425"/>
    <cellStyle name="Normal 53 9 3 2" xfId="24056"/>
    <cellStyle name="Normal 53 9 4" xfId="13721"/>
    <cellStyle name="Normal 53 9 4 2" xfId="27349"/>
    <cellStyle name="Normal 53 9 5" xfId="17652"/>
    <cellStyle name="Normal 54" xfId="480"/>
    <cellStyle name="Normal 54 2" xfId="1183"/>
    <cellStyle name="Normal 54 3" xfId="3064"/>
    <cellStyle name="Normal 54 3 2" xfId="4870"/>
    <cellStyle name="Normal 54 3 2 2" xfId="8136"/>
    <cellStyle name="Normal 54 3 2 2 2" xfId="21784"/>
    <cellStyle name="Normal 54 3 2 3" xfId="11205"/>
    <cellStyle name="Normal 54 3 2 3 2" xfId="24836"/>
    <cellStyle name="Normal 54 3 2 4" xfId="14501"/>
    <cellStyle name="Normal 54 3 2 4 2" xfId="28129"/>
    <cellStyle name="Normal 54 3 2 5" xfId="18528"/>
    <cellStyle name="Normal 54 3 3" xfId="6559"/>
    <cellStyle name="Normal 54 3 3 2" xfId="20209"/>
    <cellStyle name="Normal 54 3 4" xfId="9780"/>
    <cellStyle name="Normal 54 3 4 2" xfId="23411"/>
    <cellStyle name="Normal 54 3 5" xfId="13075"/>
    <cellStyle name="Normal 54 3 5 2" xfId="26703"/>
    <cellStyle name="Normal 54 3 6" xfId="16993"/>
    <cellStyle name="Normal 54 4" xfId="3862"/>
    <cellStyle name="Normal 54 4 2" xfId="7292"/>
    <cellStyle name="Normal 54 4 2 2" xfId="20940"/>
    <cellStyle name="Normal 54 4 3" xfId="10430"/>
    <cellStyle name="Normal 54 4 3 2" xfId="24061"/>
    <cellStyle name="Normal 54 4 4" xfId="13726"/>
    <cellStyle name="Normal 54 4 4 2" xfId="27354"/>
    <cellStyle name="Normal 54 4 5" xfId="17657"/>
    <cellStyle name="Normal 54 5" xfId="5703"/>
    <cellStyle name="Normal 54 5 2" xfId="19353"/>
    <cellStyle name="Normal 54 6" xfId="9077"/>
    <cellStyle name="Normal 54 6 2" xfId="22720"/>
    <cellStyle name="Normal 54 7" xfId="12303"/>
    <cellStyle name="Normal 54 7 2" xfId="25931"/>
    <cellStyle name="Normal 54 8" xfId="15979"/>
    <cellStyle name="Normal 55" xfId="513"/>
    <cellStyle name="Normal 55 2" xfId="1184"/>
    <cellStyle name="Normal 55 3" xfId="3030"/>
    <cellStyle name="Normal 55 3 2" xfId="4849"/>
    <cellStyle name="Normal 55 3 2 2" xfId="8115"/>
    <cellStyle name="Normal 55 3 2 2 2" xfId="21763"/>
    <cellStyle name="Normal 55 3 2 3" xfId="11184"/>
    <cellStyle name="Normal 55 3 2 3 2" xfId="24815"/>
    <cellStyle name="Normal 55 3 2 4" xfId="14480"/>
    <cellStyle name="Normal 55 3 2 4 2" xfId="28108"/>
    <cellStyle name="Normal 55 3 2 5" xfId="18507"/>
    <cellStyle name="Normal 55 3 3" xfId="6538"/>
    <cellStyle name="Normal 55 3 3 2" xfId="20188"/>
    <cellStyle name="Normal 55 3 4" xfId="9759"/>
    <cellStyle name="Normal 55 3 4 2" xfId="23390"/>
    <cellStyle name="Normal 55 3 5" xfId="13054"/>
    <cellStyle name="Normal 55 3 5 2" xfId="26682"/>
    <cellStyle name="Normal 55 3 6" xfId="16972"/>
    <cellStyle name="Normal 55 4" xfId="3886"/>
    <cellStyle name="Normal 55 4 2" xfId="7316"/>
    <cellStyle name="Normal 55 4 2 2" xfId="20964"/>
    <cellStyle name="Normal 55 4 3" xfId="10454"/>
    <cellStyle name="Normal 55 4 3 2" xfId="24085"/>
    <cellStyle name="Normal 55 4 4" xfId="13750"/>
    <cellStyle name="Normal 55 4 4 2" xfId="27378"/>
    <cellStyle name="Normal 55 4 5" xfId="17681"/>
    <cellStyle name="Normal 55 5" xfId="5727"/>
    <cellStyle name="Normal 55 5 2" xfId="19377"/>
    <cellStyle name="Normal 55 6" xfId="9056"/>
    <cellStyle name="Normal 55 6 2" xfId="22699"/>
    <cellStyle name="Normal 55 7" xfId="12327"/>
    <cellStyle name="Normal 55 7 2" xfId="25955"/>
    <cellStyle name="Normal 55 8" xfId="16005"/>
    <cellStyle name="Normal 56" xfId="517"/>
    <cellStyle name="Normal 56 2" xfId="1185"/>
    <cellStyle name="Normal 57" xfId="1186"/>
    <cellStyle name="Normal 57 2" xfId="1187"/>
    <cellStyle name="Normal 58" xfId="1188"/>
    <cellStyle name="Normal 58 2" xfId="1189"/>
    <cellStyle name="Normal 58 3" xfId="1190"/>
    <cellStyle name="Normal 58 3 10" xfId="11997"/>
    <cellStyle name="Normal 58 3 10 2" xfId="25628"/>
    <cellStyle name="Normal 58 3 11" xfId="12160"/>
    <cellStyle name="Normal 58 3 11 2" xfId="25788"/>
    <cellStyle name="Normal 58 3 12" xfId="12398"/>
    <cellStyle name="Normal 58 3 12 2" xfId="26026"/>
    <cellStyle name="Normal 58 3 13" xfId="15328"/>
    <cellStyle name="Normal 58 3 13 2" xfId="28926"/>
    <cellStyle name="Normal 58 3 14" xfId="15548"/>
    <cellStyle name="Normal 58 3 14 2" xfId="29045"/>
    <cellStyle name="Normal 58 3 15" xfId="16159"/>
    <cellStyle name="Normal 58 3 16" xfId="29681"/>
    <cellStyle name="Normal 58 3 2" xfId="2188"/>
    <cellStyle name="Normal 58 3 2 2" xfId="3301"/>
    <cellStyle name="Normal 58 3 2 2 2" xfId="5047"/>
    <cellStyle name="Normal 58 3 2 2 2 2" xfId="8311"/>
    <cellStyle name="Normal 58 3 2 2 2 2 2" xfId="21959"/>
    <cellStyle name="Normal 58 3 2 2 2 3" xfId="11378"/>
    <cellStyle name="Normal 58 3 2 2 2 3 2" xfId="25009"/>
    <cellStyle name="Normal 58 3 2 2 2 4" xfId="14674"/>
    <cellStyle name="Normal 58 3 2 2 2 4 2" xfId="28302"/>
    <cellStyle name="Normal 58 3 2 2 2 5" xfId="18705"/>
    <cellStyle name="Normal 58 3 2 2 3" xfId="6735"/>
    <cellStyle name="Normal 58 3 2 2 3 2" xfId="20385"/>
    <cellStyle name="Normal 58 3 2 2 4" xfId="9955"/>
    <cellStyle name="Normal 58 3 2 2 4 2" xfId="23586"/>
    <cellStyle name="Normal 58 3 2 2 5" xfId="13250"/>
    <cellStyle name="Normal 58 3 2 2 5 2" xfId="26878"/>
    <cellStyle name="Normal 58 3 2 2 6" xfId="17180"/>
    <cellStyle name="Normal 58 3 2 3" xfId="4101"/>
    <cellStyle name="Normal 58 3 2 3 2" xfId="7531"/>
    <cellStyle name="Normal 58 3 2 3 2 2" xfId="21179"/>
    <cellStyle name="Normal 58 3 2 3 3" xfId="10669"/>
    <cellStyle name="Normal 58 3 2 3 3 2" xfId="24300"/>
    <cellStyle name="Normal 58 3 2 3 4" xfId="13965"/>
    <cellStyle name="Normal 58 3 2 3 4 2" xfId="27593"/>
    <cellStyle name="Normal 58 3 2 3 5" xfId="17896"/>
    <cellStyle name="Normal 58 3 2 4" xfId="5937"/>
    <cellStyle name="Normal 58 3 2 4 2" xfId="19587"/>
    <cellStyle name="Normal 58 3 2 5" xfId="9223"/>
    <cellStyle name="Normal 58 3 2 5 2" xfId="22865"/>
    <cellStyle name="Normal 58 3 2 6" xfId="12537"/>
    <cellStyle name="Normal 58 3 2 6 2" xfId="26165"/>
    <cellStyle name="Normal 58 3 2 7" xfId="16382"/>
    <cellStyle name="Normal 58 3 3" xfId="2481"/>
    <cellStyle name="Normal 58 3 3 2" xfId="3566"/>
    <cellStyle name="Normal 58 3 3 2 2" xfId="5233"/>
    <cellStyle name="Normal 58 3 3 2 2 2" xfId="8497"/>
    <cellStyle name="Normal 58 3 3 2 2 2 2" xfId="22145"/>
    <cellStyle name="Normal 58 3 3 2 2 3" xfId="11564"/>
    <cellStyle name="Normal 58 3 3 2 2 3 2" xfId="25195"/>
    <cellStyle name="Normal 58 3 3 2 2 4" xfId="14860"/>
    <cellStyle name="Normal 58 3 3 2 2 4 2" xfId="28488"/>
    <cellStyle name="Normal 58 3 3 2 2 5" xfId="18891"/>
    <cellStyle name="Normal 58 3 3 2 3" xfId="7000"/>
    <cellStyle name="Normal 58 3 3 2 3 2" xfId="20650"/>
    <cellStyle name="Normal 58 3 3 2 4" xfId="10141"/>
    <cellStyle name="Normal 58 3 3 2 4 2" xfId="23772"/>
    <cellStyle name="Normal 58 3 3 2 5" xfId="13436"/>
    <cellStyle name="Normal 58 3 3 2 5 2" xfId="27064"/>
    <cellStyle name="Normal 58 3 3 2 6" xfId="17367"/>
    <cellStyle name="Normal 58 3 3 3" xfId="4287"/>
    <cellStyle name="Normal 58 3 3 3 2" xfId="7717"/>
    <cellStyle name="Normal 58 3 3 3 2 2" xfId="21365"/>
    <cellStyle name="Normal 58 3 3 3 3" xfId="10855"/>
    <cellStyle name="Normal 58 3 3 3 3 2" xfId="24486"/>
    <cellStyle name="Normal 58 3 3 3 4" xfId="14151"/>
    <cellStyle name="Normal 58 3 3 3 4 2" xfId="27779"/>
    <cellStyle name="Normal 58 3 3 3 5" xfId="18082"/>
    <cellStyle name="Normal 58 3 3 4" xfId="6144"/>
    <cellStyle name="Normal 58 3 3 4 2" xfId="19794"/>
    <cellStyle name="Normal 58 3 3 5" xfId="9409"/>
    <cellStyle name="Normal 58 3 3 5 2" xfId="23051"/>
    <cellStyle name="Normal 58 3 3 6" xfId="12723"/>
    <cellStyle name="Normal 58 3 3 6 2" xfId="26351"/>
    <cellStyle name="Normal 58 3 3 7" xfId="16571"/>
    <cellStyle name="Normal 58 3 4" xfId="2769"/>
    <cellStyle name="Normal 58 3 4 2" xfId="3723"/>
    <cellStyle name="Normal 58 3 4 2 2" xfId="5390"/>
    <cellStyle name="Normal 58 3 4 2 2 2" xfId="8653"/>
    <cellStyle name="Normal 58 3 4 2 2 2 2" xfId="22301"/>
    <cellStyle name="Normal 58 3 4 2 2 3" xfId="11720"/>
    <cellStyle name="Normal 58 3 4 2 2 3 2" xfId="25351"/>
    <cellStyle name="Normal 58 3 4 2 2 4" xfId="15016"/>
    <cellStyle name="Normal 58 3 4 2 2 4 2" xfId="28644"/>
    <cellStyle name="Normal 58 3 4 2 2 5" xfId="19048"/>
    <cellStyle name="Normal 58 3 4 2 3" xfId="7157"/>
    <cellStyle name="Normal 58 3 4 2 3 2" xfId="20807"/>
    <cellStyle name="Normal 58 3 4 2 4" xfId="10298"/>
    <cellStyle name="Normal 58 3 4 2 4 2" xfId="23929"/>
    <cellStyle name="Normal 58 3 4 2 5" xfId="13593"/>
    <cellStyle name="Normal 58 3 4 2 5 2" xfId="27221"/>
    <cellStyle name="Normal 58 3 4 2 6" xfId="17524"/>
    <cellStyle name="Normal 58 3 4 3" xfId="4512"/>
    <cellStyle name="Normal 58 3 4 3 2" xfId="7942"/>
    <cellStyle name="Normal 58 3 4 3 2 2" xfId="21590"/>
    <cellStyle name="Normal 58 3 4 3 3" xfId="11011"/>
    <cellStyle name="Normal 58 3 4 3 3 2" xfId="24642"/>
    <cellStyle name="Normal 58 3 4 3 4" xfId="14307"/>
    <cellStyle name="Normal 58 3 4 3 4 2" xfId="27935"/>
    <cellStyle name="Normal 58 3 4 3 5" xfId="18307"/>
    <cellStyle name="Normal 58 3 4 4" xfId="6363"/>
    <cellStyle name="Normal 58 3 4 4 2" xfId="20013"/>
    <cellStyle name="Normal 58 3 4 5" xfId="9565"/>
    <cellStyle name="Normal 58 3 4 5 2" xfId="23207"/>
    <cellStyle name="Normal 58 3 4 6" xfId="12879"/>
    <cellStyle name="Normal 58 3 4 6 2" xfId="26507"/>
    <cellStyle name="Normal 58 3 4 7" xfId="16796"/>
    <cellStyle name="Normal 58 3 5" xfId="2975"/>
    <cellStyle name="Normal 58 3 5 2" xfId="4817"/>
    <cellStyle name="Normal 58 3 5 2 2" xfId="8084"/>
    <cellStyle name="Normal 58 3 5 2 2 2" xfId="21732"/>
    <cellStyle name="Normal 58 3 5 2 3" xfId="11153"/>
    <cellStyle name="Normal 58 3 5 2 3 2" xfId="24784"/>
    <cellStyle name="Normal 58 3 5 2 4" xfId="14449"/>
    <cellStyle name="Normal 58 3 5 2 4 2" xfId="28077"/>
    <cellStyle name="Normal 58 3 5 2 5" xfId="18476"/>
    <cellStyle name="Normal 58 3 5 3" xfId="6507"/>
    <cellStyle name="Normal 58 3 5 3 2" xfId="20157"/>
    <cellStyle name="Normal 58 3 5 4" xfId="9728"/>
    <cellStyle name="Normal 58 3 5 4 2" xfId="23359"/>
    <cellStyle name="Normal 58 3 5 5" xfId="13023"/>
    <cellStyle name="Normal 58 3 5 5 2" xfId="26651"/>
    <cellStyle name="Normal 58 3 5 6" xfId="16941"/>
    <cellStyle name="Normal 58 3 6" xfId="3961"/>
    <cellStyle name="Normal 58 3 6 2" xfId="7391"/>
    <cellStyle name="Normal 58 3 6 2 2" xfId="21039"/>
    <cellStyle name="Normal 58 3 6 3" xfId="10529"/>
    <cellStyle name="Normal 58 3 6 3 2" xfId="24160"/>
    <cellStyle name="Normal 58 3 6 4" xfId="13825"/>
    <cellStyle name="Normal 58 3 6 4 2" xfId="27453"/>
    <cellStyle name="Normal 58 3 6 5" xfId="17756"/>
    <cellStyle name="Normal 58 3 7" xfId="5556"/>
    <cellStyle name="Normal 58 3 7 2" xfId="8817"/>
    <cellStyle name="Normal 58 3 7 2 2" xfId="22460"/>
    <cellStyle name="Normal 58 3 7 3" xfId="11877"/>
    <cellStyle name="Normal 58 3 7 3 2" xfId="25508"/>
    <cellStyle name="Normal 58 3 7 4" xfId="15173"/>
    <cellStyle name="Normal 58 3 7 4 2" xfId="28801"/>
    <cellStyle name="Normal 58 3 7 5" xfId="19206"/>
    <cellStyle name="Normal 58 3 8" xfId="5798"/>
    <cellStyle name="Normal 58 3 8 2" xfId="19448"/>
    <cellStyle name="Normal 58 3 9" xfId="9020"/>
    <cellStyle name="Normal 58 3 9 2" xfId="22663"/>
    <cellStyle name="Normal 58 4" xfId="1191"/>
    <cellStyle name="Normal 58 4 10" xfId="11998"/>
    <cellStyle name="Normal 58 4 10 2" xfId="25629"/>
    <cellStyle name="Normal 58 4 11" xfId="12161"/>
    <cellStyle name="Normal 58 4 11 2" xfId="25789"/>
    <cellStyle name="Normal 58 4 12" xfId="12399"/>
    <cellStyle name="Normal 58 4 12 2" xfId="26027"/>
    <cellStyle name="Normal 58 4 13" xfId="15329"/>
    <cellStyle name="Normal 58 4 13 2" xfId="28927"/>
    <cellStyle name="Normal 58 4 14" xfId="15549"/>
    <cellStyle name="Normal 58 4 14 2" xfId="29046"/>
    <cellStyle name="Normal 58 4 15" xfId="16160"/>
    <cellStyle name="Normal 58 4 16" xfId="29682"/>
    <cellStyle name="Normal 58 4 2" xfId="2189"/>
    <cellStyle name="Normal 58 4 2 2" xfId="3302"/>
    <cellStyle name="Normal 58 4 2 2 2" xfId="5048"/>
    <cellStyle name="Normal 58 4 2 2 2 2" xfId="8312"/>
    <cellStyle name="Normal 58 4 2 2 2 2 2" xfId="21960"/>
    <cellStyle name="Normal 58 4 2 2 2 3" xfId="11379"/>
    <cellStyle name="Normal 58 4 2 2 2 3 2" xfId="25010"/>
    <cellStyle name="Normal 58 4 2 2 2 4" xfId="14675"/>
    <cellStyle name="Normal 58 4 2 2 2 4 2" xfId="28303"/>
    <cellStyle name="Normal 58 4 2 2 2 5" xfId="18706"/>
    <cellStyle name="Normal 58 4 2 2 3" xfId="6736"/>
    <cellStyle name="Normal 58 4 2 2 3 2" xfId="20386"/>
    <cellStyle name="Normal 58 4 2 2 4" xfId="9956"/>
    <cellStyle name="Normal 58 4 2 2 4 2" xfId="23587"/>
    <cellStyle name="Normal 58 4 2 2 5" xfId="13251"/>
    <cellStyle name="Normal 58 4 2 2 5 2" xfId="26879"/>
    <cellStyle name="Normal 58 4 2 2 6" xfId="17181"/>
    <cellStyle name="Normal 58 4 2 3" xfId="4102"/>
    <cellStyle name="Normal 58 4 2 3 2" xfId="7532"/>
    <cellStyle name="Normal 58 4 2 3 2 2" xfId="21180"/>
    <cellStyle name="Normal 58 4 2 3 3" xfId="10670"/>
    <cellStyle name="Normal 58 4 2 3 3 2" xfId="24301"/>
    <cellStyle name="Normal 58 4 2 3 4" xfId="13966"/>
    <cellStyle name="Normal 58 4 2 3 4 2" xfId="27594"/>
    <cellStyle name="Normal 58 4 2 3 5" xfId="17897"/>
    <cellStyle name="Normal 58 4 2 4" xfId="5938"/>
    <cellStyle name="Normal 58 4 2 4 2" xfId="19588"/>
    <cellStyle name="Normal 58 4 2 5" xfId="9224"/>
    <cellStyle name="Normal 58 4 2 5 2" xfId="22866"/>
    <cellStyle name="Normal 58 4 2 6" xfId="12538"/>
    <cellStyle name="Normal 58 4 2 6 2" xfId="26166"/>
    <cellStyle name="Normal 58 4 2 7" xfId="16383"/>
    <cellStyle name="Normal 58 4 3" xfId="2482"/>
    <cellStyle name="Normal 58 4 3 2" xfId="3567"/>
    <cellStyle name="Normal 58 4 3 2 2" xfId="5234"/>
    <cellStyle name="Normal 58 4 3 2 2 2" xfId="8498"/>
    <cellStyle name="Normal 58 4 3 2 2 2 2" xfId="22146"/>
    <cellStyle name="Normal 58 4 3 2 2 3" xfId="11565"/>
    <cellStyle name="Normal 58 4 3 2 2 3 2" xfId="25196"/>
    <cellStyle name="Normal 58 4 3 2 2 4" xfId="14861"/>
    <cellStyle name="Normal 58 4 3 2 2 4 2" xfId="28489"/>
    <cellStyle name="Normal 58 4 3 2 2 5" xfId="18892"/>
    <cellStyle name="Normal 58 4 3 2 3" xfId="7001"/>
    <cellStyle name="Normal 58 4 3 2 3 2" xfId="20651"/>
    <cellStyle name="Normal 58 4 3 2 4" xfId="10142"/>
    <cellStyle name="Normal 58 4 3 2 4 2" xfId="23773"/>
    <cellStyle name="Normal 58 4 3 2 5" xfId="13437"/>
    <cellStyle name="Normal 58 4 3 2 5 2" xfId="27065"/>
    <cellStyle name="Normal 58 4 3 2 6" xfId="17368"/>
    <cellStyle name="Normal 58 4 3 3" xfId="4288"/>
    <cellStyle name="Normal 58 4 3 3 2" xfId="7718"/>
    <cellStyle name="Normal 58 4 3 3 2 2" xfId="21366"/>
    <cellStyle name="Normal 58 4 3 3 3" xfId="10856"/>
    <cellStyle name="Normal 58 4 3 3 3 2" xfId="24487"/>
    <cellStyle name="Normal 58 4 3 3 4" xfId="14152"/>
    <cellStyle name="Normal 58 4 3 3 4 2" xfId="27780"/>
    <cellStyle name="Normal 58 4 3 3 5" xfId="18083"/>
    <cellStyle name="Normal 58 4 3 4" xfId="6145"/>
    <cellStyle name="Normal 58 4 3 4 2" xfId="19795"/>
    <cellStyle name="Normal 58 4 3 5" xfId="9410"/>
    <cellStyle name="Normal 58 4 3 5 2" xfId="23052"/>
    <cellStyle name="Normal 58 4 3 6" xfId="12724"/>
    <cellStyle name="Normal 58 4 3 6 2" xfId="26352"/>
    <cellStyle name="Normal 58 4 3 7" xfId="16572"/>
    <cellStyle name="Normal 58 4 4" xfId="2770"/>
    <cellStyle name="Normal 58 4 4 2" xfId="3724"/>
    <cellStyle name="Normal 58 4 4 2 2" xfId="5391"/>
    <cellStyle name="Normal 58 4 4 2 2 2" xfId="8654"/>
    <cellStyle name="Normal 58 4 4 2 2 2 2" xfId="22302"/>
    <cellStyle name="Normal 58 4 4 2 2 3" xfId="11721"/>
    <cellStyle name="Normal 58 4 4 2 2 3 2" xfId="25352"/>
    <cellStyle name="Normal 58 4 4 2 2 4" xfId="15017"/>
    <cellStyle name="Normal 58 4 4 2 2 4 2" xfId="28645"/>
    <cellStyle name="Normal 58 4 4 2 2 5" xfId="19049"/>
    <cellStyle name="Normal 58 4 4 2 3" xfId="7158"/>
    <cellStyle name="Normal 58 4 4 2 3 2" xfId="20808"/>
    <cellStyle name="Normal 58 4 4 2 4" xfId="10299"/>
    <cellStyle name="Normal 58 4 4 2 4 2" xfId="23930"/>
    <cellStyle name="Normal 58 4 4 2 5" xfId="13594"/>
    <cellStyle name="Normal 58 4 4 2 5 2" xfId="27222"/>
    <cellStyle name="Normal 58 4 4 2 6" xfId="17525"/>
    <cellStyle name="Normal 58 4 4 3" xfId="4513"/>
    <cellStyle name="Normal 58 4 4 3 2" xfId="7943"/>
    <cellStyle name="Normal 58 4 4 3 2 2" xfId="21591"/>
    <cellStyle name="Normal 58 4 4 3 3" xfId="11012"/>
    <cellStyle name="Normal 58 4 4 3 3 2" xfId="24643"/>
    <cellStyle name="Normal 58 4 4 3 4" xfId="14308"/>
    <cellStyle name="Normal 58 4 4 3 4 2" xfId="27936"/>
    <cellStyle name="Normal 58 4 4 3 5" xfId="18308"/>
    <cellStyle name="Normal 58 4 4 4" xfId="6364"/>
    <cellStyle name="Normal 58 4 4 4 2" xfId="20014"/>
    <cellStyle name="Normal 58 4 4 5" xfId="9566"/>
    <cellStyle name="Normal 58 4 4 5 2" xfId="23208"/>
    <cellStyle name="Normal 58 4 4 6" xfId="12880"/>
    <cellStyle name="Normal 58 4 4 6 2" xfId="26508"/>
    <cellStyle name="Normal 58 4 4 7" xfId="16797"/>
    <cellStyle name="Normal 58 4 5" xfId="2976"/>
    <cellStyle name="Normal 58 4 5 2" xfId="4818"/>
    <cellStyle name="Normal 58 4 5 2 2" xfId="8085"/>
    <cellStyle name="Normal 58 4 5 2 2 2" xfId="21733"/>
    <cellStyle name="Normal 58 4 5 2 3" xfId="11154"/>
    <cellStyle name="Normal 58 4 5 2 3 2" xfId="24785"/>
    <cellStyle name="Normal 58 4 5 2 4" xfId="14450"/>
    <cellStyle name="Normal 58 4 5 2 4 2" xfId="28078"/>
    <cellStyle name="Normal 58 4 5 2 5" xfId="18477"/>
    <cellStyle name="Normal 58 4 5 3" xfId="6508"/>
    <cellStyle name="Normal 58 4 5 3 2" xfId="20158"/>
    <cellStyle name="Normal 58 4 5 4" xfId="9729"/>
    <cellStyle name="Normal 58 4 5 4 2" xfId="23360"/>
    <cellStyle name="Normal 58 4 5 5" xfId="13024"/>
    <cellStyle name="Normal 58 4 5 5 2" xfId="26652"/>
    <cellStyle name="Normal 58 4 5 6" xfId="16942"/>
    <cellStyle name="Normal 58 4 6" xfId="3962"/>
    <cellStyle name="Normal 58 4 6 2" xfId="7392"/>
    <cellStyle name="Normal 58 4 6 2 2" xfId="21040"/>
    <cellStyle name="Normal 58 4 6 3" xfId="10530"/>
    <cellStyle name="Normal 58 4 6 3 2" xfId="24161"/>
    <cellStyle name="Normal 58 4 6 4" xfId="13826"/>
    <cellStyle name="Normal 58 4 6 4 2" xfId="27454"/>
    <cellStyle name="Normal 58 4 6 5" xfId="17757"/>
    <cellStyle name="Normal 58 4 7" xfId="5557"/>
    <cellStyle name="Normal 58 4 7 2" xfId="8818"/>
    <cellStyle name="Normal 58 4 7 2 2" xfId="22461"/>
    <cellStyle name="Normal 58 4 7 3" xfId="11878"/>
    <cellStyle name="Normal 58 4 7 3 2" xfId="25509"/>
    <cellStyle name="Normal 58 4 7 4" xfId="15174"/>
    <cellStyle name="Normal 58 4 7 4 2" xfId="28802"/>
    <cellStyle name="Normal 58 4 7 5" xfId="19207"/>
    <cellStyle name="Normal 58 4 8" xfId="5799"/>
    <cellStyle name="Normal 58 4 8 2" xfId="19449"/>
    <cellStyle name="Normal 58 4 9" xfId="9021"/>
    <cellStyle name="Normal 58 4 9 2" xfId="22664"/>
    <cellStyle name="Normal 58 5" xfId="15327"/>
    <cellStyle name="Normal 58 5 2" xfId="28925"/>
    <cellStyle name="Normal 58 6" xfId="15547"/>
    <cellStyle name="Normal 58 6 2" xfId="29044"/>
    <cellStyle name="Normal 59" xfId="1192"/>
    <cellStyle name="Normal 59 2" xfId="1193"/>
    <cellStyle name="Normal 59 3" xfId="1194"/>
    <cellStyle name="Normal 59 3 10" xfId="11999"/>
    <cellStyle name="Normal 59 3 10 2" xfId="25630"/>
    <cellStyle name="Normal 59 3 11" xfId="12162"/>
    <cellStyle name="Normal 59 3 11 2" xfId="25790"/>
    <cellStyle name="Normal 59 3 12" xfId="12400"/>
    <cellStyle name="Normal 59 3 12 2" xfId="26028"/>
    <cellStyle name="Normal 59 3 13" xfId="15331"/>
    <cellStyle name="Normal 59 3 13 2" xfId="28929"/>
    <cellStyle name="Normal 59 3 14" xfId="15551"/>
    <cellStyle name="Normal 59 3 14 2" xfId="29048"/>
    <cellStyle name="Normal 59 3 15" xfId="16161"/>
    <cellStyle name="Normal 59 3 16" xfId="29683"/>
    <cellStyle name="Normal 59 3 2" xfId="2190"/>
    <cellStyle name="Normal 59 3 2 2" xfId="3303"/>
    <cellStyle name="Normal 59 3 2 2 2" xfId="5049"/>
    <cellStyle name="Normal 59 3 2 2 2 2" xfId="8313"/>
    <cellStyle name="Normal 59 3 2 2 2 2 2" xfId="21961"/>
    <cellStyle name="Normal 59 3 2 2 2 3" xfId="11380"/>
    <cellStyle name="Normal 59 3 2 2 2 3 2" xfId="25011"/>
    <cellStyle name="Normal 59 3 2 2 2 4" xfId="14676"/>
    <cellStyle name="Normal 59 3 2 2 2 4 2" xfId="28304"/>
    <cellStyle name="Normal 59 3 2 2 2 5" xfId="18707"/>
    <cellStyle name="Normal 59 3 2 2 3" xfId="6737"/>
    <cellStyle name="Normal 59 3 2 2 3 2" xfId="20387"/>
    <cellStyle name="Normal 59 3 2 2 4" xfId="9957"/>
    <cellStyle name="Normal 59 3 2 2 4 2" xfId="23588"/>
    <cellStyle name="Normal 59 3 2 2 5" xfId="13252"/>
    <cellStyle name="Normal 59 3 2 2 5 2" xfId="26880"/>
    <cellStyle name="Normal 59 3 2 2 6" xfId="17182"/>
    <cellStyle name="Normal 59 3 2 3" xfId="4103"/>
    <cellStyle name="Normal 59 3 2 3 2" xfId="7533"/>
    <cellStyle name="Normal 59 3 2 3 2 2" xfId="21181"/>
    <cellStyle name="Normal 59 3 2 3 3" xfId="10671"/>
    <cellStyle name="Normal 59 3 2 3 3 2" xfId="24302"/>
    <cellStyle name="Normal 59 3 2 3 4" xfId="13967"/>
    <cellStyle name="Normal 59 3 2 3 4 2" xfId="27595"/>
    <cellStyle name="Normal 59 3 2 3 5" xfId="17898"/>
    <cellStyle name="Normal 59 3 2 4" xfId="5939"/>
    <cellStyle name="Normal 59 3 2 4 2" xfId="19589"/>
    <cellStyle name="Normal 59 3 2 5" xfId="9225"/>
    <cellStyle name="Normal 59 3 2 5 2" xfId="22867"/>
    <cellStyle name="Normal 59 3 2 6" xfId="12539"/>
    <cellStyle name="Normal 59 3 2 6 2" xfId="26167"/>
    <cellStyle name="Normal 59 3 2 7" xfId="16384"/>
    <cellStyle name="Normal 59 3 3" xfId="2485"/>
    <cellStyle name="Normal 59 3 3 2" xfId="3568"/>
    <cellStyle name="Normal 59 3 3 2 2" xfId="5235"/>
    <cellStyle name="Normal 59 3 3 2 2 2" xfId="8499"/>
    <cellStyle name="Normal 59 3 3 2 2 2 2" xfId="22147"/>
    <cellStyle name="Normal 59 3 3 2 2 3" xfId="11566"/>
    <cellStyle name="Normal 59 3 3 2 2 3 2" xfId="25197"/>
    <cellStyle name="Normal 59 3 3 2 2 4" xfId="14862"/>
    <cellStyle name="Normal 59 3 3 2 2 4 2" xfId="28490"/>
    <cellStyle name="Normal 59 3 3 2 2 5" xfId="18893"/>
    <cellStyle name="Normal 59 3 3 2 3" xfId="7002"/>
    <cellStyle name="Normal 59 3 3 2 3 2" xfId="20652"/>
    <cellStyle name="Normal 59 3 3 2 4" xfId="10143"/>
    <cellStyle name="Normal 59 3 3 2 4 2" xfId="23774"/>
    <cellStyle name="Normal 59 3 3 2 5" xfId="13438"/>
    <cellStyle name="Normal 59 3 3 2 5 2" xfId="27066"/>
    <cellStyle name="Normal 59 3 3 2 6" xfId="17369"/>
    <cellStyle name="Normal 59 3 3 3" xfId="4289"/>
    <cellStyle name="Normal 59 3 3 3 2" xfId="7719"/>
    <cellStyle name="Normal 59 3 3 3 2 2" xfId="21367"/>
    <cellStyle name="Normal 59 3 3 3 3" xfId="10857"/>
    <cellStyle name="Normal 59 3 3 3 3 2" xfId="24488"/>
    <cellStyle name="Normal 59 3 3 3 4" xfId="14153"/>
    <cellStyle name="Normal 59 3 3 3 4 2" xfId="27781"/>
    <cellStyle name="Normal 59 3 3 3 5" xfId="18084"/>
    <cellStyle name="Normal 59 3 3 4" xfId="6148"/>
    <cellStyle name="Normal 59 3 3 4 2" xfId="19798"/>
    <cellStyle name="Normal 59 3 3 5" xfId="9411"/>
    <cellStyle name="Normal 59 3 3 5 2" xfId="23053"/>
    <cellStyle name="Normal 59 3 3 6" xfId="12725"/>
    <cellStyle name="Normal 59 3 3 6 2" xfId="26353"/>
    <cellStyle name="Normal 59 3 3 7" xfId="16573"/>
    <cellStyle name="Normal 59 3 4" xfId="2771"/>
    <cellStyle name="Normal 59 3 4 2" xfId="3725"/>
    <cellStyle name="Normal 59 3 4 2 2" xfId="5392"/>
    <cellStyle name="Normal 59 3 4 2 2 2" xfId="8655"/>
    <cellStyle name="Normal 59 3 4 2 2 2 2" xfId="22303"/>
    <cellStyle name="Normal 59 3 4 2 2 3" xfId="11722"/>
    <cellStyle name="Normal 59 3 4 2 2 3 2" xfId="25353"/>
    <cellStyle name="Normal 59 3 4 2 2 4" xfId="15018"/>
    <cellStyle name="Normal 59 3 4 2 2 4 2" xfId="28646"/>
    <cellStyle name="Normal 59 3 4 2 2 5" xfId="19050"/>
    <cellStyle name="Normal 59 3 4 2 3" xfId="7159"/>
    <cellStyle name="Normal 59 3 4 2 3 2" xfId="20809"/>
    <cellStyle name="Normal 59 3 4 2 4" xfId="10300"/>
    <cellStyle name="Normal 59 3 4 2 4 2" xfId="23931"/>
    <cellStyle name="Normal 59 3 4 2 5" xfId="13595"/>
    <cellStyle name="Normal 59 3 4 2 5 2" xfId="27223"/>
    <cellStyle name="Normal 59 3 4 2 6" xfId="17526"/>
    <cellStyle name="Normal 59 3 4 3" xfId="4514"/>
    <cellStyle name="Normal 59 3 4 3 2" xfId="7944"/>
    <cellStyle name="Normal 59 3 4 3 2 2" xfId="21592"/>
    <cellStyle name="Normal 59 3 4 3 3" xfId="11013"/>
    <cellStyle name="Normal 59 3 4 3 3 2" xfId="24644"/>
    <cellStyle name="Normal 59 3 4 3 4" xfId="14309"/>
    <cellStyle name="Normal 59 3 4 3 4 2" xfId="27937"/>
    <cellStyle name="Normal 59 3 4 3 5" xfId="18309"/>
    <cellStyle name="Normal 59 3 4 4" xfId="6365"/>
    <cellStyle name="Normal 59 3 4 4 2" xfId="20015"/>
    <cellStyle name="Normal 59 3 4 5" xfId="9567"/>
    <cellStyle name="Normal 59 3 4 5 2" xfId="23209"/>
    <cellStyle name="Normal 59 3 4 6" xfId="12881"/>
    <cellStyle name="Normal 59 3 4 6 2" xfId="26509"/>
    <cellStyle name="Normal 59 3 4 7" xfId="16798"/>
    <cellStyle name="Normal 59 3 5" xfId="2977"/>
    <cellStyle name="Normal 59 3 5 2" xfId="4819"/>
    <cellStyle name="Normal 59 3 5 2 2" xfId="8086"/>
    <cellStyle name="Normal 59 3 5 2 2 2" xfId="21734"/>
    <cellStyle name="Normal 59 3 5 2 3" xfId="11155"/>
    <cellStyle name="Normal 59 3 5 2 3 2" xfId="24786"/>
    <cellStyle name="Normal 59 3 5 2 4" xfId="14451"/>
    <cellStyle name="Normal 59 3 5 2 4 2" xfId="28079"/>
    <cellStyle name="Normal 59 3 5 2 5" xfId="18478"/>
    <cellStyle name="Normal 59 3 5 3" xfId="6509"/>
    <cellStyle name="Normal 59 3 5 3 2" xfId="20159"/>
    <cellStyle name="Normal 59 3 5 4" xfId="9730"/>
    <cellStyle name="Normal 59 3 5 4 2" xfId="23361"/>
    <cellStyle name="Normal 59 3 5 5" xfId="13025"/>
    <cellStyle name="Normal 59 3 5 5 2" xfId="26653"/>
    <cellStyle name="Normal 59 3 5 6" xfId="16943"/>
    <cellStyle name="Normal 59 3 6" xfId="3963"/>
    <cellStyle name="Normal 59 3 6 2" xfId="7393"/>
    <cellStyle name="Normal 59 3 6 2 2" xfId="21041"/>
    <cellStyle name="Normal 59 3 6 3" xfId="10531"/>
    <cellStyle name="Normal 59 3 6 3 2" xfId="24162"/>
    <cellStyle name="Normal 59 3 6 4" xfId="13827"/>
    <cellStyle name="Normal 59 3 6 4 2" xfId="27455"/>
    <cellStyle name="Normal 59 3 6 5" xfId="17758"/>
    <cellStyle name="Normal 59 3 7" xfId="5558"/>
    <cellStyle name="Normal 59 3 7 2" xfId="8819"/>
    <cellStyle name="Normal 59 3 7 2 2" xfId="22462"/>
    <cellStyle name="Normal 59 3 7 3" xfId="11879"/>
    <cellStyle name="Normal 59 3 7 3 2" xfId="25510"/>
    <cellStyle name="Normal 59 3 7 4" xfId="15175"/>
    <cellStyle name="Normal 59 3 7 4 2" xfId="28803"/>
    <cellStyle name="Normal 59 3 7 5" xfId="19208"/>
    <cellStyle name="Normal 59 3 8" xfId="5800"/>
    <cellStyle name="Normal 59 3 8 2" xfId="19450"/>
    <cellStyle name="Normal 59 3 9" xfId="9022"/>
    <cellStyle name="Normal 59 3 9 2" xfId="22665"/>
    <cellStyle name="Normal 59 4" xfId="1195"/>
    <cellStyle name="Normal 59 4 10" xfId="12000"/>
    <cellStyle name="Normal 59 4 10 2" xfId="25631"/>
    <cellStyle name="Normal 59 4 11" xfId="12163"/>
    <cellStyle name="Normal 59 4 11 2" xfId="25791"/>
    <cellStyle name="Normal 59 4 12" xfId="12401"/>
    <cellStyle name="Normal 59 4 12 2" xfId="26029"/>
    <cellStyle name="Normal 59 4 13" xfId="15332"/>
    <cellStyle name="Normal 59 4 13 2" xfId="28930"/>
    <cellStyle name="Normal 59 4 14" xfId="15552"/>
    <cellStyle name="Normal 59 4 14 2" xfId="29049"/>
    <cellStyle name="Normal 59 4 15" xfId="16162"/>
    <cellStyle name="Normal 59 4 16" xfId="29684"/>
    <cellStyle name="Normal 59 4 2" xfId="2191"/>
    <cellStyle name="Normal 59 4 2 2" xfId="3304"/>
    <cellStyle name="Normal 59 4 2 2 2" xfId="5050"/>
    <cellStyle name="Normal 59 4 2 2 2 2" xfId="8314"/>
    <cellStyle name="Normal 59 4 2 2 2 2 2" xfId="21962"/>
    <cellStyle name="Normal 59 4 2 2 2 3" xfId="11381"/>
    <cellStyle name="Normal 59 4 2 2 2 3 2" xfId="25012"/>
    <cellStyle name="Normal 59 4 2 2 2 4" xfId="14677"/>
    <cellStyle name="Normal 59 4 2 2 2 4 2" xfId="28305"/>
    <cellStyle name="Normal 59 4 2 2 2 5" xfId="18708"/>
    <cellStyle name="Normal 59 4 2 2 3" xfId="6738"/>
    <cellStyle name="Normal 59 4 2 2 3 2" xfId="20388"/>
    <cellStyle name="Normal 59 4 2 2 4" xfId="9958"/>
    <cellStyle name="Normal 59 4 2 2 4 2" xfId="23589"/>
    <cellStyle name="Normal 59 4 2 2 5" xfId="13253"/>
    <cellStyle name="Normal 59 4 2 2 5 2" xfId="26881"/>
    <cellStyle name="Normal 59 4 2 2 6" xfId="17183"/>
    <cellStyle name="Normal 59 4 2 3" xfId="4104"/>
    <cellStyle name="Normal 59 4 2 3 2" xfId="7534"/>
    <cellStyle name="Normal 59 4 2 3 2 2" xfId="21182"/>
    <cellStyle name="Normal 59 4 2 3 3" xfId="10672"/>
    <cellStyle name="Normal 59 4 2 3 3 2" xfId="24303"/>
    <cellStyle name="Normal 59 4 2 3 4" xfId="13968"/>
    <cellStyle name="Normal 59 4 2 3 4 2" xfId="27596"/>
    <cellStyle name="Normal 59 4 2 3 5" xfId="17899"/>
    <cellStyle name="Normal 59 4 2 4" xfId="5940"/>
    <cellStyle name="Normal 59 4 2 4 2" xfId="19590"/>
    <cellStyle name="Normal 59 4 2 5" xfId="9226"/>
    <cellStyle name="Normal 59 4 2 5 2" xfId="22868"/>
    <cellStyle name="Normal 59 4 2 6" xfId="12540"/>
    <cellStyle name="Normal 59 4 2 6 2" xfId="26168"/>
    <cellStyle name="Normal 59 4 2 7" xfId="16385"/>
    <cellStyle name="Normal 59 4 3" xfId="2486"/>
    <cellStyle name="Normal 59 4 3 2" xfId="3569"/>
    <cellStyle name="Normal 59 4 3 2 2" xfId="5236"/>
    <cellStyle name="Normal 59 4 3 2 2 2" xfId="8500"/>
    <cellStyle name="Normal 59 4 3 2 2 2 2" xfId="22148"/>
    <cellStyle name="Normal 59 4 3 2 2 3" xfId="11567"/>
    <cellStyle name="Normal 59 4 3 2 2 3 2" xfId="25198"/>
    <cellStyle name="Normal 59 4 3 2 2 4" xfId="14863"/>
    <cellStyle name="Normal 59 4 3 2 2 4 2" xfId="28491"/>
    <cellStyle name="Normal 59 4 3 2 2 5" xfId="18894"/>
    <cellStyle name="Normal 59 4 3 2 3" xfId="7003"/>
    <cellStyle name="Normal 59 4 3 2 3 2" xfId="20653"/>
    <cellStyle name="Normal 59 4 3 2 4" xfId="10144"/>
    <cellStyle name="Normal 59 4 3 2 4 2" xfId="23775"/>
    <cellStyle name="Normal 59 4 3 2 5" xfId="13439"/>
    <cellStyle name="Normal 59 4 3 2 5 2" xfId="27067"/>
    <cellStyle name="Normal 59 4 3 2 6" xfId="17370"/>
    <cellStyle name="Normal 59 4 3 3" xfId="4290"/>
    <cellStyle name="Normal 59 4 3 3 2" xfId="7720"/>
    <cellStyle name="Normal 59 4 3 3 2 2" xfId="21368"/>
    <cellStyle name="Normal 59 4 3 3 3" xfId="10858"/>
    <cellStyle name="Normal 59 4 3 3 3 2" xfId="24489"/>
    <cellStyle name="Normal 59 4 3 3 4" xfId="14154"/>
    <cellStyle name="Normal 59 4 3 3 4 2" xfId="27782"/>
    <cellStyle name="Normal 59 4 3 3 5" xfId="18085"/>
    <cellStyle name="Normal 59 4 3 4" xfId="6149"/>
    <cellStyle name="Normal 59 4 3 4 2" xfId="19799"/>
    <cellStyle name="Normal 59 4 3 5" xfId="9412"/>
    <cellStyle name="Normal 59 4 3 5 2" xfId="23054"/>
    <cellStyle name="Normal 59 4 3 6" xfId="12726"/>
    <cellStyle name="Normal 59 4 3 6 2" xfId="26354"/>
    <cellStyle name="Normal 59 4 3 7" xfId="16574"/>
    <cellStyle name="Normal 59 4 4" xfId="2772"/>
    <cellStyle name="Normal 59 4 4 2" xfId="3726"/>
    <cellStyle name="Normal 59 4 4 2 2" xfId="5393"/>
    <cellStyle name="Normal 59 4 4 2 2 2" xfId="8656"/>
    <cellStyle name="Normal 59 4 4 2 2 2 2" xfId="22304"/>
    <cellStyle name="Normal 59 4 4 2 2 3" xfId="11723"/>
    <cellStyle name="Normal 59 4 4 2 2 3 2" xfId="25354"/>
    <cellStyle name="Normal 59 4 4 2 2 4" xfId="15019"/>
    <cellStyle name="Normal 59 4 4 2 2 4 2" xfId="28647"/>
    <cellStyle name="Normal 59 4 4 2 2 5" xfId="19051"/>
    <cellStyle name="Normal 59 4 4 2 3" xfId="7160"/>
    <cellStyle name="Normal 59 4 4 2 3 2" xfId="20810"/>
    <cellStyle name="Normal 59 4 4 2 4" xfId="10301"/>
    <cellStyle name="Normal 59 4 4 2 4 2" xfId="23932"/>
    <cellStyle name="Normal 59 4 4 2 5" xfId="13596"/>
    <cellStyle name="Normal 59 4 4 2 5 2" xfId="27224"/>
    <cellStyle name="Normal 59 4 4 2 6" xfId="17527"/>
    <cellStyle name="Normal 59 4 4 3" xfId="4515"/>
    <cellStyle name="Normal 59 4 4 3 2" xfId="7945"/>
    <cellStyle name="Normal 59 4 4 3 2 2" xfId="21593"/>
    <cellStyle name="Normal 59 4 4 3 3" xfId="11014"/>
    <cellStyle name="Normal 59 4 4 3 3 2" xfId="24645"/>
    <cellStyle name="Normal 59 4 4 3 4" xfId="14310"/>
    <cellStyle name="Normal 59 4 4 3 4 2" xfId="27938"/>
    <cellStyle name="Normal 59 4 4 3 5" xfId="18310"/>
    <cellStyle name="Normal 59 4 4 4" xfId="6366"/>
    <cellStyle name="Normal 59 4 4 4 2" xfId="20016"/>
    <cellStyle name="Normal 59 4 4 5" xfId="9568"/>
    <cellStyle name="Normal 59 4 4 5 2" xfId="23210"/>
    <cellStyle name="Normal 59 4 4 6" xfId="12882"/>
    <cellStyle name="Normal 59 4 4 6 2" xfId="26510"/>
    <cellStyle name="Normal 59 4 4 7" xfId="16799"/>
    <cellStyle name="Normal 59 4 5" xfId="2978"/>
    <cellStyle name="Normal 59 4 5 2" xfId="4820"/>
    <cellStyle name="Normal 59 4 5 2 2" xfId="8087"/>
    <cellStyle name="Normal 59 4 5 2 2 2" xfId="21735"/>
    <cellStyle name="Normal 59 4 5 2 3" xfId="11156"/>
    <cellStyle name="Normal 59 4 5 2 3 2" xfId="24787"/>
    <cellStyle name="Normal 59 4 5 2 4" xfId="14452"/>
    <cellStyle name="Normal 59 4 5 2 4 2" xfId="28080"/>
    <cellStyle name="Normal 59 4 5 2 5" xfId="18479"/>
    <cellStyle name="Normal 59 4 5 3" xfId="6510"/>
    <cellStyle name="Normal 59 4 5 3 2" xfId="20160"/>
    <cellStyle name="Normal 59 4 5 4" xfId="9731"/>
    <cellStyle name="Normal 59 4 5 4 2" xfId="23362"/>
    <cellStyle name="Normal 59 4 5 5" xfId="13026"/>
    <cellStyle name="Normal 59 4 5 5 2" xfId="26654"/>
    <cellStyle name="Normal 59 4 5 6" xfId="16944"/>
    <cellStyle name="Normal 59 4 6" xfId="3964"/>
    <cellStyle name="Normal 59 4 6 2" xfId="7394"/>
    <cellStyle name="Normal 59 4 6 2 2" xfId="21042"/>
    <cellStyle name="Normal 59 4 6 3" xfId="10532"/>
    <cellStyle name="Normal 59 4 6 3 2" xfId="24163"/>
    <cellStyle name="Normal 59 4 6 4" xfId="13828"/>
    <cellStyle name="Normal 59 4 6 4 2" xfId="27456"/>
    <cellStyle name="Normal 59 4 6 5" xfId="17759"/>
    <cellStyle name="Normal 59 4 7" xfId="5559"/>
    <cellStyle name="Normal 59 4 7 2" xfId="8820"/>
    <cellStyle name="Normal 59 4 7 2 2" xfId="22463"/>
    <cellStyle name="Normal 59 4 7 3" xfId="11880"/>
    <cellStyle name="Normal 59 4 7 3 2" xfId="25511"/>
    <cellStyle name="Normal 59 4 7 4" xfId="15176"/>
    <cellStyle name="Normal 59 4 7 4 2" xfId="28804"/>
    <cellStyle name="Normal 59 4 7 5" xfId="19209"/>
    <cellStyle name="Normal 59 4 8" xfId="5801"/>
    <cellStyle name="Normal 59 4 8 2" xfId="19451"/>
    <cellStyle name="Normal 59 4 9" xfId="9023"/>
    <cellStyle name="Normal 59 4 9 2" xfId="22666"/>
    <cellStyle name="Normal 59 5" xfId="15330"/>
    <cellStyle name="Normal 59 5 2" xfId="28928"/>
    <cellStyle name="Normal 59 6" xfId="15550"/>
    <cellStyle name="Normal 59 6 2" xfId="29047"/>
    <cellStyle name="Normal 6" xfId="77"/>
    <cellStyle name="Normal 6 2" xfId="1196"/>
    <cellStyle name="Normal 6 3" xfId="15764"/>
    <cellStyle name="Normal 60" xfId="1197"/>
    <cellStyle name="Normal 60 10" xfId="5560"/>
    <cellStyle name="Normal 60 10 2" xfId="8821"/>
    <cellStyle name="Normal 60 10 2 2" xfId="22464"/>
    <cellStyle name="Normal 60 10 3" xfId="11881"/>
    <cellStyle name="Normal 60 10 3 2" xfId="25512"/>
    <cellStyle name="Normal 60 10 4" xfId="15177"/>
    <cellStyle name="Normal 60 10 4 2" xfId="28805"/>
    <cellStyle name="Normal 60 10 5" xfId="19210"/>
    <cellStyle name="Normal 60 11" xfId="5802"/>
    <cellStyle name="Normal 60 11 2" xfId="19452"/>
    <cellStyle name="Normal 60 12" xfId="9024"/>
    <cellStyle name="Normal 60 12 2" xfId="22667"/>
    <cellStyle name="Normal 60 13" xfId="12001"/>
    <cellStyle name="Normal 60 13 2" xfId="25632"/>
    <cellStyle name="Normal 60 14" xfId="12164"/>
    <cellStyle name="Normal 60 14 2" xfId="25792"/>
    <cellStyle name="Normal 60 15" xfId="12402"/>
    <cellStyle name="Normal 60 15 2" xfId="26030"/>
    <cellStyle name="Normal 60 16" xfId="16163"/>
    <cellStyle name="Normal 60 17" xfId="29685"/>
    <cellStyle name="Normal 60 2" xfId="1198"/>
    <cellStyle name="Normal 60 2 10" xfId="12002"/>
    <cellStyle name="Normal 60 2 10 2" xfId="25633"/>
    <cellStyle name="Normal 60 2 11" xfId="12165"/>
    <cellStyle name="Normal 60 2 11 2" xfId="25793"/>
    <cellStyle name="Normal 60 2 12" xfId="12403"/>
    <cellStyle name="Normal 60 2 12 2" xfId="26031"/>
    <cellStyle name="Normal 60 2 13" xfId="15333"/>
    <cellStyle name="Normal 60 2 13 2" xfId="28931"/>
    <cellStyle name="Normal 60 2 14" xfId="15553"/>
    <cellStyle name="Normal 60 2 14 2" xfId="29050"/>
    <cellStyle name="Normal 60 2 15" xfId="16164"/>
    <cellStyle name="Normal 60 2 16" xfId="29686"/>
    <cellStyle name="Normal 60 2 2" xfId="2193"/>
    <cellStyle name="Normal 60 2 2 2" xfId="3306"/>
    <cellStyle name="Normal 60 2 2 2 2" xfId="5052"/>
    <cellStyle name="Normal 60 2 2 2 2 2" xfId="8316"/>
    <cellStyle name="Normal 60 2 2 2 2 2 2" xfId="21964"/>
    <cellStyle name="Normal 60 2 2 2 2 3" xfId="11383"/>
    <cellStyle name="Normal 60 2 2 2 2 3 2" xfId="25014"/>
    <cellStyle name="Normal 60 2 2 2 2 4" xfId="14679"/>
    <cellStyle name="Normal 60 2 2 2 2 4 2" xfId="28307"/>
    <cellStyle name="Normal 60 2 2 2 2 5" xfId="18710"/>
    <cellStyle name="Normal 60 2 2 2 3" xfId="6740"/>
    <cellStyle name="Normal 60 2 2 2 3 2" xfId="20390"/>
    <cellStyle name="Normal 60 2 2 2 4" xfId="9960"/>
    <cellStyle name="Normal 60 2 2 2 4 2" xfId="23591"/>
    <cellStyle name="Normal 60 2 2 2 5" xfId="13255"/>
    <cellStyle name="Normal 60 2 2 2 5 2" xfId="26883"/>
    <cellStyle name="Normal 60 2 2 2 6" xfId="17185"/>
    <cellStyle name="Normal 60 2 2 3" xfId="4106"/>
    <cellStyle name="Normal 60 2 2 3 2" xfId="7536"/>
    <cellStyle name="Normal 60 2 2 3 2 2" xfId="21184"/>
    <cellStyle name="Normal 60 2 2 3 3" xfId="10674"/>
    <cellStyle name="Normal 60 2 2 3 3 2" xfId="24305"/>
    <cellStyle name="Normal 60 2 2 3 4" xfId="13970"/>
    <cellStyle name="Normal 60 2 2 3 4 2" xfId="27598"/>
    <cellStyle name="Normal 60 2 2 3 5" xfId="17901"/>
    <cellStyle name="Normal 60 2 2 4" xfId="5942"/>
    <cellStyle name="Normal 60 2 2 4 2" xfId="19592"/>
    <cellStyle name="Normal 60 2 2 5" xfId="9228"/>
    <cellStyle name="Normal 60 2 2 5 2" xfId="22870"/>
    <cellStyle name="Normal 60 2 2 6" xfId="12542"/>
    <cellStyle name="Normal 60 2 2 6 2" xfId="26170"/>
    <cellStyle name="Normal 60 2 2 7" xfId="16387"/>
    <cellStyle name="Normal 60 2 3" xfId="2490"/>
    <cellStyle name="Normal 60 2 3 2" xfId="3572"/>
    <cellStyle name="Normal 60 2 3 2 2" xfId="5239"/>
    <cellStyle name="Normal 60 2 3 2 2 2" xfId="8502"/>
    <cellStyle name="Normal 60 2 3 2 2 2 2" xfId="22150"/>
    <cellStyle name="Normal 60 2 3 2 2 3" xfId="11569"/>
    <cellStyle name="Normal 60 2 3 2 2 3 2" xfId="25200"/>
    <cellStyle name="Normal 60 2 3 2 2 4" xfId="14865"/>
    <cellStyle name="Normal 60 2 3 2 2 4 2" xfId="28493"/>
    <cellStyle name="Normal 60 2 3 2 2 5" xfId="18897"/>
    <cellStyle name="Normal 60 2 3 2 3" xfId="7006"/>
    <cellStyle name="Normal 60 2 3 2 3 2" xfId="20656"/>
    <cellStyle name="Normal 60 2 3 2 4" xfId="10147"/>
    <cellStyle name="Normal 60 2 3 2 4 2" xfId="23778"/>
    <cellStyle name="Normal 60 2 3 2 5" xfId="13442"/>
    <cellStyle name="Normal 60 2 3 2 5 2" xfId="27070"/>
    <cellStyle name="Normal 60 2 3 2 6" xfId="17373"/>
    <cellStyle name="Normal 60 2 3 3" xfId="4292"/>
    <cellStyle name="Normal 60 2 3 3 2" xfId="7722"/>
    <cellStyle name="Normal 60 2 3 3 2 2" xfId="21370"/>
    <cellStyle name="Normal 60 2 3 3 3" xfId="10860"/>
    <cellStyle name="Normal 60 2 3 3 3 2" xfId="24491"/>
    <cellStyle name="Normal 60 2 3 3 4" xfId="14156"/>
    <cellStyle name="Normal 60 2 3 3 4 2" xfId="27784"/>
    <cellStyle name="Normal 60 2 3 3 5" xfId="18087"/>
    <cellStyle name="Normal 60 2 3 4" xfId="6153"/>
    <cellStyle name="Normal 60 2 3 4 2" xfId="19803"/>
    <cellStyle name="Normal 60 2 3 5" xfId="9414"/>
    <cellStyle name="Normal 60 2 3 5 2" xfId="23056"/>
    <cellStyle name="Normal 60 2 3 6" xfId="12728"/>
    <cellStyle name="Normal 60 2 3 6 2" xfId="26356"/>
    <cellStyle name="Normal 60 2 3 7" xfId="16576"/>
    <cellStyle name="Normal 60 2 4" xfId="2774"/>
    <cellStyle name="Normal 60 2 4 2" xfId="3728"/>
    <cellStyle name="Normal 60 2 4 2 2" xfId="5395"/>
    <cellStyle name="Normal 60 2 4 2 2 2" xfId="8658"/>
    <cellStyle name="Normal 60 2 4 2 2 2 2" xfId="22306"/>
    <cellStyle name="Normal 60 2 4 2 2 3" xfId="11725"/>
    <cellStyle name="Normal 60 2 4 2 2 3 2" xfId="25356"/>
    <cellStyle name="Normal 60 2 4 2 2 4" xfId="15021"/>
    <cellStyle name="Normal 60 2 4 2 2 4 2" xfId="28649"/>
    <cellStyle name="Normal 60 2 4 2 2 5" xfId="19053"/>
    <cellStyle name="Normal 60 2 4 2 3" xfId="7162"/>
    <cellStyle name="Normal 60 2 4 2 3 2" xfId="20812"/>
    <cellStyle name="Normal 60 2 4 2 4" xfId="10303"/>
    <cellStyle name="Normal 60 2 4 2 4 2" xfId="23934"/>
    <cellStyle name="Normal 60 2 4 2 5" xfId="13598"/>
    <cellStyle name="Normal 60 2 4 2 5 2" xfId="27226"/>
    <cellStyle name="Normal 60 2 4 2 6" xfId="17529"/>
    <cellStyle name="Normal 60 2 4 3" xfId="4517"/>
    <cellStyle name="Normal 60 2 4 3 2" xfId="7947"/>
    <cellStyle name="Normal 60 2 4 3 2 2" xfId="21595"/>
    <cellStyle name="Normal 60 2 4 3 3" xfId="11016"/>
    <cellStyle name="Normal 60 2 4 3 3 2" xfId="24647"/>
    <cellStyle name="Normal 60 2 4 3 4" xfId="14312"/>
    <cellStyle name="Normal 60 2 4 3 4 2" xfId="27940"/>
    <cellStyle name="Normal 60 2 4 3 5" xfId="18312"/>
    <cellStyle name="Normal 60 2 4 4" xfId="6368"/>
    <cellStyle name="Normal 60 2 4 4 2" xfId="20018"/>
    <cellStyle name="Normal 60 2 4 5" xfId="9570"/>
    <cellStyle name="Normal 60 2 4 5 2" xfId="23212"/>
    <cellStyle name="Normal 60 2 4 6" xfId="12884"/>
    <cellStyle name="Normal 60 2 4 6 2" xfId="26512"/>
    <cellStyle name="Normal 60 2 4 7" xfId="16801"/>
    <cellStyle name="Normal 60 2 5" xfId="2980"/>
    <cellStyle name="Normal 60 2 5 2" xfId="4822"/>
    <cellStyle name="Normal 60 2 5 2 2" xfId="8089"/>
    <cellStyle name="Normal 60 2 5 2 2 2" xfId="21737"/>
    <cellStyle name="Normal 60 2 5 2 3" xfId="11158"/>
    <cellStyle name="Normal 60 2 5 2 3 2" xfId="24789"/>
    <cellStyle name="Normal 60 2 5 2 4" xfId="14454"/>
    <cellStyle name="Normal 60 2 5 2 4 2" xfId="28082"/>
    <cellStyle name="Normal 60 2 5 2 5" xfId="18481"/>
    <cellStyle name="Normal 60 2 5 3" xfId="6512"/>
    <cellStyle name="Normal 60 2 5 3 2" xfId="20162"/>
    <cellStyle name="Normal 60 2 5 4" xfId="9733"/>
    <cellStyle name="Normal 60 2 5 4 2" xfId="23364"/>
    <cellStyle name="Normal 60 2 5 5" xfId="13028"/>
    <cellStyle name="Normal 60 2 5 5 2" xfId="26656"/>
    <cellStyle name="Normal 60 2 5 6" xfId="16946"/>
    <cellStyle name="Normal 60 2 6" xfId="3966"/>
    <cellStyle name="Normal 60 2 6 2" xfId="7396"/>
    <cellStyle name="Normal 60 2 6 2 2" xfId="21044"/>
    <cellStyle name="Normal 60 2 6 3" xfId="10534"/>
    <cellStyle name="Normal 60 2 6 3 2" xfId="24165"/>
    <cellStyle name="Normal 60 2 6 4" xfId="13830"/>
    <cellStyle name="Normal 60 2 6 4 2" xfId="27458"/>
    <cellStyle name="Normal 60 2 6 5" xfId="17761"/>
    <cellStyle name="Normal 60 2 7" xfId="5561"/>
    <cellStyle name="Normal 60 2 7 2" xfId="8822"/>
    <cellStyle name="Normal 60 2 7 2 2" xfId="22465"/>
    <cellStyle name="Normal 60 2 7 3" xfId="11882"/>
    <cellStyle name="Normal 60 2 7 3 2" xfId="25513"/>
    <cellStyle name="Normal 60 2 7 4" xfId="15178"/>
    <cellStyle name="Normal 60 2 7 4 2" xfId="28806"/>
    <cellStyle name="Normal 60 2 7 5" xfId="19211"/>
    <cellStyle name="Normal 60 2 8" xfId="5803"/>
    <cellStyle name="Normal 60 2 8 2" xfId="19453"/>
    <cellStyle name="Normal 60 2 9" xfId="9025"/>
    <cellStyle name="Normal 60 2 9 2" xfId="22668"/>
    <cellStyle name="Normal 60 3" xfId="1199"/>
    <cellStyle name="Normal 60 4" xfId="1200"/>
    <cellStyle name="Normal 60 5" xfId="2192"/>
    <cellStyle name="Normal 60 5 2" xfId="3305"/>
    <cellStyle name="Normal 60 5 2 2" xfId="5051"/>
    <cellStyle name="Normal 60 5 2 2 2" xfId="8315"/>
    <cellStyle name="Normal 60 5 2 2 2 2" xfId="21963"/>
    <cellStyle name="Normal 60 5 2 2 3" xfId="11382"/>
    <cellStyle name="Normal 60 5 2 2 3 2" xfId="25013"/>
    <cellStyle name="Normal 60 5 2 2 4" xfId="14678"/>
    <cellStyle name="Normal 60 5 2 2 4 2" xfId="28306"/>
    <cellStyle name="Normal 60 5 2 2 5" xfId="18709"/>
    <cellStyle name="Normal 60 5 2 3" xfId="6739"/>
    <cellStyle name="Normal 60 5 2 3 2" xfId="20389"/>
    <cellStyle name="Normal 60 5 2 4" xfId="9959"/>
    <cellStyle name="Normal 60 5 2 4 2" xfId="23590"/>
    <cellStyle name="Normal 60 5 2 5" xfId="13254"/>
    <cellStyle name="Normal 60 5 2 5 2" xfId="26882"/>
    <cellStyle name="Normal 60 5 2 6" xfId="17184"/>
    <cellStyle name="Normal 60 5 3" xfId="4105"/>
    <cellStyle name="Normal 60 5 3 2" xfId="7535"/>
    <cellStyle name="Normal 60 5 3 2 2" xfId="21183"/>
    <cellStyle name="Normal 60 5 3 3" xfId="10673"/>
    <cellStyle name="Normal 60 5 3 3 2" xfId="24304"/>
    <cellStyle name="Normal 60 5 3 4" xfId="13969"/>
    <cellStyle name="Normal 60 5 3 4 2" xfId="27597"/>
    <cellStyle name="Normal 60 5 3 5" xfId="17900"/>
    <cellStyle name="Normal 60 5 4" xfId="5941"/>
    <cellStyle name="Normal 60 5 4 2" xfId="19591"/>
    <cellStyle name="Normal 60 5 5" xfId="9227"/>
    <cellStyle name="Normal 60 5 5 2" xfId="22869"/>
    <cellStyle name="Normal 60 5 6" xfId="12541"/>
    <cellStyle name="Normal 60 5 6 2" xfId="26169"/>
    <cellStyle name="Normal 60 5 7" xfId="16386"/>
    <cellStyle name="Normal 60 6" xfId="2489"/>
    <cellStyle name="Normal 60 6 2" xfId="3571"/>
    <cellStyle name="Normal 60 6 2 2" xfId="5238"/>
    <cellStyle name="Normal 60 6 2 2 2" xfId="8501"/>
    <cellStyle name="Normal 60 6 2 2 2 2" xfId="22149"/>
    <cellStyle name="Normal 60 6 2 2 3" xfId="11568"/>
    <cellStyle name="Normal 60 6 2 2 3 2" xfId="25199"/>
    <cellStyle name="Normal 60 6 2 2 4" xfId="14864"/>
    <cellStyle name="Normal 60 6 2 2 4 2" xfId="28492"/>
    <cellStyle name="Normal 60 6 2 2 5" xfId="18896"/>
    <cellStyle name="Normal 60 6 2 3" xfId="7005"/>
    <cellStyle name="Normal 60 6 2 3 2" xfId="20655"/>
    <cellStyle name="Normal 60 6 2 4" xfId="10146"/>
    <cellStyle name="Normal 60 6 2 4 2" xfId="23777"/>
    <cellStyle name="Normal 60 6 2 5" xfId="13441"/>
    <cellStyle name="Normal 60 6 2 5 2" xfId="27069"/>
    <cellStyle name="Normal 60 6 2 6" xfId="17372"/>
    <cellStyle name="Normal 60 6 3" xfId="4291"/>
    <cellStyle name="Normal 60 6 3 2" xfId="7721"/>
    <cellStyle name="Normal 60 6 3 2 2" xfId="21369"/>
    <cellStyle name="Normal 60 6 3 3" xfId="10859"/>
    <cellStyle name="Normal 60 6 3 3 2" xfId="24490"/>
    <cellStyle name="Normal 60 6 3 4" xfId="14155"/>
    <cellStyle name="Normal 60 6 3 4 2" xfId="27783"/>
    <cellStyle name="Normal 60 6 3 5" xfId="18086"/>
    <cellStyle name="Normal 60 6 4" xfId="6152"/>
    <cellStyle name="Normal 60 6 4 2" xfId="19802"/>
    <cellStyle name="Normal 60 6 5" xfId="9413"/>
    <cellStyle name="Normal 60 6 5 2" xfId="23055"/>
    <cellStyle name="Normal 60 6 6" xfId="12727"/>
    <cellStyle name="Normal 60 6 6 2" xfId="26355"/>
    <cellStyle name="Normal 60 6 7" xfId="16575"/>
    <cellStyle name="Normal 60 7" xfId="2773"/>
    <cellStyle name="Normal 60 7 2" xfId="3727"/>
    <cellStyle name="Normal 60 7 2 2" xfId="5394"/>
    <cellStyle name="Normal 60 7 2 2 2" xfId="8657"/>
    <cellStyle name="Normal 60 7 2 2 2 2" xfId="22305"/>
    <cellStyle name="Normal 60 7 2 2 3" xfId="11724"/>
    <cellStyle name="Normal 60 7 2 2 3 2" xfId="25355"/>
    <cellStyle name="Normal 60 7 2 2 4" xfId="15020"/>
    <cellStyle name="Normal 60 7 2 2 4 2" xfId="28648"/>
    <cellStyle name="Normal 60 7 2 2 5" xfId="19052"/>
    <cellStyle name="Normal 60 7 2 3" xfId="7161"/>
    <cellStyle name="Normal 60 7 2 3 2" xfId="20811"/>
    <cellStyle name="Normal 60 7 2 4" xfId="10302"/>
    <cellStyle name="Normal 60 7 2 4 2" xfId="23933"/>
    <cellStyle name="Normal 60 7 2 5" xfId="13597"/>
    <cellStyle name="Normal 60 7 2 5 2" xfId="27225"/>
    <cellStyle name="Normal 60 7 2 6" xfId="17528"/>
    <cellStyle name="Normal 60 7 3" xfId="4516"/>
    <cellStyle name="Normal 60 7 3 2" xfId="7946"/>
    <cellStyle name="Normal 60 7 3 2 2" xfId="21594"/>
    <cellStyle name="Normal 60 7 3 3" xfId="11015"/>
    <cellStyle name="Normal 60 7 3 3 2" xfId="24646"/>
    <cellStyle name="Normal 60 7 3 4" xfId="14311"/>
    <cellStyle name="Normal 60 7 3 4 2" xfId="27939"/>
    <cellStyle name="Normal 60 7 3 5" xfId="18311"/>
    <cellStyle name="Normal 60 7 4" xfId="6367"/>
    <cellStyle name="Normal 60 7 4 2" xfId="20017"/>
    <cellStyle name="Normal 60 7 5" xfId="9569"/>
    <cellStyle name="Normal 60 7 5 2" xfId="23211"/>
    <cellStyle name="Normal 60 7 6" xfId="12883"/>
    <cellStyle name="Normal 60 7 6 2" xfId="26511"/>
    <cellStyle name="Normal 60 7 7" xfId="16800"/>
    <cellStyle name="Normal 60 8" xfId="2979"/>
    <cellStyle name="Normal 60 8 2" xfId="4821"/>
    <cellStyle name="Normal 60 8 2 2" xfId="8088"/>
    <cellStyle name="Normal 60 8 2 2 2" xfId="21736"/>
    <cellStyle name="Normal 60 8 2 3" xfId="11157"/>
    <cellStyle name="Normal 60 8 2 3 2" xfId="24788"/>
    <cellStyle name="Normal 60 8 2 4" xfId="14453"/>
    <cellStyle name="Normal 60 8 2 4 2" xfId="28081"/>
    <cellStyle name="Normal 60 8 2 5" xfId="18480"/>
    <cellStyle name="Normal 60 8 3" xfId="6511"/>
    <cellStyle name="Normal 60 8 3 2" xfId="20161"/>
    <cellStyle name="Normal 60 8 4" xfId="9732"/>
    <cellStyle name="Normal 60 8 4 2" xfId="23363"/>
    <cellStyle name="Normal 60 8 5" xfId="13027"/>
    <cellStyle name="Normal 60 8 5 2" xfId="26655"/>
    <cellStyle name="Normal 60 8 6" xfId="16945"/>
    <cellStyle name="Normal 60 9" xfId="3965"/>
    <cellStyle name="Normal 60 9 2" xfId="7395"/>
    <cellStyle name="Normal 60 9 2 2" xfId="21043"/>
    <cellStyle name="Normal 60 9 3" xfId="10533"/>
    <cellStyle name="Normal 60 9 3 2" xfId="24164"/>
    <cellStyle name="Normal 60 9 4" xfId="13829"/>
    <cellStyle name="Normal 60 9 4 2" xfId="27457"/>
    <cellStyle name="Normal 60 9 5" xfId="17760"/>
    <cellStyle name="Normal 61" xfId="1201"/>
    <cellStyle name="Normal 61 2" xfId="1202"/>
    <cellStyle name="Normal 61 2 2" xfId="1203"/>
    <cellStyle name="Normal 61 2 3" xfId="15334"/>
    <cellStyle name="Normal 61 3" xfId="1204"/>
    <cellStyle name="Normal 61 4" xfId="15335"/>
    <cellStyle name="Normal 62" xfId="1205"/>
    <cellStyle name="Normal 62 2" xfId="1206"/>
    <cellStyle name="Normal 62 3" xfId="1207"/>
    <cellStyle name="Normal 62 4" xfId="15336"/>
    <cellStyle name="Normal 63" xfId="1208"/>
    <cellStyle name="Normal 63 2" xfId="1209"/>
    <cellStyle name="Normal 64" xfId="1210"/>
    <cellStyle name="Normal 64 2" xfId="1211"/>
    <cellStyle name="Normal 65" xfId="1212"/>
    <cellStyle name="Normal 65 2" xfId="1213"/>
    <cellStyle name="Normal 66" xfId="1214"/>
    <cellStyle name="Normal 66 10" xfId="5562"/>
    <cellStyle name="Normal 66 10 2" xfId="8823"/>
    <cellStyle name="Normal 66 10 2 2" xfId="22466"/>
    <cellStyle name="Normal 66 10 3" xfId="11883"/>
    <cellStyle name="Normal 66 10 3 2" xfId="25514"/>
    <cellStyle name="Normal 66 10 4" xfId="15179"/>
    <cellStyle name="Normal 66 10 4 2" xfId="28807"/>
    <cellStyle name="Normal 66 10 5" xfId="19212"/>
    <cellStyle name="Normal 66 11" xfId="5804"/>
    <cellStyle name="Normal 66 11 2" xfId="19454"/>
    <cellStyle name="Normal 66 12" xfId="9026"/>
    <cellStyle name="Normal 66 12 2" xfId="22669"/>
    <cellStyle name="Normal 66 13" xfId="12003"/>
    <cellStyle name="Normal 66 13 2" xfId="25634"/>
    <cellStyle name="Normal 66 14" xfId="12166"/>
    <cellStyle name="Normal 66 14 2" xfId="25794"/>
    <cellStyle name="Normal 66 15" xfId="12404"/>
    <cellStyle name="Normal 66 15 2" xfId="26032"/>
    <cellStyle name="Normal 66 16" xfId="15337"/>
    <cellStyle name="Normal 66 16 2" xfId="28932"/>
    <cellStyle name="Normal 66 17" xfId="15554"/>
    <cellStyle name="Normal 66 17 2" xfId="29051"/>
    <cellStyle name="Normal 66 18" xfId="16165"/>
    <cellStyle name="Normal 66 19" xfId="29687"/>
    <cellStyle name="Normal 66 2" xfId="1215"/>
    <cellStyle name="Normal 66 2 2" xfId="1216"/>
    <cellStyle name="Normal 66 3" xfId="1217"/>
    <cellStyle name="Normal 66 3 10" xfId="12004"/>
    <cellStyle name="Normal 66 3 10 2" xfId="25635"/>
    <cellStyle name="Normal 66 3 11" xfId="12167"/>
    <cellStyle name="Normal 66 3 11 2" xfId="25795"/>
    <cellStyle name="Normal 66 3 12" xfId="12405"/>
    <cellStyle name="Normal 66 3 12 2" xfId="26033"/>
    <cellStyle name="Normal 66 3 13" xfId="15338"/>
    <cellStyle name="Normal 66 3 13 2" xfId="28933"/>
    <cellStyle name="Normal 66 3 14" xfId="15555"/>
    <cellStyle name="Normal 66 3 14 2" xfId="29052"/>
    <cellStyle name="Normal 66 3 15" xfId="16166"/>
    <cellStyle name="Normal 66 3 16" xfId="29688"/>
    <cellStyle name="Normal 66 3 2" xfId="2195"/>
    <cellStyle name="Normal 66 3 2 2" xfId="3308"/>
    <cellStyle name="Normal 66 3 2 2 2" xfId="5054"/>
    <cellStyle name="Normal 66 3 2 2 2 2" xfId="8318"/>
    <cellStyle name="Normal 66 3 2 2 2 2 2" xfId="21966"/>
    <cellStyle name="Normal 66 3 2 2 2 3" xfId="11385"/>
    <cellStyle name="Normal 66 3 2 2 2 3 2" xfId="25016"/>
    <cellStyle name="Normal 66 3 2 2 2 4" xfId="14681"/>
    <cellStyle name="Normal 66 3 2 2 2 4 2" xfId="28309"/>
    <cellStyle name="Normal 66 3 2 2 2 5" xfId="18712"/>
    <cellStyle name="Normal 66 3 2 2 3" xfId="6742"/>
    <cellStyle name="Normal 66 3 2 2 3 2" xfId="20392"/>
    <cellStyle name="Normal 66 3 2 2 4" xfId="9962"/>
    <cellStyle name="Normal 66 3 2 2 4 2" xfId="23593"/>
    <cellStyle name="Normal 66 3 2 2 5" xfId="13257"/>
    <cellStyle name="Normal 66 3 2 2 5 2" xfId="26885"/>
    <cellStyle name="Normal 66 3 2 2 6" xfId="17187"/>
    <cellStyle name="Normal 66 3 2 3" xfId="4108"/>
    <cellStyle name="Normal 66 3 2 3 2" xfId="7538"/>
    <cellStyle name="Normal 66 3 2 3 2 2" xfId="21186"/>
    <cellStyle name="Normal 66 3 2 3 3" xfId="10676"/>
    <cellStyle name="Normal 66 3 2 3 3 2" xfId="24307"/>
    <cellStyle name="Normal 66 3 2 3 4" xfId="13972"/>
    <cellStyle name="Normal 66 3 2 3 4 2" xfId="27600"/>
    <cellStyle name="Normal 66 3 2 3 5" xfId="17903"/>
    <cellStyle name="Normal 66 3 2 4" xfId="5944"/>
    <cellStyle name="Normal 66 3 2 4 2" xfId="19594"/>
    <cellStyle name="Normal 66 3 2 5" xfId="9230"/>
    <cellStyle name="Normal 66 3 2 5 2" xfId="22872"/>
    <cellStyle name="Normal 66 3 2 6" xfId="12544"/>
    <cellStyle name="Normal 66 3 2 6 2" xfId="26172"/>
    <cellStyle name="Normal 66 3 2 7" xfId="16389"/>
    <cellStyle name="Normal 66 3 3" xfId="2509"/>
    <cellStyle name="Normal 66 3 3 2" xfId="3574"/>
    <cellStyle name="Normal 66 3 3 2 2" xfId="5241"/>
    <cellStyle name="Normal 66 3 3 2 2 2" xfId="8504"/>
    <cellStyle name="Normal 66 3 3 2 2 2 2" xfId="22152"/>
    <cellStyle name="Normal 66 3 3 2 2 3" xfId="11571"/>
    <cellStyle name="Normal 66 3 3 2 2 3 2" xfId="25202"/>
    <cellStyle name="Normal 66 3 3 2 2 4" xfId="14867"/>
    <cellStyle name="Normal 66 3 3 2 2 4 2" xfId="28495"/>
    <cellStyle name="Normal 66 3 3 2 2 5" xfId="18899"/>
    <cellStyle name="Normal 66 3 3 2 3" xfId="7008"/>
    <cellStyle name="Normal 66 3 3 2 3 2" xfId="20658"/>
    <cellStyle name="Normal 66 3 3 2 4" xfId="10149"/>
    <cellStyle name="Normal 66 3 3 2 4 2" xfId="23780"/>
    <cellStyle name="Normal 66 3 3 2 5" xfId="13444"/>
    <cellStyle name="Normal 66 3 3 2 5 2" xfId="27072"/>
    <cellStyle name="Normal 66 3 3 2 6" xfId="17375"/>
    <cellStyle name="Normal 66 3 3 3" xfId="4294"/>
    <cellStyle name="Normal 66 3 3 3 2" xfId="7724"/>
    <cellStyle name="Normal 66 3 3 3 2 2" xfId="21372"/>
    <cellStyle name="Normal 66 3 3 3 3" xfId="10862"/>
    <cellStyle name="Normal 66 3 3 3 3 2" xfId="24493"/>
    <cellStyle name="Normal 66 3 3 3 4" xfId="14158"/>
    <cellStyle name="Normal 66 3 3 3 4 2" xfId="27786"/>
    <cellStyle name="Normal 66 3 3 3 5" xfId="18089"/>
    <cellStyle name="Normal 66 3 3 4" xfId="6172"/>
    <cellStyle name="Normal 66 3 3 4 2" xfId="19822"/>
    <cellStyle name="Normal 66 3 3 5" xfId="9416"/>
    <cellStyle name="Normal 66 3 3 5 2" xfId="23058"/>
    <cellStyle name="Normal 66 3 3 6" xfId="12730"/>
    <cellStyle name="Normal 66 3 3 6 2" xfId="26358"/>
    <cellStyle name="Normal 66 3 3 7" xfId="16578"/>
    <cellStyle name="Normal 66 3 4" xfId="2776"/>
    <cellStyle name="Normal 66 3 4 2" xfId="3730"/>
    <cellStyle name="Normal 66 3 4 2 2" xfId="5397"/>
    <cellStyle name="Normal 66 3 4 2 2 2" xfId="8660"/>
    <cellStyle name="Normal 66 3 4 2 2 2 2" xfId="22308"/>
    <cellStyle name="Normal 66 3 4 2 2 3" xfId="11727"/>
    <cellStyle name="Normal 66 3 4 2 2 3 2" xfId="25358"/>
    <cellStyle name="Normal 66 3 4 2 2 4" xfId="15023"/>
    <cellStyle name="Normal 66 3 4 2 2 4 2" xfId="28651"/>
    <cellStyle name="Normal 66 3 4 2 2 5" xfId="19055"/>
    <cellStyle name="Normal 66 3 4 2 3" xfId="7164"/>
    <cellStyle name="Normal 66 3 4 2 3 2" xfId="20814"/>
    <cellStyle name="Normal 66 3 4 2 4" xfId="10305"/>
    <cellStyle name="Normal 66 3 4 2 4 2" xfId="23936"/>
    <cellStyle name="Normal 66 3 4 2 5" xfId="13600"/>
    <cellStyle name="Normal 66 3 4 2 5 2" xfId="27228"/>
    <cellStyle name="Normal 66 3 4 2 6" xfId="17531"/>
    <cellStyle name="Normal 66 3 4 3" xfId="4519"/>
    <cellStyle name="Normal 66 3 4 3 2" xfId="7949"/>
    <cellStyle name="Normal 66 3 4 3 2 2" xfId="21597"/>
    <cellStyle name="Normal 66 3 4 3 3" xfId="11018"/>
    <cellStyle name="Normal 66 3 4 3 3 2" xfId="24649"/>
    <cellStyle name="Normal 66 3 4 3 4" xfId="14314"/>
    <cellStyle name="Normal 66 3 4 3 4 2" xfId="27942"/>
    <cellStyle name="Normal 66 3 4 3 5" xfId="18314"/>
    <cellStyle name="Normal 66 3 4 4" xfId="6370"/>
    <cellStyle name="Normal 66 3 4 4 2" xfId="20020"/>
    <cellStyle name="Normal 66 3 4 5" xfId="9572"/>
    <cellStyle name="Normal 66 3 4 5 2" xfId="23214"/>
    <cellStyle name="Normal 66 3 4 6" xfId="12886"/>
    <cellStyle name="Normal 66 3 4 6 2" xfId="26514"/>
    <cellStyle name="Normal 66 3 4 7" xfId="16803"/>
    <cellStyle name="Normal 66 3 5" xfId="2982"/>
    <cellStyle name="Normal 66 3 5 2" xfId="4824"/>
    <cellStyle name="Normal 66 3 5 2 2" xfId="8091"/>
    <cellStyle name="Normal 66 3 5 2 2 2" xfId="21739"/>
    <cellStyle name="Normal 66 3 5 2 3" xfId="11160"/>
    <cellStyle name="Normal 66 3 5 2 3 2" xfId="24791"/>
    <cellStyle name="Normal 66 3 5 2 4" xfId="14456"/>
    <cellStyle name="Normal 66 3 5 2 4 2" xfId="28084"/>
    <cellStyle name="Normal 66 3 5 2 5" xfId="18483"/>
    <cellStyle name="Normal 66 3 5 3" xfId="6514"/>
    <cellStyle name="Normal 66 3 5 3 2" xfId="20164"/>
    <cellStyle name="Normal 66 3 5 4" xfId="9735"/>
    <cellStyle name="Normal 66 3 5 4 2" xfId="23366"/>
    <cellStyle name="Normal 66 3 5 5" xfId="13030"/>
    <cellStyle name="Normal 66 3 5 5 2" xfId="26658"/>
    <cellStyle name="Normal 66 3 5 6" xfId="16948"/>
    <cellStyle name="Normal 66 3 6" xfId="3968"/>
    <cellStyle name="Normal 66 3 6 2" xfId="7398"/>
    <cellStyle name="Normal 66 3 6 2 2" xfId="21046"/>
    <cellStyle name="Normal 66 3 6 3" xfId="10536"/>
    <cellStyle name="Normal 66 3 6 3 2" xfId="24167"/>
    <cellStyle name="Normal 66 3 6 4" xfId="13832"/>
    <cellStyle name="Normal 66 3 6 4 2" xfId="27460"/>
    <cellStyle name="Normal 66 3 6 5" xfId="17763"/>
    <cellStyle name="Normal 66 3 7" xfId="5563"/>
    <cellStyle name="Normal 66 3 7 2" xfId="8824"/>
    <cellStyle name="Normal 66 3 7 2 2" xfId="22467"/>
    <cellStyle name="Normal 66 3 7 3" xfId="11884"/>
    <cellStyle name="Normal 66 3 7 3 2" xfId="25515"/>
    <cellStyle name="Normal 66 3 7 4" xfId="15180"/>
    <cellStyle name="Normal 66 3 7 4 2" xfId="28808"/>
    <cellStyle name="Normal 66 3 7 5" xfId="19213"/>
    <cellStyle name="Normal 66 3 8" xfId="5805"/>
    <cellStyle name="Normal 66 3 8 2" xfId="19455"/>
    <cellStyle name="Normal 66 3 9" xfId="9027"/>
    <cellStyle name="Normal 66 3 9 2" xfId="22670"/>
    <cellStyle name="Normal 66 4" xfId="1218"/>
    <cellStyle name="Normal 66 5" xfId="2194"/>
    <cellStyle name="Normal 66 5 2" xfId="3307"/>
    <cellStyle name="Normal 66 5 2 2" xfId="5053"/>
    <cellStyle name="Normal 66 5 2 2 2" xfId="8317"/>
    <cellStyle name="Normal 66 5 2 2 2 2" xfId="21965"/>
    <cellStyle name="Normal 66 5 2 2 3" xfId="11384"/>
    <cellStyle name="Normal 66 5 2 2 3 2" xfId="25015"/>
    <cellStyle name="Normal 66 5 2 2 4" xfId="14680"/>
    <cellStyle name="Normal 66 5 2 2 4 2" xfId="28308"/>
    <cellStyle name="Normal 66 5 2 2 5" xfId="18711"/>
    <cellStyle name="Normal 66 5 2 3" xfId="6741"/>
    <cellStyle name="Normal 66 5 2 3 2" xfId="20391"/>
    <cellStyle name="Normal 66 5 2 4" xfId="9961"/>
    <cellStyle name="Normal 66 5 2 4 2" xfId="23592"/>
    <cellStyle name="Normal 66 5 2 5" xfId="13256"/>
    <cellStyle name="Normal 66 5 2 5 2" xfId="26884"/>
    <cellStyle name="Normal 66 5 2 6" xfId="17186"/>
    <cellStyle name="Normal 66 5 3" xfId="4107"/>
    <cellStyle name="Normal 66 5 3 2" xfId="7537"/>
    <cellStyle name="Normal 66 5 3 2 2" xfId="21185"/>
    <cellStyle name="Normal 66 5 3 3" xfId="10675"/>
    <cellStyle name="Normal 66 5 3 3 2" xfId="24306"/>
    <cellStyle name="Normal 66 5 3 4" xfId="13971"/>
    <cellStyle name="Normal 66 5 3 4 2" xfId="27599"/>
    <cellStyle name="Normal 66 5 3 5" xfId="17902"/>
    <cellStyle name="Normal 66 5 4" xfId="5943"/>
    <cellStyle name="Normal 66 5 4 2" xfId="19593"/>
    <cellStyle name="Normal 66 5 5" xfId="9229"/>
    <cellStyle name="Normal 66 5 5 2" xfId="22871"/>
    <cellStyle name="Normal 66 5 6" xfId="12543"/>
    <cellStyle name="Normal 66 5 6 2" xfId="26171"/>
    <cellStyle name="Normal 66 5 7" xfId="16388"/>
    <cellStyle name="Normal 66 6" xfId="2506"/>
    <cellStyle name="Normal 66 6 2" xfId="3573"/>
    <cellStyle name="Normal 66 6 2 2" xfId="5240"/>
    <cellStyle name="Normal 66 6 2 2 2" xfId="8503"/>
    <cellStyle name="Normal 66 6 2 2 2 2" xfId="22151"/>
    <cellStyle name="Normal 66 6 2 2 3" xfId="11570"/>
    <cellStyle name="Normal 66 6 2 2 3 2" xfId="25201"/>
    <cellStyle name="Normal 66 6 2 2 4" xfId="14866"/>
    <cellStyle name="Normal 66 6 2 2 4 2" xfId="28494"/>
    <cellStyle name="Normal 66 6 2 2 5" xfId="18898"/>
    <cellStyle name="Normal 66 6 2 3" xfId="7007"/>
    <cellStyle name="Normal 66 6 2 3 2" xfId="20657"/>
    <cellStyle name="Normal 66 6 2 4" xfId="10148"/>
    <cellStyle name="Normal 66 6 2 4 2" xfId="23779"/>
    <cellStyle name="Normal 66 6 2 5" xfId="13443"/>
    <cellStyle name="Normal 66 6 2 5 2" xfId="27071"/>
    <cellStyle name="Normal 66 6 2 6" xfId="17374"/>
    <cellStyle name="Normal 66 6 3" xfId="4293"/>
    <cellStyle name="Normal 66 6 3 2" xfId="7723"/>
    <cellStyle name="Normal 66 6 3 2 2" xfId="21371"/>
    <cellStyle name="Normal 66 6 3 3" xfId="10861"/>
    <cellStyle name="Normal 66 6 3 3 2" xfId="24492"/>
    <cellStyle name="Normal 66 6 3 4" xfId="14157"/>
    <cellStyle name="Normal 66 6 3 4 2" xfId="27785"/>
    <cellStyle name="Normal 66 6 3 5" xfId="18088"/>
    <cellStyle name="Normal 66 6 4" xfId="6169"/>
    <cellStyle name="Normal 66 6 4 2" xfId="19819"/>
    <cellStyle name="Normal 66 6 5" xfId="9415"/>
    <cellStyle name="Normal 66 6 5 2" xfId="23057"/>
    <cellStyle name="Normal 66 6 6" xfId="12729"/>
    <cellStyle name="Normal 66 6 6 2" xfId="26357"/>
    <cellStyle name="Normal 66 6 7" xfId="16577"/>
    <cellStyle name="Normal 66 7" xfId="2775"/>
    <cellStyle name="Normal 66 7 2" xfId="3729"/>
    <cellStyle name="Normal 66 7 2 2" xfId="5396"/>
    <cellStyle name="Normal 66 7 2 2 2" xfId="8659"/>
    <cellStyle name="Normal 66 7 2 2 2 2" xfId="22307"/>
    <cellStyle name="Normal 66 7 2 2 3" xfId="11726"/>
    <cellStyle name="Normal 66 7 2 2 3 2" xfId="25357"/>
    <cellStyle name="Normal 66 7 2 2 4" xfId="15022"/>
    <cellStyle name="Normal 66 7 2 2 4 2" xfId="28650"/>
    <cellStyle name="Normal 66 7 2 2 5" xfId="19054"/>
    <cellStyle name="Normal 66 7 2 3" xfId="7163"/>
    <cellStyle name="Normal 66 7 2 3 2" xfId="20813"/>
    <cellStyle name="Normal 66 7 2 4" xfId="10304"/>
    <cellStyle name="Normal 66 7 2 4 2" xfId="23935"/>
    <cellStyle name="Normal 66 7 2 5" xfId="13599"/>
    <cellStyle name="Normal 66 7 2 5 2" xfId="27227"/>
    <cellStyle name="Normal 66 7 2 6" xfId="17530"/>
    <cellStyle name="Normal 66 7 3" xfId="4518"/>
    <cellStyle name="Normal 66 7 3 2" xfId="7948"/>
    <cellStyle name="Normal 66 7 3 2 2" xfId="21596"/>
    <cellStyle name="Normal 66 7 3 3" xfId="11017"/>
    <cellStyle name="Normal 66 7 3 3 2" xfId="24648"/>
    <cellStyle name="Normal 66 7 3 4" xfId="14313"/>
    <cellStyle name="Normal 66 7 3 4 2" xfId="27941"/>
    <cellStyle name="Normal 66 7 3 5" xfId="18313"/>
    <cellStyle name="Normal 66 7 4" xfId="6369"/>
    <cellStyle name="Normal 66 7 4 2" xfId="20019"/>
    <cellStyle name="Normal 66 7 5" xfId="9571"/>
    <cellStyle name="Normal 66 7 5 2" xfId="23213"/>
    <cellStyle name="Normal 66 7 6" xfId="12885"/>
    <cellStyle name="Normal 66 7 6 2" xfId="26513"/>
    <cellStyle name="Normal 66 7 7" xfId="16802"/>
    <cellStyle name="Normal 66 8" xfId="2981"/>
    <cellStyle name="Normal 66 8 2" xfId="4823"/>
    <cellStyle name="Normal 66 8 2 2" xfId="8090"/>
    <cellStyle name="Normal 66 8 2 2 2" xfId="21738"/>
    <cellStyle name="Normal 66 8 2 3" xfId="11159"/>
    <cellStyle name="Normal 66 8 2 3 2" xfId="24790"/>
    <cellStyle name="Normal 66 8 2 4" xfId="14455"/>
    <cellStyle name="Normal 66 8 2 4 2" xfId="28083"/>
    <cellStyle name="Normal 66 8 2 5" xfId="18482"/>
    <cellStyle name="Normal 66 8 3" xfId="6513"/>
    <cellStyle name="Normal 66 8 3 2" xfId="20163"/>
    <cellStyle name="Normal 66 8 4" xfId="9734"/>
    <cellStyle name="Normal 66 8 4 2" xfId="23365"/>
    <cellStyle name="Normal 66 8 5" xfId="13029"/>
    <cellStyle name="Normal 66 8 5 2" xfId="26657"/>
    <cellStyle name="Normal 66 8 6" xfId="16947"/>
    <cellStyle name="Normal 66 9" xfId="3967"/>
    <cellStyle name="Normal 66 9 2" xfId="7397"/>
    <cellStyle name="Normal 66 9 2 2" xfId="21045"/>
    <cellStyle name="Normal 66 9 3" xfId="10535"/>
    <cellStyle name="Normal 66 9 3 2" xfId="24166"/>
    <cellStyle name="Normal 66 9 4" xfId="13831"/>
    <cellStyle name="Normal 66 9 4 2" xfId="27459"/>
    <cellStyle name="Normal 66 9 5" xfId="17762"/>
    <cellStyle name="Normal 67" xfId="1219"/>
    <cellStyle name="Normal 67 10" xfId="12005"/>
    <cellStyle name="Normal 67 10 2" xfId="25636"/>
    <cellStyle name="Normal 67 11" xfId="12168"/>
    <cellStyle name="Normal 67 11 2" xfId="25796"/>
    <cellStyle name="Normal 67 12" xfId="12406"/>
    <cellStyle name="Normal 67 12 2" xfId="26034"/>
    <cellStyle name="Normal 67 13" xfId="15339"/>
    <cellStyle name="Normal 67 13 2" xfId="28934"/>
    <cellStyle name="Normal 67 14" xfId="15556"/>
    <cellStyle name="Normal 67 14 2" xfId="29053"/>
    <cellStyle name="Normal 67 15" xfId="16167"/>
    <cellStyle name="Normal 67 16" xfId="29689"/>
    <cellStyle name="Normal 67 2" xfId="2196"/>
    <cellStyle name="Normal 67 2 2" xfId="3309"/>
    <cellStyle name="Normal 67 2 2 2" xfId="5055"/>
    <cellStyle name="Normal 67 2 2 2 2" xfId="8319"/>
    <cellStyle name="Normal 67 2 2 2 2 2" xfId="21967"/>
    <cellStyle name="Normal 67 2 2 2 3" xfId="11386"/>
    <cellStyle name="Normal 67 2 2 2 3 2" xfId="25017"/>
    <cellStyle name="Normal 67 2 2 2 4" xfId="14682"/>
    <cellStyle name="Normal 67 2 2 2 4 2" xfId="28310"/>
    <cellStyle name="Normal 67 2 2 2 5" xfId="18713"/>
    <cellStyle name="Normal 67 2 2 3" xfId="6743"/>
    <cellStyle name="Normal 67 2 2 3 2" xfId="20393"/>
    <cellStyle name="Normal 67 2 2 4" xfId="9963"/>
    <cellStyle name="Normal 67 2 2 4 2" xfId="23594"/>
    <cellStyle name="Normal 67 2 2 5" xfId="13258"/>
    <cellStyle name="Normal 67 2 2 5 2" xfId="26886"/>
    <cellStyle name="Normal 67 2 2 6" xfId="17188"/>
    <cellStyle name="Normal 67 2 3" xfId="4109"/>
    <cellStyle name="Normal 67 2 3 2" xfId="7539"/>
    <cellStyle name="Normal 67 2 3 2 2" xfId="21187"/>
    <cellStyle name="Normal 67 2 3 3" xfId="10677"/>
    <cellStyle name="Normal 67 2 3 3 2" xfId="24308"/>
    <cellStyle name="Normal 67 2 3 4" xfId="13973"/>
    <cellStyle name="Normal 67 2 3 4 2" xfId="27601"/>
    <cellStyle name="Normal 67 2 3 5" xfId="17904"/>
    <cellStyle name="Normal 67 2 4" xfId="5945"/>
    <cellStyle name="Normal 67 2 4 2" xfId="19595"/>
    <cellStyle name="Normal 67 2 5" xfId="9231"/>
    <cellStyle name="Normal 67 2 5 2" xfId="22873"/>
    <cellStyle name="Normal 67 2 6" xfId="12545"/>
    <cellStyle name="Normal 67 2 6 2" xfId="26173"/>
    <cellStyle name="Normal 67 2 7" xfId="16390"/>
    <cellStyle name="Normal 67 3" xfId="2511"/>
    <cellStyle name="Normal 67 3 2" xfId="3575"/>
    <cellStyle name="Normal 67 3 2 2" xfId="5242"/>
    <cellStyle name="Normal 67 3 2 2 2" xfId="8505"/>
    <cellStyle name="Normal 67 3 2 2 2 2" xfId="22153"/>
    <cellStyle name="Normal 67 3 2 2 3" xfId="11572"/>
    <cellStyle name="Normal 67 3 2 2 3 2" xfId="25203"/>
    <cellStyle name="Normal 67 3 2 2 4" xfId="14868"/>
    <cellStyle name="Normal 67 3 2 2 4 2" xfId="28496"/>
    <cellStyle name="Normal 67 3 2 2 5" xfId="18900"/>
    <cellStyle name="Normal 67 3 2 3" xfId="7009"/>
    <cellStyle name="Normal 67 3 2 3 2" xfId="20659"/>
    <cellStyle name="Normal 67 3 2 4" xfId="10150"/>
    <cellStyle name="Normal 67 3 2 4 2" xfId="23781"/>
    <cellStyle name="Normal 67 3 2 5" xfId="13445"/>
    <cellStyle name="Normal 67 3 2 5 2" xfId="27073"/>
    <cellStyle name="Normal 67 3 2 6" xfId="17376"/>
    <cellStyle name="Normal 67 3 3" xfId="4295"/>
    <cellStyle name="Normal 67 3 3 2" xfId="7725"/>
    <cellStyle name="Normal 67 3 3 2 2" xfId="21373"/>
    <cellStyle name="Normal 67 3 3 3" xfId="10863"/>
    <cellStyle name="Normal 67 3 3 3 2" xfId="24494"/>
    <cellStyle name="Normal 67 3 3 4" xfId="14159"/>
    <cellStyle name="Normal 67 3 3 4 2" xfId="27787"/>
    <cellStyle name="Normal 67 3 3 5" xfId="18090"/>
    <cellStyle name="Normal 67 3 4" xfId="6174"/>
    <cellStyle name="Normal 67 3 4 2" xfId="19824"/>
    <cellStyle name="Normal 67 3 5" xfId="9417"/>
    <cellStyle name="Normal 67 3 5 2" xfId="23059"/>
    <cellStyle name="Normal 67 3 6" xfId="12731"/>
    <cellStyle name="Normal 67 3 6 2" xfId="26359"/>
    <cellStyle name="Normal 67 3 7" xfId="16579"/>
    <cellStyle name="Normal 67 4" xfId="2777"/>
    <cellStyle name="Normal 67 4 2" xfId="3731"/>
    <cellStyle name="Normal 67 4 2 2" xfId="5398"/>
    <cellStyle name="Normal 67 4 2 2 2" xfId="8661"/>
    <cellStyle name="Normal 67 4 2 2 2 2" xfId="22309"/>
    <cellStyle name="Normal 67 4 2 2 3" xfId="11728"/>
    <cellStyle name="Normal 67 4 2 2 3 2" xfId="25359"/>
    <cellStyle name="Normal 67 4 2 2 4" xfId="15024"/>
    <cellStyle name="Normal 67 4 2 2 4 2" xfId="28652"/>
    <cellStyle name="Normal 67 4 2 2 5" xfId="19056"/>
    <cellStyle name="Normal 67 4 2 3" xfId="7165"/>
    <cellStyle name="Normal 67 4 2 3 2" xfId="20815"/>
    <cellStyle name="Normal 67 4 2 4" xfId="10306"/>
    <cellStyle name="Normal 67 4 2 4 2" xfId="23937"/>
    <cellStyle name="Normal 67 4 2 5" xfId="13601"/>
    <cellStyle name="Normal 67 4 2 5 2" xfId="27229"/>
    <cellStyle name="Normal 67 4 2 6" xfId="17532"/>
    <cellStyle name="Normal 67 4 3" xfId="4520"/>
    <cellStyle name="Normal 67 4 3 2" xfId="7950"/>
    <cellStyle name="Normal 67 4 3 2 2" xfId="21598"/>
    <cellStyle name="Normal 67 4 3 3" xfId="11019"/>
    <cellStyle name="Normal 67 4 3 3 2" xfId="24650"/>
    <cellStyle name="Normal 67 4 3 4" xfId="14315"/>
    <cellStyle name="Normal 67 4 3 4 2" xfId="27943"/>
    <cellStyle name="Normal 67 4 3 5" xfId="18315"/>
    <cellStyle name="Normal 67 4 4" xfId="6371"/>
    <cellStyle name="Normal 67 4 4 2" xfId="20021"/>
    <cellStyle name="Normal 67 4 5" xfId="9573"/>
    <cellStyle name="Normal 67 4 5 2" xfId="23215"/>
    <cellStyle name="Normal 67 4 6" xfId="12887"/>
    <cellStyle name="Normal 67 4 6 2" xfId="26515"/>
    <cellStyle name="Normal 67 4 7" xfId="16804"/>
    <cellStyle name="Normal 67 5" xfId="2983"/>
    <cellStyle name="Normal 67 5 2" xfId="4825"/>
    <cellStyle name="Normal 67 5 2 2" xfId="8092"/>
    <cellStyle name="Normal 67 5 2 2 2" xfId="21740"/>
    <cellStyle name="Normal 67 5 2 3" xfId="11161"/>
    <cellStyle name="Normal 67 5 2 3 2" xfId="24792"/>
    <cellStyle name="Normal 67 5 2 4" xfId="14457"/>
    <cellStyle name="Normal 67 5 2 4 2" xfId="28085"/>
    <cellStyle name="Normal 67 5 2 5" xfId="18484"/>
    <cellStyle name="Normal 67 5 3" xfId="6515"/>
    <cellStyle name="Normal 67 5 3 2" xfId="20165"/>
    <cellStyle name="Normal 67 5 4" xfId="9736"/>
    <cellStyle name="Normal 67 5 4 2" xfId="23367"/>
    <cellStyle name="Normal 67 5 5" xfId="13031"/>
    <cellStyle name="Normal 67 5 5 2" xfId="26659"/>
    <cellStyle name="Normal 67 5 6" xfId="16949"/>
    <cellStyle name="Normal 67 6" xfId="3969"/>
    <cellStyle name="Normal 67 6 2" xfId="7399"/>
    <cellStyle name="Normal 67 6 2 2" xfId="21047"/>
    <cellStyle name="Normal 67 6 3" xfId="10537"/>
    <cellStyle name="Normal 67 6 3 2" xfId="24168"/>
    <cellStyle name="Normal 67 6 4" xfId="13833"/>
    <cellStyle name="Normal 67 6 4 2" xfId="27461"/>
    <cellStyle name="Normal 67 6 5" xfId="17764"/>
    <cellStyle name="Normal 67 7" xfId="5564"/>
    <cellStyle name="Normal 67 7 2" xfId="8825"/>
    <cellStyle name="Normal 67 7 2 2" xfId="22468"/>
    <cellStyle name="Normal 67 7 3" xfId="11885"/>
    <cellStyle name="Normal 67 7 3 2" xfId="25516"/>
    <cellStyle name="Normal 67 7 4" xfId="15181"/>
    <cellStyle name="Normal 67 7 4 2" xfId="28809"/>
    <cellStyle name="Normal 67 7 5" xfId="19214"/>
    <cellStyle name="Normal 67 8" xfId="5806"/>
    <cellStyle name="Normal 67 8 2" xfId="19456"/>
    <cellStyle name="Normal 67 9" xfId="9028"/>
    <cellStyle name="Normal 67 9 2" xfId="22671"/>
    <cellStyle name="Normal 68" xfId="1220"/>
    <cellStyle name="Normal 68 10" xfId="12006"/>
    <cellStyle name="Normal 68 10 2" xfId="25637"/>
    <cellStyle name="Normal 68 11" xfId="12169"/>
    <cellStyle name="Normal 68 11 2" xfId="25797"/>
    <cellStyle name="Normal 68 12" xfId="12407"/>
    <cellStyle name="Normal 68 12 2" xfId="26035"/>
    <cellStyle name="Normal 68 13" xfId="15340"/>
    <cellStyle name="Normal 68 13 2" xfId="28935"/>
    <cellStyle name="Normal 68 14" xfId="15557"/>
    <cellStyle name="Normal 68 14 2" xfId="29054"/>
    <cellStyle name="Normal 68 15" xfId="16168"/>
    <cellStyle name="Normal 68 16" xfId="29690"/>
    <cellStyle name="Normal 68 2" xfId="2197"/>
    <cellStyle name="Normal 68 2 2" xfId="3310"/>
    <cellStyle name="Normal 68 2 2 2" xfId="5056"/>
    <cellStyle name="Normal 68 2 2 2 2" xfId="8320"/>
    <cellStyle name="Normal 68 2 2 2 2 2" xfId="21968"/>
    <cellStyle name="Normal 68 2 2 2 3" xfId="11387"/>
    <cellStyle name="Normal 68 2 2 2 3 2" xfId="25018"/>
    <cellStyle name="Normal 68 2 2 2 4" xfId="14683"/>
    <cellStyle name="Normal 68 2 2 2 4 2" xfId="28311"/>
    <cellStyle name="Normal 68 2 2 2 5" xfId="18714"/>
    <cellStyle name="Normal 68 2 2 3" xfId="6744"/>
    <cellStyle name="Normal 68 2 2 3 2" xfId="20394"/>
    <cellStyle name="Normal 68 2 2 4" xfId="9964"/>
    <cellStyle name="Normal 68 2 2 4 2" xfId="23595"/>
    <cellStyle name="Normal 68 2 2 5" xfId="13259"/>
    <cellStyle name="Normal 68 2 2 5 2" xfId="26887"/>
    <cellStyle name="Normal 68 2 2 6" xfId="17189"/>
    <cellStyle name="Normal 68 2 3" xfId="4110"/>
    <cellStyle name="Normal 68 2 3 2" xfId="7540"/>
    <cellStyle name="Normal 68 2 3 2 2" xfId="21188"/>
    <cellStyle name="Normal 68 2 3 3" xfId="10678"/>
    <cellStyle name="Normal 68 2 3 3 2" xfId="24309"/>
    <cellStyle name="Normal 68 2 3 4" xfId="13974"/>
    <cellStyle name="Normal 68 2 3 4 2" xfId="27602"/>
    <cellStyle name="Normal 68 2 3 5" xfId="17905"/>
    <cellStyle name="Normal 68 2 4" xfId="5946"/>
    <cellStyle name="Normal 68 2 4 2" xfId="19596"/>
    <cellStyle name="Normal 68 2 5" xfId="9232"/>
    <cellStyle name="Normal 68 2 5 2" xfId="22874"/>
    <cellStyle name="Normal 68 2 6" xfId="12546"/>
    <cellStyle name="Normal 68 2 6 2" xfId="26174"/>
    <cellStyle name="Normal 68 2 7" xfId="16391"/>
    <cellStyle name="Normal 68 3" xfId="2512"/>
    <cellStyle name="Normal 68 3 2" xfId="3576"/>
    <cellStyle name="Normal 68 3 2 2" xfId="5243"/>
    <cellStyle name="Normal 68 3 2 2 2" xfId="8506"/>
    <cellStyle name="Normal 68 3 2 2 2 2" xfId="22154"/>
    <cellStyle name="Normal 68 3 2 2 3" xfId="11573"/>
    <cellStyle name="Normal 68 3 2 2 3 2" xfId="25204"/>
    <cellStyle name="Normal 68 3 2 2 4" xfId="14869"/>
    <cellStyle name="Normal 68 3 2 2 4 2" xfId="28497"/>
    <cellStyle name="Normal 68 3 2 2 5" xfId="18901"/>
    <cellStyle name="Normal 68 3 2 3" xfId="7010"/>
    <cellStyle name="Normal 68 3 2 3 2" xfId="20660"/>
    <cellStyle name="Normal 68 3 2 4" xfId="10151"/>
    <cellStyle name="Normal 68 3 2 4 2" xfId="23782"/>
    <cellStyle name="Normal 68 3 2 5" xfId="13446"/>
    <cellStyle name="Normal 68 3 2 5 2" xfId="27074"/>
    <cellStyle name="Normal 68 3 2 6" xfId="17377"/>
    <cellStyle name="Normal 68 3 3" xfId="4296"/>
    <cellStyle name="Normal 68 3 3 2" xfId="7726"/>
    <cellStyle name="Normal 68 3 3 2 2" xfId="21374"/>
    <cellStyle name="Normal 68 3 3 3" xfId="10864"/>
    <cellStyle name="Normal 68 3 3 3 2" xfId="24495"/>
    <cellStyle name="Normal 68 3 3 4" xfId="14160"/>
    <cellStyle name="Normal 68 3 3 4 2" xfId="27788"/>
    <cellStyle name="Normal 68 3 3 5" xfId="18091"/>
    <cellStyle name="Normal 68 3 4" xfId="6175"/>
    <cellStyle name="Normal 68 3 4 2" xfId="19825"/>
    <cellStyle name="Normal 68 3 5" xfId="9418"/>
    <cellStyle name="Normal 68 3 5 2" xfId="23060"/>
    <cellStyle name="Normal 68 3 6" xfId="12732"/>
    <cellStyle name="Normal 68 3 6 2" xfId="26360"/>
    <cellStyle name="Normal 68 3 7" xfId="16580"/>
    <cellStyle name="Normal 68 4" xfId="2778"/>
    <cellStyle name="Normal 68 4 2" xfId="3732"/>
    <cellStyle name="Normal 68 4 2 2" xfId="5399"/>
    <cellStyle name="Normal 68 4 2 2 2" xfId="8662"/>
    <cellStyle name="Normal 68 4 2 2 2 2" xfId="22310"/>
    <cellStyle name="Normal 68 4 2 2 3" xfId="11729"/>
    <cellStyle name="Normal 68 4 2 2 3 2" xfId="25360"/>
    <cellStyle name="Normal 68 4 2 2 4" xfId="15025"/>
    <cellStyle name="Normal 68 4 2 2 4 2" xfId="28653"/>
    <cellStyle name="Normal 68 4 2 2 5" xfId="19057"/>
    <cellStyle name="Normal 68 4 2 3" xfId="7166"/>
    <cellStyle name="Normal 68 4 2 3 2" xfId="20816"/>
    <cellStyle name="Normal 68 4 2 4" xfId="10307"/>
    <cellStyle name="Normal 68 4 2 4 2" xfId="23938"/>
    <cellStyle name="Normal 68 4 2 5" xfId="13602"/>
    <cellStyle name="Normal 68 4 2 5 2" xfId="27230"/>
    <cellStyle name="Normal 68 4 2 6" xfId="17533"/>
    <cellStyle name="Normal 68 4 3" xfId="4521"/>
    <cellStyle name="Normal 68 4 3 2" xfId="7951"/>
    <cellStyle name="Normal 68 4 3 2 2" xfId="21599"/>
    <cellStyle name="Normal 68 4 3 3" xfId="11020"/>
    <cellStyle name="Normal 68 4 3 3 2" xfId="24651"/>
    <cellStyle name="Normal 68 4 3 4" xfId="14316"/>
    <cellStyle name="Normal 68 4 3 4 2" xfId="27944"/>
    <cellStyle name="Normal 68 4 3 5" xfId="18316"/>
    <cellStyle name="Normal 68 4 4" xfId="6372"/>
    <cellStyle name="Normal 68 4 4 2" xfId="20022"/>
    <cellStyle name="Normal 68 4 5" xfId="9574"/>
    <cellStyle name="Normal 68 4 5 2" xfId="23216"/>
    <cellStyle name="Normal 68 4 6" xfId="12888"/>
    <cellStyle name="Normal 68 4 6 2" xfId="26516"/>
    <cellStyle name="Normal 68 4 7" xfId="16805"/>
    <cellStyle name="Normal 68 5" xfId="2984"/>
    <cellStyle name="Normal 68 5 2" xfId="4826"/>
    <cellStyle name="Normal 68 5 2 2" xfId="8093"/>
    <cellStyle name="Normal 68 5 2 2 2" xfId="21741"/>
    <cellStyle name="Normal 68 5 2 3" xfId="11162"/>
    <cellStyle name="Normal 68 5 2 3 2" xfId="24793"/>
    <cellStyle name="Normal 68 5 2 4" xfId="14458"/>
    <cellStyle name="Normal 68 5 2 4 2" xfId="28086"/>
    <cellStyle name="Normal 68 5 2 5" xfId="18485"/>
    <cellStyle name="Normal 68 5 3" xfId="6516"/>
    <cellStyle name="Normal 68 5 3 2" xfId="20166"/>
    <cellStyle name="Normal 68 5 4" xfId="9737"/>
    <cellStyle name="Normal 68 5 4 2" xfId="23368"/>
    <cellStyle name="Normal 68 5 5" xfId="13032"/>
    <cellStyle name="Normal 68 5 5 2" xfId="26660"/>
    <cellStyle name="Normal 68 5 6" xfId="16950"/>
    <cellStyle name="Normal 68 6" xfId="3970"/>
    <cellStyle name="Normal 68 6 2" xfId="7400"/>
    <cellStyle name="Normal 68 6 2 2" xfId="21048"/>
    <cellStyle name="Normal 68 6 3" xfId="10538"/>
    <cellStyle name="Normal 68 6 3 2" xfId="24169"/>
    <cellStyle name="Normal 68 6 4" xfId="13834"/>
    <cellStyle name="Normal 68 6 4 2" xfId="27462"/>
    <cellStyle name="Normal 68 6 5" xfId="17765"/>
    <cellStyle name="Normal 68 7" xfId="5565"/>
    <cellStyle name="Normal 68 7 2" xfId="8826"/>
    <cellStyle name="Normal 68 7 2 2" xfId="22469"/>
    <cellStyle name="Normal 68 7 3" xfId="11886"/>
    <cellStyle name="Normal 68 7 3 2" xfId="25517"/>
    <cellStyle name="Normal 68 7 4" xfId="15182"/>
    <cellStyle name="Normal 68 7 4 2" xfId="28810"/>
    <cellStyle name="Normal 68 7 5" xfId="19215"/>
    <cellStyle name="Normal 68 8" xfId="5807"/>
    <cellStyle name="Normal 68 8 2" xfId="19457"/>
    <cellStyle name="Normal 68 9" xfId="9029"/>
    <cellStyle name="Normal 68 9 2" xfId="22672"/>
    <cellStyle name="Normal 69" xfId="1221"/>
    <cellStyle name="Normal 7" xfId="78"/>
    <cellStyle name="Normal 7 2" xfId="1222"/>
    <cellStyle name="Normal 70" xfId="1223"/>
    <cellStyle name="Normal 71" xfId="1224"/>
    <cellStyle name="Normal 72" xfId="1225"/>
    <cellStyle name="Normal 73" xfId="1226"/>
    <cellStyle name="Normal 73 2" xfId="1227"/>
    <cellStyle name="Normal 73 3" xfId="15341"/>
    <cellStyle name="Normal 74" xfId="1228"/>
    <cellStyle name="Normal 74 2" xfId="1229"/>
    <cellStyle name="Normal 74 3" xfId="15342"/>
    <cellStyle name="Normal 75" xfId="1230"/>
    <cellStyle name="Normal 75 2" xfId="1231"/>
    <cellStyle name="Normal 75 3" xfId="15343"/>
    <cellStyle name="Normal 76" xfId="1232"/>
    <cellStyle name="Normal 76 2" xfId="1233"/>
    <cellStyle name="Normal 76 3" xfId="15344"/>
    <cellStyle name="Normal 77" xfId="1234"/>
    <cellStyle name="Normal 77 2" xfId="1235"/>
    <cellStyle name="Normal 77 3" xfId="15345"/>
    <cellStyle name="Normal 78" xfId="1236"/>
    <cellStyle name="Normal 78 2" xfId="1237"/>
    <cellStyle name="Normal 78 2 2" xfId="2985"/>
    <cellStyle name="Normal 78 3" xfId="1238"/>
    <cellStyle name="Normal 78 4" xfId="1239"/>
    <cellStyle name="Normal 78 4 2" xfId="2986"/>
    <cellStyle name="Normal 79" xfId="1240"/>
    <cellStyle name="Normal 79 10" xfId="12007"/>
    <cellStyle name="Normal 79 10 2" xfId="25638"/>
    <cellStyle name="Normal 79 11" xfId="12170"/>
    <cellStyle name="Normal 79 11 2" xfId="25798"/>
    <cellStyle name="Normal 79 12" xfId="12408"/>
    <cellStyle name="Normal 79 12 2" xfId="26036"/>
    <cellStyle name="Normal 79 13" xfId="15346"/>
    <cellStyle name="Normal 79 13 2" xfId="28936"/>
    <cellStyle name="Normal 79 14" xfId="15558"/>
    <cellStyle name="Normal 79 14 2" xfId="29055"/>
    <cellStyle name="Normal 79 15" xfId="16169"/>
    <cellStyle name="Normal 79 16" xfId="29691"/>
    <cellStyle name="Normal 79 2" xfId="2198"/>
    <cellStyle name="Normal 79 2 2" xfId="3311"/>
    <cellStyle name="Normal 79 2 2 2" xfId="5057"/>
    <cellStyle name="Normal 79 2 2 2 2" xfId="8321"/>
    <cellStyle name="Normal 79 2 2 2 2 2" xfId="21969"/>
    <cellStyle name="Normal 79 2 2 2 3" xfId="11388"/>
    <cellStyle name="Normal 79 2 2 2 3 2" xfId="25019"/>
    <cellStyle name="Normal 79 2 2 2 4" xfId="14684"/>
    <cellStyle name="Normal 79 2 2 2 4 2" xfId="28312"/>
    <cellStyle name="Normal 79 2 2 2 5" xfId="18715"/>
    <cellStyle name="Normal 79 2 2 3" xfId="6745"/>
    <cellStyle name="Normal 79 2 2 3 2" xfId="20395"/>
    <cellStyle name="Normal 79 2 2 4" xfId="9965"/>
    <cellStyle name="Normal 79 2 2 4 2" xfId="23596"/>
    <cellStyle name="Normal 79 2 2 5" xfId="13260"/>
    <cellStyle name="Normal 79 2 2 5 2" xfId="26888"/>
    <cellStyle name="Normal 79 2 2 6" xfId="17190"/>
    <cellStyle name="Normal 79 2 3" xfId="4111"/>
    <cellStyle name="Normal 79 2 3 2" xfId="7541"/>
    <cellStyle name="Normal 79 2 3 2 2" xfId="21189"/>
    <cellStyle name="Normal 79 2 3 3" xfId="10679"/>
    <cellStyle name="Normal 79 2 3 3 2" xfId="24310"/>
    <cellStyle name="Normal 79 2 3 4" xfId="13975"/>
    <cellStyle name="Normal 79 2 3 4 2" xfId="27603"/>
    <cellStyle name="Normal 79 2 3 5" xfId="17906"/>
    <cellStyle name="Normal 79 2 4" xfId="5947"/>
    <cellStyle name="Normal 79 2 4 2" xfId="19597"/>
    <cellStyle name="Normal 79 2 5" xfId="9233"/>
    <cellStyle name="Normal 79 2 5 2" xfId="22875"/>
    <cellStyle name="Normal 79 2 6" xfId="12547"/>
    <cellStyle name="Normal 79 2 6 2" xfId="26175"/>
    <cellStyle name="Normal 79 2 7" xfId="16392"/>
    <cellStyle name="Normal 79 3" xfId="2532"/>
    <cellStyle name="Normal 79 3 2" xfId="3577"/>
    <cellStyle name="Normal 79 3 2 2" xfId="5244"/>
    <cellStyle name="Normal 79 3 2 2 2" xfId="8507"/>
    <cellStyle name="Normal 79 3 2 2 2 2" xfId="22155"/>
    <cellStyle name="Normal 79 3 2 2 3" xfId="11574"/>
    <cellStyle name="Normal 79 3 2 2 3 2" xfId="25205"/>
    <cellStyle name="Normal 79 3 2 2 4" xfId="14870"/>
    <cellStyle name="Normal 79 3 2 2 4 2" xfId="28498"/>
    <cellStyle name="Normal 79 3 2 2 5" xfId="18902"/>
    <cellStyle name="Normal 79 3 2 3" xfId="7011"/>
    <cellStyle name="Normal 79 3 2 3 2" xfId="20661"/>
    <cellStyle name="Normal 79 3 2 4" xfId="10152"/>
    <cellStyle name="Normal 79 3 2 4 2" xfId="23783"/>
    <cellStyle name="Normal 79 3 2 5" xfId="13447"/>
    <cellStyle name="Normal 79 3 2 5 2" xfId="27075"/>
    <cellStyle name="Normal 79 3 2 6" xfId="17378"/>
    <cellStyle name="Normal 79 3 3" xfId="4297"/>
    <cellStyle name="Normal 79 3 3 2" xfId="7727"/>
    <cellStyle name="Normal 79 3 3 2 2" xfId="21375"/>
    <cellStyle name="Normal 79 3 3 3" xfId="10865"/>
    <cellStyle name="Normal 79 3 3 3 2" xfId="24496"/>
    <cellStyle name="Normal 79 3 3 4" xfId="14161"/>
    <cellStyle name="Normal 79 3 3 4 2" xfId="27789"/>
    <cellStyle name="Normal 79 3 3 5" xfId="18092"/>
    <cellStyle name="Normal 79 3 4" xfId="6195"/>
    <cellStyle name="Normal 79 3 4 2" xfId="19845"/>
    <cellStyle name="Normal 79 3 5" xfId="9419"/>
    <cellStyle name="Normal 79 3 5 2" xfId="23061"/>
    <cellStyle name="Normal 79 3 6" xfId="12733"/>
    <cellStyle name="Normal 79 3 6 2" xfId="26361"/>
    <cellStyle name="Normal 79 3 7" xfId="16581"/>
    <cellStyle name="Normal 79 4" xfId="2779"/>
    <cellStyle name="Normal 79 4 2" xfId="3733"/>
    <cellStyle name="Normal 79 4 2 2" xfId="5400"/>
    <cellStyle name="Normal 79 4 2 2 2" xfId="8663"/>
    <cellStyle name="Normal 79 4 2 2 2 2" xfId="22311"/>
    <cellStyle name="Normal 79 4 2 2 3" xfId="11730"/>
    <cellStyle name="Normal 79 4 2 2 3 2" xfId="25361"/>
    <cellStyle name="Normal 79 4 2 2 4" xfId="15026"/>
    <cellStyle name="Normal 79 4 2 2 4 2" xfId="28654"/>
    <cellStyle name="Normal 79 4 2 2 5" xfId="19058"/>
    <cellStyle name="Normal 79 4 2 3" xfId="7167"/>
    <cellStyle name="Normal 79 4 2 3 2" xfId="20817"/>
    <cellStyle name="Normal 79 4 2 4" xfId="10308"/>
    <cellStyle name="Normal 79 4 2 4 2" xfId="23939"/>
    <cellStyle name="Normal 79 4 2 5" xfId="13603"/>
    <cellStyle name="Normal 79 4 2 5 2" xfId="27231"/>
    <cellStyle name="Normal 79 4 2 6" xfId="17534"/>
    <cellStyle name="Normal 79 4 3" xfId="4522"/>
    <cellStyle name="Normal 79 4 3 2" xfId="7952"/>
    <cellStyle name="Normal 79 4 3 2 2" xfId="21600"/>
    <cellStyle name="Normal 79 4 3 3" xfId="11021"/>
    <cellStyle name="Normal 79 4 3 3 2" xfId="24652"/>
    <cellStyle name="Normal 79 4 3 4" xfId="14317"/>
    <cellStyle name="Normal 79 4 3 4 2" xfId="27945"/>
    <cellStyle name="Normal 79 4 3 5" xfId="18317"/>
    <cellStyle name="Normal 79 4 4" xfId="6373"/>
    <cellStyle name="Normal 79 4 4 2" xfId="20023"/>
    <cellStyle name="Normal 79 4 5" xfId="9575"/>
    <cellStyle name="Normal 79 4 5 2" xfId="23217"/>
    <cellStyle name="Normal 79 4 6" xfId="12889"/>
    <cellStyle name="Normal 79 4 6 2" xfId="26517"/>
    <cellStyle name="Normal 79 4 7" xfId="16806"/>
    <cellStyle name="Normal 79 5" xfId="2987"/>
    <cellStyle name="Normal 79 5 2" xfId="4827"/>
    <cellStyle name="Normal 79 5 2 2" xfId="8094"/>
    <cellStyle name="Normal 79 5 2 2 2" xfId="21742"/>
    <cellStyle name="Normal 79 5 2 3" xfId="11163"/>
    <cellStyle name="Normal 79 5 2 3 2" xfId="24794"/>
    <cellStyle name="Normal 79 5 2 4" xfId="14459"/>
    <cellStyle name="Normal 79 5 2 4 2" xfId="28087"/>
    <cellStyle name="Normal 79 5 2 5" xfId="18486"/>
    <cellStyle name="Normal 79 5 3" xfId="6517"/>
    <cellStyle name="Normal 79 5 3 2" xfId="20167"/>
    <cellStyle name="Normal 79 5 4" xfId="9618"/>
    <cellStyle name="Normal 79 5 5" xfId="9738"/>
    <cellStyle name="Normal 79 5 5 2" xfId="23369"/>
    <cellStyle name="Normal 79 5 6" xfId="13033"/>
    <cellStyle name="Normal 79 5 6 2" xfId="26661"/>
    <cellStyle name="Normal 79 5 7" xfId="16951"/>
    <cellStyle name="Normal 79 6" xfId="3971"/>
    <cellStyle name="Normal 79 6 2" xfId="7401"/>
    <cellStyle name="Normal 79 6 2 2" xfId="21049"/>
    <cellStyle name="Normal 79 6 3" xfId="10539"/>
    <cellStyle name="Normal 79 6 3 2" xfId="24170"/>
    <cellStyle name="Normal 79 6 4" xfId="13835"/>
    <cellStyle name="Normal 79 6 4 2" xfId="27463"/>
    <cellStyle name="Normal 79 6 5" xfId="17766"/>
    <cellStyle name="Normal 79 7" xfId="5566"/>
    <cellStyle name="Normal 79 7 2" xfId="8827"/>
    <cellStyle name="Normal 79 7 2 2" xfId="22470"/>
    <cellStyle name="Normal 79 7 3" xfId="11887"/>
    <cellStyle name="Normal 79 7 3 2" xfId="25518"/>
    <cellStyle name="Normal 79 7 4" xfId="15183"/>
    <cellStyle name="Normal 79 7 4 2" xfId="28811"/>
    <cellStyle name="Normal 79 7 5" xfId="19216"/>
    <cellStyle name="Normal 79 8" xfId="5808"/>
    <cellStyle name="Normal 79 8 2" xfId="19458"/>
    <cellStyle name="Normal 79 9" xfId="9030"/>
    <cellStyle name="Normal 79 9 2" xfId="22673"/>
    <cellStyle name="Normal 8" xfId="79"/>
    <cellStyle name="Normal 8 2" xfId="1241"/>
    <cellStyle name="Normal 8 3" xfId="9627"/>
    <cellStyle name="Normal 8 3 2" xfId="23261"/>
    <cellStyle name="Normal 80" xfId="1242"/>
    <cellStyle name="Normal 80 10" xfId="12008"/>
    <cellStyle name="Normal 80 10 2" xfId="25639"/>
    <cellStyle name="Normal 80 11" xfId="12171"/>
    <cellStyle name="Normal 80 11 2" xfId="25799"/>
    <cellStyle name="Normal 80 12" xfId="12409"/>
    <cellStyle name="Normal 80 12 2" xfId="26037"/>
    <cellStyle name="Normal 80 13" xfId="15347"/>
    <cellStyle name="Normal 80 13 2" xfId="28937"/>
    <cellStyle name="Normal 80 14" xfId="15559"/>
    <cellStyle name="Normal 80 14 2" xfId="29056"/>
    <cellStyle name="Normal 80 15" xfId="16170"/>
    <cellStyle name="Normal 80 16" xfId="29692"/>
    <cellStyle name="Normal 80 2" xfId="2199"/>
    <cellStyle name="Normal 80 2 2" xfId="3312"/>
    <cellStyle name="Normal 80 2 2 2" xfId="5058"/>
    <cellStyle name="Normal 80 2 2 2 2" xfId="8322"/>
    <cellStyle name="Normal 80 2 2 2 2 2" xfId="21970"/>
    <cellStyle name="Normal 80 2 2 2 3" xfId="11389"/>
    <cellStyle name="Normal 80 2 2 2 3 2" xfId="25020"/>
    <cellStyle name="Normal 80 2 2 2 4" xfId="14685"/>
    <cellStyle name="Normal 80 2 2 2 4 2" xfId="28313"/>
    <cellStyle name="Normal 80 2 2 2 5" xfId="18716"/>
    <cellStyle name="Normal 80 2 2 3" xfId="6746"/>
    <cellStyle name="Normal 80 2 2 3 2" xfId="20396"/>
    <cellStyle name="Normal 80 2 2 4" xfId="9966"/>
    <cellStyle name="Normal 80 2 2 4 2" xfId="23597"/>
    <cellStyle name="Normal 80 2 2 5" xfId="13261"/>
    <cellStyle name="Normal 80 2 2 5 2" xfId="26889"/>
    <cellStyle name="Normal 80 2 2 6" xfId="17191"/>
    <cellStyle name="Normal 80 2 3" xfId="4112"/>
    <cellStyle name="Normal 80 2 3 2" xfId="7542"/>
    <cellStyle name="Normal 80 2 3 2 2" xfId="21190"/>
    <cellStyle name="Normal 80 2 3 3" xfId="10680"/>
    <cellStyle name="Normal 80 2 3 3 2" xfId="24311"/>
    <cellStyle name="Normal 80 2 3 4" xfId="13976"/>
    <cellStyle name="Normal 80 2 3 4 2" xfId="27604"/>
    <cellStyle name="Normal 80 2 3 5" xfId="17907"/>
    <cellStyle name="Normal 80 2 4" xfId="5948"/>
    <cellStyle name="Normal 80 2 4 2" xfId="19598"/>
    <cellStyle name="Normal 80 2 5" xfId="9234"/>
    <cellStyle name="Normal 80 2 5 2" xfId="22876"/>
    <cellStyle name="Normal 80 2 6" xfId="12548"/>
    <cellStyle name="Normal 80 2 6 2" xfId="26176"/>
    <cellStyle name="Normal 80 2 7" xfId="16393"/>
    <cellStyle name="Normal 80 3" xfId="2535"/>
    <cellStyle name="Normal 80 3 2" xfId="3578"/>
    <cellStyle name="Normal 80 3 2 2" xfId="5245"/>
    <cellStyle name="Normal 80 3 2 2 2" xfId="8508"/>
    <cellStyle name="Normal 80 3 2 2 2 2" xfId="22156"/>
    <cellStyle name="Normal 80 3 2 2 3" xfId="11575"/>
    <cellStyle name="Normal 80 3 2 2 3 2" xfId="25206"/>
    <cellStyle name="Normal 80 3 2 2 4" xfId="14871"/>
    <cellStyle name="Normal 80 3 2 2 4 2" xfId="28499"/>
    <cellStyle name="Normal 80 3 2 2 5" xfId="18903"/>
    <cellStyle name="Normal 80 3 2 3" xfId="7012"/>
    <cellStyle name="Normal 80 3 2 3 2" xfId="20662"/>
    <cellStyle name="Normal 80 3 2 4" xfId="10153"/>
    <cellStyle name="Normal 80 3 2 4 2" xfId="23784"/>
    <cellStyle name="Normal 80 3 2 5" xfId="13448"/>
    <cellStyle name="Normal 80 3 2 5 2" xfId="27076"/>
    <cellStyle name="Normal 80 3 2 6" xfId="17379"/>
    <cellStyle name="Normal 80 3 3" xfId="4298"/>
    <cellStyle name="Normal 80 3 3 2" xfId="7728"/>
    <cellStyle name="Normal 80 3 3 2 2" xfId="21376"/>
    <cellStyle name="Normal 80 3 3 3" xfId="10866"/>
    <cellStyle name="Normal 80 3 3 3 2" xfId="24497"/>
    <cellStyle name="Normal 80 3 3 4" xfId="14162"/>
    <cellStyle name="Normal 80 3 3 4 2" xfId="27790"/>
    <cellStyle name="Normal 80 3 3 5" xfId="18093"/>
    <cellStyle name="Normal 80 3 4" xfId="6198"/>
    <cellStyle name="Normal 80 3 4 2" xfId="19848"/>
    <cellStyle name="Normal 80 3 5" xfId="9420"/>
    <cellStyle name="Normal 80 3 5 2" xfId="23062"/>
    <cellStyle name="Normal 80 3 6" xfId="12734"/>
    <cellStyle name="Normal 80 3 6 2" xfId="26362"/>
    <cellStyle name="Normal 80 3 7" xfId="16582"/>
    <cellStyle name="Normal 80 4" xfId="2780"/>
    <cellStyle name="Normal 80 4 2" xfId="3734"/>
    <cellStyle name="Normal 80 4 2 2" xfId="5401"/>
    <cellStyle name="Normal 80 4 2 2 2" xfId="8664"/>
    <cellStyle name="Normal 80 4 2 2 2 2" xfId="22312"/>
    <cellStyle name="Normal 80 4 2 2 3" xfId="11731"/>
    <cellStyle name="Normal 80 4 2 2 3 2" xfId="25362"/>
    <cellStyle name="Normal 80 4 2 2 4" xfId="15027"/>
    <cellStyle name="Normal 80 4 2 2 4 2" xfId="28655"/>
    <cellStyle name="Normal 80 4 2 2 5" xfId="19059"/>
    <cellStyle name="Normal 80 4 2 3" xfId="7168"/>
    <cellStyle name="Normal 80 4 2 3 2" xfId="20818"/>
    <cellStyle name="Normal 80 4 2 4" xfId="10309"/>
    <cellStyle name="Normal 80 4 2 4 2" xfId="23940"/>
    <cellStyle name="Normal 80 4 2 5" xfId="13604"/>
    <cellStyle name="Normal 80 4 2 5 2" xfId="27232"/>
    <cellStyle name="Normal 80 4 2 6" xfId="17535"/>
    <cellStyle name="Normal 80 4 3" xfId="4523"/>
    <cellStyle name="Normal 80 4 3 2" xfId="7953"/>
    <cellStyle name="Normal 80 4 3 2 2" xfId="21601"/>
    <cellStyle name="Normal 80 4 3 3" xfId="11022"/>
    <cellStyle name="Normal 80 4 3 3 2" xfId="24653"/>
    <cellStyle name="Normal 80 4 3 4" xfId="14318"/>
    <cellStyle name="Normal 80 4 3 4 2" xfId="27946"/>
    <cellStyle name="Normal 80 4 3 5" xfId="18318"/>
    <cellStyle name="Normal 80 4 4" xfId="6374"/>
    <cellStyle name="Normal 80 4 4 2" xfId="20024"/>
    <cellStyle name="Normal 80 4 5" xfId="9576"/>
    <cellStyle name="Normal 80 4 5 2" xfId="23218"/>
    <cellStyle name="Normal 80 4 6" xfId="12890"/>
    <cellStyle name="Normal 80 4 6 2" xfId="26518"/>
    <cellStyle name="Normal 80 4 7" xfId="16807"/>
    <cellStyle name="Normal 80 5" xfId="2988"/>
    <cellStyle name="Normal 80 5 2" xfId="4828"/>
    <cellStyle name="Normal 80 5 2 2" xfId="8095"/>
    <cellStyle name="Normal 80 5 2 2 2" xfId="21743"/>
    <cellStyle name="Normal 80 5 2 3" xfId="11164"/>
    <cellStyle name="Normal 80 5 2 3 2" xfId="24795"/>
    <cellStyle name="Normal 80 5 2 4" xfId="14460"/>
    <cellStyle name="Normal 80 5 2 4 2" xfId="28088"/>
    <cellStyle name="Normal 80 5 2 5" xfId="18487"/>
    <cellStyle name="Normal 80 5 3" xfId="6518"/>
    <cellStyle name="Normal 80 5 3 2" xfId="20168"/>
    <cellStyle name="Normal 80 5 4" xfId="9621"/>
    <cellStyle name="Normal 80 5 5" xfId="9739"/>
    <cellStyle name="Normal 80 5 5 2" xfId="23370"/>
    <cellStyle name="Normal 80 5 6" xfId="13034"/>
    <cellStyle name="Normal 80 5 6 2" xfId="26662"/>
    <cellStyle name="Normal 80 5 7" xfId="16952"/>
    <cellStyle name="Normal 80 6" xfId="3972"/>
    <cellStyle name="Normal 80 6 2" xfId="7402"/>
    <cellStyle name="Normal 80 6 2 2" xfId="21050"/>
    <cellStyle name="Normal 80 6 3" xfId="10540"/>
    <cellStyle name="Normal 80 6 3 2" xfId="24171"/>
    <cellStyle name="Normal 80 6 4" xfId="13836"/>
    <cellStyle name="Normal 80 6 4 2" xfId="27464"/>
    <cellStyle name="Normal 80 6 5" xfId="17767"/>
    <cellStyle name="Normal 80 7" xfId="5567"/>
    <cellStyle name="Normal 80 7 2" xfId="8828"/>
    <cellStyle name="Normal 80 7 2 2" xfId="22471"/>
    <cellStyle name="Normal 80 7 3" xfId="11888"/>
    <cellStyle name="Normal 80 7 3 2" xfId="25519"/>
    <cellStyle name="Normal 80 7 4" xfId="15184"/>
    <cellStyle name="Normal 80 7 4 2" xfId="28812"/>
    <cellStyle name="Normal 80 7 5" xfId="19217"/>
    <cellStyle name="Normal 80 8" xfId="5809"/>
    <cellStyle name="Normal 80 8 2" xfId="19459"/>
    <cellStyle name="Normal 80 9" xfId="9031"/>
    <cellStyle name="Normal 80 9 2" xfId="22674"/>
    <cellStyle name="Normal 81" xfId="1243"/>
    <cellStyle name="Normal 81 10" xfId="12009"/>
    <cellStyle name="Normal 81 10 2" xfId="25640"/>
    <cellStyle name="Normal 81 11" xfId="12172"/>
    <cellStyle name="Normal 81 11 2" xfId="25800"/>
    <cellStyle name="Normal 81 12" xfId="12410"/>
    <cellStyle name="Normal 81 12 2" xfId="26038"/>
    <cellStyle name="Normal 81 13" xfId="15348"/>
    <cellStyle name="Normal 81 13 2" xfId="28938"/>
    <cellStyle name="Normal 81 14" xfId="15560"/>
    <cellStyle name="Normal 81 14 2" xfId="29057"/>
    <cellStyle name="Normal 81 15" xfId="16171"/>
    <cellStyle name="Normal 81 16" xfId="29693"/>
    <cellStyle name="Normal 81 2" xfId="2200"/>
    <cellStyle name="Normal 81 2 2" xfId="3313"/>
    <cellStyle name="Normal 81 2 2 2" xfId="5059"/>
    <cellStyle name="Normal 81 2 2 2 2" xfId="8323"/>
    <cellStyle name="Normal 81 2 2 2 2 2" xfId="21971"/>
    <cellStyle name="Normal 81 2 2 2 3" xfId="11390"/>
    <cellStyle name="Normal 81 2 2 2 3 2" xfId="25021"/>
    <cellStyle name="Normal 81 2 2 2 4" xfId="14686"/>
    <cellStyle name="Normal 81 2 2 2 4 2" xfId="28314"/>
    <cellStyle name="Normal 81 2 2 2 5" xfId="18717"/>
    <cellStyle name="Normal 81 2 2 3" xfId="6747"/>
    <cellStyle name="Normal 81 2 2 3 2" xfId="20397"/>
    <cellStyle name="Normal 81 2 2 4" xfId="9967"/>
    <cellStyle name="Normal 81 2 2 4 2" xfId="23598"/>
    <cellStyle name="Normal 81 2 2 5" xfId="13262"/>
    <cellStyle name="Normal 81 2 2 5 2" xfId="26890"/>
    <cellStyle name="Normal 81 2 2 6" xfId="17192"/>
    <cellStyle name="Normal 81 2 3" xfId="4113"/>
    <cellStyle name="Normal 81 2 3 2" xfId="7543"/>
    <cellStyle name="Normal 81 2 3 2 2" xfId="21191"/>
    <cellStyle name="Normal 81 2 3 3" xfId="10681"/>
    <cellStyle name="Normal 81 2 3 3 2" xfId="24312"/>
    <cellStyle name="Normal 81 2 3 4" xfId="13977"/>
    <cellStyle name="Normal 81 2 3 4 2" xfId="27605"/>
    <cellStyle name="Normal 81 2 3 5" xfId="17908"/>
    <cellStyle name="Normal 81 2 4" xfId="5949"/>
    <cellStyle name="Normal 81 2 4 2" xfId="19599"/>
    <cellStyle name="Normal 81 2 5" xfId="9235"/>
    <cellStyle name="Normal 81 2 5 2" xfId="22877"/>
    <cellStyle name="Normal 81 2 6" xfId="12549"/>
    <cellStyle name="Normal 81 2 6 2" xfId="26177"/>
    <cellStyle name="Normal 81 2 7" xfId="16394"/>
    <cellStyle name="Normal 81 3" xfId="2536"/>
    <cellStyle name="Normal 81 3 2" xfId="3579"/>
    <cellStyle name="Normal 81 3 2 2" xfId="5246"/>
    <cellStyle name="Normal 81 3 2 2 2" xfId="8509"/>
    <cellStyle name="Normal 81 3 2 2 2 2" xfId="22157"/>
    <cellStyle name="Normal 81 3 2 2 3" xfId="11576"/>
    <cellStyle name="Normal 81 3 2 2 3 2" xfId="25207"/>
    <cellStyle name="Normal 81 3 2 2 4" xfId="14872"/>
    <cellStyle name="Normal 81 3 2 2 4 2" xfId="28500"/>
    <cellStyle name="Normal 81 3 2 2 5" xfId="18904"/>
    <cellStyle name="Normal 81 3 2 3" xfId="7013"/>
    <cellStyle name="Normal 81 3 2 3 2" xfId="20663"/>
    <cellStyle name="Normal 81 3 2 4" xfId="10154"/>
    <cellStyle name="Normal 81 3 2 4 2" xfId="23785"/>
    <cellStyle name="Normal 81 3 2 5" xfId="13449"/>
    <cellStyle name="Normal 81 3 2 5 2" xfId="27077"/>
    <cellStyle name="Normal 81 3 2 6" xfId="17380"/>
    <cellStyle name="Normal 81 3 3" xfId="4299"/>
    <cellStyle name="Normal 81 3 3 2" xfId="7729"/>
    <cellStyle name="Normal 81 3 3 2 2" xfId="21377"/>
    <cellStyle name="Normal 81 3 3 3" xfId="10867"/>
    <cellStyle name="Normal 81 3 3 3 2" xfId="24498"/>
    <cellStyle name="Normal 81 3 3 4" xfId="14163"/>
    <cellStyle name="Normal 81 3 3 4 2" xfId="27791"/>
    <cellStyle name="Normal 81 3 3 5" xfId="18094"/>
    <cellStyle name="Normal 81 3 4" xfId="6199"/>
    <cellStyle name="Normal 81 3 4 2" xfId="19849"/>
    <cellStyle name="Normal 81 3 5" xfId="9421"/>
    <cellStyle name="Normal 81 3 5 2" xfId="23063"/>
    <cellStyle name="Normal 81 3 6" xfId="12735"/>
    <cellStyle name="Normal 81 3 6 2" xfId="26363"/>
    <cellStyle name="Normal 81 3 7" xfId="16583"/>
    <cellStyle name="Normal 81 4" xfId="2781"/>
    <cellStyle name="Normal 81 4 2" xfId="3735"/>
    <cellStyle name="Normal 81 4 2 2" xfId="5402"/>
    <cellStyle name="Normal 81 4 2 2 2" xfId="8665"/>
    <cellStyle name="Normal 81 4 2 2 2 2" xfId="22313"/>
    <cellStyle name="Normal 81 4 2 2 3" xfId="11732"/>
    <cellStyle name="Normal 81 4 2 2 3 2" xfId="25363"/>
    <cellStyle name="Normal 81 4 2 2 4" xfId="15028"/>
    <cellStyle name="Normal 81 4 2 2 4 2" xfId="28656"/>
    <cellStyle name="Normal 81 4 2 2 5" xfId="19060"/>
    <cellStyle name="Normal 81 4 2 3" xfId="7169"/>
    <cellStyle name="Normal 81 4 2 3 2" xfId="20819"/>
    <cellStyle name="Normal 81 4 2 4" xfId="10310"/>
    <cellStyle name="Normal 81 4 2 4 2" xfId="23941"/>
    <cellStyle name="Normal 81 4 2 5" xfId="13605"/>
    <cellStyle name="Normal 81 4 2 5 2" xfId="27233"/>
    <cellStyle name="Normal 81 4 2 6" xfId="17536"/>
    <cellStyle name="Normal 81 4 3" xfId="4524"/>
    <cellStyle name="Normal 81 4 3 2" xfId="7954"/>
    <cellStyle name="Normal 81 4 3 2 2" xfId="21602"/>
    <cellStyle name="Normal 81 4 3 3" xfId="11023"/>
    <cellStyle name="Normal 81 4 3 3 2" xfId="24654"/>
    <cellStyle name="Normal 81 4 3 4" xfId="14319"/>
    <cellStyle name="Normal 81 4 3 4 2" xfId="27947"/>
    <cellStyle name="Normal 81 4 3 5" xfId="18319"/>
    <cellStyle name="Normal 81 4 4" xfId="6375"/>
    <cellStyle name="Normal 81 4 4 2" xfId="20025"/>
    <cellStyle name="Normal 81 4 5" xfId="9577"/>
    <cellStyle name="Normal 81 4 5 2" xfId="23219"/>
    <cellStyle name="Normal 81 4 6" xfId="12891"/>
    <cellStyle name="Normal 81 4 6 2" xfId="26519"/>
    <cellStyle name="Normal 81 4 7" xfId="16808"/>
    <cellStyle name="Normal 81 5" xfId="2989"/>
    <cellStyle name="Normal 81 5 2" xfId="4829"/>
    <cellStyle name="Normal 81 5 2 2" xfId="8096"/>
    <cellStyle name="Normal 81 5 2 2 2" xfId="21744"/>
    <cellStyle name="Normal 81 5 2 3" xfId="11165"/>
    <cellStyle name="Normal 81 5 2 3 2" xfId="24796"/>
    <cellStyle name="Normal 81 5 2 4" xfId="14461"/>
    <cellStyle name="Normal 81 5 2 4 2" xfId="28089"/>
    <cellStyle name="Normal 81 5 2 5" xfId="18488"/>
    <cellStyle name="Normal 81 5 3" xfId="6519"/>
    <cellStyle name="Normal 81 5 3 2" xfId="20169"/>
    <cellStyle name="Normal 81 5 4" xfId="9740"/>
    <cellStyle name="Normal 81 5 4 2" xfId="23371"/>
    <cellStyle name="Normal 81 5 5" xfId="13035"/>
    <cellStyle name="Normal 81 5 5 2" xfId="26663"/>
    <cellStyle name="Normal 81 5 6" xfId="16953"/>
    <cellStyle name="Normal 81 6" xfId="3973"/>
    <cellStyle name="Normal 81 6 2" xfId="7403"/>
    <cellStyle name="Normal 81 6 2 2" xfId="21051"/>
    <cellStyle name="Normal 81 6 3" xfId="10541"/>
    <cellStyle name="Normal 81 6 3 2" xfId="24172"/>
    <cellStyle name="Normal 81 6 4" xfId="13837"/>
    <cellStyle name="Normal 81 6 4 2" xfId="27465"/>
    <cellStyle name="Normal 81 6 5" xfId="17768"/>
    <cellStyle name="Normal 81 7" xfId="5568"/>
    <cellStyle name="Normal 81 7 2" xfId="8829"/>
    <cellStyle name="Normal 81 7 2 2" xfId="22472"/>
    <cellStyle name="Normal 81 7 3" xfId="11889"/>
    <cellStyle name="Normal 81 7 3 2" xfId="25520"/>
    <cellStyle name="Normal 81 7 4" xfId="15185"/>
    <cellStyle name="Normal 81 7 4 2" xfId="28813"/>
    <cellStyle name="Normal 81 7 5" xfId="19218"/>
    <cellStyle name="Normal 81 8" xfId="5810"/>
    <cellStyle name="Normal 81 8 2" xfId="19460"/>
    <cellStyle name="Normal 81 9" xfId="9032"/>
    <cellStyle name="Normal 81 9 2" xfId="22675"/>
    <cellStyle name="Normal 82" xfId="1244"/>
    <cellStyle name="Normal 82 10" xfId="12010"/>
    <cellStyle name="Normal 82 10 2" xfId="25641"/>
    <cellStyle name="Normal 82 11" xfId="12173"/>
    <cellStyle name="Normal 82 11 2" xfId="25801"/>
    <cellStyle name="Normal 82 12" xfId="12411"/>
    <cellStyle name="Normal 82 12 2" xfId="26039"/>
    <cellStyle name="Normal 82 13" xfId="15349"/>
    <cellStyle name="Normal 82 13 2" xfId="28939"/>
    <cellStyle name="Normal 82 14" xfId="15561"/>
    <cellStyle name="Normal 82 14 2" xfId="29058"/>
    <cellStyle name="Normal 82 15" xfId="16172"/>
    <cellStyle name="Normal 82 16" xfId="29694"/>
    <cellStyle name="Normal 82 2" xfId="2201"/>
    <cellStyle name="Normal 82 2 2" xfId="3314"/>
    <cellStyle name="Normal 82 2 2 2" xfId="5060"/>
    <cellStyle name="Normal 82 2 2 2 2" xfId="8324"/>
    <cellStyle name="Normal 82 2 2 2 2 2" xfId="21972"/>
    <cellStyle name="Normal 82 2 2 2 3" xfId="11391"/>
    <cellStyle name="Normal 82 2 2 2 3 2" xfId="25022"/>
    <cellStyle name="Normal 82 2 2 2 4" xfId="14687"/>
    <cellStyle name="Normal 82 2 2 2 4 2" xfId="28315"/>
    <cellStyle name="Normal 82 2 2 2 5" xfId="18718"/>
    <cellStyle name="Normal 82 2 2 3" xfId="6748"/>
    <cellStyle name="Normal 82 2 2 3 2" xfId="20398"/>
    <cellStyle name="Normal 82 2 2 4" xfId="9968"/>
    <cellStyle name="Normal 82 2 2 4 2" xfId="23599"/>
    <cellStyle name="Normal 82 2 2 5" xfId="13263"/>
    <cellStyle name="Normal 82 2 2 5 2" xfId="26891"/>
    <cellStyle name="Normal 82 2 2 6" xfId="17193"/>
    <cellStyle name="Normal 82 2 3" xfId="4114"/>
    <cellStyle name="Normal 82 2 3 2" xfId="7544"/>
    <cellStyle name="Normal 82 2 3 2 2" xfId="21192"/>
    <cellStyle name="Normal 82 2 3 3" xfId="10682"/>
    <cellStyle name="Normal 82 2 3 3 2" xfId="24313"/>
    <cellStyle name="Normal 82 2 3 4" xfId="13978"/>
    <cellStyle name="Normal 82 2 3 4 2" xfId="27606"/>
    <cellStyle name="Normal 82 2 3 5" xfId="17909"/>
    <cellStyle name="Normal 82 2 4" xfId="5950"/>
    <cellStyle name="Normal 82 2 4 2" xfId="19600"/>
    <cellStyle name="Normal 82 2 5" xfId="9236"/>
    <cellStyle name="Normal 82 2 5 2" xfId="22878"/>
    <cellStyle name="Normal 82 2 6" xfId="12550"/>
    <cellStyle name="Normal 82 2 6 2" xfId="26178"/>
    <cellStyle name="Normal 82 2 7" xfId="16395"/>
    <cellStyle name="Normal 82 3" xfId="2537"/>
    <cellStyle name="Normal 82 3 2" xfId="3580"/>
    <cellStyle name="Normal 82 3 2 2" xfId="5247"/>
    <cellStyle name="Normal 82 3 2 2 2" xfId="8510"/>
    <cellStyle name="Normal 82 3 2 2 2 2" xfId="22158"/>
    <cellStyle name="Normal 82 3 2 2 3" xfId="11577"/>
    <cellStyle name="Normal 82 3 2 2 3 2" xfId="25208"/>
    <cellStyle name="Normal 82 3 2 2 4" xfId="14873"/>
    <cellStyle name="Normal 82 3 2 2 4 2" xfId="28501"/>
    <cellStyle name="Normal 82 3 2 2 5" xfId="18905"/>
    <cellStyle name="Normal 82 3 2 3" xfId="7014"/>
    <cellStyle name="Normal 82 3 2 3 2" xfId="20664"/>
    <cellStyle name="Normal 82 3 2 4" xfId="10155"/>
    <cellStyle name="Normal 82 3 2 4 2" xfId="23786"/>
    <cellStyle name="Normal 82 3 2 5" xfId="13450"/>
    <cellStyle name="Normal 82 3 2 5 2" xfId="27078"/>
    <cellStyle name="Normal 82 3 2 6" xfId="17381"/>
    <cellStyle name="Normal 82 3 3" xfId="4300"/>
    <cellStyle name="Normal 82 3 3 2" xfId="7730"/>
    <cellStyle name="Normal 82 3 3 2 2" xfId="21378"/>
    <cellStyle name="Normal 82 3 3 3" xfId="10868"/>
    <cellStyle name="Normal 82 3 3 3 2" xfId="24499"/>
    <cellStyle name="Normal 82 3 3 4" xfId="14164"/>
    <cellStyle name="Normal 82 3 3 4 2" xfId="27792"/>
    <cellStyle name="Normal 82 3 3 5" xfId="18095"/>
    <cellStyle name="Normal 82 3 4" xfId="6200"/>
    <cellStyle name="Normal 82 3 4 2" xfId="19850"/>
    <cellStyle name="Normal 82 3 5" xfId="9422"/>
    <cellStyle name="Normal 82 3 5 2" xfId="23064"/>
    <cellStyle name="Normal 82 3 6" xfId="12736"/>
    <cellStyle name="Normal 82 3 6 2" xfId="26364"/>
    <cellStyle name="Normal 82 3 7" xfId="16584"/>
    <cellStyle name="Normal 82 4" xfId="2782"/>
    <cellStyle name="Normal 82 4 2" xfId="3736"/>
    <cellStyle name="Normal 82 4 2 2" xfId="5403"/>
    <cellStyle name="Normal 82 4 2 2 2" xfId="8666"/>
    <cellStyle name="Normal 82 4 2 2 2 2" xfId="22314"/>
    <cellStyle name="Normal 82 4 2 2 3" xfId="11733"/>
    <cellStyle name="Normal 82 4 2 2 3 2" xfId="25364"/>
    <cellStyle name="Normal 82 4 2 2 4" xfId="15029"/>
    <cellStyle name="Normal 82 4 2 2 4 2" xfId="28657"/>
    <cellStyle name="Normal 82 4 2 2 5" xfId="19061"/>
    <cellStyle name="Normal 82 4 2 3" xfId="7170"/>
    <cellStyle name="Normal 82 4 2 3 2" xfId="20820"/>
    <cellStyle name="Normal 82 4 2 4" xfId="10311"/>
    <cellStyle name="Normal 82 4 2 4 2" xfId="23942"/>
    <cellStyle name="Normal 82 4 2 5" xfId="13606"/>
    <cellStyle name="Normal 82 4 2 5 2" xfId="27234"/>
    <cellStyle name="Normal 82 4 2 6" xfId="17537"/>
    <cellStyle name="Normal 82 4 3" xfId="4525"/>
    <cellStyle name="Normal 82 4 3 2" xfId="7955"/>
    <cellStyle name="Normal 82 4 3 2 2" xfId="21603"/>
    <cellStyle name="Normal 82 4 3 3" xfId="11024"/>
    <cellStyle name="Normal 82 4 3 3 2" xfId="24655"/>
    <cellStyle name="Normal 82 4 3 4" xfId="14320"/>
    <cellStyle name="Normal 82 4 3 4 2" xfId="27948"/>
    <cellStyle name="Normal 82 4 3 5" xfId="18320"/>
    <cellStyle name="Normal 82 4 4" xfId="6376"/>
    <cellStyle name="Normal 82 4 4 2" xfId="20026"/>
    <cellStyle name="Normal 82 4 5" xfId="9578"/>
    <cellStyle name="Normal 82 4 5 2" xfId="23220"/>
    <cellStyle name="Normal 82 4 6" xfId="12892"/>
    <cellStyle name="Normal 82 4 6 2" xfId="26520"/>
    <cellStyle name="Normal 82 4 7" xfId="16809"/>
    <cellStyle name="Normal 82 5" xfId="2990"/>
    <cellStyle name="Normal 82 5 2" xfId="4830"/>
    <cellStyle name="Normal 82 5 2 2" xfId="8097"/>
    <cellStyle name="Normal 82 5 2 2 2" xfId="21745"/>
    <cellStyle name="Normal 82 5 2 3" xfId="11166"/>
    <cellStyle name="Normal 82 5 2 3 2" xfId="24797"/>
    <cellStyle name="Normal 82 5 2 4" xfId="14462"/>
    <cellStyle name="Normal 82 5 2 4 2" xfId="28090"/>
    <cellStyle name="Normal 82 5 2 5" xfId="18489"/>
    <cellStyle name="Normal 82 5 3" xfId="6520"/>
    <cellStyle name="Normal 82 5 3 2" xfId="20170"/>
    <cellStyle name="Normal 82 5 4" xfId="9741"/>
    <cellStyle name="Normal 82 5 4 2" xfId="23372"/>
    <cellStyle name="Normal 82 5 5" xfId="13036"/>
    <cellStyle name="Normal 82 5 5 2" xfId="26664"/>
    <cellStyle name="Normal 82 5 6" xfId="16954"/>
    <cellStyle name="Normal 82 6" xfId="3974"/>
    <cellStyle name="Normal 82 6 2" xfId="7404"/>
    <cellStyle name="Normal 82 6 2 2" xfId="21052"/>
    <cellStyle name="Normal 82 6 3" xfId="10542"/>
    <cellStyle name="Normal 82 6 3 2" xfId="24173"/>
    <cellStyle name="Normal 82 6 4" xfId="13838"/>
    <cellStyle name="Normal 82 6 4 2" xfId="27466"/>
    <cellStyle name="Normal 82 6 5" xfId="17769"/>
    <cellStyle name="Normal 82 7" xfId="5569"/>
    <cellStyle name="Normal 82 7 2" xfId="8830"/>
    <cellStyle name="Normal 82 7 2 2" xfId="22473"/>
    <cellStyle name="Normal 82 7 3" xfId="11890"/>
    <cellStyle name="Normal 82 7 3 2" xfId="25521"/>
    <cellStyle name="Normal 82 7 4" xfId="15186"/>
    <cellStyle name="Normal 82 7 4 2" xfId="28814"/>
    <cellStyle name="Normal 82 7 5" xfId="19219"/>
    <cellStyle name="Normal 82 8" xfId="5811"/>
    <cellStyle name="Normal 82 8 2" xfId="19461"/>
    <cellStyle name="Normal 82 9" xfId="9033"/>
    <cellStyle name="Normal 82 9 2" xfId="22676"/>
    <cellStyle name="Normal 83" xfId="1245"/>
    <cellStyle name="Normal 83 10" xfId="12011"/>
    <cellStyle name="Normal 83 10 2" xfId="25642"/>
    <cellStyle name="Normal 83 11" xfId="12174"/>
    <cellStyle name="Normal 83 11 2" xfId="25802"/>
    <cellStyle name="Normal 83 12" xfId="12412"/>
    <cellStyle name="Normal 83 12 2" xfId="26040"/>
    <cellStyle name="Normal 83 13" xfId="15350"/>
    <cellStyle name="Normal 83 13 2" xfId="28940"/>
    <cellStyle name="Normal 83 14" xfId="15562"/>
    <cellStyle name="Normal 83 14 2" xfId="29059"/>
    <cellStyle name="Normal 83 15" xfId="16173"/>
    <cellStyle name="Normal 83 16" xfId="29695"/>
    <cellStyle name="Normal 83 2" xfId="2202"/>
    <cellStyle name="Normal 83 2 2" xfId="3315"/>
    <cellStyle name="Normal 83 2 2 2" xfId="5061"/>
    <cellStyle name="Normal 83 2 2 2 2" xfId="8325"/>
    <cellStyle name="Normal 83 2 2 2 2 2" xfId="21973"/>
    <cellStyle name="Normal 83 2 2 2 3" xfId="11392"/>
    <cellStyle name="Normal 83 2 2 2 3 2" xfId="25023"/>
    <cellStyle name="Normal 83 2 2 2 4" xfId="14688"/>
    <cellStyle name="Normal 83 2 2 2 4 2" xfId="28316"/>
    <cellStyle name="Normal 83 2 2 2 5" xfId="18719"/>
    <cellStyle name="Normal 83 2 2 3" xfId="6749"/>
    <cellStyle name="Normal 83 2 2 3 2" xfId="20399"/>
    <cellStyle name="Normal 83 2 2 4" xfId="9969"/>
    <cellStyle name="Normal 83 2 2 4 2" xfId="23600"/>
    <cellStyle name="Normal 83 2 2 5" xfId="13264"/>
    <cellStyle name="Normal 83 2 2 5 2" xfId="26892"/>
    <cellStyle name="Normal 83 2 2 6" xfId="17194"/>
    <cellStyle name="Normal 83 2 3" xfId="4115"/>
    <cellStyle name="Normal 83 2 3 2" xfId="7545"/>
    <cellStyle name="Normal 83 2 3 2 2" xfId="21193"/>
    <cellStyle name="Normal 83 2 3 3" xfId="10683"/>
    <cellStyle name="Normal 83 2 3 3 2" xfId="24314"/>
    <cellStyle name="Normal 83 2 3 4" xfId="13979"/>
    <cellStyle name="Normal 83 2 3 4 2" xfId="27607"/>
    <cellStyle name="Normal 83 2 3 5" xfId="17910"/>
    <cellStyle name="Normal 83 2 4" xfId="5951"/>
    <cellStyle name="Normal 83 2 4 2" xfId="19601"/>
    <cellStyle name="Normal 83 2 5" xfId="9237"/>
    <cellStyle name="Normal 83 2 5 2" xfId="22879"/>
    <cellStyle name="Normal 83 2 6" xfId="12551"/>
    <cellStyle name="Normal 83 2 6 2" xfId="26179"/>
    <cellStyle name="Normal 83 2 7" xfId="16396"/>
    <cellStyle name="Normal 83 3" xfId="2538"/>
    <cellStyle name="Normal 83 3 2" xfId="3581"/>
    <cellStyle name="Normal 83 3 2 2" xfId="5248"/>
    <cellStyle name="Normal 83 3 2 2 2" xfId="8511"/>
    <cellStyle name="Normal 83 3 2 2 2 2" xfId="22159"/>
    <cellStyle name="Normal 83 3 2 2 3" xfId="11578"/>
    <cellStyle name="Normal 83 3 2 2 3 2" xfId="25209"/>
    <cellStyle name="Normal 83 3 2 2 4" xfId="14874"/>
    <cellStyle name="Normal 83 3 2 2 4 2" xfId="28502"/>
    <cellStyle name="Normal 83 3 2 2 5" xfId="18906"/>
    <cellStyle name="Normal 83 3 2 3" xfId="7015"/>
    <cellStyle name="Normal 83 3 2 3 2" xfId="20665"/>
    <cellStyle name="Normal 83 3 2 4" xfId="10156"/>
    <cellStyle name="Normal 83 3 2 4 2" xfId="23787"/>
    <cellStyle name="Normal 83 3 2 5" xfId="13451"/>
    <cellStyle name="Normal 83 3 2 5 2" xfId="27079"/>
    <cellStyle name="Normal 83 3 2 6" xfId="17382"/>
    <cellStyle name="Normal 83 3 3" xfId="4301"/>
    <cellStyle name="Normal 83 3 3 2" xfId="7731"/>
    <cellStyle name="Normal 83 3 3 2 2" xfId="21379"/>
    <cellStyle name="Normal 83 3 3 3" xfId="10869"/>
    <cellStyle name="Normal 83 3 3 3 2" xfId="24500"/>
    <cellStyle name="Normal 83 3 3 4" xfId="14165"/>
    <cellStyle name="Normal 83 3 3 4 2" xfId="27793"/>
    <cellStyle name="Normal 83 3 3 5" xfId="18096"/>
    <cellStyle name="Normal 83 3 4" xfId="6201"/>
    <cellStyle name="Normal 83 3 4 2" xfId="19851"/>
    <cellStyle name="Normal 83 3 5" xfId="9423"/>
    <cellStyle name="Normal 83 3 5 2" xfId="23065"/>
    <cellStyle name="Normal 83 3 6" xfId="12737"/>
    <cellStyle name="Normal 83 3 6 2" xfId="26365"/>
    <cellStyle name="Normal 83 3 7" xfId="16585"/>
    <cellStyle name="Normal 83 4" xfId="2783"/>
    <cellStyle name="Normal 83 4 2" xfId="3737"/>
    <cellStyle name="Normal 83 4 2 2" xfId="5404"/>
    <cellStyle name="Normal 83 4 2 2 2" xfId="8667"/>
    <cellStyle name="Normal 83 4 2 2 2 2" xfId="22315"/>
    <cellStyle name="Normal 83 4 2 2 3" xfId="11734"/>
    <cellStyle name="Normal 83 4 2 2 3 2" xfId="25365"/>
    <cellStyle name="Normal 83 4 2 2 4" xfId="15030"/>
    <cellStyle name="Normal 83 4 2 2 4 2" xfId="28658"/>
    <cellStyle name="Normal 83 4 2 2 5" xfId="19062"/>
    <cellStyle name="Normal 83 4 2 3" xfId="7171"/>
    <cellStyle name="Normal 83 4 2 3 2" xfId="20821"/>
    <cellStyle name="Normal 83 4 2 4" xfId="10312"/>
    <cellStyle name="Normal 83 4 2 4 2" xfId="23943"/>
    <cellStyle name="Normal 83 4 2 5" xfId="13607"/>
    <cellStyle name="Normal 83 4 2 5 2" xfId="27235"/>
    <cellStyle name="Normal 83 4 2 6" xfId="17538"/>
    <cellStyle name="Normal 83 4 3" xfId="4526"/>
    <cellStyle name="Normal 83 4 3 2" xfId="7956"/>
    <cellStyle name="Normal 83 4 3 2 2" xfId="21604"/>
    <cellStyle name="Normal 83 4 3 3" xfId="11025"/>
    <cellStyle name="Normal 83 4 3 3 2" xfId="24656"/>
    <cellStyle name="Normal 83 4 3 4" xfId="14321"/>
    <cellStyle name="Normal 83 4 3 4 2" xfId="27949"/>
    <cellStyle name="Normal 83 4 3 5" xfId="18321"/>
    <cellStyle name="Normal 83 4 4" xfId="6377"/>
    <cellStyle name="Normal 83 4 4 2" xfId="20027"/>
    <cellStyle name="Normal 83 4 5" xfId="9579"/>
    <cellStyle name="Normal 83 4 5 2" xfId="23221"/>
    <cellStyle name="Normal 83 4 6" xfId="12893"/>
    <cellStyle name="Normal 83 4 6 2" xfId="26521"/>
    <cellStyle name="Normal 83 4 7" xfId="16810"/>
    <cellStyle name="Normal 83 5" xfId="2991"/>
    <cellStyle name="Normal 83 5 2" xfId="4831"/>
    <cellStyle name="Normal 83 5 2 2" xfId="8098"/>
    <cellStyle name="Normal 83 5 2 2 2" xfId="21746"/>
    <cellStyle name="Normal 83 5 2 3" xfId="11167"/>
    <cellStyle name="Normal 83 5 2 3 2" xfId="24798"/>
    <cellStyle name="Normal 83 5 2 4" xfId="14463"/>
    <cellStyle name="Normal 83 5 2 4 2" xfId="28091"/>
    <cellStyle name="Normal 83 5 2 5" xfId="18490"/>
    <cellStyle name="Normal 83 5 3" xfId="6521"/>
    <cellStyle name="Normal 83 5 3 2" xfId="20171"/>
    <cellStyle name="Normal 83 5 4" xfId="9742"/>
    <cellStyle name="Normal 83 5 4 2" xfId="23373"/>
    <cellStyle name="Normal 83 5 5" xfId="13037"/>
    <cellStyle name="Normal 83 5 5 2" xfId="26665"/>
    <cellStyle name="Normal 83 5 6" xfId="16955"/>
    <cellStyle name="Normal 83 6" xfId="3975"/>
    <cellStyle name="Normal 83 6 2" xfId="7405"/>
    <cellStyle name="Normal 83 6 2 2" xfId="21053"/>
    <cellStyle name="Normal 83 6 3" xfId="10543"/>
    <cellStyle name="Normal 83 6 3 2" xfId="24174"/>
    <cellStyle name="Normal 83 6 4" xfId="13839"/>
    <cellStyle name="Normal 83 6 4 2" xfId="27467"/>
    <cellStyle name="Normal 83 6 5" xfId="17770"/>
    <cellStyle name="Normal 83 7" xfId="5570"/>
    <cellStyle name="Normal 83 7 2" xfId="8831"/>
    <cellStyle name="Normal 83 7 2 2" xfId="22474"/>
    <cellStyle name="Normal 83 7 3" xfId="11891"/>
    <cellStyle name="Normal 83 7 3 2" xfId="25522"/>
    <cellStyle name="Normal 83 7 4" xfId="15187"/>
    <cellStyle name="Normal 83 7 4 2" xfId="28815"/>
    <cellStyle name="Normal 83 7 5" xfId="19220"/>
    <cellStyle name="Normal 83 8" xfId="5812"/>
    <cellStyle name="Normal 83 8 2" xfId="19462"/>
    <cellStyle name="Normal 83 9" xfId="9034"/>
    <cellStyle name="Normal 83 9 2" xfId="22677"/>
    <cellStyle name="Normal 84" xfId="1246"/>
    <cellStyle name="Normal 84 10" xfId="12012"/>
    <cellStyle name="Normal 84 10 2" xfId="25643"/>
    <cellStyle name="Normal 84 11" xfId="12175"/>
    <cellStyle name="Normal 84 11 2" xfId="25803"/>
    <cellStyle name="Normal 84 12" xfId="12413"/>
    <cellStyle name="Normal 84 12 2" xfId="26041"/>
    <cellStyle name="Normal 84 13" xfId="15351"/>
    <cellStyle name="Normal 84 13 2" xfId="28941"/>
    <cellStyle name="Normal 84 14" xfId="15563"/>
    <cellStyle name="Normal 84 14 2" xfId="29060"/>
    <cellStyle name="Normal 84 15" xfId="16174"/>
    <cellStyle name="Normal 84 16" xfId="29696"/>
    <cellStyle name="Normal 84 2" xfId="2203"/>
    <cellStyle name="Normal 84 2 2" xfId="3316"/>
    <cellStyle name="Normal 84 2 2 2" xfId="5062"/>
    <cellStyle name="Normal 84 2 2 2 2" xfId="8326"/>
    <cellStyle name="Normal 84 2 2 2 2 2" xfId="21974"/>
    <cellStyle name="Normal 84 2 2 2 3" xfId="11393"/>
    <cellStyle name="Normal 84 2 2 2 3 2" xfId="25024"/>
    <cellStyle name="Normal 84 2 2 2 4" xfId="14689"/>
    <cellStyle name="Normal 84 2 2 2 4 2" xfId="28317"/>
    <cellStyle name="Normal 84 2 2 2 5" xfId="18720"/>
    <cellStyle name="Normal 84 2 2 3" xfId="6750"/>
    <cellStyle name="Normal 84 2 2 3 2" xfId="20400"/>
    <cellStyle name="Normal 84 2 2 4" xfId="9970"/>
    <cellStyle name="Normal 84 2 2 4 2" xfId="23601"/>
    <cellStyle name="Normal 84 2 2 5" xfId="13265"/>
    <cellStyle name="Normal 84 2 2 5 2" xfId="26893"/>
    <cellStyle name="Normal 84 2 2 6" xfId="17195"/>
    <cellStyle name="Normal 84 2 3" xfId="4116"/>
    <cellStyle name="Normal 84 2 3 2" xfId="7546"/>
    <cellStyle name="Normal 84 2 3 2 2" xfId="21194"/>
    <cellStyle name="Normal 84 2 3 3" xfId="10684"/>
    <cellStyle name="Normal 84 2 3 3 2" xfId="24315"/>
    <cellStyle name="Normal 84 2 3 4" xfId="13980"/>
    <cellStyle name="Normal 84 2 3 4 2" xfId="27608"/>
    <cellStyle name="Normal 84 2 3 5" xfId="17911"/>
    <cellStyle name="Normal 84 2 4" xfId="5952"/>
    <cellStyle name="Normal 84 2 4 2" xfId="19602"/>
    <cellStyle name="Normal 84 2 5" xfId="9238"/>
    <cellStyle name="Normal 84 2 5 2" xfId="22880"/>
    <cellStyle name="Normal 84 2 6" xfId="12552"/>
    <cellStyle name="Normal 84 2 6 2" xfId="26180"/>
    <cellStyle name="Normal 84 2 7" xfId="16397"/>
    <cellStyle name="Normal 84 3" xfId="2539"/>
    <cellStyle name="Normal 84 3 2" xfId="3582"/>
    <cellStyle name="Normal 84 3 2 2" xfId="5249"/>
    <cellStyle name="Normal 84 3 2 2 2" xfId="8512"/>
    <cellStyle name="Normal 84 3 2 2 2 2" xfId="22160"/>
    <cellStyle name="Normal 84 3 2 2 3" xfId="11579"/>
    <cellStyle name="Normal 84 3 2 2 3 2" xfId="25210"/>
    <cellStyle name="Normal 84 3 2 2 4" xfId="14875"/>
    <cellStyle name="Normal 84 3 2 2 4 2" xfId="28503"/>
    <cellStyle name="Normal 84 3 2 2 5" xfId="18907"/>
    <cellStyle name="Normal 84 3 2 3" xfId="7016"/>
    <cellStyle name="Normal 84 3 2 3 2" xfId="20666"/>
    <cellStyle name="Normal 84 3 2 4" xfId="10157"/>
    <cellStyle name="Normal 84 3 2 4 2" xfId="23788"/>
    <cellStyle name="Normal 84 3 2 5" xfId="13452"/>
    <cellStyle name="Normal 84 3 2 5 2" xfId="27080"/>
    <cellStyle name="Normal 84 3 2 6" xfId="17383"/>
    <cellStyle name="Normal 84 3 3" xfId="4302"/>
    <cellStyle name="Normal 84 3 3 2" xfId="7732"/>
    <cellStyle name="Normal 84 3 3 2 2" xfId="21380"/>
    <cellStyle name="Normal 84 3 3 3" xfId="10870"/>
    <cellStyle name="Normal 84 3 3 3 2" xfId="24501"/>
    <cellStyle name="Normal 84 3 3 4" xfId="14166"/>
    <cellStyle name="Normal 84 3 3 4 2" xfId="27794"/>
    <cellStyle name="Normal 84 3 3 5" xfId="18097"/>
    <cellStyle name="Normal 84 3 4" xfId="6202"/>
    <cellStyle name="Normal 84 3 4 2" xfId="19852"/>
    <cellStyle name="Normal 84 3 5" xfId="9424"/>
    <cellStyle name="Normal 84 3 5 2" xfId="23066"/>
    <cellStyle name="Normal 84 3 6" xfId="12738"/>
    <cellStyle name="Normal 84 3 6 2" xfId="26366"/>
    <cellStyle name="Normal 84 3 7" xfId="16586"/>
    <cellStyle name="Normal 84 4" xfId="2784"/>
    <cellStyle name="Normal 84 4 2" xfId="3738"/>
    <cellStyle name="Normal 84 4 2 2" xfId="5405"/>
    <cellStyle name="Normal 84 4 2 2 2" xfId="8668"/>
    <cellStyle name="Normal 84 4 2 2 2 2" xfId="22316"/>
    <cellStyle name="Normal 84 4 2 2 3" xfId="11735"/>
    <cellStyle name="Normal 84 4 2 2 3 2" xfId="25366"/>
    <cellStyle name="Normal 84 4 2 2 4" xfId="15031"/>
    <cellStyle name="Normal 84 4 2 2 4 2" xfId="28659"/>
    <cellStyle name="Normal 84 4 2 2 5" xfId="19063"/>
    <cellStyle name="Normal 84 4 2 3" xfId="7172"/>
    <cellStyle name="Normal 84 4 2 3 2" xfId="20822"/>
    <cellStyle name="Normal 84 4 2 4" xfId="10313"/>
    <cellStyle name="Normal 84 4 2 4 2" xfId="23944"/>
    <cellStyle name="Normal 84 4 2 5" xfId="13608"/>
    <cellStyle name="Normal 84 4 2 5 2" xfId="27236"/>
    <cellStyle name="Normal 84 4 2 6" xfId="17539"/>
    <cellStyle name="Normal 84 4 3" xfId="4527"/>
    <cellStyle name="Normal 84 4 3 2" xfId="7957"/>
    <cellStyle name="Normal 84 4 3 2 2" xfId="21605"/>
    <cellStyle name="Normal 84 4 3 3" xfId="11026"/>
    <cellStyle name="Normal 84 4 3 3 2" xfId="24657"/>
    <cellStyle name="Normal 84 4 3 4" xfId="14322"/>
    <cellStyle name="Normal 84 4 3 4 2" xfId="27950"/>
    <cellStyle name="Normal 84 4 3 5" xfId="18322"/>
    <cellStyle name="Normal 84 4 4" xfId="6378"/>
    <cellStyle name="Normal 84 4 4 2" xfId="20028"/>
    <cellStyle name="Normal 84 4 5" xfId="9580"/>
    <cellStyle name="Normal 84 4 5 2" xfId="23222"/>
    <cellStyle name="Normal 84 4 6" xfId="12894"/>
    <cellStyle name="Normal 84 4 6 2" xfId="26522"/>
    <cellStyle name="Normal 84 4 7" xfId="16811"/>
    <cellStyle name="Normal 84 5" xfId="2992"/>
    <cellStyle name="Normal 84 5 2" xfId="4832"/>
    <cellStyle name="Normal 84 5 2 2" xfId="8099"/>
    <cellStyle name="Normal 84 5 2 2 2" xfId="21747"/>
    <cellStyle name="Normal 84 5 2 3" xfId="11168"/>
    <cellStyle name="Normal 84 5 2 3 2" xfId="24799"/>
    <cellStyle name="Normal 84 5 2 4" xfId="14464"/>
    <cellStyle name="Normal 84 5 2 4 2" xfId="28092"/>
    <cellStyle name="Normal 84 5 2 5" xfId="18491"/>
    <cellStyle name="Normal 84 5 3" xfId="6522"/>
    <cellStyle name="Normal 84 5 3 2" xfId="20172"/>
    <cellStyle name="Normal 84 5 4" xfId="9743"/>
    <cellStyle name="Normal 84 5 4 2" xfId="23374"/>
    <cellStyle name="Normal 84 5 5" xfId="13038"/>
    <cellStyle name="Normal 84 5 5 2" xfId="26666"/>
    <cellStyle name="Normal 84 5 6" xfId="16956"/>
    <cellStyle name="Normal 84 6" xfId="3976"/>
    <cellStyle name="Normal 84 6 2" xfId="7406"/>
    <cellStyle name="Normal 84 6 2 2" xfId="21054"/>
    <cellStyle name="Normal 84 6 3" xfId="10544"/>
    <cellStyle name="Normal 84 6 3 2" xfId="24175"/>
    <cellStyle name="Normal 84 6 4" xfId="13840"/>
    <cellStyle name="Normal 84 6 4 2" xfId="27468"/>
    <cellStyle name="Normal 84 6 5" xfId="17771"/>
    <cellStyle name="Normal 84 7" xfId="5571"/>
    <cellStyle name="Normal 84 7 2" xfId="8832"/>
    <cellStyle name="Normal 84 7 2 2" xfId="22475"/>
    <cellStyle name="Normal 84 7 3" xfId="11892"/>
    <cellStyle name="Normal 84 7 3 2" xfId="25523"/>
    <cellStyle name="Normal 84 7 4" xfId="15188"/>
    <cellStyle name="Normal 84 7 4 2" xfId="28816"/>
    <cellStyle name="Normal 84 7 5" xfId="19221"/>
    <cellStyle name="Normal 84 8" xfId="5813"/>
    <cellStyle name="Normal 84 8 2" xfId="19463"/>
    <cellStyle name="Normal 84 9" xfId="9035"/>
    <cellStyle name="Normal 84 9 2" xfId="22678"/>
    <cellStyle name="Normal 85" xfId="1247"/>
    <cellStyle name="Normal 85 10" xfId="12013"/>
    <cellStyle name="Normal 85 10 2" xfId="25644"/>
    <cellStyle name="Normal 85 11" xfId="12176"/>
    <cellStyle name="Normal 85 11 2" xfId="25804"/>
    <cellStyle name="Normal 85 12" xfId="12414"/>
    <cellStyle name="Normal 85 12 2" xfId="26042"/>
    <cellStyle name="Normal 85 13" xfId="15352"/>
    <cellStyle name="Normal 85 13 2" xfId="28942"/>
    <cellStyle name="Normal 85 14" xfId="15564"/>
    <cellStyle name="Normal 85 14 2" xfId="29061"/>
    <cellStyle name="Normal 85 15" xfId="16175"/>
    <cellStyle name="Normal 85 16" xfId="29697"/>
    <cellStyle name="Normal 85 2" xfId="2204"/>
    <cellStyle name="Normal 85 2 2" xfId="3317"/>
    <cellStyle name="Normal 85 2 2 2" xfId="5063"/>
    <cellStyle name="Normal 85 2 2 2 2" xfId="8327"/>
    <cellStyle name="Normal 85 2 2 2 2 2" xfId="21975"/>
    <cellStyle name="Normal 85 2 2 2 3" xfId="11394"/>
    <cellStyle name="Normal 85 2 2 2 3 2" xfId="25025"/>
    <cellStyle name="Normal 85 2 2 2 4" xfId="14690"/>
    <cellStyle name="Normal 85 2 2 2 4 2" xfId="28318"/>
    <cellStyle name="Normal 85 2 2 2 5" xfId="18721"/>
    <cellStyle name="Normal 85 2 2 3" xfId="6751"/>
    <cellStyle name="Normal 85 2 2 3 2" xfId="20401"/>
    <cellStyle name="Normal 85 2 2 4" xfId="9971"/>
    <cellStyle name="Normal 85 2 2 4 2" xfId="23602"/>
    <cellStyle name="Normal 85 2 2 5" xfId="13266"/>
    <cellStyle name="Normal 85 2 2 5 2" xfId="26894"/>
    <cellStyle name="Normal 85 2 2 6" xfId="17196"/>
    <cellStyle name="Normal 85 2 3" xfId="4117"/>
    <cellStyle name="Normal 85 2 3 2" xfId="7547"/>
    <cellStyle name="Normal 85 2 3 2 2" xfId="21195"/>
    <cellStyle name="Normal 85 2 3 3" xfId="10685"/>
    <cellStyle name="Normal 85 2 3 3 2" xfId="24316"/>
    <cellStyle name="Normal 85 2 3 4" xfId="13981"/>
    <cellStyle name="Normal 85 2 3 4 2" xfId="27609"/>
    <cellStyle name="Normal 85 2 3 5" xfId="17912"/>
    <cellStyle name="Normal 85 2 4" xfId="5953"/>
    <cellStyle name="Normal 85 2 4 2" xfId="19603"/>
    <cellStyle name="Normal 85 2 5" xfId="9239"/>
    <cellStyle name="Normal 85 2 5 2" xfId="22881"/>
    <cellStyle name="Normal 85 2 6" xfId="12553"/>
    <cellStyle name="Normal 85 2 6 2" xfId="26181"/>
    <cellStyle name="Normal 85 2 7" xfId="16398"/>
    <cellStyle name="Normal 85 3" xfId="2540"/>
    <cellStyle name="Normal 85 3 2" xfId="3583"/>
    <cellStyle name="Normal 85 3 2 2" xfId="5250"/>
    <cellStyle name="Normal 85 3 2 2 2" xfId="8513"/>
    <cellStyle name="Normal 85 3 2 2 2 2" xfId="22161"/>
    <cellStyle name="Normal 85 3 2 2 3" xfId="11580"/>
    <cellStyle name="Normal 85 3 2 2 3 2" xfId="25211"/>
    <cellStyle name="Normal 85 3 2 2 4" xfId="14876"/>
    <cellStyle name="Normal 85 3 2 2 4 2" xfId="28504"/>
    <cellStyle name="Normal 85 3 2 2 5" xfId="18908"/>
    <cellStyle name="Normal 85 3 2 3" xfId="7017"/>
    <cellStyle name="Normal 85 3 2 3 2" xfId="20667"/>
    <cellStyle name="Normal 85 3 2 4" xfId="10158"/>
    <cellStyle name="Normal 85 3 2 4 2" xfId="23789"/>
    <cellStyle name="Normal 85 3 2 5" xfId="13453"/>
    <cellStyle name="Normal 85 3 2 5 2" xfId="27081"/>
    <cellStyle name="Normal 85 3 2 6" xfId="17384"/>
    <cellStyle name="Normal 85 3 3" xfId="4303"/>
    <cellStyle name="Normal 85 3 3 2" xfId="7733"/>
    <cellStyle name="Normal 85 3 3 2 2" xfId="21381"/>
    <cellStyle name="Normal 85 3 3 3" xfId="10871"/>
    <cellStyle name="Normal 85 3 3 3 2" xfId="24502"/>
    <cellStyle name="Normal 85 3 3 4" xfId="14167"/>
    <cellStyle name="Normal 85 3 3 4 2" xfId="27795"/>
    <cellStyle name="Normal 85 3 3 5" xfId="18098"/>
    <cellStyle name="Normal 85 3 4" xfId="6203"/>
    <cellStyle name="Normal 85 3 4 2" xfId="19853"/>
    <cellStyle name="Normal 85 3 5" xfId="9425"/>
    <cellStyle name="Normal 85 3 5 2" xfId="23067"/>
    <cellStyle name="Normal 85 3 6" xfId="12739"/>
    <cellStyle name="Normal 85 3 6 2" xfId="26367"/>
    <cellStyle name="Normal 85 3 7" xfId="16587"/>
    <cellStyle name="Normal 85 4" xfId="2785"/>
    <cellStyle name="Normal 85 4 2" xfId="3739"/>
    <cellStyle name="Normal 85 4 2 2" xfId="5406"/>
    <cellStyle name="Normal 85 4 2 2 2" xfId="8669"/>
    <cellStyle name="Normal 85 4 2 2 2 2" xfId="22317"/>
    <cellStyle name="Normal 85 4 2 2 3" xfId="11736"/>
    <cellStyle name="Normal 85 4 2 2 3 2" xfId="25367"/>
    <cellStyle name="Normal 85 4 2 2 4" xfId="15032"/>
    <cellStyle name="Normal 85 4 2 2 4 2" xfId="28660"/>
    <cellStyle name="Normal 85 4 2 2 5" xfId="19064"/>
    <cellStyle name="Normal 85 4 2 3" xfId="7173"/>
    <cellStyle name="Normal 85 4 2 3 2" xfId="20823"/>
    <cellStyle name="Normal 85 4 2 4" xfId="10314"/>
    <cellStyle name="Normal 85 4 2 4 2" xfId="23945"/>
    <cellStyle name="Normal 85 4 2 5" xfId="13609"/>
    <cellStyle name="Normal 85 4 2 5 2" xfId="27237"/>
    <cellStyle name="Normal 85 4 2 6" xfId="17540"/>
    <cellStyle name="Normal 85 4 3" xfId="4528"/>
    <cellStyle name="Normal 85 4 3 2" xfId="7958"/>
    <cellStyle name="Normal 85 4 3 2 2" xfId="21606"/>
    <cellStyle name="Normal 85 4 3 3" xfId="11027"/>
    <cellStyle name="Normal 85 4 3 3 2" xfId="24658"/>
    <cellStyle name="Normal 85 4 3 4" xfId="14323"/>
    <cellStyle name="Normal 85 4 3 4 2" xfId="27951"/>
    <cellStyle name="Normal 85 4 3 5" xfId="18323"/>
    <cellStyle name="Normal 85 4 4" xfId="6379"/>
    <cellStyle name="Normal 85 4 4 2" xfId="20029"/>
    <cellStyle name="Normal 85 4 5" xfId="9581"/>
    <cellStyle name="Normal 85 4 5 2" xfId="23223"/>
    <cellStyle name="Normal 85 4 6" xfId="12895"/>
    <cellStyle name="Normal 85 4 6 2" xfId="26523"/>
    <cellStyle name="Normal 85 4 7" xfId="16812"/>
    <cellStyle name="Normal 85 5" xfId="2993"/>
    <cellStyle name="Normal 85 5 2" xfId="4833"/>
    <cellStyle name="Normal 85 5 2 2" xfId="8100"/>
    <cellStyle name="Normal 85 5 2 2 2" xfId="21748"/>
    <cellStyle name="Normal 85 5 2 3" xfId="11169"/>
    <cellStyle name="Normal 85 5 2 3 2" xfId="24800"/>
    <cellStyle name="Normal 85 5 2 4" xfId="14465"/>
    <cellStyle name="Normal 85 5 2 4 2" xfId="28093"/>
    <cellStyle name="Normal 85 5 2 5" xfId="18492"/>
    <cellStyle name="Normal 85 5 3" xfId="6523"/>
    <cellStyle name="Normal 85 5 3 2" xfId="20173"/>
    <cellStyle name="Normal 85 5 4" xfId="9744"/>
    <cellStyle name="Normal 85 5 4 2" xfId="23375"/>
    <cellStyle name="Normal 85 5 5" xfId="13039"/>
    <cellStyle name="Normal 85 5 5 2" xfId="26667"/>
    <cellStyle name="Normal 85 5 6" xfId="16957"/>
    <cellStyle name="Normal 85 6" xfId="3977"/>
    <cellStyle name="Normal 85 6 2" xfId="7407"/>
    <cellStyle name="Normal 85 6 2 2" xfId="21055"/>
    <cellStyle name="Normal 85 6 3" xfId="10545"/>
    <cellStyle name="Normal 85 6 3 2" xfId="24176"/>
    <cellStyle name="Normal 85 6 4" xfId="13841"/>
    <cellStyle name="Normal 85 6 4 2" xfId="27469"/>
    <cellStyle name="Normal 85 6 5" xfId="17772"/>
    <cellStyle name="Normal 85 7" xfId="5572"/>
    <cellStyle name="Normal 85 7 2" xfId="8833"/>
    <cellStyle name="Normal 85 7 2 2" xfId="22476"/>
    <cellStyle name="Normal 85 7 3" xfId="11893"/>
    <cellStyle name="Normal 85 7 3 2" xfId="25524"/>
    <cellStyle name="Normal 85 7 4" xfId="15189"/>
    <cellStyle name="Normal 85 7 4 2" xfId="28817"/>
    <cellStyle name="Normal 85 7 5" xfId="19222"/>
    <cellStyle name="Normal 85 8" xfId="5814"/>
    <cellStyle name="Normal 85 8 2" xfId="19464"/>
    <cellStyle name="Normal 85 9" xfId="9036"/>
    <cellStyle name="Normal 85 9 2" xfId="22679"/>
    <cellStyle name="Normal 86" xfId="1248"/>
    <cellStyle name="Normal 86 10" xfId="12014"/>
    <cellStyle name="Normal 86 10 2" xfId="25645"/>
    <cellStyle name="Normal 86 11" xfId="12177"/>
    <cellStyle name="Normal 86 11 2" xfId="25805"/>
    <cellStyle name="Normal 86 12" xfId="12415"/>
    <cellStyle name="Normal 86 12 2" xfId="26043"/>
    <cellStyle name="Normal 86 13" xfId="15353"/>
    <cellStyle name="Normal 86 13 2" xfId="28943"/>
    <cellStyle name="Normal 86 14" xfId="15565"/>
    <cellStyle name="Normal 86 14 2" xfId="29062"/>
    <cellStyle name="Normal 86 15" xfId="16176"/>
    <cellStyle name="Normal 86 16" xfId="29698"/>
    <cellStyle name="Normal 86 2" xfId="2205"/>
    <cellStyle name="Normal 86 2 2" xfId="3318"/>
    <cellStyle name="Normal 86 2 2 2" xfId="5064"/>
    <cellStyle name="Normal 86 2 2 2 2" xfId="8328"/>
    <cellStyle name="Normal 86 2 2 2 2 2" xfId="21976"/>
    <cellStyle name="Normal 86 2 2 2 3" xfId="11395"/>
    <cellStyle name="Normal 86 2 2 2 3 2" xfId="25026"/>
    <cellStyle name="Normal 86 2 2 2 4" xfId="14691"/>
    <cellStyle name="Normal 86 2 2 2 4 2" xfId="28319"/>
    <cellStyle name="Normal 86 2 2 2 5" xfId="18722"/>
    <cellStyle name="Normal 86 2 2 3" xfId="6752"/>
    <cellStyle name="Normal 86 2 2 3 2" xfId="20402"/>
    <cellStyle name="Normal 86 2 2 4" xfId="9972"/>
    <cellStyle name="Normal 86 2 2 4 2" xfId="23603"/>
    <cellStyle name="Normal 86 2 2 5" xfId="13267"/>
    <cellStyle name="Normal 86 2 2 5 2" xfId="26895"/>
    <cellStyle name="Normal 86 2 2 6" xfId="17197"/>
    <cellStyle name="Normal 86 2 3" xfId="4118"/>
    <cellStyle name="Normal 86 2 3 2" xfId="7548"/>
    <cellStyle name="Normal 86 2 3 2 2" xfId="21196"/>
    <cellStyle name="Normal 86 2 3 3" xfId="10686"/>
    <cellStyle name="Normal 86 2 3 3 2" xfId="24317"/>
    <cellStyle name="Normal 86 2 3 4" xfId="13982"/>
    <cellStyle name="Normal 86 2 3 4 2" xfId="27610"/>
    <cellStyle name="Normal 86 2 3 5" xfId="17913"/>
    <cellStyle name="Normal 86 2 4" xfId="5954"/>
    <cellStyle name="Normal 86 2 4 2" xfId="19604"/>
    <cellStyle name="Normal 86 2 5" xfId="9240"/>
    <cellStyle name="Normal 86 2 5 2" xfId="22882"/>
    <cellStyle name="Normal 86 2 6" xfId="12554"/>
    <cellStyle name="Normal 86 2 6 2" xfId="26182"/>
    <cellStyle name="Normal 86 2 7" xfId="16399"/>
    <cellStyle name="Normal 86 3" xfId="2541"/>
    <cellStyle name="Normal 86 3 2" xfId="3584"/>
    <cellStyle name="Normal 86 3 2 2" xfId="5251"/>
    <cellStyle name="Normal 86 3 2 2 2" xfId="8514"/>
    <cellStyle name="Normal 86 3 2 2 2 2" xfId="22162"/>
    <cellStyle name="Normal 86 3 2 2 3" xfId="11581"/>
    <cellStyle name="Normal 86 3 2 2 3 2" xfId="25212"/>
    <cellStyle name="Normal 86 3 2 2 4" xfId="14877"/>
    <cellStyle name="Normal 86 3 2 2 4 2" xfId="28505"/>
    <cellStyle name="Normal 86 3 2 2 5" xfId="18909"/>
    <cellStyle name="Normal 86 3 2 3" xfId="7018"/>
    <cellStyle name="Normal 86 3 2 3 2" xfId="20668"/>
    <cellStyle name="Normal 86 3 2 4" xfId="10159"/>
    <cellStyle name="Normal 86 3 2 4 2" xfId="23790"/>
    <cellStyle name="Normal 86 3 2 5" xfId="13454"/>
    <cellStyle name="Normal 86 3 2 5 2" xfId="27082"/>
    <cellStyle name="Normal 86 3 2 6" xfId="17385"/>
    <cellStyle name="Normal 86 3 3" xfId="4304"/>
    <cellStyle name="Normal 86 3 3 2" xfId="7734"/>
    <cellStyle name="Normal 86 3 3 2 2" xfId="21382"/>
    <cellStyle name="Normal 86 3 3 3" xfId="10872"/>
    <cellStyle name="Normal 86 3 3 3 2" xfId="24503"/>
    <cellStyle name="Normal 86 3 3 4" xfId="14168"/>
    <cellStyle name="Normal 86 3 3 4 2" xfId="27796"/>
    <cellStyle name="Normal 86 3 3 5" xfId="18099"/>
    <cellStyle name="Normal 86 3 4" xfId="6204"/>
    <cellStyle name="Normal 86 3 4 2" xfId="19854"/>
    <cellStyle name="Normal 86 3 5" xfId="9426"/>
    <cellStyle name="Normal 86 3 5 2" xfId="23068"/>
    <cellStyle name="Normal 86 3 6" xfId="12740"/>
    <cellStyle name="Normal 86 3 6 2" xfId="26368"/>
    <cellStyle name="Normal 86 3 7" xfId="16588"/>
    <cellStyle name="Normal 86 4" xfId="2786"/>
    <cellStyle name="Normal 86 4 2" xfId="3740"/>
    <cellStyle name="Normal 86 4 2 2" xfId="5407"/>
    <cellStyle name="Normal 86 4 2 2 2" xfId="8670"/>
    <cellStyle name="Normal 86 4 2 2 2 2" xfId="22318"/>
    <cellStyle name="Normal 86 4 2 2 3" xfId="11737"/>
    <cellStyle name="Normal 86 4 2 2 3 2" xfId="25368"/>
    <cellStyle name="Normal 86 4 2 2 4" xfId="15033"/>
    <cellStyle name="Normal 86 4 2 2 4 2" xfId="28661"/>
    <cellStyle name="Normal 86 4 2 2 5" xfId="19065"/>
    <cellStyle name="Normal 86 4 2 3" xfId="7174"/>
    <cellStyle name="Normal 86 4 2 3 2" xfId="20824"/>
    <cellStyle name="Normal 86 4 2 4" xfId="10315"/>
    <cellStyle name="Normal 86 4 2 4 2" xfId="23946"/>
    <cellStyle name="Normal 86 4 2 5" xfId="13610"/>
    <cellStyle name="Normal 86 4 2 5 2" xfId="27238"/>
    <cellStyle name="Normal 86 4 2 6" xfId="17541"/>
    <cellStyle name="Normal 86 4 3" xfId="4529"/>
    <cellStyle name="Normal 86 4 3 2" xfId="7959"/>
    <cellStyle name="Normal 86 4 3 2 2" xfId="21607"/>
    <cellStyle name="Normal 86 4 3 3" xfId="11028"/>
    <cellStyle name="Normal 86 4 3 3 2" xfId="24659"/>
    <cellStyle name="Normal 86 4 3 4" xfId="14324"/>
    <cellStyle name="Normal 86 4 3 4 2" xfId="27952"/>
    <cellStyle name="Normal 86 4 3 5" xfId="18324"/>
    <cellStyle name="Normal 86 4 4" xfId="6380"/>
    <cellStyle name="Normal 86 4 4 2" xfId="20030"/>
    <cellStyle name="Normal 86 4 5" xfId="9582"/>
    <cellStyle name="Normal 86 4 5 2" xfId="23224"/>
    <cellStyle name="Normal 86 4 6" xfId="12896"/>
    <cellStyle name="Normal 86 4 6 2" xfId="26524"/>
    <cellStyle name="Normal 86 4 7" xfId="16813"/>
    <cellStyle name="Normal 86 5" xfId="2994"/>
    <cellStyle name="Normal 86 5 2" xfId="4834"/>
    <cellStyle name="Normal 86 5 2 2" xfId="8101"/>
    <cellStyle name="Normal 86 5 2 2 2" xfId="21749"/>
    <cellStyle name="Normal 86 5 2 3" xfId="11170"/>
    <cellStyle name="Normal 86 5 2 3 2" xfId="24801"/>
    <cellStyle name="Normal 86 5 2 4" xfId="14466"/>
    <cellStyle name="Normal 86 5 2 4 2" xfId="28094"/>
    <cellStyle name="Normal 86 5 2 5" xfId="18493"/>
    <cellStyle name="Normal 86 5 3" xfId="6524"/>
    <cellStyle name="Normal 86 5 3 2" xfId="20174"/>
    <cellStyle name="Normal 86 5 4" xfId="9745"/>
    <cellStyle name="Normal 86 5 4 2" xfId="23376"/>
    <cellStyle name="Normal 86 5 5" xfId="13040"/>
    <cellStyle name="Normal 86 5 5 2" xfId="26668"/>
    <cellStyle name="Normal 86 5 6" xfId="16958"/>
    <cellStyle name="Normal 86 6" xfId="3978"/>
    <cellStyle name="Normal 86 6 2" xfId="7408"/>
    <cellStyle name="Normal 86 6 2 2" xfId="21056"/>
    <cellStyle name="Normal 86 6 3" xfId="10546"/>
    <cellStyle name="Normal 86 6 3 2" xfId="24177"/>
    <cellStyle name="Normal 86 6 4" xfId="13842"/>
    <cellStyle name="Normal 86 6 4 2" xfId="27470"/>
    <cellStyle name="Normal 86 6 5" xfId="17773"/>
    <cellStyle name="Normal 86 7" xfId="5573"/>
    <cellStyle name="Normal 86 7 2" xfId="8834"/>
    <cellStyle name="Normal 86 7 2 2" xfId="22477"/>
    <cellStyle name="Normal 86 7 3" xfId="11894"/>
    <cellStyle name="Normal 86 7 3 2" xfId="25525"/>
    <cellStyle name="Normal 86 7 4" xfId="15190"/>
    <cellStyle name="Normal 86 7 4 2" xfId="28818"/>
    <cellStyle name="Normal 86 7 5" xfId="19223"/>
    <cellStyle name="Normal 86 8" xfId="5815"/>
    <cellStyle name="Normal 86 8 2" xfId="19465"/>
    <cellStyle name="Normal 86 9" xfId="9037"/>
    <cellStyle name="Normal 86 9 2" xfId="22680"/>
    <cellStyle name="Normal 87" xfId="1249"/>
    <cellStyle name="Normal 87 10" xfId="12015"/>
    <cellStyle name="Normal 87 10 2" xfId="25646"/>
    <cellStyle name="Normal 87 11" xfId="12178"/>
    <cellStyle name="Normal 87 11 2" xfId="25806"/>
    <cellStyle name="Normal 87 12" xfId="12416"/>
    <cellStyle name="Normal 87 12 2" xfId="26044"/>
    <cellStyle name="Normal 87 13" xfId="15354"/>
    <cellStyle name="Normal 87 13 2" xfId="28944"/>
    <cellStyle name="Normal 87 14" xfId="15566"/>
    <cellStyle name="Normal 87 14 2" xfId="29063"/>
    <cellStyle name="Normal 87 15" xfId="16177"/>
    <cellStyle name="Normal 87 16" xfId="29699"/>
    <cellStyle name="Normal 87 2" xfId="2206"/>
    <cellStyle name="Normal 87 2 2" xfId="3319"/>
    <cellStyle name="Normal 87 2 2 2" xfId="5065"/>
    <cellStyle name="Normal 87 2 2 2 2" xfId="8329"/>
    <cellStyle name="Normal 87 2 2 2 2 2" xfId="21977"/>
    <cellStyle name="Normal 87 2 2 2 3" xfId="11396"/>
    <cellStyle name="Normal 87 2 2 2 3 2" xfId="25027"/>
    <cellStyle name="Normal 87 2 2 2 4" xfId="14692"/>
    <cellStyle name="Normal 87 2 2 2 4 2" xfId="28320"/>
    <cellStyle name="Normal 87 2 2 2 5" xfId="18723"/>
    <cellStyle name="Normal 87 2 2 3" xfId="6753"/>
    <cellStyle name="Normal 87 2 2 3 2" xfId="20403"/>
    <cellStyle name="Normal 87 2 2 4" xfId="9973"/>
    <cellStyle name="Normal 87 2 2 4 2" xfId="23604"/>
    <cellStyle name="Normal 87 2 2 5" xfId="13268"/>
    <cellStyle name="Normal 87 2 2 5 2" xfId="26896"/>
    <cellStyle name="Normal 87 2 2 6" xfId="17198"/>
    <cellStyle name="Normal 87 2 3" xfId="4119"/>
    <cellStyle name="Normal 87 2 3 2" xfId="7549"/>
    <cellStyle name="Normal 87 2 3 2 2" xfId="21197"/>
    <cellStyle name="Normal 87 2 3 3" xfId="10687"/>
    <cellStyle name="Normal 87 2 3 3 2" xfId="24318"/>
    <cellStyle name="Normal 87 2 3 4" xfId="13983"/>
    <cellStyle name="Normal 87 2 3 4 2" xfId="27611"/>
    <cellStyle name="Normal 87 2 3 5" xfId="17914"/>
    <cellStyle name="Normal 87 2 4" xfId="5955"/>
    <cellStyle name="Normal 87 2 4 2" xfId="19605"/>
    <cellStyle name="Normal 87 2 5" xfId="9241"/>
    <cellStyle name="Normal 87 2 5 2" xfId="22883"/>
    <cellStyle name="Normal 87 2 6" xfId="12555"/>
    <cellStyle name="Normal 87 2 6 2" xfId="26183"/>
    <cellStyle name="Normal 87 2 7" xfId="16400"/>
    <cellStyle name="Normal 87 3" xfId="2542"/>
    <cellStyle name="Normal 87 3 2" xfId="3585"/>
    <cellStyle name="Normal 87 3 2 2" xfId="5252"/>
    <cellStyle name="Normal 87 3 2 2 2" xfId="8515"/>
    <cellStyle name="Normal 87 3 2 2 2 2" xfId="22163"/>
    <cellStyle name="Normal 87 3 2 2 3" xfId="11582"/>
    <cellStyle name="Normal 87 3 2 2 3 2" xfId="25213"/>
    <cellStyle name="Normal 87 3 2 2 4" xfId="14878"/>
    <cellStyle name="Normal 87 3 2 2 4 2" xfId="28506"/>
    <cellStyle name="Normal 87 3 2 2 5" xfId="18910"/>
    <cellStyle name="Normal 87 3 2 3" xfId="7019"/>
    <cellStyle name="Normal 87 3 2 3 2" xfId="20669"/>
    <cellStyle name="Normal 87 3 2 4" xfId="10160"/>
    <cellStyle name="Normal 87 3 2 4 2" xfId="23791"/>
    <cellStyle name="Normal 87 3 2 5" xfId="13455"/>
    <cellStyle name="Normal 87 3 2 5 2" xfId="27083"/>
    <cellStyle name="Normal 87 3 2 6" xfId="17386"/>
    <cellStyle name="Normal 87 3 3" xfId="4305"/>
    <cellStyle name="Normal 87 3 3 2" xfId="7735"/>
    <cellStyle name="Normal 87 3 3 2 2" xfId="21383"/>
    <cellStyle name="Normal 87 3 3 3" xfId="10873"/>
    <cellStyle name="Normal 87 3 3 3 2" xfId="24504"/>
    <cellStyle name="Normal 87 3 3 4" xfId="14169"/>
    <cellStyle name="Normal 87 3 3 4 2" xfId="27797"/>
    <cellStyle name="Normal 87 3 3 5" xfId="18100"/>
    <cellStyle name="Normal 87 3 4" xfId="6205"/>
    <cellStyle name="Normal 87 3 4 2" xfId="19855"/>
    <cellStyle name="Normal 87 3 5" xfId="9427"/>
    <cellStyle name="Normal 87 3 5 2" xfId="23069"/>
    <cellStyle name="Normal 87 3 6" xfId="12741"/>
    <cellStyle name="Normal 87 3 6 2" xfId="26369"/>
    <cellStyle name="Normal 87 3 7" xfId="16589"/>
    <cellStyle name="Normal 87 4" xfId="2787"/>
    <cellStyle name="Normal 87 4 2" xfId="3741"/>
    <cellStyle name="Normal 87 4 2 2" xfId="5408"/>
    <cellStyle name="Normal 87 4 2 2 2" xfId="8671"/>
    <cellStyle name="Normal 87 4 2 2 2 2" xfId="22319"/>
    <cellStyle name="Normal 87 4 2 2 3" xfId="11738"/>
    <cellStyle name="Normal 87 4 2 2 3 2" xfId="25369"/>
    <cellStyle name="Normal 87 4 2 2 4" xfId="15034"/>
    <cellStyle name="Normal 87 4 2 2 4 2" xfId="28662"/>
    <cellStyle name="Normal 87 4 2 2 5" xfId="19066"/>
    <cellStyle name="Normal 87 4 2 3" xfId="7175"/>
    <cellStyle name="Normal 87 4 2 3 2" xfId="20825"/>
    <cellStyle name="Normal 87 4 2 4" xfId="10316"/>
    <cellStyle name="Normal 87 4 2 4 2" xfId="23947"/>
    <cellStyle name="Normal 87 4 2 5" xfId="13611"/>
    <cellStyle name="Normal 87 4 2 5 2" xfId="27239"/>
    <cellStyle name="Normal 87 4 2 6" xfId="17542"/>
    <cellStyle name="Normal 87 4 3" xfId="4530"/>
    <cellStyle name="Normal 87 4 3 2" xfId="7960"/>
    <cellStyle name="Normal 87 4 3 2 2" xfId="21608"/>
    <cellStyle name="Normal 87 4 3 3" xfId="11029"/>
    <cellStyle name="Normal 87 4 3 3 2" xfId="24660"/>
    <cellStyle name="Normal 87 4 3 4" xfId="14325"/>
    <cellStyle name="Normal 87 4 3 4 2" xfId="27953"/>
    <cellStyle name="Normal 87 4 3 5" xfId="18325"/>
    <cellStyle name="Normal 87 4 4" xfId="6381"/>
    <cellStyle name="Normal 87 4 4 2" xfId="20031"/>
    <cellStyle name="Normal 87 4 5" xfId="9583"/>
    <cellStyle name="Normal 87 4 5 2" xfId="23225"/>
    <cellStyle name="Normal 87 4 6" xfId="12897"/>
    <cellStyle name="Normal 87 4 6 2" xfId="26525"/>
    <cellStyle name="Normal 87 4 7" xfId="16814"/>
    <cellStyle name="Normal 87 5" xfId="2995"/>
    <cellStyle name="Normal 87 5 2" xfId="4835"/>
    <cellStyle name="Normal 87 5 2 2" xfId="8102"/>
    <cellStyle name="Normal 87 5 2 2 2" xfId="21750"/>
    <cellStyle name="Normal 87 5 2 3" xfId="11171"/>
    <cellStyle name="Normal 87 5 2 3 2" xfId="24802"/>
    <cellStyle name="Normal 87 5 2 4" xfId="14467"/>
    <cellStyle name="Normal 87 5 2 4 2" xfId="28095"/>
    <cellStyle name="Normal 87 5 2 5" xfId="18494"/>
    <cellStyle name="Normal 87 5 3" xfId="6525"/>
    <cellStyle name="Normal 87 5 3 2" xfId="20175"/>
    <cellStyle name="Normal 87 5 4" xfId="9746"/>
    <cellStyle name="Normal 87 5 4 2" xfId="23377"/>
    <cellStyle name="Normal 87 5 5" xfId="13041"/>
    <cellStyle name="Normal 87 5 5 2" xfId="26669"/>
    <cellStyle name="Normal 87 5 6" xfId="16959"/>
    <cellStyle name="Normal 87 6" xfId="3979"/>
    <cellStyle name="Normal 87 6 2" xfId="7409"/>
    <cellStyle name="Normal 87 6 2 2" xfId="21057"/>
    <cellStyle name="Normal 87 6 3" xfId="10547"/>
    <cellStyle name="Normal 87 6 3 2" xfId="24178"/>
    <cellStyle name="Normal 87 6 4" xfId="13843"/>
    <cellStyle name="Normal 87 6 4 2" xfId="27471"/>
    <cellStyle name="Normal 87 6 5" xfId="17774"/>
    <cellStyle name="Normal 87 7" xfId="5574"/>
    <cellStyle name="Normal 87 7 2" xfId="8835"/>
    <cellStyle name="Normal 87 7 2 2" xfId="22478"/>
    <cellStyle name="Normal 87 7 3" xfId="11895"/>
    <cellStyle name="Normal 87 7 3 2" xfId="25526"/>
    <cellStyle name="Normal 87 7 4" xfId="15191"/>
    <cellStyle name="Normal 87 7 4 2" xfId="28819"/>
    <cellStyle name="Normal 87 7 5" xfId="19224"/>
    <cellStyle name="Normal 87 8" xfId="5816"/>
    <cellStyle name="Normal 87 8 2" xfId="19466"/>
    <cellStyle name="Normal 87 9" xfId="9038"/>
    <cellStyle name="Normal 87 9 2" xfId="22681"/>
    <cellStyle name="Normal 88" xfId="1250"/>
    <cellStyle name="Normal 88 10" xfId="12016"/>
    <cellStyle name="Normal 88 10 2" xfId="25647"/>
    <cellStyle name="Normal 88 11" xfId="12179"/>
    <cellStyle name="Normal 88 11 2" xfId="25807"/>
    <cellStyle name="Normal 88 12" xfId="12417"/>
    <cellStyle name="Normal 88 12 2" xfId="26045"/>
    <cellStyle name="Normal 88 13" xfId="15355"/>
    <cellStyle name="Normal 88 13 2" xfId="28945"/>
    <cellStyle name="Normal 88 14" xfId="15567"/>
    <cellStyle name="Normal 88 14 2" xfId="29064"/>
    <cellStyle name="Normal 88 15" xfId="16178"/>
    <cellStyle name="Normal 88 16" xfId="29700"/>
    <cellStyle name="Normal 88 2" xfId="2207"/>
    <cellStyle name="Normal 88 2 2" xfId="3320"/>
    <cellStyle name="Normal 88 2 2 2" xfId="5066"/>
    <cellStyle name="Normal 88 2 2 2 2" xfId="8330"/>
    <cellStyle name="Normal 88 2 2 2 2 2" xfId="21978"/>
    <cellStyle name="Normal 88 2 2 2 3" xfId="11397"/>
    <cellStyle name="Normal 88 2 2 2 3 2" xfId="25028"/>
    <cellStyle name="Normal 88 2 2 2 4" xfId="14693"/>
    <cellStyle name="Normal 88 2 2 2 4 2" xfId="28321"/>
    <cellStyle name="Normal 88 2 2 2 5" xfId="18724"/>
    <cellStyle name="Normal 88 2 2 3" xfId="6754"/>
    <cellStyle name="Normal 88 2 2 3 2" xfId="20404"/>
    <cellStyle name="Normal 88 2 2 4" xfId="9974"/>
    <cellStyle name="Normal 88 2 2 4 2" xfId="23605"/>
    <cellStyle name="Normal 88 2 2 5" xfId="13269"/>
    <cellStyle name="Normal 88 2 2 5 2" xfId="26897"/>
    <cellStyle name="Normal 88 2 2 6" xfId="17199"/>
    <cellStyle name="Normal 88 2 3" xfId="4120"/>
    <cellStyle name="Normal 88 2 3 2" xfId="7550"/>
    <cellStyle name="Normal 88 2 3 2 2" xfId="21198"/>
    <cellStyle name="Normal 88 2 3 3" xfId="10688"/>
    <cellStyle name="Normal 88 2 3 3 2" xfId="24319"/>
    <cellStyle name="Normal 88 2 3 4" xfId="13984"/>
    <cellStyle name="Normal 88 2 3 4 2" xfId="27612"/>
    <cellStyle name="Normal 88 2 3 5" xfId="17915"/>
    <cellStyle name="Normal 88 2 4" xfId="5956"/>
    <cellStyle name="Normal 88 2 4 2" xfId="19606"/>
    <cellStyle name="Normal 88 2 5" xfId="9242"/>
    <cellStyle name="Normal 88 2 5 2" xfId="22884"/>
    <cellStyle name="Normal 88 2 6" xfId="12556"/>
    <cellStyle name="Normal 88 2 6 2" xfId="26184"/>
    <cellStyle name="Normal 88 2 7" xfId="16401"/>
    <cellStyle name="Normal 88 3" xfId="2543"/>
    <cellStyle name="Normal 88 3 2" xfId="3586"/>
    <cellStyle name="Normal 88 3 2 2" xfId="5253"/>
    <cellStyle name="Normal 88 3 2 2 2" xfId="8516"/>
    <cellStyle name="Normal 88 3 2 2 2 2" xfId="22164"/>
    <cellStyle name="Normal 88 3 2 2 3" xfId="11583"/>
    <cellStyle name="Normal 88 3 2 2 3 2" xfId="25214"/>
    <cellStyle name="Normal 88 3 2 2 4" xfId="14879"/>
    <cellStyle name="Normal 88 3 2 2 4 2" xfId="28507"/>
    <cellStyle name="Normal 88 3 2 2 5" xfId="18911"/>
    <cellStyle name="Normal 88 3 2 3" xfId="7020"/>
    <cellStyle name="Normal 88 3 2 3 2" xfId="20670"/>
    <cellStyle name="Normal 88 3 2 4" xfId="10161"/>
    <cellStyle name="Normal 88 3 2 4 2" xfId="23792"/>
    <cellStyle name="Normal 88 3 2 5" xfId="13456"/>
    <cellStyle name="Normal 88 3 2 5 2" xfId="27084"/>
    <cellStyle name="Normal 88 3 2 6" xfId="17387"/>
    <cellStyle name="Normal 88 3 3" xfId="4306"/>
    <cellStyle name="Normal 88 3 3 2" xfId="7736"/>
    <cellStyle name="Normal 88 3 3 2 2" xfId="21384"/>
    <cellStyle name="Normal 88 3 3 3" xfId="10874"/>
    <cellStyle name="Normal 88 3 3 3 2" xfId="24505"/>
    <cellStyle name="Normal 88 3 3 4" xfId="14170"/>
    <cellStyle name="Normal 88 3 3 4 2" xfId="27798"/>
    <cellStyle name="Normal 88 3 3 5" xfId="18101"/>
    <cellStyle name="Normal 88 3 4" xfId="6206"/>
    <cellStyle name="Normal 88 3 4 2" xfId="19856"/>
    <cellStyle name="Normal 88 3 5" xfId="9428"/>
    <cellStyle name="Normal 88 3 5 2" xfId="23070"/>
    <cellStyle name="Normal 88 3 6" xfId="12742"/>
    <cellStyle name="Normal 88 3 6 2" xfId="26370"/>
    <cellStyle name="Normal 88 3 7" xfId="16590"/>
    <cellStyle name="Normal 88 4" xfId="2788"/>
    <cellStyle name="Normal 88 4 2" xfId="3742"/>
    <cellStyle name="Normal 88 4 2 2" xfId="5409"/>
    <cellStyle name="Normal 88 4 2 2 2" xfId="8672"/>
    <cellStyle name="Normal 88 4 2 2 2 2" xfId="22320"/>
    <cellStyle name="Normal 88 4 2 2 3" xfId="11739"/>
    <cellStyle name="Normal 88 4 2 2 3 2" xfId="25370"/>
    <cellStyle name="Normal 88 4 2 2 4" xfId="15035"/>
    <cellStyle name="Normal 88 4 2 2 4 2" xfId="28663"/>
    <cellStyle name="Normal 88 4 2 2 5" xfId="19067"/>
    <cellStyle name="Normal 88 4 2 3" xfId="7176"/>
    <cellStyle name="Normal 88 4 2 3 2" xfId="20826"/>
    <cellStyle name="Normal 88 4 2 4" xfId="10317"/>
    <cellStyle name="Normal 88 4 2 4 2" xfId="23948"/>
    <cellStyle name="Normal 88 4 2 5" xfId="13612"/>
    <cellStyle name="Normal 88 4 2 5 2" xfId="27240"/>
    <cellStyle name="Normal 88 4 2 6" xfId="17543"/>
    <cellStyle name="Normal 88 4 3" xfId="4531"/>
    <cellStyle name="Normal 88 4 3 2" xfId="7961"/>
    <cellStyle name="Normal 88 4 3 2 2" xfId="21609"/>
    <cellStyle name="Normal 88 4 3 3" xfId="11030"/>
    <cellStyle name="Normal 88 4 3 3 2" xfId="24661"/>
    <cellStyle name="Normal 88 4 3 4" xfId="14326"/>
    <cellStyle name="Normal 88 4 3 4 2" xfId="27954"/>
    <cellStyle name="Normal 88 4 3 5" xfId="18326"/>
    <cellStyle name="Normal 88 4 4" xfId="6382"/>
    <cellStyle name="Normal 88 4 4 2" xfId="20032"/>
    <cellStyle name="Normal 88 4 5" xfId="9584"/>
    <cellStyle name="Normal 88 4 5 2" xfId="23226"/>
    <cellStyle name="Normal 88 4 6" xfId="12898"/>
    <cellStyle name="Normal 88 4 6 2" xfId="26526"/>
    <cellStyle name="Normal 88 4 7" xfId="16815"/>
    <cellStyle name="Normal 88 5" xfId="2996"/>
    <cellStyle name="Normal 88 5 2" xfId="4836"/>
    <cellStyle name="Normal 88 5 2 2" xfId="8103"/>
    <cellStyle name="Normal 88 5 2 2 2" xfId="21751"/>
    <cellStyle name="Normal 88 5 2 3" xfId="11172"/>
    <cellStyle name="Normal 88 5 2 3 2" xfId="24803"/>
    <cellStyle name="Normal 88 5 2 4" xfId="14468"/>
    <cellStyle name="Normal 88 5 2 4 2" xfId="28096"/>
    <cellStyle name="Normal 88 5 2 5" xfId="18495"/>
    <cellStyle name="Normal 88 5 3" xfId="6526"/>
    <cellStyle name="Normal 88 5 3 2" xfId="20176"/>
    <cellStyle name="Normal 88 5 4" xfId="9747"/>
    <cellStyle name="Normal 88 5 4 2" xfId="23378"/>
    <cellStyle name="Normal 88 5 5" xfId="13042"/>
    <cellStyle name="Normal 88 5 5 2" xfId="26670"/>
    <cellStyle name="Normal 88 5 6" xfId="16960"/>
    <cellStyle name="Normal 88 6" xfId="3980"/>
    <cellStyle name="Normal 88 6 2" xfId="7410"/>
    <cellStyle name="Normal 88 6 2 2" xfId="21058"/>
    <cellStyle name="Normal 88 6 3" xfId="10548"/>
    <cellStyle name="Normal 88 6 3 2" xfId="24179"/>
    <cellStyle name="Normal 88 6 4" xfId="13844"/>
    <cellStyle name="Normal 88 6 4 2" xfId="27472"/>
    <cellStyle name="Normal 88 6 5" xfId="17775"/>
    <cellStyle name="Normal 88 7" xfId="5575"/>
    <cellStyle name="Normal 88 7 2" xfId="8836"/>
    <cellStyle name="Normal 88 7 2 2" xfId="22479"/>
    <cellStyle name="Normal 88 7 3" xfId="11896"/>
    <cellStyle name="Normal 88 7 3 2" xfId="25527"/>
    <cellStyle name="Normal 88 7 4" xfId="15192"/>
    <cellStyle name="Normal 88 7 4 2" xfId="28820"/>
    <cellStyle name="Normal 88 7 5" xfId="19225"/>
    <cellStyle name="Normal 88 8" xfId="5817"/>
    <cellStyle name="Normal 88 8 2" xfId="19467"/>
    <cellStyle name="Normal 88 9" xfId="9039"/>
    <cellStyle name="Normal 88 9 2" xfId="22682"/>
    <cellStyle name="Normal 89" xfId="1251"/>
    <cellStyle name="Normal 89 10" xfId="12017"/>
    <cellStyle name="Normal 89 10 2" xfId="25648"/>
    <cellStyle name="Normal 89 11" xfId="12180"/>
    <cellStyle name="Normal 89 11 2" xfId="25808"/>
    <cellStyle name="Normal 89 12" xfId="12418"/>
    <cellStyle name="Normal 89 12 2" xfId="26046"/>
    <cellStyle name="Normal 89 13" xfId="15356"/>
    <cellStyle name="Normal 89 13 2" xfId="28946"/>
    <cellStyle name="Normal 89 14" xfId="15568"/>
    <cellStyle name="Normal 89 14 2" xfId="29065"/>
    <cellStyle name="Normal 89 15" xfId="16179"/>
    <cellStyle name="Normal 89 16" xfId="29701"/>
    <cellStyle name="Normal 89 2" xfId="2208"/>
    <cellStyle name="Normal 89 2 2" xfId="3321"/>
    <cellStyle name="Normal 89 2 2 2" xfId="5067"/>
    <cellStyle name="Normal 89 2 2 2 2" xfId="8331"/>
    <cellStyle name="Normal 89 2 2 2 2 2" xfId="21979"/>
    <cellStyle name="Normal 89 2 2 2 3" xfId="11398"/>
    <cellStyle name="Normal 89 2 2 2 3 2" xfId="25029"/>
    <cellStyle name="Normal 89 2 2 2 4" xfId="14694"/>
    <cellStyle name="Normal 89 2 2 2 4 2" xfId="28322"/>
    <cellStyle name="Normal 89 2 2 2 5" xfId="18725"/>
    <cellStyle name="Normal 89 2 2 3" xfId="6755"/>
    <cellStyle name="Normal 89 2 2 3 2" xfId="20405"/>
    <cellStyle name="Normal 89 2 2 4" xfId="9975"/>
    <cellStyle name="Normal 89 2 2 4 2" xfId="23606"/>
    <cellStyle name="Normal 89 2 2 5" xfId="13270"/>
    <cellStyle name="Normal 89 2 2 5 2" xfId="26898"/>
    <cellStyle name="Normal 89 2 2 6" xfId="17200"/>
    <cellStyle name="Normal 89 2 3" xfId="4121"/>
    <cellStyle name="Normal 89 2 3 2" xfId="7551"/>
    <cellStyle name="Normal 89 2 3 2 2" xfId="21199"/>
    <cellStyle name="Normal 89 2 3 3" xfId="10689"/>
    <cellStyle name="Normal 89 2 3 3 2" xfId="24320"/>
    <cellStyle name="Normal 89 2 3 4" xfId="13985"/>
    <cellStyle name="Normal 89 2 3 4 2" xfId="27613"/>
    <cellStyle name="Normal 89 2 3 5" xfId="17916"/>
    <cellStyle name="Normal 89 2 4" xfId="5957"/>
    <cellStyle name="Normal 89 2 4 2" xfId="19607"/>
    <cellStyle name="Normal 89 2 5" xfId="9243"/>
    <cellStyle name="Normal 89 2 5 2" xfId="22885"/>
    <cellStyle name="Normal 89 2 6" xfId="12557"/>
    <cellStyle name="Normal 89 2 6 2" xfId="26185"/>
    <cellStyle name="Normal 89 2 7" xfId="16402"/>
    <cellStyle name="Normal 89 3" xfId="2544"/>
    <cellStyle name="Normal 89 3 2" xfId="3587"/>
    <cellStyle name="Normal 89 3 2 2" xfId="5254"/>
    <cellStyle name="Normal 89 3 2 2 2" xfId="8517"/>
    <cellStyle name="Normal 89 3 2 2 2 2" xfId="22165"/>
    <cellStyle name="Normal 89 3 2 2 3" xfId="11584"/>
    <cellStyle name="Normal 89 3 2 2 3 2" xfId="25215"/>
    <cellStyle name="Normal 89 3 2 2 4" xfId="14880"/>
    <cellStyle name="Normal 89 3 2 2 4 2" xfId="28508"/>
    <cellStyle name="Normal 89 3 2 2 5" xfId="18912"/>
    <cellStyle name="Normal 89 3 2 3" xfId="7021"/>
    <cellStyle name="Normal 89 3 2 3 2" xfId="20671"/>
    <cellStyle name="Normal 89 3 2 4" xfId="10162"/>
    <cellStyle name="Normal 89 3 2 4 2" xfId="23793"/>
    <cellStyle name="Normal 89 3 2 5" xfId="13457"/>
    <cellStyle name="Normal 89 3 2 5 2" xfId="27085"/>
    <cellStyle name="Normal 89 3 2 6" xfId="17388"/>
    <cellStyle name="Normal 89 3 3" xfId="4307"/>
    <cellStyle name="Normal 89 3 3 2" xfId="7737"/>
    <cellStyle name="Normal 89 3 3 2 2" xfId="21385"/>
    <cellStyle name="Normal 89 3 3 3" xfId="10875"/>
    <cellStyle name="Normal 89 3 3 3 2" xfId="24506"/>
    <cellStyle name="Normal 89 3 3 4" xfId="14171"/>
    <cellStyle name="Normal 89 3 3 4 2" xfId="27799"/>
    <cellStyle name="Normal 89 3 3 5" xfId="18102"/>
    <cellStyle name="Normal 89 3 4" xfId="6207"/>
    <cellStyle name="Normal 89 3 4 2" xfId="19857"/>
    <cellStyle name="Normal 89 3 5" xfId="9429"/>
    <cellStyle name="Normal 89 3 5 2" xfId="23071"/>
    <cellStyle name="Normal 89 3 6" xfId="12743"/>
    <cellStyle name="Normal 89 3 6 2" xfId="26371"/>
    <cellStyle name="Normal 89 3 7" xfId="16591"/>
    <cellStyle name="Normal 89 4" xfId="2789"/>
    <cellStyle name="Normal 89 4 2" xfId="3743"/>
    <cellStyle name="Normal 89 4 2 2" xfId="5410"/>
    <cellStyle name="Normal 89 4 2 2 2" xfId="8673"/>
    <cellStyle name="Normal 89 4 2 2 2 2" xfId="22321"/>
    <cellStyle name="Normal 89 4 2 2 3" xfId="11740"/>
    <cellStyle name="Normal 89 4 2 2 3 2" xfId="25371"/>
    <cellStyle name="Normal 89 4 2 2 4" xfId="15036"/>
    <cellStyle name="Normal 89 4 2 2 4 2" xfId="28664"/>
    <cellStyle name="Normal 89 4 2 2 5" xfId="19068"/>
    <cellStyle name="Normal 89 4 2 3" xfId="7177"/>
    <cellStyle name="Normal 89 4 2 3 2" xfId="20827"/>
    <cellStyle name="Normal 89 4 2 4" xfId="10318"/>
    <cellStyle name="Normal 89 4 2 4 2" xfId="23949"/>
    <cellStyle name="Normal 89 4 2 5" xfId="13613"/>
    <cellStyle name="Normal 89 4 2 5 2" xfId="27241"/>
    <cellStyle name="Normal 89 4 2 6" xfId="17544"/>
    <cellStyle name="Normal 89 4 3" xfId="4532"/>
    <cellStyle name="Normal 89 4 3 2" xfId="7962"/>
    <cellStyle name="Normal 89 4 3 2 2" xfId="21610"/>
    <cellStyle name="Normal 89 4 3 3" xfId="11031"/>
    <cellStyle name="Normal 89 4 3 3 2" xfId="24662"/>
    <cellStyle name="Normal 89 4 3 4" xfId="14327"/>
    <cellStyle name="Normal 89 4 3 4 2" xfId="27955"/>
    <cellStyle name="Normal 89 4 3 5" xfId="18327"/>
    <cellStyle name="Normal 89 4 4" xfId="6383"/>
    <cellStyle name="Normal 89 4 4 2" xfId="20033"/>
    <cellStyle name="Normal 89 4 5" xfId="9585"/>
    <cellStyle name="Normal 89 4 5 2" xfId="23227"/>
    <cellStyle name="Normal 89 4 6" xfId="12899"/>
    <cellStyle name="Normal 89 4 6 2" xfId="26527"/>
    <cellStyle name="Normal 89 4 7" xfId="16816"/>
    <cellStyle name="Normal 89 5" xfId="2997"/>
    <cellStyle name="Normal 89 5 2" xfId="4837"/>
    <cellStyle name="Normal 89 5 2 2" xfId="8104"/>
    <cellStyle name="Normal 89 5 2 2 2" xfId="21752"/>
    <cellStyle name="Normal 89 5 2 3" xfId="11173"/>
    <cellStyle name="Normal 89 5 2 3 2" xfId="24804"/>
    <cellStyle name="Normal 89 5 2 4" xfId="14469"/>
    <cellStyle name="Normal 89 5 2 4 2" xfId="28097"/>
    <cellStyle name="Normal 89 5 2 5" xfId="18496"/>
    <cellStyle name="Normal 89 5 3" xfId="6527"/>
    <cellStyle name="Normal 89 5 3 2" xfId="20177"/>
    <cellStyle name="Normal 89 5 4" xfId="9748"/>
    <cellStyle name="Normal 89 5 4 2" xfId="23379"/>
    <cellStyle name="Normal 89 5 5" xfId="13043"/>
    <cellStyle name="Normal 89 5 5 2" xfId="26671"/>
    <cellStyle name="Normal 89 5 6" xfId="16961"/>
    <cellStyle name="Normal 89 6" xfId="3981"/>
    <cellStyle name="Normal 89 6 2" xfId="7411"/>
    <cellStyle name="Normal 89 6 2 2" xfId="21059"/>
    <cellStyle name="Normal 89 6 3" xfId="10549"/>
    <cellStyle name="Normal 89 6 3 2" xfId="24180"/>
    <cellStyle name="Normal 89 6 4" xfId="13845"/>
    <cellStyle name="Normal 89 6 4 2" xfId="27473"/>
    <cellStyle name="Normal 89 6 5" xfId="17776"/>
    <cellStyle name="Normal 89 7" xfId="5576"/>
    <cellStyle name="Normal 89 7 2" xfId="8837"/>
    <cellStyle name="Normal 89 7 2 2" xfId="22480"/>
    <cellStyle name="Normal 89 7 3" xfId="11897"/>
    <cellStyle name="Normal 89 7 3 2" xfId="25528"/>
    <cellStyle name="Normal 89 7 4" xfId="15193"/>
    <cellStyle name="Normal 89 7 4 2" xfId="28821"/>
    <cellStyle name="Normal 89 7 5" xfId="19226"/>
    <cellStyle name="Normal 89 8" xfId="5818"/>
    <cellStyle name="Normal 89 8 2" xfId="19468"/>
    <cellStyle name="Normal 89 9" xfId="9040"/>
    <cellStyle name="Normal 89 9 2" xfId="22683"/>
    <cellStyle name="Normal 9" xfId="80"/>
    <cellStyle name="Normal 9 2" xfId="1252"/>
    <cellStyle name="Normal 90" xfId="1253"/>
    <cellStyle name="Normal 90 10" xfId="12018"/>
    <cellStyle name="Normal 90 10 2" xfId="25649"/>
    <cellStyle name="Normal 90 11" xfId="12181"/>
    <cellStyle name="Normal 90 11 2" xfId="25809"/>
    <cellStyle name="Normal 90 12" xfId="12419"/>
    <cellStyle name="Normal 90 12 2" xfId="26047"/>
    <cellStyle name="Normal 90 13" xfId="15357"/>
    <cellStyle name="Normal 90 13 2" xfId="28947"/>
    <cellStyle name="Normal 90 14" xfId="15569"/>
    <cellStyle name="Normal 90 14 2" xfId="29066"/>
    <cellStyle name="Normal 90 15" xfId="16180"/>
    <cellStyle name="Normal 90 16" xfId="29702"/>
    <cellStyle name="Normal 90 2" xfId="2209"/>
    <cellStyle name="Normal 90 2 2" xfId="3322"/>
    <cellStyle name="Normal 90 2 2 2" xfId="5068"/>
    <cellStyle name="Normal 90 2 2 2 2" xfId="8332"/>
    <cellStyle name="Normal 90 2 2 2 2 2" xfId="21980"/>
    <cellStyle name="Normal 90 2 2 2 3" xfId="11399"/>
    <cellStyle name="Normal 90 2 2 2 3 2" xfId="25030"/>
    <cellStyle name="Normal 90 2 2 2 4" xfId="14695"/>
    <cellStyle name="Normal 90 2 2 2 4 2" xfId="28323"/>
    <cellStyle name="Normal 90 2 2 2 5" xfId="18726"/>
    <cellStyle name="Normal 90 2 2 3" xfId="6756"/>
    <cellStyle name="Normal 90 2 2 3 2" xfId="20406"/>
    <cellStyle name="Normal 90 2 2 4" xfId="9976"/>
    <cellStyle name="Normal 90 2 2 4 2" xfId="23607"/>
    <cellStyle name="Normal 90 2 2 5" xfId="13271"/>
    <cellStyle name="Normal 90 2 2 5 2" xfId="26899"/>
    <cellStyle name="Normal 90 2 2 6" xfId="17201"/>
    <cellStyle name="Normal 90 2 3" xfId="4122"/>
    <cellStyle name="Normal 90 2 3 2" xfId="7552"/>
    <cellStyle name="Normal 90 2 3 2 2" xfId="21200"/>
    <cellStyle name="Normal 90 2 3 3" xfId="10690"/>
    <cellStyle name="Normal 90 2 3 3 2" xfId="24321"/>
    <cellStyle name="Normal 90 2 3 4" xfId="13986"/>
    <cellStyle name="Normal 90 2 3 4 2" xfId="27614"/>
    <cellStyle name="Normal 90 2 3 5" xfId="17917"/>
    <cellStyle name="Normal 90 2 4" xfId="5958"/>
    <cellStyle name="Normal 90 2 4 2" xfId="19608"/>
    <cellStyle name="Normal 90 2 5" xfId="9244"/>
    <cellStyle name="Normal 90 2 5 2" xfId="22886"/>
    <cellStyle name="Normal 90 2 6" xfId="12558"/>
    <cellStyle name="Normal 90 2 6 2" xfId="26186"/>
    <cellStyle name="Normal 90 2 7" xfId="16403"/>
    <cellStyle name="Normal 90 3" xfId="2547"/>
    <cellStyle name="Normal 90 3 2" xfId="3588"/>
    <cellStyle name="Normal 90 3 2 2" xfId="5255"/>
    <cellStyle name="Normal 90 3 2 2 2" xfId="8518"/>
    <cellStyle name="Normal 90 3 2 2 2 2" xfId="22166"/>
    <cellStyle name="Normal 90 3 2 2 3" xfId="11585"/>
    <cellStyle name="Normal 90 3 2 2 3 2" xfId="25216"/>
    <cellStyle name="Normal 90 3 2 2 4" xfId="14881"/>
    <cellStyle name="Normal 90 3 2 2 4 2" xfId="28509"/>
    <cellStyle name="Normal 90 3 2 2 5" xfId="18913"/>
    <cellStyle name="Normal 90 3 2 3" xfId="7022"/>
    <cellStyle name="Normal 90 3 2 3 2" xfId="20672"/>
    <cellStyle name="Normal 90 3 2 4" xfId="10163"/>
    <cellStyle name="Normal 90 3 2 4 2" xfId="23794"/>
    <cellStyle name="Normal 90 3 2 5" xfId="13458"/>
    <cellStyle name="Normal 90 3 2 5 2" xfId="27086"/>
    <cellStyle name="Normal 90 3 2 6" xfId="17389"/>
    <cellStyle name="Normal 90 3 3" xfId="4308"/>
    <cellStyle name="Normal 90 3 3 2" xfId="7738"/>
    <cellStyle name="Normal 90 3 3 2 2" xfId="21386"/>
    <cellStyle name="Normal 90 3 3 3" xfId="10876"/>
    <cellStyle name="Normal 90 3 3 3 2" xfId="24507"/>
    <cellStyle name="Normal 90 3 3 4" xfId="14172"/>
    <cellStyle name="Normal 90 3 3 4 2" xfId="27800"/>
    <cellStyle name="Normal 90 3 3 5" xfId="18103"/>
    <cellStyle name="Normal 90 3 4" xfId="6210"/>
    <cellStyle name="Normal 90 3 4 2" xfId="19860"/>
    <cellStyle name="Normal 90 3 5" xfId="9430"/>
    <cellStyle name="Normal 90 3 5 2" xfId="23072"/>
    <cellStyle name="Normal 90 3 6" xfId="12744"/>
    <cellStyle name="Normal 90 3 6 2" xfId="26372"/>
    <cellStyle name="Normal 90 3 7" xfId="16592"/>
    <cellStyle name="Normal 90 4" xfId="2790"/>
    <cellStyle name="Normal 90 4 2" xfId="3744"/>
    <cellStyle name="Normal 90 4 2 2" xfId="5411"/>
    <cellStyle name="Normal 90 4 2 2 2" xfId="8674"/>
    <cellStyle name="Normal 90 4 2 2 2 2" xfId="22322"/>
    <cellStyle name="Normal 90 4 2 2 3" xfId="11741"/>
    <cellStyle name="Normal 90 4 2 2 3 2" xfId="25372"/>
    <cellStyle name="Normal 90 4 2 2 4" xfId="15037"/>
    <cellStyle name="Normal 90 4 2 2 4 2" xfId="28665"/>
    <cellStyle name="Normal 90 4 2 2 5" xfId="19069"/>
    <cellStyle name="Normal 90 4 2 3" xfId="7178"/>
    <cellStyle name="Normal 90 4 2 3 2" xfId="20828"/>
    <cellStyle name="Normal 90 4 2 4" xfId="10319"/>
    <cellStyle name="Normal 90 4 2 4 2" xfId="23950"/>
    <cellStyle name="Normal 90 4 2 5" xfId="13614"/>
    <cellStyle name="Normal 90 4 2 5 2" xfId="27242"/>
    <cellStyle name="Normal 90 4 2 6" xfId="17545"/>
    <cellStyle name="Normal 90 4 3" xfId="4533"/>
    <cellStyle name="Normal 90 4 3 2" xfId="7963"/>
    <cellStyle name="Normal 90 4 3 2 2" xfId="21611"/>
    <cellStyle name="Normal 90 4 3 3" xfId="11032"/>
    <cellStyle name="Normal 90 4 3 3 2" xfId="24663"/>
    <cellStyle name="Normal 90 4 3 4" xfId="14328"/>
    <cellStyle name="Normal 90 4 3 4 2" xfId="27956"/>
    <cellStyle name="Normal 90 4 3 5" xfId="18328"/>
    <cellStyle name="Normal 90 4 4" xfId="6384"/>
    <cellStyle name="Normal 90 4 4 2" xfId="20034"/>
    <cellStyle name="Normal 90 4 5" xfId="9586"/>
    <cellStyle name="Normal 90 4 5 2" xfId="23228"/>
    <cellStyle name="Normal 90 4 6" xfId="12900"/>
    <cellStyle name="Normal 90 4 6 2" xfId="26528"/>
    <cellStyle name="Normal 90 4 7" xfId="16817"/>
    <cellStyle name="Normal 90 5" xfId="2998"/>
    <cellStyle name="Normal 90 5 2" xfId="4838"/>
    <cellStyle name="Normal 90 5 2 2" xfId="8105"/>
    <cellStyle name="Normal 90 5 2 2 2" xfId="21753"/>
    <cellStyle name="Normal 90 5 2 3" xfId="11174"/>
    <cellStyle name="Normal 90 5 2 3 2" xfId="24805"/>
    <cellStyle name="Normal 90 5 2 4" xfId="14470"/>
    <cellStyle name="Normal 90 5 2 4 2" xfId="28098"/>
    <cellStyle name="Normal 90 5 2 5" xfId="18497"/>
    <cellStyle name="Normal 90 5 3" xfId="6528"/>
    <cellStyle name="Normal 90 5 3 2" xfId="20178"/>
    <cellStyle name="Normal 90 5 4" xfId="9749"/>
    <cellStyle name="Normal 90 5 4 2" xfId="23380"/>
    <cellStyle name="Normal 90 5 5" xfId="13044"/>
    <cellStyle name="Normal 90 5 5 2" xfId="26672"/>
    <cellStyle name="Normal 90 5 6" xfId="16962"/>
    <cellStyle name="Normal 90 6" xfId="3982"/>
    <cellStyle name="Normal 90 6 2" xfId="7412"/>
    <cellStyle name="Normal 90 6 2 2" xfId="21060"/>
    <cellStyle name="Normal 90 6 3" xfId="10550"/>
    <cellStyle name="Normal 90 6 3 2" xfId="24181"/>
    <cellStyle name="Normal 90 6 4" xfId="13846"/>
    <cellStyle name="Normal 90 6 4 2" xfId="27474"/>
    <cellStyle name="Normal 90 6 5" xfId="17777"/>
    <cellStyle name="Normal 90 7" xfId="5577"/>
    <cellStyle name="Normal 90 7 2" xfId="8838"/>
    <cellStyle name="Normal 90 7 2 2" xfId="22481"/>
    <cellStyle name="Normal 90 7 3" xfId="11898"/>
    <cellStyle name="Normal 90 7 3 2" xfId="25529"/>
    <cellStyle name="Normal 90 7 4" xfId="15194"/>
    <cellStyle name="Normal 90 7 4 2" xfId="28822"/>
    <cellStyle name="Normal 90 7 5" xfId="19227"/>
    <cellStyle name="Normal 90 8" xfId="5819"/>
    <cellStyle name="Normal 90 8 2" xfId="19469"/>
    <cellStyle name="Normal 90 9" xfId="9041"/>
    <cellStyle name="Normal 90 9 2" xfId="22684"/>
    <cellStyle name="Normal 91" xfId="1254"/>
    <cellStyle name="Normal 91 10" xfId="12019"/>
    <cellStyle name="Normal 91 10 2" xfId="25650"/>
    <cellStyle name="Normal 91 11" xfId="12182"/>
    <cellStyle name="Normal 91 11 2" xfId="25810"/>
    <cellStyle name="Normal 91 12" xfId="12420"/>
    <cellStyle name="Normal 91 12 2" xfId="26048"/>
    <cellStyle name="Normal 91 13" xfId="15358"/>
    <cellStyle name="Normal 91 13 2" xfId="28948"/>
    <cellStyle name="Normal 91 14" xfId="15570"/>
    <cellStyle name="Normal 91 14 2" xfId="29067"/>
    <cellStyle name="Normal 91 15" xfId="16181"/>
    <cellStyle name="Normal 91 16" xfId="29703"/>
    <cellStyle name="Normal 91 2" xfId="2210"/>
    <cellStyle name="Normal 91 2 2" xfId="3323"/>
    <cellStyle name="Normal 91 2 2 2" xfId="5069"/>
    <cellStyle name="Normal 91 2 2 2 2" xfId="8333"/>
    <cellStyle name="Normal 91 2 2 2 2 2" xfId="21981"/>
    <cellStyle name="Normal 91 2 2 2 3" xfId="11400"/>
    <cellStyle name="Normal 91 2 2 2 3 2" xfId="25031"/>
    <cellStyle name="Normal 91 2 2 2 4" xfId="14696"/>
    <cellStyle name="Normal 91 2 2 2 4 2" xfId="28324"/>
    <cellStyle name="Normal 91 2 2 2 5" xfId="18727"/>
    <cellStyle name="Normal 91 2 2 3" xfId="6757"/>
    <cellStyle name="Normal 91 2 2 3 2" xfId="20407"/>
    <cellStyle name="Normal 91 2 2 4" xfId="9977"/>
    <cellStyle name="Normal 91 2 2 4 2" xfId="23608"/>
    <cellStyle name="Normal 91 2 2 5" xfId="13272"/>
    <cellStyle name="Normal 91 2 2 5 2" xfId="26900"/>
    <cellStyle name="Normal 91 2 2 6" xfId="17202"/>
    <cellStyle name="Normal 91 2 3" xfId="4123"/>
    <cellStyle name="Normal 91 2 3 2" xfId="7553"/>
    <cellStyle name="Normal 91 2 3 2 2" xfId="21201"/>
    <cellStyle name="Normal 91 2 3 3" xfId="10691"/>
    <cellStyle name="Normal 91 2 3 3 2" xfId="24322"/>
    <cellStyle name="Normal 91 2 3 4" xfId="13987"/>
    <cellStyle name="Normal 91 2 3 4 2" xfId="27615"/>
    <cellStyle name="Normal 91 2 3 5" xfId="17918"/>
    <cellStyle name="Normal 91 2 4" xfId="5959"/>
    <cellStyle name="Normal 91 2 4 2" xfId="19609"/>
    <cellStyle name="Normal 91 2 5" xfId="9245"/>
    <cellStyle name="Normal 91 2 5 2" xfId="22887"/>
    <cellStyle name="Normal 91 2 6" xfId="12559"/>
    <cellStyle name="Normal 91 2 6 2" xfId="26187"/>
    <cellStyle name="Normal 91 2 7" xfId="16404"/>
    <cellStyle name="Normal 91 3" xfId="2548"/>
    <cellStyle name="Normal 91 3 2" xfId="3589"/>
    <cellStyle name="Normal 91 3 2 2" xfId="5256"/>
    <cellStyle name="Normal 91 3 2 2 2" xfId="8519"/>
    <cellStyle name="Normal 91 3 2 2 2 2" xfId="22167"/>
    <cellStyle name="Normal 91 3 2 2 3" xfId="11586"/>
    <cellStyle name="Normal 91 3 2 2 3 2" xfId="25217"/>
    <cellStyle name="Normal 91 3 2 2 4" xfId="14882"/>
    <cellStyle name="Normal 91 3 2 2 4 2" xfId="28510"/>
    <cellStyle name="Normal 91 3 2 2 5" xfId="18914"/>
    <cellStyle name="Normal 91 3 2 3" xfId="7023"/>
    <cellStyle name="Normal 91 3 2 3 2" xfId="20673"/>
    <cellStyle name="Normal 91 3 2 4" xfId="10164"/>
    <cellStyle name="Normal 91 3 2 4 2" xfId="23795"/>
    <cellStyle name="Normal 91 3 2 5" xfId="13459"/>
    <cellStyle name="Normal 91 3 2 5 2" xfId="27087"/>
    <cellStyle name="Normal 91 3 2 6" xfId="17390"/>
    <cellStyle name="Normal 91 3 3" xfId="4309"/>
    <cellStyle name="Normal 91 3 3 2" xfId="7739"/>
    <cellStyle name="Normal 91 3 3 2 2" xfId="21387"/>
    <cellStyle name="Normal 91 3 3 3" xfId="10877"/>
    <cellStyle name="Normal 91 3 3 3 2" xfId="24508"/>
    <cellStyle name="Normal 91 3 3 4" xfId="14173"/>
    <cellStyle name="Normal 91 3 3 4 2" xfId="27801"/>
    <cellStyle name="Normal 91 3 3 5" xfId="18104"/>
    <cellStyle name="Normal 91 3 4" xfId="6211"/>
    <cellStyle name="Normal 91 3 4 2" xfId="19861"/>
    <cellStyle name="Normal 91 3 5" xfId="9431"/>
    <cellStyle name="Normal 91 3 5 2" xfId="23073"/>
    <cellStyle name="Normal 91 3 6" xfId="12745"/>
    <cellStyle name="Normal 91 3 6 2" xfId="26373"/>
    <cellStyle name="Normal 91 3 7" xfId="16593"/>
    <cellStyle name="Normal 91 4" xfId="2791"/>
    <cellStyle name="Normal 91 4 2" xfId="3745"/>
    <cellStyle name="Normal 91 4 2 2" xfId="5412"/>
    <cellStyle name="Normal 91 4 2 2 2" xfId="8675"/>
    <cellStyle name="Normal 91 4 2 2 2 2" xfId="22323"/>
    <cellStyle name="Normal 91 4 2 2 3" xfId="11742"/>
    <cellStyle name="Normal 91 4 2 2 3 2" xfId="25373"/>
    <cellStyle name="Normal 91 4 2 2 4" xfId="15038"/>
    <cellStyle name="Normal 91 4 2 2 4 2" xfId="28666"/>
    <cellStyle name="Normal 91 4 2 2 5" xfId="19070"/>
    <cellStyle name="Normal 91 4 2 3" xfId="7179"/>
    <cellStyle name="Normal 91 4 2 3 2" xfId="20829"/>
    <cellStyle name="Normal 91 4 2 4" xfId="10320"/>
    <cellStyle name="Normal 91 4 2 4 2" xfId="23951"/>
    <cellStyle name="Normal 91 4 2 5" xfId="13615"/>
    <cellStyle name="Normal 91 4 2 5 2" xfId="27243"/>
    <cellStyle name="Normal 91 4 2 6" xfId="17546"/>
    <cellStyle name="Normal 91 4 3" xfId="4534"/>
    <cellStyle name="Normal 91 4 3 2" xfId="7964"/>
    <cellStyle name="Normal 91 4 3 2 2" xfId="21612"/>
    <cellStyle name="Normal 91 4 3 3" xfId="11033"/>
    <cellStyle name="Normal 91 4 3 3 2" xfId="24664"/>
    <cellStyle name="Normal 91 4 3 4" xfId="14329"/>
    <cellStyle name="Normal 91 4 3 4 2" xfId="27957"/>
    <cellStyle name="Normal 91 4 3 5" xfId="18329"/>
    <cellStyle name="Normal 91 4 4" xfId="6385"/>
    <cellStyle name="Normal 91 4 4 2" xfId="20035"/>
    <cellStyle name="Normal 91 4 5" xfId="9587"/>
    <cellStyle name="Normal 91 4 5 2" xfId="23229"/>
    <cellStyle name="Normal 91 4 6" xfId="12901"/>
    <cellStyle name="Normal 91 4 6 2" xfId="26529"/>
    <cellStyle name="Normal 91 4 7" xfId="16818"/>
    <cellStyle name="Normal 91 5" xfId="2999"/>
    <cellStyle name="Normal 91 5 2" xfId="4839"/>
    <cellStyle name="Normal 91 5 2 2" xfId="8106"/>
    <cellStyle name="Normal 91 5 2 2 2" xfId="21754"/>
    <cellStyle name="Normal 91 5 2 3" xfId="11175"/>
    <cellStyle name="Normal 91 5 2 3 2" xfId="24806"/>
    <cellStyle name="Normal 91 5 2 4" xfId="14471"/>
    <cellStyle name="Normal 91 5 2 4 2" xfId="28099"/>
    <cellStyle name="Normal 91 5 2 5" xfId="18498"/>
    <cellStyle name="Normal 91 5 3" xfId="6529"/>
    <cellStyle name="Normal 91 5 3 2" xfId="20179"/>
    <cellStyle name="Normal 91 5 4" xfId="9750"/>
    <cellStyle name="Normal 91 5 4 2" xfId="23381"/>
    <cellStyle name="Normal 91 5 5" xfId="13045"/>
    <cellStyle name="Normal 91 5 5 2" xfId="26673"/>
    <cellStyle name="Normal 91 5 6" xfId="16963"/>
    <cellStyle name="Normal 91 6" xfId="3983"/>
    <cellStyle name="Normal 91 6 2" xfId="7413"/>
    <cellStyle name="Normal 91 6 2 2" xfId="21061"/>
    <cellStyle name="Normal 91 6 3" xfId="10551"/>
    <cellStyle name="Normal 91 6 3 2" xfId="24182"/>
    <cellStyle name="Normal 91 6 4" xfId="13847"/>
    <cellStyle name="Normal 91 6 4 2" xfId="27475"/>
    <cellStyle name="Normal 91 6 5" xfId="17778"/>
    <cellStyle name="Normal 91 7" xfId="5578"/>
    <cellStyle name="Normal 91 7 2" xfId="8839"/>
    <cellStyle name="Normal 91 7 2 2" xfId="22482"/>
    <cellStyle name="Normal 91 7 3" xfId="11899"/>
    <cellStyle name="Normal 91 7 3 2" xfId="25530"/>
    <cellStyle name="Normal 91 7 4" xfId="15195"/>
    <cellStyle name="Normal 91 7 4 2" xfId="28823"/>
    <cellStyle name="Normal 91 7 5" xfId="19228"/>
    <cellStyle name="Normal 91 8" xfId="5820"/>
    <cellStyle name="Normal 91 8 2" xfId="19470"/>
    <cellStyle name="Normal 91 9" xfId="9042"/>
    <cellStyle name="Normal 91 9 2" xfId="22685"/>
    <cellStyle name="Normal 92" xfId="1255"/>
    <cellStyle name="Normal 92 10" xfId="12020"/>
    <cellStyle name="Normal 92 10 2" xfId="25651"/>
    <cellStyle name="Normal 92 11" xfId="12183"/>
    <cellStyle name="Normal 92 11 2" xfId="25811"/>
    <cellStyle name="Normal 92 12" xfId="12421"/>
    <cellStyle name="Normal 92 12 2" xfId="26049"/>
    <cellStyle name="Normal 92 13" xfId="15359"/>
    <cellStyle name="Normal 92 13 2" xfId="28949"/>
    <cellStyle name="Normal 92 14" xfId="15571"/>
    <cellStyle name="Normal 92 14 2" xfId="29068"/>
    <cellStyle name="Normal 92 15" xfId="16182"/>
    <cellStyle name="Normal 92 16" xfId="29704"/>
    <cellStyle name="Normal 92 2" xfId="2211"/>
    <cellStyle name="Normal 92 2 2" xfId="3324"/>
    <cellStyle name="Normal 92 2 2 2" xfId="5070"/>
    <cellStyle name="Normal 92 2 2 2 2" xfId="8334"/>
    <cellStyle name="Normal 92 2 2 2 2 2" xfId="21982"/>
    <cellStyle name="Normal 92 2 2 2 3" xfId="11401"/>
    <cellStyle name="Normal 92 2 2 2 3 2" xfId="25032"/>
    <cellStyle name="Normal 92 2 2 2 4" xfId="14697"/>
    <cellStyle name="Normal 92 2 2 2 4 2" xfId="28325"/>
    <cellStyle name="Normal 92 2 2 2 5" xfId="18728"/>
    <cellStyle name="Normal 92 2 2 3" xfId="6758"/>
    <cellStyle name="Normal 92 2 2 3 2" xfId="20408"/>
    <cellStyle name="Normal 92 2 2 4" xfId="9978"/>
    <cellStyle name="Normal 92 2 2 4 2" xfId="23609"/>
    <cellStyle name="Normal 92 2 2 5" xfId="13273"/>
    <cellStyle name="Normal 92 2 2 5 2" xfId="26901"/>
    <cellStyle name="Normal 92 2 2 6" xfId="17203"/>
    <cellStyle name="Normal 92 2 3" xfId="4124"/>
    <cellStyle name="Normal 92 2 3 2" xfId="7554"/>
    <cellStyle name="Normal 92 2 3 2 2" xfId="21202"/>
    <cellStyle name="Normal 92 2 3 3" xfId="10692"/>
    <cellStyle name="Normal 92 2 3 3 2" xfId="24323"/>
    <cellStyle name="Normal 92 2 3 4" xfId="13988"/>
    <cellStyle name="Normal 92 2 3 4 2" xfId="27616"/>
    <cellStyle name="Normal 92 2 3 5" xfId="17919"/>
    <cellStyle name="Normal 92 2 4" xfId="5960"/>
    <cellStyle name="Normal 92 2 4 2" xfId="19610"/>
    <cellStyle name="Normal 92 2 5" xfId="9246"/>
    <cellStyle name="Normal 92 2 5 2" xfId="22888"/>
    <cellStyle name="Normal 92 2 6" xfId="12560"/>
    <cellStyle name="Normal 92 2 6 2" xfId="26188"/>
    <cellStyle name="Normal 92 2 7" xfId="16405"/>
    <cellStyle name="Normal 92 3" xfId="2549"/>
    <cellStyle name="Normal 92 3 2" xfId="3590"/>
    <cellStyle name="Normal 92 3 2 2" xfId="5257"/>
    <cellStyle name="Normal 92 3 2 2 2" xfId="8520"/>
    <cellStyle name="Normal 92 3 2 2 2 2" xfId="22168"/>
    <cellStyle name="Normal 92 3 2 2 3" xfId="11587"/>
    <cellStyle name="Normal 92 3 2 2 3 2" xfId="25218"/>
    <cellStyle name="Normal 92 3 2 2 4" xfId="14883"/>
    <cellStyle name="Normal 92 3 2 2 4 2" xfId="28511"/>
    <cellStyle name="Normal 92 3 2 2 5" xfId="18915"/>
    <cellStyle name="Normal 92 3 2 3" xfId="7024"/>
    <cellStyle name="Normal 92 3 2 3 2" xfId="20674"/>
    <cellStyle name="Normal 92 3 2 4" xfId="10165"/>
    <cellStyle name="Normal 92 3 2 4 2" xfId="23796"/>
    <cellStyle name="Normal 92 3 2 5" xfId="13460"/>
    <cellStyle name="Normal 92 3 2 5 2" xfId="27088"/>
    <cellStyle name="Normal 92 3 2 6" xfId="17391"/>
    <cellStyle name="Normal 92 3 3" xfId="4310"/>
    <cellStyle name="Normal 92 3 3 2" xfId="7740"/>
    <cellStyle name="Normal 92 3 3 2 2" xfId="21388"/>
    <cellStyle name="Normal 92 3 3 3" xfId="10878"/>
    <cellStyle name="Normal 92 3 3 3 2" xfId="24509"/>
    <cellStyle name="Normal 92 3 3 4" xfId="14174"/>
    <cellStyle name="Normal 92 3 3 4 2" xfId="27802"/>
    <cellStyle name="Normal 92 3 3 5" xfId="18105"/>
    <cellStyle name="Normal 92 3 4" xfId="6212"/>
    <cellStyle name="Normal 92 3 4 2" xfId="19862"/>
    <cellStyle name="Normal 92 3 5" xfId="9432"/>
    <cellStyle name="Normal 92 3 5 2" xfId="23074"/>
    <cellStyle name="Normal 92 3 6" xfId="12746"/>
    <cellStyle name="Normal 92 3 6 2" xfId="26374"/>
    <cellStyle name="Normal 92 3 7" xfId="16594"/>
    <cellStyle name="Normal 92 4" xfId="2792"/>
    <cellStyle name="Normal 92 4 2" xfId="3746"/>
    <cellStyle name="Normal 92 4 2 2" xfId="5413"/>
    <cellStyle name="Normal 92 4 2 2 2" xfId="8676"/>
    <cellStyle name="Normal 92 4 2 2 2 2" xfId="22324"/>
    <cellStyle name="Normal 92 4 2 2 3" xfId="11743"/>
    <cellStyle name="Normal 92 4 2 2 3 2" xfId="25374"/>
    <cellStyle name="Normal 92 4 2 2 4" xfId="15039"/>
    <cellStyle name="Normal 92 4 2 2 4 2" xfId="28667"/>
    <cellStyle name="Normal 92 4 2 2 5" xfId="19071"/>
    <cellStyle name="Normal 92 4 2 3" xfId="7180"/>
    <cellStyle name="Normal 92 4 2 3 2" xfId="20830"/>
    <cellStyle name="Normal 92 4 2 4" xfId="10321"/>
    <cellStyle name="Normal 92 4 2 4 2" xfId="23952"/>
    <cellStyle name="Normal 92 4 2 5" xfId="13616"/>
    <cellStyle name="Normal 92 4 2 5 2" xfId="27244"/>
    <cellStyle name="Normal 92 4 2 6" xfId="17547"/>
    <cellStyle name="Normal 92 4 3" xfId="4535"/>
    <cellStyle name="Normal 92 4 3 2" xfId="7965"/>
    <cellStyle name="Normal 92 4 3 2 2" xfId="21613"/>
    <cellStyle name="Normal 92 4 3 3" xfId="11034"/>
    <cellStyle name="Normal 92 4 3 3 2" xfId="24665"/>
    <cellStyle name="Normal 92 4 3 4" xfId="14330"/>
    <cellStyle name="Normal 92 4 3 4 2" xfId="27958"/>
    <cellStyle name="Normal 92 4 3 5" xfId="18330"/>
    <cellStyle name="Normal 92 4 4" xfId="6386"/>
    <cellStyle name="Normal 92 4 4 2" xfId="20036"/>
    <cellStyle name="Normal 92 4 5" xfId="9588"/>
    <cellStyle name="Normal 92 4 5 2" xfId="23230"/>
    <cellStyle name="Normal 92 4 6" xfId="12902"/>
    <cellStyle name="Normal 92 4 6 2" xfId="26530"/>
    <cellStyle name="Normal 92 4 7" xfId="16819"/>
    <cellStyle name="Normal 92 5" xfId="3000"/>
    <cellStyle name="Normal 92 5 2" xfId="4840"/>
    <cellStyle name="Normal 92 5 2 2" xfId="8107"/>
    <cellStyle name="Normal 92 5 2 2 2" xfId="21755"/>
    <cellStyle name="Normal 92 5 2 3" xfId="11176"/>
    <cellStyle name="Normal 92 5 2 3 2" xfId="24807"/>
    <cellStyle name="Normal 92 5 2 4" xfId="14472"/>
    <cellStyle name="Normal 92 5 2 4 2" xfId="28100"/>
    <cellStyle name="Normal 92 5 2 5" xfId="18499"/>
    <cellStyle name="Normal 92 5 3" xfId="6530"/>
    <cellStyle name="Normal 92 5 3 2" xfId="20180"/>
    <cellStyle name="Normal 92 5 4" xfId="9751"/>
    <cellStyle name="Normal 92 5 4 2" xfId="23382"/>
    <cellStyle name="Normal 92 5 5" xfId="13046"/>
    <cellStyle name="Normal 92 5 5 2" xfId="26674"/>
    <cellStyle name="Normal 92 5 6" xfId="16964"/>
    <cellStyle name="Normal 92 6" xfId="3984"/>
    <cellStyle name="Normal 92 6 2" xfId="7414"/>
    <cellStyle name="Normal 92 6 2 2" xfId="21062"/>
    <cellStyle name="Normal 92 6 3" xfId="10552"/>
    <cellStyle name="Normal 92 6 3 2" xfId="24183"/>
    <cellStyle name="Normal 92 6 4" xfId="13848"/>
    <cellStyle name="Normal 92 6 4 2" xfId="27476"/>
    <cellStyle name="Normal 92 6 5" xfId="17779"/>
    <cellStyle name="Normal 92 7" xfId="5579"/>
    <cellStyle name="Normal 92 7 2" xfId="8840"/>
    <cellStyle name="Normal 92 7 2 2" xfId="22483"/>
    <cellStyle name="Normal 92 7 3" xfId="11900"/>
    <cellStyle name="Normal 92 7 3 2" xfId="25531"/>
    <cellStyle name="Normal 92 7 4" xfId="15196"/>
    <cellStyle name="Normal 92 7 4 2" xfId="28824"/>
    <cellStyle name="Normal 92 7 5" xfId="19229"/>
    <cellStyle name="Normal 92 8" xfId="5821"/>
    <cellStyle name="Normal 92 8 2" xfId="19471"/>
    <cellStyle name="Normal 92 9" xfId="9043"/>
    <cellStyle name="Normal 92 9 2" xfId="22686"/>
    <cellStyle name="Normal 93" xfId="1256"/>
    <cellStyle name="Normal 93 10" xfId="12021"/>
    <cellStyle name="Normal 93 10 2" xfId="25652"/>
    <cellStyle name="Normal 93 11" xfId="12184"/>
    <cellStyle name="Normal 93 11 2" xfId="25812"/>
    <cellStyle name="Normal 93 12" xfId="12422"/>
    <cellStyle name="Normal 93 12 2" xfId="26050"/>
    <cellStyle name="Normal 93 13" xfId="15360"/>
    <cellStyle name="Normal 93 13 2" xfId="28950"/>
    <cellStyle name="Normal 93 14" xfId="15572"/>
    <cellStyle name="Normal 93 14 2" xfId="29069"/>
    <cellStyle name="Normal 93 15" xfId="16183"/>
    <cellStyle name="Normal 93 16" xfId="29705"/>
    <cellStyle name="Normal 93 2" xfId="2212"/>
    <cellStyle name="Normal 93 2 2" xfId="3325"/>
    <cellStyle name="Normal 93 2 2 2" xfId="5071"/>
    <cellStyle name="Normal 93 2 2 2 2" xfId="8335"/>
    <cellStyle name="Normal 93 2 2 2 2 2" xfId="21983"/>
    <cellStyle name="Normal 93 2 2 2 3" xfId="11402"/>
    <cellStyle name="Normal 93 2 2 2 3 2" xfId="25033"/>
    <cellStyle name="Normal 93 2 2 2 4" xfId="14698"/>
    <cellStyle name="Normal 93 2 2 2 4 2" xfId="28326"/>
    <cellStyle name="Normal 93 2 2 2 5" xfId="18729"/>
    <cellStyle name="Normal 93 2 2 3" xfId="6759"/>
    <cellStyle name="Normal 93 2 2 3 2" xfId="20409"/>
    <cellStyle name="Normal 93 2 2 4" xfId="9979"/>
    <cellStyle name="Normal 93 2 2 4 2" xfId="23610"/>
    <cellStyle name="Normal 93 2 2 5" xfId="13274"/>
    <cellStyle name="Normal 93 2 2 5 2" xfId="26902"/>
    <cellStyle name="Normal 93 2 2 6" xfId="17204"/>
    <cellStyle name="Normal 93 2 3" xfId="4125"/>
    <cellStyle name="Normal 93 2 3 2" xfId="7555"/>
    <cellStyle name="Normal 93 2 3 2 2" xfId="21203"/>
    <cellStyle name="Normal 93 2 3 3" xfId="10693"/>
    <cellStyle name="Normal 93 2 3 3 2" xfId="24324"/>
    <cellStyle name="Normal 93 2 3 4" xfId="13989"/>
    <cellStyle name="Normal 93 2 3 4 2" xfId="27617"/>
    <cellStyle name="Normal 93 2 3 5" xfId="17920"/>
    <cellStyle name="Normal 93 2 4" xfId="5961"/>
    <cellStyle name="Normal 93 2 4 2" xfId="19611"/>
    <cellStyle name="Normal 93 2 5" xfId="9247"/>
    <cellStyle name="Normal 93 2 5 2" xfId="22889"/>
    <cellStyle name="Normal 93 2 6" xfId="12561"/>
    <cellStyle name="Normal 93 2 6 2" xfId="26189"/>
    <cellStyle name="Normal 93 2 7" xfId="16406"/>
    <cellStyle name="Normal 93 3" xfId="2550"/>
    <cellStyle name="Normal 93 3 2" xfId="3591"/>
    <cellStyle name="Normal 93 3 2 2" xfId="5258"/>
    <cellStyle name="Normal 93 3 2 2 2" xfId="8521"/>
    <cellStyle name="Normal 93 3 2 2 2 2" xfId="22169"/>
    <cellStyle name="Normal 93 3 2 2 3" xfId="11588"/>
    <cellStyle name="Normal 93 3 2 2 3 2" xfId="25219"/>
    <cellStyle name="Normal 93 3 2 2 4" xfId="14884"/>
    <cellStyle name="Normal 93 3 2 2 4 2" xfId="28512"/>
    <cellStyle name="Normal 93 3 2 2 5" xfId="18916"/>
    <cellStyle name="Normal 93 3 2 3" xfId="7025"/>
    <cellStyle name="Normal 93 3 2 3 2" xfId="20675"/>
    <cellStyle name="Normal 93 3 2 4" xfId="10166"/>
    <cellStyle name="Normal 93 3 2 4 2" xfId="23797"/>
    <cellStyle name="Normal 93 3 2 5" xfId="13461"/>
    <cellStyle name="Normal 93 3 2 5 2" xfId="27089"/>
    <cellStyle name="Normal 93 3 2 6" xfId="17392"/>
    <cellStyle name="Normal 93 3 3" xfId="4311"/>
    <cellStyle name="Normal 93 3 3 2" xfId="7741"/>
    <cellStyle name="Normal 93 3 3 2 2" xfId="21389"/>
    <cellStyle name="Normal 93 3 3 3" xfId="10879"/>
    <cellStyle name="Normal 93 3 3 3 2" xfId="24510"/>
    <cellStyle name="Normal 93 3 3 4" xfId="14175"/>
    <cellStyle name="Normal 93 3 3 4 2" xfId="27803"/>
    <cellStyle name="Normal 93 3 3 5" xfId="18106"/>
    <cellStyle name="Normal 93 3 4" xfId="6213"/>
    <cellStyle name="Normal 93 3 4 2" xfId="19863"/>
    <cellStyle name="Normal 93 3 5" xfId="9433"/>
    <cellStyle name="Normal 93 3 5 2" xfId="23075"/>
    <cellStyle name="Normal 93 3 6" xfId="12747"/>
    <cellStyle name="Normal 93 3 6 2" xfId="26375"/>
    <cellStyle name="Normal 93 3 7" xfId="16595"/>
    <cellStyle name="Normal 93 4" xfId="2793"/>
    <cellStyle name="Normal 93 4 2" xfId="3747"/>
    <cellStyle name="Normal 93 4 2 2" xfId="5414"/>
    <cellStyle name="Normal 93 4 2 2 2" xfId="8677"/>
    <cellStyle name="Normal 93 4 2 2 2 2" xfId="22325"/>
    <cellStyle name="Normal 93 4 2 2 3" xfId="11744"/>
    <cellStyle name="Normal 93 4 2 2 3 2" xfId="25375"/>
    <cellStyle name="Normal 93 4 2 2 4" xfId="15040"/>
    <cellStyle name="Normal 93 4 2 2 4 2" xfId="28668"/>
    <cellStyle name="Normal 93 4 2 2 5" xfId="19072"/>
    <cellStyle name="Normal 93 4 2 3" xfId="7181"/>
    <cellStyle name="Normal 93 4 2 3 2" xfId="20831"/>
    <cellStyle name="Normal 93 4 2 4" xfId="10322"/>
    <cellStyle name="Normal 93 4 2 4 2" xfId="23953"/>
    <cellStyle name="Normal 93 4 2 5" xfId="13617"/>
    <cellStyle name="Normal 93 4 2 5 2" xfId="27245"/>
    <cellStyle name="Normal 93 4 2 6" xfId="17548"/>
    <cellStyle name="Normal 93 4 3" xfId="4536"/>
    <cellStyle name="Normal 93 4 3 2" xfId="7966"/>
    <cellStyle name="Normal 93 4 3 2 2" xfId="21614"/>
    <cellStyle name="Normal 93 4 3 3" xfId="11035"/>
    <cellStyle name="Normal 93 4 3 3 2" xfId="24666"/>
    <cellStyle name="Normal 93 4 3 4" xfId="14331"/>
    <cellStyle name="Normal 93 4 3 4 2" xfId="27959"/>
    <cellStyle name="Normal 93 4 3 5" xfId="18331"/>
    <cellStyle name="Normal 93 4 4" xfId="6387"/>
    <cellStyle name="Normal 93 4 4 2" xfId="20037"/>
    <cellStyle name="Normal 93 4 5" xfId="9589"/>
    <cellStyle name="Normal 93 4 5 2" xfId="23231"/>
    <cellStyle name="Normal 93 4 6" xfId="12903"/>
    <cellStyle name="Normal 93 4 6 2" xfId="26531"/>
    <cellStyle name="Normal 93 4 7" xfId="16820"/>
    <cellStyle name="Normal 93 5" xfId="3001"/>
    <cellStyle name="Normal 93 5 2" xfId="4841"/>
    <cellStyle name="Normal 93 5 2 2" xfId="8108"/>
    <cellStyle name="Normal 93 5 2 2 2" xfId="21756"/>
    <cellStyle name="Normal 93 5 2 3" xfId="11177"/>
    <cellStyle name="Normal 93 5 2 3 2" xfId="24808"/>
    <cellStyle name="Normal 93 5 2 4" xfId="14473"/>
    <cellStyle name="Normal 93 5 2 4 2" xfId="28101"/>
    <cellStyle name="Normal 93 5 2 5" xfId="18500"/>
    <cellStyle name="Normal 93 5 3" xfId="6531"/>
    <cellStyle name="Normal 93 5 3 2" xfId="20181"/>
    <cellStyle name="Normal 93 5 4" xfId="9752"/>
    <cellStyle name="Normal 93 5 4 2" xfId="23383"/>
    <cellStyle name="Normal 93 5 5" xfId="13047"/>
    <cellStyle name="Normal 93 5 5 2" xfId="26675"/>
    <cellStyle name="Normal 93 5 6" xfId="16965"/>
    <cellStyle name="Normal 93 6" xfId="3985"/>
    <cellStyle name="Normal 93 6 2" xfId="7415"/>
    <cellStyle name="Normal 93 6 2 2" xfId="21063"/>
    <cellStyle name="Normal 93 6 3" xfId="10553"/>
    <cellStyle name="Normal 93 6 3 2" xfId="24184"/>
    <cellStyle name="Normal 93 6 4" xfId="13849"/>
    <cellStyle name="Normal 93 6 4 2" xfId="27477"/>
    <cellStyle name="Normal 93 6 5" xfId="17780"/>
    <cellStyle name="Normal 93 7" xfId="5580"/>
    <cellStyle name="Normal 93 7 2" xfId="8841"/>
    <cellStyle name="Normal 93 7 2 2" xfId="22484"/>
    <cellStyle name="Normal 93 7 3" xfId="11901"/>
    <cellStyle name="Normal 93 7 3 2" xfId="25532"/>
    <cellStyle name="Normal 93 7 4" xfId="15197"/>
    <cellStyle name="Normal 93 7 4 2" xfId="28825"/>
    <cellStyle name="Normal 93 7 5" xfId="19230"/>
    <cellStyle name="Normal 93 8" xfId="5822"/>
    <cellStyle name="Normal 93 8 2" xfId="19472"/>
    <cellStyle name="Normal 93 9" xfId="9044"/>
    <cellStyle name="Normal 93 9 2" xfId="22687"/>
    <cellStyle name="Normal 94" xfId="1257"/>
    <cellStyle name="Normal 94 10" xfId="12022"/>
    <cellStyle name="Normal 94 10 2" xfId="25653"/>
    <cellStyle name="Normal 94 11" xfId="12185"/>
    <cellStyle name="Normal 94 11 2" xfId="25813"/>
    <cellStyle name="Normal 94 12" xfId="12423"/>
    <cellStyle name="Normal 94 12 2" xfId="26051"/>
    <cellStyle name="Normal 94 13" xfId="15361"/>
    <cellStyle name="Normal 94 13 2" xfId="28951"/>
    <cellStyle name="Normal 94 14" xfId="15573"/>
    <cellStyle name="Normal 94 14 2" xfId="29070"/>
    <cellStyle name="Normal 94 15" xfId="16184"/>
    <cellStyle name="Normal 94 16" xfId="29706"/>
    <cellStyle name="Normal 94 2" xfId="2213"/>
    <cellStyle name="Normal 94 2 2" xfId="3326"/>
    <cellStyle name="Normal 94 2 2 2" xfId="5072"/>
    <cellStyle name="Normal 94 2 2 2 2" xfId="8336"/>
    <cellStyle name="Normal 94 2 2 2 2 2" xfId="21984"/>
    <cellStyle name="Normal 94 2 2 2 3" xfId="11403"/>
    <cellStyle name="Normal 94 2 2 2 3 2" xfId="25034"/>
    <cellStyle name="Normal 94 2 2 2 4" xfId="14699"/>
    <cellStyle name="Normal 94 2 2 2 4 2" xfId="28327"/>
    <cellStyle name="Normal 94 2 2 2 5" xfId="18730"/>
    <cellStyle name="Normal 94 2 2 3" xfId="6760"/>
    <cellStyle name="Normal 94 2 2 3 2" xfId="20410"/>
    <cellStyle name="Normal 94 2 2 4" xfId="9980"/>
    <cellStyle name="Normal 94 2 2 4 2" xfId="23611"/>
    <cellStyle name="Normal 94 2 2 5" xfId="13275"/>
    <cellStyle name="Normal 94 2 2 5 2" xfId="26903"/>
    <cellStyle name="Normal 94 2 2 6" xfId="17205"/>
    <cellStyle name="Normal 94 2 3" xfId="4126"/>
    <cellStyle name="Normal 94 2 3 2" xfId="7556"/>
    <cellStyle name="Normal 94 2 3 2 2" xfId="21204"/>
    <cellStyle name="Normal 94 2 3 3" xfId="10694"/>
    <cellStyle name="Normal 94 2 3 3 2" xfId="24325"/>
    <cellStyle name="Normal 94 2 3 4" xfId="13990"/>
    <cellStyle name="Normal 94 2 3 4 2" xfId="27618"/>
    <cellStyle name="Normal 94 2 3 5" xfId="17921"/>
    <cellStyle name="Normal 94 2 4" xfId="5962"/>
    <cellStyle name="Normal 94 2 4 2" xfId="19612"/>
    <cellStyle name="Normal 94 2 5" xfId="9248"/>
    <cellStyle name="Normal 94 2 5 2" xfId="22890"/>
    <cellStyle name="Normal 94 2 6" xfId="12562"/>
    <cellStyle name="Normal 94 2 6 2" xfId="26190"/>
    <cellStyle name="Normal 94 2 7" xfId="16407"/>
    <cellStyle name="Normal 94 3" xfId="2551"/>
    <cellStyle name="Normal 94 3 2" xfId="3592"/>
    <cellStyle name="Normal 94 3 2 2" xfId="5259"/>
    <cellStyle name="Normal 94 3 2 2 2" xfId="8522"/>
    <cellStyle name="Normal 94 3 2 2 2 2" xfId="22170"/>
    <cellStyle name="Normal 94 3 2 2 3" xfId="11589"/>
    <cellStyle name="Normal 94 3 2 2 3 2" xfId="25220"/>
    <cellStyle name="Normal 94 3 2 2 4" xfId="14885"/>
    <cellStyle name="Normal 94 3 2 2 4 2" xfId="28513"/>
    <cellStyle name="Normal 94 3 2 2 5" xfId="18917"/>
    <cellStyle name="Normal 94 3 2 3" xfId="7026"/>
    <cellStyle name="Normal 94 3 2 3 2" xfId="20676"/>
    <cellStyle name="Normal 94 3 2 4" xfId="10167"/>
    <cellStyle name="Normal 94 3 2 4 2" xfId="23798"/>
    <cellStyle name="Normal 94 3 2 5" xfId="13462"/>
    <cellStyle name="Normal 94 3 2 5 2" xfId="27090"/>
    <cellStyle name="Normal 94 3 2 6" xfId="17393"/>
    <cellStyle name="Normal 94 3 3" xfId="4312"/>
    <cellStyle name="Normal 94 3 3 2" xfId="7742"/>
    <cellStyle name="Normal 94 3 3 2 2" xfId="21390"/>
    <cellStyle name="Normal 94 3 3 3" xfId="10880"/>
    <cellStyle name="Normal 94 3 3 3 2" xfId="24511"/>
    <cellStyle name="Normal 94 3 3 4" xfId="14176"/>
    <cellStyle name="Normal 94 3 3 4 2" xfId="27804"/>
    <cellStyle name="Normal 94 3 3 5" xfId="18107"/>
    <cellStyle name="Normal 94 3 4" xfId="6214"/>
    <cellStyle name="Normal 94 3 4 2" xfId="19864"/>
    <cellStyle name="Normal 94 3 5" xfId="9434"/>
    <cellStyle name="Normal 94 3 5 2" xfId="23076"/>
    <cellStyle name="Normal 94 3 6" xfId="12748"/>
    <cellStyle name="Normal 94 3 6 2" xfId="26376"/>
    <cellStyle name="Normal 94 3 7" xfId="16596"/>
    <cellStyle name="Normal 94 4" xfId="2794"/>
    <cellStyle name="Normal 94 4 2" xfId="3748"/>
    <cellStyle name="Normal 94 4 2 2" xfId="5415"/>
    <cellStyle name="Normal 94 4 2 2 2" xfId="8678"/>
    <cellStyle name="Normal 94 4 2 2 2 2" xfId="22326"/>
    <cellStyle name="Normal 94 4 2 2 3" xfId="11745"/>
    <cellStyle name="Normal 94 4 2 2 3 2" xfId="25376"/>
    <cellStyle name="Normal 94 4 2 2 4" xfId="15041"/>
    <cellStyle name="Normal 94 4 2 2 4 2" xfId="28669"/>
    <cellStyle name="Normal 94 4 2 2 5" xfId="19073"/>
    <cellStyle name="Normal 94 4 2 3" xfId="7182"/>
    <cellStyle name="Normal 94 4 2 3 2" xfId="20832"/>
    <cellStyle name="Normal 94 4 2 4" xfId="10323"/>
    <cellStyle name="Normal 94 4 2 4 2" xfId="23954"/>
    <cellStyle name="Normal 94 4 2 5" xfId="13618"/>
    <cellStyle name="Normal 94 4 2 5 2" xfId="27246"/>
    <cellStyle name="Normal 94 4 2 6" xfId="17549"/>
    <cellStyle name="Normal 94 4 3" xfId="4537"/>
    <cellStyle name="Normal 94 4 3 2" xfId="7967"/>
    <cellStyle name="Normal 94 4 3 2 2" xfId="21615"/>
    <cellStyle name="Normal 94 4 3 3" xfId="11036"/>
    <cellStyle name="Normal 94 4 3 3 2" xfId="24667"/>
    <cellStyle name="Normal 94 4 3 4" xfId="14332"/>
    <cellStyle name="Normal 94 4 3 4 2" xfId="27960"/>
    <cellStyle name="Normal 94 4 3 5" xfId="18332"/>
    <cellStyle name="Normal 94 4 4" xfId="6388"/>
    <cellStyle name="Normal 94 4 4 2" xfId="20038"/>
    <cellStyle name="Normal 94 4 5" xfId="9590"/>
    <cellStyle name="Normal 94 4 5 2" xfId="23232"/>
    <cellStyle name="Normal 94 4 6" xfId="12904"/>
    <cellStyle name="Normal 94 4 6 2" xfId="26532"/>
    <cellStyle name="Normal 94 4 7" xfId="16821"/>
    <cellStyle name="Normal 94 5" xfId="3002"/>
    <cellStyle name="Normal 94 5 2" xfId="4842"/>
    <cellStyle name="Normal 94 5 2 2" xfId="8109"/>
    <cellStyle name="Normal 94 5 2 2 2" xfId="21757"/>
    <cellStyle name="Normal 94 5 2 3" xfId="11178"/>
    <cellStyle name="Normal 94 5 2 3 2" xfId="24809"/>
    <cellStyle name="Normal 94 5 2 4" xfId="14474"/>
    <cellStyle name="Normal 94 5 2 4 2" xfId="28102"/>
    <cellStyle name="Normal 94 5 2 5" xfId="18501"/>
    <cellStyle name="Normal 94 5 3" xfId="6532"/>
    <cellStyle name="Normal 94 5 3 2" xfId="20182"/>
    <cellStyle name="Normal 94 5 4" xfId="9753"/>
    <cellStyle name="Normal 94 5 4 2" xfId="23384"/>
    <cellStyle name="Normal 94 5 5" xfId="13048"/>
    <cellStyle name="Normal 94 5 5 2" xfId="26676"/>
    <cellStyle name="Normal 94 5 6" xfId="16966"/>
    <cellStyle name="Normal 94 6" xfId="3986"/>
    <cellStyle name="Normal 94 6 2" xfId="7416"/>
    <cellStyle name="Normal 94 6 2 2" xfId="21064"/>
    <cellStyle name="Normal 94 6 3" xfId="10554"/>
    <cellStyle name="Normal 94 6 3 2" xfId="24185"/>
    <cellStyle name="Normal 94 6 4" xfId="13850"/>
    <cellStyle name="Normal 94 6 4 2" xfId="27478"/>
    <cellStyle name="Normal 94 6 5" xfId="17781"/>
    <cellStyle name="Normal 94 7" xfId="5581"/>
    <cellStyle name="Normal 94 7 2" xfId="8842"/>
    <cellStyle name="Normal 94 7 2 2" xfId="22485"/>
    <cellStyle name="Normal 94 7 3" xfId="11902"/>
    <cellStyle name="Normal 94 7 3 2" xfId="25533"/>
    <cellStyle name="Normal 94 7 4" xfId="15198"/>
    <cellStyle name="Normal 94 7 4 2" xfId="28826"/>
    <cellStyle name="Normal 94 7 5" xfId="19231"/>
    <cellStyle name="Normal 94 8" xfId="5823"/>
    <cellStyle name="Normal 94 8 2" xfId="19473"/>
    <cellStyle name="Normal 94 9" xfId="9045"/>
    <cellStyle name="Normal 94 9 2" xfId="22688"/>
    <cellStyle name="Normal 95" xfId="1258"/>
    <cellStyle name="Normal 95 10" xfId="12023"/>
    <cellStyle name="Normal 95 10 2" xfId="25654"/>
    <cellStyle name="Normal 95 11" xfId="12186"/>
    <cellStyle name="Normal 95 11 2" xfId="25814"/>
    <cellStyle name="Normal 95 12" xfId="12424"/>
    <cellStyle name="Normal 95 12 2" xfId="26052"/>
    <cellStyle name="Normal 95 13" xfId="15362"/>
    <cellStyle name="Normal 95 13 2" xfId="28952"/>
    <cellStyle name="Normal 95 14" xfId="15574"/>
    <cellStyle name="Normal 95 14 2" xfId="29071"/>
    <cellStyle name="Normal 95 15" xfId="16185"/>
    <cellStyle name="Normal 95 16" xfId="29707"/>
    <cellStyle name="Normal 95 2" xfId="2214"/>
    <cellStyle name="Normal 95 2 2" xfId="3327"/>
    <cellStyle name="Normal 95 2 2 2" xfId="5073"/>
    <cellStyle name="Normal 95 2 2 2 2" xfId="8337"/>
    <cellStyle name="Normal 95 2 2 2 2 2" xfId="21985"/>
    <cellStyle name="Normal 95 2 2 2 3" xfId="11404"/>
    <cellStyle name="Normal 95 2 2 2 3 2" xfId="25035"/>
    <cellStyle name="Normal 95 2 2 2 4" xfId="14700"/>
    <cellStyle name="Normal 95 2 2 2 4 2" xfId="28328"/>
    <cellStyle name="Normal 95 2 2 2 5" xfId="18731"/>
    <cellStyle name="Normal 95 2 2 3" xfId="6761"/>
    <cellStyle name="Normal 95 2 2 3 2" xfId="20411"/>
    <cellStyle name="Normal 95 2 2 4" xfId="9981"/>
    <cellStyle name="Normal 95 2 2 4 2" xfId="23612"/>
    <cellStyle name="Normal 95 2 2 5" xfId="13276"/>
    <cellStyle name="Normal 95 2 2 5 2" xfId="26904"/>
    <cellStyle name="Normal 95 2 2 6" xfId="17206"/>
    <cellStyle name="Normal 95 2 3" xfId="4127"/>
    <cellStyle name="Normal 95 2 3 2" xfId="7557"/>
    <cellStyle name="Normal 95 2 3 2 2" xfId="21205"/>
    <cellStyle name="Normal 95 2 3 3" xfId="10695"/>
    <cellStyle name="Normal 95 2 3 3 2" xfId="24326"/>
    <cellStyle name="Normal 95 2 3 4" xfId="13991"/>
    <cellStyle name="Normal 95 2 3 4 2" xfId="27619"/>
    <cellStyle name="Normal 95 2 3 5" xfId="17922"/>
    <cellStyle name="Normal 95 2 4" xfId="5963"/>
    <cellStyle name="Normal 95 2 4 2" xfId="19613"/>
    <cellStyle name="Normal 95 2 5" xfId="9249"/>
    <cellStyle name="Normal 95 2 5 2" xfId="22891"/>
    <cellStyle name="Normal 95 2 6" xfId="12563"/>
    <cellStyle name="Normal 95 2 6 2" xfId="26191"/>
    <cellStyle name="Normal 95 2 7" xfId="16408"/>
    <cellStyle name="Normal 95 3" xfId="2552"/>
    <cellStyle name="Normal 95 3 2" xfId="3593"/>
    <cellStyle name="Normal 95 3 2 2" xfId="5260"/>
    <cellStyle name="Normal 95 3 2 2 2" xfId="8523"/>
    <cellStyle name="Normal 95 3 2 2 2 2" xfId="22171"/>
    <cellStyle name="Normal 95 3 2 2 3" xfId="11590"/>
    <cellStyle name="Normal 95 3 2 2 3 2" xfId="25221"/>
    <cellStyle name="Normal 95 3 2 2 4" xfId="14886"/>
    <cellStyle name="Normal 95 3 2 2 4 2" xfId="28514"/>
    <cellStyle name="Normal 95 3 2 2 5" xfId="18918"/>
    <cellStyle name="Normal 95 3 2 3" xfId="7027"/>
    <cellStyle name="Normal 95 3 2 3 2" xfId="20677"/>
    <cellStyle name="Normal 95 3 2 4" xfId="10168"/>
    <cellStyle name="Normal 95 3 2 4 2" xfId="23799"/>
    <cellStyle name="Normal 95 3 2 5" xfId="13463"/>
    <cellStyle name="Normal 95 3 2 5 2" xfId="27091"/>
    <cellStyle name="Normal 95 3 2 6" xfId="17394"/>
    <cellStyle name="Normal 95 3 3" xfId="4313"/>
    <cellStyle name="Normal 95 3 3 2" xfId="7743"/>
    <cellStyle name="Normal 95 3 3 2 2" xfId="21391"/>
    <cellStyle name="Normal 95 3 3 3" xfId="10881"/>
    <cellStyle name="Normal 95 3 3 3 2" xfId="24512"/>
    <cellStyle name="Normal 95 3 3 4" xfId="14177"/>
    <cellStyle name="Normal 95 3 3 4 2" xfId="27805"/>
    <cellStyle name="Normal 95 3 3 5" xfId="18108"/>
    <cellStyle name="Normal 95 3 4" xfId="6215"/>
    <cellStyle name="Normal 95 3 4 2" xfId="19865"/>
    <cellStyle name="Normal 95 3 5" xfId="9435"/>
    <cellStyle name="Normal 95 3 5 2" xfId="23077"/>
    <cellStyle name="Normal 95 3 6" xfId="12749"/>
    <cellStyle name="Normal 95 3 6 2" xfId="26377"/>
    <cellStyle name="Normal 95 3 7" xfId="16597"/>
    <cellStyle name="Normal 95 4" xfId="2795"/>
    <cellStyle name="Normal 95 4 2" xfId="3749"/>
    <cellStyle name="Normal 95 4 2 2" xfId="5416"/>
    <cellStyle name="Normal 95 4 2 2 2" xfId="8679"/>
    <cellStyle name="Normal 95 4 2 2 2 2" xfId="22327"/>
    <cellStyle name="Normal 95 4 2 2 3" xfId="11746"/>
    <cellStyle name="Normal 95 4 2 2 3 2" xfId="25377"/>
    <cellStyle name="Normal 95 4 2 2 4" xfId="15042"/>
    <cellStyle name="Normal 95 4 2 2 4 2" xfId="28670"/>
    <cellStyle name="Normal 95 4 2 2 5" xfId="19074"/>
    <cellStyle name="Normal 95 4 2 3" xfId="7183"/>
    <cellStyle name="Normal 95 4 2 3 2" xfId="20833"/>
    <cellStyle name="Normal 95 4 2 4" xfId="10324"/>
    <cellStyle name="Normal 95 4 2 4 2" xfId="23955"/>
    <cellStyle name="Normal 95 4 2 5" xfId="13619"/>
    <cellStyle name="Normal 95 4 2 5 2" xfId="27247"/>
    <cellStyle name="Normal 95 4 2 6" xfId="17550"/>
    <cellStyle name="Normal 95 4 3" xfId="4538"/>
    <cellStyle name="Normal 95 4 3 2" xfId="7968"/>
    <cellStyle name="Normal 95 4 3 2 2" xfId="21616"/>
    <cellStyle name="Normal 95 4 3 3" xfId="11037"/>
    <cellStyle name="Normal 95 4 3 3 2" xfId="24668"/>
    <cellStyle name="Normal 95 4 3 4" xfId="14333"/>
    <cellStyle name="Normal 95 4 3 4 2" xfId="27961"/>
    <cellStyle name="Normal 95 4 3 5" xfId="18333"/>
    <cellStyle name="Normal 95 4 4" xfId="6389"/>
    <cellStyle name="Normal 95 4 4 2" xfId="20039"/>
    <cellStyle name="Normal 95 4 5" xfId="9591"/>
    <cellStyle name="Normal 95 4 5 2" xfId="23233"/>
    <cellStyle name="Normal 95 4 6" xfId="12905"/>
    <cellStyle name="Normal 95 4 6 2" xfId="26533"/>
    <cellStyle name="Normal 95 4 7" xfId="16822"/>
    <cellStyle name="Normal 95 5" xfId="3003"/>
    <cellStyle name="Normal 95 5 2" xfId="4843"/>
    <cellStyle name="Normal 95 5 2 2" xfId="8110"/>
    <cellStyle name="Normal 95 5 2 2 2" xfId="21758"/>
    <cellStyle name="Normal 95 5 2 3" xfId="11179"/>
    <cellStyle name="Normal 95 5 2 3 2" xfId="24810"/>
    <cellStyle name="Normal 95 5 2 4" xfId="14475"/>
    <cellStyle name="Normal 95 5 2 4 2" xfId="28103"/>
    <cellStyle name="Normal 95 5 2 5" xfId="18502"/>
    <cellStyle name="Normal 95 5 3" xfId="6533"/>
    <cellStyle name="Normal 95 5 3 2" xfId="20183"/>
    <cellStyle name="Normal 95 5 4" xfId="9754"/>
    <cellStyle name="Normal 95 5 4 2" xfId="23385"/>
    <cellStyle name="Normal 95 5 5" xfId="13049"/>
    <cellStyle name="Normal 95 5 5 2" xfId="26677"/>
    <cellStyle name="Normal 95 5 6" xfId="16967"/>
    <cellStyle name="Normal 95 6" xfId="3987"/>
    <cellStyle name="Normal 95 6 2" xfId="7417"/>
    <cellStyle name="Normal 95 6 2 2" xfId="21065"/>
    <cellStyle name="Normal 95 6 3" xfId="10555"/>
    <cellStyle name="Normal 95 6 3 2" xfId="24186"/>
    <cellStyle name="Normal 95 6 4" xfId="13851"/>
    <cellStyle name="Normal 95 6 4 2" xfId="27479"/>
    <cellStyle name="Normal 95 6 5" xfId="17782"/>
    <cellStyle name="Normal 95 7" xfId="5582"/>
    <cellStyle name="Normal 95 7 2" xfId="8843"/>
    <cellStyle name="Normal 95 7 2 2" xfId="22486"/>
    <cellStyle name="Normal 95 7 3" xfId="11903"/>
    <cellStyle name="Normal 95 7 3 2" xfId="25534"/>
    <cellStyle name="Normal 95 7 4" xfId="15199"/>
    <cellStyle name="Normal 95 7 4 2" xfId="28827"/>
    <cellStyle name="Normal 95 7 5" xfId="19232"/>
    <cellStyle name="Normal 95 8" xfId="5824"/>
    <cellStyle name="Normal 95 8 2" xfId="19474"/>
    <cellStyle name="Normal 95 9" xfId="9046"/>
    <cellStyle name="Normal 95 9 2" xfId="22689"/>
    <cellStyle name="Normal 96" xfId="1259"/>
    <cellStyle name="Normal 96 10" xfId="12024"/>
    <cellStyle name="Normal 96 10 2" xfId="25655"/>
    <cellStyle name="Normal 96 11" xfId="12187"/>
    <cellStyle name="Normal 96 11 2" xfId="25815"/>
    <cellStyle name="Normal 96 12" xfId="12425"/>
    <cellStyle name="Normal 96 12 2" xfId="26053"/>
    <cellStyle name="Normal 96 13" xfId="15363"/>
    <cellStyle name="Normal 96 13 2" xfId="28953"/>
    <cellStyle name="Normal 96 14" xfId="15575"/>
    <cellStyle name="Normal 96 14 2" xfId="29072"/>
    <cellStyle name="Normal 96 15" xfId="16186"/>
    <cellStyle name="Normal 96 16" xfId="29708"/>
    <cellStyle name="Normal 96 2" xfId="2215"/>
    <cellStyle name="Normal 96 2 2" xfId="3328"/>
    <cellStyle name="Normal 96 2 2 2" xfId="5074"/>
    <cellStyle name="Normal 96 2 2 2 2" xfId="8338"/>
    <cellStyle name="Normal 96 2 2 2 2 2" xfId="21986"/>
    <cellStyle name="Normal 96 2 2 2 3" xfId="11405"/>
    <cellStyle name="Normal 96 2 2 2 3 2" xfId="25036"/>
    <cellStyle name="Normal 96 2 2 2 4" xfId="14701"/>
    <cellStyle name="Normal 96 2 2 2 4 2" xfId="28329"/>
    <cellStyle name="Normal 96 2 2 2 5" xfId="18732"/>
    <cellStyle name="Normal 96 2 2 3" xfId="6762"/>
    <cellStyle name="Normal 96 2 2 3 2" xfId="20412"/>
    <cellStyle name="Normal 96 2 2 4" xfId="9982"/>
    <cellStyle name="Normal 96 2 2 4 2" xfId="23613"/>
    <cellStyle name="Normal 96 2 2 5" xfId="13277"/>
    <cellStyle name="Normal 96 2 2 5 2" xfId="26905"/>
    <cellStyle name="Normal 96 2 2 6" xfId="17207"/>
    <cellStyle name="Normal 96 2 3" xfId="4128"/>
    <cellStyle name="Normal 96 2 3 2" xfId="7558"/>
    <cellStyle name="Normal 96 2 3 2 2" xfId="21206"/>
    <cellStyle name="Normal 96 2 3 3" xfId="10696"/>
    <cellStyle name="Normal 96 2 3 3 2" xfId="24327"/>
    <cellStyle name="Normal 96 2 3 4" xfId="13992"/>
    <cellStyle name="Normal 96 2 3 4 2" xfId="27620"/>
    <cellStyle name="Normal 96 2 3 5" xfId="17923"/>
    <cellStyle name="Normal 96 2 4" xfId="5964"/>
    <cellStyle name="Normal 96 2 4 2" xfId="19614"/>
    <cellStyle name="Normal 96 2 5" xfId="9250"/>
    <cellStyle name="Normal 96 2 5 2" xfId="22892"/>
    <cellStyle name="Normal 96 2 6" xfId="12564"/>
    <cellStyle name="Normal 96 2 6 2" xfId="26192"/>
    <cellStyle name="Normal 96 2 7" xfId="16409"/>
    <cellStyle name="Normal 96 3" xfId="2553"/>
    <cellStyle name="Normal 96 3 2" xfId="3594"/>
    <cellStyle name="Normal 96 3 2 2" xfId="5261"/>
    <cellStyle name="Normal 96 3 2 2 2" xfId="8524"/>
    <cellStyle name="Normal 96 3 2 2 2 2" xfId="22172"/>
    <cellStyle name="Normal 96 3 2 2 3" xfId="11591"/>
    <cellStyle name="Normal 96 3 2 2 3 2" xfId="25222"/>
    <cellStyle name="Normal 96 3 2 2 4" xfId="14887"/>
    <cellStyle name="Normal 96 3 2 2 4 2" xfId="28515"/>
    <cellStyle name="Normal 96 3 2 2 5" xfId="18919"/>
    <cellStyle name="Normal 96 3 2 3" xfId="7028"/>
    <cellStyle name="Normal 96 3 2 3 2" xfId="20678"/>
    <cellStyle name="Normal 96 3 2 4" xfId="10169"/>
    <cellStyle name="Normal 96 3 2 4 2" xfId="23800"/>
    <cellStyle name="Normal 96 3 2 5" xfId="13464"/>
    <cellStyle name="Normal 96 3 2 5 2" xfId="27092"/>
    <cellStyle name="Normal 96 3 2 6" xfId="17395"/>
    <cellStyle name="Normal 96 3 3" xfId="4314"/>
    <cellStyle name="Normal 96 3 3 2" xfId="7744"/>
    <cellStyle name="Normal 96 3 3 2 2" xfId="21392"/>
    <cellStyle name="Normal 96 3 3 3" xfId="10882"/>
    <cellStyle name="Normal 96 3 3 3 2" xfId="24513"/>
    <cellStyle name="Normal 96 3 3 4" xfId="14178"/>
    <cellStyle name="Normal 96 3 3 4 2" xfId="27806"/>
    <cellStyle name="Normal 96 3 3 5" xfId="18109"/>
    <cellStyle name="Normal 96 3 4" xfId="6216"/>
    <cellStyle name="Normal 96 3 4 2" xfId="19866"/>
    <cellStyle name="Normal 96 3 5" xfId="9436"/>
    <cellStyle name="Normal 96 3 5 2" xfId="23078"/>
    <cellStyle name="Normal 96 3 6" xfId="12750"/>
    <cellStyle name="Normal 96 3 6 2" xfId="26378"/>
    <cellStyle name="Normal 96 3 7" xfId="16598"/>
    <cellStyle name="Normal 96 4" xfId="2796"/>
    <cellStyle name="Normal 96 4 2" xfId="3750"/>
    <cellStyle name="Normal 96 4 2 2" xfId="5417"/>
    <cellStyle name="Normal 96 4 2 2 2" xfId="8680"/>
    <cellStyle name="Normal 96 4 2 2 2 2" xfId="22328"/>
    <cellStyle name="Normal 96 4 2 2 3" xfId="11747"/>
    <cellStyle name="Normal 96 4 2 2 3 2" xfId="25378"/>
    <cellStyle name="Normal 96 4 2 2 4" xfId="15043"/>
    <cellStyle name="Normal 96 4 2 2 4 2" xfId="28671"/>
    <cellStyle name="Normal 96 4 2 2 5" xfId="19075"/>
    <cellStyle name="Normal 96 4 2 3" xfId="7184"/>
    <cellStyle name="Normal 96 4 2 3 2" xfId="20834"/>
    <cellStyle name="Normal 96 4 2 4" xfId="10325"/>
    <cellStyle name="Normal 96 4 2 4 2" xfId="23956"/>
    <cellStyle name="Normal 96 4 2 5" xfId="13620"/>
    <cellStyle name="Normal 96 4 2 5 2" xfId="27248"/>
    <cellStyle name="Normal 96 4 2 6" xfId="17551"/>
    <cellStyle name="Normal 96 4 3" xfId="4539"/>
    <cellStyle name="Normal 96 4 3 2" xfId="7969"/>
    <cellStyle name="Normal 96 4 3 2 2" xfId="21617"/>
    <cellStyle name="Normal 96 4 3 3" xfId="11038"/>
    <cellStyle name="Normal 96 4 3 3 2" xfId="24669"/>
    <cellStyle name="Normal 96 4 3 4" xfId="14334"/>
    <cellStyle name="Normal 96 4 3 4 2" xfId="27962"/>
    <cellStyle name="Normal 96 4 3 5" xfId="18334"/>
    <cellStyle name="Normal 96 4 4" xfId="6390"/>
    <cellStyle name="Normal 96 4 4 2" xfId="20040"/>
    <cellStyle name="Normal 96 4 5" xfId="9592"/>
    <cellStyle name="Normal 96 4 5 2" xfId="23234"/>
    <cellStyle name="Normal 96 4 6" xfId="12906"/>
    <cellStyle name="Normal 96 4 6 2" xfId="26534"/>
    <cellStyle name="Normal 96 4 7" xfId="16823"/>
    <cellStyle name="Normal 96 5" xfId="3004"/>
    <cellStyle name="Normal 96 5 2" xfId="4844"/>
    <cellStyle name="Normal 96 5 2 2" xfId="8111"/>
    <cellStyle name="Normal 96 5 2 2 2" xfId="21759"/>
    <cellStyle name="Normal 96 5 2 3" xfId="11180"/>
    <cellStyle name="Normal 96 5 2 3 2" xfId="24811"/>
    <cellStyle name="Normal 96 5 2 4" xfId="14476"/>
    <cellStyle name="Normal 96 5 2 4 2" xfId="28104"/>
    <cellStyle name="Normal 96 5 2 5" xfId="18503"/>
    <cellStyle name="Normal 96 5 3" xfId="6534"/>
    <cellStyle name="Normal 96 5 3 2" xfId="20184"/>
    <cellStyle name="Normal 96 5 4" xfId="9755"/>
    <cellStyle name="Normal 96 5 4 2" xfId="23386"/>
    <cellStyle name="Normal 96 5 5" xfId="13050"/>
    <cellStyle name="Normal 96 5 5 2" xfId="26678"/>
    <cellStyle name="Normal 96 5 6" xfId="16968"/>
    <cellStyle name="Normal 96 6" xfId="3988"/>
    <cellStyle name="Normal 96 6 2" xfId="7418"/>
    <cellStyle name="Normal 96 6 2 2" xfId="21066"/>
    <cellStyle name="Normal 96 6 3" xfId="10556"/>
    <cellStyle name="Normal 96 6 3 2" xfId="24187"/>
    <cellStyle name="Normal 96 6 4" xfId="13852"/>
    <cellStyle name="Normal 96 6 4 2" xfId="27480"/>
    <cellStyle name="Normal 96 6 5" xfId="17783"/>
    <cellStyle name="Normal 96 7" xfId="5583"/>
    <cellStyle name="Normal 96 7 2" xfId="8844"/>
    <cellStyle name="Normal 96 7 2 2" xfId="22487"/>
    <cellStyle name="Normal 96 7 3" xfId="11904"/>
    <cellStyle name="Normal 96 7 3 2" xfId="25535"/>
    <cellStyle name="Normal 96 7 4" xfId="15200"/>
    <cellStyle name="Normal 96 7 4 2" xfId="28828"/>
    <cellStyle name="Normal 96 7 5" xfId="19233"/>
    <cellStyle name="Normal 96 8" xfId="5825"/>
    <cellStyle name="Normal 96 8 2" xfId="19475"/>
    <cellStyle name="Normal 96 9" xfId="9047"/>
    <cellStyle name="Normal 96 9 2" xfId="22690"/>
    <cellStyle name="Normal 97" xfId="1260"/>
    <cellStyle name="Normal 97 10" xfId="12025"/>
    <cellStyle name="Normal 97 10 2" xfId="25656"/>
    <cellStyle name="Normal 97 11" xfId="12188"/>
    <cellStyle name="Normal 97 11 2" xfId="25816"/>
    <cellStyle name="Normal 97 12" xfId="12426"/>
    <cellStyle name="Normal 97 12 2" xfId="26054"/>
    <cellStyle name="Normal 97 13" xfId="15364"/>
    <cellStyle name="Normal 97 13 2" xfId="28954"/>
    <cellStyle name="Normal 97 14" xfId="15576"/>
    <cellStyle name="Normal 97 14 2" xfId="29073"/>
    <cellStyle name="Normal 97 15" xfId="16187"/>
    <cellStyle name="Normal 97 16" xfId="29709"/>
    <cellStyle name="Normal 97 2" xfId="2216"/>
    <cellStyle name="Normal 97 2 2" xfId="3329"/>
    <cellStyle name="Normal 97 2 2 2" xfId="5075"/>
    <cellStyle name="Normal 97 2 2 2 2" xfId="8339"/>
    <cellStyle name="Normal 97 2 2 2 2 2" xfId="21987"/>
    <cellStyle name="Normal 97 2 2 2 3" xfId="11406"/>
    <cellStyle name="Normal 97 2 2 2 3 2" xfId="25037"/>
    <cellStyle name="Normal 97 2 2 2 4" xfId="14702"/>
    <cellStyle name="Normal 97 2 2 2 4 2" xfId="28330"/>
    <cellStyle name="Normal 97 2 2 2 5" xfId="18733"/>
    <cellStyle name="Normal 97 2 2 3" xfId="6763"/>
    <cellStyle name="Normal 97 2 2 3 2" xfId="20413"/>
    <cellStyle name="Normal 97 2 2 4" xfId="9983"/>
    <cellStyle name="Normal 97 2 2 4 2" xfId="23614"/>
    <cellStyle name="Normal 97 2 2 5" xfId="13278"/>
    <cellStyle name="Normal 97 2 2 5 2" xfId="26906"/>
    <cellStyle name="Normal 97 2 2 6" xfId="17208"/>
    <cellStyle name="Normal 97 2 3" xfId="4129"/>
    <cellStyle name="Normal 97 2 3 2" xfId="7559"/>
    <cellStyle name="Normal 97 2 3 2 2" xfId="21207"/>
    <cellStyle name="Normal 97 2 3 3" xfId="10697"/>
    <cellStyle name="Normal 97 2 3 3 2" xfId="24328"/>
    <cellStyle name="Normal 97 2 3 4" xfId="13993"/>
    <cellStyle name="Normal 97 2 3 4 2" xfId="27621"/>
    <cellStyle name="Normal 97 2 3 5" xfId="17924"/>
    <cellStyle name="Normal 97 2 4" xfId="5965"/>
    <cellStyle name="Normal 97 2 4 2" xfId="19615"/>
    <cellStyle name="Normal 97 2 5" xfId="9251"/>
    <cellStyle name="Normal 97 2 5 2" xfId="22893"/>
    <cellStyle name="Normal 97 2 6" xfId="12565"/>
    <cellStyle name="Normal 97 2 6 2" xfId="26193"/>
    <cellStyle name="Normal 97 2 7" xfId="16410"/>
    <cellStyle name="Normal 97 3" xfId="2554"/>
    <cellStyle name="Normal 97 3 2" xfId="3595"/>
    <cellStyle name="Normal 97 3 2 2" xfId="5262"/>
    <cellStyle name="Normal 97 3 2 2 2" xfId="8525"/>
    <cellStyle name="Normal 97 3 2 2 2 2" xfId="22173"/>
    <cellStyle name="Normal 97 3 2 2 3" xfId="11592"/>
    <cellStyle name="Normal 97 3 2 2 3 2" xfId="25223"/>
    <cellStyle name="Normal 97 3 2 2 4" xfId="14888"/>
    <cellStyle name="Normal 97 3 2 2 4 2" xfId="28516"/>
    <cellStyle name="Normal 97 3 2 2 5" xfId="18920"/>
    <cellStyle name="Normal 97 3 2 3" xfId="7029"/>
    <cellStyle name="Normal 97 3 2 3 2" xfId="20679"/>
    <cellStyle name="Normal 97 3 2 4" xfId="10170"/>
    <cellStyle name="Normal 97 3 2 4 2" xfId="23801"/>
    <cellStyle name="Normal 97 3 2 5" xfId="13465"/>
    <cellStyle name="Normal 97 3 2 5 2" xfId="27093"/>
    <cellStyle name="Normal 97 3 2 6" xfId="17396"/>
    <cellStyle name="Normal 97 3 3" xfId="4315"/>
    <cellStyle name="Normal 97 3 3 2" xfId="7745"/>
    <cellStyle name="Normal 97 3 3 2 2" xfId="21393"/>
    <cellStyle name="Normal 97 3 3 3" xfId="10883"/>
    <cellStyle name="Normal 97 3 3 3 2" xfId="24514"/>
    <cellStyle name="Normal 97 3 3 4" xfId="14179"/>
    <cellStyle name="Normal 97 3 3 4 2" xfId="27807"/>
    <cellStyle name="Normal 97 3 3 5" xfId="18110"/>
    <cellStyle name="Normal 97 3 4" xfId="6217"/>
    <cellStyle name="Normal 97 3 4 2" xfId="19867"/>
    <cellStyle name="Normal 97 3 5" xfId="9437"/>
    <cellStyle name="Normal 97 3 5 2" xfId="23079"/>
    <cellStyle name="Normal 97 3 6" xfId="12751"/>
    <cellStyle name="Normal 97 3 6 2" xfId="26379"/>
    <cellStyle name="Normal 97 3 7" xfId="16599"/>
    <cellStyle name="Normal 97 4" xfId="2797"/>
    <cellStyle name="Normal 97 4 2" xfId="3751"/>
    <cellStyle name="Normal 97 4 2 2" xfId="5418"/>
    <cellStyle name="Normal 97 4 2 2 2" xfId="8681"/>
    <cellStyle name="Normal 97 4 2 2 2 2" xfId="22329"/>
    <cellStyle name="Normal 97 4 2 2 3" xfId="11748"/>
    <cellStyle name="Normal 97 4 2 2 3 2" xfId="25379"/>
    <cellStyle name="Normal 97 4 2 2 4" xfId="15044"/>
    <cellStyle name="Normal 97 4 2 2 4 2" xfId="28672"/>
    <cellStyle name="Normal 97 4 2 2 5" xfId="19076"/>
    <cellStyle name="Normal 97 4 2 3" xfId="7185"/>
    <cellStyle name="Normal 97 4 2 3 2" xfId="20835"/>
    <cellStyle name="Normal 97 4 2 4" xfId="10326"/>
    <cellStyle name="Normal 97 4 2 4 2" xfId="23957"/>
    <cellStyle name="Normal 97 4 2 5" xfId="13621"/>
    <cellStyle name="Normal 97 4 2 5 2" xfId="27249"/>
    <cellStyle name="Normal 97 4 2 6" xfId="17552"/>
    <cellStyle name="Normal 97 4 3" xfId="4540"/>
    <cellStyle name="Normal 97 4 3 2" xfId="7970"/>
    <cellStyle name="Normal 97 4 3 2 2" xfId="21618"/>
    <cellStyle name="Normal 97 4 3 3" xfId="11039"/>
    <cellStyle name="Normal 97 4 3 3 2" xfId="24670"/>
    <cellStyle name="Normal 97 4 3 4" xfId="14335"/>
    <cellStyle name="Normal 97 4 3 4 2" xfId="27963"/>
    <cellStyle name="Normal 97 4 3 5" xfId="18335"/>
    <cellStyle name="Normal 97 4 4" xfId="6391"/>
    <cellStyle name="Normal 97 4 4 2" xfId="20041"/>
    <cellStyle name="Normal 97 4 5" xfId="9593"/>
    <cellStyle name="Normal 97 4 5 2" xfId="23235"/>
    <cellStyle name="Normal 97 4 6" xfId="12907"/>
    <cellStyle name="Normal 97 4 6 2" xfId="26535"/>
    <cellStyle name="Normal 97 4 7" xfId="16824"/>
    <cellStyle name="Normal 97 5" xfId="3005"/>
    <cellStyle name="Normal 97 5 2" xfId="4845"/>
    <cellStyle name="Normal 97 5 2 2" xfId="8112"/>
    <cellStyle name="Normal 97 5 2 2 2" xfId="21760"/>
    <cellStyle name="Normal 97 5 2 3" xfId="11181"/>
    <cellStyle name="Normal 97 5 2 3 2" xfId="24812"/>
    <cellStyle name="Normal 97 5 2 4" xfId="14477"/>
    <cellStyle name="Normal 97 5 2 4 2" xfId="28105"/>
    <cellStyle name="Normal 97 5 2 5" xfId="18504"/>
    <cellStyle name="Normal 97 5 3" xfId="6535"/>
    <cellStyle name="Normal 97 5 3 2" xfId="20185"/>
    <cellStyle name="Normal 97 5 4" xfId="9756"/>
    <cellStyle name="Normal 97 5 4 2" xfId="23387"/>
    <cellStyle name="Normal 97 5 5" xfId="13051"/>
    <cellStyle name="Normal 97 5 5 2" xfId="26679"/>
    <cellStyle name="Normal 97 5 6" xfId="16969"/>
    <cellStyle name="Normal 97 6" xfId="3989"/>
    <cellStyle name="Normal 97 6 2" xfId="7419"/>
    <cellStyle name="Normal 97 6 2 2" xfId="21067"/>
    <cellStyle name="Normal 97 6 3" xfId="10557"/>
    <cellStyle name="Normal 97 6 3 2" xfId="24188"/>
    <cellStyle name="Normal 97 6 4" xfId="13853"/>
    <cellStyle name="Normal 97 6 4 2" xfId="27481"/>
    <cellStyle name="Normal 97 6 5" xfId="17784"/>
    <cellStyle name="Normal 97 7" xfId="5584"/>
    <cellStyle name="Normal 97 7 2" xfId="8845"/>
    <cellStyle name="Normal 97 7 2 2" xfId="22488"/>
    <cellStyle name="Normal 97 7 3" xfId="11905"/>
    <cellStyle name="Normal 97 7 3 2" xfId="25536"/>
    <cellStyle name="Normal 97 7 4" xfId="15201"/>
    <cellStyle name="Normal 97 7 4 2" xfId="28829"/>
    <cellStyle name="Normal 97 7 5" xfId="19234"/>
    <cellStyle name="Normal 97 8" xfId="5826"/>
    <cellStyle name="Normal 97 8 2" xfId="19476"/>
    <cellStyle name="Normal 97 9" xfId="9048"/>
    <cellStyle name="Normal 97 9 2" xfId="22691"/>
    <cellStyle name="Normal 98" xfId="1261"/>
    <cellStyle name="Normal 98 10" xfId="12026"/>
    <cellStyle name="Normal 98 10 2" xfId="25657"/>
    <cellStyle name="Normal 98 11" xfId="12189"/>
    <cellStyle name="Normal 98 11 2" xfId="25817"/>
    <cellStyle name="Normal 98 12" xfId="12427"/>
    <cellStyle name="Normal 98 12 2" xfId="26055"/>
    <cellStyle name="Normal 98 13" xfId="15365"/>
    <cellStyle name="Normal 98 13 2" xfId="28955"/>
    <cellStyle name="Normal 98 14" xfId="15577"/>
    <cellStyle name="Normal 98 14 2" xfId="29074"/>
    <cellStyle name="Normal 98 15" xfId="16188"/>
    <cellStyle name="Normal 98 16" xfId="29710"/>
    <cellStyle name="Normal 98 2" xfId="2217"/>
    <cellStyle name="Normal 98 2 2" xfId="3330"/>
    <cellStyle name="Normal 98 2 2 2" xfId="5076"/>
    <cellStyle name="Normal 98 2 2 2 2" xfId="8340"/>
    <cellStyle name="Normal 98 2 2 2 2 2" xfId="21988"/>
    <cellStyle name="Normal 98 2 2 2 3" xfId="11407"/>
    <cellStyle name="Normal 98 2 2 2 3 2" xfId="25038"/>
    <cellStyle name="Normal 98 2 2 2 4" xfId="14703"/>
    <cellStyle name="Normal 98 2 2 2 4 2" xfId="28331"/>
    <cellStyle name="Normal 98 2 2 2 5" xfId="18734"/>
    <cellStyle name="Normal 98 2 2 3" xfId="6764"/>
    <cellStyle name="Normal 98 2 2 3 2" xfId="20414"/>
    <cellStyle name="Normal 98 2 2 4" xfId="9984"/>
    <cellStyle name="Normal 98 2 2 4 2" xfId="23615"/>
    <cellStyle name="Normal 98 2 2 5" xfId="13279"/>
    <cellStyle name="Normal 98 2 2 5 2" xfId="26907"/>
    <cellStyle name="Normal 98 2 2 6" xfId="17209"/>
    <cellStyle name="Normal 98 2 3" xfId="4130"/>
    <cellStyle name="Normal 98 2 3 2" xfId="7560"/>
    <cellStyle name="Normal 98 2 3 2 2" xfId="21208"/>
    <cellStyle name="Normal 98 2 3 3" xfId="10698"/>
    <cellStyle name="Normal 98 2 3 3 2" xfId="24329"/>
    <cellStyle name="Normal 98 2 3 4" xfId="13994"/>
    <cellStyle name="Normal 98 2 3 4 2" xfId="27622"/>
    <cellStyle name="Normal 98 2 3 5" xfId="17925"/>
    <cellStyle name="Normal 98 2 4" xfId="5966"/>
    <cellStyle name="Normal 98 2 4 2" xfId="19616"/>
    <cellStyle name="Normal 98 2 5" xfId="9252"/>
    <cellStyle name="Normal 98 2 5 2" xfId="22894"/>
    <cellStyle name="Normal 98 2 6" xfId="12566"/>
    <cellStyle name="Normal 98 2 6 2" xfId="26194"/>
    <cellStyle name="Normal 98 2 7" xfId="16411"/>
    <cellStyle name="Normal 98 3" xfId="2555"/>
    <cellStyle name="Normal 98 3 2" xfId="3596"/>
    <cellStyle name="Normal 98 3 2 2" xfId="5263"/>
    <cellStyle name="Normal 98 3 2 2 2" xfId="8526"/>
    <cellStyle name="Normal 98 3 2 2 2 2" xfId="22174"/>
    <cellStyle name="Normal 98 3 2 2 3" xfId="11593"/>
    <cellStyle name="Normal 98 3 2 2 3 2" xfId="25224"/>
    <cellStyle name="Normal 98 3 2 2 4" xfId="14889"/>
    <cellStyle name="Normal 98 3 2 2 4 2" xfId="28517"/>
    <cellStyle name="Normal 98 3 2 2 5" xfId="18921"/>
    <cellStyle name="Normal 98 3 2 3" xfId="7030"/>
    <cellStyle name="Normal 98 3 2 3 2" xfId="20680"/>
    <cellStyle name="Normal 98 3 2 4" xfId="10171"/>
    <cellStyle name="Normal 98 3 2 4 2" xfId="23802"/>
    <cellStyle name="Normal 98 3 2 5" xfId="13466"/>
    <cellStyle name="Normal 98 3 2 5 2" xfId="27094"/>
    <cellStyle name="Normal 98 3 2 6" xfId="17397"/>
    <cellStyle name="Normal 98 3 3" xfId="4316"/>
    <cellStyle name="Normal 98 3 3 2" xfId="7746"/>
    <cellStyle name="Normal 98 3 3 2 2" xfId="21394"/>
    <cellStyle name="Normal 98 3 3 3" xfId="10884"/>
    <cellStyle name="Normal 98 3 3 3 2" xfId="24515"/>
    <cellStyle name="Normal 98 3 3 4" xfId="14180"/>
    <cellStyle name="Normal 98 3 3 4 2" xfId="27808"/>
    <cellStyle name="Normal 98 3 3 5" xfId="18111"/>
    <cellStyle name="Normal 98 3 4" xfId="6218"/>
    <cellStyle name="Normal 98 3 4 2" xfId="19868"/>
    <cellStyle name="Normal 98 3 5" xfId="9438"/>
    <cellStyle name="Normal 98 3 5 2" xfId="23080"/>
    <cellStyle name="Normal 98 3 6" xfId="12752"/>
    <cellStyle name="Normal 98 3 6 2" xfId="26380"/>
    <cellStyle name="Normal 98 3 7" xfId="16600"/>
    <cellStyle name="Normal 98 4" xfId="2798"/>
    <cellStyle name="Normal 98 4 2" xfId="3752"/>
    <cellStyle name="Normal 98 4 2 2" xfId="5419"/>
    <cellStyle name="Normal 98 4 2 2 2" xfId="8682"/>
    <cellStyle name="Normal 98 4 2 2 2 2" xfId="22330"/>
    <cellStyle name="Normal 98 4 2 2 3" xfId="11749"/>
    <cellStyle name="Normal 98 4 2 2 3 2" xfId="25380"/>
    <cellStyle name="Normal 98 4 2 2 4" xfId="15045"/>
    <cellStyle name="Normal 98 4 2 2 4 2" xfId="28673"/>
    <cellStyle name="Normal 98 4 2 2 5" xfId="19077"/>
    <cellStyle name="Normal 98 4 2 3" xfId="7186"/>
    <cellStyle name="Normal 98 4 2 3 2" xfId="20836"/>
    <cellStyle name="Normal 98 4 2 4" xfId="10327"/>
    <cellStyle name="Normal 98 4 2 4 2" xfId="23958"/>
    <cellStyle name="Normal 98 4 2 5" xfId="13622"/>
    <cellStyle name="Normal 98 4 2 5 2" xfId="27250"/>
    <cellStyle name="Normal 98 4 2 6" xfId="17553"/>
    <cellStyle name="Normal 98 4 3" xfId="4541"/>
    <cellStyle name="Normal 98 4 3 2" xfId="7971"/>
    <cellStyle name="Normal 98 4 3 2 2" xfId="21619"/>
    <cellStyle name="Normal 98 4 3 3" xfId="11040"/>
    <cellStyle name="Normal 98 4 3 3 2" xfId="24671"/>
    <cellStyle name="Normal 98 4 3 4" xfId="14336"/>
    <cellStyle name="Normal 98 4 3 4 2" xfId="27964"/>
    <cellStyle name="Normal 98 4 3 5" xfId="18336"/>
    <cellStyle name="Normal 98 4 4" xfId="6392"/>
    <cellStyle name="Normal 98 4 4 2" xfId="20042"/>
    <cellStyle name="Normal 98 4 5" xfId="9594"/>
    <cellStyle name="Normal 98 4 5 2" xfId="23236"/>
    <cellStyle name="Normal 98 4 6" xfId="12908"/>
    <cellStyle name="Normal 98 4 6 2" xfId="26536"/>
    <cellStyle name="Normal 98 4 7" xfId="16825"/>
    <cellStyle name="Normal 98 5" xfId="3006"/>
    <cellStyle name="Normal 98 5 2" xfId="4846"/>
    <cellStyle name="Normal 98 5 2 2" xfId="8113"/>
    <cellStyle name="Normal 98 5 2 2 2" xfId="21761"/>
    <cellStyle name="Normal 98 5 2 3" xfId="11182"/>
    <cellStyle name="Normal 98 5 2 3 2" xfId="24813"/>
    <cellStyle name="Normal 98 5 2 4" xfId="14478"/>
    <cellStyle name="Normal 98 5 2 4 2" xfId="28106"/>
    <cellStyle name="Normal 98 5 2 5" xfId="18505"/>
    <cellStyle name="Normal 98 5 3" xfId="6536"/>
    <cellStyle name="Normal 98 5 3 2" xfId="20186"/>
    <cellStyle name="Normal 98 5 4" xfId="9757"/>
    <cellStyle name="Normal 98 5 4 2" xfId="23388"/>
    <cellStyle name="Normal 98 5 5" xfId="13052"/>
    <cellStyle name="Normal 98 5 5 2" xfId="26680"/>
    <cellStyle name="Normal 98 5 6" xfId="16970"/>
    <cellStyle name="Normal 98 6" xfId="3990"/>
    <cellStyle name="Normal 98 6 2" xfId="7420"/>
    <cellStyle name="Normal 98 6 2 2" xfId="21068"/>
    <cellStyle name="Normal 98 6 3" xfId="10558"/>
    <cellStyle name="Normal 98 6 3 2" xfId="24189"/>
    <cellStyle name="Normal 98 6 4" xfId="13854"/>
    <cellStyle name="Normal 98 6 4 2" xfId="27482"/>
    <cellStyle name="Normal 98 6 5" xfId="17785"/>
    <cellStyle name="Normal 98 7" xfId="5585"/>
    <cellStyle name="Normal 98 7 2" xfId="8846"/>
    <cellStyle name="Normal 98 7 2 2" xfId="22489"/>
    <cellStyle name="Normal 98 7 3" xfId="11906"/>
    <cellStyle name="Normal 98 7 3 2" xfId="25537"/>
    <cellStyle name="Normal 98 7 4" xfId="15202"/>
    <cellStyle name="Normal 98 7 4 2" xfId="28830"/>
    <cellStyle name="Normal 98 7 5" xfId="19235"/>
    <cellStyle name="Normal 98 8" xfId="5827"/>
    <cellStyle name="Normal 98 8 2" xfId="19477"/>
    <cellStyle name="Normal 98 9" xfId="9049"/>
    <cellStyle name="Normal 98 9 2" xfId="22692"/>
    <cellStyle name="Normal 99" xfId="1262"/>
    <cellStyle name="Normal 99 2" xfId="15366"/>
    <cellStyle name="Note 10" xfId="15788"/>
    <cellStyle name="Note 10 2" xfId="29160"/>
    <cellStyle name="Note 10 2 2" xfId="29594"/>
    <cellStyle name="Note 10 3" xfId="29145"/>
    <cellStyle name="Note 10 3 2" xfId="29586"/>
    <cellStyle name="Note 2" xfId="404"/>
    <cellStyle name="Note 2 2" xfId="1264"/>
    <cellStyle name="Note 2 2 2" xfId="1265"/>
    <cellStyle name="Note 2 2 3" xfId="1266"/>
    <cellStyle name="Note 2 2 3 2" xfId="1267"/>
    <cellStyle name="Note 2 2 4" xfId="2032"/>
    <cellStyle name="Note 2 2 4 10" xfId="9050"/>
    <cellStyle name="Note 2 2 4 10 2" xfId="22693"/>
    <cellStyle name="Note 2 2 4 11" xfId="12041"/>
    <cellStyle name="Note 2 2 4 11 2" xfId="25672"/>
    <cellStyle name="Note 2 2 4 12" xfId="12190"/>
    <cellStyle name="Note 2 2 4 12 2" xfId="25818"/>
    <cellStyle name="Note 2 2 4 13" xfId="12466"/>
    <cellStyle name="Note 2 2 4 13 2" xfId="26094"/>
    <cellStyle name="Note 2 2 4 14" xfId="16288"/>
    <cellStyle name="Note 2 2 4 2" xfId="2033"/>
    <cellStyle name="Note 2 2 4 3" xfId="2232"/>
    <cellStyle name="Note 2 2 4 3 2" xfId="3345"/>
    <cellStyle name="Note 2 2 4 3 2 2" xfId="5090"/>
    <cellStyle name="Note 2 2 4 3 2 2 2" xfId="8354"/>
    <cellStyle name="Note 2 2 4 3 2 2 2 2" xfId="22002"/>
    <cellStyle name="Note 2 2 4 3 2 2 3" xfId="11421"/>
    <cellStyle name="Note 2 2 4 3 2 2 3 2" xfId="25052"/>
    <cellStyle name="Note 2 2 4 3 2 2 4" xfId="14717"/>
    <cellStyle name="Note 2 2 4 3 2 2 4 2" xfId="28345"/>
    <cellStyle name="Note 2 2 4 3 2 2 5" xfId="18748"/>
    <cellStyle name="Note 2 2 4 3 2 3" xfId="6779"/>
    <cellStyle name="Note 2 2 4 3 2 3 2" xfId="20429"/>
    <cellStyle name="Note 2 2 4 3 2 4" xfId="9998"/>
    <cellStyle name="Note 2 2 4 3 2 4 2" xfId="23629"/>
    <cellStyle name="Note 2 2 4 3 2 5" xfId="13293"/>
    <cellStyle name="Note 2 2 4 3 2 5 2" xfId="26921"/>
    <cellStyle name="Note 2 2 4 3 2 6" xfId="17223"/>
    <cellStyle name="Note 2 2 4 3 3" xfId="4144"/>
    <cellStyle name="Note 2 2 4 3 3 2" xfId="7574"/>
    <cellStyle name="Note 2 2 4 3 3 2 2" xfId="21222"/>
    <cellStyle name="Note 2 2 4 3 3 3" xfId="10712"/>
    <cellStyle name="Note 2 2 4 3 3 3 2" xfId="24343"/>
    <cellStyle name="Note 2 2 4 3 3 4" xfId="14008"/>
    <cellStyle name="Note 2 2 4 3 3 4 2" xfId="27636"/>
    <cellStyle name="Note 2 2 4 3 3 5" xfId="17939"/>
    <cellStyle name="Note 2 2 4 3 4" xfId="5980"/>
    <cellStyle name="Note 2 2 4 3 4 2" xfId="19630"/>
    <cellStyle name="Note 2 2 4 3 5" xfId="9266"/>
    <cellStyle name="Note 2 2 4 3 5 2" xfId="22908"/>
    <cellStyle name="Note 2 2 4 3 6" xfId="12580"/>
    <cellStyle name="Note 2 2 4 3 6 2" xfId="26208"/>
    <cellStyle name="Note 2 2 4 3 7" xfId="16425"/>
    <cellStyle name="Note 2 2 4 4" xfId="2562"/>
    <cellStyle name="Note 2 2 4 4 2" xfId="3597"/>
    <cellStyle name="Note 2 2 4 4 2 2" xfId="5264"/>
    <cellStyle name="Note 2 2 4 4 2 2 2" xfId="8527"/>
    <cellStyle name="Note 2 2 4 4 2 2 2 2" xfId="22175"/>
    <cellStyle name="Note 2 2 4 4 2 2 3" xfId="11594"/>
    <cellStyle name="Note 2 2 4 4 2 2 3 2" xfId="25225"/>
    <cellStyle name="Note 2 2 4 4 2 2 4" xfId="14890"/>
    <cellStyle name="Note 2 2 4 4 2 2 4 2" xfId="28518"/>
    <cellStyle name="Note 2 2 4 4 2 2 5" xfId="18922"/>
    <cellStyle name="Note 2 2 4 4 2 3" xfId="7031"/>
    <cellStyle name="Note 2 2 4 4 2 3 2" xfId="20681"/>
    <cellStyle name="Note 2 2 4 4 2 4" xfId="10172"/>
    <cellStyle name="Note 2 2 4 4 2 4 2" xfId="23803"/>
    <cellStyle name="Note 2 2 4 4 2 5" xfId="13467"/>
    <cellStyle name="Note 2 2 4 4 2 5 2" xfId="27095"/>
    <cellStyle name="Note 2 2 4 4 2 6" xfId="17398"/>
    <cellStyle name="Note 2 2 4 4 3" xfId="4317"/>
    <cellStyle name="Note 2 2 4 4 3 2" xfId="7747"/>
    <cellStyle name="Note 2 2 4 4 3 2 2" xfId="21395"/>
    <cellStyle name="Note 2 2 4 4 3 3" xfId="10885"/>
    <cellStyle name="Note 2 2 4 4 3 3 2" xfId="24516"/>
    <cellStyle name="Note 2 2 4 4 3 4" xfId="14181"/>
    <cellStyle name="Note 2 2 4 4 3 4 2" xfId="27809"/>
    <cellStyle name="Note 2 2 4 4 3 5" xfId="18112"/>
    <cellStyle name="Note 2 2 4 4 4" xfId="6225"/>
    <cellStyle name="Note 2 2 4 4 4 2" xfId="19875"/>
    <cellStyle name="Note 2 2 4 4 5" xfId="9439"/>
    <cellStyle name="Note 2 2 4 4 5 2" xfId="23081"/>
    <cellStyle name="Note 2 2 4 4 6" xfId="12753"/>
    <cellStyle name="Note 2 2 4 4 6 2" xfId="26381"/>
    <cellStyle name="Note 2 2 4 4 7" xfId="16601"/>
    <cellStyle name="Note 2 2 4 5" xfId="2799"/>
    <cellStyle name="Note 2 2 4 5 2" xfId="3753"/>
    <cellStyle name="Note 2 2 4 5 2 2" xfId="5420"/>
    <cellStyle name="Note 2 2 4 5 2 2 2" xfId="8683"/>
    <cellStyle name="Note 2 2 4 5 2 2 2 2" xfId="22331"/>
    <cellStyle name="Note 2 2 4 5 2 2 3" xfId="11750"/>
    <cellStyle name="Note 2 2 4 5 2 2 3 2" xfId="25381"/>
    <cellStyle name="Note 2 2 4 5 2 2 4" xfId="15046"/>
    <cellStyle name="Note 2 2 4 5 2 2 4 2" xfId="28674"/>
    <cellStyle name="Note 2 2 4 5 2 2 5" xfId="19078"/>
    <cellStyle name="Note 2 2 4 5 2 3" xfId="7187"/>
    <cellStyle name="Note 2 2 4 5 2 3 2" xfId="20837"/>
    <cellStyle name="Note 2 2 4 5 2 4" xfId="10328"/>
    <cellStyle name="Note 2 2 4 5 2 4 2" xfId="23959"/>
    <cellStyle name="Note 2 2 4 5 2 5" xfId="13623"/>
    <cellStyle name="Note 2 2 4 5 2 5 2" xfId="27251"/>
    <cellStyle name="Note 2 2 4 5 2 6" xfId="17554"/>
    <cellStyle name="Note 2 2 4 5 3" xfId="4542"/>
    <cellStyle name="Note 2 2 4 5 3 2" xfId="7972"/>
    <cellStyle name="Note 2 2 4 5 3 2 2" xfId="21620"/>
    <cellStyle name="Note 2 2 4 5 3 3" xfId="11041"/>
    <cellStyle name="Note 2 2 4 5 3 3 2" xfId="24672"/>
    <cellStyle name="Note 2 2 4 5 3 4" xfId="14337"/>
    <cellStyle name="Note 2 2 4 5 3 4 2" xfId="27965"/>
    <cellStyle name="Note 2 2 4 5 3 5" xfId="18337"/>
    <cellStyle name="Note 2 2 4 5 4" xfId="6393"/>
    <cellStyle name="Note 2 2 4 5 4 2" xfId="20043"/>
    <cellStyle name="Note 2 2 4 5 5" xfId="9595"/>
    <cellStyle name="Note 2 2 4 5 5 2" xfId="23237"/>
    <cellStyle name="Note 2 2 4 5 6" xfId="12909"/>
    <cellStyle name="Note 2 2 4 5 6 2" xfId="26537"/>
    <cellStyle name="Note 2 2 4 5 7" xfId="16826"/>
    <cellStyle name="Note 2 2 4 6" xfId="3229"/>
    <cellStyle name="Note 2 2 4 6 2" xfId="4976"/>
    <cellStyle name="Note 2 2 4 6 2 2" xfId="8240"/>
    <cellStyle name="Note 2 2 4 6 2 2 2" xfId="21888"/>
    <cellStyle name="Note 2 2 4 6 2 3" xfId="11307"/>
    <cellStyle name="Note 2 2 4 6 2 3 2" xfId="24938"/>
    <cellStyle name="Note 2 2 4 6 2 4" xfId="14603"/>
    <cellStyle name="Note 2 2 4 6 2 4 2" xfId="28231"/>
    <cellStyle name="Note 2 2 4 6 2 5" xfId="18634"/>
    <cellStyle name="Note 2 2 4 6 3" xfId="6663"/>
    <cellStyle name="Note 2 2 4 6 3 2" xfId="20313"/>
    <cellStyle name="Note 2 2 4 6 4" xfId="9884"/>
    <cellStyle name="Note 2 2 4 6 4 2" xfId="23515"/>
    <cellStyle name="Note 2 2 4 6 5" xfId="13179"/>
    <cellStyle name="Note 2 2 4 6 5 2" xfId="26807"/>
    <cellStyle name="Note 2 2 4 6 6" xfId="17109"/>
    <cellStyle name="Note 2 2 4 7" xfId="4030"/>
    <cellStyle name="Note 2 2 4 7 2" xfId="7460"/>
    <cellStyle name="Note 2 2 4 7 2 2" xfId="21108"/>
    <cellStyle name="Note 2 2 4 7 3" xfId="10598"/>
    <cellStyle name="Note 2 2 4 7 3 2" xfId="24229"/>
    <cellStyle name="Note 2 2 4 7 4" xfId="13894"/>
    <cellStyle name="Note 2 2 4 7 4 2" xfId="27522"/>
    <cellStyle name="Note 2 2 4 7 5" xfId="17825"/>
    <cellStyle name="Note 2 2 4 8" xfId="5586"/>
    <cellStyle name="Note 2 2 4 8 2" xfId="8847"/>
    <cellStyle name="Note 2 2 4 8 2 2" xfId="22490"/>
    <cellStyle name="Note 2 2 4 8 3" xfId="11907"/>
    <cellStyle name="Note 2 2 4 8 3 2" xfId="25538"/>
    <cellStyle name="Note 2 2 4 8 4" xfId="15203"/>
    <cellStyle name="Note 2 2 4 8 4 2" xfId="28831"/>
    <cellStyle name="Note 2 2 4 8 5" xfId="19236"/>
    <cellStyle name="Note 2 2 4 9" xfId="5866"/>
    <cellStyle name="Note 2 2 4 9 2" xfId="19516"/>
    <cellStyle name="Note 2 3" xfId="1268"/>
    <cellStyle name="Note 2 4" xfId="1269"/>
    <cellStyle name="Note 2 4 2" xfId="1270"/>
    <cellStyle name="Note 2 5" xfId="1263"/>
    <cellStyle name="Note 2 5 10" xfId="12191"/>
    <cellStyle name="Note 2 5 10 2" xfId="25819"/>
    <cellStyle name="Note 2 5 2" xfId="2035"/>
    <cellStyle name="Note 2 5 3" xfId="2034"/>
    <cellStyle name="Note 2 5 3 2" xfId="3230"/>
    <cellStyle name="Note 2 5 3 2 2" xfId="4977"/>
    <cellStyle name="Note 2 5 3 2 2 2" xfId="8241"/>
    <cellStyle name="Note 2 5 3 2 2 2 2" xfId="21889"/>
    <cellStyle name="Note 2 5 3 2 2 3" xfId="11308"/>
    <cellStyle name="Note 2 5 3 2 2 3 2" xfId="24939"/>
    <cellStyle name="Note 2 5 3 2 2 4" xfId="14604"/>
    <cellStyle name="Note 2 5 3 2 2 4 2" xfId="28232"/>
    <cellStyle name="Note 2 5 3 2 2 5" xfId="18635"/>
    <cellStyle name="Note 2 5 3 2 3" xfId="6664"/>
    <cellStyle name="Note 2 5 3 2 3 2" xfId="20314"/>
    <cellStyle name="Note 2 5 3 2 4" xfId="9885"/>
    <cellStyle name="Note 2 5 3 2 4 2" xfId="23516"/>
    <cellStyle name="Note 2 5 3 2 5" xfId="13180"/>
    <cellStyle name="Note 2 5 3 2 5 2" xfId="26808"/>
    <cellStyle name="Note 2 5 3 2 6" xfId="17110"/>
    <cellStyle name="Note 2 5 3 3" xfId="4031"/>
    <cellStyle name="Note 2 5 3 3 2" xfId="7461"/>
    <cellStyle name="Note 2 5 3 3 2 2" xfId="21109"/>
    <cellStyle name="Note 2 5 3 3 3" xfId="10599"/>
    <cellStyle name="Note 2 5 3 3 3 2" xfId="24230"/>
    <cellStyle name="Note 2 5 3 3 4" xfId="13895"/>
    <cellStyle name="Note 2 5 3 3 4 2" xfId="27523"/>
    <cellStyle name="Note 2 5 3 3 5" xfId="17826"/>
    <cellStyle name="Note 2 5 3 4" xfId="5867"/>
    <cellStyle name="Note 2 5 3 4 2" xfId="19517"/>
    <cellStyle name="Note 2 5 3 5" xfId="9154"/>
    <cellStyle name="Note 2 5 3 5 2" xfId="22796"/>
    <cellStyle name="Note 2 5 3 6" xfId="12467"/>
    <cellStyle name="Note 2 5 3 6 2" xfId="26095"/>
    <cellStyle name="Note 2 5 3 7" xfId="16289"/>
    <cellStyle name="Note 2 5 4" xfId="2231"/>
    <cellStyle name="Note 2 5 4 2" xfId="3344"/>
    <cellStyle name="Note 2 5 4 2 2" xfId="5089"/>
    <cellStyle name="Note 2 5 4 2 2 2" xfId="8353"/>
    <cellStyle name="Note 2 5 4 2 2 2 2" xfId="22001"/>
    <cellStyle name="Note 2 5 4 2 2 3" xfId="11420"/>
    <cellStyle name="Note 2 5 4 2 2 3 2" xfId="25051"/>
    <cellStyle name="Note 2 5 4 2 2 4" xfId="14716"/>
    <cellStyle name="Note 2 5 4 2 2 4 2" xfId="28344"/>
    <cellStyle name="Note 2 5 4 2 2 5" xfId="18747"/>
    <cellStyle name="Note 2 5 4 2 3" xfId="6778"/>
    <cellStyle name="Note 2 5 4 2 3 2" xfId="20428"/>
    <cellStyle name="Note 2 5 4 2 4" xfId="9997"/>
    <cellStyle name="Note 2 5 4 2 4 2" xfId="23628"/>
    <cellStyle name="Note 2 5 4 2 5" xfId="13292"/>
    <cellStyle name="Note 2 5 4 2 5 2" xfId="26920"/>
    <cellStyle name="Note 2 5 4 2 6" xfId="17222"/>
    <cellStyle name="Note 2 5 4 3" xfId="4143"/>
    <cellStyle name="Note 2 5 4 3 2" xfId="7573"/>
    <cellStyle name="Note 2 5 4 3 2 2" xfId="21221"/>
    <cellStyle name="Note 2 5 4 3 3" xfId="10711"/>
    <cellStyle name="Note 2 5 4 3 3 2" xfId="24342"/>
    <cellStyle name="Note 2 5 4 3 4" xfId="14007"/>
    <cellStyle name="Note 2 5 4 3 4 2" xfId="27635"/>
    <cellStyle name="Note 2 5 4 3 5" xfId="17938"/>
    <cellStyle name="Note 2 5 4 4" xfId="5979"/>
    <cellStyle name="Note 2 5 4 4 2" xfId="19629"/>
    <cellStyle name="Note 2 5 4 5" xfId="9265"/>
    <cellStyle name="Note 2 5 4 5 2" xfId="22907"/>
    <cellStyle name="Note 2 5 4 6" xfId="12579"/>
    <cellStyle name="Note 2 5 4 6 2" xfId="26207"/>
    <cellStyle name="Note 2 5 4 7" xfId="16424"/>
    <cellStyle name="Note 2 5 5" xfId="2567"/>
    <cellStyle name="Note 2 5 5 2" xfId="3598"/>
    <cellStyle name="Note 2 5 5 2 2" xfId="5265"/>
    <cellStyle name="Note 2 5 5 2 2 2" xfId="8528"/>
    <cellStyle name="Note 2 5 5 2 2 2 2" xfId="22176"/>
    <cellStyle name="Note 2 5 5 2 2 3" xfId="11595"/>
    <cellStyle name="Note 2 5 5 2 2 3 2" xfId="25226"/>
    <cellStyle name="Note 2 5 5 2 2 4" xfId="14891"/>
    <cellStyle name="Note 2 5 5 2 2 4 2" xfId="28519"/>
    <cellStyle name="Note 2 5 5 2 2 5" xfId="18923"/>
    <cellStyle name="Note 2 5 5 2 3" xfId="7032"/>
    <cellStyle name="Note 2 5 5 2 3 2" xfId="20682"/>
    <cellStyle name="Note 2 5 5 2 4" xfId="10173"/>
    <cellStyle name="Note 2 5 5 2 4 2" xfId="23804"/>
    <cellStyle name="Note 2 5 5 2 5" xfId="13468"/>
    <cellStyle name="Note 2 5 5 2 5 2" xfId="27096"/>
    <cellStyle name="Note 2 5 5 2 6" xfId="17399"/>
    <cellStyle name="Note 2 5 5 3" xfId="4318"/>
    <cellStyle name="Note 2 5 5 3 2" xfId="7748"/>
    <cellStyle name="Note 2 5 5 3 2 2" xfId="21396"/>
    <cellStyle name="Note 2 5 5 3 3" xfId="10886"/>
    <cellStyle name="Note 2 5 5 3 3 2" xfId="24517"/>
    <cellStyle name="Note 2 5 5 3 4" xfId="14182"/>
    <cellStyle name="Note 2 5 5 3 4 2" xfId="27810"/>
    <cellStyle name="Note 2 5 5 3 5" xfId="18113"/>
    <cellStyle name="Note 2 5 5 4" xfId="6230"/>
    <cellStyle name="Note 2 5 5 4 2" xfId="19880"/>
    <cellStyle name="Note 2 5 5 5" xfId="9440"/>
    <cellStyle name="Note 2 5 5 5 2" xfId="23082"/>
    <cellStyle name="Note 2 5 5 6" xfId="12754"/>
    <cellStyle name="Note 2 5 5 6 2" xfId="26382"/>
    <cellStyle name="Note 2 5 5 7" xfId="16602"/>
    <cellStyle name="Note 2 5 6" xfId="2800"/>
    <cellStyle name="Note 2 5 6 2" xfId="3754"/>
    <cellStyle name="Note 2 5 6 2 2" xfId="5421"/>
    <cellStyle name="Note 2 5 6 2 2 2" xfId="8684"/>
    <cellStyle name="Note 2 5 6 2 2 2 2" xfId="22332"/>
    <cellStyle name="Note 2 5 6 2 2 3" xfId="11751"/>
    <cellStyle name="Note 2 5 6 2 2 3 2" xfId="25382"/>
    <cellStyle name="Note 2 5 6 2 2 4" xfId="15047"/>
    <cellStyle name="Note 2 5 6 2 2 4 2" xfId="28675"/>
    <cellStyle name="Note 2 5 6 2 2 5" xfId="19079"/>
    <cellStyle name="Note 2 5 6 2 3" xfId="7188"/>
    <cellStyle name="Note 2 5 6 2 3 2" xfId="20838"/>
    <cellStyle name="Note 2 5 6 2 4" xfId="10329"/>
    <cellStyle name="Note 2 5 6 2 4 2" xfId="23960"/>
    <cellStyle name="Note 2 5 6 2 5" xfId="13624"/>
    <cellStyle name="Note 2 5 6 2 5 2" xfId="27252"/>
    <cellStyle name="Note 2 5 6 2 6" xfId="17555"/>
    <cellStyle name="Note 2 5 6 3" xfId="4543"/>
    <cellStyle name="Note 2 5 6 3 2" xfId="7973"/>
    <cellStyle name="Note 2 5 6 3 2 2" xfId="21621"/>
    <cellStyle name="Note 2 5 6 3 3" xfId="11042"/>
    <cellStyle name="Note 2 5 6 3 3 2" xfId="24673"/>
    <cellStyle name="Note 2 5 6 3 4" xfId="14338"/>
    <cellStyle name="Note 2 5 6 3 4 2" xfId="27966"/>
    <cellStyle name="Note 2 5 6 3 5" xfId="18338"/>
    <cellStyle name="Note 2 5 6 4" xfId="6394"/>
    <cellStyle name="Note 2 5 6 4 2" xfId="20044"/>
    <cellStyle name="Note 2 5 6 5" xfId="9596"/>
    <cellStyle name="Note 2 5 6 5 2" xfId="23238"/>
    <cellStyle name="Note 2 5 6 6" xfId="12910"/>
    <cellStyle name="Note 2 5 6 6 2" xfId="26538"/>
    <cellStyle name="Note 2 5 6 7" xfId="16827"/>
    <cellStyle name="Note 2 5 7" xfId="5587"/>
    <cellStyle name="Note 2 5 7 2" xfId="8848"/>
    <cellStyle name="Note 2 5 7 2 2" xfId="22491"/>
    <cellStyle name="Note 2 5 7 3" xfId="11908"/>
    <cellStyle name="Note 2 5 7 3 2" xfId="25539"/>
    <cellStyle name="Note 2 5 7 4" xfId="15204"/>
    <cellStyle name="Note 2 5 7 4 2" xfId="28832"/>
    <cellStyle name="Note 2 5 7 5" xfId="19237"/>
    <cellStyle name="Note 2 5 8" xfId="9051"/>
    <cellStyle name="Note 2 5 8 2" xfId="22694"/>
    <cellStyle name="Note 2 5 9" xfId="12040"/>
    <cellStyle name="Note 2 5 9 2" xfId="25671"/>
    <cellStyle name="Note 2 6" xfId="5676"/>
    <cellStyle name="Note 2 6 2" xfId="19326"/>
    <cellStyle name="Note 2 6 3" xfId="29449"/>
    <cellStyle name="Note 2 7" xfId="15783"/>
    <cellStyle name="Note 2 8" xfId="15910"/>
    <cellStyle name="Note 2 9" xfId="15909"/>
    <cellStyle name="Note 3" xfId="477"/>
    <cellStyle name="Note 3 2" xfId="1272"/>
    <cellStyle name="Note 3 2 2" xfId="1273"/>
    <cellStyle name="Note 3 2 3" xfId="1274"/>
    <cellStyle name="Note 3 2 4" xfId="1275"/>
    <cellStyle name="Note 3 2 4 2" xfId="1276"/>
    <cellStyle name="Note 3 2 4 3" xfId="15367"/>
    <cellStyle name="Note 3 2 5" xfId="1277"/>
    <cellStyle name="Note 3 3" xfId="1278"/>
    <cellStyle name="Note 3 4" xfId="1271"/>
    <cellStyle name="Note 3 4 10" xfId="12192"/>
    <cellStyle name="Note 3 4 10 2" xfId="25820"/>
    <cellStyle name="Note 3 4 2" xfId="2037"/>
    <cellStyle name="Note 3 4 3" xfId="2036"/>
    <cellStyle name="Note 3 4 3 2" xfId="3231"/>
    <cellStyle name="Note 3 4 3 2 2" xfId="4978"/>
    <cellStyle name="Note 3 4 3 2 2 2" xfId="8242"/>
    <cellStyle name="Note 3 4 3 2 2 2 2" xfId="21890"/>
    <cellStyle name="Note 3 4 3 2 2 3" xfId="11309"/>
    <cellStyle name="Note 3 4 3 2 2 3 2" xfId="24940"/>
    <cellStyle name="Note 3 4 3 2 2 4" xfId="14605"/>
    <cellStyle name="Note 3 4 3 2 2 4 2" xfId="28233"/>
    <cellStyle name="Note 3 4 3 2 2 5" xfId="18636"/>
    <cellStyle name="Note 3 4 3 2 3" xfId="6665"/>
    <cellStyle name="Note 3 4 3 2 3 2" xfId="20315"/>
    <cellStyle name="Note 3 4 3 2 4" xfId="9886"/>
    <cellStyle name="Note 3 4 3 2 4 2" xfId="23517"/>
    <cellStyle name="Note 3 4 3 2 5" xfId="13181"/>
    <cellStyle name="Note 3 4 3 2 5 2" xfId="26809"/>
    <cellStyle name="Note 3 4 3 2 6" xfId="17111"/>
    <cellStyle name="Note 3 4 3 3" xfId="4032"/>
    <cellStyle name="Note 3 4 3 3 2" xfId="7462"/>
    <cellStyle name="Note 3 4 3 3 2 2" xfId="21110"/>
    <cellStyle name="Note 3 4 3 3 3" xfId="10600"/>
    <cellStyle name="Note 3 4 3 3 3 2" xfId="24231"/>
    <cellStyle name="Note 3 4 3 3 4" xfId="13896"/>
    <cellStyle name="Note 3 4 3 3 4 2" xfId="27524"/>
    <cellStyle name="Note 3 4 3 3 5" xfId="17827"/>
    <cellStyle name="Note 3 4 3 4" xfId="5868"/>
    <cellStyle name="Note 3 4 3 4 2" xfId="19518"/>
    <cellStyle name="Note 3 4 3 5" xfId="9155"/>
    <cellStyle name="Note 3 4 3 5 2" xfId="22797"/>
    <cellStyle name="Note 3 4 3 6" xfId="12468"/>
    <cellStyle name="Note 3 4 3 6 2" xfId="26096"/>
    <cellStyle name="Note 3 4 3 7" xfId="16290"/>
    <cellStyle name="Note 3 4 4" xfId="2236"/>
    <cellStyle name="Note 3 4 4 2" xfId="3349"/>
    <cellStyle name="Note 3 4 4 2 2" xfId="5093"/>
    <cellStyle name="Note 3 4 4 2 2 2" xfId="8357"/>
    <cellStyle name="Note 3 4 4 2 2 2 2" xfId="22005"/>
    <cellStyle name="Note 3 4 4 2 2 3" xfId="11424"/>
    <cellStyle name="Note 3 4 4 2 2 3 2" xfId="25055"/>
    <cellStyle name="Note 3 4 4 2 2 4" xfId="14720"/>
    <cellStyle name="Note 3 4 4 2 2 4 2" xfId="28348"/>
    <cellStyle name="Note 3 4 4 2 2 5" xfId="18751"/>
    <cellStyle name="Note 3 4 4 2 3" xfId="6783"/>
    <cellStyle name="Note 3 4 4 2 3 2" xfId="20433"/>
    <cellStyle name="Note 3 4 4 2 4" xfId="10001"/>
    <cellStyle name="Note 3 4 4 2 4 2" xfId="23632"/>
    <cellStyle name="Note 3 4 4 2 5" xfId="13296"/>
    <cellStyle name="Note 3 4 4 2 5 2" xfId="26924"/>
    <cellStyle name="Note 3 4 4 2 6" xfId="17226"/>
    <cellStyle name="Note 3 4 4 3" xfId="4147"/>
    <cellStyle name="Note 3 4 4 3 2" xfId="7577"/>
    <cellStyle name="Note 3 4 4 3 2 2" xfId="21225"/>
    <cellStyle name="Note 3 4 4 3 3" xfId="10715"/>
    <cellStyle name="Note 3 4 4 3 3 2" xfId="24346"/>
    <cellStyle name="Note 3 4 4 3 4" xfId="14011"/>
    <cellStyle name="Note 3 4 4 3 4 2" xfId="27639"/>
    <cellStyle name="Note 3 4 4 3 5" xfId="17942"/>
    <cellStyle name="Note 3 4 4 4" xfId="5983"/>
    <cellStyle name="Note 3 4 4 4 2" xfId="19633"/>
    <cellStyle name="Note 3 4 4 5" xfId="9269"/>
    <cellStyle name="Note 3 4 4 5 2" xfId="22911"/>
    <cellStyle name="Note 3 4 4 6" xfId="12583"/>
    <cellStyle name="Note 3 4 4 6 2" xfId="26211"/>
    <cellStyle name="Note 3 4 4 7" xfId="16428"/>
    <cellStyle name="Note 3 4 5" xfId="2576"/>
    <cellStyle name="Note 3 4 5 2" xfId="3599"/>
    <cellStyle name="Note 3 4 5 2 2" xfId="5266"/>
    <cellStyle name="Note 3 4 5 2 2 2" xfId="8529"/>
    <cellStyle name="Note 3 4 5 2 2 2 2" xfId="22177"/>
    <cellStyle name="Note 3 4 5 2 2 3" xfId="11596"/>
    <cellStyle name="Note 3 4 5 2 2 3 2" xfId="25227"/>
    <cellStyle name="Note 3 4 5 2 2 4" xfId="14892"/>
    <cellStyle name="Note 3 4 5 2 2 4 2" xfId="28520"/>
    <cellStyle name="Note 3 4 5 2 2 5" xfId="18924"/>
    <cellStyle name="Note 3 4 5 2 3" xfId="7033"/>
    <cellStyle name="Note 3 4 5 2 3 2" xfId="20683"/>
    <cellStyle name="Note 3 4 5 2 4" xfId="10174"/>
    <cellStyle name="Note 3 4 5 2 4 2" xfId="23805"/>
    <cellStyle name="Note 3 4 5 2 5" xfId="13469"/>
    <cellStyle name="Note 3 4 5 2 5 2" xfId="27097"/>
    <cellStyle name="Note 3 4 5 2 6" xfId="17400"/>
    <cellStyle name="Note 3 4 5 3" xfId="4319"/>
    <cellStyle name="Note 3 4 5 3 2" xfId="7749"/>
    <cellStyle name="Note 3 4 5 3 2 2" xfId="21397"/>
    <cellStyle name="Note 3 4 5 3 3" xfId="10887"/>
    <cellStyle name="Note 3 4 5 3 3 2" xfId="24518"/>
    <cellStyle name="Note 3 4 5 3 4" xfId="14183"/>
    <cellStyle name="Note 3 4 5 3 4 2" xfId="27811"/>
    <cellStyle name="Note 3 4 5 3 5" xfId="18114"/>
    <cellStyle name="Note 3 4 5 4" xfId="6239"/>
    <cellStyle name="Note 3 4 5 4 2" xfId="19889"/>
    <cellStyle name="Note 3 4 5 5" xfId="9441"/>
    <cellStyle name="Note 3 4 5 5 2" xfId="23083"/>
    <cellStyle name="Note 3 4 5 6" xfId="12755"/>
    <cellStyle name="Note 3 4 5 6 2" xfId="26383"/>
    <cellStyle name="Note 3 4 5 7" xfId="16603"/>
    <cellStyle name="Note 3 4 6" xfId="2801"/>
    <cellStyle name="Note 3 4 6 2" xfId="3755"/>
    <cellStyle name="Note 3 4 6 2 2" xfId="5422"/>
    <cellStyle name="Note 3 4 6 2 2 2" xfId="8685"/>
    <cellStyle name="Note 3 4 6 2 2 2 2" xfId="22333"/>
    <cellStyle name="Note 3 4 6 2 2 3" xfId="11752"/>
    <cellStyle name="Note 3 4 6 2 2 3 2" xfId="25383"/>
    <cellStyle name="Note 3 4 6 2 2 4" xfId="15048"/>
    <cellStyle name="Note 3 4 6 2 2 4 2" xfId="28676"/>
    <cellStyle name="Note 3 4 6 2 2 5" xfId="19080"/>
    <cellStyle name="Note 3 4 6 2 3" xfId="7189"/>
    <cellStyle name="Note 3 4 6 2 3 2" xfId="20839"/>
    <cellStyle name="Note 3 4 6 2 4" xfId="10330"/>
    <cellStyle name="Note 3 4 6 2 4 2" xfId="23961"/>
    <cellStyle name="Note 3 4 6 2 5" xfId="13625"/>
    <cellStyle name="Note 3 4 6 2 5 2" xfId="27253"/>
    <cellStyle name="Note 3 4 6 2 6" xfId="17556"/>
    <cellStyle name="Note 3 4 6 3" xfId="4544"/>
    <cellStyle name="Note 3 4 6 3 2" xfId="7974"/>
    <cellStyle name="Note 3 4 6 3 2 2" xfId="21622"/>
    <cellStyle name="Note 3 4 6 3 3" xfId="11043"/>
    <cellStyle name="Note 3 4 6 3 3 2" xfId="24674"/>
    <cellStyle name="Note 3 4 6 3 4" xfId="14339"/>
    <cellStyle name="Note 3 4 6 3 4 2" xfId="27967"/>
    <cellStyle name="Note 3 4 6 3 5" xfId="18339"/>
    <cellStyle name="Note 3 4 6 4" xfId="6395"/>
    <cellStyle name="Note 3 4 6 4 2" xfId="20045"/>
    <cellStyle name="Note 3 4 6 5" xfId="9597"/>
    <cellStyle name="Note 3 4 6 5 2" xfId="23239"/>
    <cellStyle name="Note 3 4 6 6" xfId="12911"/>
    <cellStyle name="Note 3 4 6 6 2" xfId="26539"/>
    <cellStyle name="Note 3 4 6 7" xfId="16828"/>
    <cellStyle name="Note 3 4 7" xfId="5588"/>
    <cellStyle name="Note 3 4 7 2" xfId="8849"/>
    <cellStyle name="Note 3 4 7 2 2" xfId="22492"/>
    <cellStyle name="Note 3 4 7 3" xfId="11909"/>
    <cellStyle name="Note 3 4 7 3 2" xfId="25540"/>
    <cellStyle name="Note 3 4 7 4" xfId="15205"/>
    <cellStyle name="Note 3 4 7 4 2" xfId="28833"/>
    <cellStyle name="Note 3 4 7 5" xfId="19238"/>
    <cellStyle name="Note 3 4 8" xfId="9052"/>
    <cellStyle name="Note 3 4 8 2" xfId="22695"/>
    <cellStyle name="Note 3 4 9" xfId="12046"/>
    <cellStyle name="Note 3 4 9 2" xfId="25676"/>
    <cellStyle name="Note 3 5" xfId="3068"/>
    <cellStyle name="Note 3 5 2" xfId="4872"/>
    <cellStyle name="Note 3 5 2 2" xfId="8138"/>
    <cellStyle name="Note 3 5 2 2 2" xfId="21786"/>
    <cellStyle name="Note 3 5 2 3" xfId="11207"/>
    <cellStyle name="Note 3 5 2 3 2" xfId="24838"/>
    <cellStyle name="Note 3 5 2 4" xfId="14503"/>
    <cellStyle name="Note 3 5 2 4 2" xfId="28131"/>
    <cellStyle name="Note 3 5 2 5" xfId="18530"/>
    <cellStyle name="Note 3 5 3" xfId="6561"/>
    <cellStyle name="Note 3 5 3 2" xfId="20211"/>
    <cellStyle name="Note 3 5 4" xfId="9782"/>
    <cellStyle name="Note 3 5 4 2" xfId="23413"/>
    <cellStyle name="Note 3 5 5" xfId="13077"/>
    <cellStyle name="Note 3 5 5 2" xfId="26705"/>
    <cellStyle name="Note 3 5 6" xfId="16995"/>
    <cellStyle name="Note 3 6" xfId="3859"/>
    <cellStyle name="Note 3 6 2" xfId="7289"/>
    <cellStyle name="Note 3 6 2 2" xfId="20937"/>
    <cellStyle name="Note 3 6 3" xfId="10427"/>
    <cellStyle name="Note 3 6 3 2" xfId="24058"/>
    <cellStyle name="Note 3 6 4" xfId="13723"/>
    <cellStyle name="Note 3 6 4 2" xfId="27351"/>
    <cellStyle name="Note 3 6 5" xfId="17654"/>
    <cellStyle name="Note 3 7" xfId="5700"/>
    <cellStyle name="Note 3 7 2" xfId="19350"/>
    <cellStyle name="Note 3 8" xfId="12300"/>
    <cellStyle name="Note 3 8 2" xfId="25928"/>
    <cellStyle name="Note 3 9" xfId="15976"/>
    <cellStyle name="Note 4" xfId="1279"/>
    <cellStyle name="Note 4 2" xfId="1280"/>
    <cellStyle name="Note 4 3" xfId="1281"/>
    <cellStyle name="Note 4 3 2" xfId="1282"/>
    <cellStyle name="Note 4 3 3" xfId="15368"/>
    <cellStyle name="Note 4 4" xfId="1283"/>
    <cellStyle name="Note 5" xfId="12217"/>
    <cellStyle name="Note 5 2" xfId="15370"/>
    <cellStyle name="Note 5 2 2" xfId="15578"/>
    <cellStyle name="Note 5 3" xfId="15369"/>
    <cellStyle name="Note 5 4" xfId="15579"/>
    <cellStyle name="Note 5 5" xfId="25845"/>
    <cellStyle name="Note 6" xfId="15371"/>
    <cellStyle name="Note 6 2" xfId="15580"/>
    <cellStyle name="Note 7" xfId="15666"/>
    <cellStyle name="Note 7 2" xfId="29087"/>
    <cellStyle name="Note 8" xfId="15700"/>
    <cellStyle name="Note 8 2" xfId="29121"/>
    <cellStyle name="Note 9" xfId="15740"/>
    <cellStyle name="Note 9 2" xfId="29126"/>
    <cellStyle name="Note 9 3" xfId="29598"/>
    <cellStyle name="Number" xfId="81"/>
    <cellStyle name="Number 2" xfId="82"/>
    <cellStyle name="Number 2 2" xfId="1284"/>
    <cellStyle name="Number_Adjustments-RSVA" xfId="83"/>
    <cellStyle name="OH01" xfId="84"/>
    <cellStyle name="OHnplode" xfId="85"/>
    <cellStyle name="Output" xfId="430" builtinId="21" customBuiltin="1"/>
    <cellStyle name="Output 2" xfId="405"/>
    <cellStyle name="Output 2 2" xfId="1285"/>
    <cellStyle name="Output 2 3" xfId="3095"/>
    <cellStyle name="Output 2 3 2" xfId="4895"/>
    <cellStyle name="Output 2 3 2 2" xfId="8161"/>
    <cellStyle name="Output 2 3 2 2 2" xfId="21809"/>
    <cellStyle name="Output 2 3 2 2 3" xfId="29273"/>
    <cellStyle name="Output 2 3 2 3" xfId="18553"/>
    <cellStyle name="Output 2 3 2 4" xfId="29551"/>
    <cellStyle name="Output 2 3 3" xfId="17018"/>
    <cellStyle name="Output 2 3 4" xfId="29451"/>
    <cellStyle name="Output 2 4" xfId="15911"/>
    <cellStyle name="Output 2 5" xfId="29575"/>
    <cellStyle name="Output 3" xfId="15741"/>
    <cellStyle name="Output 3 2" xfId="29127"/>
    <cellStyle name="Output 3 3" xfId="29599"/>
    <cellStyle name="Output 4" xfId="15794"/>
    <cellStyle name="Output 4 2" xfId="29137"/>
    <cellStyle name="Output 4 3" xfId="29602"/>
    <cellStyle name="Output 5" xfId="15800"/>
    <cellStyle name="Output 5 2" xfId="29161"/>
    <cellStyle name="Output 5 2 2" xfId="29595"/>
    <cellStyle name="Output 5 3" xfId="29143"/>
    <cellStyle name="Output 5 3 2" xfId="29585"/>
    <cellStyle name="Output 6" xfId="15933"/>
    <cellStyle name="Percent" xfId="2" builtinId="5"/>
    <cellStyle name="Percent [2]" xfId="86"/>
    <cellStyle name="Percent [2] 2" xfId="87"/>
    <cellStyle name="Percent [2] 2 2" xfId="1287"/>
    <cellStyle name="Percent 10" xfId="122"/>
    <cellStyle name="Percent 10 2" xfId="151"/>
    <cellStyle name="Percent 10 2 2" xfId="1289"/>
    <cellStyle name="Percent 10 2 3" xfId="1288"/>
    <cellStyle name="Percent 10 3" xfId="176"/>
    <cellStyle name="Percent 10 3 2" xfId="1291"/>
    <cellStyle name="Percent 10 3 3" xfId="1290"/>
    <cellStyle name="Percent 100" xfId="1292"/>
    <cellStyle name="Percent 100 2" xfId="3008"/>
    <cellStyle name="Percent 101" xfId="1293"/>
    <cellStyle name="Percent 101 2" xfId="3009"/>
    <cellStyle name="Percent 102" xfId="1294"/>
    <cellStyle name="Percent 102 2" xfId="3010"/>
    <cellStyle name="Percent 103" xfId="1295"/>
    <cellStyle name="Percent 103 2" xfId="3011"/>
    <cellStyle name="Percent 104" xfId="1296"/>
    <cellStyle name="Percent 104 2" xfId="3012"/>
    <cellStyle name="Percent 105" xfId="1297"/>
    <cellStyle name="Percent 105 2" xfId="3013"/>
    <cellStyle name="Percent 106" xfId="1298"/>
    <cellStyle name="Percent 106 2" xfId="3014"/>
    <cellStyle name="Percent 106 3" xfId="15372"/>
    <cellStyle name="Percent 107" xfId="1299"/>
    <cellStyle name="Percent 107 2" xfId="3015"/>
    <cellStyle name="Percent 107 2 2" xfId="15582"/>
    <cellStyle name="Percent 107 3" xfId="15373"/>
    <cellStyle name="Percent 107 3 2" xfId="15583"/>
    <cellStyle name="Percent 108" xfId="1300"/>
    <cellStyle name="Percent 108 2" xfId="3016"/>
    <cellStyle name="Percent 108 2 2" xfId="15584"/>
    <cellStyle name="Percent 108 3" xfId="15374"/>
    <cellStyle name="Percent 108 3 2" xfId="15585"/>
    <cellStyle name="Percent 109" xfId="1301"/>
    <cellStyle name="Percent 109 2" xfId="3017"/>
    <cellStyle name="Percent 109 2 2" xfId="15586"/>
    <cellStyle name="Percent 109 3" xfId="15375"/>
    <cellStyle name="Percent 109 3 2" xfId="15587"/>
    <cellStyle name="Percent 11" xfId="125"/>
    <cellStyle name="Percent 11 2" xfId="1302"/>
    <cellStyle name="Percent 11 3" xfId="1303"/>
    <cellStyle name="Percent 110" xfId="1304"/>
    <cellStyle name="Percent 110 2" xfId="3018"/>
    <cellStyle name="Percent 110 2 2" xfId="15588"/>
    <cellStyle name="Percent 110 3" xfId="15376"/>
    <cellStyle name="Percent 110 3 2" xfId="15589"/>
    <cellStyle name="Percent 111" xfId="1305"/>
    <cellStyle name="Percent 111 2" xfId="3019"/>
    <cellStyle name="Percent 111 2 2" xfId="15590"/>
    <cellStyle name="Percent 111 3" xfId="15377"/>
    <cellStyle name="Percent 111 3 2" xfId="15591"/>
    <cellStyle name="Percent 112" xfId="1306"/>
    <cellStyle name="Percent 112 2" xfId="3020"/>
    <cellStyle name="Percent 112 2 2" xfId="15592"/>
    <cellStyle name="Percent 112 3" xfId="15378"/>
    <cellStyle name="Percent 112 3 2" xfId="15593"/>
    <cellStyle name="Percent 113" xfId="1307"/>
    <cellStyle name="Percent 113 2" xfId="3021"/>
    <cellStyle name="Percent 113 2 2" xfId="15594"/>
    <cellStyle name="Percent 113 3" xfId="15379"/>
    <cellStyle name="Percent 113 3 2" xfId="15595"/>
    <cellStyle name="Percent 114" xfId="1308"/>
    <cellStyle name="Percent 114 2" xfId="3022"/>
    <cellStyle name="Percent 114 2 2" xfId="15596"/>
    <cellStyle name="Percent 114 3" xfId="15380"/>
    <cellStyle name="Percent 114 3 2" xfId="15597"/>
    <cellStyle name="Percent 115" xfId="1309"/>
    <cellStyle name="Percent 115 2" xfId="3023"/>
    <cellStyle name="Percent 115 2 2" xfId="15598"/>
    <cellStyle name="Percent 115 3" xfId="15381"/>
    <cellStyle name="Percent 115 3 2" xfId="15599"/>
    <cellStyle name="Percent 116" xfId="1310"/>
    <cellStyle name="Percent 116 2" xfId="3024"/>
    <cellStyle name="Percent 116 2 2" xfId="15600"/>
    <cellStyle name="Percent 116 3" xfId="15382"/>
    <cellStyle name="Percent 116 3 2" xfId="15601"/>
    <cellStyle name="Percent 117" xfId="1311"/>
    <cellStyle name="Percent 117 2" xfId="3025"/>
    <cellStyle name="Percent 117 2 2" xfId="15602"/>
    <cellStyle name="Percent 117 3" xfId="15383"/>
    <cellStyle name="Percent 117 3 2" xfId="15603"/>
    <cellStyle name="Percent 118" xfId="1312"/>
    <cellStyle name="Percent 118 2" xfId="3026"/>
    <cellStyle name="Percent 118 2 2" xfId="15604"/>
    <cellStyle name="Percent 118 3" xfId="15384"/>
    <cellStyle name="Percent 118 3 2" xfId="15605"/>
    <cellStyle name="Percent 119" xfId="1313"/>
    <cellStyle name="Percent 119 2" xfId="15385"/>
    <cellStyle name="Percent 119 3" xfId="15606"/>
    <cellStyle name="Percent 12" xfId="159"/>
    <cellStyle name="Percent 12 2" xfId="1315"/>
    <cellStyle name="Percent 12 2 2" xfId="2039"/>
    <cellStyle name="Percent 12 3" xfId="1316"/>
    <cellStyle name="Percent 12 4" xfId="1314"/>
    <cellStyle name="Percent 120" xfId="1317"/>
    <cellStyle name="Percent 120 2" xfId="15386"/>
    <cellStyle name="Percent 120 3" xfId="15607"/>
    <cellStyle name="Percent 121" xfId="1318"/>
    <cellStyle name="Percent 121 2" xfId="15387"/>
    <cellStyle name="Percent 121 3" xfId="15608"/>
    <cellStyle name="Percent 122" xfId="1319"/>
    <cellStyle name="Percent 122 10" xfId="12195"/>
    <cellStyle name="Percent 122 10 2" xfId="25823"/>
    <cellStyle name="Percent 122 11" xfId="15388"/>
    <cellStyle name="Percent 122 2" xfId="2041"/>
    <cellStyle name="Percent 122 2 2" xfId="15609"/>
    <cellStyle name="Percent 122 3" xfId="2040"/>
    <cellStyle name="Percent 122 3 2" xfId="3233"/>
    <cellStyle name="Percent 122 3 2 2" xfId="4980"/>
    <cellStyle name="Percent 122 3 2 2 2" xfId="8244"/>
    <cellStyle name="Percent 122 3 2 2 2 2" xfId="21892"/>
    <cellStyle name="Percent 122 3 2 2 3" xfId="11311"/>
    <cellStyle name="Percent 122 3 2 2 3 2" xfId="24942"/>
    <cellStyle name="Percent 122 3 2 2 4" xfId="14607"/>
    <cellStyle name="Percent 122 3 2 2 4 2" xfId="28235"/>
    <cellStyle name="Percent 122 3 2 2 5" xfId="18638"/>
    <cellStyle name="Percent 122 3 2 3" xfId="6667"/>
    <cellStyle name="Percent 122 3 2 3 2" xfId="20317"/>
    <cellStyle name="Percent 122 3 2 4" xfId="9888"/>
    <cellStyle name="Percent 122 3 2 4 2" xfId="23519"/>
    <cellStyle name="Percent 122 3 2 5" xfId="13183"/>
    <cellStyle name="Percent 122 3 2 5 2" xfId="26811"/>
    <cellStyle name="Percent 122 3 2 6" xfId="17113"/>
    <cellStyle name="Percent 122 3 3" xfId="4034"/>
    <cellStyle name="Percent 122 3 3 2" xfId="7464"/>
    <cellStyle name="Percent 122 3 3 2 2" xfId="21112"/>
    <cellStyle name="Percent 122 3 3 3" xfId="10602"/>
    <cellStyle name="Percent 122 3 3 3 2" xfId="24233"/>
    <cellStyle name="Percent 122 3 3 4" xfId="13898"/>
    <cellStyle name="Percent 122 3 3 4 2" xfId="27526"/>
    <cellStyle name="Percent 122 3 3 5" xfId="17829"/>
    <cellStyle name="Percent 122 3 4" xfId="5870"/>
    <cellStyle name="Percent 122 3 4 2" xfId="19520"/>
    <cellStyle name="Percent 122 3 5" xfId="9157"/>
    <cellStyle name="Percent 122 3 5 2" xfId="22799"/>
    <cellStyle name="Percent 122 3 6" xfId="12470"/>
    <cellStyle name="Percent 122 3 6 2" xfId="26098"/>
    <cellStyle name="Percent 122 3 7" xfId="15610"/>
    <cellStyle name="Percent 122 3 8" xfId="16292"/>
    <cellStyle name="Percent 122 4" xfId="2227"/>
    <cellStyle name="Percent 122 4 2" xfId="3340"/>
    <cellStyle name="Percent 122 4 2 2" xfId="5086"/>
    <cellStyle name="Percent 122 4 2 2 2" xfId="8350"/>
    <cellStyle name="Percent 122 4 2 2 2 2" xfId="21998"/>
    <cellStyle name="Percent 122 4 2 2 3" xfId="11417"/>
    <cellStyle name="Percent 122 4 2 2 3 2" xfId="25048"/>
    <cellStyle name="Percent 122 4 2 2 4" xfId="14713"/>
    <cellStyle name="Percent 122 4 2 2 4 2" xfId="28341"/>
    <cellStyle name="Percent 122 4 2 2 5" xfId="18744"/>
    <cellStyle name="Percent 122 4 2 3" xfId="6774"/>
    <cellStyle name="Percent 122 4 2 3 2" xfId="20424"/>
    <cellStyle name="Percent 122 4 2 4" xfId="9994"/>
    <cellStyle name="Percent 122 4 2 4 2" xfId="23625"/>
    <cellStyle name="Percent 122 4 2 5" xfId="13289"/>
    <cellStyle name="Percent 122 4 2 5 2" xfId="26917"/>
    <cellStyle name="Percent 122 4 2 6" xfId="17219"/>
    <cellStyle name="Percent 122 4 3" xfId="4140"/>
    <cellStyle name="Percent 122 4 3 2" xfId="7570"/>
    <cellStyle name="Percent 122 4 3 2 2" xfId="21218"/>
    <cellStyle name="Percent 122 4 3 3" xfId="10708"/>
    <cellStyle name="Percent 122 4 3 3 2" xfId="24339"/>
    <cellStyle name="Percent 122 4 3 4" xfId="14004"/>
    <cellStyle name="Percent 122 4 3 4 2" xfId="27632"/>
    <cellStyle name="Percent 122 4 3 5" xfId="17935"/>
    <cellStyle name="Percent 122 4 4" xfId="5976"/>
    <cellStyle name="Percent 122 4 4 2" xfId="19626"/>
    <cellStyle name="Percent 122 4 5" xfId="9262"/>
    <cellStyle name="Percent 122 4 5 2" xfId="22904"/>
    <cellStyle name="Percent 122 4 6" xfId="12576"/>
    <cellStyle name="Percent 122 4 6 2" xfId="26204"/>
    <cellStyle name="Percent 122 4 7" xfId="16421"/>
    <cellStyle name="Percent 122 5" xfId="2622"/>
    <cellStyle name="Percent 122 5 2" xfId="3601"/>
    <cellStyle name="Percent 122 5 2 2" xfId="5268"/>
    <cellStyle name="Percent 122 5 2 2 2" xfId="8531"/>
    <cellStyle name="Percent 122 5 2 2 2 2" xfId="22179"/>
    <cellStyle name="Percent 122 5 2 2 3" xfId="11598"/>
    <cellStyle name="Percent 122 5 2 2 3 2" xfId="25229"/>
    <cellStyle name="Percent 122 5 2 2 4" xfId="14894"/>
    <cellStyle name="Percent 122 5 2 2 4 2" xfId="28522"/>
    <cellStyle name="Percent 122 5 2 2 5" xfId="18926"/>
    <cellStyle name="Percent 122 5 2 3" xfId="7035"/>
    <cellStyle name="Percent 122 5 2 3 2" xfId="20685"/>
    <cellStyle name="Percent 122 5 2 4" xfId="10176"/>
    <cellStyle name="Percent 122 5 2 4 2" xfId="23807"/>
    <cellStyle name="Percent 122 5 2 5" xfId="13471"/>
    <cellStyle name="Percent 122 5 2 5 2" xfId="27099"/>
    <cellStyle name="Percent 122 5 2 6" xfId="17402"/>
    <cellStyle name="Percent 122 5 3" xfId="4365"/>
    <cellStyle name="Percent 122 5 3 2" xfId="7795"/>
    <cellStyle name="Percent 122 5 3 2 2" xfId="21443"/>
    <cellStyle name="Percent 122 5 3 3" xfId="10889"/>
    <cellStyle name="Percent 122 5 3 3 2" xfId="24520"/>
    <cellStyle name="Percent 122 5 3 4" xfId="14185"/>
    <cellStyle name="Percent 122 5 3 4 2" xfId="27813"/>
    <cellStyle name="Percent 122 5 3 5" xfId="18160"/>
    <cellStyle name="Percent 122 5 4" xfId="6241"/>
    <cellStyle name="Percent 122 5 4 2" xfId="19891"/>
    <cellStyle name="Percent 122 5 5" xfId="9443"/>
    <cellStyle name="Percent 122 5 5 2" xfId="23085"/>
    <cellStyle name="Percent 122 5 6" xfId="12757"/>
    <cellStyle name="Percent 122 5 6 2" xfId="26385"/>
    <cellStyle name="Percent 122 5 7" xfId="16649"/>
    <cellStyle name="Percent 122 6" xfId="2806"/>
    <cellStyle name="Percent 122 6 2" xfId="3760"/>
    <cellStyle name="Percent 122 6 2 2" xfId="5427"/>
    <cellStyle name="Percent 122 6 2 2 2" xfId="8690"/>
    <cellStyle name="Percent 122 6 2 2 2 2" xfId="22338"/>
    <cellStyle name="Percent 122 6 2 2 3" xfId="11757"/>
    <cellStyle name="Percent 122 6 2 2 3 2" xfId="25388"/>
    <cellStyle name="Percent 122 6 2 2 4" xfId="15053"/>
    <cellStyle name="Percent 122 6 2 2 4 2" xfId="28681"/>
    <cellStyle name="Percent 122 6 2 2 5" xfId="19085"/>
    <cellStyle name="Percent 122 6 2 3" xfId="7194"/>
    <cellStyle name="Percent 122 6 2 3 2" xfId="20844"/>
    <cellStyle name="Percent 122 6 2 4" xfId="10335"/>
    <cellStyle name="Percent 122 6 2 4 2" xfId="23966"/>
    <cellStyle name="Percent 122 6 2 5" xfId="13630"/>
    <cellStyle name="Percent 122 6 2 5 2" xfId="27258"/>
    <cellStyle name="Percent 122 6 2 6" xfId="17561"/>
    <cellStyle name="Percent 122 6 3" xfId="4549"/>
    <cellStyle name="Percent 122 6 3 2" xfId="7979"/>
    <cellStyle name="Percent 122 6 3 2 2" xfId="21627"/>
    <cellStyle name="Percent 122 6 3 3" xfId="11048"/>
    <cellStyle name="Percent 122 6 3 3 2" xfId="24679"/>
    <cellStyle name="Percent 122 6 3 4" xfId="14344"/>
    <cellStyle name="Percent 122 6 3 4 2" xfId="27972"/>
    <cellStyle name="Percent 122 6 3 5" xfId="18344"/>
    <cellStyle name="Percent 122 6 4" xfId="6400"/>
    <cellStyle name="Percent 122 6 4 2" xfId="20050"/>
    <cellStyle name="Percent 122 6 5" xfId="9602"/>
    <cellStyle name="Percent 122 6 5 2" xfId="23244"/>
    <cellStyle name="Percent 122 6 6" xfId="12916"/>
    <cellStyle name="Percent 122 6 6 2" xfId="26544"/>
    <cellStyle name="Percent 122 6 7" xfId="16833"/>
    <cellStyle name="Percent 122 7" xfId="5597"/>
    <cellStyle name="Percent 122 7 2" xfId="8858"/>
    <cellStyle name="Percent 122 7 2 2" xfId="22501"/>
    <cellStyle name="Percent 122 7 3" xfId="11918"/>
    <cellStyle name="Percent 122 7 3 2" xfId="25549"/>
    <cellStyle name="Percent 122 7 4" xfId="15214"/>
    <cellStyle name="Percent 122 7 4 2" xfId="28842"/>
    <cellStyle name="Percent 122 7 5" xfId="19247"/>
    <cellStyle name="Percent 122 8" xfId="9054"/>
    <cellStyle name="Percent 122 8 2" xfId="22697"/>
    <cellStyle name="Percent 122 9" xfId="12036"/>
    <cellStyle name="Percent 122 9 2" xfId="25667"/>
    <cellStyle name="Percent 123" xfId="1320"/>
    <cellStyle name="Percent 123 2" xfId="2043"/>
    <cellStyle name="Percent 123 2 2" xfId="15611"/>
    <cellStyle name="Percent 123 3" xfId="2042"/>
    <cellStyle name="Percent 123 3 2" xfId="15612"/>
    <cellStyle name="Percent 123 4" xfId="15389"/>
    <cellStyle name="Percent 124" xfId="1321"/>
    <cellStyle name="Percent 124 2" xfId="2045"/>
    <cellStyle name="Percent 124 3" xfId="2044"/>
    <cellStyle name="Percent 125" xfId="1322"/>
    <cellStyle name="Percent 125 2" xfId="2047"/>
    <cellStyle name="Percent 125 3" xfId="2046"/>
    <cellStyle name="Percent 126" xfId="1323"/>
    <cellStyle name="Percent 126 2" xfId="2049"/>
    <cellStyle name="Percent 126 3" xfId="2056"/>
    <cellStyle name="Percent 126 4" xfId="2048"/>
    <cellStyle name="Percent 127" xfId="1324"/>
    <cellStyle name="Percent 127 2" xfId="2058"/>
    <cellStyle name="Percent 127 3" xfId="2059"/>
    <cellStyle name="Percent 127 4" xfId="2057"/>
    <cellStyle name="Percent 128" xfId="1325"/>
    <cellStyle name="Percent 128 2" xfId="2061"/>
    <cellStyle name="Percent 128 2 2" xfId="15613"/>
    <cellStyle name="Percent 128 3" xfId="2062"/>
    <cellStyle name="Percent 128 4" xfId="2060"/>
    <cellStyle name="Percent 128 5" xfId="15390"/>
    <cellStyle name="Percent 129" xfId="1326"/>
    <cellStyle name="Percent 129 2" xfId="2064"/>
    <cellStyle name="Percent 129 2 2" xfId="15614"/>
    <cellStyle name="Percent 129 3" xfId="2063"/>
    <cellStyle name="Percent 13" xfId="164"/>
    <cellStyle name="Percent 13 2" xfId="1328"/>
    <cellStyle name="Percent 13 2 2" xfId="2065"/>
    <cellStyle name="Percent 13 3" xfId="1327"/>
    <cellStyle name="Percent 130" xfId="1329"/>
    <cellStyle name="Percent 130 2" xfId="3027"/>
    <cellStyle name="Percent 130 2 2" xfId="15615"/>
    <cellStyle name="Percent 130 3" xfId="15391"/>
    <cellStyle name="Percent 131" xfId="1330"/>
    <cellStyle name="Percent 131 2" xfId="3029"/>
    <cellStyle name="Percent 132" xfId="1331"/>
    <cellStyle name="Percent 132 2" xfId="3031"/>
    <cellStyle name="Percent 133" xfId="1332"/>
    <cellStyle name="Percent 133 2" xfId="3033"/>
    <cellStyle name="Percent 134" xfId="1333"/>
    <cellStyle name="Percent 134 2" xfId="3035"/>
    <cellStyle name="Percent 135" xfId="1334"/>
    <cellStyle name="Percent 135 2" xfId="3037"/>
    <cellStyle name="Percent 136" xfId="1335"/>
    <cellStyle name="Percent 137" xfId="1336"/>
    <cellStyle name="Percent 138" xfId="1337"/>
    <cellStyle name="Percent 139" xfId="1338"/>
    <cellStyle name="Percent 14" xfId="127"/>
    <cellStyle name="Percent 14 2" xfId="178"/>
    <cellStyle name="Percent 14 2 2" xfId="1341"/>
    <cellStyle name="Percent 14 2 3" xfId="1340"/>
    <cellStyle name="Percent 14 3" xfId="212"/>
    <cellStyle name="Percent 14 3 2" xfId="234"/>
    <cellStyle name="Percent 14 4" xfId="253"/>
    <cellStyle name="Percent 14 5" xfId="272"/>
    <cellStyle name="Percent 14 5 2" xfId="2066"/>
    <cellStyle name="Percent 14 5 3" xfId="2067"/>
    <cellStyle name="Percent 14 6" xfId="309"/>
    <cellStyle name="Percent 14 7" xfId="1339"/>
    <cellStyle name="Percent 140" xfId="1342"/>
    <cellStyle name="Percent 140 2" xfId="3047"/>
    <cellStyle name="Percent 141" xfId="1343"/>
    <cellStyle name="Percent 141 2" xfId="3048"/>
    <cellStyle name="Percent 142" xfId="1344"/>
    <cellStyle name="Percent 142 2" xfId="3050"/>
    <cellStyle name="Percent 143" xfId="1345"/>
    <cellStyle name="Percent 143 2" xfId="3052"/>
    <cellStyle name="Percent 144" xfId="1346"/>
    <cellStyle name="Percent 144 2" xfId="3053"/>
    <cellStyle name="Percent 145" xfId="1347"/>
    <cellStyle name="Percent 145 2" xfId="3055"/>
    <cellStyle name="Percent 146" xfId="1348"/>
    <cellStyle name="Percent 146 2" xfId="3056"/>
    <cellStyle name="Percent 147" xfId="1349"/>
    <cellStyle name="Percent 148" xfId="1350"/>
    <cellStyle name="Percent 148 2" xfId="3057"/>
    <cellStyle name="Percent 149" xfId="1351"/>
    <cellStyle name="Percent 149 2" xfId="3058"/>
    <cellStyle name="Percent 15" xfId="155"/>
    <cellStyle name="Percent 15 2" xfId="185"/>
    <cellStyle name="Percent 15 2 2" xfId="1354"/>
    <cellStyle name="Percent 15 2 3" xfId="1353"/>
    <cellStyle name="Percent 15 3" xfId="220"/>
    <cellStyle name="Percent 15 3 2" xfId="241"/>
    <cellStyle name="Percent 15 4" xfId="260"/>
    <cellStyle name="Percent 15 5" xfId="279"/>
    <cellStyle name="Percent 15 5 2" xfId="2068"/>
    <cellStyle name="Percent 15 5 3" xfId="2069"/>
    <cellStyle name="Percent 15 6" xfId="292"/>
    <cellStyle name="Percent 15 7" xfId="1352"/>
    <cellStyle name="Percent 150" xfId="1355"/>
    <cellStyle name="Percent 150 2" xfId="3066"/>
    <cellStyle name="Percent 151" xfId="1356"/>
    <cellStyle name="Percent 151 2" xfId="3067"/>
    <cellStyle name="Percent 152" xfId="1357"/>
    <cellStyle name="Percent 152 2" xfId="2070"/>
    <cellStyle name="Percent 153" xfId="1358"/>
    <cellStyle name="Percent 153 2" xfId="2071"/>
    <cellStyle name="Percent 153 2 2" xfId="3070"/>
    <cellStyle name="Percent 154" xfId="1359"/>
    <cellStyle name="Percent 154 2" xfId="2072"/>
    <cellStyle name="Percent 154 2 2" xfId="3071"/>
    <cellStyle name="Percent 155" xfId="1286"/>
    <cellStyle name="Percent 155 2" xfId="2073"/>
    <cellStyle name="Percent 155 3" xfId="3072"/>
    <cellStyle name="Percent 156" xfId="2015"/>
    <cellStyle name="Percent 156 2" xfId="3228"/>
    <cellStyle name="Percent 157" xfId="1843"/>
    <cellStyle name="Percent 158" xfId="2012"/>
    <cellStyle name="Percent 159" xfId="1842"/>
    <cellStyle name="Percent 16" xfId="135"/>
    <cellStyle name="Percent 16 2" xfId="181"/>
    <cellStyle name="Percent 16 2 2" xfId="2074"/>
    <cellStyle name="Percent 16 2 3" xfId="2075"/>
    <cellStyle name="Percent 16 3" xfId="215"/>
    <cellStyle name="Percent 16 3 2" xfId="237"/>
    <cellStyle name="Percent 16 4" xfId="256"/>
    <cellStyle name="Percent 16 5" xfId="275"/>
    <cellStyle name="Percent 16 5 2" xfId="2076"/>
    <cellStyle name="Percent 16 5 3" xfId="2077"/>
    <cellStyle name="Percent 16 6" xfId="301"/>
    <cellStyle name="Percent 16 7" xfId="1361"/>
    <cellStyle name="Percent 16 8" xfId="1360"/>
    <cellStyle name="Percent 160" xfId="2038"/>
    <cellStyle name="Percent 160 2" xfId="3232"/>
    <cellStyle name="Percent 160 2 2" xfId="4979"/>
    <cellStyle name="Percent 160 2 2 2" xfId="8243"/>
    <cellStyle name="Percent 160 2 2 2 2" xfId="21891"/>
    <cellStyle name="Percent 160 2 2 3" xfId="11310"/>
    <cellStyle name="Percent 160 2 2 3 2" xfId="24941"/>
    <cellStyle name="Percent 160 2 2 4" xfId="14606"/>
    <cellStyle name="Percent 160 2 2 4 2" xfId="28234"/>
    <cellStyle name="Percent 160 2 2 5" xfId="18637"/>
    <cellStyle name="Percent 160 2 3" xfId="6666"/>
    <cellStyle name="Percent 160 2 3 2" xfId="20316"/>
    <cellStyle name="Percent 160 2 4" xfId="9887"/>
    <cellStyle name="Percent 160 2 4 2" xfId="23518"/>
    <cellStyle name="Percent 160 2 5" xfId="13182"/>
    <cellStyle name="Percent 160 2 5 2" xfId="26810"/>
    <cellStyle name="Percent 160 2 6" xfId="17112"/>
    <cellStyle name="Percent 160 3" xfId="4033"/>
    <cellStyle name="Percent 160 3 2" xfId="7463"/>
    <cellStyle name="Percent 160 3 2 2" xfId="21111"/>
    <cellStyle name="Percent 160 3 3" xfId="10601"/>
    <cellStyle name="Percent 160 3 3 2" xfId="24232"/>
    <cellStyle name="Percent 160 3 4" xfId="13897"/>
    <cellStyle name="Percent 160 3 4 2" xfId="27525"/>
    <cellStyle name="Percent 160 3 5" xfId="17828"/>
    <cellStyle name="Percent 160 4" xfId="5869"/>
    <cellStyle name="Percent 160 4 2" xfId="19519"/>
    <cellStyle name="Percent 160 5" xfId="9156"/>
    <cellStyle name="Percent 160 5 2" xfId="22798"/>
    <cellStyle name="Percent 160 6" xfId="12469"/>
    <cellStyle name="Percent 160 6 2" xfId="26097"/>
    <cellStyle name="Percent 160 7" xfId="15616"/>
    <cellStyle name="Percent 160 8" xfId="16291"/>
    <cellStyle name="Percent 161" xfId="2127"/>
    <cellStyle name="Percent 161 2" xfId="3240"/>
    <cellStyle name="Percent 161 2 2" xfId="4987"/>
    <cellStyle name="Percent 161 2 2 2" xfId="8251"/>
    <cellStyle name="Percent 161 2 2 2 2" xfId="21899"/>
    <cellStyle name="Percent 161 2 2 3" xfId="11318"/>
    <cellStyle name="Percent 161 2 2 3 2" xfId="24949"/>
    <cellStyle name="Percent 161 2 2 4" xfId="14614"/>
    <cellStyle name="Percent 161 2 2 4 2" xfId="28242"/>
    <cellStyle name="Percent 161 2 2 5" xfId="18645"/>
    <cellStyle name="Percent 161 2 3" xfId="6674"/>
    <cellStyle name="Percent 161 2 3 2" xfId="20324"/>
    <cellStyle name="Percent 161 2 4" xfId="9895"/>
    <cellStyle name="Percent 161 2 4 2" xfId="23526"/>
    <cellStyle name="Percent 161 2 5" xfId="13190"/>
    <cellStyle name="Percent 161 2 5 2" xfId="26818"/>
    <cellStyle name="Percent 161 2 6" xfId="17120"/>
    <cellStyle name="Percent 161 3" xfId="4041"/>
    <cellStyle name="Percent 161 3 2" xfId="7471"/>
    <cellStyle name="Percent 161 3 2 2" xfId="21119"/>
    <cellStyle name="Percent 161 3 3" xfId="10609"/>
    <cellStyle name="Percent 161 3 3 2" xfId="24240"/>
    <cellStyle name="Percent 161 3 4" xfId="13905"/>
    <cellStyle name="Percent 161 3 4 2" xfId="27533"/>
    <cellStyle name="Percent 161 3 5" xfId="17836"/>
    <cellStyle name="Percent 161 4" xfId="5877"/>
    <cellStyle name="Percent 161 4 2" xfId="19527"/>
    <cellStyle name="Percent 161 5" xfId="9163"/>
    <cellStyle name="Percent 161 5 2" xfId="22805"/>
    <cellStyle name="Percent 161 6" xfId="12477"/>
    <cellStyle name="Percent 161 6 2" xfId="26105"/>
    <cellStyle name="Percent 161 7" xfId="15617"/>
    <cellStyle name="Percent 161 8" xfId="16322"/>
    <cellStyle name="Percent 162" xfId="2169"/>
    <cellStyle name="Percent 162 2" xfId="3282"/>
    <cellStyle name="Percent 162 2 2" xfId="5028"/>
    <cellStyle name="Percent 162 2 2 2" xfId="8292"/>
    <cellStyle name="Percent 162 2 2 2 2" xfId="21940"/>
    <cellStyle name="Percent 162 2 2 3" xfId="11359"/>
    <cellStyle name="Percent 162 2 2 3 2" xfId="24990"/>
    <cellStyle name="Percent 162 2 2 4" xfId="14655"/>
    <cellStyle name="Percent 162 2 2 4 2" xfId="28283"/>
    <cellStyle name="Percent 162 2 2 5" xfId="18686"/>
    <cellStyle name="Percent 162 2 3" xfId="6716"/>
    <cellStyle name="Percent 162 2 3 2" xfId="20366"/>
    <cellStyle name="Percent 162 2 4" xfId="9936"/>
    <cellStyle name="Percent 162 2 4 2" xfId="23567"/>
    <cellStyle name="Percent 162 2 5" xfId="13231"/>
    <cellStyle name="Percent 162 2 5 2" xfId="26859"/>
    <cellStyle name="Percent 162 2 6" xfId="17161"/>
    <cellStyle name="Percent 162 3" xfId="4082"/>
    <cellStyle name="Percent 162 3 2" xfId="7512"/>
    <cellStyle name="Percent 162 3 2 2" xfId="21160"/>
    <cellStyle name="Percent 162 3 3" xfId="10650"/>
    <cellStyle name="Percent 162 3 3 2" xfId="24281"/>
    <cellStyle name="Percent 162 3 4" xfId="13946"/>
    <cellStyle name="Percent 162 3 4 2" xfId="27574"/>
    <cellStyle name="Percent 162 3 5" xfId="17877"/>
    <cellStyle name="Percent 162 4" xfId="5918"/>
    <cellStyle name="Percent 162 4 2" xfId="19568"/>
    <cellStyle name="Percent 162 5" xfId="9204"/>
    <cellStyle name="Percent 162 5 2" xfId="22846"/>
    <cellStyle name="Percent 162 6" xfId="12518"/>
    <cellStyle name="Percent 162 6 2" xfId="26146"/>
    <cellStyle name="Percent 162 7" xfId="15618"/>
    <cellStyle name="Percent 162 8" xfId="16363"/>
    <cellStyle name="Percent 163" xfId="2581"/>
    <cellStyle name="Percent 163 2" xfId="3600"/>
    <cellStyle name="Percent 163 2 2" xfId="5267"/>
    <cellStyle name="Percent 163 2 2 2" xfId="8530"/>
    <cellStyle name="Percent 163 2 2 2 2" xfId="22178"/>
    <cellStyle name="Percent 163 2 2 3" xfId="11597"/>
    <cellStyle name="Percent 163 2 2 3 2" xfId="25228"/>
    <cellStyle name="Percent 163 2 2 4" xfId="14893"/>
    <cellStyle name="Percent 163 2 2 4 2" xfId="28521"/>
    <cellStyle name="Percent 163 2 2 5" xfId="18925"/>
    <cellStyle name="Percent 163 2 3" xfId="7034"/>
    <cellStyle name="Percent 163 2 3 2" xfId="20684"/>
    <cellStyle name="Percent 163 2 4" xfId="10175"/>
    <cellStyle name="Percent 163 2 4 2" xfId="23806"/>
    <cellStyle name="Percent 163 2 5" xfId="13470"/>
    <cellStyle name="Percent 163 2 5 2" xfId="27098"/>
    <cellStyle name="Percent 163 2 6" xfId="17401"/>
    <cellStyle name="Percent 163 3" xfId="4324"/>
    <cellStyle name="Percent 163 3 2" xfId="7754"/>
    <cellStyle name="Percent 163 3 2 2" xfId="21402"/>
    <cellStyle name="Percent 163 3 3" xfId="10888"/>
    <cellStyle name="Percent 163 3 3 2" xfId="24519"/>
    <cellStyle name="Percent 163 3 4" xfId="14184"/>
    <cellStyle name="Percent 163 3 4 2" xfId="27812"/>
    <cellStyle name="Percent 163 3 5" xfId="18119"/>
    <cellStyle name="Percent 163 4" xfId="6240"/>
    <cellStyle name="Percent 163 4 2" xfId="19890"/>
    <cellStyle name="Percent 163 5" xfId="9442"/>
    <cellStyle name="Percent 163 5 2" xfId="23084"/>
    <cellStyle name="Percent 163 6" xfId="12756"/>
    <cellStyle name="Percent 163 6 2" xfId="26384"/>
    <cellStyle name="Percent 163 7" xfId="15619"/>
    <cellStyle name="Percent 163 8" xfId="16608"/>
    <cellStyle name="Percent 164" xfId="2338"/>
    <cellStyle name="Percent 164 2" xfId="3444"/>
    <cellStyle name="Percent 164 2 2" xfId="5180"/>
    <cellStyle name="Percent 164 2 2 2" xfId="8444"/>
    <cellStyle name="Percent 164 2 2 2 2" xfId="22092"/>
    <cellStyle name="Percent 164 2 2 3" xfId="11511"/>
    <cellStyle name="Percent 164 2 2 3 2" xfId="25142"/>
    <cellStyle name="Percent 164 2 2 4" xfId="14807"/>
    <cellStyle name="Percent 164 2 2 4 2" xfId="28435"/>
    <cellStyle name="Percent 164 2 2 5" xfId="18838"/>
    <cellStyle name="Percent 164 2 3" xfId="6878"/>
    <cellStyle name="Percent 164 2 3 2" xfId="20528"/>
    <cellStyle name="Percent 164 2 4" xfId="10088"/>
    <cellStyle name="Percent 164 2 4 2" xfId="23719"/>
    <cellStyle name="Percent 164 2 5" xfId="13383"/>
    <cellStyle name="Percent 164 2 5 2" xfId="27011"/>
    <cellStyle name="Percent 164 2 6" xfId="17313"/>
    <cellStyle name="Percent 164 3" xfId="4234"/>
    <cellStyle name="Percent 164 3 2" xfId="7664"/>
    <cellStyle name="Percent 164 3 2 2" xfId="21312"/>
    <cellStyle name="Percent 164 3 3" xfId="10802"/>
    <cellStyle name="Percent 164 3 3 2" xfId="24433"/>
    <cellStyle name="Percent 164 3 4" xfId="14098"/>
    <cellStyle name="Percent 164 3 4 2" xfId="27726"/>
    <cellStyle name="Percent 164 3 5" xfId="18029"/>
    <cellStyle name="Percent 164 4" xfId="6070"/>
    <cellStyle name="Percent 164 4 2" xfId="19720"/>
    <cellStyle name="Percent 164 5" xfId="9356"/>
    <cellStyle name="Percent 164 5 2" xfId="22998"/>
    <cellStyle name="Percent 164 6" xfId="12670"/>
    <cellStyle name="Percent 164 6 2" xfId="26298"/>
    <cellStyle name="Percent 164 7" xfId="15620"/>
    <cellStyle name="Percent 164 8" xfId="16516"/>
    <cellStyle name="Percent 165" xfId="2630"/>
    <cellStyle name="Percent 165 2" xfId="3605"/>
    <cellStyle name="Percent 165 2 2" xfId="5272"/>
    <cellStyle name="Percent 165 2 2 2" xfId="8535"/>
    <cellStyle name="Percent 165 2 2 2 2" xfId="22183"/>
    <cellStyle name="Percent 165 2 2 3" xfId="11602"/>
    <cellStyle name="Percent 165 2 2 3 2" xfId="25233"/>
    <cellStyle name="Percent 165 2 2 4" xfId="14898"/>
    <cellStyle name="Percent 165 2 2 4 2" xfId="28526"/>
    <cellStyle name="Percent 165 2 2 5" xfId="18930"/>
    <cellStyle name="Percent 165 2 3" xfId="7039"/>
    <cellStyle name="Percent 165 2 3 2" xfId="20689"/>
    <cellStyle name="Percent 165 2 4" xfId="10180"/>
    <cellStyle name="Percent 165 2 4 2" xfId="23811"/>
    <cellStyle name="Percent 165 2 5" xfId="13475"/>
    <cellStyle name="Percent 165 2 5 2" xfId="27103"/>
    <cellStyle name="Percent 165 2 6" xfId="17406"/>
    <cellStyle name="Percent 165 3" xfId="4373"/>
    <cellStyle name="Percent 165 3 2" xfId="7803"/>
    <cellStyle name="Percent 165 3 2 2" xfId="21451"/>
    <cellStyle name="Percent 165 3 3" xfId="10893"/>
    <cellStyle name="Percent 165 3 3 2" xfId="24524"/>
    <cellStyle name="Percent 165 3 4" xfId="14189"/>
    <cellStyle name="Percent 165 3 4 2" xfId="27817"/>
    <cellStyle name="Percent 165 3 5" xfId="18168"/>
    <cellStyle name="Percent 165 4" xfId="6245"/>
    <cellStyle name="Percent 165 4 2" xfId="19895"/>
    <cellStyle name="Percent 165 5" xfId="9447"/>
    <cellStyle name="Percent 165 5 2" xfId="23089"/>
    <cellStyle name="Percent 165 6" xfId="12761"/>
    <cellStyle name="Percent 165 6 2" xfId="26389"/>
    <cellStyle name="Percent 165 7" xfId="15621"/>
    <cellStyle name="Percent 165 8" xfId="16657"/>
    <cellStyle name="Percent 166" xfId="2336"/>
    <cellStyle name="Percent 166 2" xfId="3442"/>
    <cellStyle name="Percent 166 2 2" xfId="5178"/>
    <cellStyle name="Percent 166 2 2 2" xfId="8442"/>
    <cellStyle name="Percent 166 2 2 2 2" xfId="22090"/>
    <cellStyle name="Percent 166 2 2 3" xfId="11509"/>
    <cellStyle name="Percent 166 2 2 3 2" xfId="25140"/>
    <cellStyle name="Percent 166 2 2 4" xfId="14805"/>
    <cellStyle name="Percent 166 2 2 4 2" xfId="28433"/>
    <cellStyle name="Percent 166 2 2 5" xfId="18836"/>
    <cellStyle name="Percent 166 2 3" xfId="6876"/>
    <cellStyle name="Percent 166 2 3 2" xfId="20526"/>
    <cellStyle name="Percent 166 2 4" xfId="10086"/>
    <cellStyle name="Percent 166 2 4 2" xfId="23717"/>
    <cellStyle name="Percent 166 2 5" xfId="13381"/>
    <cellStyle name="Percent 166 2 5 2" xfId="27009"/>
    <cellStyle name="Percent 166 2 6" xfId="17311"/>
    <cellStyle name="Percent 166 3" xfId="4232"/>
    <cellStyle name="Percent 166 3 2" xfId="7662"/>
    <cellStyle name="Percent 166 3 2 2" xfId="21310"/>
    <cellStyle name="Percent 166 3 3" xfId="10800"/>
    <cellStyle name="Percent 166 3 3 2" xfId="24431"/>
    <cellStyle name="Percent 166 3 4" xfId="14096"/>
    <cellStyle name="Percent 166 3 4 2" xfId="27724"/>
    <cellStyle name="Percent 166 3 5" xfId="18027"/>
    <cellStyle name="Percent 166 4" xfId="6068"/>
    <cellStyle name="Percent 166 4 2" xfId="19718"/>
    <cellStyle name="Percent 166 5" xfId="9354"/>
    <cellStyle name="Percent 166 5 2" xfId="22996"/>
    <cellStyle name="Percent 166 6" xfId="12668"/>
    <cellStyle name="Percent 166 6 2" xfId="26296"/>
    <cellStyle name="Percent 166 7" xfId="15622"/>
    <cellStyle name="Percent 166 8" xfId="16514"/>
    <cellStyle name="Percent 167" xfId="2627"/>
    <cellStyle name="Percent 167 2" xfId="3602"/>
    <cellStyle name="Percent 167 2 2" xfId="5269"/>
    <cellStyle name="Percent 167 2 2 2" xfId="8532"/>
    <cellStyle name="Percent 167 2 2 2 2" xfId="22180"/>
    <cellStyle name="Percent 167 2 2 3" xfId="11599"/>
    <cellStyle name="Percent 167 2 2 3 2" xfId="25230"/>
    <cellStyle name="Percent 167 2 2 4" xfId="14895"/>
    <cellStyle name="Percent 167 2 2 4 2" xfId="28523"/>
    <cellStyle name="Percent 167 2 2 5" xfId="18927"/>
    <cellStyle name="Percent 167 2 3" xfId="7036"/>
    <cellStyle name="Percent 167 2 3 2" xfId="20686"/>
    <cellStyle name="Percent 167 2 4" xfId="10177"/>
    <cellStyle name="Percent 167 2 4 2" xfId="23808"/>
    <cellStyle name="Percent 167 2 5" xfId="13472"/>
    <cellStyle name="Percent 167 2 5 2" xfId="27100"/>
    <cellStyle name="Percent 167 2 6" xfId="17403"/>
    <cellStyle name="Percent 167 3" xfId="4370"/>
    <cellStyle name="Percent 167 3 2" xfId="7800"/>
    <cellStyle name="Percent 167 3 2 2" xfId="21448"/>
    <cellStyle name="Percent 167 3 3" xfId="10890"/>
    <cellStyle name="Percent 167 3 3 2" xfId="24521"/>
    <cellStyle name="Percent 167 3 4" xfId="14186"/>
    <cellStyle name="Percent 167 3 4 2" xfId="27814"/>
    <cellStyle name="Percent 167 3 5" xfId="18165"/>
    <cellStyle name="Percent 167 4" xfId="6242"/>
    <cellStyle name="Percent 167 4 2" xfId="19892"/>
    <cellStyle name="Percent 167 5" xfId="9444"/>
    <cellStyle name="Percent 167 5 2" xfId="23086"/>
    <cellStyle name="Percent 167 6" xfId="12758"/>
    <cellStyle name="Percent 167 6 2" xfId="26386"/>
    <cellStyle name="Percent 167 7" xfId="15623"/>
    <cellStyle name="Percent 167 8" xfId="16654"/>
    <cellStyle name="Percent 168" xfId="2335"/>
    <cellStyle name="Percent 168 2" xfId="3441"/>
    <cellStyle name="Percent 168 2 2" xfId="5177"/>
    <cellStyle name="Percent 168 2 2 2" xfId="8441"/>
    <cellStyle name="Percent 168 2 2 2 2" xfId="22089"/>
    <cellStyle name="Percent 168 2 2 3" xfId="11508"/>
    <cellStyle name="Percent 168 2 2 3 2" xfId="25139"/>
    <cellStyle name="Percent 168 2 2 4" xfId="14804"/>
    <cellStyle name="Percent 168 2 2 4 2" xfId="28432"/>
    <cellStyle name="Percent 168 2 2 5" xfId="18835"/>
    <cellStyle name="Percent 168 2 3" xfId="6875"/>
    <cellStyle name="Percent 168 2 3 2" xfId="20525"/>
    <cellStyle name="Percent 168 2 4" xfId="10085"/>
    <cellStyle name="Percent 168 2 4 2" xfId="23716"/>
    <cellStyle name="Percent 168 2 5" xfId="13380"/>
    <cellStyle name="Percent 168 2 5 2" xfId="27008"/>
    <cellStyle name="Percent 168 2 6" xfId="17310"/>
    <cellStyle name="Percent 168 3" xfId="4231"/>
    <cellStyle name="Percent 168 3 2" xfId="7661"/>
    <cellStyle name="Percent 168 3 2 2" xfId="21309"/>
    <cellStyle name="Percent 168 3 3" xfId="10799"/>
    <cellStyle name="Percent 168 3 3 2" xfId="24430"/>
    <cellStyle name="Percent 168 3 4" xfId="14095"/>
    <cellStyle name="Percent 168 3 4 2" xfId="27723"/>
    <cellStyle name="Percent 168 3 5" xfId="18026"/>
    <cellStyle name="Percent 168 4" xfId="6067"/>
    <cellStyle name="Percent 168 4 2" xfId="19717"/>
    <cellStyle name="Percent 168 5" xfId="9353"/>
    <cellStyle name="Percent 168 5 2" xfId="22995"/>
    <cellStyle name="Percent 168 6" xfId="12667"/>
    <cellStyle name="Percent 168 6 2" xfId="26295"/>
    <cellStyle name="Percent 168 7" xfId="15624"/>
    <cellStyle name="Percent 168 8" xfId="16513"/>
    <cellStyle name="Percent 169" xfId="2628"/>
    <cellStyle name="Percent 169 2" xfId="3603"/>
    <cellStyle name="Percent 169 2 2" xfId="5270"/>
    <cellStyle name="Percent 169 2 2 2" xfId="8533"/>
    <cellStyle name="Percent 169 2 2 2 2" xfId="22181"/>
    <cellStyle name="Percent 169 2 2 3" xfId="11600"/>
    <cellStyle name="Percent 169 2 2 3 2" xfId="25231"/>
    <cellStyle name="Percent 169 2 2 4" xfId="14896"/>
    <cellStyle name="Percent 169 2 2 4 2" xfId="28524"/>
    <cellStyle name="Percent 169 2 2 5" xfId="18928"/>
    <cellStyle name="Percent 169 2 3" xfId="7037"/>
    <cellStyle name="Percent 169 2 3 2" xfId="20687"/>
    <cellStyle name="Percent 169 2 4" xfId="10178"/>
    <cellStyle name="Percent 169 2 4 2" xfId="23809"/>
    <cellStyle name="Percent 169 2 5" xfId="13473"/>
    <cellStyle name="Percent 169 2 5 2" xfId="27101"/>
    <cellStyle name="Percent 169 2 6" xfId="17404"/>
    <cellStyle name="Percent 169 3" xfId="4371"/>
    <cellStyle name="Percent 169 3 2" xfId="7801"/>
    <cellStyle name="Percent 169 3 2 2" xfId="21449"/>
    <cellStyle name="Percent 169 3 3" xfId="10891"/>
    <cellStyle name="Percent 169 3 3 2" xfId="24522"/>
    <cellStyle name="Percent 169 3 4" xfId="14187"/>
    <cellStyle name="Percent 169 3 4 2" xfId="27815"/>
    <cellStyle name="Percent 169 3 5" xfId="18166"/>
    <cellStyle name="Percent 169 4" xfId="6243"/>
    <cellStyle name="Percent 169 4 2" xfId="19893"/>
    <cellStyle name="Percent 169 5" xfId="9445"/>
    <cellStyle name="Percent 169 5 2" xfId="23087"/>
    <cellStyle name="Percent 169 6" xfId="12759"/>
    <cellStyle name="Percent 169 6 2" xfId="26387"/>
    <cellStyle name="Percent 169 7" xfId="15581"/>
    <cellStyle name="Percent 169 8" xfId="16655"/>
    <cellStyle name="Percent 17" xfId="156"/>
    <cellStyle name="Percent 17 2" xfId="186"/>
    <cellStyle name="Percent 17 3" xfId="221"/>
    <cellStyle name="Percent 17 3 2" xfId="242"/>
    <cellStyle name="Percent 17 4" xfId="261"/>
    <cellStyle name="Percent 17 5" xfId="280"/>
    <cellStyle name="Percent 17 5 2" xfId="2078"/>
    <cellStyle name="Percent 17 5 3" xfId="2079"/>
    <cellStyle name="Percent 17 6" xfId="298"/>
    <cellStyle name="Percent 17 7" xfId="1363"/>
    <cellStyle name="Percent 17 8" xfId="1362"/>
    <cellStyle name="Percent 170" xfId="2334"/>
    <cellStyle name="Percent 170 2" xfId="3440"/>
    <cellStyle name="Percent 170 2 2" xfId="5176"/>
    <cellStyle name="Percent 170 2 2 2" xfId="8440"/>
    <cellStyle name="Percent 170 2 2 2 2" xfId="22088"/>
    <cellStyle name="Percent 170 2 2 3" xfId="11507"/>
    <cellStyle name="Percent 170 2 2 3 2" xfId="25138"/>
    <cellStyle name="Percent 170 2 2 4" xfId="14803"/>
    <cellStyle name="Percent 170 2 2 4 2" xfId="28431"/>
    <cellStyle name="Percent 170 2 2 5" xfId="18834"/>
    <cellStyle name="Percent 170 2 3" xfId="6874"/>
    <cellStyle name="Percent 170 2 3 2" xfId="20524"/>
    <cellStyle name="Percent 170 2 4" xfId="10084"/>
    <cellStyle name="Percent 170 2 4 2" xfId="23715"/>
    <cellStyle name="Percent 170 2 5" xfId="13379"/>
    <cellStyle name="Percent 170 2 5 2" xfId="27007"/>
    <cellStyle name="Percent 170 2 6" xfId="17309"/>
    <cellStyle name="Percent 170 3" xfId="4230"/>
    <cellStyle name="Percent 170 3 2" xfId="7660"/>
    <cellStyle name="Percent 170 3 2 2" xfId="21308"/>
    <cellStyle name="Percent 170 3 3" xfId="10798"/>
    <cellStyle name="Percent 170 3 3 2" xfId="24429"/>
    <cellStyle name="Percent 170 3 4" xfId="14094"/>
    <cellStyle name="Percent 170 3 4 2" xfId="27722"/>
    <cellStyle name="Percent 170 3 5" xfId="18025"/>
    <cellStyle name="Percent 170 4" xfId="6066"/>
    <cellStyle name="Percent 170 4 2" xfId="19716"/>
    <cellStyle name="Percent 170 5" xfId="9352"/>
    <cellStyle name="Percent 170 5 2" xfId="22994"/>
    <cellStyle name="Percent 170 6" xfId="12666"/>
    <cellStyle name="Percent 170 6 2" xfId="26294"/>
    <cellStyle name="Percent 170 7" xfId="15640"/>
    <cellStyle name="Percent 170 8" xfId="16512"/>
    <cellStyle name="Percent 171" xfId="2629"/>
    <cellStyle name="Percent 171 2" xfId="3604"/>
    <cellStyle name="Percent 171 2 2" xfId="5271"/>
    <cellStyle name="Percent 171 2 2 2" xfId="8534"/>
    <cellStyle name="Percent 171 2 2 2 2" xfId="22182"/>
    <cellStyle name="Percent 171 2 2 3" xfId="11601"/>
    <cellStyle name="Percent 171 2 2 3 2" xfId="25232"/>
    <cellStyle name="Percent 171 2 2 4" xfId="14897"/>
    <cellStyle name="Percent 171 2 2 4 2" xfId="28525"/>
    <cellStyle name="Percent 171 2 2 5" xfId="18929"/>
    <cellStyle name="Percent 171 2 3" xfId="7038"/>
    <cellStyle name="Percent 171 2 3 2" xfId="20688"/>
    <cellStyle name="Percent 171 2 4" xfId="10179"/>
    <cellStyle name="Percent 171 2 4 2" xfId="23810"/>
    <cellStyle name="Percent 171 2 5" xfId="13474"/>
    <cellStyle name="Percent 171 2 5 2" xfId="27102"/>
    <cellStyle name="Percent 171 2 6" xfId="17405"/>
    <cellStyle name="Percent 171 3" xfId="4372"/>
    <cellStyle name="Percent 171 3 2" xfId="7802"/>
    <cellStyle name="Percent 171 3 2 2" xfId="21450"/>
    <cellStyle name="Percent 171 3 3" xfId="10892"/>
    <cellStyle name="Percent 171 3 3 2" xfId="24523"/>
    <cellStyle name="Percent 171 3 4" xfId="14188"/>
    <cellStyle name="Percent 171 3 4 2" xfId="27816"/>
    <cellStyle name="Percent 171 3 5" xfId="18167"/>
    <cellStyle name="Percent 171 4" xfId="6244"/>
    <cellStyle name="Percent 171 4 2" xfId="19894"/>
    <cellStyle name="Percent 171 5" xfId="9446"/>
    <cellStyle name="Percent 171 5 2" xfId="23088"/>
    <cellStyle name="Percent 171 6" xfId="12760"/>
    <cellStyle name="Percent 171 6 2" xfId="26388"/>
    <cellStyle name="Percent 171 7" xfId="15637"/>
    <cellStyle name="Percent 171 8" xfId="16656"/>
    <cellStyle name="Percent 172" xfId="2333"/>
    <cellStyle name="Percent 172 2" xfId="3439"/>
    <cellStyle name="Percent 172 2 2" xfId="5175"/>
    <cellStyle name="Percent 172 2 2 2" xfId="8439"/>
    <cellStyle name="Percent 172 2 2 2 2" xfId="22087"/>
    <cellStyle name="Percent 172 2 2 3" xfId="11506"/>
    <cellStyle name="Percent 172 2 2 3 2" xfId="25137"/>
    <cellStyle name="Percent 172 2 2 4" xfId="14802"/>
    <cellStyle name="Percent 172 2 2 4 2" xfId="28430"/>
    <cellStyle name="Percent 172 2 2 5" xfId="18833"/>
    <cellStyle name="Percent 172 2 3" xfId="6873"/>
    <cellStyle name="Percent 172 2 3 2" xfId="20523"/>
    <cellStyle name="Percent 172 2 4" xfId="10083"/>
    <cellStyle name="Percent 172 2 4 2" xfId="23714"/>
    <cellStyle name="Percent 172 2 5" xfId="13378"/>
    <cellStyle name="Percent 172 2 5 2" xfId="27006"/>
    <cellStyle name="Percent 172 2 6" xfId="17308"/>
    <cellStyle name="Percent 172 3" xfId="4229"/>
    <cellStyle name="Percent 172 3 2" xfId="7659"/>
    <cellStyle name="Percent 172 3 2 2" xfId="21307"/>
    <cellStyle name="Percent 172 3 3" xfId="10797"/>
    <cellStyle name="Percent 172 3 3 2" xfId="24428"/>
    <cellStyle name="Percent 172 3 4" xfId="14093"/>
    <cellStyle name="Percent 172 3 4 2" xfId="27721"/>
    <cellStyle name="Percent 172 3 5" xfId="18024"/>
    <cellStyle name="Percent 172 4" xfId="6065"/>
    <cellStyle name="Percent 172 4 2" xfId="19715"/>
    <cellStyle name="Percent 172 5" xfId="9351"/>
    <cellStyle name="Percent 172 5 2" xfId="22993"/>
    <cellStyle name="Percent 172 6" xfId="12665"/>
    <cellStyle name="Percent 172 6 2" xfId="26293"/>
    <cellStyle name="Percent 172 7" xfId="15641"/>
    <cellStyle name="Percent 172 8" xfId="16511"/>
    <cellStyle name="Percent 173" xfId="2805"/>
    <cellStyle name="Percent 173 2" xfId="3759"/>
    <cellStyle name="Percent 173 2 2" xfId="5426"/>
    <cellStyle name="Percent 173 2 2 2" xfId="8689"/>
    <cellStyle name="Percent 173 2 2 2 2" xfId="22337"/>
    <cellStyle name="Percent 173 2 2 3" xfId="11756"/>
    <cellStyle name="Percent 173 2 2 3 2" xfId="25387"/>
    <cellStyle name="Percent 173 2 2 4" xfId="15052"/>
    <cellStyle name="Percent 173 2 2 4 2" xfId="28680"/>
    <cellStyle name="Percent 173 2 2 5" xfId="19084"/>
    <cellStyle name="Percent 173 2 3" xfId="7193"/>
    <cellStyle name="Percent 173 2 3 2" xfId="20843"/>
    <cellStyle name="Percent 173 2 4" xfId="10334"/>
    <cellStyle name="Percent 173 2 4 2" xfId="23965"/>
    <cellStyle name="Percent 173 2 5" xfId="13629"/>
    <cellStyle name="Percent 173 2 5 2" xfId="27257"/>
    <cellStyle name="Percent 173 2 6" xfId="17560"/>
    <cellStyle name="Percent 173 3" xfId="4548"/>
    <cellStyle name="Percent 173 3 2" xfId="7978"/>
    <cellStyle name="Percent 173 3 2 2" xfId="21626"/>
    <cellStyle name="Percent 173 3 3" xfId="11047"/>
    <cellStyle name="Percent 173 3 3 2" xfId="24678"/>
    <cellStyle name="Percent 173 3 4" xfId="14343"/>
    <cellStyle name="Percent 173 3 4 2" xfId="27971"/>
    <cellStyle name="Percent 173 3 5" xfId="18343"/>
    <cellStyle name="Percent 173 4" xfId="6399"/>
    <cellStyle name="Percent 173 4 2" xfId="20049"/>
    <cellStyle name="Percent 173 5" xfId="9601"/>
    <cellStyle name="Percent 173 5 2" xfId="23243"/>
    <cellStyle name="Percent 173 6" xfId="12915"/>
    <cellStyle name="Percent 173 6 2" xfId="26543"/>
    <cellStyle name="Percent 173 7" xfId="15635"/>
    <cellStyle name="Percent 173 8" xfId="16832"/>
    <cellStyle name="Percent 174" xfId="2720"/>
    <cellStyle name="Percent 174 2" xfId="3674"/>
    <cellStyle name="Percent 174 2 2" xfId="5341"/>
    <cellStyle name="Percent 174 2 2 2" xfId="8604"/>
    <cellStyle name="Percent 174 2 2 2 2" xfId="22252"/>
    <cellStyle name="Percent 174 2 2 3" xfId="11671"/>
    <cellStyle name="Percent 174 2 2 3 2" xfId="25302"/>
    <cellStyle name="Percent 174 2 2 4" xfId="14967"/>
    <cellStyle name="Percent 174 2 2 4 2" xfId="28595"/>
    <cellStyle name="Percent 174 2 2 5" xfId="18999"/>
    <cellStyle name="Percent 174 2 3" xfId="7108"/>
    <cellStyle name="Percent 174 2 3 2" xfId="20758"/>
    <cellStyle name="Percent 174 2 4" xfId="10249"/>
    <cellStyle name="Percent 174 2 4 2" xfId="23880"/>
    <cellStyle name="Percent 174 2 5" xfId="13544"/>
    <cellStyle name="Percent 174 2 5 2" xfId="27172"/>
    <cellStyle name="Percent 174 2 6" xfId="17475"/>
    <cellStyle name="Percent 174 3" xfId="4463"/>
    <cellStyle name="Percent 174 3 2" xfId="7893"/>
    <cellStyle name="Percent 174 3 2 2" xfId="21541"/>
    <cellStyle name="Percent 174 3 3" xfId="10962"/>
    <cellStyle name="Percent 174 3 3 2" xfId="24593"/>
    <cellStyle name="Percent 174 3 4" xfId="14258"/>
    <cellStyle name="Percent 174 3 4 2" xfId="27886"/>
    <cellStyle name="Percent 174 3 5" xfId="18258"/>
    <cellStyle name="Percent 174 4" xfId="6314"/>
    <cellStyle name="Percent 174 4 2" xfId="19964"/>
    <cellStyle name="Percent 174 5" xfId="9516"/>
    <cellStyle name="Percent 174 5 2" xfId="23158"/>
    <cellStyle name="Percent 174 6" xfId="12830"/>
    <cellStyle name="Percent 174 6 2" xfId="26458"/>
    <cellStyle name="Percent 174 7" xfId="15638"/>
    <cellStyle name="Percent 174 8" xfId="16747"/>
    <cellStyle name="Percent 175" xfId="2802"/>
    <cellStyle name="Percent 175 2" xfId="3756"/>
    <cellStyle name="Percent 175 2 2" xfId="5423"/>
    <cellStyle name="Percent 175 2 2 2" xfId="8686"/>
    <cellStyle name="Percent 175 2 2 2 2" xfId="22334"/>
    <cellStyle name="Percent 175 2 2 3" xfId="11753"/>
    <cellStyle name="Percent 175 2 2 3 2" xfId="25384"/>
    <cellStyle name="Percent 175 2 2 4" xfId="15049"/>
    <cellStyle name="Percent 175 2 2 4 2" xfId="28677"/>
    <cellStyle name="Percent 175 2 2 5" xfId="19081"/>
    <cellStyle name="Percent 175 2 3" xfId="7190"/>
    <cellStyle name="Percent 175 2 3 2" xfId="20840"/>
    <cellStyle name="Percent 175 2 4" xfId="10331"/>
    <cellStyle name="Percent 175 2 4 2" xfId="23962"/>
    <cellStyle name="Percent 175 2 5" xfId="13626"/>
    <cellStyle name="Percent 175 2 5 2" xfId="27254"/>
    <cellStyle name="Percent 175 2 6" xfId="17557"/>
    <cellStyle name="Percent 175 3" xfId="4545"/>
    <cellStyle name="Percent 175 3 2" xfId="7975"/>
    <cellStyle name="Percent 175 3 2 2" xfId="21623"/>
    <cellStyle name="Percent 175 3 3" xfId="11044"/>
    <cellStyle name="Percent 175 3 3 2" xfId="24675"/>
    <cellStyle name="Percent 175 3 4" xfId="14340"/>
    <cellStyle name="Percent 175 3 4 2" xfId="27968"/>
    <cellStyle name="Percent 175 3 5" xfId="18340"/>
    <cellStyle name="Percent 175 4" xfId="6396"/>
    <cellStyle name="Percent 175 4 2" xfId="20046"/>
    <cellStyle name="Percent 175 5" xfId="9598"/>
    <cellStyle name="Percent 175 5 2" xfId="23240"/>
    <cellStyle name="Percent 175 6" xfId="12912"/>
    <cellStyle name="Percent 175 6 2" xfId="26540"/>
    <cellStyle name="Percent 175 7" xfId="15634"/>
    <cellStyle name="Percent 175 8" xfId="16829"/>
    <cellStyle name="Percent 176" xfId="2719"/>
    <cellStyle name="Percent 176 2" xfId="3673"/>
    <cellStyle name="Percent 176 2 2" xfId="5340"/>
    <cellStyle name="Percent 176 2 2 2" xfId="8603"/>
    <cellStyle name="Percent 176 2 2 2 2" xfId="22251"/>
    <cellStyle name="Percent 176 2 2 3" xfId="11670"/>
    <cellStyle name="Percent 176 2 2 3 2" xfId="25301"/>
    <cellStyle name="Percent 176 2 2 4" xfId="14966"/>
    <cellStyle name="Percent 176 2 2 4 2" xfId="28594"/>
    <cellStyle name="Percent 176 2 2 5" xfId="18998"/>
    <cellStyle name="Percent 176 2 3" xfId="7107"/>
    <cellStyle name="Percent 176 2 3 2" xfId="20757"/>
    <cellStyle name="Percent 176 2 4" xfId="10248"/>
    <cellStyle name="Percent 176 2 4 2" xfId="23879"/>
    <cellStyle name="Percent 176 2 5" xfId="13543"/>
    <cellStyle name="Percent 176 2 5 2" xfId="27171"/>
    <cellStyle name="Percent 176 2 6" xfId="17474"/>
    <cellStyle name="Percent 176 3" xfId="4462"/>
    <cellStyle name="Percent 176 3 2" xfId="7892"/>
    <cellStyle name="Percent 176 3 2 2" xfId="21540"/>
    <cellStyle name="Percent 176 3 3" xfId="10961"/>
    <cellStyle name="Percent 176 3 3 2" xfId="24592"/>
    <cellStyle name="Percent 176 3 4" xfId="14257"/>
    <cellStyle name="Percent 176 3 4 2" xfId="27885"/>
    <cellStyle name="Percent 176 3 5" xfId="18257"/>
    <cellStyle name="Percent 176 4" xfId="6313"/>
    <cellStyle name="Percent 176 4 2" xfId="19963"/>
    <cellStyle name="Percent 176 5" xfId="9515"/>
    <cellStyle name="Percent 176 5 2" xfId="23157"/>
    <cellStyle name="Percent 176 6" xfId="12829"/>
    <cellStyle name="Percent 176 6 2" xfId="26457"/>
    <cellStyle name="Percent 176 7" xfId="15639"/>
    <cellStyle name="Percent 176 8" xfId="16746"/>
    <cellStyle name="Percent 177" xfId="2803"/>
    <cellStyle name="Percent 177 2" xfId="3757"/>
    <cellStyle name="Percent 177 2 2" xfId="5424"/>
    <cellStyle name="Percent 177 2 2 2" xfId="8687"/>
    <cellStyle name="Percent 177 2 2 2 2" xfId="22335"/>
    <cellStyle name="Percent 177 2 2 3" xfId="11754"/>
    <cellStyle name="Percent 177 2 2 3 2" xfId="25385"/>
    <cellStyle name="Percent 177 2 2 4" xfId="15050"/>
    <cellStyle name="Percent 177 2 2 4 2" xfId="28678"/>
    <cellStyle name="Percent 177 2 2 5" xfId="19082"/>
    <cellStyle name="Percent 177 2 3" xfId="7191"/>
    <cellStyle name="Percent 177 2 3 2" xfId="20841"/>
    <cellStyle name="Percent 177 2 4" xfId="10332"/>
    <cellStyle name="Percent 177 2 4 2" xfId="23963"/>
    <cellStyle name="Percent 177 2 5" xfId="13627"/>
    <cellStyle name="Percent 177 2 5 2" xfId="27255"/>
    <cellStyle name="Percent 177 2 6" xfId="17558"/>
    <cellStyle name="Percent 177 3" xfId="4546"/>
    <cellStyle name="Percent 177 3 2" xfId="7976"/>
    <cellStyle name="Percent 177 3 2 2" xfId="21624"/>
    <cellStyle name="Percent 177 3 3" xfId="11045"/>
    <cellStyle name="Percent 177 3 3 2" xfId="24676"/>
    <cellStyle name="Percent 177 3 4" xfId="14341"/>
    <cellStyle name="Percent 177 3 4 2" xfId="27969"/>
    <cellStyle name="Percent 177 3 5" xfId="18341"/>
    <cellStyle name="Percent 177 4" xfId="6397"/>
    <cellStyle name="Percent 177 4 2" xfId="20047"/>
    <cellStyle name="Percent 177 5" xfId="9599"/>
    <cellStyle name="Percent 177 5 2" xfId="23241"/>
    <cellStyle name="Percent 177 6" xfId="12913"/>
    <cellStyle name="Percent 177 6 2" xfId="26541"/>
    <cellStyle name="Percent 177 7" xfId="15633"/>
    <cellStyle name="Percent 177 8" xfId="16830"/>
    <cellStyle name="Percent 178" xfId="2718"/>
    <cellStyle name="Percent 178 2" xfId="3672"/>
    <cellStyle name="Percent 178 2 2" xfId="5339"/>
    <cellStyle name="Percent 178 2 2 2" xfId="8602"/>
    <cellStyle name="Percent 178 2 2 2 2" xfId="22250"/>
    <cellStyle name="Percent 178 2 2 3" xfId="11669"/>
    <cellStyle name="Percent 178 2 2 3 2" xfId="25300"/>
    <cellStyle name="Percent 178 2 2 4" xfId="14965"/>
    <cellStyle name="Percent 178 2 2 4 2" xfId="28593"/>
    <cellStyle name="Percent 178 2 2 5" xfId="18997"/>
    <cellStyle name="Percent 178 2 3" xfId="7106"/>
    <cellStyle name="Percent 178 2 3 2" xfId="20756"/>
    <cellStyle name="Percent 178 2 4" xfId="10247"/>
    <cellStyle name="Percent 178 2 4 2" xfId="23878"/>
    <cellStyle name="Percent 178 2 5" xfId="13542"/>
    <cellStyle name="Percent 178 2 5 2" xfId="27170"/>
    <cellStyle name="Percent 178 2 6" xfId="17473"/>
    <cellStyle name="Percent 178 3" xfId="4461"/>
    <cellStyle name="Percent 178 3 2" xfId="7891"/>
    <cellStyle name="Percent 178 3 2 2" xfId="21539"/>
    <cellStyle name="Percent 178 3 3" xfId="10960"/>
    <cellStyle name="Percent 178 3 3 2" xfId="24591"/>
    <cellStyle name="Percent 178 3 4" xfId="14256"/>
    <cellStyle name="Percent 178 3 4 2" xfId="27884"/>
    <cellStyle name="Percent 178 3 5" xfId="18256"/>
    <cellStyle name="Percent 178 4" xfId="6312"/>
    <cellStyle name="Percent 178 4 2" xfId="19962"/>
    <cellStyle name="Percent 178 5" xfId="9514"/>
    <cellStyle name="Percent 178 5 2" xfId="23156"/>
    <cellStyle name="Percent 178 6" xfId="12828"/>
    <cellStyle name="Percent 178 6 2" xfId="26456"/>
    <cellStyle name="Percent 178 7" xfId="15642"/>
    <cellStyle name="Percent 178 8" xfId="16745"/>
    <cellStyle name="Percent 179" xfId="2804"/>
    <cellStyle name="Percent 179 2" xfId="3758"/>
    <cellStyle name="Percent 179 2 2" xfId="5425"/>
    <cellStyle name="Percent 179 2 2 2" xfId="8688"/>
    <cellStyle name="Percent 179 2 2 2 2" xfId="22336"/>
    <cellStyle name="Percent 179 2 2 3" xfId="11755"/>
    <cellStyle name="Percent 179 2 2 3 2" xfId="25386"/>
    <cellStyle name="Percent 179 2 2 4" xfId="15051"/>
    <cellStyle name="Percent 179 2 2 4 2" xfId="28679"/>
    <cellStyle name="Percent 179 2 2 5" xfId="19083"/>
    <cellStyle name="Percent 179 2 3" xfId="7192"/>
    <cellStyle name="Percent 179 2 3 2" xfId="20842"/>
    <cellStyle name="Percent 179 2 4" xfId="10333"/>
    <cellStyle name="Percent 179 2 4 2" xfId="23964"/>
    <cellStyle name="Percent 179 2 5" xfId="13628"/>
    <cellStyle name="Percent 179 2 5 2" xfId="27256"/>
    <cellStyle name="Percent 179 2 6" xfId="17559"/>
    <cellStyle name="Percent 179 3" xfId="4547"/>
    <cellStyle name="Percent 179 3 2" xfId="7977"/>
    <cellStyle name="Percent 179 3 2 2" xfId="21625"/>
    <cellStyle name="Percent 179 3 3" xfId="11046"/>
    <cellStyle name="Percent 179 3 3 2" xfId="24677"/>
    <cellStyle name="Percent 179 3 4" xfId="14342"/>
    <cellStyle name="Percent 179 3 4 2" xfId="27970"/>
    <cellStyle name="Percent 179 3 5" xfId="18342"/>
    <cellStyle name="Percent 179 4" xfId="6398"/>
    <cellStyle name="Percent 179 4 2" xfId="20048"/>
    <cellStyle name="Percent 179 5" xfId="9600"/>
    <cellStyle name="Percent 179 5 2" xfId="23242"/>
    <cellStyle name="Percent 179 6" xfId="12914"/>
    <cellStyle name="Percent 179 6 2" xfId="26542"/>
    <cellStyle name="Percent 179 7" xfId="15636"/>
    <cellStyle name="Percent 179 8" xfId="16831"/>
    <cellStyle name="Percent 18" xfId="134"/>
    <cellStyle name="Percent 18 2" xfId="180"/>
    <cellStyle name="Percent 18 2 2" xfId="1366"/>
    <cellStyle name="Percent 18 2 3" xfId="1365"/>
    <cellStyle name="Percent 18 3" xfId="214"/>
    <cellStyle name="Percent 18 3 2" xfId="236"/>
    <cellStyle name="Percent 18 4" xfId="255"/>
    <cellStyle name="Percent 18 5" xfId="274"/>
    <cellStyle name="Percent 18 5 2" xfId="2080"/>
    <cellStyle name="Percent 18 5 3" xfId="2081"/>
    <cellStyle name="Percent 18 6" xfId="293"/>
    <cellStyle name="Percent 18 7" xfId="1364"/>
    <cellStyle name="Percent 18 7 2" xfId="2082"/>
    <cellStyle name="Percent 180" xfId="3007"/>
    <cellStyle name="Percent 180 2" xfId="4847"/>
    <cellStyle name="Percent 180 3" xfId="3788"/>
    <cellStyle name="Percent 181" xfId="3570"/>
    <cellStyle name="Percent 181 2" xfId="5237"/>
    <cellStyle name="Percent 181 2 2" xfId="7004"/>
    <cellStyle name="Percent 181 2 2 2" xfId="20654"/>
    <cellStyle name="Percent 181 2 3" xfId="10145"/>
    <cellStyle name="Percent 181 2 3 2" xfId="23776"/>
    <cellStyle name="Percent 181 2 4" xfId="13440"/>
    <cellStyle name="Percent 181 2 4 2" xfId="27068"/>
    <cellStyle name="Percent 181 2 5" xfId="18895"/>
    <cellStyle name="Percent 181 3" xfId="3845"/>
    <cellStyle name="Percent 181 4" xfId="17371"/>
    <cellStyle name="Percent 182" xfId="2818"/>
    <cellStyle name="Percent 182 2" xfId="4722"/>
    <cellStyle name="Percent 182 2 2" xfId="6412"/>
    <cellStyle name="Percent 182 2 2 2" xfId="20062"/>
    <cellStyle name="Percent 182 2 3" xfId="9633"/>
    <cellStyle name="Percent 182 2 3 2" xfId="23264"/>
    <cellStyle name="Percent 182 2 4" xfId="12928"/>
    <cellStyle name="Percent 182 2 4 2" xfId="26556"/>
    <cellStyle name="Percent 182 2 5" xfId="18381"/>
    <cellStyle name="Percent 182 3" xfId="4600"/>
    <cellStyle name="Percent 182 4" xfId="16844"/>
    <cellStyle name="Percent 183" xfId="3218"/>
    <cellStyle name="Percent 183 2" xfId="4966"/>
    <cellStyle name="Percent 183 2 2" xfId="6653"/>
    <cellStyle name="Percent 183 2 2 2" xfId="20303"/>
    <cellStyle name="Percent 183 2 3" xfId="9874"/>
    <cellStyle name="Percent 183 2 3 2" xfId="23505"/>
    <cellStyle name="Percent 183 2 4" xfId="13169"/>
    <cellStyle name="Percent 183 2 4 2" xfId="26797"/>
    <cellStyle name="Percent 183 2 5" xfId="18624"/>
    <cellStyle name="Percent 183 3" xfId="4625"/>
    <cellStyle name="Percent 183 4" xfId="17099"/>
    <cellStyle name="Percent 184" xfId="4575"/>
    <cellStyle name="Percent 185" xfId="4589"/>
    <cellStyle name="Percent 186" xfId="4624"/>
    <cellStyle name="Percent 187" xfId="4582"/>
    <cellStyle name="Percent 188" xfId="4585"/>
    <cellStyle name="Percent 189" xfId="4562"/>
    <cellStyle name="Percent 19" xfId="157"/>
    <cellStyle name="Percent 19 2" xfId="187"/>
    <cellStyle name="Percent 19 3" xfId="222"/>
    <cellStyle name="Percent 19 3 2" xfId="243"/>
    <cellStyle name="Percent 19 4" xfId="262"/>
    <cellStyle name="Percent 19 5" xfId="281"/>
    <cellStyle name="Percent 19 5 2" xfId="2083"/>
    <cellStyle name="Percent 19 5 3" xfId="2084"/>
    <cellStyle name="Percent 19 6" xfId="303"/>
    <cellStyle name="Percent 190" xfId="4629"/>
    <cellStyle name="Percent 191" xfId="4572"/>
    <cellStyle name="Percent 192" xfId="4590"/>
    <cellStyle name="Percent 193" xfId="4630"/>
    <cellStyle name="Percent 194" xfId="4571"/>
    <cellStyle name="Percent 195" xfId="4563"/>
    <cellStyle name="Percent 196" xfId="4565"/>
    <cellStyle name="Percent 197" xfId="4610"/>
    <cellStyle name="Percent 198" xfId="4564"/>
    <cellStyle name="Percent 199" xfId="4593"/>
    <cellStyle name="Percent 2" xfId="8"/>
    <cellStyle name="Percent 2 2" xfId="152"/>
    <cellStyle name="Percent 2 3" xfId="1367"/>
    <cellStyle name="Percent 2 3 2" xfId="1368"/>
    <cellStyle name="Percent 2 4" xfId="1369"/>
    <cellStyle name="Percent 2 4 2" xfId="1370"/>
    <cellStyle name="Percent 2 4 3" xfId="1371"/>
    <cellStyle name="Percent 2 4 4" xfId="1372"/>
    <cellStyle name="Percent 2 4 4 2" xfId="1373"/>
    <cellStyle name="Percent 2 4 5" xfId="3083"/>
    <cellStyle name="Percent 2 4 5 2" xfId="29712"/>
    <cellStyle name="Percent 2 5" xfId="9631"/>
    <cellStyle name="Percent 2 5 2" xfId="15392"/>
    <cellStyle name="Percent 2 6" xfId="15768"/>
    <cellStyle name="Percent 20" xfId="132"/>
    <cellStyle name="Percent 20 2" xfId="179"/>
    <cellStyle name="Percent 20 3" xfId="213"/>
    <cellStyle name="Percent 20 3 2" xfId="235"/>
    <cellStyle name="Percent 20 4" xfId="254"/>
    <cellStyle name="Percent 20 5" xfId="273"/>
    <cellStyle name="Percent 20 5 2" xfId="2085"/>
    <cellStyle name="Percent 20 5 3" xfId="2086"/>
    <cellStyle name="Percent 20 6" xfId="291"/>
    <cellStyle name="Percent 200" xfId="4586"/>
    <cellStyle name="Percent 201" xfId="4606"/>
    <cellStyle name="Percent 202" xfId="4599"/>
    <cellStyle name="Percent 203" xfId="4583"/>
    <cellStyle name="Percent 204" xfId="4578"/>
    <cellStyle name="Percent 205" xfId="4587"/>
    <cellStyle name="Percent 206" xfId="4566"/>
    <cellStyle name="Percent 207" xfId="4628"/>
    <cellStyle name="Percent 208" xfId="4588"/>
    <cellStyle name="Percent 209" xfId="4621"/>
    <cellStyle name="Percent 21" xfId="158"/>
    <cellStyle name="Percent 21 2" xfId="188"/>
    <cellStyle name="Percent 21 3" xfId="223"/>
    <cellStyle name="Percent 21 3 2" xfId="244"/>
    <cellStyle name="Percent 21 3 2 2" xfId="1377"/>
    <cellStyle name="Percent 21 3 2 3" xfId="1376"/>
    <cellStyle name="Percent 21 3 3" xfId="1378"/>
    <cellStyle name="Percent 21 3 3 2" xfId="1379"/>
    <cellStyle name="Percent 21 3 3 3" xfId="15393"/>
    <cellStyle name="Percent 21 3 4" xfId="1380"/>
    <cellStyle name="Percent 21 3 5" xfId="1381"/>
    <cellStyle name="Percent 21 3 6" xfId="1375"/>
    <cellStyle name="Percent 21 4" xfId="263"/>
    <cellStyle name="Percent 21 4 2" xfId="1383"/>
    <cellStyle name="Percent 21 4 3" xfId="1384"/>
    <cellStyle name="Percent 21 4 4" xfId="1382"/>
    <cellStyle name="Percent 21 5" xfId="282"/>
    <cellStyle name="Percent 21 5 2" xfId="2087"/>
    <cellStyle name="Percent 21 5 3" xfId="2088"/>
    <cellStyle name="Percent 21 6" xfId="296"/>
    <cellStyle name="Percent 21 7" xfId="1374"/>
    <cellStyle name="Percent 21 7 2" xfId="2089"/>
    <cellStyle name="Percent 21 8" xfId="2090"/>
    <cellStyle name="Percent 21 8 10" xfId="9091"/>
    <cellStyle name="Percent 21 8 10 2" xfId="22734"/>
    <cellStyle name="Percent 21 8 11" xfId="12047"/>
    <cellStyle name="Percent 21 8 11 2" xfId="25677"/>
    <cellStyle name="Percent 21 8 12" xfId="12196"/>
    <cellStyle name="Percent 21 8 12 2" xfId="25824"/>
    <cellStyle name="Percent 21 8 13" xfId="12471"/>
    <cellStyle name="Percent 21 8 13 2" xfId="26099"/>
    <cellStyle name="Percent 21 8 14" xfId="16294"/>
    <cellStyle name="Percent 21 8 2" xfId="2091"/>
    <cellStyle name="Percent 21 8 3" xfId="2237"/>
    <cellStyle name="Percent 21 8 3 2" xfId="3350"/>
    <cellStyle name="Percent 21 8 3 2 2" xfId="5094"/>
    <cellStyle name="Percent 21 8 3 2 2 2" xfId="8358"/>
    <cellStyle name="Percent 21 8 3 2 2 2 2" xfId="22006"/>
    <cellStyle name="Percent 21 8 3 2 2 3" xfId="11425"/>
    <cellStyle name="Percent 21 8 3 2 2 3 2" xfId="25056"/>
    <cellStyle name="Percent 21 8 3 2 2 4" xfId="14721"/>
    <cellStyle name="Percent 21 8 3 2 2 4 2" xfId="28349"/>
    <cellStyle name="Percent 21 8 3 2 2 5" xfId="18752"/>
    <cellStyle name="Percent 21 8 3 2 3" xfId="6784"/>
    <cellStyle name="Percent 21 8 3 2 3 2" xfId="20434"/>
    <cellStyle name="Percent 21 8 3 2 4" xfId="10002"/>
    <cellStyle name="Percent 21 8 3 2 4 2" xfId="23633"/>
    <cellStyle name="Percent 21 8 3 2 5" xfId="13297"/>
    <cellStyle name="Percent 21 8 3 2 5 2" xfId="26925"/>
    <cellStyle name="Percent 21 8 3 2 6" xfId="17227"/>
    <cellStyle name="Percent 21 8 3 3" xfId="4148"/>
    <cellStyle name="Percent 21 8 3 3 2" xfId="7578"/>
    <cellStyle name="Percent 21 8 3 3 2 2" xfId="21226"/>
    <cellStyle name="Percent 21 8 3 3 3" xfId="10716"/>
    <cellStyle name="Percent 21 8 3 3 3 2" xfId="24347"/>
    <cellStyle name="Percent 21 8 3 3 4" xfId="14012"/>
    <cellStyle name="Percent 21 8 3 3 4 2" xfId="27640"/>
    <cellStyle name="Percent 21 8 3 3 5" xfId="17943"/>
    <cellStyle name="Percent 21 8 3 4" xfId="5984"/>
    <cellStyle name="Percent 21 8 3 4 2" xfId="19634"/>
    <cellStyle name="Percent 21 8 3 5" xfId="9270"/>
    <cellStyle name="Percent 21 8 3 5 2" xfId="22912"/>
    <cellStyle name="Percent 21 8 3 6" xfId="12584"/>
    <cellStyle name="Percent 21 8 3 6 2" xfId="26212"/>
    <cellStyle name="Percent 21 8 3 7" xfId="16429"/>
    <cellStyle name="Percent 21 8 4" xfId="2631"/>
    <cellStyle name="Percent 21 8 4 2" xfId="3606"/>
    <cellStyle name="Percent 21 8 4 2 2" xfId="5273"/>
    <cellStyle name="Percent 21 8 4 2 2 2" xfId="8536"/>
    <cellStyle name="Percent 21 8 4 2 2 2 2" xfId="22184"/>
    <cellStyle name="Percent 21 8 4 2 2 3" xfId="11603"/>
    <cellStyle name="Percent 21 8 4 2 2 3 2" xfId="25234"/>
    <cellStyle name="Percent 21 8 4 2 2 4" xfId="14899"/>
    <cellStyle name="Percent 21 8 4 2 2 4 2" xfId="28527"/>
    <cellStyle name="Percent 21 8 4 2 2 5" xfId="18931"/>
    <cellStyle name="Percent 21 8 4 2 3" xfId="7040"/>
    <cellStyle name="Percent 21 8 4 2 3 2" xfId="20690"/>
    <cellStyle name="Percent 21 8 4 2 4" xfId="10181"/>
    <cellStyle name="Percent 21 8 4 2 4 2" xfId="23812"/>
    <cellStyle name="Percent 21 8 4 2 5" xfId="13476"/>
    <cellStyle name="Percent 21 8 4 2 5 2" xfId="27104"/>
    <cellStyle name="Percent 21 8 4 2 6" xfId="17407"/>
    <cellStyle name="Percent 21 8 4 3" xfId="4374"/>
    <cellStyle name="Percent 21 8 4 3 2" xfId="7804"/>
    <cellStyle name="Percent 21 8 4 3 2 2" xfId="21452"/>
    <cellStyle name="Percent 21 8 4 3 3" xfId="10894"/>
    <cellStyle name="Percent 21 8 4 3 3 2" xfId="24525"/>
    <cellStyle name="Percent 21 8 4 3 4" xfId="14190"/>
    <cellStyle name="Percent 21 8 4 3 4 2" xfId="27818"/>
    <cellStyle name="Percent 21 8 4 3 5" xfId="18169"/>
    <cellStyle name="Percent 21 8 4 4" xfId="6246"/>
    <cellStyle name="Percent 21 8 4 4 2" xfId="19896"/>
    <cellStyle name="Percent 21 8 4 5" xfId="9448"/>
    <cellStyle name="Percent 21 8 4 5 2" xfId="23090"/>
    <cellStyle name="Percent 21 8 4 6" xfId="12762"/>
    <cellStyle name="Percent 21 8 4 6 2" xfId="26390"/>
    <cellStyle name="Percent 21 8 4 7" xfId="16658"/>
    <cellStyle name="Percent 21 8 5" xfId="2807"/>
    <cellStyle name="Percent 21 8 5 2" xfId="3761"/>
    <cellStyle name="Percent 21 8 5 2 2" xfId="5428"/>
    <cellStyle name="Percent 21 8 5 2 2 2" xfId="8691"/>
    <cellStyle name="Percent 21 8 5 2 2 2 2" xfId="22339"/>
    <cellStyle name="Percent 21 8 5 2 2 3" xfId="11758"/>
    <cellStyle name="Percent 21 8 5 2 2 3 2" xfId="25389"/>
    <cellStyle name="Percent 21 8 5 2 2 4" xfId="15054"/>
    <cellStyle name="Percent 21 8 5 2 2 4 2" xfId="28682"/>
    <cellStyle name="Percent 21 8 5 2 2 5" xfId="19086"/>
    <cellStyle name="Percent 21 8 5 2 3" xfId="7195"/>
    <cellStyle name="Percent 21 8 5 2 3 2" xfId="20845"/>
    <cellStyle name="Percent 21 8 5 2 4" xfId="10336"/>
    <cellStyle name="Percent 21 8 5 2 4 2" xfId="23967"/>
    <cellStyle name="Percent 21 8 5 2 5" xfId="13631"/>
    <cellStyle name="Percent 21 8 5 2 5 2" xfId="27259"/>
    <cellStyle name="Percent 21 8 5 2 6" xfId="17562"/>
    <cellStyle name="Percent 21 8 5 3" xfId="4550"/>
    <cellStyle name="Percent 21 8 5 3 2" xfId="7980"/>
    <cellStyle name="Percent 21 8 5 3 2 2" xfId="21628"/>
    <cellStyle name="Percent 21 8 5 3 3" xfId="11049"/>
    <cellStyle name="Percent 21 8 5 3 3 2" xfId="24680"/>
    <cellStyle name="Percent 21 8 5 3 4" xfId="14345"/>
    <cellStyle name="Percent 21 8 5 3 4 2" xfId="27973"/>
    <cellStyle name="Percent 21 8 5 3 5" xfId="18345"/>
    <cellStyle name="Percent 21 8 5 4" xfId="6401"/>
    <cellStyle name="Percent 21 8 5 4 2" xfId="20051"/>
    <cellStyle name="Percent 21 8 5 5" xfId="9603"/>
    <cellStyle name="Percent 21 8 5 5 2" xfId="23245"/>
    <cellStyle name="Percent 21 8 5 6" xfId="12917"/>
    <cellStyle name="Percent 21 8 5 6 2" xfId="26545"/>
    <cellStyle name="Percent 21 8 5 7" xfId="16834"/>
    <cellStyle name="Percent 21 8 6" xfId="3234"/>
    <cellStyle name="Percent 21 8 6 2" xfId="4981"/>
    <cellStyle name="Percent 21 8 6 2 2" xfId="8245"/>
    <cellStyle name="Percent 21 8 6 2 2 2" xfId="21893"/>
    <cellStyle name="Percent 21 8 6 2 3" xfId="11312"/>
    <cellStyle name="Percent 21 8 6 2 3 2" xfId="24943"/>
    <cellStyle name="Percent 21 8 6 2 4" xfId="14608"/>
    <cellStyle name="Percent 21 8 6 2 4 2" xfId="28236"/>
    <cellStyle name="Percent 21 8 6 2 5" xfId="18639"/>
    <cellStyle name="Percent 21 8 6 3" xfId="6668"/>
    <cellStyle name="Percent 21 8 6 3 2" xfId="20318"/>
    <cellStyle name="Percent 21 8 6 4" xfId="9889"/>
    <cellStyle name="Percent 21 8 6 4 2" xfId="23520"/>
    <cellStyle name="Percent 21 8 6 5" xfId="13184"/>
    <cellStyle name="Percent 21 8 6 5 2" xfId="26812"/>
    <cellStyle name="Percent 21 8 6 6" xfId="17114"/>
    <cellStyle name="Percent 21 8 7" xfId="4035"/>
    <cellStyle name="Percent 21 8 7 2" xfId="7465"/>
    <cellStyle name="Percent 21 8 7 2 2" xfId="21113"/>
    <cellStyle name="Percent 21 8 7 3" xfId="10603"/>
    <cellStyle name="Percent 21 8 7 3 2" xfId="24234"/>
    <cellStyle name="Percent 21 8 7 4" xfId="13899"/>
    <cellStyle name="Percent 21 8 7 4 2" xfId="27527"/>
    <cellStyle name="Percent 21 8 7 5" xfId="17830"/>
    <cellStyle name="Percent 21 8 8" xfId="5598"/>
    <cellStyle name="Percent 21 8 8 2" xfId="8859"/>
    <cellStyle name="Percent 21 8 8 2 2" xfId="22502"/>
    <cellStyle name="Percent 21 8 8 3" xfId="11919"/>
    <cellStyle name="Percent 21 8 8 3 2" xfId="25550"/>
    <cellStyle name="Percent 21 8 8 4" xfId="15215"/>
    <cellStyle name="Percent 21 8 8 4 2" xfId="28843"/>
    <cellStyle name="Percent 21 8 8 5" xfId="19248"/>
    <cellStyle name="Percent 21 8 9" xfId="5871"/>
    <cellStyle name="Percent 21 8 9 2" xfId="19521"/>
    <cellStyle name="Percent 210" xfId="4612"/>
    <cellStyle name="Percent 211" xfId="4613"/>
    <cellStyle name="Percent 212" xfId="4635"/>
    <cellStyle name="Percent 213" xfId="4666"/>
    <cellStyle name="Percent 214" xfId="4688"/>
    <cellStyle name="Percent 215" xfId="4651"/>
    <cellStyle name="Percent 216" xfId="4649"/>
    <cellStyle name="Percent 217" xfId="4640"/>
    <cellStyle name="Percent 218" xfId="4679"/>
    <cellStyle name="Percent 219" xfId="4652"/>
    <cellStyle name="Percent 22" xfId="161"/>
    <cellStyle name="Percent 22 2" xfId="1385"/>
    <cellStyle name="Percent 220" xfId="4695"/>
    <cellStyle name="Percent 221" xfId="4698"/>
    <cellStyle name="Percent 222" xfId="4646"/>
    <cellStyle name="Percent 223" xfId="4696"/>
    <cellStyle name="Percent 224" xfId="4683"/>
    <cellStyle name="Percent 225" xfId="4678"/>
    <cellStyle name="Percent 226" xfId="4700"/>
    <cellStyle name="Percent 227" xfId="4677"/>
    <cellStyle name="Percent 228" xfId="4657"/>
    <cellStyle name="Percent 229" xfId="4647"/>
    <cellStyle name="Percent 23" xfId="150"/>
    <cellStyle name="Percent 23 2" xfId="1386"/>
    <cellStyle name="Percent 230" xfId="4636"/>
    <cellStyle name="Percent 231" xfId="4685"/>
    <cellStyle name="Percent 232" xfId="4638"/>
    <cellStyle name="Percent 233" xfId="4656"/>
    <cellStyle name="Percent 234" xfId="4681"/>
    <cellStyle name="Percent 235" xfId="4699"/>
    <cellStyle name="Percent 236" xfId="4674"/>
    <cellStyle name="Percent 237" xfId="4650"/>
    <cellStyle name="Percent 238" xfId="4671"/>
    <cellStyle name="Percent 239" xfId="4639"/>
    <cellStyle name="Percent 24" xfId="333"/>
    <cellStyle name="Percent 24 2" xfId="467"/>
    <cellStyle name="Percent 24 3" xfId="1387"/>
    <cellStyle name="Percent 24 4" xfId="3112"/>
    <cellStyle name="Percent 24 4 2" xfId="4907"/>
    <cellStyle name="Percent 24 4 2 2" xfId="8173"/>
    <cellStyle name="Percent 24 4 2 2 2" xfId="21821"/>
    <cellStyle name="Percent 24 4 2 3" xfId="11240"/>
    <cellStyle name="Percent 24 4 2 3 2" xfId="24871"/>
    <cellStyle name="Percent 24 4 2 4" xfId="14536"/>
    <cellStyle name="Percent 24 4 2 4 2" xfId="28164"/>
    <cellStyle name="Percent 24 4 2 5" xfId="18565"/>
    <cellStyle name="Percent 24 4 3" xfId="6594"/>
    <cellStyle name="Percent 24 4 3 2" xfId="20244"/>
    <cellStyle name="Percent 24 4 4" xfId="9815"/>
    <cellStyle name="Percent 24 4 4 2" xfId="23446"/>
    <cellStyle name="Percent 24 4 5" xfId="13110"/>
    <cellStyle name="Percent 24 4 5 2" xfId="26738"/>
    <cellStyle name="Percent 24 4 6" xfId="17030"/>
    <cellStyle name="Percent 24 5" xfId="3821"/>
    <cellStyle name="Percent 24 5 2" xfId="7253"/>
    <cellStyle name="Percent 24 5 2 2" xfId="20901"/>
    <cellStyle name="Percent 24 5 3" xfId="10391"/>
    <cellStyle name="Percent 24 5 3 2" xfId="24022"/>
    <cellStyle name="Percent 24 5 4" xfId="13687"/>
    <cellStyle name="Percent 24 5 4 2" xfId="27315"/>
    <cellStyle name="Percent 24 5 5" xfId="17618"/>
    <cellStyle name="Percent 24 6" xfId="5661"/>
    <cellStyle name="Percent 24 6 2" xfId="19311"/>
    <cellStyle name="Percent 24 7" xfId="9106"/>
    <cellStyle name="Percent 24 7 2" xfId="22749"/>
    <cellStyle name="Percent 24 8" xfId="12264"/>
    <cellStyle name="Percent 24 8 2" xfId="25892"/>
    <cellStyle name="Percent 24 9" xfId="15892"/>
    <cellStyle name="Percent 240" xfId="4701"/>
    <cellStyle name="Percent 241" xfId="4642"/>
    <cellStyle name="Percent 242" xfId="4641"/>
    <cellStyle name="Percent 243" xfId="4645"/>
    <cellStyle name="Percent 244" xfId="4643"/>
    <cellStyle name="Percent 245" xfId="4672"/>
    <cellStyle name="Percent 246" xfId="4703"/>
    <cellStyle name="Percent 247" xfId="4710"/>
    <cellStyle name="Percent 248" xfId="4718"/>
    <cellStyle name="Percent 249" xfId="4713"/>
    <cellStyle name="Percent 25" xfId="335"/>
    <cellStyle name="Percent 25 2" xfId="1389"/>
    <cellStyle name="Percent 25 3" xfId="1388"/>
    <cellStyle name="Percent 250" xfId="4706"/>
    <cellStyle name="Percent 251" xfId="4712"/>
    <cellStyle name="Percent 252" xfId="4716"/>
    <cellStyle name="Percent 253" xfId="4705"/>
    <cellStyle name="Percent 254" xfId="4720"/>
    <cellStyle name="Percent 255" xfId="4707"/>
    <cellStyle name="Percent 256" xfId="4633"/>
    <cellStyle name="Percent 256 2" xfId="7990"/>
    <cellStyle name="Percent 256 2 2" xfId="21638"/>
    <cellStyle name="Percent 256 3" xfId="11059"/>
    <cellStyle name="Percent 256 3 2" xfId="24690"/>
    <cellStyle name="Percent 256 4" xfId="14355"/>
    <cellStyle name="Percent 256 4 2" xfId="27983"/>
    <cellStyle name="Percent 256 5" xfId="18370"/>
    <cellStyle name="Percent 257" xfId="5447"/>
    <cellStyle name="Percent 257 2" xfId="8708"/>
    <cellStyle name="Percent 257 2 2" xfId="22351"/>
    <cellStyle name="Percent 257 3" xfId="11768"/>
    <cellStyle name="Percent 257 3 2" xfId="25399"/>
    <cellStyle name="Percent 257 4" xfId="15064"/>
    <cellStyle name="Percent 257 4 2" xfId="28692"/>
    <cellStyle name="Percent 257 5" xfId="19097"/>
    <cellStyle name="Percent 258" xfId="3945"/>
    <cellStyle name="Percent 258 2" xfId="7375"/>
    <cellStyle name="Percent 258 2 2" xfId="21023"/>
    <cellStyle name="Percent 258 3" xfId="10513"/>
    <cellStyle name="Percent 258 3 2" xfId="24144"/>
    <cellStyle name="Percent 258 4" xfId="13809"/>
    <cellStyle name="Percent 258 4 2" xfId="27437"/>
    <cellStyle name="Percent 258 5" xfId="17740"/>
    <cellStyle name="Percent 259" xfId="3890"/>
    <cellStyle name="Percent 259 2" xfId="7320"/>
    <cellStyle name="Percent 259 2 2" xfId="20968"/>
    <cellStyle name="Percent 259 3" xfId="10458"/>
    <cellStyle name="Percent 259 3 2" xfId="24089"/>
    <cellStyle name="Percent 259 4" xfId="13754"/>
    <cellStyle name="Percent 259 4 2" xfId="27382"/>
    <cellStyle name="Percent 259 5" xfId="17685"/>
    <cellStyle name="Percent 26" xfId="336"/>
    <cellStyle name="Percent 26 2" xfId="1391"/>
    <cellStyle name="Percent 26 3" xfId="1390"/>
    <cellStyle name="Percent 260" xfId="5592"/>
    <cellStyle name="Percent 260 2" xfId="8853"/>
    <cellStyle name="Percent 260 2 2" xfId="22496"/>
    <cellStyle name="Percent 260 3" xfId="11913"/>
    <cellStyle name="Percent 260 3 2" xfId="25544"/>
    <cellStyle name="Percent 260 4" xfId="15209"/>
    <cellStyle name="Percent 260 4 2" xfId="28837"/>
    <cellStyle name="Percent 260 5" xfId="19242"/>
    <cellStyle name="Percent 261" xfId="5504"/>
    <cellStyle name="Percent 261 2" xfId="8765"/>
    <cellStyle name="Percent 261 2 2" xfId="22408"/>
    <cellStyle name="Percent 261 3" xfId="11825"/>
    <cellStyle name="Percent 261 3 2" xfId="25456"/>
    <cellStyle name="Percent 261 4" xfId="15121"/>
    <cellStyle name="Percent 261 4 2" xfId="28749"/>
    <cellStyle name="Percent 261 5" xfId="19154"/>
    <cellStyle name="Percent 262" xfId="5589"/>
    <cellStyle name="Percent 262 2" xfId="8850"/>
    <cellStyle name="Percent 262 2 2" xfId="22493"/>
    <cellStyle name="Percent 262 3" xfId="11910"/>
    <cellStyle name="Percent 262 3 2" xfId="25541"/>
    <cellStyle name="Percent 262 4" xfId="15206"/>
    <cellStyle name="Percent 262 4 2" xfId="28834"/>
    <cellStyle name="Percent 262 5" xfId="19239"/>
    <cellStyle name="Percent 263" xfId="5503"/>
    <cellStyle name="Percent 263 2" xfId="8764"/>
    <cellStyle name="Percent 263 2 2" xfId="22407"/>
    <cellStyle name="Percent 263 3" xfId="11824"/>
    <cellStyle name="Percent 263 3 2" xfId="25455"/>
    <cellStyle name="Percent 263 4" xfId="15120"/>
    <cellStyle name="Percent 263 4 2" xfId="28748"/>
    <cellStyle name="Percent 263 5" xfId="19153"/>
    <cellStyle name="Percent 264" xfId="5590"/>
    <cellStyle name="Percent 264 2" xfId="8851"/>
    <cellStyle name="Percent 264 2 2" xfId="22494"/>
    <cellStyle name="Percent 264 3" xfId="11911"/>
    <cellStyle name="Percent 264 3 2" xfId="25542"/>
    <cellStyle name="Percent 264 4" xfId="15207"/>
    <cellStyle name="Percent 264 4 2" xfId="28835"/>
    <cellStyle name="Percent 264 5" xfId="19240"/>
    <cellStyle name="Percent 265" xfId="5502"/>
    <cellStyle name="Percent 265 2" xfId="8763"/>
    <cellStyle name="Percent 265 2 2" xfId="22406"/>
    <cellStyle name="Percent 265 3" xfId="11823"/>
    <cellStyle name="Percent 265 3 2" xfId="25454"/>
    <cellStyle name="Percent 265 4" xfId="15119"/>
    <cellStyle name="Percent 265 4 2" xfId="28747"/>
    <cellStyle name="Percent 265 5" xfId="19152"/>
    <cellStyle name="Percent 266" xfId="5591"/>
    <cellStyle name="Percent 266 2" xfId="8852"/>
    <cellStyle name="Percent 266 2 2" xfId="22495"/>
    <cellStyle name="Percent 266 3" xfId="11912"/>
    <cellStyle name="Percent 266 3 2" xfId="25543"/>
    <cellStyle name="Percent 266 4" xfId="15208"/>
    <cellStyle name="Percent 266 4 2" xfId="28836"/>
    <cellStyle name="Percent 266 5" xfId="19241"/>
    <cellStyle name="Percent 267" xfId="5501"/>
    <cellStyle name="Percent 267 2" xfId="8762"/>
    <cellStyle name="Percent 267 2 2" xfId="22405"/>
    <cellStyle name="Percent 267 3" xfId="11822"/>
    <cellStyle name="Percent 267 3 2" xfId="25453"/>
    <cellStyle name="Percent 267 4" xfId="15118"/>
    <cellStyle name="Percent 267 4 2" xfId="28746"/>
    <cellStyle name="Percent 267 5" xfId="19151"/>
    <cellStyle name="Percent 268" xfId="5593"/>
    <cellStyle name="Percent 268 2" xfId="8854"/>
    <cellStyle name="Percent 268 2 2" xfId="22497"/>
    <cellStyle name="Percent 268 3" xfId="11914"/>
    <cellStyle name="Percent 268 3 2" xfId="25545"/>
    <cellStyle name="Percent 268 4" xfId="15210"/>
    <cellStyle name="Percent 268 4 2" xfId="28838"/>
    <cellStyle name="Percent 268 5" xfId="19243"/>
    <cellStyle name="Percent 269" xfId="5507"/>
    <cellStyle name="Percent 269 2" xfId="8768"/>
    <cellStyle name="Percent 269 2 2" xfId="22411"/>
    <cellStyle name="Percent 269 3" xfId="11828"/>
    <cellStyle name="Percent 269 3 2" xfId="25459"/>
    <cellStyle name="Percent 269 4" xfId="15124"/>
    <cellStyle name="Percent 269 4 2" xfId="28752"/>
    <cellStyle name="Percent 269 5" xfId="19157"/>
    <cellStyle name="Percent 27" xfId="337"/>
    <cellStyle name="Percent 27 2" xfId="1393"/>
    <cellStyle name="Percent 27 3" xfId="1392"/>
    <cellStyle name="Percent 270" xfId="5594"/>
    <cellStyle name="Percent 270 2" xfId="8855"/>
    <cellStyle name="Percent 270 2 2" xfId="22498"/>
    <cellStyle name="Percent 270 3" xfId="11915"/>
    <cellStyle name="Percent 270 3 2" xfId="25546"/>
    <cellStyle name="Percent 270 4" xfId="15211"/>
    <cellStyle name="Percent 270 4 2" xfId="28839"/>
    <cellStyle name="Percent 270 5" xfId="19244"/>
    <cellStyle name="Percent 271" xfId="5506"/>
    <cellStyle name="Percent 271 2" xfId="8767"/>
    <cellStyle name="Percent 271 2 2" xfId="22410"/>
    <cellStyle name="Percent 271 3" xfId="11827"/>
    <cellStyle name="Percent 271 3 2" xfId="25458"/>
    <cellStyle name="Percent 271 4" xfId="15123"/>
    <cellStyle name="Percent 271 4 2" xfId="28751"/>
    <cellStyle name="Percent 271 5" xfId="19156"/>
    <cellStyle name="Percent 272" xfId="5595"/>
    <cellStyle name="Percent 272 2" xfId="8856"/>
    <cellStyle name="Percent 272 2 2" xfId="22499"/>
    <cellStyle name="Percent 272 3" xfId="11916"/>
    <cellStyle name="Percent 272 3 2" xfId="25547"/>
    <cellStyle name="Percent 272 4" xfId="15212"/>
    <cellStyle name="Percent 272 4 2" xfId="28840"/>
    <cellStyle name="Percent 272 5" xfId="19245"/>
    <cellStyle name="Percent 273" xfId="5505"/>
    <cellStyle name="Percent 273 2" xfId="8766"/>
    <cellStyle name="Percent 273 2 2" xfId="22409"/>
    <cellStyle name="Percent 273 3" xfId="11826"/>
    <cellStyle name="Percent 273 3 2" xfId="25457"/>
    <cellStyle name="Percent 273 4" xfId="15122"/>
    <cellStyle name="Percent 273 4 2" xfId="28750"/>
    <cellStyle name="Percent 273 5" xfId="19155"/>
    <cellStyle name="Percent 274" xfId="5596"/>
    <cellStyle name="Percent 274 2" xfId="8857"/>
    <cellStyle name="Percent 274 2 2" xfId="22500"/>
    <cellStyle name="Percent 274 3" xfId="11917"/>
    <cellStyle name="Percent 274 3 2" xfId="25548"/>
    <cellStyle name="Percent 274 4" xfId="15213"/>
    <cellStyle name="Percent 274 4 2" xfId="28841"/>
    <cellStyle name="Percent 274 5" xfId="19246"/>
    <cellStyle name="Percent 275" xfId="7207"/>
    <cellStyle name="Percent 276" xfId="6411"/>
    <cellStyle name="Percent 276 2" xfId="20061"/>
    <cellStyle name="Percent 277" xfId="8882"/>
    <cellStyle name="Percent 277 2" xfId="22525"/>
    <cellStyle name="Percent 278" xfId="8887"/>
    <cellStyle name="Percent 278 2" xfId="22530"/>
    <cellStyle name="Percent 279" xfId="8889"/>
    <cellStyle name="Percent 279 2" xfId="22532"/>
    <cellStyle name="Percent 28" xfId="338"/>
    <cellStyle name="Percent 28 2" xfId="1395"/>
    <cellStyle name="Percent 28 3" xfId="1394"/>
    <cellStyle name="Percent 280" xfId="8891"/>
    <cellStyle name="Percent 280 2" xfId="22534"/>
    <cellStyle name="Percent 281" xfId="8892"/>
    <cellStyle name="Percent 281 2" xfId="22535"/>
    <cellStyle name="Percent 282" xfId="8893"/>
    <cellStyle name="Percent 282 2" xfId="22536"/>
    <cellStyle name="Percent 283" xfId="8894"/>
    <cellStyle name="Percent 283 2" xfId="22537"/>
    <cellStyle name="Percent 284" xfId="8895"/>
    <cellStyle name="Percent 284 2" xfId="22538"/>
    <cellStyle name="Percent 285" xfId="8896"/>
    <cellStyle name="Percent 285 2" xfId="22539"/>
    <cellStyle name="Percent 286" xfId="9053"/>
    <cellStyle name="Percent 286 2" xfId="22696"/>
    <cellStyle name="Percent 287" xfId="9613"/>
    <cellStyle name="Percent 287 2" xfId="23255"/>
    <cellStyle name="Percent 288" xfId="9632"/>
    <cellStyle name="Percent 288 2" xfId="23263"/>
    <cellStyle name="Percent 289" xfId="11939"/>
    <cellStyle name="Percent 289 2" xfId="25570"/>
    <cellStyle name="Percent 29" xfId="339"/>
    <cellStyle name="Percent 29 2" xfId="1396"/>
    <cellStyle name="Percent 290" xfId="12194"/>
    <cellStyle name="Percent 290 2" xfId="25822"/>
    <cellStyle name="Percent 291" xfId="12111"/>
    <cellStyle name="Percent 291 2" xfId="25739"/>
    <cellStyle name="Percent 292" xfId="12193"/>
    <cellStyle name="Percent 292 2" xfId="25821"/>
    <cellStyle name="Percent 293" xfId="12110"/>
    <cellStyle name="Percent 293 2" xfId="25738"/>
    <cellStyle name="Percent 294" xfId="12927"/>
    <cellStyle name="Percent 294 2" xfId="26555"/>
    <cellStyle name="Percent 295" xfId="15661"/>
    <cellStyle name="Percent 295 2" xfId="29082"/>
    <cellStyle name="Percent 296" xfId="15664"/>
    <cellStyle name="Percent 296 2" xfId="29085"/>
    <cellStyle name="Percent 297" xfId="15659"/>
    <cellStyle name="Percent 297 2" xfId="29080"/>
    <cellStyle name="Percent 298" xfId="15673"/>
    <cellStyle name="Percent 298 2" xfId="29094"/>
    <cellStyle name="Percent 299" xfId="15686"/>
    <cellStyle name="Percent 299 2" xfId="29107"/>
    <cellStyle name="Percent 3" xfId="5"/>
    <cellStyle name="Percent 3 10" xfId="1397"/>
    <cellStyle name="Percent 3 10 2" xfId="3096"/>
    <cellStyle name="Percent 3 11" xfId="1398"/>
    <cellStyle name="Percent 3 11 2" xfId="3097"/>
    <cellStyle name="Percent 3 12" xfId="2092"/>
    <cellStyle name="Percent 3 12 2" xfId="3235"/>
    <cellStyle name="Percent 3 12 2 2" xfId="4982"/>
    <cellStyle name="Percent 3 12 2 2 2" xfId="8246"/>
    <cellStyle name="Percent 3 12 2 2 2 2" xfId="21894"/>
    <cellStyle name="Percent 3 12 2 2 3" xfId="11313"/>
    <cellStyle name="Percent 3 12 2 2 3 2" xfId="24944"/>
    <cellStyle name="Percent 3 12 2 2 4" xfId="14609"/>
    <cellStyle name="Percent 3 12 2 2 4 2" xfId="28237"/>
    <cellStyle name="Percent 3 12 2 2 5" xfId="18640"/>
    <cellStyle name="Percent 3 12 2 3" xfId="6669"/>
    <cellStyle name="Percent 3 12 2 3 2" xfId="20319"/>
    <cellStyle name="Percent 3 12 2 4" xfId="9890"/>
    <cellStyle name="Percent 3 12 2 4 2" xfId="23521"/>
    <cellStyle name="Percent 3 12 2 5" xfId="13185"/>
    <cellStyle name="Percent 3 12 2 5 2" xfId="26813"/>
    <cellStyle name="Percent 3 12 2 6" xfId="17115"/>
    <cellStyle name="Percent 3 12 3" xfId="4036"/>
    <cellStyle name="Percent 3 12 3 2" xfId="7466"/>
    <cellStyle name="Percent 3 12 3 2 2" xfId="21114"/>
    <cellStyle name="Percent 3 12 3 3" xfId="10604"/>
    <cellStyle name="Percent 3 12 3 3 2" xfId="24235"/>
    <cellStyle name="Percent 3 12 3 4" xfId="13900"/>
    <cellStyle name="Percent 3 12 3 4 2" xfId="27528"/>
    <cellStyle name="Percent 3 12 3 5" xfId="17831"/>
    <cellStyle name="Percent 3 12 4" xfId="5872"/>
    <cellStyle name="Percent 3 12 4 2" xfId="19522"/>
    <cellStyle name="Percent 3 12 5" xfId="9158"/>
    <cellStyle name="Percent 3 12 5 2" xfId="22800"/>
    <cellStyle name="Percent 3 12 6" xfId="12472"/>
    <cellStyle name="Percent 3 12 6 2" xfId="26100"/>
    <cellStyle name="Percent 3 12 7" xfId="16295"/>
    <cellStyle name="Percent 3 13" xfId="2131"/>
    <cellStyle name="Percent 3 13 2" xfId="3244"/>
    <cellStyle name="Percent 3 13 2 2" xfId="4991"/>
    <cellStyle name="Percent 3 13 2 2 2" xfId="8255"/>
    <cellStyle name="Percent 3 13 2 2 2 2" xfId="21903"/>
    <cellStyle name="Percent 3 13 2 2 3" xfId="11322"/>
    <cellStyle name="Percent 3 13 2 2 3 2" xfId="24953"/>
    <cellStyle name="Percent 3 13 2 2 4" xfId="14618"/>
    <cellStyle name="Percent 3 13 2 2 4 2" xfId="28246"/>
    <cellStyle name="Percent 3 13 2 2 5" xfId="18649"/>
    <cellStyle name="Percent 3 13 2 3" xfId="6678"/>
    <cellStyle name="Percent 3 13 2 3 2" xfId="20328"/>
    <cellStyle name="Percent 3 13 2 4" xfId="9899"/>
    <cellStyle name="Percent 3 13 2 4 2" xfId="23530"/>
    <cellStyle name="Percent 3 13 2 5" xfId="13194"/>
    <cellStyle name="Percent 3 13 2 5 2" xfId="26822"/>
    <cellStyle name="Percent 3 13 2 6" xfId="17124"/>
    <cellStyle name="Percent 3 13 3" xfId="4045"/>
    <cellStyle name="Percent 3 13 3 2" xfId="7475"/>
    <cellStyle name="Percent 3 13 3 2 2" xfId="21123"/>
    <cellStyle name="Percent 3 13 3 3" xfId="10613"/>
    <cellStyle name="Percent 3 13 3 3 2" xfId="24244"/>
    <cellStyle name="Percent 3 13 3 4" xfId="13909"/>
    <cellStyle name="Percent 3 13 3 4 2" xfId="27537"/>
    <cellStyle name="Percent 3 13 3 5" xfId="17840"/>
    <cellStyle name="Percent 3 13 4" xfId="5881"/>
    <cellStyle name="Percent 3 13 4 2" xfId="19531"/>
    <cellStyle name="Percent 3 13 5" xfId="9167"/>
    <cellStyle name="Percent 3 13 5 2" xfId="22809"/>
    <cellStyle name="Percent 3 13 6" xfId="12481"/>
    <cellStyle name="Percent 3 13 6 2" xfId="26109"/>
    <cellStyle name="Percent 3 13 7" xfId="16326"/>
    <cellStyle name="Percent 3 14" xfId="2632"/>
    <cellStyle name="Percent 3 14 2" xfId="3607"/>
    <cellStyle name="Percent 3 14 2 2" xfId="5274"/>
    <cellStyle name="Percent 3 14 2 2 2" xfId="8537"/>
    <cellStyle name="Percent 3 14 2 2 2 2" xfId="22185"/>
    <cellStyle name="Percent 3 14 2 2 3" xfId="11604"/>
    <cellStyle name="Percent 3 14 2 2 3 2" xfId="25235"/>
    <cellStyle name="Percent 3 14 2 2 4" xfId="14900"/>
    <cellStyle name="Percent 3 14 2 2 4 2" xfId="28528"/>
    <cellStyle name="Percent 3 14 2 2 5" xfId="18932"/>
    <cellStyle name="Percent 3 14 2 3" xfId="7041"/>
    <cellStyle name="Percent 3 14 2 3 2" xfId="20691"/>
    <cellStyle name="Percent 3 14 2 4" xfId="10182"/>
    <cellStyle name="Percent 3 14 2 4 2" xfId="23813"/>
    <cellStyle name="Percent 3 14 2 5" xfId="13477"/>
    <cellStyle name="Percent 3 14 2 5 2" xfId="27105"/>
    <cellStyle name="Percent 3 14 2 6" xfId="17408"/>
    <cellStyle name="Percent 3 14 3" xfId="4375"/>
    <cellStyle name="Percent 3 14 3 2" xfId="7805"/>
    <cellStyle name="Percent 3 14 3 2 2" xfId="21453"/>
    <cellStyle name="Percent 3 14 3 3" xfId="10895"/>
    <cellStyle name="Percent 3 14 3 3 2" xfId="24526"/>
    <cellStyle name="Percent 3 14 3 4" xfId="14191"/>
    <cellStyle name="Percent 3 14 3 4 2" xfId="27819"/>
    <cellStyle name="Percent 3 14 3 5" xfId="18170"/>
    <cellStyle name="Percent 3 14 4" xfId="6247"/>
    <cellStyle name="Percent 3 14 4 2" xfId="19897"/>
    <cellStyle name="Percent 3 14 5" xfId="9449"/>
    <cellStyle name="Percent 3 14 5 2" xfId="23091"/>
    <cellStyle name="Percent 3 14 6" xfId="12763"/>
    <cellStyle name="Percent 3 14 6 2" xfId="26391"/>
    <cellStyle name="Percent 3 14 7" xfId="16659"/>
    <cellStyle name="Percent 3 15" xfId="2808"/>
    <cellStyle name="Percent 3 15 2" xfId="3762"/>
    <cellStyle name="Percent 3 15 2 2" xfId="5429"/>
    <cellStyle name="Percent 3 15 2 2 2" xfId="8692"/>
    <cellStyle name="Percent 3 15 2 2 2 2" xfId="22340"/>
    <cellStyle name="Percent 3 15 2 2 3" xfId="11759"/>
    <cellStyle name="Percent 3 15 2 2 3 2" xfId="25390"/>
    <cellStyle name="Percent 3 15 2 2 4" xfId="15055"/>
    <cellStyle name="Percent 3 15 2 2 4 2" xfId="28683"/>
    <cellStyle name="Percent 3 15 2 2 5" xfId="19087"/>
    <cellStyle name="Percent 3 15 2 3" xfId="7196"/>
    <cellStyle name="Percent 3 15 2 3 2" xfId="20846"/>
    <cellStyle name="Percent 3 15 2 4" xfId="10337"/>
    <cellStyle name="Percent 3 15 2 4 2" xfId="23968"/>
    <cellStyle name="Percent 3 15 2 5" xfId="13632"/>
    <cellStyle name="Percent 3 15 2 5 2" xfId="27260"/>
    <cellStyle name="Percent 3 15 2 6" xfId="17563"/>
    <cellStyle name="Percent 3 15 3" xfId="4551"/>
    <cellStyle name="Percent 3 15 3 2" xfId="7981"/>
    <cellStyle name="Percent 3 15 3 2 2" xfId="21629"/>
    <cellStyle name="Percent 3 15 3 3" xfId="11050"/>
    <cellStyle name="Percent 3 15 3 3 2" xfId="24681"/>
    <cellStyle name="Percent 3 15 3 4" xfId="14346"/>
    <cellStyle name="Percent 3 15 3 4 2" xfId="27974"/>
    <cellStyle name="Percent 3 15 3 5" xfId="18346"/>
    <cellStyle name="Percent 3 15 4" xfId="6402"/>
    <cellStyle name="Percent 3 15 4 2" xfId="20052"/>
    <cellStyle name="Percent 3 15 5" xfId="9604"/>
    <cellStyle name="Percent 3 15 5 2" xfId="23246"/>
    <cellStyle name="Percent 3 15 6" xfId="12918"/>
    <cellStyle name="Percent 3 15 6 2" xfId="26546"/>
    <cellStyle name="Percent 3 15 7" xfId="16835"/>
    <cellStyle name="Percent 3 16" xfId="3185"/>
    <cellStyle name="Percent 3 16 2" xfId="4934"/>
    <cellStyle name="Percent 3 16 2 2" xfId="8200"/>
    <cellStyle name="Percent 3 16 2 2 2" xfId="21848"/>
    <cellStyle name="Percent 3 16 2 3" xfId="11267"/>
    <cellStyle name="Percent 3 16 2 3 2" xfId="24898"/>
    <cellStyle name="Percent 3 16 2 4" xfId="14563"/>
    <cellStyle name="Percent 3 16 2 4 2" xfId="28191"/>
    <cellStyle name="Percent 3 16 2 5" xfId="18592"/>
    <cellStyle name="Percent 3 16 3" xfId="6621"/>
    <cellStyle name="Percent 3 16 3 2" xfId="20271"/>
    <cellStyle name="Percent 3 16 4" xfId="9842"/>
    <cellStyle name="Percent 3 16 4 2" xfId="23473"/>
    <cellStyle name="Percent 3 16 5" xfId="13137"/>
    <cellStyle name="Percent 3 16 5 2" xfId="26765"/>
    <cellStyle name="Percent 3 16 6" xfId="17067"/>
    <cellStyle name="Percent 3 17" xfId="3792"/>
    <cellStyle name="Percent 3 17 2" xfId="7224"/>
    <cellStyle name="Percent 3 17 2 2" xfId="20872"/>
    <cellStyle name="Percent 3 17 3" xfId="10362"/>
    <cellStyle name="Percent 3 17 3 2" xfId="23993"/>
    <cellStyle name="Percent 3 17 4" xfId="13658"/>
    <cellStyle name="Percent 3 17 4 2" xfId="27286"/>
    <cellStyle name="Percent 3 17 5" xfId="17589"/>
    <cellStyle name="Percent 3 18" xfId="5599"/>
    <cellStyle name="Percent 3 18 2" xfId="8860"/>
    <cellStyle name="Percent 3 18 2 2" xfId="22503"/>
    <cellStyle name="Percent 3 18 3" xfId="11920"/>
    <cellStyle name="Percent 3 18 3 2" xfId="25551"/>
    <cellStyle name="Percent 3 18 4" xfId="15216"/>
    <cellStyle name="Percent 3 18 4 2" xfId="28844"/>
    <cellStyle name="Percent 3 18 5" xfId="19249"/>
    <cellStyle name="Percent 3 19" xfId="5632"/>
    <cellStyle name="Percent 3 19 2" xfId="19282"/>
    <cellStyle name="Percent 3 2" xfId="153"/>
    <cellStyle name="Percent 3 20" xfId="9097"/>
    <cellStyle name="Percent 3 20 2" xfId="22740"/>
    <cellStyle name="Percent 3 21" xfId="11943"/>
    <cellStyle name="Percent 3 21 2" xfId="25574"/>
    <cellStyle name="Percent 3 22" xfId="12197"/>
    <cellStyle name="Percent 3 22 2" xfId="25825"/>
    <cellStyle name="Percent 3 23" xfId="12235"/>
    <cellStyle name="Percent 3 23 2" xfId="25863"/>
    <cellStyle name="Percent 3 24" xfId="15765"/>
    <cellStyle name="Percent 3 25" xfId="29716"/>
    <cellStyle name="Percent 3 3" xfId="88"/>
    <cellStyle name="Percent 3 4" xfId="344"/>
    <cellStyle name="Percent 3 4 10" xfId="5664"/>
    <cellStyle name="Percent 3 4 10 2" xfId="19314"/>
    <cellStyle name="Percent 3 4 11" xfId="9098"/>
    <cellStyle name="Percent 3 4 11 2" xfId="22741"/>
    <cellStyle name="Percent 3 4 12" xfId="11954"/>
    <cellStyle name="Percent 3 4 12 2" xfId="25585"/>
    <cellStyle name="Percent 3 4 13" xfId="12198"/>
    <cellStyle name="Percent 3 4 13 2" xfId="25826"/>
    <cellStyle name="Percent 3 4 14" xfId="12267"/>
    <cellStyle name="Percent 3 4 14 2" xfId="25895"/>
    <cellStyle name="Percent 3 4 15" xfId="15895"/>
    <cellStyle name="Percent 3 4 2" xfId="1399"/>
    <cellStyle name="Percent 3 4 3" xfId="2093"/>
    <cellStyle name="Percent 3 4 3 2" xfId="3236"/>
    <cellStyle name="Percent 3 4 3 2 2" xfId="4983"/>
    <cellStyle name="Percent 3 4 3 2 2 2" xfId="8247"/>
    <cellStyle name="Percent 3 4 3 2 2 2 2" xfId="21895"/>
    <cellStyle name="Percent 3 4 3 2 2 3" xfId="11314"/>
    <cellStyle name="Percent 3 4 3 2 2 3 2" xfId="24945"/>
    <cellStyle name="Percent 3 4 3 2 2 4" xfId="14610"/>
    <cellStyle name="Percent 3 4 3 2 2 4 2" xfId="28238"/>
    <cellStyle name="Percent 3 4 3 2 2 5" xfId="18641"/>
    <cellStyle name="Percent 3 4 3 2 3" xfId="6670"/>
    <cellStyle name="Percent 3 4 3 2 3 2" xfId="20320"/>
    <cellStyle name="Percent 3 4 3 2 4" xfId="9891"/>
    <cellStyle name="Percent 3 4 3 2 4 2" xfId="23522"/>
    <cellStyle name="Percent 3 4 3 2 5" xfId="13186"/>
    <cellStyle name="Percent 3 4 3 2 5 2" xfId="26814"/>
    <cellStyle name="Percent 3 4 3 2 6" xfId="17116"/>
    <cellStyle name="Percent 3 4 3 3" xfId="4037"/>
    <cellStyle name="Percent 3 4 3 3 2" xfId="7467"/>
    <cellStyle name="Percent 3 4 3 3 2 2" xfId="21115"/>
    <cellStyle name="Percent 3 4 3 3 3" xfId="10605"/>
    <cellStyle name="Percent 3 4 3 3 3 2" xfId="24236"/>
    <cellStyle name="Percent 3 4 3 3 4" xfId="13901"/>
    <cellStyle name="Percent 3 4 3 3 4 2" xfId="27529"/>
    <cellStyle name="Percent 3 4 3 3 5" xfId="17832"/>
    <cellStyle name="Percent 3 4 3 4" xfId="5873"/>
    <cellStyle name="Percent 3 4 3 4 2" xfId="19523"/>
    <cellStyle name="Percent 3 4 3 5" xfId="9159"/>
    <cellStyle name="Percent 3 4 3 5 2" xfId="22801"/>
    <cellStyle name="Percent 3 4 3 6" xfId="12473"/>
    <cellStyle name="Percent 3 4 3 6 2" xfId="26101"/>
    <cellStyle name="Percent 3 4 3 7" xfId="16296"/>
    <cellStyle name="Percent 3 4 4" xfId="2144"/>
    <cellStyle name="Percent 3 4 4 2" xfId="3257"/>
    <cellStyle name="Percent 3 4 4 2 2" xfId="5003"/>
    <cellStyle name="Percent 3 4 4 2 2 2" xfId="8267"/>
    <cellStyle name="Percent 3 4 4 2 2 2 2" xfId="21915"/>
    <cellStyle name="Percent 3 4 4 2 2 3" xfId="11334"/>
    <cellStyle name="Percent 3 4 4 2 2 3 2" xfId="24965"/>
    <cellStyle name="Percent 3 4 4 2 2 4" xfId="14630"/>
    <cellStyle name="Percent 3 4 4 2 2 4 2" xfId="28258"/>
    <cellStyle name="Percent 3 4 4 2 2 5" xfId="18661"/>
    <cellStyle name="Percent 3 4 4 2 3" xfId="6691"/>
    <cellStyle name="Percent 3 4 4 2 3 2" xfId="20341"/>
    <cellStyle name="Percent 3 4 4 2 4" xfId="9911"/>
    <cellStyle name="Percent 3 4 4 2 4 2" xfId="23542"/>
    <cellStyle name="Percent 3 4 4 2 5" xfId="13206"/>
    <cellStyle name="Percent 3 4 4 2 5 2" xfId="26834"/>
    <cellStyle name="Percent 3 4 4 2 6" xfId="17136"/>
    <cellStyle name="Percent 3 4 4 3" xfId="4057"/>
    <cellStyle name="Percent 3 4 4 3 2" xfId="7487"/>
    <cellStyle name="Percent 3 4 4 3 2 2" xfId="21135"/>
    <cellStyle name="Percent 3 4 4 3 3" xfId="10625"/>
    <cellStyle name="Percent 3 4 4 3 3 2" xfId="24256"/>
    <cellStyle name="Percent 3 4 4 3 4" xfId="13921"/>
    <cellStyle name="Percent 3 4 4 3 4 2" xfId="27549"/>
    <cellStyle name="Percent 3 4 4 3 5" xfId="17852"/>
    <cellStyle name="Percent 3 4 4 4" xfId="5893"/>
    <cellStyle name="Percent 3 4 4 4 2" xfId="19543"/>
    <cellStyle name="Percent 3 4 4 5" xfId="9179"/>
    <cellStyle name="Percent 3 4 4 5 2" xfId="22821"/>
    <cellStyle name="Percent 3 4 4 6" xfId="12493"/>
    <cellStyle name="Percent 3 4 4 6 2" xfId="26121"/>
    <cellStyle name="Percent 3 4 4 7" xfId="16338"/>
    <cellStyle name="Percent 3 4 5" xfId="2633"/>
    <cellStyle name="Percent 3 4 5 2" xfId="3608"/>
    <cellStyle name="Percent 3 4 5 2 2" xfId="5275"/>
    <cellStyle name="Percent 3 4 5 2 2 2" xfId="8538"/>
    <cellStyle name="Percent 3 4 5 2 2 2 2" xfId="22186"/>
    <cellStyle name="Percent 3 4 5 2 2 3" xfId="11605"/>
    <cellStyle name="Percent 3 4 5 2 2 3 2" xfId="25236"/>
    <cellStyle name="Percent 3 4 5 2 2 4" xfId="14901"/>
    <cellStyle name="Percent 3 4 5 2 2 4 2" xfId="28529"/>
    <cellStyle name="Percent 3 4 5 2 2 5" xfId="18933"/>
    <cellStyle name="Percent 3 4 5 2 3" xfId="7042"/>
    <cellStyle name="Percent 3 4 5 2 3 2" xfId="20692"/>
    <cellStyle name="Percent 3 4 5 2 4" xfId="10183"/>
    <cellStyle name="Percent 3 4 5 2 4 2" xfId="23814"/>
    <cellStyle name="Percent 3 4 5 2 5" xfId="13478"/>
    <cellStyle name="Percent 3 4 5 2 5 2" xfId="27106"/>
    <cellStyle name="Percent 3 4 5 2 6" xfId="17409"/>
    <cellStyle name="Percent 3 4 5 3" xfId="4376"/>
    <cellStyle name="Percent 3 4 5 3 2" xfId="7806"/>
    <cellStyle name="Percent 3 4 5 3 2 2" xfId="21454"/>
    <cellStyle name="Percent 3 4 5 3 3" xfId="10896"/>
    <cellStyle name="Percent 3 4 5 3 3 2" xfId="24527"/>
    <cellStyle name="Percent 3 4 5 3 4" xfId="14192"/>
    <cellStyle name="Percent 3 4 5 3 4 2" xfId="27820"/>
    <cellStyle name="Percent 3 4 5 3 5" xfId="18171"/>
    <cellStyle name="Percent 3 4 5 4" xfId="6248"/>
    <cellStyle name="Percent 3 4 5 4 2" xfId="19898"/>
    <cellStyle name="Percent 3 4 5 5" xfId="9450"/>
    <cellStyle name="Percent 3 4 5 5 2" xfId="23092"/>
    <cellStyle name="Percent 3 4 5 6" xfId="12764"/>
    <cellStyle name="Percent 3 4 5 6 2" xfId="26392"/>
    <cellStyle name="Percent 3 4 5 7" xfId="16660"/>
    <cellStyle name="Percent 3 4 6" xfId="2809"/>
    <cellStyle name="Percent 3 4 6 2" xfId="3763"/>
    <cellStyle name="Percent 3 4 6 2 2" xfId="5430"/>
    <cellStyle name="Percent 3 4 6 2 2 2" xfId="8693"/>
    <cellStyle name="Percent 3 4 6 2 2 2 2" xfId="22341"/>
    <cellStyle name="Percent 3 4 6 2 2 3" xfId="11760"/>
    <cellStyle name="Percent 3 4 6 2 2 3 2" xfId="25391"/>
    <cellStyle name="Percent 3 4 6 2 2 4" xfId="15056"/>
    <cellStyle name="Percent 3 4 6 2 2 4 2" xfId="28684"/>
    <cellStyle name="Percent 3 4 6 2 2 5" xfId="19088"/>
    <cellStyle name="Percent 3 4 6 2 3" xfId="7197"/>
    <cellStyle name="Percent 3 4 6 2 3 2" xfId="20847"/>
    <cellStyle name="Percent 3 4 6 2 4" xfId="10338"/>
    <cellStyle name="Percent 3 4 6 2 4 2" xfId="23969"/>
    <cellStyle name="Percent 3 4 6 2 5" xfId="13633"/>
    <cellStyle name="Percent 3 4 6 2 5 2" xfId="27261"/>
    <cellStyle name="Percent 3 4 6 2 6" xfId="17564"/>
    <cellStyle name="Percent 3 4 6 3" xfId="4552"/>
    <cellStyle name="Percent 3 4 6 3 2" xfId="7982"/>
    <cellStyle name="Percent 3 4 6 3 2 2" xfId="21630"/>
    <cellStyle name="Percent 3 4 6 3 3" xfId="11051"/>
    <cellStyle name="Percent 3 4 6 3 3 2" xfId="24682"/>
    <cellStyle name="Percent 3 4 6 3 4" xfId="14347"/>
    <cellStyle name="Percent 3 4 6 3 4 2" xfId="27975"/>
    <cellStyle name="Percent 3 4 6 3 5" xfId="18347"/>
    <cellStyle name="Percent 3 4 6 4" xfId="6403"/>
    <cellStyle name="Percent 3 4 6 4 2" xfId="20053"/>
    <cellStyle name="Percent 3 4 6 5" xfId="9605"/>
    <cellStyle name="Percent 3 4 6 5 2" xfId="23247"/>
    <cellStyle name="Percent 3 4 6 6" xfId="12919"/>
    <cellStyle name="Percent 3 4 6 6 2" xfId="26547"/>
    <cellStyle name="Percent 3 4 6 7" xfId="16836"/>
    <cellStyle name="Percent 3 4 7" xfId="3110"/>
    <cellStyle name="Percent 3 4 7 2" xfId="4905"/>
    <cellStyle name="Percent 3 4 7 2 2" xfId="8171"/>
    <cellStyle name="Percent 3 4 7 2 2 2" xfId="21819"/>
    <cellStyle name="Percent 3 4 7 2 3" xfId="11238"/>
    <cellStyle name="Percent 3 4 7 2 3 2" xfId="24869"/>
    <cellStyle name="Percent 3 4 7 2 4" xfId="14534"/>
    <cellStyle name="Percent 3 4 7 2 4 2" xfId="28162"/>
    <cellStyle name="Percent 3 4 7 2 5" xfId="18563"/>
    <cellStyle name="Percent 3 4 7 3" xfId="6592"/>
    <cellStyle name="Percent 3 4 7 3 2" xfId="20242"/>
    <cellStyle name="Percent 3 4 7 4" xfId="9813"/>
    <cellStyle name="Percent 3 4 7 4 2" xfId="23444"/>
    <cellStyle name="Percent 3 4 7 5" xfId="13108"/>
    <cellStyle name="Percent 3 4 7 5 2" xfId="26736"/>
    <cellStyle name="Percent 3 4 7 6" xfId="17028"/>
    <cellStyle name="Percent 3 4 8" xfId="3824"/>
    <cellStyle name="Percent 3 4 8 2" xfId="7256"/>
    <cellStyle name="Percent 3 4 8 2 2" xfId="20904"/>
    <cellStyle name="Percent 3 4 8 3" xfId="10394"/>
    <cellStyle name="Percent 3 4 8 3 2" xfId="24025"/>
    <cellStyle name="Percent 3 4 8 4" xfId="13690"/>
    <cellStyle name="Percent 3 4 8 4 2" xfId="27318"/>
    <cellStyle name="Percent 3 4 8 5" xfId="17621"/>
    <cellStyle name="Percent 3 4 9" xfId="5600"/>
    <cellStyle name="Percent 3 4 9 2" xfId="8861"/>
    <cellStyle name="Percent 3 4 9 2 2" xfId="22504"/>
    <cellStyle name="Percent 3 4 9 3" xfId="11921"/>
    <cellStyle name="Percent 3 4 9 3 2" xfId="25552"/>
    <cellStyle name="Percent 3 4 9 4" xfId="15217"/>
    <cellStyle name="Percent 3 4 9 4 2" xfId="28845"/>
    <cellStyle name="Percent 3 4 9 5" xfId="19250"/>
    <cellStyle name="Percent 3 5" xfId="322"/>
    <cellStyle name="Percent 3 5 2" xfId="1400"/>
    <cellStyle name="Percent 3 5 3" xfId="3122"/>
    <cellStyle name="Percent 3 5 3 2" xfId="4917"/>
    <cellStyle name="Percent 3 5 3 2 2" xfId="8183"/>
    <cellStyle name="Percent 3 5 3 2 2 2" xfId="21831"/>
    <cellStyle name="Percent 3 5 3 2 3" xfId="11250"/>
    <cellStyle name="Percent 3 5 3 2 3 2" xfId="24881"/>
    <cellStyle name="Percent 3 5 3 2 4" xfId="14546"/>
    <cellStyle name="Percent 3 5 3 2 4 2" xfId="28174"/>
    <cellStyle name="Percent 3 5 3 2 5" xfId="18575"/>
    <cellStyle name="Percent 3 5 3 3" xfId="6604"/>
    <cellStyle name="Percent 3 5 3 3 2" xfId="20254"/>
    <cellStyle name="Percent 3 5 3 4" xfId="9825"/>
    <cellStyle name="Percent 3 5 3 4 2" xfId="23456"/>
    <cellStyle name="Percent 3 5 3 5" xfId="13120"/>
    <cellStyle name="Percent 3 5 3 5 2" xfId="26748"/>
    <cellStyle name="Percent 3 5 3 6" xfId="17040"/>
    <cellStyle name="Percent 3 5 4" xfId="3810"/>
    <cellStyle name="Percent 3 5 4 2" xfId="7242"/>
    <cellStyle name="Percent 3 5 4 2 2" xfId="20890"/>
    <cellStyle name="Percent 3 5 4 3" xfId="10380"/>
    <cellStyle name="Percent 3 5 4 3 2" xfId="24011"/>
    <cellStyle name="Percent 3 5 4 4" xfId="13676"/>
    <cellStyle name="Percent 3 5 4 4 2" xfId="27304"/>
    <cellStyle name="Percent 3 5 4 5" xfId="17607"/>
    <cellStyle name="Percent 3 5 5" xfId="5650"/>
    <cellStyle name="Percent 3 5 5 2" xfId="19300"/>
    <cellStyle name="Percent 3 5 6" xfId="9115"/>
    <cellStyle name="Percent 3 5 6 2" xfId="22758"/>
    <cellStyle name="Percent 3 5 7" xfId="12253"/>
    <cellStyle name="Percent 3 5 7 2" xfId="25881"/>
    <cellStyle name="Percent 3 5 8" xfId="15881"/>
    <cellStyle name="Percent 3 6" xfId="470"/>
    <cellStyle name="Percent 3 6 10" xfId="5694"/>
    <cellStyle name="Percent 3 6 10 2" xfId="19344"/>
    <cellStyle name="Percent 3 6 11" xfId="9099"/>
    <cellStyle name="Percent 3 6 11 2" xfId="22742"/>
    <cellStyle name="Percent 3 6 12" xfId="12033"/>
    <cellStyle name="Percent 3 6 12 2" xfId="25664"/>
    <cellStyle name="Percent 3 6 13" xfId="12199"/>
    <cellStyle name="Percent 3 6 13 2" xfId="25827"/>
    <cellStyle name="Percent 3 6 14" xfId="12294"/>
    <cellStyle name="Percent 3 6 14 2" xfId="25922"/>
    <cellStyle name="Percent 3 6 15" xfId="15970"/>
    <cellStyle name="Percent 3 6 2" xfId="1401"/>
    <cellStyle name="Percent 3 6 3" xfId="2094"/>
    <cellStyle name="Percent 3 6 3 2" xfId="3237"/>
    <cellStyle name="Percent 3 6 3 2 2" xfId="4984"/>
    <cellStyle name="Percent 3 6 3 2 2 2" xfId="8248"/>
    <cellStyle name="Percent 3 6 3 2 2 2 2" xfId="21896"/>
    <cellStyle name="Percent 3 6 3 2 2 3" xfId="11315"/>
    <cellStyle name="Percent 3 6 3 2 2 3 2" xfId="24946"/>
    <cellStyle name="Percent 3 6 3 2 2 4" xfId="14611"/>
    <cellStyle name="Percent 3 6 3 2 2 4 2" xfId="28239"/>
    <cellStyle name="Percent 3 6 3 2 2 5" xfId="18642"/>
    <cellStyle name="Percent 3 6 3 2 3" xfId="6671"/>
    <cellStyle name="Percent 3 6 3 2 3 2" xfId="20321"/>
    <cellStyle name="Percent 3 6 3 2 4" xfId="9892"/>
    <cellStyle name="Percent 3 6 3 2 4 2" xfId="23523"/>
    <cellStyle name="Percent 3 6 3 2 5" xfId="13187"/>
    <cellStyle name="Percent 3 6 3 2 5 2" xfId="26815"/>
    <cellStyle name="Percent 3 6 3 2 6" xfId="17117"/>
    <cellStyle name="Percent 3 6 3 3" xfId="4038"/>
    <cellStyle name="Percent 3 6 3 3 2" xfId="7468"/>
    <cellStyle name="Percent 3 6 3 3 2 2" xfId="21116"/>
    <cellStyle name="Percent 3 6 3 3 3" xfId="10606"/>
    <cellStyle name="Percent 3 6 3 3 3 2" xfId="24237"/>
    <cellStyle name="Percent 3 6 3 3 4" xfId="13902"/>
    <cellStyle name="Percent 3 6 3 3 4 2" xfId="27530"/>
    <cellStyle name="Percent 3 6 3 3 5" xfId="17833"/>
    <cellStyle name="Percent 3 6 3 4" xfId="5874"/>
    <cellStyle name="Percent 3 6 3 4 2" xfId="19524"/>
    <cellStyle name="Percent 3 6 3 5" xfId="9160"/>
    <cellStyle name="Percent 3 6 3 5 2" xfId="22802"/>
    <cellStyle name="Percent 3 6 3 6" xfId="12474"/>
    <cellStyle name="Percent 3 6 3 6 2" xfId="26102"/>
    <cellStyle name="Percent 3 6 3 7" xfId="16297"/>
    <cellStyle name="Percent 3 6 4" xfId="2224"/>
    <cellStyle name="Percent 3 6 4 2" xfId="3337"/>
    <cellStyle name="Percent 3 6 4 2 2" xfId="5083"/>
    <cellStyle name="Percent 3 6 4 2 2 2" xfId="8347"/>
    <cellStyle name="Percent 3 6 4 2 2 2 2" xfId="21995"/>
    <cellStyle name="Percent 3 6 4 2 2 3" xfId="11414"/>
    <cellStyle name="Percent 3 6 4 2 2 3 2" xfId="25045"/>
    <cellStyle name="Percent 3 6 4 2 2 4" xfId="14710"/>
    <cellStyle name="Percent 3 6 4 2 2 4 2" xfId="28338"/>
    <cellStyle name="Percent 3 6 4 2 2 5" xfId="18741"/>
    <cellStyle name="Percent 3 6 4 2 3" xfId="6771"/>
    <cellStyle name="Percent 3 6 4 2 3 2" xfId="20421"/>
    <cellStyle name="Percent 3 6 4 2 4" xfId="9991"/>
    <cellStyle name="Percent 3 6 4 2 4 2" xfId="23622"/>
    <cellStyle name="Percent 3 6 4 2 5" xfId="13286"/>
    <cellStyle name="Percent 3 6 4 2 5 2" xfId="26914"/>
    <cellStyle name="Percent 3 6 4 2 6" xfId="17216"/>
    <cellStyle name="Percent 3 6 4 3" xfId="4137"/>
    <cellStyle name="Percent 3 6 4 3 2" xfId="7567"/>
    <cellStyle name="Percent 3 6 4 3 2 2" xfId="21215"/>
    <cellStyle name="Percent 3 6 4 3 3" xfId="10705"/>
    <cellStyle name="Percent 3 6 4 3 3 2" xfId="24336"/>
    <cellStyle name="Percent 3 6 4 3 4" xfId="14001"/>
    <cellStyle name="Percent 3 6 4 3 4 2" xfId="27629"/>
    <cellStyle name="Percent 3 6 4 3 5" xfId="17932"/>
    <cellStyle name="Percent 3 6 4 4" xfId="5973"/>
    <cellStyle name="Percent 3 6 4 4 2" xfId="19623"/>
    <cellStyle name="Percent 3 6 4 5" xfId="9259"/>
    <cellStyle name="Percent 3 6 4 5 2" xfId="22901"/>
    <cellStyle name="Percent 3 6 4 6" xfId="12573"/>
    <cellStyle name="Percent 3 6 4 6 2" xfId="26201"/>
    <cellStyle name="Percent 3 6 4 7" xfId="16418"/>
    <cellStyle name="Percent 3 6 5" xfId="2634"/>
    <cellStyle name="Percent 3 6 5 2" xfId="3609"/>
    <cellStyle name="Percent 3 6 5 2 2" xfId="5276"/>
    <cellStyle name="Percent 3 6 5 2 2 2" xfId="8539"/>
    <cellStyle name="Percent 3 6 5 2 2 2 2" xfId="22187"/>
    <cellStyle name="Percent 3 6 5 2 2 3" xfId="11606"/>
    <cellStyle name="Percent 3 6 5 2 2 3 2" xfId="25237"/>
    <cellStyle name="Percent 3 6 5 2 2 4" xfId="14902"/>
    <cellStyle name="Percent 3 6 5 2 2 4 2" xfId="28530"/>
    <cellStyle name="Percent 3 6 5 2 2 5" xfId="18934"/>
    <cellStyle name="Percent 3 6 5 2 3" xfId="7043"/>
    <cellStyle name="Percent 3 6 5 2 3 2" xfId="20693"/>
    <cellStyle name="Percent 3 6 5 2 4" xfId="10184"/>
    <cellStyle name="Percent 3 6 5 2 4 2" xfId="23815"/>
    <cellStyle name="Percent 3 6 5 2 5" xfId="13479"/>
    <cellStyle name="Percent 3 6 5 2 5 2" xfId="27107"/>
    <cellStyle name="Percent 3 6 5 2 6" xfId="17410"/>
    <cellStyle name="Percent 3 6 5 3" xfId="4377"/>
    <cellStyle name="Percent 3 6 5 3 2" xfId="7807"/>
    <cellStyle name="Percent 3 6 5 3 2 2" xfId="21455"/>
    <cellStyle name="Percent 3 6 5 3 3" xfId="10897"/>
    <cellStyle name="Percent 3 6 5 3 3 2" xfId="24528"/>
    <cellStyle name="Percent 3 6 5 3 4" xfId="14193"/>
    <cellStyle name="Percent 3 6 5 3 4 2" xfId="27821"/>
    <cellStyle name="Percent 3 6 5 3 5" xfId="18172"/>
    <cellStyle name="Percent 3 6 5 4" xfId="6249"/>
    <cellStyle name="Percent 3 6 5 4 2" xfId="19899"/>
    <cellStyle name="Percent 3 6 5 5" xfId="9451"/>
    <cellStyle name="Percent 3 6 5 5 2" xfId="23093"/>
    <cellStyle name="Percent 3 6 5 6" xfId="12765"/>
    <cellStyle name="Percent 3 6 5 6 2" xfId="26393"/>
    <cellStyle name="Percent 3 6 5 7" xfId="16661"/>
    <cellStyle name="Percent 3 6 6" xfId="2810"/>
    <cellStyle name="Percent 3 6 6 2" xfId="3764"/>
    <cellStyle name="Percent 3 6 6 2 2" xfId="5431"/>
    <cellStyle name="Percent 3 6 6 2 2 2" xfId="8694"/>
    <cellStyle name="Percent 3 6 6 2 2 2 2" xfId="22342"/>
    <cellStyle name="Percent 3 6 6 2 2 3" xfId="11761"/>
    <cellStyle name="Percent 3 6 6 2 2 3 2" xfId="25392"/>
    <cellStyle name="Percent 3 6 6 2 2 4" xfId="15057"/>
    <cellStyle name="Percent 3 6 6 2 2 4 2" xfId="28685"/>
    <cellStyle name="Percent 3 6 6 2 2 5" xfId="19089"/>
    <cellStyle name="Percent 3 6 6 2 3" xfId="7198"/>
    <cellStyle name="Percent 3 6 6 2 3 2" xfId="20848"/>
    <cellStyle name="Percent 3 6 6 2 4" xfId="10339"/>
    <cellStyle name="Percent 3 6 6 2 4 2" xfId="23970"/>
    <cellStyle name="Percent 3 6 6 2 5" xfId="13634"/>
    <cellStyle name="Percent 3 6 6 2 5 2" xfId="27262"/>
    <cellStyle name="Percent 3 6 6 2 6" xfId="17565"/>
    <cellStyle name="Percent 3 6 6 3" xfId="4553"/>
    <cellStyle name="Percent 3 6 6 3 2" xfId="7983"/>
    <cellStyle name="Percent 3 6 6 3 2 2" xfId="21631"/>
    <cellStyle name="Percent 3 6 6 3 3" xfId="11052"/>
    <cellStyle name="Percent 3 6 6 3 3 2" xfId="24683"/>
    <cellStyle name="Percent 3 6 6 3 4" xfId="14348"/>
    <cellStyle name="Percent 3 6 6 3 4 2" xfId="27976"/>
    <cellStyle name="Percent 3 6 6 3 5" xfId="18348"/>
    <cellStyle name="Percent 3 6 6 4" xfId="6404"/>
    <cellStyle name="Percent 3 6 6 4 2" xfId="20054"/>
    <cellStyle name="Percent 3 6 6 5" xfId="9606"/>
    <cellStyle name="Percent 3 6 6 5 2" xfId="23248"/>
    <cellStyle name="Percent 3 6 6 6" xfId="12920"/>
    <cellStyle name="Percent 3 6 6 6 2" xfId="26548"/>
    <cellStyle name="Percent 3 6 6 7" xfId="16837"/>
    <cellStyle name="Percent 3 6 7" xfId="3076"/>
    <cellStyle name="Percent 3 6 7 2" xfId="4877"/>
    <cellStyle name="Percent 3 6 7 2 2" xfId="8143"/>
    <cellStyle name="Percent 3 6 7 2 2 2" xfId="21791"/>
    <cellStyle name="Percent 3 6 7 2 3" xfId="11212"/>
    <cellStyle name="Percent 3 6 7 2 3 2" xfId="24843"/>
    <cellStyle name="Percent 3 6 7 2 4" xfId="14508"/>
    <cellStyle name="Percent 3 6 7 2 4 2" xfId="28136"/>
    <cellStyle name="Percent 3 6 7 2 5" xfId="18535"/>
    <cellStyle name="Percent 3 6 7 3" xfId="6566"/>
    <cellStyle name="Percent 3 6 7 3 2" xfId="20216"/>
    <cellStyle name="Percent 3 6 7 4" xfId="9787"/>
    <cellStyle name="Percent 3 6 7 4 2" xfId="23418"/>
    <cellStyle name="Percent 3 6 7 5" xfId="13082"/>
    <cellStyle name="Percent 3 6 7 5 2" xfId="26710"/>
    <cellStyle name="Percent 3 6 7 6" xfId="17000"/>
    <cellStyle name="Percent 3 6 8" xfId="3853"/>
    <cellStyle name="Percent 3 6 8 2" xfId="7283"/>
    <cellStyle name="Percent 3 6 8 2 2" xfId="20931"/>
    <cellStyle name="Percent 3 6 8 3" xfId="10421"/>
    <cellStyle name="Percent 3 6 8 3 2" xfId="24052"/>
    <cellStyle name="Percent 3 6 8 4" xfId="13717"/>
    <cellStyle name="Percent 3 6 8 4 2" xfId="27345"/>
    <cellStyle name="Percent 3 6 8 5" xfId="17648"/>
    <cellStyle name="Percent 3 6 9" xfId="5601"/>
    <cellStyle name="Percent 3 6 9 2" xfId="8862"/>
    <cellStyle name="Percent 3 6 9 2 2" xfId="22505"/>
    <cellStyle name="Percent 3 6 9 3" xfId="11922"/>
    <cellStyle name="Percent 3 6 9 3 2" xfId="25553"/>
    <cellStyle name="Percent 3 6 9 4" xfId="15218"/>
    <cellStyle name="Percent 3 6 9 4 2" xfId="28846"/>
    <cellStyle name="Percent 3 6 9 5" xfId="19251"/>
    <cellStyle name="Percent 3 7" xfId="1402"/>
    <cellStyle name="Percent 3 7 2" xfId="3098"/>
    <cellStyle name="Percent 3 8" xfId="1403"/>
    <cellStyle name="Percent 3 8 2" xfId="3099"/>
    <cellStyle name="Percent 3 9" xfId="1404"/>
    <cellStyle name="Percent 3 9 2" xfId="3100"/>
    <cellStyle name="Percent 30" xfId="340"/>
    <cellStyle name="Percent 30 2" xfId="1405"/>
    <cellStyle name="Percent 300" xfId="15672"/>
    <cellStyle name="Percent 300 2" xfId="29093"/>
    <cellStyle name="Percent 301" xfId="15685"/>
    <cellStyle name="Percent 301 2" xfId="29106"/>
    <cellStyle name="Percent 302" xfId="15684"/>
    <cellStyle name="Percent 302 2" xfId="29105"/>
    <cellStyle name="Percent 303" xfId="15748"/>
    <cellStyle name="Percent 304" xfId="15786"/>
    <cellStyle name="Percent 305" xfId="15793"/>
    <cellStyle name="Percent 306" xfId="15789"/>
    <cellStyle name="Percent 307" xfId="15801"/>
    <cellStyle name="Percent 308" xfId="15836"/>
    <cellStyle name="Percent 309" xfId="29142"/>
    <cellStyle name="Percent 31" xfId="341"/>
    <cellStyle name="Percent 31 2" xfId="1406"/>
    <cellStyle name="Percent 310" xfId="29149"/>
    <cellStyle name="Percent 311" xfId="15829"/>
    <cellStyle name="Percent 312" xfId="15826"/>
    <cellStyle name="Percent 313" xfId="16208"/>
    <cellStyle name="Percent 314" xfId="16273"/>
    <cellStyle name="Percent 315" xfId="29539"/>
    <cellStyle name="Percent 316" xfId="29711"/>
    <cellStyle name="Percent 317" xfId="29718"/>
    <cellStyle name="Percent 32" xfId="419"/>
    <cellStyle name="Percent 32 2" xfId="1408"/>
    <cellStyle name="Percent 32 3" xfId="1407"/>
    <cellStyle name="Percent 32 4" xfId="3085"/>
    <cellStyle name="Percent 32 4 2" xfId="4885"/>
    <cellStyle name="Percent 32 4 2 2" xfId="8151"/>
    <cellStyle name="Percent 32 4 2 2 2" xfId="21799"/>
    <cellStyle name="Percent 32 4 2 3" xfId="11220"/>
    <cellStyle name="Percent 32 4 2 3 2" xfId="24851"/>
    <cellStyle name="Percent 32 4 2 4" xfId="14516"/>
    <cellStyle name="Percent 32 4 2 4 2" xfId="28144"/>
    <cellStyle name="Percent 32 4 2 5" xfId="18543"/>
    <cellStyle name="Percent 32 4 3" xfId="6574"/>
    <cellStyle name="Percent 32 4 3 2" xfId="20224"/>
    <cellStyle name="Percent 32 4 4" xfId="9795"/>
    <cellStyle name="Percent 32 4 4 2" xfId="23426"/>
    <cellStyle name="Percent 32 4 5" xfId="13090"/>
    <cellStyle name="Percent 32 4 5 2" xfId="26718"/>
    <cellStyle name="Percent 32 4 6" xfId="17008"/>
    <cellStyle name="Percent 32 5" xfId="3843"/>
    <cellStyle name="Percent 32 5 2" xfId="7275"/>
    <cellStyle name="Percent 32 5 2 2" xfId="20923"/>
    <cellStyle name="Percent 32 5 3" xfId="10413"/>
    <cellStyle name="Percent 32 5 3 2" xfId="24044"/>
    <cellStyle name="Percent 32 5 4" xfId="13709"/>
    <cellStyle name="Percent 32 5 4 2" xfId="27337"/>
    <cellStyle name="Percent 32 5 5" xfId="17640"/>
    <cellStyle name="Percent 32 6" xfId="5686"/>
    <cellStyle name="Percent 32 6 2" xfId="19336"/>
    <cellStyle name="Percent 32 7" xfId="9089"/>
    <cellStyle name="Percent 32 7 2" xfId="22732"/>
    <cellStyle name="Percent 32 8" xfId="12286"/>
    <cellStyle name="Percent 32 8 2" xfId="25914"/>
    <cellStyle name="Percent 32 9" xfId="15922"/>
    <cellStyle name="Percent 33" xfId="413"/>
    <cellStyle name="Percent 33 10" xfId="9093"/>
    <cellStyle name="Percent 33 10 2" xfId="22736"/>
    <cellStyle name="Percent 33 11" xfId="12281"/>
    <cellStyle name="Percent 33 11 2" xfId="25909"/>
    <cellStyle name="Percent 33 12" xfId="15917"/>
    <cellStyle name="Percent 33 2" xfId="1410"/>
    <cellStyle name="Percent 33 3" xfId="1411"/>
    <cellStyle name="Percent 33 4" xfId="1412"/>
    <cellStyle name="Percent 33 4 2" xfId="1413"/>
    <cellStyle name="Percent 33 4 3" xfId="15394"/>
    <cellStyle name="Percent 33 5" xfId="1414"/>
    <cellStyle name="Percent 33 6" xfId="1409"/>
    <cellStyle name="Percent 33 7" xfId="3089"/>
    <cellStyle name="Percent 33 7 2" xfId="4889"/>
    <cellStyle name="Percent 33 7 2 2" xfId="8155"/>
    <cellStyle name="Percent 33 7 2 2 2" xfId="21803"/>
    <cellStyle name="Percent 33 7 2 3" xfId="11224"/>
    <cellStyle name="Percent 33 7 2 3 2" xfId="24855"/>
    <cellStyle name="Percent 33 7 2 4" xfId="14520"/>
    <cellStyle name="Percent 33 7 2 4 2" xfId="28148"/>
    <cellStyle name="Percent 33 7 2 5" xfId="18547"/>
    <cellStyle name="Percent 33 7 3" xfId="6578"/>
    <cellStyle name="Percent 33 7 3 2" xfId="20228"/>
    <cellStyle name="Percent 33 7 4" xfId="9799"/>
    <cellStyle name="Percent 33 7 4 2" xfId="23430"/>
    <cellStyle name="Percent 33 7 5" xfId="13094"/>
    <cellStyle name="Percent 33 7 5 2" xfId="26722"/>
    <cellStyle name="Percent 33 7 6" xfId="17012"/>
    <cellStyle name="Percent 33 8" xfId="3838"/>
    <cellStyle name="Percent 33 8 2" xfId="7270"/>
    <cellStyle name="Percent 33 8 2 2" xfId="20918"/>
    <cellStyle name="Percent 33 8 3" xfId="10408"/>
    <cellStyle name="Percent 33 8 3 2" xfId="24039"/>
    <cellStyle name="Percent 33 8 4" xfId="13704"/>
    <cellStyle name="Percent 33 8 4 2" xfId="27332"/>
    <cellStyle name="Percent 33 8 5" xfId="17635"/>
    <cellStyle name="Percent 33 9" xfId="5681"/>
    <cellStyle name="Percent 33 9 2" xfId="19331"/>
    <cellStyle name="Percent 34" xfId="463"/>
    <cellStyle name="Percent 34 10" xfId="9085"/>
    <cellStyle name="Percent 34 10 2" xfId="22728"/>
    <cellStyle name="Percent 34 11" xfId="12290"/>
    <cellStyle name="Percent 34 11 2" xfId="25918"/>
    <cellStyle name="Percent 34 12" xfId="15966"/>
    <cellStyle name="Percent 34 2" xfId="1416"/>
    <cellStyle name="Percent 34 3" xfId="1417"/>
    <cellStyle name="Percent 34 4" xfId="1418"/>
    <cellStyle name="Percent 34 4 2" xfId="1419"/>
    <cellStyle name="Percent 34 4 3" xfId="15395"/>
    <cellStyle name="Percent 34 5" xfId="1420"/>
    <cellStyle name="Percent 34 6" xfId="1415"/>
    <cellStyle name="Percent 34 7" xfId="3080"/>
    <cellStyle name="Percent 34 7 2" xfId="4881"/>
    <cellStyle name="Percent 34 7 2 2" xfId="8147"/>
    <cellStyle name="Percent 34 7 2 2 2" xfId="21795"/>
    <cellStyle name="Percent 34 7 2 3" xfId="11216"/>
    <cellStyle name="Percent 34 7 2 3 2" xfId="24847"/>
    <cellStyle name="Percent 34 7 2 4" xfId="14512"/>
    <cellStyle name="Percent 34 7 2 4 2" xfId="28140"/>
    <cellStyle name="Percent 34 7 2 5" xfId="18539"/>
    <cellStyle name="Percent 34 7 3" xfId="6570"/>
    <cellStyle name="Percent 34 7 3 2" xfId="20220"/>
    <cellStyle name="Percent 34 7 4" xfId="9791"/>
    <cellStyle name="Percent 34 7 4 2" xfId="23422"/>
    <cellStyle name="Percent 34 7 5" xfId="13086"/>
    <cellStyle name="Percent 34 7 5 2" xfId="26714"/>
    <cellStyle name="Percent 34 7 6" xfId="17004"/>
    <cellStyle name="Percent 34 8" xfId="3849"/>
    <cellStyle name="Percent 34 8 2" xfId="7279"/>
    <cellStyle name="Percent 34 8 2 2" xfId="20927"/>
    <cellStyle name="Percent 34 8 3" xfId="10417"/>
    <cellStyle name="Percent 34 8 3 2" xfId="24048"/>
    <cellStyle name="Percent 34 8 4" xfId="13713"/>
    <cellStyle name="Percent 34 8 4 2" xfId="27341"/>
    <cellStyle name="Percent 34 8 5" xfId="17644"/>
    <cellStyle name="Percent 34 9" xfId="5690"/>
    <cellStyle name="Percent 34 9 2" xfId="19340"/>
    <cellStyle name="Percent 35" xfId="494"/>
    <cellStyle name="Percent 35 10" xfId="9070"/>
    <cellStyle name="Percent 35 10 2" xfId="22713"/>
    <cellStyle name="Percent 35 11" xfId="12310"/>
    <cellStyle name="Percent 35 11 2" xfId="25938"/>
    <cellStyle name="Percent 35 12" xfId="15988"/>
    <cellStyle name="Percent 35 2" xfId="1422"/>
    <cellStyle name="Percent 35 3" xfId="1423"/>
    <cellStyle name="Percent 35 4" xfId="1424"/>
    <cellStyle name="Percent 35 4 2" xfId="1425"/>
    <cellStyle name="Percent 35 4 3" xfId="15396"/>
    <cellStyle name="Percent 35 5" xfId="1426"/>
    <cellStyle name="Percent 35 6" xfId="1421"/>
    <cellStyle name="Percent 35 7" xfId="3051"/>
    <cellStyle name="Percent 35 7 2" xfId="4863"/>
    <cellStyle name="Percent 35 7 2 2" xfId="8129"/>
    <cellStyle name="Percent 35 7 2 2 2" xfId="21777"/>
    <cellStyle name="Percent 35 7 2 3" xfId="11198"/>
    <cellStyle name="Percent 35 7 2 3 2" xfId="24829"/>
    <cellStyle name="Percent 35 7 2 4" xfId="14494"/>
    <cellStyle name="Percent 35 7 2 4 2" xfId="28122"/>
    <cellStyle name="Percent 35 7 2 5" xfId="18521"/>
    <cellStyle name="Percent 35 7 3" xfId="6552"/>
    <cellStyle name="Percent 35 7 3 2" xfId="20202"/>
    <cellStyle name="Percent 35 7 4" xfId="9773"/>
    <cellStyle name="Percent 35 7 4 2" xfId="23404"/>
    <cellStyle name="Percent 35 7 5" xfId="13068"/>
    <cellStyle name="Percent 35 7 5 2" xfId="26696"/>
    <cellStyle name="Percent 35 7 6" xfId="16986"/>
    <cellStyle name="Percent 35 8" xfId="3869"/>
    <cellStyle name="Percent 35 8 2" xfId="7299"/>
    <cellStyle name="Percent 35 8 2 2" xfId="20947"/>
    <cellStyle name="Percent 35 8 3" xfId="10437"/>
    <cellStyle name="Percent 35 8 3 2" xfId="24068"/>
    <cellStyle name="Percent 35 8 4" xfId="13733"/>
    <cellStyle name="Percent 35 8 4 2" xfId="27361"/>
    <cellStyle name="Percent 35 8 5" xfId="17664"/>
    <cellStyle name="Percent 35 9" xfId="5710"/>
    <cellStyle name="Percent 35 9 2" xfId="19360"/>
    <cellStyle name="Percent 36" xfId="500"/>
    <cellStyle name="Percent 36 10" xfId="9067"/>
    <cellStyle name="Percent 36 10 2" xfId="22710"/>
    <cellStyle name="Percent 36 11" xfId="12314"/>
    <cellStyle name="Percent 36 11 2" xfId="25942"/>
    <cellStyle name="Percent 36 12" xfId="15992"/>
    <cellStyle name="Percent 36 2" xfId="1428"/>
    <cellStyle name="Percent 36 3" xfId="1429"/>
    <cellStyle name="Percent 36 4" xfId="1430"/>
    <cellStyle name="Percent 36 4 2" xfId="1431"/>
    <cellStyle name="Percent 36 4 3" xfId="15397"/>
    <cellStyle name="Percent 36 5" xfId="1432"/>
    <cellStyle name="Percent 36 6" xfId="1427"/>
    <cellStyle name="Percent 36 7" xfId="3045"/>
    <cellStyle name="Percent 36 7 2" xfId="4860"/>
    <cellStyle name="Percent 36 7 2 2" xfId="8126"/>
    <cellStyle name="Percent 36 7 2 2 2" xfId="21774"/>
    <cellStyle name="Percent 36 7 2 3" xfId="11195"/>
    <cellStyle name="Percent 36 7 2 3 2" xfId="24826"/>
    <cellStyle name="Percent 36 7 2 4" xfId="14491"/>
    <cellStyle name="Percent 36 7 2 4 2" xfId="28119"/>
    <cellStyle name="Percent 36 7 2 5" xfId="18518"/>
    <cellStyle name="Percent 36 7 3" xfId="6549"/>
    <cellStyle name="Percent 36 7 3 2" xfId="20199"/>
    <cellStyle name="Percent 36 7 4" xfId="9770"/>
    <cellStyle name="Percent 36 7 4 2" xfId="23401"/>
    <cellStyle name="Percent 36 7 5" xfId="13065"/>
    <cellStyle name="Percent 36 7 5 2" xfId="26693"/>
    <cellStyle name="Percent 36 7 6" xfId="16983"/>
    <cellStyle name="Percent 36 8" xfId="3873"/>
    <cellStyle name="Percent 36 8 2" xfId="7303"/>
    <cellStyle name="Percent 36 8 2 2" xfId="20951"/>
    <cellStyle name="Percent 36 8 3" xfId="10441"/>
    <cellStyle name="Percent 36 8 3 2" xfId="24072"/>
    <cellStyle name="Percent 36 8 4" xfId="13737"/>
    <cellStyle name="Percent 36 8 4 2" xfId="27365"/>
    <cellStyle name="Percent 36 8 5" xfId="17668"/>
    <cellStyle name="Percent 36 9" xfId="5714"/>
    <cellStyle name="Percent 36 9 2" xfId="19364"/>
    <cellStyle name="Percent 37" xfId="495"/>
    <cellStyle name="Percent 37 10" xfId="15989"/>
    <cellStyle name="Percent 37 2" xfId="1434"/>
    <cellStyle name="Percent 37 3" xfId="1435"/>
    <cellStyle name="Percent 37 4" xfId="1433"/>
    <cellStyle name="Percent 37 5" xfId="3049"/>
    <cellStyle name="Percent 37 5 2" xfId="4862"/>
    <cellStyle name="Percent 37 5 2 2" xfId="8128"/>
    <cellStyle name="Percent 37 5 2 2 2" xfId="21776"/>
    <cellStyle name="Percent 37 5 2 3" xfId="11197"/>
    <cellStyle name="Percent 37 5 2 3 2" xfId="24828"/>
    <cellStyle name="Percent 37 5 2 4" xfId="14493"/>
    <cellStyle name="Percent 37 5 2 4 2" xfId="28121"/>
    <cellStyle name="Percent 37 5 2 5" xfId="18520"/>
    <cellStyle name="Percent 37 5 3" xfId="6551"/>
    <cellStyle name="Percent 37 5 3 2" xfId="20201"/>
    <cellStyle name="Percent 37 5 4" xfId="9772"/>
    <cellStyle name="Percent 37 5 4 2" xfId="23403"/>
    <cellStyle name="Percent 37 5 5" xfId="13067"/>
    <cellStyle name="Percent 37 5 5 2" xfId="26695"/>
    <cellStyle name="Percent 37 5 6" xfId="16985"/>
    <cellStyle name="Percent 37 6" xfId="3870"/>
    <cellStyle name="Percent 37 6 2" xfId="7300"/>
    <cellStyle name="Percent 37 6 2 2" xfId="20948"/>
    <cellStyle name="Percent 37 6 3" xfId="10438"/>
    <cellStyle name="Percent 37 6 3 2" xfId="24069"/>
    <cellStyle name="Percent 37 6 4" xfId="13734"/>
    <cellStyle name="Percent 37 6 4 2" xfId="27362"/>
    <cellStyle name="Percent 37 6 5" xfId="17665"/>
    <cellStyle name="Percent 37 7" xfId="5711"/>
    <cellStyle name="Percent 37 7 2" xfId="19361"/>
    <cellStyle name="Percent 37 8" xfId="9069"/>
    <cellStyle name="Percent 37 8 2" xfId="22712"/>
    <cellStyle name="Percent 37 9" xfId="12311"/>
    <cellStyle name="Percent 37 9 2" xfId="25939"/>
    <cellStyle name="Percent 38" xfId="501"/>
    <cellStyle name="Percent 38 10" xfId="5715"/>
    <cellStyle name="Percent 38 10 2" xfId="19365"/>
    <cellStyle name="Percent 38 11" xfId="9066"/>
    <cellStyle name="Percent 38 11 2" xfId="22709"/>
    <cellStyle name="Percent 38 12" xfId="12315"/>
    <cellStyle name="Percent 38 12 2" xfId="25943"/>
    <cellStyle name="Percent 38 13" xfId="15993"/>
    <cellStyle name="Percent 38 2" xfId="1437"/>
    <cellStyle name="Percent 38 3" xfId="1438"/>
    <cellStyle name="Percent 38 4" xfId="1439"/>
    <cellStyle name="Percent 38 4 2" xfId="1440"/>
    <cellStyle name="Percent 38 4 3" xfId="15398"/>
    <cellStyle name="Percent 38 5" xfId="1441"/>
    <cellStyle name="Percent 38 6" xfId="1442"/>
    <cellStyle name="Percent 38 7" xfId="1436"/>
    <cellStyle name="Percent 38 8" xfId="3044"/>
    <cellStyle name="Percent 38 8 2" xfId="4859"/>
    <cellStyle name="Percent 38 8 2 2" xfId="8125"/>
    <cellStyle name="Percent 38 8 2 2 2" xfId="21773"/>
    <cellStyle name="Percent 38 8 2 3" xfId="11194"/>
    <cellStyle name="Percent 38 8 2 3 2" xfId="24825"/>
    <cellStyle name="Percent 38 8 2 4" xfId="14490"/>
    <cellStyle name="Percent 38 8 2 4 2" xfId="28118"/>
    <cellStyle name="Percent 38 8 2 5" xfId="18517"/>
    <cellStyle name="Percent 38 8 3" xfId="6548"/>
    <cellStyle name="Percent 38 8 3 2" xfId="20198"/>
    <cellStyle name="Percent 38 8 4" xfId="9769"/>
    <cellStyle name="Percent 38 8 4 2" xfId="23400"/>
    <cellStyle name="Percent 38 8 5" xfId="13064"/>
    <cellStyle name="Percent 38 8 5 2" xfId="26692"/>
    <cellStyle name="Percent 38 8 6" xfId="16982"/>
    <cellStyle name="Percent 38 9" xfId="3874"/>
    <cellStyle name="Percent 38 9 2" xfId="7304"/>
    <cellStyle name="Percent 38 9 2 2" xfId="20952"/>
    <cellStyle name="Percent 38 9 3" xfId="10442"/>
    <cellStyle name="Percent 38 9 3 2" xfId="24073"/>
    <cellStyle name="Percent 38 9 4" xfId="13738"/>
    <cellStyle name="Percent 38 9 4 2" xfId="27366"/>
    <cellStyle name="Percent 38 9 5" xfId="17669"/>
    <cellStyle name="Percent 39" xfId="503"/>
    <cellStyle name="Percent 39 10" xfId="9065"/>
    <cellStyle name="Percent 39 10 2" xfId="22708"/>
    <cellStyle name="Percent 39 11" xfId="12317"/>
    <cellStyle name="Percent 39 11 2" xfId="25945"/>
    <cellStyle name="Percent 39 12" xfId="15995"/>
    <cellStyle name="Percent 39 2" xfId="1444"/>
    <cellStyle name="Percent 39 3" xfId="1445"/>
    <cellStyle name="Percent 39 3 2" xfId="1446"/>
    <cellStyle name="Percent 39 3 3" xfId="15399"/>
    <cellStyle name="Percent 39 4" xfId="1447"/>
    <cellStyle name="Percent 39 5" xfId="1448"/>
    <cellStyle name="Percent 39 6" xfId="1443"/>
    <cellStyle name="Percent 39 7" xfId="3043"/>
    <cellStyle name="Percent 39 7 2" xfId="4858"/>
    <cellStyle name="Percent 39 7 2 2" xfId="8124"/>
    <cellStyle name="Percent 39 7 2 2 2" xfId="21772"/>
    <cellStyle name="Percent 39 7 2 3" xfId="11193"/>
    <cellStyle name="Percent 39 7 2 3 2" xfId="24824"/>
    <cellStyle name="Percent 39 7 2 4" xfId="14489"/>
    <cellStyle name="Percent 39 7 2 4 2" xfId="28117"/>
    <cellStyle name="Percent 39 7 2 5" xfId="18516"/>
    <cellStyle name="Percent 39 7 3" xfId="6547"/>
    <cellStyle name="Percent 39 7 3 2" xfId="20197"/>
    <cellStyle name="Percent 39 7 4" xfId="9768"/>
    <cellStyle name="Percent 39 7 4 2" xfId="23399"/>
    <cellStyle name="Percent 39 7 5" xfId="13063"/>
    <cellStyle name="Percent 39 7 5 2" xfId="26691"/>
    <cellStyle name="Percent 39 7 6" xfId="16981"/>
    <cellStyle name="Percent 39 8" xfId="3876"/>
    <cellStyle name="Percent 39 8 2" xfId="7306"/>
    <cellStyle name="Percent 39 8 2 2" xfId="20954"/>
    <cellStyle name="Percent 39 8 3" xfId="10444"/>
    <cellStyle name="Percent 39 8 3 2" xfId="24075"/>
    <cellStyle name="Percent 39 8 4" xfId="13740"/>
    <cellStyle name="Percent 39 8 4 2" xfId="27368"/>
    <cellStyle name="Percent 39 8 5" xfId="17671"/>
    <cellStyle name="Percent 39 9" xfId="5717"/>
    <cellStyle name="Percent 39 9 2" xfId="19367"/>
    <cellStyle name="Percent 4" xfId="89"/>
    <cellStyle name="Percent 4 2" xfId="1449"/>
    <cellStyle name="Percent 4 3" xfId="15763"/>
    <cellStyle name="Percent 40" xfId="505"/>
    <cellStyle name="Percent 40 10" xfId="9063"/>
    <cellStyle name="Percent 40 10 2" xfId="22706"/>
    <cellStyle name="Percent 40 11" xfId="12319"/>
    <cellStyle name="Percent 40 11 2" xfId="25947"/>
    <cellStyle name="Percent 40 12" xfId="15997"/>
    <cellStyle name="Percent 40 2" xfId="1451"/>
    <cellStyle name="Percent 40 3" xfId="1452"/>
    <cellStyle name="Percent 40 3 2" xfId="1453"/>
    <cellStyle name="Percent 40 3 3" xfId="15400"/>
    <cellStyle name="Percent 40 4" xfId="1454"/>
    <cellStyle name="Percent 40 5" xfId="1455"/>
    <cellStyle name="Percent 40 6" xfId="1450"/>
    <cellStyle name="Percent 40 7" xfId="3041"/>
    <cellStyle name="Percent 40 7 2" xfId="4856"/>
    <cellStyle name="Percent 40 7 2 2" xfId="8122"/>
    <cellStyle name="Percent 40 7 2 2 2" xfId="21770"/>
    <cellStyle name="Percent 40 7 2 3" xfId="11191"/>
    <cellStyle name="Percent 40 7 2 3 2" xfId="24822"/>
    <cellStyle name="Percent 40 7 2 4" xfId="14487"/>
    <cellStyle name="Percent 40 7 2 4 2" xfId="28115"/>
    <cellStyle name="Percent 40 7 2 5" xfId="18514"/>
    <cellStyle name="Percent 40 7 3" xfId="6545"/>
    <cellStyle name="Percent 40 7 3 2" xfId="20195"/>
    <cellStyle name="Percent 40 7 4" xfId="9766"/>
    <cellStyle name="Percent 40 7 4 2" xfId="23397"/>
    <cellStyle name="Percent 40 7 5" xfId="13061"/>
    <cellStyle name="Percent 40 7 5 2" xfId="26689"/>
    <cellStyle name="Percent 40 7 6" xfId="16979"/>
    <cellStyle name="Percent 40 8" xfId="3878"/>
    <cellStyle name="Percent 40 8 2" xfId="7308"/>
    <cellStyle name="Percent 40 8 2 2" xfId="20956"/>
    <cellStyle name="Percent 40 8 3" xfId="10446"/>
    <cellStyle name="Percent 40 8 3 2" xfId="24077"/>
    <cellStyle name="Percent 40 8 4" xfId="13742"/>
    <cellStyle name="Percent 40 8 4 2" xfId="27370"/>
    <cellStyle name="Percent 40 8 5" xfId="17673"/>
    <cellStyle name="Percent 40 9" xfId="5719"/>
    <cellStyle name="Percent 40 9 2" xfId="19369"/>
    <cellStyle name="Percent 41" xfId="507"/>
    <cellStyle name="Percent 41 10" xfId="9062"/>
    <cellStyle name="Percent 41 10 2" xfId="22705"/>
    <cellStyle name="Percent 41 11" xfId="12321"/>
    <cellStyle name="Percent 41 11 2" xfId="25949"/>
    <cellStyle name="Percent 41 12" xfId="15999"/>
    <cellStyle name="Percent 41 2" xfId="1457"/>
    <cellStyle name="Percent 41 3" xfId="1458"/>
    <cellStyle name="Percent 41 3 2" xfId="1459"/>
    <cellStyle name="Percent 41 3 3" xfId="15401"/>
    <cellStyle name="Percent 41 4" xfId="1460"/>
    <cellStyle name="Percent 41 5" xfId="1461"/>
    <cellStyle name="Percent 41 6" xfId="1456"/>
    <cellStyle name="Percent 41 7" xfId="3040"/>
    <cellStyle name="Percent 41 7 2" xfId="4855"/>
    <cellStyle name="Percent 41 7 2 2" xfId="8121"/>
    <cellStyle name="Percent 41 7 2 2 2" xfId="21769"/>
    <cellStyle name="Percent 41 7 2 3" xfId="11190"/>
    <cellStyle name="Percent 41 7 2 3 2" xfId="24821"/>
    <cellStyle name="Percent 41 7 2 4" xfId="14486"/>
    <cellStyle name="Percent 41 7 2 4 2" xfId="28114"/>
    <cellStyle name="Percent 41 7 2 5" xfId="18513"/>
    <cellStyle name="Percent 41 7 3" xfId="6544"/>
    <cellStyle name="Percent 41 7 3 2" xfId="20194"/>
    <cellStyle name="Percent 41 7 4" xfId="9765"/>
    <cellStyle name="Percent 41 7 4 2" xfId="23396"/>
    <cellStyle name="Percent 41 7 5" xfId="13060"/>
    <cellStyle name="Percent 41 7 5 2" xfId="26688"/>
    <cellStyle name="Percent 41 7 6" xfId="16978"/>
    <cellStyle name="Percent 41 8" xfId="3880"/>
    <cellStyle name="Percent 41 8 2" xfId="7310"/>
    <cellStyle name="Percent 41 8 2 2" xfId="20958"/>
    <cellStyle name="Percent 41 8 3" xfId="10448"/>
    <cellStyle name="Percent 41 8 3 2" xfId="24079"/>
    <cellStyle name="Percent 41 8 4" xfId="13744"/>
    <cellStyle name="Percent 41 8 4 2" xfId="27372"/>
    <cellStyle name="Percent 41 8 5" xfId="17675"/>
    <cellStyle name="Percent 41 9" xfId="5721"/>
    <cellStyle name="Percent 41 9 2" xfId="19371"/>
    <cellStyle name="Percent 42" xfId="509"/>
    <cellStyle name="Percent 42 2" xfId="1463"/>
    <cellStyle name="Percent 42 3" xfId="1462"/>
    <cellStyle name="Percent 42 4" xfId="3038"/>
    <cellStyle name="Percent 42 4 2" xfId="4853"/>
    <cellStyle name="Percent 42 4 2 2" xfId="8119"/>
    <cellStyle name="Percent 42 4 2 2 2" xfId="21767"/>
    <cellStyle name="Percent 42 4 2 3" xfId="11188"/>
    <cellStyle name="Percent 42 4 2 3 2" xfId="24819"/>
    <cellStyle name="Percent 42 4 2 4" xfId="14484"/>
    <cellStyle name="Percent 42 4 2 4 2" xfId="28112"/>
    <cellStyle name="Percent 42 4 2 5" xfId="18511"/>
    <cellStyle name="Percent 42 4 3" xfId="6542"/>
    <cellStyle name="Percent 42 4 3 2" xfId="20192"/>
    <cellStyle name="Percent 42 4 4" xfId="9763"/>
    <cellStyle name="Percent 42 4 4 2" xfId="23394"/>
    <cellStyle name="Percent 42 4 5" xfId="13058"/>
    <cellStyle name="Percent 42 4 5 2" xfId="26686"/>
    <cellStyle name="Percent 42 4 6" xfId="16976"/>
    <cellStyle name="Percent 42 5" xfId="3882"/>
    <cellStyle name="Percent 42 5 2" xfId="7312"/>
    <cellStyle name="Percent 42 5 2 2" xfId="20960"/>
    <cellStyle name="Percent 42 5 3" xfId="10450"/>
    <cellStyle name="Percent 42 5 3 2" xfId="24081"/>
    <cellStyle name="Percent 42 5 4" xfId="13746"/>
    <cellStyle name="Percent 42 5 4 2" xfId="27374"/>
    <cellStyle name="Percent 42 5 5" xfId="17677"/>
    <cellStyle name="Percent 42 6" xfId="5723"/>
    <cellStyle name="Percent 42 6 2" xfId="19373"/>
    <cellStyle name="Percent 42 7" xfId="9060"/>
    <cellStyle name="Percent 42 7 2" xfId="22703"/>
    <cellStyle name="Percent 42 8" xfId="12323"/>
    <cellStyle name="Percent 42 8 2" xfId="25951"/>
    <cellStyle name="Percent 42 9" xfId="16001"/>
    <cellStyle name="Percent 43" xfId="511"/>
    <cellStyle name="Percent 43 2" xfId="1465"/>
    <cellStyle name="Percent 43 3" xfId="1464"/>
    <cellStyle name="Percent 43 4" xfId="3034"/>
    <cellStyle name="Percent 43 4 2" xfId="4851"/>
    <cellStyle name="Percent 43 4 2 2" xfId="8117"/>
    <cellStyle name="Percent 43 4 2 2 2" xfId="21765"/>
    <cellStyle name="Percent 43 4 2 3" xfId="11186"/>
    <cellStyle name="Percent 43 4 2 3 2" xfId="24817"/>
    <cellStyle name="Percent 43 4 2 4" xfId="14482"/>
    <cellStyle name="Percent 43 4 2 4 2" xfId="28110"/>
    <cellStyle name="Percent 43 4 2 5" xfId="18509"/>
    <cellStyle name="Percent 43 4 3" xfId="6540"/>
    <cellStyle name="Percent 43 4 3 2" xfId="20190"/>
    <cellStyle name="Percent 43 4 4" xfId="9761"/>
    <cellStyle name="Percent 43 4 4 2" xfId="23392"/>
    <cellStyle name="Percent 43 4 5" xfId="13056"/>
    <cellStyle name="Percent 43 4 5 2" xfId="26684"/>
    <cellStyle name="Percent 43 4 6" xfId="16974"/>
    <cellStyle name="Percent 43 5" xfId="3884"/>
    <cellStyle name="Percent 43 5 2" xfId="7314"/>
    <cellStyle name="Percent 43 5 2 2" xfId="20962"/>
    <cellStyle name="Percent 43 5 3" xfId="10452"/>
    <cellStyle name="Percent 43 5 3 2" xfId="24083"/>
    <cellStyle name="Percent 43 5 4" xfId="13748"/>
    <cellStyle name="Percent 43 5 4 2" xfId="27376"/>
    <cellStyle name="Percent 43 5 5" xfId="17679"/>
    <cellStyle name="Percent 43 6" xfId="5725"/>
    <cellStyle name="Percent 43 6 2" xfId="19375"/>
    <cellStyle name="Percent 43 7" xfId="9058"/>
    <cellStyle name="Percent 43 7 2" xfId="22701"/>
    <cellStyle name="Percent 43 8" xfId="12325"/>
    <cellStyle name="Percent 43 8 2" xfId="25953"/>
    <cellStyle name="Percent 43 9" xfId="16003"/>
    <cellStyle name="Percent 44" xfId="485"/>
    <cellStyle name="Percent 44 2" xfId="1467"/>
    <cellStyle name="Percent 44 3" xfId="1466"/>
    <cellStyle name="Percent 44 4" xfId="3059"/>
    <cellStyle name="Percent 44 4 2" xfId="4865"/>
    <cellStyle name="Percent 44 4 2 2" xfId="8131"/>
    <cellStyle name="Percent 44 4 2 2 2" xfId="21779"/>
    <cellStyle name="Percent 44 4 2 3" xfId="11200"/>
    <cellStyle name="Percent 44 4 2 3 2" xfId="24831"/>
    <cellStyle name="Percent 44 4 2 4" xfId="14496"/>
    <cellStyle name="Percent 44 4 2 4 2" xfId="28124"/>
    <cellStyle name="Percent 44 4 2 5" xfId="18523"/>
    <cellStyle name="Percent 44 4 3" xfId="6554"/>
    <cellStyle name="Percent 44 4 3 2" xfId="20204"/>
    <cellStyle name="Percent 44 4 4" xfId="9775"/>
    <cellStyle name="Percent 44 4 4 2" xfId="23406"/>
    <cellStyle name="Percent 44 4 5" xfId="13070"/>
    <cellStyle name="Percent 44 4 5 2" xfId="26698"/>
    <cellStyle name="Percent 44 4 6" xfId="16988"/>
    <cellStyle name="Percent 44 5" xfId="3867"/>
    <cellStyle name="Percent 44 5 2" xfId="7297"/>
    <cellStyle name="Percent 44 5 2 2" xfId="20945"/>
    <cellStyle name="Percent 44 5 3" xfId="10435"/>
    <cellStyle name="Percent 44 5 3 2" xfId="24066"/>
    <cellStyle name="Percent 44 5 4" xfId="13731"/>
    <cellStyle name="Percent 44 5 4 2" xfId="27359"/>
    <cellStyle name="Percent 44 5 5" xfId="17662"/>
    <cellStyle name="Percent 44 6" xfId="5708"/>
    <cellStyle name="Percent 44 6 2" xfId="19358"/>
    <cellStyle name="Percent 44 7" xfId="9072"/>
    <cellStyle name="Percent 44 7 2" xfId="22715"/>
    <cellStyle name="Percent 44 8" xfId="12308"/>
    <cellStyle name="Percent 44 8 2" xfId="25936"/>
    <cellStyle name="Percent 44 9" xfId="15984"/>
    <cellStyle name="Percent 45" xfId="479"/>
    <cellStyle name="Percent 45 10" xfId="15978"/>
    <cellStyle name="Percent 45 2" xfId="1469"/>
    <cellStyle name="Percent 45 3" xfId="1470"/>
    <cellStyle name="Percent 45 4" xfId="1468"/>
    <cellStyle name="Percent 45 5" xfId="3065"/>
    <cellStyle name="Percent 45 5 2" xfId="4871"/>
    <cellStyle name="Percent 45 5 2 2" xfId="8137"/>
    <cellStyle name="Percent 45 5 2 2 2" xfId="21785"/>
    <cellStyle name="Percent 45 5 2 3" xfId="11206"/>
    <cellStyle name="Percent 45 5 2 3 2" xfId="24837"/>
    <cellStyle name="Percent 45 5 2 4" xfId="14502"/>
    <cellStyle name="Percent 45 5 2 4 2" xfId="28130"/>
    <cellStyle name="Percent 45 5 2 5" xfId="18529"/>
    <cellStyle name="Percent 45 5 3" xfId="6560"/>
    <cellStyle name="Percent 45 5 3 2" xfId="20210"/>
    <cellStyle name="Percent 45 5 4" xfId="9781"/>
    <cellStyle name="Percent 45 5 4 2" xfId="23412"/>
    <cellStyle name="Percent 45 5 5" xfId="13076"/>
    <cellStyle name="Percent 45 5 5 2" xfId="26704"/>
    <cellStyle name="Percent 45 5 6" xfId="16994"/>
    <cellStyle name="Percent 45 6" xfId="3861"/>
    <cellStyle name="Percent 45 6 2" xfId="7291"/>
    <cellStyle name="Percent 45 6 2 2" xfId="20939"/>
    <cellStyle name="Percent 45 6 3" xfId="10429"/>
    <cellStyle name="Percent 45 6 3 2" xfId="24060"/>
    <cellStyle name="Percent 45 6 4" xfId="13725"/>
    <cellStyle name="Percent 45 6 4 2" xfId="27353"/>
    <cellStyle name="Percent 45 6 5" xfId="17656"/>
    <cellStyle name="Percent 45 7" xfId="5702"/>
    <cellStyle name="Percent 45 7 2" xfId="19352"/>
    <cellStyle name="Percent 45 8" xfId="9078"/>
    <cellStyle name="Percent 45 8 2" xfId="22721"/>
    <cellStyle name="Percent 45 9" xfId="12302"/>
    <cellStyle name="Percent 45 9 2" xfId="25930"/>
    <cellStyle name="Percent 46" xfId="497"/>
    <cellStyle name="Percent 46 10" xfId="15991"/>
    <cellStyle name="Percent 46 2" xfId="1472"/>
    <cellStyle name="Percent 46 3" xfId="1473"/>
    <cellStyle name="Percent 46 4" xfId="1471"/>
    <cellStyle name="Percent 46 5" xfId="3046"/>
    <cellStyle name="Percent 46 5 2" xfId="4861"/>
    <cellStyle name="Percent 46 5 2 2" xfId="8127"/>
    <cellStyle name="Percent 46 5 2 2 2" xfId="21775"/>
    <cellStyle name="Percent 46 5 2 3" xfId="11196"/>
    <cellStyle name="Percent 46 5 2 3 2" xfId="24827"/>
    <cellStyle name="Percent 46 5 2 4" xfId="14492"/>
    <cellStyle name="Percent 46 5 2 4 2" xfId="28120"/>
    <cellStyle name="Percent 46 5 2 5" xfId="18519"/>
    <cellStyle name="Percent 46 5 3" xfId="6550"/>
    <cellStyle name="Percent 46 5 3 2" xfId="20200"/>
    <cellStyle name="Percent 46 5 4" xfId="9771"/>
    <cellStyle name="Percent 46 5 4 2" xfId="23402"/>
    <cellStyle name="Percent 46 5 5" xfId="13066"/>
    <cellStyle name="Percent 46 5 5 2" xfId="26694"/>
    <cellStyle name="Percent 46 5 6" xfId="16984"/>
    <cellStyle name="Percent 46 6" xfId="3872"/>
    <cellStyle name="Percent 46 6 2" xfId="7302"/>
    <cellStyle name="Percent 46 6 2 2" xfId="20950"/>
    <cellStyle name="Percent 46 6 3" xfId="10440"/>
    <cellStyle name="Percent 46 6 3 2" xfId="24071"/>
    <cellStyle name="Percent 46 6 4" xfId="13736"/>
    <cellStyle name="Percent 46 6 4 2" xfId="27364"/>
    <cellStyle name="Percent 46 6 5" xfId="17667"/>
    <cellStyle name="Percent 46 7" xfId="5713"/>
    <cellStyle name="Percent 46 7 2" xfId="19363"/>
    <cellStyle name="Percent 46 8" xfId="9068"/>
    <cellStyle name="Percent 46 8 2" xfId="22711"/>
    <cellStyle name="Percent 46 9" xfId="12313"/>
    <cellStyle name="Percent 46 9 2" xfId="25941"/>
    <cellStyle name="Percent 47" xfId="475"/>
    <cellStyle name="Percent 47 10" xfId="15975"/>
    <cellStyle name="Percent 47 2" xfId="1475"/>
    <cellStyle name="Percent 47 3" xfId="1476"/>
    <cellStyle name="Percent 47 4" xfId="1474"/>
    <cellStyle name="Percent 47 5" xfId="3069"/>
    <cellStyle name="Percent 47 5 2" xfId="4873"/>
    <cellStyle name="Percent 47 5 2 2" xfId="8139"/>
    <cellStyle name="Percent 47 5 2 2 2" xfId="21787"/>
    <cellStyle name="Percent 47 5 2 3" xfId="11208"/>
    <cellStyle name="Percent 47 5 2 3 2" xfId="24839"/>
    <cellStyle name="Percent 47 5 2 4" xfId="14504"/>
    <cellStyle name="Percent 47 5 2 4 2" xfId="28132"/>
    <cellStyle name="Percent 47 5 2 5" xfId="18531"/>
    <cellStyle name="Percent 47 5 3" xfId="6562"/>
    <cellStyle name="Percent 47 5 3 2" xfId="20212"/>
    <cellStyle name="Percent 47 5 4" xfId="9783"/>
    <cellStyle name="Percent 47 5 4 2" xfId="23414"/>
    <cellStyle name="Percent 47 5 5" xfId="13078"/>
    <cellStyle name="Percent 47 5 5 2" xfId="26706"/>
    <cellStyle name="Percent 47 5 6" xfId="16996"/>
    <cellStyle name="Percent 47 6" xfId="3858"/>
    <cellStyle name="Percent 47 6 2" xfId="7288"/>
    <cellStyle name="Percent 47 6 2 2" xfId="20936"/>
    <cellStyle name="Percent 47 6 3" xfId="10426"/>
    <cellStyle name="Percent 47 6 3 2" xfId="24057"/>
    <cellStyle name="Percent 47 6 4" xfId="13722"/>
    <cellStyle name="Percent 47 6 4 2" xfId="27350"/>
    <cellStyle name="Percent 47 6 5" xfId="17653"/>
    <cellStyle name="Percent 47 7" xfId="5699"/>
    <cellStyle name="Percent 47 7 2" xfId="19349"/>
    <cellStyle name="Percent 47 8" xfId="9079"/>
    <cellStyle name="Percent 47 8 2" xfId="22722"/>
    <cellStyle name="Percent 47 9" xfId="12299"/>
    <cellStyle name="Percent 47 9 2" xfId="25927"/>
    <cellStyle name="Percent 48" xfId="492"/>
    <cellStyle name="Percent 48 10" xfId="15987"/>
    <cellStyle name="Percent 48 2" xfId="1478"/>
    <cellStyle name="Percent 48 3" xfId="1479"/>
    <cellStyle name="Percent 48 4" xfId="1477"/>
    <cellStyle name="Percent 48 5" xfId="3054"/>
    <cellStyle name="Percent 48 5 2" xfId="4864"/>
    <cellStyle name="Percent 48 5 2 2" xfId="8130"/>
    <cellStyle name="Percent 48 5 2 2 2" xfId="21778"/>
    <cellStyle name="Percent 48 5 2 3" xfId="11199"/>
    <cellStyle name="Percent 48 5 2 3 2" xfId="24830"/>
    <cellStyle name="Percent 48 5 2 4" xfId="14495"/>
    <cellStyle name="Percent 48 5 2 4 2" xfId="28123"/>
    <cellStyle name="Percent 48 5 2 5" xfId="18522"/>
    <cellStyle name="Percent 48 5 3" xfId="6553"/>
    <cellStyle name="Percent 48 5 3 2" xfId="20203"/>
    <cellStyle name="Percent 48 5 4" xfId="9774"/>
    <cellStyle name="Percent 48 5 4 2" xfId="23405"/>
    <cellStyle name="Percent 48 5 5" xfId="13069"/>
    <cellStyle name="Percent 48 5 5 2" xfId="26697"/>
    <cellStyle name="Percent 48 5 6" xfId="16987"/>
    <cellStyle name="Percent 48 6" xfId="3868"/>
    <cellStyle name="Percent 48 6 2" xfId="7298"/>
    <cellStyle name="Percent 48 6 2 2" xfId="20946"/>
    <cellStyle name="Percent 48 6 3" xfId="10436"/>
    <cellStyle name="Percent 48 6 3 2" xfId="24067"/>
    <cellStyle name="Percent 48 6 4" xfId="13732"/>
    <cellStyle name="Percent 48 6 4 2" xfId="27360"/>
    <cellStyle name="Percent 48 6 5" xfId="17663"/>
    <cellStyle name="Percent 48 7" xfId="5709"/>
    <cellStyle name="Percent 48 7 2" xfId="19359"/>
    <cellStyle name="Percent 48 8" xfId="9071"/>
    <cellStyle name="Percent 48 8 2" xfId="22714"/>
    <cellStyle name="Percent 48 9" xfId="12309"/>
    <cellStyle name="Percent 48 9 2" xfId="25937"/>
    <cellStyle name="Percent 49" xfId="1480"/>
    <cellStyle name="Percent 49 2" xfId="1481"/>
    <cellStyle name="Percent 49 3" xfId="1482"/>
    <cellStyle name="Percent 5" xfId="90"/>
    <cellStyle name="Percent 5 2" xfId="1483"/>
    <cellStyle name="Percent 50" xfId="1484"/>
    <cellStyle name="Percent 50 2" xfId="1485"/>
    <cellStyle name="Percent 50 3" xfId="1486"/>
    <cellStyle name="Percent 51" xfId="1487"/>
    <cellStyle name="Percent 51 2" xfId="1488"/>
    <cellStyle name="Percent 51 3" xfId="1489"/>
    <cellStyle name="Percent 51 4" xfId="1490"/>
    <cellStyle name="Percent 52" xfId="1491"/>
    <cellStyle name="Percent 52 2" xfId="1492"/>
    <cellStyle name="Percent 52 3" xfId="1493"/>
    <cellStyle name="Percent 52 4" xfId="3133"/>
    <cellStyle name="Percent 53" xfId="1494"/>
    <cellStyle name="Percent 53 2" xfId="1495"/>
    <cellStyle name="Percent 53 3" xfId="1496"/>
    <cellStyle name="Percent 53 4" xfId="3134"/>
    <cellStyle name="Percent 54" xfId="1497"/>
    <cellStyle name="Percent 54 2" xfId="1498"/>
    <cellStyle name="Percent 54 3" xfId="3135"/>
    <cellStyle name="Percent 55" xfId="1499"/>
    <cellStyle name="Percent 55 2" xfId="1500"/>
    <cellStyle name="Percent 55 3" xfId="3136"/>
    <cellStyle name="Percent 56" xfId="1501"/>
    <cellStyle name="Percent 56 2" xfId="1502"/>
    <cellStyle name="Percent 56 3" xfId="3137"/>
    <cellStyle name="Percent 57" xfId="1503"/>
    <cellStyle name="Percent 57 2" xfId="1504"/>
    <cellStyle name="Percent 57 3" xfId="3138"/>
    <cellStyle name="Percent 58" xfId="1505"/>
    <cellStyle name="Percent 58 2" xfId="1506"/>
    <cellStyle name="Percent 58 2 2" xfId="15403"/>
    <cellStyle name="Percent 58 2 3" xfId="15404"/>
    <cellStyle name="Percent 58 2 4" xfId="15402"/>
    <cellStyle name="Percent 58 3" xfId="1507"/>
    <cellStyle name="Percent 58 4" xfId="3139"/>
    <cellStyle name="Percent 59" xfId="1508"/>
    <cellStyle name="Percent 59 2" xfId="1509"/>
    <cellStyle name="Percent 59 2 2" xfId="15406"/>
    <cellStyle name="Percent 59 2 3" xfId="15407"/>
    <cellStyle name="Percent 59 2 4" xfId="15405"/>
    <cellStyle name="Percent 59 3" xfId="1510"/>
    <cellStyle name="Percent 59 4" xfId="3140"/>
    <cellStyle name="Percent 6" xfId="91"/>
    <cellStyle name="Percent 6 2" xfId="1511"/>
    <cellStyle name="Percent 60" xfId="1512"/>
    <cellStyle name="Percent 60 2" xfId="1513"/>
    <cellStyle name="Percent 60 2 2" xfId="15409"/>
    <cellStyle name="Percent 60 2 3" xfId="15410"/>
    <cellStyle name="Percent 60 2 4" xfId="15408"/>
    <cellStyle name="Percent 60 3" xfId="1514"/>
    <cellStyle name="Percent 60 4" xfId="3141"/>
    <cellStyle name="Percent 61" xfId="1515"/>
    <cellStyle name="Percent 61 2" xfId="1516"/>
    <cellStyle name="Percent 61 3" xfId="3142"/>
    <cellStyle name="Percent 62" xfId="1517"/>
    <cellStyle name="Percent 62 2" xfId="3143"/>
    <cellStyle name="Percent 62 2 2" xfId="9620"/>
    <cellStyle name="Percent 63" xfId="1518"/>
    <cellStyle name="Percent 63 2" xfId="3144"/>
    <cellStyle name="Percent 63 2 2" xfId="9619"/>
    <cellStyle name="Percent 63 3" xfId="15411"/>
    <cellStyle name="Percent 64" xfId="1519"/>
    <cellStyle name="Percent 64 2" xfId="3145"/>
    <cellStyle name="Percent 64 2 2" xfId="15414"/>
    <cellStyle name="Percent 64 2 2 2" xfId="15625"/>
    <cellStyle name="Percent 64 2 3" xfId="15413"/>
    <cellStyle name="Percent 64 2 4" xfId="15626"/>
    <cellStyle name="Percent 64 3" xfId="15415"/>
    <cellStyle name="Percent 64 4" xfId="15412"/>
    <cellStyle name="Percent 65" xfId="1520"/>
    <cellStyle name="Percent 65 2" xfId="3146"/>
    <cellStyle name="Percent 65 2 2" xfId="15418"/>
    <cellStyle name="Percent 65 2 2 2" xfId="15627"/>
    <cellStyle name="Percent 65 2 3" xfId="15417"/>
    <cellStyle name="Percent 65 2 4" xfId="15628"/>
    <cellStyle name="Percent 65 3" xfId="15419"/>
    <cellStyle name="Percent 65 4" xfId="15416"/>
    <cellStyle name="Percent 66" xfId="1521"/>
    <cellStyle name="Percent 66 2" xfId="3147"/>
    <cellStyle name="Percent 66 2 2" xfId="15422"/>
    <cellStyle name="Percent 66 2 2 2" xfId="15629"/>
    <cellStyle name="Percent 66 2 3" xfId="15421"/>
    <cellStyle name="Percent 66 2 4" xfId="15630"/>
    <cellStyle name="Percent 66 3" xfId="15423"/>
    <cellStyle name="Percent 66 4" xfId="15420"/>
    <cellStyle name="Percent 67" xfId="1522"/>
    <cellStyle name="Percent 67 2" xfId="3148"/>
    <cellStyle name="Percent 67 2 2" xfId="15426"/>
    <cellStyle name="Percent 67 2 2 2" xfId="15631"/>
    <cellStyle name="Percent 67 2 3" xfId="15425"/>
    <cellStyle name="Percent 67 2 4" xfId="15632"/>
    <cellStyle name="Percent 67 3" xfId="15427"/>
    <cellStyle name="Percent 67 4" xfId="15424"/>
    <cellStyle name="Percent 68" xfId="1523"/>
    <cellStyle name="Percent 68 2" xfId="3149"/>
    <cellStyle name="Percent 69" xfId="1524"/>
    <cellStyle name="Percent 69 2" xfId="3150"/>
    <cellStyle name="Percent 7" xfId="92"/>
    <cellStyle name="Percent 7 2" xfId="1525"/>
    <cellStyle name="Percent 70" xfId="1526"/>
    <cellStyle name="Percent 70 2" xfId="3151"/>
    <cellStyle name="Percent 71" xfId="1527"/>
    <cellStyle name="Percent 71 2" xfId="3152"/>
    <cellStyle name="Percent 72" xfId="1528"/>
    <cellStyle name="Percent 72 2" xfId="3153"/>
    <cellStyle name="Percent 73" xfId="1529"/>
    <cellStyle name="Percent 73 2" xfId="3154"/>
    <cellStyle name="Percent 74" xfId="1530"/>
    <cellStyle name="Percent 74 2" xfId="3155"/>
    <cellStyle name="Percent 75" xfId="1531"/>
    <cellStyle name="Percent 76" xfId="1532"/>
    <cellStyle name="Percent 77" xfId="1533"/>
    <cellStyle name="Percent 77 2" xfId="3156"/>
    <cellStyle name="Percent 78" xfId="1534"/>
    <cellStyle name="Percent 78 2" xfId="3157"/>
    <cellStyle name="Percent 79" xfId="1535"/>
    <cellStyle name="Percent 79 2" xfId="3158"/>
    <cellStyle name="Percent 8" xfId="93"/>
    <cellStyle name="Percent 8 2" xfId="1536"/>
    <cellStyle name="Percent 8 2 2" xfId="2098"/>
    <cellStyle name="Percent 8 2 3" xfId="2099"/>
    <cellStyle name="Percent 8 3" xfId="2100"/>
    <cellStyle name="Percent 80" xfId="1537"/>
    <cellStyle name="Percent 80 2" xfId="3159"/>
    <cellStyle name="Percent 81" xfId="1538"/>
    <cellStyle name="Percent 81 2" xfId="3160"/>
    <cellStyle name="Percent 82" xfId="1539"/>
    <cellStyle name="Percent 82 2" xfId="3161"/>
    <cellStyle name="Percent 83" xfId="1540"/>
    <cellStyle name="Percent 83 2" xfId="3162"/>
    <cellStyle name="Percent 84" xfId="1541"/>
    <cellStyle name="Percent 84 2" xfId="3163"/>
    <cellStyle name="Percent 85" xfId="1542"/>
    <cellStyle name="Percent 85 2" xfId="3164"/>
    <cellStyle name="Percent 86" xfId="1543"/>
    <cellStyle name="Percent 86 2" xfId="3165"/>
    <cellStyle name="Percent 87" xfId="1544"/>
    <cellStyle name="Percent 87 2" xfId="3166"/>
    <cellStyle name="Percent 88" xfId="1545"/>
    <cellStyle name="Percent 88 2" xfId="3167"/>
    <cellStyle name="Percent 89" xfId="1546"/>
    <cellStyle name="Percent 89 2" xfId="3168"/>
    <cellStyle name="Percent 9" xfId="94"/>
    <cellStyle name="Percent 9 2" xfId="1547"/>
    <cellStyle name="Percent 9 2 2" xfId="2101"/>
    <cellStyle name="Percent 9 2 3" xfId="2102"/>
    <cellStyle name="Percent 9 3" xfId="1548"/>
    <cellStyle name="Percent 9 4" xfId="2103"/>
    <cellStyle name="Percent 90" xfId="1549"/>
    <cellStyle name="Percent 90 2" xfId="3169"/>
    <cellStyle name="Percent 91" xfId="1550"/>
    <cellStyle name="Percent 91 2" xfId="3170"/>
    <cellStyle name="Percent 92" xfId="1551"/>
    <cellStyle name="Percent 92 2" xfId="3171"/>
    <cellStyle name="Percent 93" xfId="1552"/>
    <cellStyle name="Percent 93 2" xfId="3172"/>
    <cellStyle name="Percent 94" xfId="1553"/>
    <cellStyle name="Percent 94 2" xfId="3173"/>
    <cellStyle name="Percent 95" xfId="1554"/>
    <cellStyle name="Percent 95 2" xfId="3174"/>
    <cellStyle name="Percent 96" xfId="1555"/>
    <cellStyle name="Percent 96 2" xfId="3175"/>
    <cellStyle name="Percent 97" xfId="1556"/>
    <cellStyle name="Percent 97 2" xfId="3176"/>
    <cellStyle name="Percent 98" xfId="1557"/>
    <cellStyle name="Percent 98 2" xfId="3177"/>
    <cellStyle name="Percent 99" xfId="1558"/>
    <cellStyle name="Percent 99 2" xfId="3178"/>
    <cellStyle name="PSChar" xfId="95"/>
    <cellStyle name="PSDate" xfId="96"/>
    <cellStyle name="PSDec" xfId="97"/>
    <cellStyle name="PSHeading" xfId="98"/>
    <cellStyle name="PSHeading 2" xfId="476"/>
    <cellStyle name="PSHeading 2 2" xfId="2050"/>
    <cellStyle name="PSHeading 2 2 2" xfId="2278"/>
    <cellStyle name="PSHeading 2 2 2 2" xfId="4614"/>
    <cellStyle name="PSHeading 2 2 2 3" xfId="5440"/>
    <cellStyle name="PSHeading 2 2 2 3 2" xfId="8701"/>
    <cellStyle name="PSHeading 2 3" xfId="4569"/>
    <cellStyle name="PSHeading 3" xfId="1560"/>
    <cellStyle name="PSHeading 3 2" xfId="2051"/>
    <cellStyle name="PSHeading 3 2 2" xfId="2279"/>
    <cellStyle name="PSHeading 3 2 2 2" xfId="4615"/>
    <cellStyle name="PSHeading 3 2 2 3" xfId="5441"/>
    <cellStyle name="PSHeading 3 2 2 3 2" xfId="8702"/>
    <cellStyle name="PSHeading 3 3" xfId="4594"/>
    <cellStyle name="PSHeading 4" xfId="1561"/>
    <cellStyle name="PSHeading 4 2" xfId="2052"/>
    <cellStyle name="PSHeading 4 2 2" xfId="2280"/>
    <cellStyle name="PSHeading 4 2 2 2" xfId="4616"/>
    <cellStyle name="PSHeading 4 2 2 3" xfId="5442"/>
    <cellStyle name="PSHeading 4 2 2 3 2" xfId="8703"/>
    <cellStyle name="PSHeading 4 3" xfId="4595"/>
    <cellStyle name="PSHeading 5" xfId="1562"/>
    <cellStyle name="PSHeading 5 2" xfId="2053"/>
    <cellStyle name="PSHeading 5 2 2" xfId="2281"/>
    <cellStyle name="PSHeading 5 2 2 2" xfId="4617"/>
    <cellStyle name="PSHeading 5 2 2 3" xfId="5443"/>
    <cellStyle name="PSHeading 5 2 2 3 2" xfId="8704"/>
    <cellStyle name="PSHeading 5 3" xfId="4596"/>
    <cellStyle name="PSHeading 6" xfId="1563"/>
    <cellStyle name="PSHeading 6 2" xfId="2054"/>
    <cellStyle name="PSHeading 6 2 2" xfId="2282"/>
    <cellStyle name="PSHeading 6 2 2 2" xfId="4618"/>
    <cellStyle name="PSHeading 6 2 2 3" xfId="5444"/>
    <cellStyle name="PSHeading 6 2 2 3 2" xfId="8705"/>
    <cellStyle name="PSHeading 6 3" xfId="4597"/>
    <cellStyle name="PSHeading 7" xfId="1564"/>
    <cellStyle name="PSHeading 7 2" xfId="2055"/>
    <cellStyle name="PSHeading 7 2 2" xfId="2283"/>
    <cellStyle name="PSHeading 7 2 2 2" xfId="4619"/>
    <cellStyle name="PSHeading 7 2 2 3" xfId="5445"/>
    <cellStyle name="PSHeading 7 2 2 3 2" xfId="8706"/>
    <cellStyle name="PSHeading 7 3" xfId="4598"/>
    <cellStyle name="PSHeading 8" xfId="2104"/>
    <cellStyle name="PSHeading 8 2" xfId="2284"/>
    <cellStyle name="PSHeading 8 2 2" xfId="4620"/>
    <cellStyle name="PSHeading 8 2 3" xfId="5446"/>
    <cellStyle name="PSHeading 8 2 3 2" xfId="8707"/>
    <cellStyle name="PSInt" xfId="99"/>
    <cellStyle name="PSSpacer" xfId="100"/>
    <cellStyle name="ShOut" xfId="101"/>
    <cellStyle name="ShOut 2" xfId="102"/>
    <cellStyle name="ShOut 2 2" xfId="1565"/>
    <cellStyle name="ShOut_Adjustments-RSVA" xfId="103"/>
    <cellStyle name="Style 1" xfId="104"/>
    <cellStyle name="Style 1 2" xfId="105"/>
    <cellStyle name="Style 1 2 2" xfId="1566"/>
    <cellStyle name="Style 2" xfId="106"/>
    <cellStyle name="Style 2 2" xfId="107"/>
    <cellStyle name="Style 2 2 2" xfId="1567"/>
    <cellStyle name="Style 2_Adjustments-RSVA" xfId="108"/>
    <cellStyle name="Style 3" xfId="109"/>
    <cellStyle name="Style 3 2" xfId="110"/>
    <cellStyle name="Style 3 2 2" xfId="1568"/>
    <cellStyle name="Style 3_Adjustments-RSVA" xfId="111"/>
    <cellStyle name="Title" xfId="421" builtinId="15" customBuiltin="1"/>
    <cellStyle name="Title 2" xfId="406"/>
    <cellStyle name="Title 2 2" xfId="1569"/>
    <cellStyle name="Title 3" xfId="15742"/>
    <cellStyle name="Title 4" xfId="15924"/>
    <cellStyle name="Total" xfId="436" builtinId="25" customBuiltin="1"/>
    <cellStyle name="Total 2" xfId="407"/>
    <cellStyle name="Total 2 2" xfId="1570"/>
    <cellStyle name="Total 2 3" xfId="3094"/>
    <cellStyle name="Total 2 3 2" xfId="4894"/>
    <cellStyle name="Total 2 3 2 2" xfId="8160"/>
    <cellStyle name="Total 2 3 2 2 2" xfId="21808"/>
    <cellStyle name="Total 2 3 2 3" xfId="18552"/>
    <cellStyle name="Total 2 3 3" xfId="17017"/>
    <cellStyle name="Total 2 4" xfId="15912"/>
    <cellStyle name="Total 3" xfId="1571"/>
    <cellStyle name="Total 3 2" xfId="2105"/>
    <cellStyle name="Total 3 2 2" xfId="2106"/>
    <cellStyle name="Total 3 2 2 2" xfId="2107"/>
    <cellStyle name="Total 3 2 2 2 2" xfId="2638"/>
    <cellStyle name="Total 3 2 2 2 2 2" xfId="4381"/>
    <cellStyle name="Total 3 2 2 2 2 2 2" xfId="7811"/>
    <cellStyle name="Total 3 2 2 2 2 2 2 2" xfId="21459"/>
    <cellStyle name="Total 3 2 2 2 2 2 3" xfId="18176"/>
    <cellStyle name="Total 3 2 2 2 2 3" xfId="16665"/>
    <cellStyle name="Total 3 2 2 2 3" xfId="16302"/>
    <cellStyle name="Total 3 2 2 3" xfId="2108"/>
    <cellStyle name="Total 3 2 2 3 2" xfId="2639"/>
    <cellStyle name="Total 3 2 2 3 2 2" xfId="4382"/>
    <cellStyle name="Total 3 2 2 3 2 2 2" xfId="7812"/>
    <cellStyle name="Total 3 2 2 3 2 2 2 2" xfId="21460"/>
    <cellStyle name="Total 3 2 2 3 2 2 3" xfId="18177"/>
    <cellStyle name="Total 3 2 2 3 2 3" xfId="16666"/>
    <cellStyle name="Total 3 2 2 3 3" xfId="16303"/>
    <cellStyle name="Total 3 2 2 4" xfId="2637"/>
    <cellStyle name="Total 3 2 2 4 2" xfId="4380"/>
    <cellStyle name="Total 3 2 2 4 2 2" xfId="7810"/>
    <cellStyle name="Total 3 2 2 4 2 2 2" xfId="21458"/>
    <cellStyle name="Total 3 2 2 4 2 3" xfId="18175"/>
    <cellStyle name="Total 3 2 2 4 3" xfId="16664"/>
    <cellStyle name="Total 3 2 2 5" xfId="16301"/>
    <cellStyle name="Total 3 2 3" xfId="2109"/>
    <cellStyle name="Total 3 2 3 2" xfId="2110"/>
    <cellStyle name="Total 3 2 3 2 2" xfId="2641"/>
    <cellStyle name="Total 3 2 3 2 2 2" xfId="4384"/>
    <cellStyle name="Total 3 2 3 2 2 2 2" xfId="7814"/>
    <cellStyle name="Total 3 2 3 2 2 2 2 2" xfId="21462"/>
    <cellStyle name="Total 3 2 3 2 2 2 3" xfId="18179"/>
    <cellStyle name="Total 3 2 3 2 2 3" xfId="16668"/>
    <cellStyle name="Total 3 2 3 2 3" xfId="16305"/>
    <cellStyle name="Total 3 2 3 3" xfId="2111"/>
    <cellStyle name="Total 3 2 3 3 2" xfId="2642"/>
    <cellStyle name="Total 3 2 3 3 2 2" xfId="4385"/>
    <cellStyle name="Total 3 2 3 3 2 2 2" xfId="7815"/>
    <cellStyle name="Total 3 2 3 3 2 2 2 2" xfId="21463"/>
    <cellStyle name="Total 3 2 3 3 2 2 3" xfId="18180"/>
    <cellStyle name="Total 3 2 3 3 2 3" xfId="16669"/>
    <cellStyle name="Total 3 2 3 3 3" xfId="16306"/>
    <cellStyle name="Total 3 2 3 4" xfId="2640"/>
    <cellStyle name="Total 3 2 3 4 2" xfId="4383"/>
    <cellStyle name="Total 3 2 3 4 2 2" xfId="7813"/>
    <cellStyle name="Total 3 2 3 4 2 2 2" xfId="21461"/>
    <cellStyle name="Total 3 2 3 4 2 3" xfId="18178"/>
    <cellStyle name="Total 3 2 3 4 3" xfId="16667"/>
    <cellStyle name="Total 3 2 3 5" xfId="16304"/>
    <cellStyle name="Total 3 2 4" xfId="2112"/>
    <cellStyle name="Total 3 2 4 2" xfId="2643"/>
    <cellStyle name="Total 3 2 4 2 2" xfId="4386"/>
    <cellStyle name="Total 3 2 4 2 2 2" xfId="7816"/>
    <cellStyle name="Total 3 2 4 2 2 2 2" xfId="21464"/>
    <cellStyle name="Total 3 2 4 2 2 3" xfId="18181"/>
    <cellStyle name="Total 3 2 4 2 3" xfId="16670"/>
    <cellStyle name="Total 3 2 4 3" xfId="16307"/>
    <cellStyle name="Total 3 2 5" xfId="2113"/>
    <cellStyle name="Total 3 2 5 2" xfId="2644"/>
    <cellStyle name="Total 3 2 5 2 2" xfId="4387"/>
    <cellStyle name="Total 3 2 5 2 2 2" xfId="7817"/>
    <cellStyle name="Total 3 2 5 2 2 2 2" xfId="21465"/>
    <cellStyle name="Total 3 2 5 2 2 3" xfId="18182"/>
    <cellStyle name="Total 3 2 5 2 3" xfId="16671"/>
    <cellStyle name="Total 3 2 5 3" xfId="16308"/>
    <cellStyle name="Total 3 2 6" xfId="2636"/>
    <cellStyle name="Total 3 2 6 2" xfId="4379"/>
    <cellStyle name="Total 3 2 6 2 2" xfId="7809"/>
    <cellStyle name="Total 3 2 6 2 2 2" xfId="21457"/>
    <cellStyle name="Total 3 2 6 2 3" xfId="18174"/>
    <cellStyle name="Total 3 2 6 3" xfId="16663"/>
    <cellStyle name="Total 3 2 7" xfId="16300"/>
    <cellStyle name="Total 3 3" xfId="2114"/>
    <cellStyle name="Total 3 3 2" xfId="2115"/>
    <cellStyle name="Total 3 3 2 2" xfId="2646"/>
    <cellStyle name="Total 3 3 2 2 2" xfId="4389"/>
    <cellStyle name="Total 3 3 2 2 2 2" xfId="7819"/>
    <cellStyle name="Total 3 3 2 2 2 2 2" xfId="21467"/>
    <cellStyle name="Total 3 3 2 2 2 3" xfId="18184"/>
    <cellStyle name="Total 3 3 2 2 3" xfId="16673"/>
    <cellStyle name="Total 3 3 2 3" xfId="16310"/>
    <cellStyle name="Total 3 3 3" xfId="2116"/>
    <cellStyle name="Total 3 3 3 2" xfId="2647"/>
    <cellStyle name="Total 3 3 3 2 2" xfId="4390"/>
    <cellStyle name="Total 3 3 3 2 2 2" xfId="7820"/>
    <cellStyle name="Total 3 3 3 2 2 2 2" xfId="21468"/>
    <cellStyle name="Total 3 3 3 2 2 3" xfId="18185"/>
    <cellStyle name="Total 3 3 3 2 3" xfId="16674"/>
    <cellStyle name="Total 3 3 3 3" xfId="16311"/>
    <cellStyle name="Total 3 3 4" xfId="2645"/>
    <cellStyle name="Total 3 3 4 2" xfId="4388"/>
    <cellStyle name="Total 3 3 4 2 2" xfId="7818"/>
    <cellStyle name="Total 3 3 4 2 2 2" xfId="21466"/>
    <cellStyle name="Total 3 3 4 2 3" xfId="18183"/>
    <cellStyle name="Total 3 3 4 3" xfId="16672"/>
    <cellStyle name="Total 3 3 5" xfId="16309"/>
    <cellStyle name="Total 3 4" xfId="2117"/>
    <cellStyle name="Total 3 4 2" xfId="2118"/>
    <cellStyle name="Total 3 4 2 2" xfId="2649"/>
    <cellStyle name="Total 3 4 2 2 2" xfId="4392"/>
    <cellStyle name="Total 3 4 2 2 2 2" xfId="7822"/>
    <cellStyle name="Total 3 4 2 2 2 2 2" xfId="21470"/>
    <cellStyle name="Total 3 4 2 2 2 3" xfId="18187"/>
    <cellStyle name="Total 3 4 2 2 3" xfId="16676"/>
    <cellStyle name="Total 3 4 2 3" xfId="16313"/>
    <cellStyle name="Total 3 4 3" xfId="2119"/>
    <cellStyle name="Total 3 4 3 2" xfId="2650"/>
    <cellStyle name="Total 3 4 3 2 2" xfId="4393"/>
    <cellStyle name="Total 3 4 3 2 2 2" xfId="7823"/>
    <cellStyle name="Total 3 4 3 2 2 2 2" xfId="21471"/>
    <cellStyle name="Total 3 4 3 2 2 3" xfId="18188"/>
    <cellStyle name="Total 3 4 3 2 3" xfId="16677"/>
    <cellStyle name="Total 3 4 3 3" xfId="16314"/>
    <cellStyle name="Total 3 4 4" xfId="2648"/>
    <cellStyle name="Total 3 4 4 2" xfId="4391"/>
    <cellStyle name="Total 3 4 4 2 2" xfId="7821"/>
    <cellStyle name="Total 3 4 4 2 2 2" xfId="21469"/>
    <cellStyle name="Total 3 4 4 2 3" xfId="18186"/>
    <cellStyle name="Total 3 4 4 3" xfId="16675"/>
    <cellStyle name="Total 3 4 5" xfId="16312"/>
    <cellStyle name="Total 3 5" xfId="2120"/>
    <cellStyle name="Total 3 5 2" xfId="2121"/>
    <cellStyle name="Total 3 5 2 2" xfId="2652"/>
    <cellStyle name="Total 3 5 2 2 2" xfId="4395"/>
    <cellStyle name="Total 3 5 2 2 2 2" xfId="7825"/>
    <cellStyle name="Total 3 5 2 2 2 2 2" xfId="21473"/>
    <cellStyle name="Total 3 5 2 2 2 3" xfId="18190"/>
    <cellStyle name="Total 3 5 2 2 3" xfId="16679"/>
    <cellStyle name="Total 3 5 2 3" xfId="16316"/>
    <cellStyle name="Total 3 5 3" xfId="2122"/>
    <cellStyle name="Total 3 5 3 2" xfId="2653"/>
    <cellStyle name="Total 3 5 3 2 2" xfId="4396"/>
    <cellStyle name="Total 3 5 3 2 2 2" xfId="7826"/>
    <cellStyle name="Total 3 5 3 2 2 2 2" xfId="21474"/>
    <cellStyle name="Total 3 5 3 2 2 3" xfId="18191"/>
    <cellStyle name="Total 3 5 3 2 3" xfId="16680"/>
    <cellStyle name="Total 3 5 3 3" xfId="16317"/>
    <cellStyle name="Total 3 5 4" xfId="2651"/>
    <cellStyle name="Total 3 5 4 2" xfId="4394"/>
    <cellStyle name="Total 3 5 4 2 2" xfId="7824"/>
    <cellStyle name="Total 3 5 4 2 2 2" xfId="21472"/>
    <cellStyle name="Total 3 5 4 2 3" xfId="18189"/>
    <cellStyle name="Total 3 5 4 3" xfId="16678"/>
    <cellStyle name="Total 3 5 5" xfId="16315"/>
    <cellStyle name="Total 3 6" xfId="2123"/>
    <cellStyle name="Total 3 6 2" xfId="2654"/>
    <cellStyle name="Total 3 6 2 2" xfId="4397"/>
    <cellStyle name="Total 3 6 2 2 2" xfId="7827"/>
    <cellStyle name="Total 3 6 2 2 2 2" xfId="21475"/>
    <cellStyle name="Total 3 6 2 2 3" xfId="18192"/>
    <cellStyle name="Total 3 6 2 3" xfId="16681"/>
    <cellStyle name="Total 3 6 3" xfId="16318"/>
    <cellStyle name="Total 3 7" xfId="2124"/>
    <cellStyle name="Total 3 7 2" xfId="2655"/>
    <cellStyle name="Total 3 7 2 2" xfId="4398"/>
    <cellStyle name="Total 3 7 2 2 2" xfId="7828"/>
    <cellStyle name="Total 3 7 2 2 2 2" xfId="21476"/>
    <cellStyle name="Total 3 7 2 2 3" xfId="18193"/>
    <cellStyle name="Total 3 7 2 3" xfId="16682"/>
    <cellStyle name="Total 3 7 3" xfId="16319"/>
    <cellStyle name="Total 3 8" xfId="2635"/>
    <cellStyle name="Total 3 8 2" xfId="4378"/>
    <cellStyle name="Total 3 8 2 2" xfId="7808"/>
    <cellStyle name="Total 3 8 2 2 2" xfId="21456"/>
    <cellStyle name="Total 3 8 2 3" xfId="18173"/>
    <cellStyle name="Total 3 8 3" xfId="16662"/>
    <cellStyle name="Total 3 9" xfId="16205"/>
    <cellStyle name="Total 4" xfId="15743"/>
    <cellStyle name="Total 4 2" xfId="29155"/>
    <cellStyle name="Total 4 2 2" xfId="29589"/>
    <cellStyle name="Total 4 3" xfId="29146"/>
    <cellStyle name="Total 4 3 2" xfId="29587"/>
    <cellStyle name="Total 4 4" xfId="29128"/>
    <cellStyle name="Total 5" xfId="15784"/>
    <cellStyle name="Total 5 2" xfId="29158"/>
    <cellStyle name="Total 5 2 2" xfId="29592"/>
    <cellStyle name="Total 5 3" xfId="29156"/>
    <cellStyle name="Total 5 3 2" xfId="29590"/>
    <cellStyle name="Total 6" xfId="15939"/>
    <cellStyle name="Warning Text" xfId="434" builtinId="11" customBuiltin="1"/>
    <cellStyle name="Warning Text 2" xfId="408"/>
    <cellStyle name="Warning Text 2 2" xfId="1572"/>
    <cellStyle name="Warning Text 3" xfId="15744"/>
    <cellStyle name="Warning Text 4" xfId="15937"/>
    <cellStyle name="x" xfId="112"/>
    <cellStyle name="x 2" xfId="113"/>
    <cellStyle name="x 2 2" xfId="1573"/>
    <cellStyle name="x 3" xfId="1574"/>
    <cellStyle name="x_2007 PBR Filing Working File 080115" xfId="1575"/>
    <cellStyle name="x_2008 PBR Filing Working File 090116" xfId="1576"/>
    <cellStyle name="x_2010 RMDx BP090610c-1" xfId="1577"/>
    <cellStyle name="x_2010 RMDx BP091222c-old" xfId="1578"/>
    <cellStyle name="x_Actual vs. Budget Volume" xfId="1579"/>
    <cellStyle name="x_Adjustments-RSVA" xfId="114"/>
    <cellStyle name="x_Adjustments-RSVA 2" xfId="1580"/>
    <cellStyle name="x_Adjustments-RSVA_Brampton Rev. Tracking" xfId="1581"/>
    <cellStyle name="x_Adjustments-RSVA_Brampton Rev. Tracking 2" xfId="1582"/>
    <cellStyle name="x_Book1" xfId="1583"/>
    <cellStyle name="x_Brampton HOBNI RCOPA Tracking" xfId="1584"/>
    <cellStyle name="x_Brampton Rev. Tracking" xfId="1585"/>
    <cellStyle name="x_Brampton Rev. Tracking 2" xfId="1586"/>
    <cellStyle name="x_CCA-Request_H11bps" xfId="115"/>
    <cellStyle name="x_CCA-Request_H11bps 2" xfId="116"/>
    <cellStyle name="x_CCA-Request_H11bps 2 2" xfId="1587"/>
    <cellStyle name="x_CCA-Request_H11bps 3" xfId="1588"/>
    <cellStyle name="x_CCA-Request_H11bps July 9" xfId="117"/>
    <cellStyle name="x_CCA-Request_H11bps July 9 2" xfId="118"/>
    <cellStyle name="x_CCA-Request_H11bps July 9 2 2" xfId="1589"/>
    <cellStyle name="x_CCA-Request_H11bps July 9 3" xfId="1590"/>
    <cellStyle name="x_CCA-Request_H11bps July 9_2007 PBR Filing Working File 080115" xfId="1591"/>
    <cellStyle name="x_CCA-Request_H11bps July 9_2008 PBR Filing Working File 090116" xfId="1592"/>
    <cellStyle name="x_CCA-Request_H11bps July 9_2010 RMDx BP090610c-1" xfId="1593"/>
    <cellStyle name="x_CCA-Request_H11bps July 9_2010 RMDx BP091222c-old" xfId="1594"/>
    <cellStyle name="x_CCA-Request_H11bps July 9_Actual vs. Budget Volume" xfId="1595"/>
    <cellStyle name="x_CCA-Request_H11bps July 9_Adjustments-RSVA" xfId="119"/>
    <cellStyle name="x_CCA-Request_H11bps July 9_Adjustments-RSVA 2" xfId="1596"/>
    <cellStyle name="x_CCA-Request_H11bps July 9_Adjustments-RSVA_Brampton Rev. Tracking" xfId="1597"/>
    <cellStyle name="x_CCA-Request_H11bps July 9_Adjustments-RSVA_Brampton Rev. Tracking 2" xfId="1598"/>
    <cellStyle name="x_CCA-Request_H11bps July 9_Book1" xfId="1599"/>
    <cellStyle name="x_CCA-Request_H11bps July 9_Brampton HOBNI RCOPA Tracking" xfId="1600"/>
    <cellStyle name="x_CCA-Request_H11bps July 9_Brampton Rev. Tracking" xfId="1601"/>
    <cellStyle name="x_CCA-Request_H11bps July 9_Brampton Rev. Tracking 2" xfId="1602"/>
    <cellStyle name="x_CCA-Request_H11bps July 9_Detail" xfId="1603"/>
    <cellStyle name="x_CCA-Request_H11bps July 9_Dx Decision Workbook (2)" xfId="1604"/>
    <cellStyle name="x_CCA-Request_H11bps July 9_F_Mstr_Cntrl_rates" xfId="1605"/>
    <cellStyle name="x_CCA-Request_H11bps July 9_Fcst_Chg_new" xfId="1606"/>
    <cellStyle name="x_CCA-Request_H11bps July 9_Fcst_new" xfId="1607"/>
    <cellStyle name="x_CCA-Request_H11bps July 9_Fcst_Prev_new" xfId="1608"/>
    <cellStyle name="x_CCA-Request_H11bps July 9_In_F_Dx_Rates_new" xfId="1609"/>
    <cellStyle name="x_CCA-Request_H11bps July 9_In_R_Customers_new" xfId="1610"/>
    <cellStyle name="x_CCA-Request_H11bps July 9_In_R_kWhs_New" xfId="1611"/>
    <cellStyle name="x_CCA-Request_H11bps July 9_In_R_kWs_New" xfId="1612"/>
    <cellStyle name="x_CCA-Request_H11bps July 9_LV" xfId="1613"/>
    <cellStyle name="x_CCA-Request_H11bps July 9_Monthly Foregone Revenue Cal'n_08PL based on Sep07 LF_090109 (3)" xfId="1614"/>
    <cellStyle name="x_CCA-Request_H11bps July 9_Out_Accrual_Bud_091222c" xfId="1615"/>
    <cellStyle name="x_CCA-Request_H11bps July 9_Out_Accrual_Bud_100222f" xfId="1616"/>
    <cellStyle name="x_CCA-Request_H11bps July 9_Out_Accrual_Bud_100525g" xfId="1617"/>
    <cellStyle name="x_CCA-Request_H11bps July 9_Out_Accural_Bud_101112a" xfId="1618"/>
    <cellStyle name="x_CCA-Request_H11bps July 9_Out_Variances_Summary" xfId="1619"/>
    <cellStyle name="x_CCA-Request_H11bps July 9_Q4-07 METS Rebate Accrual" xfId="1620"/>
    <cellStyle name="x_CCA-Request_H11bps July 9_Q4-07 METS Revenue Accrual" xfId="1621"/>
    <cellStyle name="x_CCA-Request_H11bps July 9_Rate Class" xfId="1622"/>
    <cellStyle name="x_CCA-Request_H11bps July 9_Revenue High Level Checking" xfId="1623"/>
    <cellStyle name="x_CCA-Request_H11bps July 9_RMBill Master Dec08 090105" xfId="1624"/>
    <cellStyle name="x_CCA-Request_H11bps July 9_RMBill Master Dec08 090116" xfId="1625"/>
    <cellStyle name="x_CCA-Request_H11bps July 9_RMDx BP061208b ACDec07_071227" xfId="1626"/>
    <cellStyle name="x_CCA-Request_H11bps July 9_RMDx BP061208b ACDec07_080104" xfId="1627"/>
    <cellStyle name="x_CCA-Request_H11bps July 9_RMDx BP061208b ACJune07_290607" xfId="1628"/>
    <cellStyle name="x_CCA-Request_H11bps July 9_RMDx BP071213h ACApr08_080430" xfId="1629"/>
    <cellStyle name="x_CCA-Request_H11bps July 9_RMDx BP071213h ACAugust08_080903" xfId="1630"/>
    <cellStyle name="x_CCA-Request_H11bps July 9_RMDx BP071213h ACDec08_090105v2" xfId="1631"/>
    <cellStyle name="x_CCA-Request_H11bps July 9_RMDx BP071213h ACFeb08_080304" xfId="1632"/>
    <cellStyle name="x_CCA-Request_H11bps July 9_RMDx BP071213h ACJuly08_080805 v3" xfId="1633"/>
    <cellStyle name="x_CCA-Request_H11bps July 9_RMDx BP071213h ACJune08_080703_SM Adjusted" xfId="1634"/>
    <cellStyle name="x_CCA-Request_H11bps July 9_RMDx BP071213h ACMar08_080401" xfId="1635"/>
    <cellStyle name="x_CCA-Request_H11bps July 9_RMDx BP071213h ACMay08_080603b" xfId="1636"/>
    <cellStyle name="x_CCA-Request_H11bps July 9_RMDx BP071213h ACNov08_081202" xfId="1637"/>
    <cellStyle name="x_CCA-Request_H11bps July 9_RMDx BP071213h ACOct08_081104" xfId="1638"/>
    <cellStyle name="x_CCA-Request_H11bps July 9_RMDx BP090121i ACDec09_100118" xfId="1639"/>
    <cellStyle name="x_CCA-Request_H11bps July 9_RMDx BP090121i ACJan09_090117" xfId="1640"/>
    <cellStyle name="x_CCA-Request_H11bps July 9_RMDx BP090121i ACJan09_090204b" xfId="1641"/>
    <cellStyle name="x_CCA-Request_H11bps July 9_RMDx BP090121i ACJuly09_090730" xfId="1642"/>
    <cellStyle name="x_CCA-Request_H11bps July 9_RMDx BP090121i ACJune09_090707_newrates" xfId="1643"/>
    <cellStyle name="x_CCA-Request_H11bps July 9_RMDx BP090121i ACMay09_090507_new rate classes" xfId="1644"/>
    <cellStyle name="x_CCA-Request_H11bps July 9_RMDx BP090121i ACMay09_090519" xfId="1645"/>
    <cellStyle name="x_CCA-Request_H11bps July 9_RMDx BP090121i ACMay09_090604" xfId="1646"/>
    <cellStyle name="x_CCA-Request_H11bps July 9_RMDx BP100525g ACMay10_100611" xfId="1647"/>
    <cellStyle name="x_CCA-Request_H11bps July 9_RMTx" xfId="1648"/>
    <cellStyle name="x_CCA-Request_H11bps July 9_RMTx BP052510j_Sep09LF ACAug10_100902" xfId="1649"/>
    <cellStyle name="x_CCA-Request_H11bps July 9_RMTx BP052510j_Sep09LF ACDec10_110106" xfId="1650"/>
    <cellStyle name="x_CCA-Request_H11bps July 9_RMTx BP081216h_Apr08LF ACNov09_100104 - Lei" xfId="1651"/>
    <cellStyle name="x_CCA-Request_H11bps July 9_Sheet1" xfId="1652"/>
    <cellStyle name="x_CCA-Request_H11bps July 9_Year End 2008 Journal Entry Workbook" xfId="1653"/>
    <cellStyle name="x_CCA-Request_H11bps_2007 PBR Filing Working File 080115" xfId="1654"/>
    <cellStyle name="x_CCA-Request_H11bps_2008 PBR Filing Working File 090116" xfId="1655"/>
    <cellStyle name="x_CCA-Request_H11bps_2010 RMDx BP090610c-1" xfId="1656"/>
    <cellStyle name="x_CCA-Request_H11bps_2010 RMDx BP091222c-old" xfId="1657"/>
    <cellStyle name="x_CCA-Request_H11bps_Actual vs. Budget Volume" xfId="1658"/>
    <cellStyle name="x_CCA-Request_H11bps_Adjustments-RSVA" xfId="120"/>
    <cellStyle name="x_CCA-Request_H11bps_Adjustments-RSVA 2" xfId="1660"/>
    <cellStyle name="x_CCA-Request_H11bps_Adjustments-RSVA_Brampton Rev. Tracking" xfId="1661"/>
    <cellStyle name="x_CCA-Request_H11bps_Adjustments-RSVA_Brampton Rev. Tracking 2" xfId="1662"/>
    <cellStyle name="x_CCA-Request_H11bps_Book1" xfId="1663"/>
    <cellStyle name="x_CCA-Request_H11bps_Brampton HOBNI RCOPA Tracking" xfId="1664"/>
    <cellStyle name="x_CCA-Request_H11bps_Brampton Rev. Tracking" xfId="1665"/>
    <cellStyle name="x_CCA-Request_H11bps_Brampton Rev. Tracking 2" xfId="1666"/>
    <cellStyle name="x_CCA-Request_H11bps_Detail" xfId="1667"/>
    <cellStyle name="x_CCA-Request_H11bps_Dx Decision Workbook (2)" xfId="1668"/>
    <cellStyle name="x_CCA-Request_H11bps_F_Mstr_Cntrl_rates" xfId="1669"/>
    <cellStyle name="x_CCA-Request_H11bps_Fcst_Chg_new" xfId="1670"/>
    <cellStyle name="x_CCA-Request_H11bps_Fcst_new" xfId="1671"/>
    <cellStyle name="x_CCA-Request_H11bps_Fcst_Prev_new" xfId="1672"/>
    <cellStyle name="x_CCA-Request_H11bps_In_F_Dx_Rates_new" xfId="1673"/>
    <cellStyle name="x_CCA-Request_H11bps_In_R_Customers_new" xfId="1674"/>
    <cellStyle name="x_CCA-Request_H11bps_In_R_kWhs_New" xfId="1675"/>
    <cellStyle name="x_CCA-Request_H11bps_In_R_kWs_New" xfId="1676"/>
    <cellStyle name="x_CCA-Request_H11bps_LV" xfId="1677"/>
    <cellStyle name="x_CCA-Request_H11bps_Monthly Foregone Revenue Cal'n_08PL based on Sep07 LF_090109 (3)" xfId="1678"/>
    <cellStyle name="x_CCA-Request_H11bps_Out_Accrual_Bud_091222c" xfId="1679"/>
    <cellStyle name="x_CCA-Request_H11bps_Out_Accrual_Bud_100222f" xfId="1680"/>
    <cellStyle name="x_CCA-Request_H11bps_Out_Accrual_Bud_100525g" xfId="1681"/>
    <cellStyle name="x_CCA-Request_H11bps_Out_Accural_Bud_101112a" xfId="1682"/>
    <cellStyle name="x_CCA-Request_H11bps_Out_Variances_Summary" xfId="1683"/>
    <cellStyle name="x_CCA-Request_H11bps_Q4-07 METS Rebate Accrual" xfId="1684"/>
    <cellStyle name="x_CCA-Request_H11bps_Q4-07 METS Revenue Accrual" xfId="1685"/>
    <cellStyle name="x_CCA-Request_H11bps_Rate Class" xfId="1686"/>
    <cellStyle name="x_CCA-Request_H11bps_Revenue High Level Checking" xfId="1687"/>
    <cellStyle name="x_CCA-Request_H11bps_RMBill Master Dec08 090105" xfId="1688"/>
    <cellStyle name="x_CCA-Request_H11bps_RMBill Master Dec08 090116" xfId="1689"/>
    <cellStyle name="x_CCA-Request_H11bps_RMDx BP061208b ACDec07_071227" xfId="1690"/>
    <cellStyle name="x_CCA-Request_H11bps_RMDx BP061208b ACDec07_080104" xfId="1691"/>
    <cellStyle name="x_CCA-Request_H11bps_RMDx BP061208b ACJune07_290607" xfId="1692"/>
    <cellStyle name="x_CCA-Request_H11bps_RMDx BP071213h ACApr08_080430" xfId="1693"/>
    <cellStyle name="x_CCA-Request_H11bps_RMDx BP071213h ACAugust08_080903" xfId="1694"/>
    <cellStyle name="x_CCA-Request_H11bps_RMDx BP071213h ACDec08_090105v2" xfId="1695"/>
    <cellStyle name="x_CCA-Request_H11bps_RMDx BP071213h ACFeb08_080304" xfId="1696"/>
    <cellStyle name="x_CCA-Request_H11bps_RMDx BP071213h ACJuly08_080805 v3" xfId="1697"/>
    <cellStyle name="x_CCA-Request_H11bps_RMDx BP071213h ACJune08_080703_SM Adjusted" xfId="1698"/>
    <cellStyle name="x_CCA-Request_H11bps_RMDx BP071213h ACMar08_080401" xfId="1699"/>
    <cellStyle name="x_CCA-Request_H11bps_RMDx BP071213h ACMay08_080603b" xfId="1700"/>
    <cellStyle name="x_CCA-Request_H11bps_RMDx BP071213h ACNov08_081202" xfId="1701"/>
    <cellStyle name="x_CCA-Request_H11bps_RMDx BP071213h ACOct08_081104" xfId="1702"/>
    <cellStyle name="x_CCA-Request_H11bps_RMDx BP090121i ACDec09_100118" xfId="1703"/>
    <cellStyle name="x_CCA-Request_H11bps_RMDx BP090121i ACJan09_090117" xfId="1704"/>
    <cellStyle name="x_CCA-Request_H11bps_RMDx BP090121i ACJan09_090204b" xfId="1705"/>
    <cellStyle name="x_CCA-Request_H11bps_RMDx BP090121i ACJuly09_090730" xfId="1706"/>
    <cellStyle name="x_CCA-Request_H11bps_RMDx BP090121i ACJune09_090707_newrates" xfId="1707"/>
    <cellStyle name="x_CCA-Request_H11bps_RMDx BP090121i ACMay09_090507_new rate classes" xfId="1708"/>
    <cellStyle name="x_CCA-Request_H11bps_RMDx BP090121i ACMay09_090519" xfId="1709"/>
    <cellStyle name="x_CCA-Request_H11bps_RMDx BP090121i ACMay09_090604" xfId="1710"/>
    <cellStyle name="x_CCA-Request_H11bps_RMDx BP100525g ACMay10_100611" xfId="1711"/>
    <cellStyle name="x_CCA-Request_H11bps_RMTx" xfId="1712"/>
    <cellStyle name="x_CCA-Request_H11bps_RMTx BP052510j_Sep09LF ACAug10_100902" xfId="1713"/>
    <cellStyle name="x_CCA-Request_H11bps_RMTx BP052510j_Sep09LF ACDec10_110106" xfId="1714"/>
    <cellStyle name="x_CCA-Request_H11bps_RMTx BP081216h_Apr08LF ACNov09_100104 - Lei" xfId="1715"/>
    <cellStyle name="x_CCA-Request_H11bps_Sheet1" xfId="1716"/>
    <cellStyle name="x_CCA-Request_H11bps_Year End 2008 Journal Entry Workbook" xfId="1717"/>
    <cellStyle name="x_Detail" xfId="1718"/>
    <cellStyle name="x_Dx Decision Workbook (2)" xfId="1719"/>
    <cellStyle name="x_F_Mstr_Cntrl_rates" xfId="1720"/>
    <cellStyle name="x_Fcst_Chg_new" xfId="1721"/>
    <cellStyle name="x_Fcst_new" xfId="1722"/>
    <cellStyle name="x_Fcst_Prev_new" xfId="1723"/>
    <cellStyle name="x_In_F_Dx_Rates_new" xfId="1724"/>
    <cellStyle name="x_In_R_Customers_new" xfId="1725"/>
    <cellStyle name="x_In_R_kWhs_New" xfId="1726"/>
    <cellStyle name="x_In_R_kWs_New" xfId="1727"/>
    <cellStyle name="x_LV" xfId="1728"/>
    <cellStyle name="x_Monthly Foregone Revenue Cal'n_08PL based on Sep07 LF_090109 (3)" xfId="1729"/>
    <cellStyle name="x_Out_Accrual_Bud_091222c" xfId="1730"/>
    <cellStyle name="x_Out_Accrual_Bud_100222f" xfId="1731"/>
    <cellStyle name="x_Out_Accrual_Bud_100525g" xfId="1732"/>
    <cellStyle name="x_Out_Accural_Bud_101112a" xfId="1733"/>
    <cellStyle name="x_Out_Variances_Summary" xfId="1734"/>
    <cellStyle name="x_Q4-07 METS Rebate Accrual" xfId="1735"/>
    <cellStyle name="x_Q4-07 METS Revenue Accrual" xfId="1736"/>
    <cellStyle name="x_Rate Class" xfId="1737"/>
    <cellStyle name="x_Revenue High Level Checking" xfId="1738"/>
    <cellStyle name="x_RMBill Master Dec08 090105" xfId="1739"/>
    <cellStyle name="x_RMBill Master Dec08 090116" xfId="1740"/>
    <cellStyle name="x_RMDx BP061208b ACDec07_071227" xfId="1741"/>
    <cellStyle name="x_RMDx BP061208b ACDec07_080104" xfId="1742"/>
    <cellStyle name="x_RMDx BP061208b ACJune07_290607" xfId="1743"/>
    <cellStyle name="x_RMDx BP071213h ACApr08_080430" xfId="1744"/>
    <cellStyle name="x_RMDx BP071213h ACAugust08_080903" xfId="1745"/>
    <cellStyle name="x_RMDx BP071213h ACDec08_090105v2" xfId="1746"/>
    <cellStyle name="x_RMDx BP071213h ACFeb08_080304" xfId="1747"/>
    <cellStyle name="x_RMDx BP071213h ACJuly08_080805 v3" xfId="1748"/>
    <cellStyle name="x_RMDx BP071213h ACJune08_080703_SM Adjusted" xfId="1749"/>
    <cellStyle name="x_RMDx BP071213h ACMar08_080401" xfId="1750"/>
    <cellStyle name="x_RMDx BP071213h ACMay08_080603b" xfId="1751"/>
    <cellStyle name="x_RMDx BP071213h ACNov08_081202" xfId="1752"/>
    <cellStyle name="x_RMDx BP071213h ACOct08_081104" xfId="1753"/>
    <cellStyle name="x_RMDx BP090121i ACDec09_100118" xfId="1754"/>
    <cellStyle name="x_RMDx BP090121i ACJan09_090117" xfId="1755"/>
    <cellStyle name="x_RMDx BP090121i ACJan09_090204b" xfId="1756"/>
    <cellStyle name="x_RMDx BP090121i ACJuly09_090730" xfId="1757"/>
    <cellStyle name="x_RMDx BP090121i ACJune09_090707_newrates" xfId="1758"/>
    <cellStyle name="x_RMDx BP090121i ACMay09_090507_new rate classes" xfId="1759"/>
    <cellStyle name="x_RMDx BP090121i ACMay09_090519" xfId="1760"/>
    <cellStyle name="x_RMDx BP090121i ACMay09_090604" xfId="1761"/>
    <cellStyle name="x_RMDx BP100525g ACMay10_100611" xfId="1762"/>
    <cellStyle name="x_RMTx" xfId="1763"/>
    <cellStyle name="x_RMTx BP052510j_Sep09LF ACAug10_100902" xfId="1764"/>
    <cellStyle name="x_RMTx BP052510j_Sep09LF ACDec10_110106" xfId="1765"/>
    <cellStyle name="x_RMTx BP081216h_Apr08LF ACNov09_100104 - Lei" xfId="1766"/>
    <cellStyle name="x_Sheet1" xfId="1767"/>
    <cellStyle name="x_Year End 2008 Journal Entry Workbook" xfId="1768"/>
  </cellStyles>
  <dxfs count="0"/>
  <tableStyles count="0" defaultTableStyle="TableStyleMedium9" defaultPivotStyle="PivotStyleMedium4"/>
  <colors>
    <mruColors>
      <color rgb="FFFFFF66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Lindsey\AppData\Local\Microsoft\Windows\Temporary%20Internet%20Files\Low\Content.IE5\HRXWV853\Dummy%20Fil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S206"/>
  <sheetViews>
    <sheetView showGridLines="0" zoomScaleNormal="100" zoomScaleSheetLayoutView="70" workbookViewId="0">
      <pane xSplit="2" ySplit="22" topLeftCell="N23" activePane="bottomRight" state="frozen"/>
      <selection activeCell="H9" sqref="H9"/>
      <selection pane="topRight" activeCell="H9" sqref="H9"/>
      <selection pane="bottomLeft" activeCell="H9" sqref="H9"/>
      <selection pane="bottomRight" activeCell="Q20" sqref="Q20"/>
    </sheetView>
  </sheetViews>
  <sheetFormatPr defaultRowHeight="13.2"/>
  <cols>
    <col min="1" max="1" width="2.109375" customWidth="1"/>
    <col min="2" max="2" width="44" customWidth="1"/>
    <col min="3" max="3" width="15" style="55" customWidth="1"/>
    <col min="4" max="4" width="17.44140625" style="55" customWidth="1"/>
    <col min="5" max="5" width="15.88671875" style="55" customWidth="1"/>
    <col min="6" max="8" width="17.44140625" style="55" customWidth="1"/>
    <col min="9" max="9" width="17.44140625" style="55" bestFit="1" customWidth="1"/>
    <col min="10" max="10" width="15" style="398" customWidth="1"/>
    <col min="11" max="12" width="15" style="764" customWidth="1"/>
    <col min="13" max="13" width="16.5546875" style="398" customWidth="1"/>
    <col min="14" max="14" width="18.88671875" bestFit="1" customWidth="1"/>
    <col min="15" max="17" width="16" customWidth="1"/>
    <col min="18" max="18" width="7.88671875" customWidth="1"/>
  </cols>
  <sheetData>
    <row r="1" spans="1:18" ht="17.399999999999999">
      <c r="A1" s="933" t="s">
        <v>308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  <c r="Q1" s="933"/>
      <c r="R1" s="53"/>
    </row>
    <row r="2" spans="1:18" ht="17.25" customHeight="1" thickBot="1">
      <c r="B2" s="343"/>
      <c r="C2" s="932"/>
      <c r="D2" s="932"/>
      <c r="E2" s="932"/>
      <c r="F2" s="932"/>
      <c r="G2" s="932"/>
      <c r="H2" s="932"/>
      <c r="I2" s="932"/>
      <c r="J2" s="406"/>
      <c r="K2" s="406"/>
      <c r="L2" s="406"/>
      <c r="M2" s="406"/>
    </row>
    <row r="3" spans="1:18">
      <c r="B3" s="331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31"/>
      <c r="O3" s="331"/>
      <c r="P3" s="331"/>
      <c r="Q3" s="4"/>
    </row>
    <row r="4" spans="1:18" s="344" customFormat="1" ht="40.200000000000003" customHeight="1">
      <c r="B4" s="345"/>
      <c r="C4" s="346" t="s">
        <v>133</v>
      </c>
      <c r="D4" s="346" t="s">
        <v>134</v>
      </c>
      <c r="E4" s="346" t="s">
        <v>135</v>
      </c>
      <c r="F4" s="346" t="s">
        <v>136</v>
      </c>
      <c r="G4" s="346" t="s">
        <v>137</v>
      </c>
      <c r="H4" s="346" t="s">
        <v>138</v>
      </c>
      <c r="I4" s="346" t="s">
        <v>139</v>
      </c>
      <c r="J4" s="346" t="s">
        <v>159</v>
      </c>
      <c r="K4" s="346" t="s">
        <v>291</v>
      </c>
      <c r="L4" s="346" t="s">
        <v>265</v>
      </c>
      <c r="M4" s="346" t="s">
        <v>160</v>
      </c>
      <c r="N4" s="346" t="s">
        <v>171</v>
      </c>
      <c r="O4" s="346" t="s">
        <v>178</v>
      </c>
      <c r="P4" s="346" t="s">
        <v>172</v>
      </c>
      <c r="Q4" s="346" t="s">
        <v>177</v>
      </c>
    </row>
    <row r="5" spans="1:18" s="66" customFormat="1" ht="13.8" thickBot="1"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7"/>
    </row>
    <row r="6" spans="1:18">
      <c r="B6" s="6" t="s">
        <v>254</v>
      </c>
      <c r="C6" s="781">
        <f>'Model # Two'!C152</f>
        <v>0</v>
      </c>
      <c r="D6" s="781">
        <f>'Model # Two'!C153</f>
        <v>3606734354.93256</v>
      </c>
      <c r="E6" s="781">
        <f>'Model # Two'!C154</f>
        <v>3848828345.2662396</v>
      </c>
      <c r="F6" s="782">
        <f>'Model # Two'!C155</f>
        <v>3854274113.7203932</v>
      </c>
      <c r="G6" s="782">
        <f>'Model # Two'!C156</f>
        <v>3958591767.6645598</v>
      </c>
      <c r="H6" s="782">
        <f>'Model # Two'!C157</f>
        <v>3915443564.4390407</v>
      </c>
      <c r="I6" s="782">
        <f>'Model # Two'!C158</f>
        <v>3727941968.3974199</v>
      </c>
      <c r="J6" s="782">
        <f>'Model # Two'!C159</f>
        <v>3911054142.4477</v>
      </c>
      <c r="K6" s="782"/>
      <c r="L6" s="782"/>
      <c r="M6" s="782">
        <f>'Model # Two'!C160</f>
        <v>3968502599.952116</v>
      </c>
      <c r="N6" s="782">
        <f>'Model # Two'!C161</f>
        <v>4043243028.6422305</v>
      </c>
      <c r="O6" s="783">
        <f>'Model # Two'!C162</f>
        <v>4027156664.1062088</v>
      </c>
      <c r="P6" s="784"/>
      <c r="Q6" s="785"/>
    </row>
    <row r="7" spans="1:18">
      <c r="B7" s="2" t="s">
        <v>214</v>
      </c>
      <c r="C7" s="786"/>
      <c r="D7" s="786"/>
      <c r="E7" s="786"/>
      <c r="F7" s="786">
        <f>F13</f>
        <v>0</v>
      </c>
      <c r="G7" s="786">
        <f t="shared" ref="G7:N7" si="0">G13</f>
        <v>0</v>
      </c>
      <c r="H7" s="786">
        <f t="shared" si="0"/>
        <v>0</v>
      </c>
      <c r="I7" s="786">
        <f t="shared" si="0"/>
        <v>0</v>
      </c>
      <c r="J7" s="786">
        <f t="shared" si="0"/>
        <v>0</v>
      </c>
      <c r="K7" s="786"/>
      <c r="L7" s="786"/>
      <c r="M7" s="788">
        <f>M13</f>
        <v>-30590627.167539999</v>
      </c>
      <c r="N7" s="788">
        <f t="shared" si="0"/>
        <v>-52650053.076280005</v>
      </c>
      <c r="O7" s="788">
        <f>O13</f>
        <v>-57812379.869816013</v>
      </c>
      <c r="P7" s="787"/>
      <c r="Q7" s="787"/>
    </row>
    <row r="8" spans="1:18">
      <c r="B8" s="2" t="s">
        <v>220</v>
      </c>
      <c r="C8" s="786"/>
      <c r="D8" s="786"/>
      <c r="E8" s="786"/>
      <c r="F8" s="786">
        <f>F15</f>
        <v>0</v>
      </c>
      <c r="G8" s="786">
        <f t="shared" ref="G8:O8" si="1">G15</f>
        <v>0</v>
      </c>
      <c r="H8" s="786">
        <f t="shared" si="1"/>
        <v>0</v>
      </c>
      <c r="I8" s="786">
        <f t="shared" si="1"/>
        <v>15570646.49</v>
      </c>
      <c r="J8" s="786">
        <f>J15</f>
        <v>19512252.349999998</v>
      </c>
      <c r="K8" s="786"/>
      <c r="L8" s="786"/>
      <c r="M8" s="786">
        <f t="shared" si="1"/>
        <v>34785128.149999999</v>
      </c>
      <c r="N8" s="786">
        <f t="shared" si="1"/>
        <v>34641332.100000001</v>
      </c>
      <c r="O8" s="786">
        <f t="shared" si="1"/>
        <v>41319933.199999996</v>
      </c>
      <c r="P8" s="785"/>
      <c r="Q8" s="785"/>
    </row>
    <row r="9" spans="1:18">
      <c r="B9" s="2" t="s">
        <v>225</v>
      </c>
      <c r="C9" s="786"/>
      <c r="D9" s="786"/>
      <c r="E9" s="786"/>
      <c r="F9" s="786">
        <f>F16</f>
        <v>0</v>
      </c>
      <c r="G9" s="786">
        <f t="shared" ref="G9:O9" si="2">G16</f>
        <v>0</v>
      </c>
      <c r="H9" s="786">
        <f t="shared" si="2"/>
        <v>0</v>
      </c>
      <c r="I9" s="786">
        <f t="shared" si="2"/>
        <v>0</v>
      </c>
      <c r="J9" s="786">
        <f t="shared" si="2"/>
        <v>0</v>
      </c>
      <c r="K9" s="786"/>
      <c r="L9" s="786"/>
      <c r="M9" s="786">
        <f t="shared" si="2"/>
        <v>1777.6684279999999</v>
      </c>
      <c r="N9" s="786">
        <f t="shared" si="2"/>
        <v>14867.342352999998</v>
      </c>
      <c r="O9" s="786">
        <f t="shared" si="2"/>
        <v>50814.314429999991</v>
      </c>
      <c r="P9" s="785"/>
      <c r="Q9" s="785"/>
    </row>
    <row r="10" spans="1:18">
      <c r="B10" s="2" t="s">
        <v>253</v>
      </c>
      <c r="C10" s="786"/>
      <c r="D10" s="786"/>
      <c r="E10" s="786"/>
      <c r="F10" s="786">
        <f>SUM(F6:F9)</f>
        <v>3854274113.7203932</v>
      </c>
      <c r="G10" s="786">
        <f t="shared" ref="G10:N10" si="3">SUM(G6:G9)</f>
        <v>3958591767.6645598</v>
      </c>
      <c r="H10" s="786">
        <f t="shared" si="3"/>
        <v>3915443564.4390407</v>
      </c>
      <c r="I10" s="786">
        <f t="shared" si="3"/>
        <v>3743512614.8874197</v>
      </c>
      <c r="J10" s="786">
        <f t="shared" si="3"/>
        <v>3930566394.7976999</v>
      </c>
      <c r="K10" s="786"/>
      <c r="L10" s="786"/>
      <c r="M10" s="786">
        <f>SUM(M6:M9)</f>
        <v>3972698878.603004</v>
      </c>
      <c r="N10" s="786">
        <f t="shared" si="3"/>
        <v>4025249175.0083032</v>
      </c>
      <c r="O10" s="786">
        <f>SUM(O6:O9)</f>
        <v>4010715031.750823</v>
      </c>
      <c r="P10" s="785"/>
      <c r="Q10" s="785"/>
    </row>
    <row r="11" spans="1:18">
      <c r="B11" s="2"/>
      <c r="C11" s="786"/>
      <c r="D11" s="786"/>
      <c r="E11" s="786"/>
      <c r="F11" s="786"/>
      <c r="G11" s="786"/>
      <c r="H11" s="786"/>
      <c r="I11" s="785"/>
      <c r="J11" s="785"/>
      <c r="K11" s="786"/>
      <c r="L11" s="785"/>
      <c r="M11" s="785"/>
      <c r="N11" s="785"/>
      <c r="O11" s="785"/>
      <c r="P11" s="785"/>
      <c r="Q11" s="785"/>
    </row>
    <row r="12" spans="1:18">
      <c r="B12" s="2" t="s">
        <v>233</v>
      </c>
      <c r="C12" s="786">
        <f>'Model # Two'!D152</f>
        <v>0</v>
      </c>
      <c r="D12" s="786">
        <f>'Model # Two'!D153</f>
        <v>3618703271.2036414</v>
      </c>
      <c r="E12" s="786">
        <f>'Model # Two'!C154</f>
        <v>3848828345.2662396</v>
      </c>
      <c r="F12" s="786">
        <f>'Model # Two'!D155</f>
        <v>3831498913.7074542</v>
      </c>
      <c r="G12" s="786">
        <f>'Model # Two'!D156</f>
        <v>3951695294.9917469</v>
      </c>
      <c r="H12" s="786">
        <f>'Model # Two'!D157</f>
        <v>3896414064.225163</v>
      </c>
      <c r="I12" s="786">
        <f>'Model # Two'!D158</f>
        <v>3781079154.0180035</v>
      </c>
      <c r="J12" s="786">
        <f>'Model # Two'!D159</f>
        <v>3889917169.2406254</v>
      </c>
      <c r="K12" s="786"/>
      <c r="L12" s="786">
        <v>3962537441.748795</v>
      </c>
      <c r="M12" s="786">
        <f>'Model # Two'!D160</f>
        <v>3969819877.0134583</v>
      </c>
      <c r="N12" s="786">
        <f>'Model # Two'!D161</f>
        <v>4039088422.7731237</v>
      </c>
      <c r="O12" s="786">
        <f>'Model # Two'!D162</f>
        <v>4036523438.1173348</v>
      </c>
      <c r="P12" s="786">
        <f>'Model # Two'!D163</f>
        <v>4109065669.8450508</v>
      </c>
      <c r="Q12" s="786">
        <f>'Model # Two'!D164</f>
        <v>4194973860.0719819</v>
      </c>
      <c r="R12" s="493"/>
    </row>
    <row r="13" spans="1:18">
      <c r="B13" s="2" t="s">
        <v>214</v>
      </c>
      <c r="C13" s="786"/>
      <c r="D13" s="786"/>
      <c r="E13" s="786"/>
      <c r="F13" s="786"/>
      <c r="G13" s="786"/>
      <c r="H13" s="786"/>
      <c r="I13" s="786"/>
      <c r="J13" s="786"/>
      <c r="K13" s="786"/>
      <c r="L13" s="786"/>
      <c r="M13" s="788">
        <f>-SUM('WH MRK PART.'!E4:E15)</f>
        <v>-30590627.167539999</v>
      </c>
      <c r="N13" s="788">
        <f>-SUM('WH MRK PART.'!E16:E27)</f>
        <v>-52650053.076280005</v>
      </c>
      <c r="O13" s="788">
        <f>-SUM('WH MRK PART.'!E28:E39)</f>
        <v>-57812379.869816013</v>
      </c>
      <c r="P13" s="788">
        <f>-SUM('WH MRK PART.'!E40:E51)</f>
        <v>-57815958.491016895</v>
      </c>
      <c r="Q13" s="788">
        <f>-SUM('WH MRK PART.'!E52:E63)</f>
        <v>-57825129.165200219</v>
      </c>
    </row>
    <row r="14" spans="1:18">
      <c r="B14" s="2" t="s">
        <v>213</v>
      </c>
      <c r="C14" s="786"/>
      <c r="D14" s="786"/>
      <c r="E14" s="786"/>
      <c r="F14" s="786"/>
      <c r="G14" s="786"/>
      <c r="H14" s="786"/>
      <c r="I14" s="786"/>
      <c r="J14" s="786"/>
      <c r="K14" s="786"/>
      <c r="L14" s="788">
        <f>-19000000</f>
        <v>-19000000</v>
      </c>
      <c r="M14" s="786"/>
      <c r="N14" s="786"/>
      <c r="O14" s="786"/>
      <c r="P14" s="789">
        <v>-45863104.422104999</v>
      </c>
      <c r="Q14" s="788">
        <v>-53726379.902346201</v>
      </c>
    </row>
    <row r="15" spans="1:18">
      <c r="B15" s="2" t="s">
        <v>220</v>
      </c>
      <c r="C15" s="786"/>
      <c r="D15" s="786"/>
      <c r="E15" s="786"/>
      <c r="F15" s="786"/>
      <c r="G15" s="786"/>
      <c r="H15" s="786"/>
      <c r="I15" s="786">
        <v>15570646.49</v>
      </c>
      <c r="J15" s="786">
        <f>-SUM('2010 to 2013 Actual kWh'!E4:E15)</f>
        <v>19512252.349999998</v>
      </c>
      <c r="K15" s="786"/>
      <c r="L15" s="808">
        <f>-SUM('2010 to 2013 Actual kWh'!E16:E27)</f>
        <v>34785128.149999999</v>
      </c>
      <c r="M15" s="786">
        <f>-SUM('2010 to 2013 Actual kWh'!E16:E27)</f>
        <v>34785128.149999999</v>
      </c>
      <c r="N15" s="786">
        <f>-SUM('2010 to 2013 Actual kWh'!E28:E39)</f>
        <v>34641332.100000001</v>
      </c>
      <c r="O15" s="786">
        <f>-SUM('2010 to 2013 Actual kWh'!E40:E51)</f>
        <v>41319933.199999996</v>
      </c>
      <c r="P15" s="790">
        <f>P129*1.0247</f>
        <v>0</v>
      </c>
      <c r="Q15" s="788">
        <f>'Emb. Dist. Forecast'!P16</f>
        <v>17432620.442314733</v>
      </c>
    </row>
    <row r="16" spans="1:18">
      <c r="B16" s="2" t="s">
        <v>225</v>
      </c>
      <c r="C16" s="786"/>
      <c r="D16" s="786"/>
      <c r="E16" s="786"/>
      <c r="F16" s="786"/>
      <c r="G16" s="786"/>
      <c r="H16" s="786"/>
      <c r="I16" s="786"/>
      <c r="J16" s="786"/>
      <c r="K16" s="786"/>
      <c r="L16" s="786"/>
      <c r="M16" s="786">
        <f>M145*1.0349</f>
        <v>1777.6684279999999</v>
      </c>
      <c r="N16" s="786">
        <f t="shared" ref="N16:O16" si="4">N145*1.0349</f>
        <v>14867.342352999998</v>
      </c>
      <c r="O16" s="786">
        <f t="shared" si="4"/>
        <v>50814.314429999991</v>
      </c>
      <c r="P16" s="788">
        <f>'Dist. Gen. Forecast'!Z17</f>
        <v>117684.14688682696</v>
      </c>
      <c r="Q16" s="788">
        <f>'Dist. Gen. Forecast'!S17</f>
        <v>184913.45835706929</v>
      </c>
    </row>
    <row r="17" spans="2:18">
      <c r="B17" s="2" t="s">
        <v>235</v>
      </c>
      <c r="C17" s="787">
        <f>SUM(C12:C16)</f>
        <v>0</v>
      </c>
      <c r="D17" s="787">
        <f t="shared" ref="D17:N17" si="5">SUM(D12:D16)</f>
        <v>3618703271.2036414</v>
      </c>
      <c r="E17" s="787">
        <f t="shared" si="5"/>
        <v>3848828345.2662396</v>
      </c>
      <c r="F17" s="786">
        <f t="shared" si="5"/>
        <v>3831498913.7074542</v>
      </c>
      <c r="G17" s="786">
        <f t="shared" si="5"/>
        <v>3951695294.9917469</v>
      </c>
      <c r="H17" s="786">
        <f t="shared" si="5"/>
        <v>3896414064.225163</v>
      </c>
      <c r="I17" s="786">
        <f t="shared" si="5"/>
        <v>3796649800.5080032</v>
      </c>
      <c r="J17" s="786">
        <f>SUM(J12:J16)</f>
        <v>3909429421.5906253</v>
      </c>
      <c r="K17" s="786"/>
      <c r="L17" s="786">
        <f>SUM(L12:L16)</f>
        <v>3978322569.8987951</v>
      </c>
      <c r="M17" s="786">
        <f>SUM(M12:M16)</f>
        <v>3974016155.6643462</v>
      </c>
      <c r="N17" s="786">
        <f t="shared" si="5"/>
        <v>4021094569.1391964</v>
      </c>
      <c r="O17" s="786">
        <f>SUM(O12:O16)</f>
        <v>4020081805.7619491</v>
      </c>
      <c r="P17" s="786">
        <f>SUM(P12:P16)</f>
        <v>4005504291.0788159</v>
      </c>
      <c r="Q17" s="786">
        <f>SUM(Q12:Q16)</f>
        <v>4101039884.905107</v>
      </c>
    </row>
    <row r="18" spans="2:18" s="348" customFormat="1">
      <c r="B18" s="349" t="s">
        <v>140</v>
      </c>
      <c r="C18" s="791">
        <f>IFERROR((C12-C6)/C6,0)</f>
        <v>0</v>
      </c>
      <c r="D18" s="791">
        <f>(D17-D6)/D6</f>
        <v>3.3184912148333827E-3</v>
      </c>
      <c r="E18" s="791">
        <f t="shared" ref="E18" si="6">(E17-E6)/E6</f>
        <v>0</v>
      </c>
      <c r="F18" s="791">
        <f>(F17-F10)/F6</f>
        <v>-5.9090763502948913E-3</v>
      </c>
      <c r="G18" s="791">
        <f t="shared" ref="G18:N18" si="7">(G17-G10)/G6</f>
        <v>-1.7421530376398556E-3</v>
      </c>
      <c r="H18" s="791">
        <f t="shared" si="7"/>
        <v>-4.8601135224391884E-3</v>
      </c>
      <c r="I18" s="791">
        <f t="shared" si="7"/>
        <v>1.4253758795345821E-2</v>
      </c>
      <c r="J18" s="791">
        <f t="shared" si="7"/>
        <v>-5.4044184604016363E-3</v>
      </c>
      <c r="K18" s="786"/>
      <c r="L18" s="791"/>
      <c r="M18" s="791">
        <f t="shared" si="7"/>
        <v>3.319330221323614E-4</v>
      </c>
      <c r="N18" s="791">
        <f t="shared" si="7"/>
        <v>-1.0275429499724967E-3</v>
      </c>
      <c r="O18" s="791">
        <f>(O17-O10)/O6</f>
        <v>2.3259025641121692E-3</v>
      </c>
      <c r="P18" s="792"/>
      <c r="Q18" s="793"/>
      <c r="R18" s="350"/>
    </row>
    <row r="19" spans="2:18" ht="6" customHeight="1">
      <c r="B19" s="2"/>
      <c r="C19" s="794"/>
      <c r="D19" s="794"/>
      <c r="E19" s="794"/>
      <c r="F19" s="794"/>
      <c r="G19" s="794"/>
      <c r="H19" s="794"/>
      <c r="I19" s="794"/>
      <c r="J19" s="794"/>
      <c r="K19" s="786"/>
      <c r="L19" s="794"/>
      <c r="M19" s="795"/>
      <c r="N19" s="796"/>
      <c r="O19" s="796"/>
      <c r="P19" s="796"/>
      <c r="Q19" s="796"/>
    </row>
    <row r="20" spans="2:18" ht="16.5" customHeight="1" thickBot="1">
      <c r="B20" s="118" t="s">
        <v>141</v>
      </c>
      <c r="C20" s="797">
        <f>'Rate Class Energy Model'!H4</f>
        <v>3329496978</v>
      </c>
      <c r="D20" s="797">
        <f>'Rate Class Energy Model'!H5</f>
        <v>3483144427.000001</v>
      </c>
      <c r="E20" s="797">
        <f>'Rate Class Energy Model'!H6</f>
        <v>3723506554</v>
      </c>
      <c r="F20" s="797">
        <f>'Rate Class Energy Model'!H7</f>
        <v>3718723113.0000005</v>
      </c>
      <c r="G20" s="797">
        <f>'Rate Class Energy Model'!H8</f>
        <v>3839000000.0000005</v>
      </c>
      <c r="H20" s="797">
        <f>'Rate Class Energy Model'!H9</f>
        <v>3791763565.9999995</v>
      </c>
      <c r="I20" s="797">
        <f>'Rate Class Energy Model'!H10+I129</f>
        <v>3631910103.035718</v>
      </c>
      <c r="J20" s="797">
        <f>'Rate Class Energy Model'!H11+J129</f>
        <v>3807772781.6170011</v>
      </c>
      <c r="K20" s="797"/>
      <c r="L20" s="797">
        <v>3850115760.1599712</v>
      </c>
      <c r="M20" s="798">
        <f>'Rate Class Energy Model'!H12+M129+M145-SUM('WH MRK PART.'!I4:I15)</f>
        <v>3865234849.2617712</v>
      </c>
      <c r="N20" s="799">
        <f>'Rate Class Energy Model'!H13+N129+N145-SUM('WH MRK PART.'!I16:I27)</f>
        <v>3909965087.9834805</v>
      </c>
      <c r="O20" s="799">
        <f>'Rate Class Energy Model'!H14+O129+O145-SUM('WH MRK PART.'!I28:I39)</f>
        <v>3877058755.2574124</v>
      </c>
      <c r="P20" s="799">
        <f>'Rate Class Energy Model'!H77+'Rate Class Energy Model'!S82</f>
        <v>3879975810.415029</v>
      </c>
      <c r="Q20" s="799">
        <f>'Rate Class Energy Model'!H78+'Rate Class Energy Model'!S83</f>
        <v>3972635062.5123034</v>
      </c>
    </row>
    <row r="21" spans="2:18">
      <c r="B21" s="1"/>
      <c r="C21" s="800"/>
      <c r="D21" s="801"/>
      <c r="E21" s="800">
        <f>+E17/D17</f>
        <v>1.0635932423345822</v>
      </c>
      <c r="F21" s="800">
        <f t="shared" ref="F21" si="8">+F17/E17</f>
        <v>0.99549747871190486</v>
      </c>
      <c r="G21" s="800">
        <f t="shared" ref="G21:Q21" si="9">+G17/F17</f>
        <v>1.0313705899417802</v>
      </c>
      <c r="H21" s="800">
        <f t="shared" si="9"/>
        <v>0.98601075572890307</v>
      </c>
      <c r="I21" s="800">
        <f>+I17/H17</f>
        <v>0.97439587731880373</v>
      </c>
      <c r="J21" s="800">
        <f>+J17/I17</f>
        <v>1.0297050365476246</v>
      </c>
      <c r="K21" s="800"/>
      <c r="L21" s="800"/>
      <c r="M21" s="800">
        <f>+M17/L17</f>
        <v>0.99891753015026163</v>
      </c>
      <c r="N21" s="800">
        <f>+N17/M17</f>
        <v>1.0118465581494296</v>
      </c>
      <c r="O21" s="800">
        <f t="shared" si="9"/>
        <v>0.99974813738900348</v>
      </c>
      <c r="P21" s="800">
        <f t="shared" si="9"/>
        <v>0.99637382635790162</v>
      </c>
      <c r="Q21" s="800">
        <f t="shared" si="9"/>
        <v>1.0238510776381069</v>
      </c>
    </row>
    <row r="22" spans="2:18" ht="15.6">
      <c r="B22" s="343" t="s">
        <v>142</v>
      </c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773"/>
      <c r="O22" s="773"/>
      <c r="P22" s="772"/>
      <c r="Q22" s="773"/>
    </row>
    <row r="23" spans="2:18" ht="16.2" thickBot="1">
      <c r="B23" s="34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773"/>
      <c r="O23" s="773"/>
      <c r="P23" s="773"/>
      <c r="Q23" s="802"/>
    </row>
    <row r="24" spans="2:18">
      <c r="B24" s="351" t="s">
        <v>53</v>
      </c>
      <c r="C24" s="769"/>
      <c r="D24" s="769"/>
      <c r="E24" s="769"/>
      <c r="F24" s="769"/>
      <c r="G24" s="769"/>
      <c r="H24" s="769"/>
      <c r="I24" s="769"/>
      <c r="J24" s="769"/>
      <c r="K24" s="769"/>
      <c r="L24" s="769"/>
      <c r="M24" s="769"/>
      <c r="N24" s="770"/>
      <c r="O24" s="770"/>
      <c r="P24" s="770"/>
      <c r="Q24" s="796"/>
      <c r="R24" s="36"/>
    </row>
    <row r="25" spans="2:18">
      <c r="B25" s="4" t="s">
        <v>143</v>
      </c>
      <c r="C25" s="377">
        <f>'Rate Class Customer Model'!C6</f>
        <v>91671</v>
      </c>
      <c r="D25" s="377">
        <f>'Rate Class Customer Model'!C7</f>
        <v>98354.5</v>
      </c>
      <c r="E25" s="377">
        <f>'Rate Class Customer Model'!C8</f>
        <v>104821.5</v>
      </c>
      <c r="F25" s="377">
        <f>'Rate Class Customer Model'!C9</f>
        <v>109778.16666666667</v>
      </c>
      <c r="G25" s="377">
        <f>'Rate Class Customer Model'!C10</f>
        <v>114118.83333333333</v>
      </c>
      <c r="H25" s="377">
        <f>'Rate Class Customer Model'!C11</f>
        <v>119060</v>
      </c>
      <c r="I25" s="377">
        <f>'Rate Class Customer Model'!C12</f>
        <v>121040.83333333333</v>
      </c>
      <c r="J25" s="377">
        <f>'Rate Class Customer Model'!C13</f>
        <v>123012.66666666667</v>
      </c>
      <c r="K25" s="377"/>
      <c r="L25" s="377">
        <v>124915.99999990324</v>
      </c>
      <c r="M25" s="377">
        <f>'Rate Class Customer Model'!C14</f>
        <v>126316.66666666667</v>
      </c>
      <c r="N25" s="371">
        <f>'Rate Class Customer Model'!C15</f>
        <v>129698.83333333333</v>
      </c>
      <c r="O25" s="371">
        <f>'Rate Class Customer Model'!C16</f>
        <v>133722.83333333334</v>
      </c>
      <c r="P25" s="371">
        <f>'Rate Class Customer Model'!C17</f>
        <v>137303.07943061844</v>
      </c>
      <c r="Q25" s="371">
        <f>'Rate Class Customer Model'!C18</f>
        <v>140979.18172386952</v>
      </c>
      <c r="R25" s="493"/>
    </row>
    <row r="26" spans="2:18">
      <c r="B26" s="4" t="s">
        <v>144</v>
      </c>
      <c r="C26" s="377">
        <f>kWh!D79</f>
        <v>918500653</v>
      </c>
      <c r="D26" s="377">
        <f>kWh!M79</f>
        <v>933248820.28987145</v>
      </c>
      <c r="E26" s="377">
        <f>kWh!V79</f>
        <v>1066310557</v>
      </c>
      <c r="F26" s="377">
        <f>kWh!AE79</f>
        <v>1041609066.9531491</v>
      </c>
      <c r="G26" s="377">
        <f>kWh!AN79</f>
        <v>1102238845.1530476</v>
      </c>
      <c r="H26" s="377">
        <f>kWh!AW79</f>
        <v>1093308663.4511402</v>
      </c>
      <c r="I26" s="377">
        <f>kWh!BF79</f>
        <v>1088557819</v>
      </c>
      <c r="J26" s="377">
        <f>+kWh!BO79</f>
        <v>1171315280</v>
      </c>
      <c r="K26" s="807"/>
      <c r="L26" s="377">
        <v>1123427772.1634932</v>
      </c>
      <c r="M26" s="377">
        <f>+kWh!BX79</f>
        <v>1190237359</v>
      </c>
      <c r="N26" s="377">
        <f>+kWh!CG79</f>
        <v>1212040627</v>
      </c>
      <c r="O26" s="377">
        <f>+kWh!CP79</f>
        <v>1198023626</v>
      </c>
      <c r="P26" s="371">
        <f>'Rate Class Energy Model'!I77</f>
        <v>1249454159.1945403</v>
      </c>
      <c r="Q26" s="371">
        <f>'Rate Class Energy Model'!I78</f>
        <v>1308264983.2731071</v>
      </c>
    </row>
    <row r="27" spans="2:18">
      <c r="B27" s="495" t="s">
        <v>270</v>
      </c>
      <c r="C27" s="377">
        <f>C26/C25</f>
        <v>10019.533472963096</v>
      </c>
      <c r="D27" s="377">
        <f>D26/D25</f>
        <v>9488.6235026345657</v>
      </c>
      <c r="E27" s="377">
        <f>E26/E25</f>
        <v>10172.632112686806</v>
      </c>
      <c r="F27" s="377">
        <f t="shared" ref="F27:L27" si="10">F26/F25</f>
        <v>9488.3080905870684</v>
      </c>
      <c r="G27" s="377">
        <f t="shared" si="10"/>
        <v>9658.6935999729612</v>
      </c>
      <c r="H27" s="377">
        <f t="shared" si="10"/>
        <v>9182.8377578627606</v>
      </c>
      <c r="I27" s="377">
        <f t="shared" si="10"/>
        <v>8993.3106789031262</v>
      </c>
      <c r="J27" s="377">
        <f t="shared" si="10"/>
        <v>9521.907879405373</v>
      </c>
      <c r="K27" s="806"/>
      <c r="L27" s="377">
        <f t="shared" si="10"/>
        <v>8993.4657863233151</v>
      </c>
      <c r="M27" s="377">
        <f t="shared" ref="M27" si="11">M26/M25</f>
        <v>9422.6469903681227</v>
      </c>
      <c r="N27" s="377">
        <f t="shared" ref="N27" si="12">N26/N25</f>
        <v>9345.0387782979287</v>
      </c>
      <c r="O27" s="377">
        <f t="shared" ref="O27" si="13">O26/O25</f>
        <v>8959.0056996000421</v>
      </c>
      <c r="P27" s="377">
        <f t="shared" ref="P27:Q27" si="14">P26/P25</f>
        <v>9099.9718606159186</v>
      </c>
      <c r="Q27" s="377">
        <f t="shared" si="14"/>
        <v>9279.8452032127352</v>
      </c>
    </row>
    <row r="28" spans="2:18">
      <c r="B28" s="4" t="s">
        <v>266</v>
      </c>
      <c r="C28" s="377"/>
      <c r="D28" s="377">
        <f>D25-C25</f>
        <v>6683.5</v>
      </c>
      <c r="E28" s="377">
        <f t="shared" ref="E28:Q28" si="15">E25-D25</f>
        <v>6467</v>
      </c>
      <c r="F28" s="377">
        <f t="shared" si="15"/>
        <v>4956.6666666666715</v>
      </c>
      <c r="G28" s="377">
        <f t="shared" si="15"/>
        <v>4340.666666666657</v>
      </c>
      <c r="H28" s="377">
        <f t="shared" si="15"/>
        <v>4941.1666666666715</v>
      </c>
      <c r="I28" s="377">
        <f t="shared" si="15"/>
        <v>1980.8333333333285</v>
      </c>
      <c r="J28" s="377">
        <f>J25-I25</f>
        <v>1971.833333333343</v>
      </c>
      <c r="K28" s="377">
        <f>M25-J25</f>
        <v>3304</v>
      </c>
      <c r="L28" s="377"/>
      <c r="M28" s="377">
        <f>M25-L25</f>
        <v>1400.6666667634272</v>
      </c>
      <c r="N28" s="377">
        <f t="shared" si="15"/>
        <v>3382.166666666657</v>
      </c>
      <c r="O28" s="377">
        <f t="shared" si="15"/>
        <v>4024.0000000000146</v>
      </c>
      <c r="P28" s="377">
        <f t="shared" si="15"/>
        <v>3580.2460972850968</v>
      </c>
      <c r="Q28" s="377">
        <f t="shared" si="15"/>
        <v>3676.1022932510823</v>
      </c>
    </row>
    <row r="29" spans="2:18">
      <c r="B29" s="4" t="s">
        <v>268</v>
      </c>
      <c r="C29" s="377"/>
      <c r="D29" s="377">
        <f>D26-C26</f>
        <v>14748167.289871454</v>
      </c>
      <c r="E29" s="377">
        <f>E26-D26</f>
        <v>133061736.71012855</v>
      </c>
      <c r="F29" s="807">
        <f>F26-E26</f>
        <v>-24701490.04685092</v>
      </c>
      <c r="G29" s="807">
        <f t="shared" ref="G29:Q29" si="16">G26-F26</f>
        <v>60629778.199898481</v>
      </c>
      <c r="H29" s="807">
        <f t="shared" si="16"/>
        <v>-8930181.7019073963</v>
      </c>
      <c r="I29" s="807">
        <f t="shared" si="16"/>
        <v>-4750844.4511401653</v>
      </c>
      <c r="J29" s="377">
        <f>J26-I26</f>
        <v>82757461</v>
      </c>
      <c r="K29" s="377">
        <f>M26-J26</f>
        <v>18922079</v>
      </c>
      <c r="L29" s="377"/>
      <c r="M29" s="377">
        <f>M26-L26</f>
        <v>66809586.836506844</v>
      </c>
      <c r="N29" s="377">
        <f>N26-M26</f>
        <v>21803268</v>
      </c>
      <c r="O29" s="807">
        <f t="shared" si="16"/>
        <v>-14017001</v>
      </c>
      <c r="P29" s="377">
        <f t="shared" si="16"/>
        <v>51430533.194540262</v>
      </c>
      <c r="Q29" s="377">
        <f t="shared" si="16"/>
        <v>58810824.07856679</v>
      </c>
    </row>
    <row r="30" spans="2:18">
      <c r="B30" s="495" t="s">
        <v>274</v>
      </c>
      <c r="C30" s="377"/>
      <c r="D30" s="807">
        <f>D27-C27</f>
        <v>-530.90997032853011</v>
      </c>
      <c r="E30" s="807">
        <f t="shared" ref="E30:Q30" si="17">E27-D27</f>
        <v>684.00861005224033</v>
      </c>
      <c r="F30" s="807">
        <f t="shared" si="17"/>
        <v>-684.3240220997377</v>
      </c>
      <c r="G30" s="807">
        <f t="shared" si="17"/>
        <v>170.38550938589287</v>
      </c>
      <c r="H30" s="807">
        <f t="shared" si="17"/>
        <v>-475.85584211020068</v>
      </c>
      <c r="I30" s="807">
        <f t="shared" si="17"/>
        <v>-189.52707895963431</v>
      </c>
      <c r="J30" s="807">
        <f>J27-I27</f>
        <v>528.59720050224678</v>
      </c>
      <c r="K30" s="806">
        <f t="shared" ref="K30" si="18">M27-J27</f>
        <v>-99.260889037250308</v>
      </c>
      <c r="L30" s="377"/>
      <c r="M30" s="377">
        <f t="shared" si="17"/>
        <v>429.1812040448076</v>
      </c>
      <c r="N30" s="807">
        <f t="shared" si="17"/>
        <v>-77.608212070193986</v>
      </c>
      <c r="O30" s="807">
        <f t="shared" si="17"/>
        <v>-386.03307869788659</v>
      </c>
      <c r="P30" s="377">
        <f t="shared" si="17"/>
        <v>140.96616101587642</v>
      </c>
      <c r="Q30" s="377">
        <f t="shared" si="17"/>
        <v>179.87334259681666</v>
      </c>
    </row>
    <row r="31" spans="2:18">
      <c r="B31" s="4" t="s">
        <v>267</v>
      </c>
      <c r="C31" s="377"/>
      <c r="D31" s="376">
        <f t="shared" ref="D31:O32" si="19">D25/C25</f>
        <v>1.0729074625563155</v>
      </c>
      <c r="E31" s="376">
        <f t="shared" si="19"/>
        <v>1.0657519483094318</v>
      </c>
      <c r="F31" s="376">
        <f t="shared" si="19"/>
        <v>1.0472867366586689</v>
      </c>
      <c r="G31" s="376">
        <f t="shared" si="19"/>
        <v>1.0395403457578845</v>
      </c>
      <c r="H31" s="376">
        <f t="shared" si="19"/>
        <v>1.0432984330661168</v>
      </c>
      <c r="I31" s="376">
        <f t="shared" si="19"/>
        <v>1.0166372697239487</v>
      </c>
      <c r="J31" s="376">
        <f>J25/I25</f>
        <v>1.0162906457187313</v>
      </c>
      <c r="K31" s="376">
        <f>M25/J25</f>
        <v>1.0268590226480743</v>
      </c>
      <c r="L31" s="376"/>
      <c r="M31" s="376">
        <f t="shared" si="19"/>
        <v>1.0112128683816686</v>
      </c>
      <c r="N31" s="376">
        <f t="shared" si="19"/>
        <v>1.0267753001715265</v>
      </c>
      <c r="O31" s="376">
        <f t="shared" si="19"/>
        <v>1.0310257224107646</v>
      </c>
      <c r="P31" s="376">
        <f t="shared" ref="P31:Q31" si="20">P28/O25</f>
        <v>2.6773633253496448E-2</v>
      </c>
      <c r="Q31" s="376">
        <f t="shared" si="20"/>
        <v>2.6773633253496538E-2</v>
      </c>
    </row>
    <row r="32" spans="2:18">
      <c r="B32" s="4" t="s">
        <v>269</v>
      </c>
      <c r="C32" s="377"/>
      <c r="D32" s="822">
        <f t="shared" si="19"/>
        <v>1.0160567847629733</v>
      </c>
      <c r="E32" s="376">
        <f t="shared" ref="E32:Q32" si="21">E29/D26</f>
        <v>0.14257905696446416</v>
      </c>
      <c r="F32" s="376">
        <f t="shared" si="21"/>
        <v>-2.3165380746437567E-2</v>
      </c>
      <c r="G32" s="376">
        <f t="shared" si="21"/>
        <v>5.8207805714718848E-2</v>
      </c>
      <c r="H32" s="822">
        <f t="shared" ref="H32" si="22">H26/G26</f>
        <v>0.99189814281979205</v>
      </c>
      <c r="I32" s="376">
        <f t="shared" si="21"/>
        <v>-4.345382607820596E-3</v>
      </c>
      <c r="J32" s="376">
        <f t="shared" si="21"/>
        <v>7.6024864784881033E-2</v>
      </c>
      <c r="K32" s="376">
        <f>M26/J26</f>
        <v>1.0161545566109238</v>
      </c>
      <c r="L32" s="376"/>
      <c r="M32" s="376">
        <f t="shared" si="21"/>
        <v>5.9469410043019665E-2</v>
      </c>
      <c r="N32" s="376">
        <f t="shared" si="21"/>
        <v>1.8318420132870321E-2</v>
      </c>
      <c r="O32" s="376">
        <f t="shared" si="21"/>
        <v>-1.1564794684064662E-2</v>
      </c>
      <c r="P32" s="376">
        <f t="shared" si="21"/>
        <v>4.2929481588153809E-2</v>
      </c>
      <c r="Q32" s="376">
        <f t="shared" si="21"/>
        <v>4.7069213100606383E-2</v>
      </c>
    </row>
    <row r="33" spans="2:19" ht="13.8" thickBot="1">
      <c r="B33" s="495" t="s">
        <v>271</v>
      </c>
      <c r="C33" s="376"/>
      <c r="D33" s="822">
        <f>D27/C27</f>
        <v>0.94701250594539677</v>
      </c>
      <c r="E33" s="822">
        <f t="shared" ref="E33:O33" si="23">E27/D27</f>
        <v>1.0720872326594391</v>
      </c>
      <c r="F33" s="822">
        <f t="shared" si="23"/>
        <v>0.93272891278096237</v>
      </c>
      <c r="G33" s="822">
        <f t="shared" si="23"/>
        <v>1.0179574174614887</v>
      </c>
      <c r="H33" s="822">
        <f>H27/G27</f>
        <v>0.9507328980689963</v>
      </c>
      <c r="I33" s="822">
        <f t="shared" si="23"/>
        <v>0.97936072879025304</v>
      </c>
      <c r="J33" s="822">
        <f t="shared" si="23"/>
        <v>1.0587767085309587</v>
      </c>
      <c r="K33" s="823">
        <f>M27/J27</f>
        <v>0.9895755251684446</v>
      </c>
      <c r="L33" s="822"/>
      <c r="M33" s="823">
        <f>M27/L27</f>
        <v>1.0477214473531971</v>
      </c>
      <c r="N33" s="823">
        <f t="shared" si="23"/>
        <v>0.99176365068652939</v>
      </c>
      <c r="O33" s="823">
        <f t="shared" si="23"/>
        <v>0.95869112072660689</v>
      </c>
      <c r="P33" s="766">
        <f t="shared" ref="P33:Q33" si="24">(P27-O27)/O27</f>
        <v>1.5734576552637932E-2</v>
      </c>
      <c r="Q33" s="766">
        <f t="shared" si="24"/>
        <v>1.976636250660254E-2</v>
      </c>
      <c r="S33" s="604"/>
    </row>
    <row r="34" spans="2:19">
      <c r="B34" s="351" t="s">
        <v>47</v>
      </c>
      <c r="C34" s="769"/>
      <c r="D34" s="769"/>
      <c r="E34" s="769"/>
      <c r="F34" s="769"/>
      <c r="G34" s="769"/>
      <c r="H34" s="769"/>
      <c r="I34" s="769"/>
      <c r="J34" s="769"/>
      <c r="K34" s="769"/>
      <c r="L34" s="769"/>
      <c r="M34" s="769"/>
      <c r="N34" s="770"/>
      <c r="O34" s="770"/>
      <c r="P34" s="796"/>
      <c r="Q34" s="796"/>
      <c r="S34" s="456"/>
    </row>
    <row r="35" spans="2:19">
      <c r="B35" s="4" t="s">
        <v>143</v>
      </c>
      <c r="C35" s="377">
        <f>'Rate Class Customer Model'!D6</f>
        <v>6511.75</v>
      </c>
      <c r="D35" s="377">
        <f>'Rate Class Customer Model'!D7</f>
        <v>6648.25</v>
      </c>
      <c r="E35" s="377">
        <f>'Rate Class Customer Model'!D8</f>
        <v>6891.666666666667</v>
      </c>
      <c r="F35" s="377">
        <f>'Rate Class Customer Model'!D9</f>
        <v>7075.333333333333</v>
      </c>
      <c r="G35" s="377">
        <f>'Rate Class Customer Model'!D10</f>
        <v>7294.333333333333</v>
      </c>
      <c r="H35" s="377">
        <f>'Rate Class Customer Model'!D11</f>
        <v>7436.75</v>
      </c>
      <c r="I35" s="377">
        <f>'Rate Class Customer Model'!D12</f>
        <v>7528.75</v>
      </c>
      <c r="J35" s="377">
        <f>'Rate Class Customer Model'!D13</f>
        <v>7751.5</v>
      </c>
      <c r="K35" s="377"/>
      <c r="L35" s="377">
        <v>7892.9535566663899</v>
      </c>
      <c r="M35" s="377">
        <f>'Rate Class Customer Model'!D14</f>
        <v>8080.333333333333</v>
      </c>
      <c r="N35" s="371">
        <f>'Rate Class Customer Model'!D15</f>
        <v>8327.5833333333339</v>
      </c>
      <c r="O35" s="371">
        <f>'Rate Class Customer Model'!D16</f>
        <v>8531.9166666666661</v>
      </c>
      <c r="P35" s="371">
        <f>'Rate Class Customer Model'!D17</f>
        <v>8757.7008210179465</v>
      </c>
      <c r="Q35" s="371">
        <f>'Rate Class Customer Model'!D18</f>
        <v>8989.4600084535614</v>
      </c>
    </row>
    <row r="36" spans="2:19">
      <c r="B36" s="4" t="s">
        <v>144</v>
      </c>
      <c r="C36" s="377">
        <f>kWh!F79</f>
        <v>261424109.25028968</v>
      </c>
      <c r="D36" s="377">
        <f>kWh!O79</f>
        <v>264116354.38468543</v>
      </c>
      <c r="E36" s="377">
        <f>kWh!X79</f>
        <v>288084105.89146394</v>
      </c>
      <c r="F36" s="377">
        <f>kWh!AG79</f>
        <v>282703765.98419368</v>
      </c>
      <c r="G36" s="377">
        <f>kWh!AP79</f>
        <v>298781693.03695661</v>
      </c>
      <c r="H36" s="377">
        <f>kWh!AY79</f>
        <v>288887931.38641804</v>
      </c>
      <c r="I36" s="377">
        <f>kWh!BH79</f>
        <v>283991997.44998068</v>
      </c>
      <c r="J36" s="377">
        <f>+kWh!BQ79</f>
        <v>291782860</v>
      </c>
      <c r="K36" s="377"/>
      <c r="L36" s="377">
        <v>291481574.35899746</v>
      </c>
      <c r="M36" s="377">
        <f>+kWh!BZ79</f>
        <v>309962282.28999996</v>
      </c>
      <c r="N36" s="377">
        <f>+kWh!CI79</f>
        <v>315917674.04000002</v>
      </c>
      <c r="O36" s="377">
        <f>+kWh!CR79</f>
        <v>323299858.31000006</v>
      </c>
      <c r="P36" s="371">
        <f>'Rate Class Energy Model'!J77</f>
        <v>338649622.87125695</v>
      </c>
      <c r="Q36" s="371">
        <f>'Rate Class Energy Model'!J78</f>
        <v>354668870.2835499</v>
      </c>
      <c r="R36" s="456"/>
    </row>
    <row r="37" spans="2:19">
      <c r="B37" s="495" t="s">
        <v>270</v>
      </c>
      <c r="C37" s="377">
        <f>C36/C35</f>
        <v>40146.521173308203</v>
      </c>
      <c r="D37" s="377">
        <f>D36/D35</f>
        <v>39727.199546449883</v>
      </c>
      <c r="E37" s="377">
        <f>E36/E35</f>
        <v>41801.804966113268</v>
      </c>
      <c r="F37" s="377">
        <f t="shared" ref="F37" si="25">F36/F35</f>
        <v>39956.246959039905</v>
      </c>
      <c r="G37" s="377">
        <f t="shared" ref="G37" si="26">G36/G35</f>
        <v>40960.795097147093</v>
      </c>
      <c r="H37" s="377">
        <f t="shared" ref="H37" si="27">H36/H35</f>
        <v>38845.9920511538</v>
      </c>
      <c r="I37" s="377">
        <f t="shared" ref="I37" si="28">I36/I35</f>
        <v>37721.002483809491</v>
      </c>
      <c r="J37" s="377">
        <f t="shared" ref="J37" si="29">J36/J35</f>
        <v>37642.115719538153</v>
      </c>
      <c r="K37" s="377"/>
      <c r="L37" s="377">
        <f t="shared" ref="L37" si="30">L36/L35</f>
        <v>36929.341122603219</v>
      </c>
      <c r="M37" s="377">
        <f t="shared" ref="M37" si="31">M36/M35</f>
        <v>38360.08608844519</v>
      </c>
      <c r="N37" s="377">
        <f t="shared" ref="N37" si="32">N36/N35</f>
        <v>37936.296929681477</v>
      </c>
      <c r="O37" s="377">
        <f t="shared" ref="O37" si="33">O36/O35</f>
        <v>37892.992974614936</v>
      </c>
      <c r="P37" s="377">
        <f t="shared" ref="P37" si="34">P36/P35</f>
        <v>38668.781886053766</v>
      </c>
      <c r="Q37" s="377">
        <f t="shared" ref="Q37" si="35">Q36/Q35</f>
        <v>39453.857067056786</v>
      </c>
      <c r="R37" s="456"/>
    </row>
    <row r="38" spans="2:19">
      <c r="B38" s="4" t="s">
        <v>266</v>
      </c>
      <c r="C38" s="377"/>
      <c r="D38" s="377">
        <f>D35-C35</f>
        <v>136.5</v>
      </c>
      <c r="E38" s="377">
        <f t="shared" ref="E38:J38" si="36">E35-D35</f>
        <v>243.41666666666697</v>
      </c>
      <c r="F38" s="377">
        <f t="shared" si="36"/>
        <v>183.66666666666606</v>
      </c>
      <c r="G38" s="377">
        <f t="shared" si="36"/>
        <v>219</v>
      </c>
      <c r="H38" s="377">
        <f t="shared" si="36"/>
        <v>142.41666666666697</v>
      </c>
      <c r="I38" s="377">
        <f t="shared" si="36"/>
        <v>92</v>
      </c>
      <c r="J38" s="377">
        <f t="shared" si="36"/>
        <v>222.75</v>
      </c>
      <c r="K38" s="377">
        <f>M35-J35</f>
        <v>328.83333333333303</v>
      </c>
      <c r="L38" s="377"/>
      <c r="M38" s="377">
        <f>M35-L35</f>
        <v>187.37977666694314</v>
      </c>
      <c r="N38" s="377">
        <f t="shared" ref="N38:Q38" si="37">N35-M35</f>
        <v>247.25000000000091</v>
      </c>
      <c r="O38" s="377">
        <f t="shared" si="37"/>
        <v>204.33333333333212</v>
      </c>
      <c r="P38" s="377">
        <f t="shared" si="37"/>
        <v>225.78415435128045</v>
      </c>
      <c r="Q38" s="377">
        <f t="shared" si="37"/>
        <v>231.75918743561488</v>
      </c>
      <c r="R38" s="456"/>
    </row>
    <row r="39" spans="2:19">
      <c r="B39" s="4" t="s">
        <v>268</v>
      </c>
      <c r="C39" s="377"/>
      <c r="D39" s="807">
        <f>D36-C36</f>
        <v>2692245.1343957484</v>
      </c>
      <c r="E39" s="807">
        <f>E36-D36</f>
        <v>23967751.506778508</v>
      </c>
      <c r="F39" s="807">
        <f>F36-E36</f>
        <v>-5380339.9072702527</v>
      </c>
      <c r="G39" s="807">
        <f t="shared" ref="G39:I39" si="38">G36-F36</f>
        <v>16077927.052762926</v>
      </c>
      <c r="H39" s="807">
        <f t="shared" si="38"/>
        <v>-9893761.6505385637</v>
      </c>
      <c r="I39" s="807">
        <f t="shared" si="38"/>
        <v>-4895933.9364373684</v>
      </c>
      <c r="J39" s="807">
        <f>J36-I36</f>
        <v>7790862.5500193238</v>
      </c>
      <c r="K39" s="377">
        <f>M36-J36</f>
        <v>18179422.289999962</v>
      </c>
      <c r="L39" s="807"/>
      <c r="M39" s="807">
        <f>M36-L36</f>
        <v>18480707.931002498</v>
      </c>
      <c r="N39" s="807">
        <f>N36-M36</f>
        <v>5955391.7500000596</v>
      </c>
      <c r="O39" s="807">
        <f t="shared" ref="O39:Q39" si="39">O36-N36</f>
        <v>7382184.2700000405</v>
      </c>
      <c r="P39" s="807">
        <f t="shared" si="39"/>
        <v>15349764.561256886</v>
      </c>
      <c r="Q39" s="807">
        <f t="shared" si="39"/>
        <v>16019247.412292957</v>
      </c>
      <c r="R39" s="432"/>
    </row>
    <row r="40" spans="2:19">
      <c r="B40" s="495" t="s">
        <v>274</v>
      </c>
      <c r="C40" s="377"/>
      <c r="D40" s="807">
        <f>D37-C37</f>
        <v>-419.32162685832009</v>
      </c>
      <c r="E40" s="807">
        <f t="shared" ref="E40:Q40" si="40">E37-D37</f>
        <v>2074.605419663385</v>
      </c>
      <c r="F40" s="807">
        <f t="shared" si="40"/>
        <v>-1845.5580070733631</v>
      </c>
      <c r="G40" s="807">
        <f t="shared" si="40"/>
        <v>1004.5481381071877</v>
      </c>
      <c r="H40" s="807">
        <f t="shared" si="40"/>
        <v>-2114.8030459932925</v>
      </c>
      <c r="I40" s="807">
        <f t="shared" si="40"/>
        <v>-1124.9895673443098</v>
      </c>
      <c r="J40" s="807">
        <f>J37-I37</f>
        <v>-78.886764271337597</v>
      </c>
      <c r="K40" s="806">
        <f t="shared" ref="K40" si="41">M37-J37</f>
        <v>717.97036890703748</v>
      </c>
      <c r="L40" s="807"/>
      <c r="M40" s="807">
        <f>M37-L37</f>
        <v>1430.7449658419719</v>
      </c>
      <c r="N40" s="807">
        <f t="shared" si="40"/>
        <v>-423.7891587637132</v>
      </c>
      <c r="O40" s="807">
        <f t="shared" si="40"/>
        <v>-43.303955066541675</v>
      </c>
      <c r="P40" s="807">
        <f t="shared" si="40"/>
        <v>775.78891143883084</v>
      </c>
      <c r="Q40" s="807">
        <f t="shared" si="40"/>
        <v>785.07518100301968</v>
      </c>
      <c r="R40" s="432"/>
    </row>
    <row r="41" spans="2:19">
      <c r="B41" s="4" t="s">
        <v>267</v>
      </c>
      <c r="C41" s="377"/>
      <c r="D41" s="376">
        <f t="shared" ref="D41:J42" si="42">D38/C35</f>
        <v>2.0962106960494491E-2</v>
      </c>
      <c r="E41" s="376">
        <f t="shared" si="42"/>
        <v>3.6613645194850823E-2</v>
      </c>
      <c r="F41" s="376">
        <f t="shared" si="42"/>
        <v>2.6650544135429173E-2</v>
      </c>
      <c r="G41" s="376">
        <f t="shared" si="42"/>
        <v>3.0952605295392444E-2</v>
      </c>
      <c r="H41" s="376">
        <f t="shared" si="42"/>
        <v>1.952428826029342E-2</v>
      </c>
      <c r="I41" s="376">
        <f t="shared" si="42"/>
        <v>1.2370995394493562E-2</v>
      </c>
      <c r="J41" s="376">
        <f t="shared" si="42"/>
        <v>2.9586584758426033E-2</v>
      </c>
      <c r="K41" s="376">
        <f>M35/J35</f>
        <v>1.0424218968371712</v>
      </c>
      <c r="L41" s="376"/>
      <c r="M41" s="376">
        <f t="shared" ref="M41:Q42" si="43">M38/L35</f>
        <v>2.3740134199659917E-2</v>
      </c>
      <c r="N41" s="376">
        <f t="shared" si="43"/>
        <v>3.0598985190380047E-2</v>
      </c>
      <c r="O41" s="376">
        <f t="shared" si="43"/>
        <v>2.4536930482032454E-2</v>
      </c>
      <c r="P41" s="376">
        <f t="shared" si="43"/>
        <v>2.6463473938206201E-2</v>
      </c>
      <c r="Q41" s="376">
        <f t="shared" si="43"/>
        <v>2.6463473938206132E-2</v>
      </c>
      <c r="R41" s="456"/>
    </row>
    <row r="42" spans="2:19">
      <c r="B42" s="4" t="s">
        <v>269</v>
      </c>
      <c r="C42" s="377"/>
      <c r="D42" s="376">
        <f t="shared" si="42"/>
        <v>1.0298381209432255E-2</v>
      </c>
      <c r="E42" s="376">
        <f t="shared" si="42"/>
        <v>9.0746942053688509E-2</v>
      </c>
      <c r="F42" s="376">
        <f t="shared" si="42"/>
        <v>-1.8676281673440542E-2</v>
      </c>
      <c r="G42" s="376">
        <f t="shared" si="42"/>
        <v>5.6871994601097257E-2</v>
      </c>
      <c r="H42" s="376">
        <f t="shared" si="42"/>
        <v>-3.311368092861966E-2</v>
      </c>
      <c r="I42" s="376">
        <f t="shared" si="42"/>
        <v>-1.6947519797525016E-2</v>
      </c>
      <c r="J42" s="376">
        <f t="shared" si="42"/>
        <v>2.7433387630549425E-2</v>
      </c>
      <c r="K42" s="376">
        <f>M36/J36</f>
        <v>1.0623046271120928</v>
      </c>
      <c r="L42" s="376"/>
      <c r="M42" s="376">
        <f t="shared" si="43"/>
        <v>6.3402662661074777E-2</v>
      </c>
      <c r="N42" s="376">
        <f t="shared" si="43"/>
        <v>1.9213278809284962E-2</v>
      </c>
      <c r="O42" s="376">
        <f t="shared" si="43"/>
        <v>2.336743043083225E-2</v>
      </c>
      <c r="P42" s="376">
        <f t="shared" si="43"/>
        <v>4.7478414130755896E-2</v>
      </c>
      <c r="Q42" s="376">
        <f t="shared" si="43"/>
        <v>4.7303307992706461E-2</v>
      </c>
      <c r="R42" s="456"/>
    </row>
    <row r="43" spans="2:19" s="348" customFormat="1" ht="13.8" thickBot="1">
      <c r="B43" s="495" t="s">
        <v>271</v>
      </c>
      <c r="C43" s="376"/>
      <c r="D43" s="823">
        <f t="shared" ref="D43:G43" si="44">D37/C37</f>
        <v>0.98955521886820141</v>
      </c>
      <c r="E43" s="823">
        <f t="shared" si="44"/>
        <v>1.0522212852491077</v>
      </c>
      <c r="F43" s="823">
        <f t="shared" si="44"/>
        <v>0.95584980101769601</v>
      </c>
      <c r="G43" s="823">
        <f t="shared" si="44"/>
        <v>1.0251412035554033</v>
      </c>
      <c r="H43" s="823">
        <f>H37/G37</f>
        <v>0.94837006847700112</v>
      </c>
      <c r="I43" s="823">
        <f t="shared" ref="I43:Q43" si="45">I37/H37</f>
        <v>0.97103975190380298</v>
      </c>
      <c r="J43" s="823">
        <f>J37/I37</f>
        <v>0.99790867794923543</v>
      </c>
      <c r="K43" s="823">
        <f>M37/J37</f>
        <v>1.0190735923096472</v>
      </c>
      <c r="L43" s="823"/>
      <c r="M43" s="823">
        <f>M37/L37</f>
        <v>1.0387427699046128</v>
      </c>
      <c r="N43" s="823">
        <f t="shared" si="45"/>
        <v>0.98895234077977301</v>
      </c>
      <c r="O43" s="823">
        <f>O37/N37</f>
        <v>0.99885850864287551</v>
      </c>
      <c r="P43" s="823">
        <f t="shared" si="45"/>
        <v>1.0204731495334387</v>
      </c>
      <c r="Q43" s="823">
        <f t="shared" si="45"/>
        <v>1.0203025578441136</v>
      </c>
      <c r="R43" s="456"/>
    </row>
    <row r="44" spans="2:19">
      <c r="B44" s="351" t="s">
        <v>46</v>
      </c>
      <c r="C44" s="769"/>
      <c r="D44" s="769"/>
      <c r="E44" s="769"/>
      <c r="F44" s="769"/>
      <c r="G44" s="769"/>
      <c r="H44" s="769"/>
      <c r="I44" s="769"/>
      <c r="J44" s="769"/>
      <c r="K44" s="769"/>
      <c r="L44" s="769"/>
      <c r="M44" s="769"/>
      <c r="N44" s="769"/>
      <c r="O44" s="769"/>
      <c r="P44" s="769"/>
      <c r="Q44" s="769"/>
      <c r="R44" s="456"/>
    </row>
    <row r="45" spans="2:19">
      <c r="B45" s="765" t="s">
        <v>143</v>
      </c>
      <c r="C45" s="931">
        <v>72</v>
      </c>
      <c r="D45" s="931">
        <v>72</v>
      </c>
      <c r="E45" s="807">
        <f>AVERAGE(Customer!$P27:$P38)</f>
        <v>72.25</v>
      </c>
      <c r="F45" s="807">
        <f>AVERAGE(Customer!$P39:$P50)</f>
        <v>71.916666666666671</v>
      </c>
      <c r="G45" s="807">
        <f>AVERAGE(Customer!$P51:$P62)</f>
        <v>69.666666666666671</v>
      </c>
      <c r="H45" s="807">
        <f>AVERAGE(Customer!$P63:$P74)</f>
        <v>67</v>
      </c>
      <c r="I45" s="807">
        <f>AVERAGE(Customer!$P75:$P86)</f>
        <v>66.166666666666671</v>
      </c>
      <c r="J45" s="807">
        <f>AVERAGE(Customer!$P87:$P98)</f>
        <v>62</v>
      </c>
      <c r="K45" s="807"/>
      <c r="L45" s="807">
        <v>62</v>
      </c>
      <c r="M45" s="807">
        <f>AVERAGE(Customer!$P99:$P110)</f>
        <v>61.166666666666664</v>
      </c>
      <c r="N45" s="807">
        <f>AVERAGE(Customer!$P111:$P122)</f>
        <v>60.666666666666664</v>
      </c>
      <c r="O45" s="807">
        <f>AVERAGE(Customer!$P123:$P134)</f>
        <v>58.833333333333336</v>
      </c>
      <c r="P45" s="807">
        <f>AVERAGE(Customer!$P135:$P146)</f>
        <v>57.323564177160051</v>
      </c>
      <c r="Q45" s="807">
        <f>AVERAGE(Customer!$P147:$P158)</f>
        <v>55.852538413138596</v>
      </c>
      <c r="R45" s="456"/>
    </row>
    <row r="46" spans="2:19">
      <c r="B46" s="4" t="s">
        <v>145</v>
      </c>
      <c r="C46" s="377">
        <f>'Rate Class Customer Model'!E6</f>
        <v>1105</v>
      </c>
      <c r="D46" s="377">
        <f>'Rate Class Customer Model'!E7</f>
        <v>1130</v>
      </c>
      <c r="E46" s="377">
        <f>'Rate Class Customer Model'!E8</f>
        <v>1159</v>
      </c>
      <c r="F46" s="377">
        <f>'Rate Class Customer Model'!E9</f>
        <v>1207</v>
      </c>
      <c r="G46" s="377">
        <f>'Rate Class Customer Model'!E10</f>
        <v>1250</v>
      </c>
      <c r="H46" s="377">
        <f>'Rate Class Customer Model'!E11</f>
        <v>1267</v>
      </c>
      <c r="I46" s="377">
        <f>'Rate Class Customer Model'!E12</f>
        <v>1280</v>
      </c>
      <c r="J46" s="377">
        <f>'Rate Class Customer Model'!E13</f>
        <v>1293</v>
      </c>
      <c r="K46" s="377"/>
      <c r="L46" s="377">
        <v>1300.4051714878062</v>
      </c>
      <c r="M46" s="377">
        <f>'Rate Class Customer Model'!E14</f>
        <v>1368.8333333333333</v>
      </c>
      <c r="N46" s="371">
        <f>'Rate Class Customer Model'!E15</f>
        <v>1424.0833333333333</v>
      </c>
      <c r="O46" s="371">
        <f>'Rate Class Customer Model'!E16</f>
        <v>1477.1666666666667</v>
      </c>
      <c r="P46" s="371">
        <f>'Rate Class Customer Model'!E17</f>
        <v>1518.8541771014698</v>
      </c>
      <c r="Q46" s="371">
        <f>'Rate Class Customer Model'!E18</f>
        <v>1561.7181617727065</v>
      </c>
      <c r="R46" s="456"/>
    </row>
    <row r="47" spans="2:19">
      <c r="B47" s="4" t="s">
        <v>144</v>
      </c>
      <c r="C47" s="807">
        <f>kWh!E79</f>
        <v>7522731.7497103112</v>
      </c>
      <c r="D47" s="807">
        <f>kWh!N79</f>
        <v>5817641.8745574197</v>
      </c>
      <c r="E47" s="807">
        <f>kWh!W79</f>
        <v>5528171.1085361158</v>
      </c>
      <c r="F47" s="807">
        <f>kWh!AF79</f>
        <v>5294846.6409916664</v>
      </c>
      <c r="G47" s="807">
        <f>kWh!AO79</f>
        <v>5047284.3477832777</v>
      </c>
      <c r="H47" s="807">
        <f>kWh!AX79</f>
        <v>5107859.6743005849</v>
      </c>
      <c r="I47" s="807">
        <f>kWh!BG79</f>
        <v>5104984.5500193126</v>
      </c>
      <c r="J47" s="807">
        <f>kWh!BP79</f>
        <v>5197576.365005793</v>
      </c>
      <c r="K47" s="807"/>
      <c r="L47" s="807">
        <v>4969698.2993811732</v>
      </c>
      <c r="M47" s="807">
        <f>kWh!BY79</f>
        <v>5450025</v>
      </c>
      <c r="N47" s="807">
        <f>kWh!CH79</f>
        <v>5562245</v>
      </c>
      <c r="O47" s="807">
        <f>kWh!CQ79</f>
        <v>5706945</v>
      </c>
      <c r="P47" s="812">
        <f>'Rate Class Energy Model'!K77</f>
        <v>5818253.4698772868</v>
      </c>
      <c r="Q47" s="812">
        <f>'Rate Class Energy Model'!K78</f>
        <v>5931732.9043365736</v>
      </c>
      <c r="R47" s="456"/>
    </row>
    <row r="48" spans="2:19">
      <c r="B48" s="495" t="s">
        <v>270</v>
      </c>
      <c r="C48" s="807">
        <f>C47/C46</f>
        <v>6807.9020359369333</v>
      </c>
      <c r="D48" s="807">
        <f>D47/D46</f>
        <v>5148.3556412012567</v>
      </c>
      <c r="E48" s="807">
        <f t="shared" ref="E48:Q48" si="46">E47/E46</f>
        <v>4769.776625139013</v>
      </c>
      <c r="F48" s="807">
        <f t="shared" si="46"/>
        <v>4386.7826354529134</v>
      </c>
      <c r="G48" s="807">
        <f t="shared" si="46"/>
        <v>4037.8274782266221</v>
      </c>
      <c r="H48" s="807">
        <f t="shared" si="46"/>
        <v>4031.4598850044081</v>
      </c>
      <c r="I48" s="807">
        <f t="shared" si="46"/>
        <v>3988.2691797025882</v>
      </c>
      <c r="J48" s="807">
        <f>J47/J46</f>
        <v>4019.7806380555244</v>
      </c>
      <c r="K48" s="807"/>
      <c r="L48" s="807">
        <f t="shared" si="46"/>
        <v>3821.6537494197237</v>
      </c>
      <c r="M48" s="807">
        <f t="shared" si="46"/>
        <v>3981.5110191160356</v>
      </c>
      <c r="N48" s="807">
        <f t="shared" si="46"/>
        <v>3905.8423547311136</v>
      </c>
      <c r="O48" s="807">
        <f t="shared" si="46"/>
        <v>3863.4401444206251</v>
      </c>
      <c r="P48" s="807">
        <f t="shared" si="46"/>
        <v>3830.6860247641721</v>
      </c>
      <c r="Q48" s="807">
        <f t="shared" si="46"/>
        <v>3798.2095934668923</v>
      </c>
      <c r="R48" s="456"/>
    </row>
    <row r="49" spans="2:18">
      <c r="B49" s="4" t="s">
        <v>266</v>
      </c>
      <c r="C49" s="807"/>
      <c r="D49" s="807">
        <f>D45-C45</f>
        <v>0</v>
      </c>
      <c r="E49" s="807">
        <f t="shared" ref="E49:Q49" si="47">E45-D45</f>
        <v>0.25</v>
      </c>
      <c r="F49" s="807">
        <f t="shared" si="47"/>
        <v>-0.3333333333333286</v>
      </c>
      <c r="G49" s="807">
        <f t="shared" si="47"/>
        <v>-2.25</v>
      </c>
      <c r="H49" s="807">
        <f t="shared" si="47"/>
        <v>-2.6666666666666714</v>
      </c>
      <c r="I49" s="807">
        <f t="shared" si="47"/>
        <v>-0.8333333333333286</v>
      </c>
      <c r="J49" s="807">
        <f t="shared" si="47"/>
        <v>-4.1666666666666714</v>
      </c>
      <c r="K49" s="807">
        <f>M45-J45</f>
        <v>-0.8333333333333357</v>
      </c>
      <c r="L49" s="807"/>
      <c r="M49" s="807">
        <f>M45-L45</f>
        <v>-0.8333333333333357</v>
      </c>
      <c r="N49" s="807">
        <f t="shared" si="47"/>
        <v>-0.5</v>
      </c>
      <c r="O49" s="807">
        <f t="shared" si="47"/>
        <v>-1.8333333333333286</v>
      </c>
      <c r="P49" s="807">
        <f t="shared" si="47"/>
        <v>-1.5097691561732844</v>
      </c>
      <c r="Q49" s="807">
        <f t="shared" si="47"/>
        <v>-1.471025764021455</v>
      </c>
      <c r="R49" s="456"/>
    </row>
    <row r="50" spans="2:18">
      <c r="B50" s="4" t="s">
        <v>272</v>
      </c>
      <c r="C50" s="807"/>
      <c r="D50" s="807">
        <f>D46-C46</f>
        <v>25</v>
      </c>
      <c r="E50" s="807">
        <f t="shared" ref="E50:Q50" si="48">E46-D46</f>
        <v>29</v>
      </c>
      <c r="F50" s="807">
        <f t="shared" si="48"/>
        <v>48</v>
      </c>
      <c r="G50" s="807">
        <f t="shared" si="48"/>
        <v>43</v>
      </c>
      <c r="H50" s="807">
        <f t="shared" si="48"/>
        <v>17</v>
      </c>
      <c r="I50" s="807">
        <f t="shared" si="48"/>
        <v>13</v>
      </c>
      <c r="J50" s="807">
        <f t="shared" si="48"/>
        <v>13</v>
      </c>
      <c r="K50" s="807">
        <f>M46-J46</f>
        <v>75.833333333333258</v>
      </c>
      <c r="L50" s="807"/>
      <c r="M50" s="807">
        <f>M46-L46</f>
        <v>68.428161845527029</v>
      </c>
      <c r="N50" s="807">
        <f t="shared" si="48"/>
        <v>55.25</v>
      </c>
      <c r="O50" s="807">
        <f t="shared" si="48"/>
        <v>53.083333333333485</v>
      </c>
      <c r="P50" s="807">
        <f t="shared" si="48"/>
        <v>41.687510434803016</v>
      </c>
      <c r="Q50" s="807">
        <f t="shared" si="48"/>
        <v>42.863984671236722</v>
      </c>
      <c r="R50" s="456"/>
    </row>
    <row r="51" spans="2:18">
      <c r="B51" s="4" t="s">
        <v>268</v>
      </c>
      <c r="C51" s="807"/>
      <c r="D51" s="807">
        <f>D47-C47</f>
        <v>-1705089.8751528915</v>
      </c>
      <c r="E51" s="807">
        <f t="shared" ref="E51:Q51" si="49">E47-D47</f>
        <v>-289470.76602130383</v>
      </c>
      <c r="F51" s="807">
        <f t="shared" si="49"/>
        <v>-233324.46754444949</v>
      </c>
      <c r="G51" s="807">
        <f t="shared" si="49"/>
        <v>-247562.29320838861</v>
      </c>
      <c r="H51" s="807">
        <f t="shared" si="49"/>
        <v>60575.3265173072</v>
      </c>
      <c r="I51" s="807">
        <f t="shared" si="49"/>
        <v>-2875.1242812722921</v>
      </c>
      <c r="J51" s="807">
        <f t="shared" si="49"/>
        <v>92591.8149864804</v>
      </c>
      <c r="K51" s="807">
        <f>M47-J47</f>
        <v>252448.63499420695</v>
      </c>
      <c r="L51" s="807"/>
      <c r="M51" s="807">
        <f t="shared" si="49"/>
        <v>480326.70061882678</v>
      </c>
      <c r="N51" s="807">
        <f t="shared" si="49"/>
        <v>112220</v>
      </c>
      <c r="O51" s="807">
        <f t="shared" si="49"/>
        <v>144700</v>
      </c>
      <c r="P51" s="807">
        <f t="shared" si="49"/>
        <v>111308.46987728681</v>
      </c>
      <c r="Q51" s="807">
        <f t="shared" si="49"/>
        <v>113479.43445928674</v>
      </c>
      <c r="R51" s="456"/>
    </row>
    <row r="52" spans="2:18">
      <c r="B52" s="495" t="s">
        <v>274</v>
      </c>
      <c r="C52" s="807"/>
      <c r="D52" s="807">
        <f>D48-C48</f>
        <v>-1659.5463947356766</v>
      </c>
      <c r="E52" s="807">
        <f t="shared" ref="E52:Q52" si="50">E48-D48</f>
        <v>-378.57901606224368</v>
      </c>
      <c r="F52" s="807">
        <f t="shared" si="50"/>
        <v>-382.99398968609967</v>
      </c>
      <c r="G52" s="807">
        <f t="shared" si="50"/>
        <v>-348.95515722629125</v>
      </c>
      <c r="H52" s="807">
        <f t="shared" si="50"/>
        <v>-6.3675932222140545</v>
      </c>
      <c r="I52" s="807">
        <f t="shared" si="50"/>
        <v>-43.190705301819889</v>
      </c>
      <c r="J52" s="807">
        <f t="shared" si="50"/>
        <v>31.511458352936188</v>
      </c>
      <c r="K52" s="807">
        <f>M48-J48</f>
        <v>-38.269618939488737</v>
      </c>
      <c r="L52" s="807"/>
      <c r="M52" s="807">
        <f>M48-L48</f>
        <v>159.85726969631196</v>
      </c>
      <c r="N52" s="807">
        <f t="shared" si="50"/>
        <v>-75.668664384922067</v>
      </c>
      <c r="O52" s="807">
        <f t="shared" si="50"/>
        <v>-42.402210310488499</v>
      </c>
      <c r="P52" s="807">
        <f t="shared" si="50"/>
        <v>-32.754119656452986</v>
      </c>
      <c r="Q52" s="807">
        <f t="shared" si="50"/>
        <v>-32.47643129727976</v>
      </c>
    </row>
    <row r="53" spans="2:18">
      <c r="B53" s="4" t="s">
        <v>267</v>
      </c>
      <c r="C53" s="377"/>
      <c r="D53" s="813">
        <f>IFERROR(D49/C45,0)</f>
        <v>0</v>
      </c>
      <c r="E53" s="376">
        <f t="shared" ref="E53:F53" si="51">IFERROR(E49/D45,0)</f>
        <v>3.472222222222222E-3</v>
      </c>
      <c r="F53" s="376">
        <f t="shared" si="51"/>
        <v>-4.6136101499422641E-3</v>
      </c>
      <c r="G53" s="376">
        <f>G49/F45</f>
        <v>-3.1286210892236384E-2</v>
      </c>
      <c r="H53" s="376">
        <f>H49/G45</f>
        <v>-3.8277511961722556E-2</v>
      </c>
      <c r="I53" s="376">
        <f>I49/H45</f>
        <v>-1.2437810945273561E-2</v>
      </c>
      <c r="J53" s="376">
        <f>J49/I45</f>
        <v>-6.2972292191435839E-2</v>
      </c>
      <c r="K53" s="376">
        <f>K49/J45</f>
        <v>-1.3440860215053802E-2</v>
      </c>
      <c r="L53" s="376"/>
      <c r="M53" s="376">
        <f t="shared" ref="M53:Q55" si="52">M49/L45</f>
        <v>-1.3440860215053802E-2</v>
      </c>
      <c r="N53" s="376">
        <f t="shared" si="52"/>
        <v>-8.1743869209809274E-3</v>
      </c>
      <c r="O53" s="376">
        <f t="shared" si="52"/>
        <v>-3.0219780219780144E-2</v>
      </c>
      <c r="P53" s="376">
        <f t="shared" si="52"/>
        <v>-2.5661798688497751E-2</v>
      </c>
      <c r="Q53" s="376">
        <f t="shared" si="52"/>
        <v>-2.566179868849762E-2</v>
      </c>
      <c r="R53" s="456"/>
    </row>
    <row r="54" spans="2:18">
      <c r="B54" s="4" t="s">
        <v>273</v>
      </c>
      <c r="C54" s="377"/>
      <c r="D54" s="376">
        <f t="shared" ref="D54:J55" si="53">D50/C46</f>
        <v>2.2624434389140271E-2</v>
      </c>
      <c r="E54" s="376">
        <f t="shared" si="53"/>
        <v>2.5663716814159292E-2</v>
      </c>
      <c r="F54" s="376">
        <f t="shared" si="53"/>
        <v>4.1415012942191541E-2</v>
      </c>
      <c r="G54" s="376">
        <f t="shared" si="53"/>
        <v>3.5625517812758904E-2</v>
      </c>
      <c r="H54" s="376">
        <f t="shared" si="53"/>
        <v>1.3599999999999999E-2</v>
      </c>
      <c r="I54" s="376">
        <f t="shared" si="53"/>
        <v>1.0260457774269928E-2</v>
      </c>
      <c r="J54" s="376">
        <f t="shared" si="53"/>
        <v>1.015625E-2</v>
      </c>
      <c r="K54" s="376">
        <f t="shared" ref="K54:K55" si="54">K50/J46</f>
        <v>5.8649136375354412E-2</v>
      </c>
      <c r="L54" s="376"/>
      <c r="M54" s="376">
        <f t="shared" si="52"/>
        <v>5.2620647276600492E-2</v>
      </c>
      <c r="N54" s="376">
        <f t="shared" si="52"/>
        <v>4.0362839400949715E-2</v>
      </c>
      <c r="O54" s="376">
        <f t="shared" si="52"/>
        <v>3.7275440341740407E-2</v>
      </c>
      <c r="P54" s="376">
        <f t="shared" si="52"/>
        <v>2.8221263974818694E-2</v>
      </c>
      <c r="Q54" s="376">
        <f t="shared" si="52"/>
        <v>2.8221263974818774E-2</v>
      </c>
      <c r="R54" s="456"/>
    </row>
    <row r="55" spans="2:18">
      <c r="B55" s="4" t="s">
        <v>269</v>
      </c>
      <c r="C55" s="377"/>
      <c r="D55" s="376">
        <f t="shared" si="53"/>
        <v>-0.22665833793934656</v>
      </c>
      <c r="E55" s="376">
        <f t="shared" si="53"/>
        <v>-4.9757405536985808E-2</v>
      </c>
      <c r="F55" s="376">
        <f t="shared" si="53"/>
        <v>-4.2206448202041065E-2</v>
      </c>
      <c r="G55" s="376">
        <f t="shared" si="53"/>
        <v>-4.6755328339787933E-2</v>
      </c>
      <c r="H55" s="376">
        <f t="shared" si="53"/>
        <v>1.2001568040031536E-2</v>
      </c>
      <c r="I55" s="376">
        <f t="shared" si="53"/>
        <v>-5.6288239391893253E-4</v>
      </c>
      <c r="J55" s="376">
        <f t="shared" si="53"/>
        <v>1.8137530893434364E-2</v>
      </c>
      <c r="K55" s="376">
        <f t="shared" si="54"/>
        <v>4.8570452315793072E-2</v>
      </c>
      <c r="L55" s="376"/>
      <c r="M55" s="376">
        <f t="shared" si="52"/>
        <v>9.6651078533004114E-2</v>
      </c>
      <c r="N55" s="376">
        <f t="shared" si="52"/>
        <v>2.0590731235177819E-2</v>
      </c>
      <c r="O55" s="376">
        <f t="shared" si="52"/>
        <v>2.6014675728954766E-2</v>
      </c>
      <c r="P55" s="376">
        <f t="shared" si="52"/>
        <v>1.9504037602830728E-2</v>
      </c>
      <c r="Q55" s="376">
        <f t="shared" si="52"/>
        <v>1.950403760283069E-2</v>
      </c>
      <c r="R55" s="456"/>
    </row>
    <row r="56" spans="2:18" s="348" customFormat="1" ht="13.8" thickBot="1">
      <c r="B56" s="495" t="s">
        <v>271</v>
      </c>
      <c r="C56" s="803"/>
      <c r="D56" s="823">
        <f>D48/C48</f>
        <v>0.75623233325400185</v>
      </c>
      <c r="E56" s="823">
        <f t="shared" ref="E56:I56" si="55">E48/D48</f>
        <v>0.92646603256532012</v>
      </c>
      <c r="F56" s="823">
        <f t="shared" si="55"/>
        <v>0.9197039987852812</v>
      </c>
      <c r="G56" s="823">
        <f t="shared" si="55"/>
        <v>0.92045305495510077</v>
      </c>
      <c r="H56" s="823">
        <f t="shared" si="55"/>
        <v>0.99842301503554809</v>
      </c>
      <c r="I56" s="823">
        <f t="shared" si="55"/>
        <v>0.9892865843803943</v>
      </c>
      <c r="J56" s="823">
        <f>J48/I48</f>
        <v>1.0079010359965939</v>
      </c>
      <c r="K56" s="823">
        <f>M48/J48</f>
        <v>0.99047967479190591</v>
      </c>
      <c r="L56" s="376"/>
      <c r="M56" s="823">
        <f>M48/L48</f>
        <v>1.0418293440949706</v>
      </c>
      <c r="N56" s="823">
        <f>N48/M48</f>
        <v>0.98099498807823926</v>
      </c>
      <c r="O56" s="823">
        <f>O48/N48</f>
        <v>0.98914390124856755</v>
      </c>
      <c r="P56" s="823">
        <f>P48/O48</f>
        <v>0.99152203258441707</v>
      </c>
      <c r="Q56" s="823">
        <f>Q48/P48</f>
        <v>0.99152203258441707</v>
      </c>
      <c r="R56" s="456"/>
    </row>
    <row r="57" spans="2:18">
      <c r="B57" s="351" t="s">
        <v>54</v>
      </c>
      <c r="C57" s="769"/>
      <c r="D57" s="519"/>
      <c r="E57" s="519"/>
      <c r="F57" s="519"/>
      <c r="G57" s="519"/>
      <c r="H57" s="519"/>
      <c r="I57" s="519"/>
      <c r="J57" s="519"/>
      <c r="K57" s="519"/>
      <c r="L57" s="519"/>
      <c r="M57" s="519"/>
      <c r="N57" s="519"/>
      <c r="O57" s="519"/>
      <c r="P57" s="519"/>
      <c r="Q57" s="519"/>
      <c r="R57" s="456"/>
    </row>
    <row r="58" spans="2:18">
      <c r="B58" s="4" t="s">
        <v>143</v>
      </c>
      <c r="C58" s="377">
        <f>'Rate Class Customer Model'!F6</f>
        <v>1357.4166666666667</v>
      </c>
      <c r="D58" s="377">
        <f>'Rate Class Customer Model'!F7</f>
        <v>1393.3333333333333</v>
      </c>
      <c r="E58" s="377">
        <f>'Rate Class Customer Model'!F8</f>
        <v>1363.75</v>
      </c>
      <c r="F58" s="377">
        <f>'Rate Class Customer Model'!F9</f>
        <v>1402.0833333333333</v>
      </c>
      <c r="G58" s="377">
        <f>'Rate Class Customer Model'!F10</f>
        <v>1416.8333333333333</v>
      </c>
      <c r="H58" s="377">
        <f>'Rate Class Customer Model'!F11</f>
        <v>1491.1666666666667</v>
      </c>
      <c r="I58" s="377">
        <f>'Rate Class Customer Model'!F12</f>
        <v>1553.6666666666667</v>
      </c>
      <c r="J58" s="377">
        <f>'Rate Class Customer Model'!F13</f>
        <v>1539</v>
      </c>
      <c r="K58" s="377"/>
      <c r="L58" s="377">
        <v>1552.2130766767457</v>
      </c>
      <c r="M58" s="377">
        <f>'Rate Class Customer Model'!F14</f>
        <v>1537</v>
      </c>
      <c r="N58" s="371">
        <f>'Rate Class Customer Model'!F15</f>
        <v>1525.4166666666667</v>
      </c>
      <c r="O58" s="371">
        <f>'Rate Class Customer Model'!F16</f>
        <v>1511.4166666666667</v>
      </c>
      <c r="P58" s="371">
        <f>'Rate Class Customer Model'!F17</f>
        <v>1501.0349230132276</v>
      </c>
      <c r="Q58" s="371">
        <f>'Rate Class Customer Model'!F18</f>
        <v>1490.7244903381988</v>
      </c>
      <c r="R58" s="456"/>
    </row>
    <row r="59" spans="2:18">
      <c r="B59" s="4" t="s">
        <v>144</v>
      </c>
      <c r="C59" s="377">
        <f>kWh!G79</f>
        <v>996032849</v>
      </c>
      <c r="D59" s="377">
        <f>kWh!P79</f>
        <v>1045707603.4846358</v>
      </c>
      <c r="E59" s="377">
        <f>kWh!Y79</f>
        <v>1083191856</v>
      </c>
      <c r="F59" s="377">
        <f>kWh!AH79</f>
        <v>1080817873.5867229</v>
      </c>
      <c r="G59" s="377">
        <f>kWh!AQ79</f>
        <v>1109791373.6344707</v>
      </c>
      <c r="H59" s="377">
        <f>kWh!AZ79</f>
        <v>1116685267.4894316</v>
      </c>
      <c r="I59" s="377">
        <f>kWh!BI79</f>
        <v>1081007720</v>
      </c>
      <c r="J59" s="377">
        <f>kWh!BR79</f>
        <v>1088985441.2900734</v>
      </c>
      <c r="K59" s="377"/>
      <c r="L59" s="377">
        <v>1131611317.2405796</v>
      </c>
      <c r="M59" s="377">
        <f>kWh!CA79</f>
        <v>1100145273.7238808</v>
      </c>
      <c r="N59" s="377">
        <f>kWh!CJ79</f>
        <v>1101990612.5347376</v>
      </c>
      <c r="O59" s="377">
        <f>kWh!CS79</f>
        <v>1084942787.3014786</v>
      </c>
      <c r="P59" s="371">
        <f>'Rate Class Energy Model'!L77</f>
        <v>1067572851.0558689</v>
      </c>
      <c r="Q59" s="371">
        <f>'Rate Class Energy Model'!L78</f>
        <v>1064497598.5537131</v>
      </c>
      <c r="R59" s="456"/>
    </row>
    <row r="60" spans="2:18">
      <c r="B60" s="4" t="s">
        <v>146</v>
      </c>
      <c r="C60" s="377">
        <f>KW!C17</f>
        <v>2726683</v>
      </c>
      <c r="D60" s="377">
        <f>KW!I17</f>
        <v>2792673</v>
      </c>
      <c r="E60" s="377">
        <f>KW!O17</f>
        <v>2901457</v>
      </c>
      <c r="F60" s="377">
        <f>KW!U17</f>
        <v>2962866</v>
      </c>
      <c r="G60" s="377">
        <f>KW!AA17</f>
        <v>3039974</v>
      </c>
      <c r="H60" s="377">
        <f>KW!AG17</f>
        <v>3064109</v>
      </c>
      <c r="I60" s="377">
        <f>KW!AM17</f>
        <v>3049119</v>
      </c>
      <c r="J60" s="377">
        <f>+KW!AS17</f>
        <v>3049813</v>
      </c>
      <c r="K60" s="377"/>
      <c r="L60" s="377">
        <v>3101357.838611037</v>
      </c>
      <c r="M60" s="377">
        <f>+KW!AY17</f>
        <v>3051053</v>
      </c>
      <c r="N60" s="377">
        <f>+KW!BE17</f>
        <v>3074186</v>
      </c>
      <c r="O60" s="377">
        <f>+KW!BK17</f>
        <v>3051058</v>
      </c>
      <c r="P60" s="371">
        <f>'Rate Class Load Model'!B14</f>
        <v>2988434.1876568142</v>
      </c>
      <c r="Q60" s="371">
        <f>'Rate Class Load Model'!B15</f>
        <v>2979825.6981246667</v>
      </c>
      <c r="R60" s="456"/>
    </row>
    <row r="61" spans="2:18">
      <c r="B61" s="495" t="s">
        <v>270</v>
      </c>
      <c r="C61" s="377">
        <f>C59/C58</f>
        <v>733770.89987107855</v>
      </c>
      <c r="D61" s="377">
        <f>D59/D58</f>
        <v>750507.84939088696</v>
      </c>
      <c r="E61" s="377">
        <f t="shared" ref="E61:Q61" si="56">E59/E58</f>
        <v>794274.50485792849</v>
      </c>
      <c r="F61" s="377">
        <f t="shared" si="56"/>
        <v>770865.64535160025</v>
      </c>
      <c r="G61" s="377">
        <f t="shared" si="56"/>
        <v>783289.99433088163</v>
      </c>
      <c r="H61" s="377">
        <f t="shared" si="56"/>
        <v>748866.83859803167</v>
      </c>
      <c r="I61" s="377">
        <f t="shared" si="56"/>
        <v>695778.4080669384</v>
      </c>
      <c r="J61" s="377">
        <f t="shared" si="56"/>
        <v>707592.87933078199</v>
      </c>
      <c r="K61" s="377"/>
      <c r="L61" s="377">
        <f t="shared" si="56"/>
        <v>729030.91350276128</v>
      </c>
      <c r="M61" s="377">
        <f t="shared" si="56"/>
        <v>715774.41361345525</v>
      </c>
      <c r="N61" s="377">
        <f t="shared" si="56"/>
        <v>722419.41275153507</v>
      </c>
      <c r="O61" s="377">
        <f t="shared" si="56"/>
        <v>717831.69474652607</v>
      </c>
      <c r="P61" s="377">
        <f t="shared" si="56"/>
        <v>711224.52561782335</v>
      </c>
      <c r="Q61" s="377">
        <f t="shared" si="56"/>
        <v>714080.70736948296</v>
      </c>
      <c r="R61" s="456"/>
    </row>
    <row r="62" spans="2:18">
      <c r="B62" s="495" t="s">
        <v>275</v>
      </c>
      <c r="C62" s="377">
        <f>C60/C58</f>
        <v>2008.7295721038736</v>
      </c>
      <c r="D62" s="377">
        <f>D60/D58</f>
        <v>2004.3107655502392</v>
      </c>
      <c r="E62" s="377">
        <f t="shared" ref="E62:Q62" si="57">E60/E58</f>
        <v>2127.5578368469296</v>
      </c>
      <c r="F62" s="377">
        <f t="shared" si="57"/>
        <v>2113.1882317979198</v>
      </c>
      <c r="G62" s="377">
        <f t="shared" si="57"/>
        <v>2145.6115751088109</v>
      </c>
      <c r="H62" s="377">
        <f t="shared" si="57"/>
        <v>2054.8400581200403</v>
      </c>
      <c r="I62" s="377">
        <f t="shared" si="57"/>
        <v>1962.5310019309161</v>
      </c>
      <c r="J62" s="377">
        <f t="shared" si="57"/>
        <v>1981.6848602988953</v>
      </c>
      <c r="K62" s="377"/>
      <c r="L62" s="377">
        <f>L60/L58</f>
        <v>1998.0232644676441</v>
      </c>
      <c r="M62" s="377">
        <f t="shared" si="57"/>
        <v>1985.0702667534158</v>
      </c>
      <c r="N62" s="377">
        <f t="shared" si="57"/>
        <v>2015.3090412455613</v>
      </c>
      <c r="O62" s="377">
        <f t="shared" si="57"/>
        <v>2018.6743121795225</v>
      </c>
      <c r="P62" s="377">
        <f t="shared" si="57"/>
        <v>1990.9158286988632</v>
      </c>
      <c r="Q62" s="377">
        <f t="shared" si="57"/>
        <v>1998.9110780950793</v>
      </c>
      <c r="R62" s="456"/>
    </row>
    <row r="63" spans="2:18">
      <c r="B63" s="4" t="s">
        <v>266</v>
      </c>
      <c r="C63" s="807"/>
      <c r="D63" s="807">
        <f>D58-C58</f>
        <v>35.916666666666515</v>
      </c>
      <c r="E63" s="807">
        <f t="shared" ref="E63:Q63" si="58">E58-D58</f>
        <v>-29.583333333333258</v>
      </c>
      <c r="F63" s="807">
        <f t="shared" si="58"/>
        <v>38.333333333333258</v>
      </c>
      <c r="G63" s="807">
        <f t="shared" si="58"/>
        <v>14.75</v>
      </c>
      <c r="H63" s="807">
        <f t="shared" si="58"/>
        <v>74.333333333333485</v>
      </c>
      <c r="I63" s="807">
        <f t="shared" si="58"/>
        <v>62.5</v>
      </c>
      <c r="J63" s="807">
        <f t="shared" si="58"/>
        <v>-14.666666666666742</v>
      </c>
      <c r="K63" s="807">
        <f>M58-J58</f>
        <v>-2</v>
      </c>
      <c r="L63" s="807"/>
      <c r="M63" s="807">
        <f t="shared" si="58"/>
        <v>-15.213076676745686</v>
      </c>
      <c r="N63" s="807">
        <f t="shared" si="58"/>
        <v>-11.583333333333258</v>
      </c>
      <c r="O63" s="807">
        <f t="shared" si="58"/>
        <v>-14</v>
      </c>
      <c r="P63" s="807">
        <f t="shared" si="58"/>
        <v>-10.381743653439116</v>
      </c>
      <c r="Q63" s="807">
        <f t="shared" si="58"/>
        <v>-10.310432675028778</v>
      </c>
      <c r="R63" s="456"/>
    </row>
    <row r="64" spans="2:18">
      <c r="B64" s="4" t="s">
        <v>268</v>
      </c>
      <c r="C64" s="807"/>
      <c r="D64" s="807">
        <f>D59-C59</f>
        <v>49674754.48463583</v>
      </c>
      <c r="E64" s="807">
        <f t="shared" ref="E64:Q64" si="59">E59-D59</f>
        <v>37484252.51536417</v>
      </c>
      <c r="F64" s="807">
        <f t="shared" si="59"/>
        <v>-2373982.4132771492</v>
      </c>
      <c r="G64" s="807">
        <f t="shared" si="59"/>
        <v>28973500.04774785</v>
      </c>
      <c r="H64" s="807">
        <f t="shared" si="59"/>
        <v>6893893.8549609184</v>
      </c>
      <c r="I64" s="807">
        <f t="shared" si="59"/>
        <v>-35677547.48943162</v>
      </c>
      <c r="J64" s="807">
        <f t="shared" si="59"/>
        <v>7977721.2900733948</v>
      </c>
      <c r="K64" s="807">
        <f t="shared" ref="K64:K66" si="60">M59-J59</f>
        <v>11159832.433807373</v>
      </c>
      <c r="L64" s="807"/>
      <c r="M64" s="807">
        <f t="shared" si="59"/>
        <v>-31466043.516698837</v>
      </c>
      <c r="N64" s="807">
        <f t="shared" si="59"/>
        <v>1845338.8108568192</v>
      </c>
      <c r="O64" s="807">
        <f t="shared" si="59"/>
        <v>-17047825.233258963</v>
      </c>
      <c r="P64" s="807">
        <f t="shared" si="59"/>
        <v>-17369936.24560976</v>
      </c>
      <c r="Q64" s="807">
        <f t="shared" si="59"/>
        <v>-3075252.5021557808</v>
      </c>
      <c r="R64" s="456"/>
    </row>
    <row r="65" spans="2:18">
      <c r="B65" s="4" t="s">
        <v>276</v>
      </c>
      <c r="C65" s="807"/>
      <c r="D65" s="807">
        <f>D60-C60</f>
        <v>65990</v>
      </c>
      <c r="E65" s="807">
        <f t="shared" ref="E65:Q65" si="61">E60-D60</f>
        <v>108784</v>
      </c>
      <c r="F65" s="807">
        <f t="shared" si="61"/>
        <v>61409</v>
      </c>
      <c r="G65" s="807">
        <f t="shared" si="61"/>
        <v>77108</v>
      </c>
      <c r="H65" s="807">
        <f t="shared" si="61"/>
        <v>24135</v>
      </c>
      <c r="I65" s="807">
        <f t="shared" si="61"/>
        <v>-14990</v>
      </c>
      <c r="J65" s="807">
        <f t="shared" si="61"/>
        <v>694</v>
      </c>
      <c r="K65" s="807">
        <f t="shared" si="60"/>
        <v>1240</v>
      </c>
      <c r="L65" s="807"/>
      <c r="M65" s="807">
        <f t="shared" si="61"/>
        <v>-50304.838611037005</v>
      </c>
      <c r="N65" s="807">
        <f t="shared" si="61"/>
        <v>23133</v>
      </c>
      <c r="O65" s="807">
        <f t="shared" si="61"/>
        <v>-23128</v>
      </c>
      <c r="P65" s="807">
        <f t="shared" si="61"/>
        <v>-62623.812343185768</v>
      </c>
      <c r="Q65" s="807">
        <f t="shared" si="61"/>
        <v>-8608.4895321475342</v>
      </c>
      <c r="R65" s="456"/>
    </row>
    <row r="66" spans="2:18">
      <c r="B66" s="495" t="s">
        <v>274</v>
      </c>
      <c r="C66" s="807"/>
      <c r="D66" s="807">
        <f>D61-C61</f>
        <v>16736.949519808404</v>
      </c>
      <c r="E66" s="807">
        <f t="shared" ref="E66:Q66" si="62">E61-D61</f>
        <v>43766.655467041535</v>
      </c>
      <c r="F66" s="807">
        <f t="shared" si="62"/>
        <v>-23408.859506328241</v>
      </c>
      <c r="G66" s="807">
        <f t="shared" si="62"/>
        <v>12424.348979281378</v>
      </c>
      <c r="H66" s="807">
        <f t="shared" si="62"/>
        <v>-34423.155732849962</v>
      </c>
      <c r="I66" s="807">
        <f t="shared" si="62"/>
        <v>-53088.430531093269</v>
      </c>
      <c r="J66" s="807">
        <f t="shared" si="62"/>
        <v>11814.471263843589</v>
      </c>
      <c r="K66" s="807">
        <f t="shared" si="60"/>
        <v>8181.5342826732667</v>
      </c>
      <c r="L66" s="807"/>
      <c r="M66" s="807">
        <f t="shared" si="62"/>
        <v>-13256.499889306026</v>
      </c>
      <c r="N66" s="807">
        <f t="shared" si="62"/>
        <v>6644.9991380798165</v>
      </c>
      <c r="O66" s="807">
        <f t="shared" si="62"/>
        <v>-4587.7180050089955</v>
      </c>
      <c r="P66" s="807">
        <f t="shared" si="62"/>
        <v>-6607.1691287027206</v>
      </c>
      <c r="Q66" s="807">
        <f t="shared" si="62"/>
        <v>2856.1817516596057</v>
      </c>
      <c r="R66" s="456"/>
    </row>
    <row r="67" spans="2:18">
      <c r="B67" s="495" t="s">
        <v>277</v>
      </c>
      <c r="C67" s="807"/>
      <c r="D67" s="807">
        <f>D62-C62</f>
        <v>-4.4188065536343402</v>
      </c>
      <c r="E67" s="807">
        <f t="shared" ref="E67:Q67" si="63">E62-D62</f>
        <v>123.24707129669036</v>
      </c>
      <c r="F67" s="807">
        <f t="shared" si="63"/>
        <v>-14.369605049009806</v>
      </c>
      <c r="G67" s="807">
        <f t="shared" si="63"/>
        <v>32.423343310891141</v>
      </c>
      <c r="H67" s="807">
        <f t="shared" si="63"/>
        <v>-90.7715169887706</v>
      </c>
      <c r="I67" s="807">
        <f t="shared" si="63"/>
        <v>-92.309056189124249</v>
      </c>
      <c r="J67" s="807">
        <f t="shared" si="63"/>
        <v>19.153858367979183</v>
      </c>
      <c r="K67" s="807">
        <f>M62-J62</f>
        <v>3.3854064545205347</v>
      </c>
      <c r="L67" s="807"/>
      <c r="M67" s="807">
        <f t="shared" si="63"/>
        <v>-12.952997714228331</v>
      </c>
      <c r="N67" s="807">
        <f t="shared" si="63"/>
        <v>30.238774492145467</v>
      </c>
      <c r="O67" s="807">
        <f t="shared" si="63"/>
        <v>3.3652709339612557</v>
      </c>
      <c r="P67" s="807">
        <f t="shared" si="63"/>
        <v>-27.758483480659379</v>
      </c>
      <c r="Q67" s="807">
        <f t="shared" si="63"/>
        <v>7.9952493962161952</v>
      </c>
      <c r="R67" s="456"/>
    </row>
    <row r="68" spans="2:18">
      <c r="B68" s="4" t="s">
        <v>267</v>
      </c>
      <c r="C68" s="377"/>
      <c r="D68" s="376">
        <f>D63/C58</f>
        <v>2.6459573945607353E-2</v>
      </c>
      <c r="E68" s="376">
        <f t="shared" ref="E68:Q68" si="64">E63/D58</f>
        <v>-2.123205741626789E-2</v>
      </c>
      <c r="F68" s="376">
        <f t="shared" si="64"/>
        <v>2.8108768713718247E-2</v>
      </c>
      <c r="G68" s="376">
        <f t="shared" si="64"/>
        <v>1.0520059435364042E-2</v>
      </c>
      <c r="H68" s="376">
        <f t="shared" si="64"/>
        <v>5.2464415951064693E-2</v>
      </c>
      <c r="I68" s="376">
        <f t="shared" si="64"/>
        <v>4.1913490555493461E-2</v>
      </c>
      <c r="J68" s="376">
        <f t="shared" si="64"/>
        <v>-9.440034327397602E-3</v>
      </c>
      <c r="K68" s="376">
        <f>K63/J58</f>
        <v>-1.2995451591942819E-3</v>
      </c>
      <c r="L68" s="376"/>
      <c r="M68" s="376">
        <f t="shared" si="64"/>
        <v>-9.8008945455584952E-3</v>
      </c>
      <c r="N68" s="376">
        <f t="shared" si="64"/>
        <v>-7.5363261765343248E-3</v>
      </c>
      <c r="O68" s="376">
        <f t="shared" si="64"/>
        <v>-9.1778202676864248E-3</v>
      </c>
      <c r="P68" s="376">
        <f t="shared" si="64"/>
        <v>-6.8688826068958146E-3</v>
      </c>
      <c r="Q68" s="376">
        <f t="shared" si="64"/>
        <v>-6.8688826068958285E-3</v>
      </c>
      <c r="R68" s="456"/>
    </row>
    <row r="69" spans="2:18">
      <c r="B69" s="4" t="s">
        <v>269</v>
      </c>
      <c r="C69" s="377"/>
      <c r="D69" s="376">
        <f>D64/C59</f>
        <v>4.987260664596397E-2</v>
      </c>
      <c r="E69" s="376">
        <f t="shared" ref="E69:Q69" si="65">E64/D59</f>
        <v>3.5845825726478917E-2</v>
      </c>
      <c r="F69" s="376">
        <f t="shared" si="65"/>
        <v>-2.1916545994388912E-3</v>
      </c>
      <c r="G69" s="376">
        <f t="shared" si="65"/>
        <v>2.6807014165669302E-2</v>
      </c>
      <c r="H69" s="376">
        <f t="shared" si="65"/>
        <v>6.2118827184464527E-3</v>
      </c>
      <c r="I69" s="376">
        <f t="shared" si="65"/>
        <v>-3.1949510330375408E-2</v>
      </c>
      <c r="J69" s="376">
        <f t="shared" si="65"/>
        <v>7.3798929854759915E-3</v>
      </c>
      <c r="K69" s="376">
        <f>K64/J59</f>
        <v>1.024791701584808E-2</v>
      </c>
      <c r="L69" s="376"/>
      <c r="M69" s="376">
        <f t="shared" si="65"/>
        <v>-2.7806405819118529E-2</v>
      </c>
      <c r="N69" s="376">
        <f t="shared" si="65"/>
        <v>1.677359213306924E-3</v>
      </c>
      <c r="O69" s="376">
        <f t="shared" si="65"/>
        <v>-1.5470027638480969E-2</v>
      </c>
      <c r="P69" s="376">
        <f t="shared" si="65"/>
        <v>-1.6010002047032446E-2</v>
      </c>
      <c r="Q69" s="376">
        <f t="shared" si="65"/>
        <v>-2.880602011482629E-3</v>
      </c>
      <c r="R69" s="456"/>
    </row>
    <row r="70" spans="2:18">
      <c r="B70" s="4" t="s">
        <v>278</v>
      </c>
      <c r="C70" s="377"/>
      <c r="D70" s="376">
        <f>D65/C60</f>
        <v>2.4201566518733567E-2</v>
      </c>
      <c r="E70" s="376">
        <f t="shared" ref="E70:Q70" si="66">E65/D60</f>
        <v>3.8953361170462851E-2</v>
      </c>
      <c r="F70" s="376">
        <f t="shared" si="66"/>
        <v>2.1164883711873035E-2</v>
      </c>
      <c r="G70" s="376">
        <f t="shared" si="66"/>
        <v>2.6024801661634376E-2</v>
      </c>
      <c r="H70" s="376">
        <f t="shared" si="66"/>
        <v>7.9392126380028252E-3</v>
      </c>
      <c r="I70" s="376">
        <f t="shared" si="66"/>
        <v>-4.8921236157068821E-3</v>
      </c>
      <c r="J70" s="376">
        <f t="shared" si="66"/>
        <v>2.2760672836973566E-4</v>
      </c>
      <c r="K70" s="376">
        <f>K65/J60</f>
        <v>4.0658230521018829E-4</v>
      </c>
      <c r="L70" s="376"/>
      <c r="M70" s="376">
        <f t="shared" si="66"/>
        <v>-1.6220262616830551E-2</v>
      </c>
      <c r="N70" s="376">
        <f t="shared" si="66"/>
        <v>7.5819725189959011E-3</v>
      </c>
      <c r="O70" s="376">
        <f t="shared" si="66"/>
        <v>-7.5232923447052322E-3</v>
      </c>
      <c r="P70" s="376">
        <f t="shared" si="66"/>
        <v>-2.0525277573610782E-2</v>
      </c>
      <c r="Q70" s="376">
        <f t="shared" si="66"/>
        <v>-2.8806020114825817E-3</v>
      </c>
      <c r="R70" s="456"/>
    </row>
    <row r="71" spans="2:18">
      <c r="B71" s="495" t="s">
        <v>292</v>
      </c>
      <c r="C71" s="377"/>
      <c r="D71" s="823">
        <f t="shared" ref="D71:I71" si="67">D61/C61</f>
        <v>1.0228095029698629</v>
      </c>
      <c r="E71" s="823">
        <f t="shared" si="67"/>
        <v>1.0583160529267783</v>
      </c>
      <c r="F71" s="823">
        <f t="shared" si="67"/>
        <v>0.97052799836434966</v>
      </c>
      <c r="G71" s="823">
        <f t="shared" si="67"/>
        <v>1.016117398737642</v>
      </c>
      <c r="H71" s="823">
        <f t="shared" si="67"/>
        <v>0.95605311445059937</v>
      </c>
      <c r="I71" s="823">
        <f t="shared" si="67"/>
        <v>0.92910831700001406</v>
      </c>
      <c r="J71" s="823">
        <f>J61/I61</f>
        <v>1.0169802211837349</v>
      </c>
      <c r="K71" s="823">
        <f>M61/J61</f>
        <v>1.0115624881505465</v>
      </c>
      <c r="L71" s="376"/>
      <c r="M71" s="376">
        <f t="shared" ref="M71:Q71" si="68">M66/L61</f>
        <v>-1.8183728074866904E-2</v>
      </c>
      <c r="N71" s="376">
        <f t="shared" si="68"/>
        <v>9.2836500043830331E-3</v>
      </c>
      <c r="O71" s="376">
        <f t="shared" si="68"/>
        <v>-6.3504910361356385E-3</v>
      </c>
      <c r="P71" s="376">
        <f t="shared" si="68"/>
        <v>-9.2043429916197576E-3</v>
      </c>
      <c r="Q71" s="376">
        <f t="shared" si="68"/>
        <v>4.0158651013595323E-3</v>
      </c>
      <c r="R71" s="456"/>
    </row>
    <row r="72" spans="2:18" s="348" customFormat="1" ht="13.8" thickBot="1">
      <c r="B72" s="495" t="s">
        <v>293</v>
      </c>
      <c r="C72" s="803"/>
      <c r="D72" s="823">
        <f t="shared" ref="D72:I72" si="69">D62/C62</f>
        <v>0.99780019838658207</v>
      </c>
      <c r="E72" s="823">
        <f t="shared" si="69"/>
        <v>1.0614909990082579</v>
      </c>
      <c r="F72" s="823">
        <f t="shared" si="69"/>
        <v>0.9932459626713106</v>
      </c>
      <c r="G72" s="823">
        <f t="shared" si="69"/>
        <v>1.0153433294881191</v>
      </c>
      <c r="H72" s="823">
        <f t="shared" si="69"/>
        <v>0.95769433850851249</v>
      </c>
      <c r="I72" s="823">
        <f t="shared" si="69"/>
        <v>0.95507725488202855</v>
      </c>
      <c r="J72" s="823">
        <f>J62/I62</f>
        <v>1.0097597736540895</v>
      </c>
      <c r="K72" s="823">
        <f>M62/J62</f>
        <v>1.0017083475391793</v>
      </c>
      <c r="L72" s="823"/>
      <c r="M72" s="823">
        <f>M62/L62</f>
        <v>0.99351709364721563</v>
      </c>
      <c r="N72" s="376">
        <f t="shared" ref="N72:Q72" si="70">N67/M62</f>
        <v>1.523310030813217E-2</v>
      </c>
      <c r="O72" s="376">
        <f t="shared" si="70"/>
        <v>1.6698535386321448E-3</v>
      </c>
      <c r="P72" s="376">
        <f t="shared" si="70"/>
        <v>-1.3750847926869935E-2</v>
      </c>
      <c r="Q72" s="376">
        <f t="shared" si="70"/>
        <v>4.0158651013596017E-3</v>
      </c>
      <c r="R72" s="456"/>
    </row>
    <row r="73" spans="2:18">
      <c r="B73" s="351" t="s">
        <v>49</v>
      </c>
      <c r="C73" s="769"/>
      <c r="D73" s="769"/>
      <c r="E73" s="769"/>
      <c r="F73" s="769"/>
      <c r="G73" s="769"/>
      <c r="H73" s="767"/>
      <c r="I73" s="767"/>
      <c r="J73" s="767"/>
      <c r="K73" s="767"/>
      <c r="L73" s="767"/>
      <c r="M73" s="767"/>
      <c r="N73" s="804"/>
      <c r="O73" s="770"/>
      <c r="P73" s="770"/>
      <c r="Q73" s="770"/>
      <c r="R73" s="456"/>
    </row>
    <row r="74" spans="2:18">
      <c r="B74" s="4" t="s">
        <v>143</v>
      </c>
      <c r="C74" s="377">
        <f>'Rate Class Customer Model'!G6</f>
        <v>125.91666666666667</v>
      </c>
      <c r="D74" s="377">
        <f>'Rate Class Customer Model'!G7</f>
        <v>124.33333333333333</v>
      </c>
      <c r="E74" s="377">
        <f>'Rate Class Customer Model'!G8</f>
        <v>120.5</v>
      </c>
      <c r="F74" s="377">
        <f>'Rate Class Customer Model'!G9</f>
        <v>118.66666666666667</v>
      </c>
      <c r="G74" s="377">
        <f>'Rate Class Customer Model'!G10</f>
        <v>116.83333333333333</v>
      </c>
      <c r="H74" s="377">
        <f>'Rate Class Customer Model'!G11</f>
        <v>115.66666666666667</v>
      </c>
      <c r="I74" s="377">
        <f>'Rate Class Customer Model'!G12</f>
        <v>113.91666666666667</v>
      </c>
      <c r="J74" s="377">
        <f>'Rate Class Customer Model'!G13</f>
        <v>114</v>
      </c>
      <c r="K74" s="377"/>
      <c r="L74" s="377">
        <v>105.9532852783358</v>
      </c>
      <c r="M74" s="377">
        <f>'Rate Class Customer Model'!G14</f>
        <v>111.91666666666667</v>
      </c>
      <c r="N74" s="371">
        <f>'Rate Class Customer Model'!G15</f>
        <v>111.5</v>
      </c>
      <c r="O74" s="371">
        <f>'Rate Class Customer Model'!G16</f>
        <v>115.16666666666667</v>
      </c>
      <c r="P74" s="371">
        <f>'Rate Class Customer Model'!G17</f>
        <v>114.89120962150339</v>
      </c>
      <c r="Q74" s="371">
        <f>'Rate Class Customer Model'!G18</f>
        <v>114.61641141787757</v>
      </c>
      <c r="R74" s="456"/>
    </row>
    <row r="75" spans="2:18">
      <c r="B75" s="4" t="s">
        <v>144</v>
      </c>
      <c r="C75" s="377">
        <f>kWh!H79</f>
        <v>845121401</v>
      </c>
      <c r="D75" s="377">
        <f>kWh!Q79</f>
        <v>922964133.89185596</v>
      </c>
      <c r="E75" s="377">
        <f>kWh!Z79</f>
        <v>954061083</v>
      </c>
      <c r="F75" s="377">
        <f>kWh!AI79</f>
        <v>950418593.19007277</v>
      </c>
      <c r="G75" s="377">
        <f>kWh!AR79</f>
        <v>942048351.14727533</v>
      </c>
      <c r="H75" s="377">
        <f>kWh!BA79</f>
        <v>872378904.46835363</v>
      </c>
      <c r="I75" s="377">
        <f>kWh!BJ79</f>
        <v>788185444</v>
      </c>
      <c r="J75" s="377">
        <f>kWh!BS79</f>
        <v>839914784.96182454</v>
      </c>
      <c r="K75" s="377"/>
      <c r="L75" s="377">
        <v>843484098.03830779</v>
      </c>
      <c r="M75" s="374">
        <f>kWh!CB79-SUM('WH MRK PART.'!I4:I15)</f>
        <v>801310497.04765332</v>
      </c>
      <c r="N75" s="374">
        <f>kWh!CK79-SUM('WH MRK PART.'!I16:I27)</f>
        <v>807792313.34622812</v>
      </c>
      <c r="O75" s="374">
        <f>kWh!CT79-SUM('WH MRK PART.'!I28:I39)</f>
        <v>812965291.60286641</v>
      </c>
      <c r="P75" s="371">
        <f>'Rate Class Energy Model'!M77</f>
        <v>804411590.24426258</v>
      </c>
      <c r="Q75" s="371">
        <f>'Rate Class Energy Model'!M78</f>
        <v>806154179.88763332</v>
      </c>
      <c r="R75" s="456"/>
    </row>
    <row r="76" spans="2:18">
      <c r="B76" s="116" t="s">
        <v>147</v>
      </c>
      <c r="C76" s="377">
        <f>KW!D17</f>
        <v>1956285</v>
      </c>
      <c r="D76" s="377">
        <f>KW!J17</f>
        <v>2104962</v>
      </c>
      <c r="E76" s="377">
        <f>KW!P17</f>
        <v>2167872</v>
      </c>
      <c r="F76" s="377">
        <f>KW!V17</f>
        <v>2137488</v>
      </c>
      <c r="G76" s="377">
        <f>KW!AB17</f>
        <v>2106615</v>
      </c>
      <c r="H76" s="377">
        <f>KW!AH17</f>
        <v>1976551</v>
      </c>
      <c r="I76" s="377">
        <f>KW!AN17</f>
        <v>1839970</v>
      </c>
      <c r="J76" s="377">
        <f>KW!AT17</f>
        <v>1916781</v>
      </c>
      <c r="K76" s="377"/>
      <c r="L76" s="377">
        <v>1904929.1556661564</v>
      </c>
      <c r="M76" s="377">
        <f>KW!AZ17</f>
        <v>1894300</v>
      </c>
      <c r="N76" s="377">
        <f>KW!BF17</f>
        <v>1928037</v>
      </c>
      <c r="O76" s="377">
        <f>KW!BL17</f>
        <v>1980476</v>
      </c>
      <c r="P76" s="371">
        <f>'Rate Class Load Model'!C14</f>
        <v>1965158.0720825971</v>
      </c>
      <c r="Q76" s="371">
        <f>'Rate Class Load Model'!C15</f>
        <v>1969146.4021656737</v>
      </c>
      <c r="R76" s="456"/>
    </row>
    <row r="77" spans="2:18">
      <c r="B77" s="495" t="s">
        <v>270</v>
      </c>
      <c r="C77" s="377">
        <f>C75/C74</f>
        <v>6711751.6955658505</v>
      </c>
      <c r="D77" s="377">
        <f>D75/D74</f>
        <v>7423304.0259398604</v>
      </c>
      <c r="E77" s="377">
        <f t="shared" ref="E77:Q77" si="71">E75/E74</f>
        <v>7917519.3609958505</v>
      </c>
      <c r="F77" s="377">
        <f t="shared" si="71"/>
        <v>8009145.4482309502</v>
      </c>
      <c r="G77" s="377">
        <f t="shared" si="71"/>
        <v>8063181.3222306026</v>
      </c>
      <c r="H77" s="377">
        <f t="shared" si="71"/>
        <v>7542180.7302739499</v>
      </c>
      <c r="I77" s="377">
        <f t="shared" si="71"/>
        <v>6918965.1265544984</v>
      </c>
      <c r="J77" s="377">
        <f t="shared" si="71"/>
        <v>7367673.5522967065</v>
      </c>
      <c r="K77" s="377"/>
      <c r="L77" s="377">
        <f t="shared" si="71"/>
        <v>7960905.5615642574</v>
      </c>
      <c r="M77" s="377">
        <f>M75/M74</f>
        <v>7159885.3049678626</v>
      </c>
      <c r="N77" s="377">
        <f t="shared" si="71"/>
        <v>7244774.1107285032</v>
      </c>
      <c r="O77" s="377">
        <f t="shared" si="71"/>
        <v>7059032.9227455836</v>
      </c>
      <c r="P77" s="377">
        <f t="shared" si="71"/>
        <v>7001506.8419447336</v>
      </c>
      <c r="Q77" s="377">
        <f t="shared" si="71"/>
        <v>7033496.9479064625</v>
      </c>
      <c r="R77" s="456"/>
    </row>
    <row r="78" spans="2:18">
      <c r="B78" s="495" t="s">
        <v>275</v>
      </c>
      <c r="C78" s="377">
        <f>C76/C74</f>
        <v>15536.346790205162</v>
      </c>
      <c r="D78" s="377">
        <f>D76/D74</f>
        <v>16929.989276139411</v>
      </c>
      <c r="E78" s="377">
        <f t="shared" ref="E78:Q78" si="72">E76/E74</f>
        <v>17990.639004149376</v>
      </c>
      <c r="F78" s="377">
        <f t="shared" si="72"/>
        <v>18012.539325842696</v>
      </c>
      <c r="G78" s="377">
        <f t="shared" si="72"/>
        <v>18030.941512125537</v>
      </c>
      <c r="H78" s="377">
        <f t="shared" si="72"/>
        <v>17088.337175792505</v>
      </c>
      <c r="I78" s="377">
        <f t="shared" si="72"/>
        <v>16151.894659839063</v>
      </c>
      <c r="J78" s="377">
        <f t="shared" si="72"/>
        <v>16813.86842105263</v>
      </c>
      <c r="K78" s="377"/>
      <c r="L78" s="377">
        <f t="shared" si="72"/>
        <v>17978.953183584352</v>
      </c>
      <c r="M78" s="377">
        <f t="shared" si="72"/>
        <v>16925.986597170515</v>
      </c>
      <c r="N78" s="377">
        <f t="shared" si="72"/>
        <v>17291.811659192826</v>
      </c>
      <c r="O78" s="377">
        <f t="shared" si="72"/>
        <v>17196.607814761213</v>
      </c>
      <c r="P78" s="377">
        <f t="shared" si="72"/>
        <v>17104.511986222416</v>
      </c>
      <c r="Q78" s="377">
        <f t="shared" si="72"/>
        <v>17180.318052241262</v>
      </c>
      <c r="R78" s="456"/>
    </row>
    <row r="79" spans="2:18">
      <c r="B79" s="4" t="s">
        <v>266</v>
      </c>
      <c r="C79" s="807"/>
      <c r="D79" s="807">
        <f>D74-C74</f>
        <v>-1.5833333333333428</v>
      </c>
      <c r="E79" s="807">
        <f t="shared" ref="E79:Q79" si="73">E74-D74</f>
        <v>-3.8333333333333286</v>
      </c>
      <c r="F79" s="807">
        <f t="shared" si="73"/>
        <v>-1.8333333333333286</v>
      </c>
      <c r="G79" s="807">
        <f t="shared" si="73"/>
        <v>-1.8333333333333428</v>
      </c>
      <c r="H79" s="807">
        <f t="shared" si="73"/>
        <v>-1.1666666666666572</v>
      </c>
      <c r="I79" s="807">
        <f t="shared" si="73"/>
        <v>-1.75</v>
      </c>
      <c r="J79" s="807">
        <f>J74-I74</f>
        <v>8.3333333333328596E-2</v>
      </c>
      <c r="K79" s="807">
        <f>M74-J74</f>
        <v>-2.0833333333333286</v>
      </c>
      <c r="L79" s="807"/>
      <c r="M79" s="807">
        <f t="shared" si="73"/>
        <v>5.9633813883308733</v>
      </c>
      <c r="N79" s="807">
        <f t="shared" si="73"/>
        <v>-0.4166666666666714</v>
      </c>
      <c r="O79" s="807">
        <f t="shared" si="73"/>
        <v>3.6666666666666714</v>
      </c>
      <c r="P79" s="807">
        <f t="shared" si="73"/>
        <v>-0.27545704516327874</v>
      </c>
      <c r="Q79" s="807">
        <f t="shared" si="73"/>
        <v>-0.27479820362582075</v>
      </c>
      <c r="R79" s="456"/>
    </row>
    <row r="80" spans="2:18">
      <c r="B80" s="4" t="s">
        <v>268</v>
      </c>
      <c r="C80" s="807"/>
      <c r="D80" s="807">
        <f>D75-C75</f>
        <v>77842732.891855955</v>
      </c>
      <c r="E80" s="807">
        <f t="shared" ref="E80:Q80" si="74">E75-D75</f>
        <v>31096949.108144045</v>
      </c>
      <c r="F80" s="807">
        <f t="shared" si="74"/>
        <v>-3642489.8099272251</v>
      </c>
      <c r="G80" s="807">
        <f t="shared" si="74"/>
        <v>-8370242.0427974463</v>
      </c>
      <c r="H80" s="807">
        <f t="shared" si="74"/>
        <v>-69669446.6789217</v>
      </c>
      <c r="I80" s="807">
        <f t="shared" si="74"/>
        <v>-84193460.468353629</v>
      </c>
      <c r="J80" s="807">
        <f t="shared" si="74"/>
        <v>51729340.961824536</v>
      </c>
      <c r="K80" s="807">
        <f t="shared" ref="K80:K82" si="75">M75-J75</f>
        <v>-38604287.914171219</v>
      </c>
      <c r="L80" s="807"/>
      <c r="M80" s="807">
        <f t="shared" si="74"/>
        <v>-42173600.990654469</v>
      </c>
      <c r="N80" s="807">
        <f t="shared" si="74"/>
        <v>6481816.2985748053</v>
      </c>
      <c r="O80" s="807">
        <f t="shared" si="74"/>
        <v>5172978.2566382885</v>
      </c>
      <c r="P80" s="807">
        <f t="shared" si="74"/>
        <v>-8553701.3586038351</v>
      </c>
      <c r="Q80" s="807">
        <f t="shared" si="74"/>
        <v>1742589.6433707476</v>
      </c>
      <c r="R80" s="456"/>
    </row>
    <row r="81" spans="2:18">
      <c r="B81" s="4" t="s">
        <v>276</v>
      </c>
      <c r="C81" s="807"/>
      <c r="D81" s="807">
        <f>D76-C76</f>
        <v>148677</v>
      </c>
      <c r="E81" s="807">
        <f t="shared" ref="E81:Q81" si="76">E76-D76</f>
        <v>62910</v>
      </c>
      <c r="F81" s="807">
        <f t="shared" si="76"/>
        <v>-30384</v>
      </c>
      <c r="G81" s="807">
        <f t="shared" si="76"/>
        <v>-30873</v>
      </c>
      <c r="H81" s="807">
        <f t="shared" si="76"/>
        <v>-130064</v>
      </c>
      <c r="I81" s="807">
        <f t="shared" si="76"/>
        <v>-136581</v>
      </c>
      <c r="J81" s="807">
        <f t="shared" si="76"/>
        <v>76811</v>
      </c>
      <c r="K81" s="807">
        <f t="shared" si="75"/>
        <v>-22481</v>
      </c>
      <c r="L81" s="807"/>
      <c r="M81" s="807">
        <f t="shared" si="76"/>
        <v>-10629.155666156439</v>
      </c>
      <c r="N81" s="807">
        <f t="shared" si="76"/>
        <v>33737</v>
      </c>
      <c r="O81" s="807">
        <f t="shared" si="76"/>
        <v>52439</v>
      </c>
      <c r="P81" s="807">
        <f t="shared" si="76"/>
        <v>-15317.927917402936</v>
      </c>
      <c r="Q81" s="807">
        <f t="shared" si="76"/>
        <v>3988.3300830766093</v>
      </c>
      <c r="R81" s="456"/>
    </row>
    <row r="82" spans="2:18">
      <c r="B82" s="495" t="s">
        <v>274</v>
      </c>
      <c r="C82" s="807"/>
      <c r="D82" s="807">
        <f>D77-C77</f>
        <v>711552.33037400991</v>
      </c>
      <c r="E82" s="807">
        <f t="shared" ref="E82:Q82" si="77">E77-D77</f>
        <v>494215.33505599014</v>
      </c>
      <c r="F82" s="807">
        <f t="shared" si="77"/>
        <v>91626.087235099636</v>
      </c>
      <c r="G82" s="807">
        <f t="shared" si="77"/>
        <v>54035.873999652453</v>
      </c>
      <c r="H82" s="807">
        <f t="shared" si="77"/>
        <v>-521000.5919566527</v>
      </c>
      <c r="I82" s="807">
        <f t="shared" si="77"/>
        <v>-623215.60371945146</v>
      </c>
      <c r="J82" s="807">
        <f t="shared" si="77"/>
        <v>448708.42574220803</v>
      </c>
      <c r="K82" s="807">
        <f t="shared" si="75"/>
        <v>-207788.24732884392</v>
      </c>
      <c r="L82" s="807"/>
      <c r="M82" s="807">
        <f t="shared" si="77"/>
        <v>-801020.25659639481</v>
      </c>
      <c r="N82" s="807">
        <f t="shared" si="77"/>
        <v>84888.805760640651</v>
      </c>
      <c r="O82" s="807">
        <f t="shared" si="77"/>
        <v>-185741.18798291963</v>
      </c>
      <c r="P82" s="807">
        <f t="shared" si="77"/>
        <v>-57526.080800849944</v>
      </c>
      <c r="Q82" s="807">
        <f t="shared" si="77"/>
        <v>31990.105961728841</v>
      </c>
      <c r="R82" s="456"/>
    </row>
    <row r="83" spans="2:18">
      <c r="B83" s="495" t="s">
        <v>277</v>
      </c>
      <c r="C83" s="807"/>
      <c r="D83" s="807">
        <f>D78-C78</f>
        <v>1393.6424859342496</v>
      </c>
      <c r="E83" s="807">
        <f t="shared" ref="E83:Q83" si="78">E78-D78</f>
        <v>1060.6497280099647</v>
      </c>
      <c r="F83" s="807">
        <f t="shared" si="78"/>
        <v>21.900321693319711</v>
      </c>
      <c r="G83" s="807">
        <f t="shared" si="78"/>
        <v>18.402186282841285</v>
      </c>
      <c r="H83" s="807">
        <f t="shared" si="78"/>
        <v>-942.60433633303182</v>
      </c>
      <c r="I83" s="807">
        <f t="shared" si="78"/>
        <v>-936.44251595344213</v>
      </c>
      <c r="J83" s="807">
        <f t="shared" si="78"/>
        <v>661.97376121356683</v>
      </c>
      <c r="K83" s="807">
        <f>M78-J78</f>
        <v>112.11817611788501</v>
      </c>
      <c r="L83" s="807"/>
      <c r="M83" s="807">
        <f t="shared" si="78"/>
        <v>-1052.9665864138369</v>
      </c>
      <c r="N83" s="807">
        <f t="shared" si="78"/>
        <v>365.82506202231161</v>
      </c>
      <c r="O83" s="807">
        <f t="shared" si="78"/>
        <v>-95.203844431613106</v>
      </c>
      <c r="P83" s="807">
        <f t="shared" si="78"/>
        <v>-92.095828538796923</v>
      </c>
      <c r="Q83" s="807">
        <f t="shared" si="78"/>
        <v>75.80606601884574</v>
      </c>
      <c r="R83" s="456"/>
    </row>
    <row r="84" spans="2:18">
      <c r="B84" s="4" t="s">
        <v>267</v>
      </c>
      <c r="C84" s="377"/>
      <c r="D84" s="376">
        <f>D79/C74</f>
        <v>-1.2574454003970954E-2</v>
      </c>
      <c r="E84" s="376">
        <f t="shared" ref="E84:Q84" si="79">E79/D74</f>
        <v>-3.0831099195710417E-2</v>
      </c>
      <c r="F84" s="376">
        <f t="shared" si="79"/>
        <v>-1.5214384508990278E-2</v>
      </c>
      <c r="G84" s="376">
        <f t="shared" si="79"/>
        <v>-1.544943820224727E-2</v>
      </c>
      <c r="H84" s="376">
        <f t="shared" si="79"/>
        <v>-9.9857346647645416E-3</v>
      </c>
      <c r="I84" s="376">
        <f t="shared" si="79"/>
        <v>-1.5129682997118156E-2</v>
      </c>
      <c r="J84" s="376">
        <f t="shared" si="79"/>
        <v>7.3152889539132636E-4</v>
      </c>
      <c r="K84" s="376">
        <f>K79/J74</f>
        <v>-1.8274853801169548E-2</v>
      </c>
      <c r="L84" s="376"/>
      <c r="M84" s="376">
        <f t="shared" si="79"/>
        <v>5.6283119231888529E-2</v>
      </c>
      <c r="N84" s="376">
        <f t="shared" si="79"/>
        <v>-3.7230081906180616E-3</v>
      </c>
      <c r="O84" s="376">
        <f t="shared" si="79"/>
        <v>3.2884902840059835E-2</v>
      </c>
      <c r="P84" s="376">
        <f t="shared" si="79"/>
        <v>-2.3918122590154446E-3</v>
      </c>
      <c r="Q84" s="376">
        <f t="shared" si="79"/>
        <v>-2.3918122590154073E-3</v>
      </c>
      <c r="R84" s="456"/>
    </row>
    <row r="85" spans="2:18">
      <c r="B85" s="4" t="s">
        <v>269</v>
      </c>
      <c r="C85" s="377"/>
      <c r="D85" s="376">
        <f>D80/C75</f>
        <v>9.2108344197351547E-2</v>
      </c>
      <c r="E85" s="376">
        <f t="shared" ref="E85:Q85" si="80">E80/D75</f>
        <v>3.3692478359931249E-2</v>
      </c>
      <c r="F85" s="376">
        <f t="shared" si="80"/>
        <v>-3.8178790381781301E-3</v>
      </c>
      <c r="G85" s="376">
        <f t="shared" si="80"/>
        <v>-8.8069005623120158E-3</v>
      </c>
      <c r="H85" s="376">
        <f t="shared" si="80"/>
        <v>-7.3955276917659948E-2</v>
      </c>
      <c r="I85" s="376">
        <f t="shared" si="80"/>
        <v>-9.6510197618387999E-2</v>
      </c>
      <c r="J85" s="376">
        <f t="shared" si="80"/>
        <v>6.5630926523206054E-2</v>
      </c>
      <c r="K85" s="376">
        <f>K80/J75</f>
        <v>-4.5962148309992956E-2</v>
      </c>
      <c r="L85" s="376"/>
      <c r="M85" s="376">
        <f t="shared" si="80"/>
        <v>-4.9999284027686677E-2</v>
      </c>
      <c r="N85" s="376">
        <f t="shared" si="80"/>
        <v>8.089019577874489E-3</v>
      </c>
      <c r="O85" s="376">
        <f t="shared" si="80"/>
        <v>6.4038468442582175E-3</v>
      </c>
      <c r="P85" s="376">
        <f t="shared" si="80"/>
        <v>-1.0521607068536843E-2</v>
      </c>
      <c r="Q85" s="376">
        <f t="shared" si="80"/>
        <v>2.1662910685332167E-3</v>
      </c>
      <c r="R85" s="456"/>
    </row>
    <row r="86" spans="2:18">
      <c r="B86" s="4" t="s">
        <v>278</v>
      </c>
      <c r="C86" s="377"/>
      <c r="D86" s="376">
        <f>D81/C76</f>
        <v>7.59996626258444E-2</v>
      </c>
      <c r="E86" s="376">
        <f t="shared" ref="E86:Q86" si="81">E81/D76</f>
        <v>2.9886525267439509E-2</v>
      </c>
      <c r="F86" s="376">
        <f t="shared" si="81"/>
        <v>-1.4015587636170401E-2</v>
      </c>
      <c r="G86" s="376">
        <f t="shared" si="81"/>
        <v>-1.4443589858750085E-2</v>
      </c>
      <c r="H86" s="376">
        <f t="shared" si="81"/>
        <v>-6.1740754717876781E-2</v>
      </c>
      <c r="I86" s="376">
        <f t="shared" si="81"/>
        <v>-6.9100670814970122E-2</v>
      </c>
      <c r="J86" s="376">
        <f t="shared" si="81"/>
        <v>4.1745789333521743E-2</v>
      </c>
      <c r="K86" s="376">
        <f>K81/J76</f>
        <v>-1.1728517759723202E-2</v>
      </c>
      <c r="L86" s="376"/>
      <c r="M86" s="376">
        <f t="shared" si="81"/>
        <v>-5.579816779296135E-3</v>
      </c>
      <c r="N86" s="376">
        <f t="shared" si="81"/>
        <v>1.7809745024547328E-2</v>
      </c>
      <c r="O86" s="376">
        <f t="shared" si="81"/>
        <v>2.7198129496477506E-2</v>
      </c>
      <c r="P86" s="376">
        <f t="shared" si="81"/>
        <v>-7.7344678336939889E-3</v>
      </c>
      <c r="Q86" s="376">
        <f t="shared" si="81"/>
        <v>2.0295212582313719E-3</v>
      </c>
      <c r="R86" s="456"/>
    </row>
    <row r="87" spans="2:18">
      <c r="B87" s="495" t="s">
        <v>271</v>
      </c>
      <c r="C87" s="377"/>
      <c r="D87" s="376">
        <f>D82/C77</f>
        <v>0.10601589013552158</v>
      </c>
      <c r="E87" s="376">
        <f t="shared" ref="E87:Q87" si="82">E82/D77</f>
        <v>6.6576194822280346E-2</v>
      </c>
      <c r="F87" s="376">
        <f t="shared" si="82"/>
        <v>1.1572575077805061E-2</v>
      </c>
      <c r="G87" s="376">
        <f t="shared" si="82"/>
        <v>6.7467714688073032E-3</v>
      </c>
      <c r="H87" s="376">
        <f t="shared" si="82"/>
        <v>-6.4614768183400201E-2</v>
      </c>
      <c r="I87" s="376">
        <f t="shared" si="82"/>
        <v>-8.2630690778582649E-2</v>
      </c>
      <c r="J87" s="376">
        <f t="shared" si="82"/>
        <v>6.4851956547677461E-2</v>
      </c>
      <c r="K87" s="823">
        <f>M77/J77</f>
        <v>0.97179730537001463</v>
      </c>
      <c r="L87" s="376"/>
      <c r="M87" s="376">
        <f t="shared" si="82"/>
        <v>-0.10061923865342279</v>
      </c>
      <c r="N87" s="376">
        <f t="shared" si="82"/>
        <v>1.1856168380482413E-2</v>
      </c>
      <c r="O87" s="376">
        <f t="shared" si="82"/>
        <v>-2.5637954357729767E-2</v>
      </c>
      <c r="P87" s="376">
        <f t="shared" si="82"/>
        <v>-8.1492863725694878E-3</v>
      </c>
      <c r="Q87" s="376">
        <f t="shared" si="82"/>
        <v>4.5690315933253154E-3</v>
      </c>
      <c r="R87" s="456"/>
    </row>
    <row r="88" spans="2:18" s="348" customFormat="1" ht="13.8" thickBot="1">
      <c r="B88" s="495" t="s">
        <v>279</v>
      </c>
      <c r="C88" s="803"/>
      <c r="D88" s="766">
        <f>D83/C78</f>
        <v>8.9702071198157526E-2</v>
      </c>
      <c r="E88" s="766">
        <f t="shared" ref="E88:Q88" si="83">E83/D78</f>
        <v>6.2649167150082646E-2</v>
      </c>
      <c r="F88" s="766">
        <f t="shared" si="83"/>
        <v>1.217317611023633E-3</v>
      </c>
      <c r="G88" s="766">
        <f t="shared" si="83"/>
        <v>1.0216319836948008E-3</v>
      </c>
      <c r="H88" s="766">
        <f t="shared" si="83"/>
        <v>-5.2277044751054436E-2</v>
      </c>
      <c r="I88" s="766">
        <f t="shared" si="83"/>
        <v>-5.4800095896984945E-2</v>
      </c>
      <c r="J88" s="766">
        <f t="shared" si="83"/>
        <v>4.0984279253599508E-2</v>
      </c>
      <c r="K88" s="823">
        <f>M78/J78</f>
        <v>1.0066681963549509</v>
      </c>
      <c r="L88" s="766"/>
      <c r="M88" s="766">
        <f t="shared" si="83"/>
        <v>-5.8566623743992283E-2</v>
      </c>
      <c r="N88" s="766">
        <f t="shared" si="83"/>
        <v>2.1613219408047144E-2</v>
      </c>
      <c r="O88" s="766">
        <f t="shared" si="83"/>
        <v>-5.5057183311963721E-3</v>
      </c>
      <c r="P88" s="766">
        <f t="shared" si="83"/>
        <v>-5.3554648411382483E-3</v>
      </c>
      <c r="Q88" s="766">
        <f t="shared" si="83"/>
        <v>4.4319338710105891E-3</v>
      </c>
      <c r="R88" s="456"/>
    </row>
    <row r="89" spans="2:18">
      <c r="B89" s="351" t="s">
        <v>55</v>
      </c>
      <c r="C89" s="769"/>
      <c r="D89" s="769"/>
      <c r="E89" s="769"/>
      <c r="F89" s="769"/>
      <c r="G89" s="769"/>
      <c r="H89" s="767"/>
      <c r="I89" s="767"/>
      <c r="J89" s="767"/>
      <c r="K89" s="767"/>
      <c r="L89" s="767"/>
      <c r="M89" s="767"/>
      <c r="N89" s="768"/>
      <c r="O89" s="768"/>
      <c r="P89" s="768"/>
      <c r="Q89" s="768"/>
      <c r="R89" s="456"/>
    </row>
    <row r="90" spans="2:18">
      <c r="B90" s="4" t="s">
        <v>143</v>
      </c>
      <c r="C90" s="377">
        <f>'Rate Class Customer Model'!H6</f>
        <v>4</v>
      </c>
      <c r="D90" s="377">
        <f>'Rate Class Customer Model'!H7</f>
        <v>3.0833333333333335</v>
      </c>
      <c r="E90" s="377">
        <f>'Rate Class Customer Model'!H8</f>
        <v>3</v>
      </c>
      <c r="F90" s="377">
        <f>'Rate Class Customer Model'!H9</f>
        <v>3.9166666666666665</v>
      </c>
      <c r="G90" s="377">
        <f>'Rate Class Customer Model'!H10</f>
        <v>4.916666666666667</v>
      </c>
      <c r="H90" s="377">
        <f>'Rate Class Customer Model'!H11</f>
        <v>6</v>
      </c>
      <c r="I90" s="377">
        <f>'Rate Class Customer Model'!H12</f>
        <v>6</v>
      </c>
      <c r="J90" s="377">
        <f>'Rate Class Customer Model'!H13</f>
        <v>6</v>
      </c>
      <c r="K90" s="377"/>
      <c r="L90" s="377">
        <v>6</v>
      </c>
      <c r="M90" s="377">
        <f>'Rate Class Customer Model'!H14</f>
        <v>6</v>
      </c>
      <c r="N90" s="371">
        <f>'Rate Class Customer Model'!H15</f>
        <v>6</v>
      </c>
      <c r="O90" s="371">
        <f>'Rate Class Customer Model'!H16</f>
        <v>6</v>
      </c>
      <c r="P90" s="371">
        <f>'Rate Class Customer Model'!H17</f>
        <v>6</v>
      </c>
      <c r="Q90" s="371">
        <f>'Rate Class Customer Model'!H18</f>
        <v>6</v>
      </c>
      <c r="R90" s="456"/>
    </row>
    <row r="91" spans="2:18">
      <c r="B91" s="4" t="s">
        <v>144</v>
      </c>
      <c r="C91" s="377">
        <f>kWh!I79</f>
        <v>281784328</v>
      </c>
      <c r="D91" s="377">
        <f>kWh!R79</f>
        <v>290325101.76705635</v>
      </c>
      <c r="E91" s="377">
        <f>kWh!AA79</f>
        <v>304422360</v>
      </c>
      <c r="F91" s="377">
        <f>kWh!AJ79</f>
        <v>334087721.73003125</v>
      </c>
      <c r="G91" s="377">
        <f>kWh!AS79</f>
        <v>355306259.56106627</v>
      </c>
      <c r="H91" s="377">
        <f>kWh!BB79</f>
        <v>388608246.60237163</v>
      </c>
      <c r="I91" s="377">
        <f>kWh!BK79</f>
        <v>342523390</v>
      </c>
      <c r="J91" s="377">
        <f>kWh!BT79</f>
        <v>363198797</v>
      </c>
      <c r="K91" s="377"/>
      <c r="L91" s="377">
        <v>391244133.72784579</v>
      </c>
      <c r="M91" s="377">
        <f>kWh!CC79</f>
        <v>394428511</v>
      </c>
      <c r="N91" s="377">
        <f>kWh!CL79</f>
        <v>402243669</v>
      </c>
      <c r="O91" s="377">
        <f>kWh!CU79</f>
        <v>380451261.84834135</v>
      </c>
      <c r="P91" s="371">
        <f>'Rate Class Energy Model'!N77</f>
        <v>381669818.36458278</v>
      </c>
      <c r="Q91" s="371">
        <f>'Rate Class Energy Model'!N78</f>
        <v>382619513.4019751</v>
      </c>
      <c r="R91" s="456"/>
    </row>
    <row r="92" spans="2:18">
      <c r="B92" s="116" t="s">
        <v>147</v>
      </c>
      <c r="C92" s="377">
        <f>KW!E17</f>
        <v>531189</v>
      </c>
      <c r="D92" s="377">
        <f>KW!K17</f>
        <v>505001</v>
      </c>
      <c r="E92" s="377">
        <f>KW!Q17</f>
        <v>515785</v>
      </c>
      <c r="F92" s="377">
        <f>KW!W17</f>
        <v>589471</v>
      </c>
      <c r="G92" s="377">
        <f>KW!AC17</f>
        <v>639861</v>
      </c>
      <c r="H92" s="377">
        <f>KW!AI17</f>
        <v>712935</v>
      </c>
      <c r="I92" s="377">
        <f>KW!AO17</f>
        <v>696851</v>
      </c>
      <c r="J92" s="377">
        <f>KW!AU17</f>
        <v>684290</v>
      </c>
      <c r="K92" s="377"/>
      <c r="L92" s="377">
        <v>711951.13804452005</v>
      </c>
      <c r="M92" s="377">
        <f>KW!BA17</f>
        <v>716743</v>
      </c>
      <c r="N92" s="377">
        <f>KW!BG17</f>
        <v>736260</v>
      </c>
      <c r="O92" s="377">
        <f>KW!BM17</f>
        <v>701011</v>
      </c>
      <c r="P92" s="371">
        <f>'Rate Class Load Model'!D14</f>
        <v>718200.0208124714</v>
      </c>
      <c r="Q92" s="371">
        <f>'Rate Class Load Model'!D15</f>
        <v>719987.09163337958</v>
      </c>
      <c r="R92" s="456"/>
    </row>
    <row r="93" spans="2:18">
      <c r="B93" s="495" t="s">
        <v>270</v>
      </c>
      <c r="C93" s="377">
        <f>C91/C90</f>
        <v>70446082</v>
      </c>
      <c r="D93" s="377">
        <f>D91/D90</f>
        <v>94159492.464991242</v>
      </c>
      <c r="E93" s="377">
        <f t="shared" ref="E93:P93" si="84">E91/E90</f>
        <v>101474120</v>
      </c>
      <c r="F93" s="377">
        <f t="shared" si="84"/>
        <v>85298992.782135636</v>
      </c>
      <c r="G93" s="377">
        <f t="shared" si="84"/>
        <v>72265679.91072534</v>
      </c>
      <c r="H93" s="377">
        <f t="shared" si="84"/>
        <v>64768041.10039527</v>
      </c>
      <c r="I93" s="377">
        <f t="shared" si="84"/>
        <v>57087231.666666664</v>
      </c>
      <c r="J93" s="377">
        <f t="shared" si="84"/>
        <v>60533132.833333336</v>
      </c>
      <c r="K93" s="377"/>
      <c r="L93" s="377">
        <f t="shared" si="84"/>
        <v>65207355.621307634</v>
      </c>
      <c r="M93" s="377">
        <f t="shared" si="84"/>
        <v>65738085.166666664</v>
      </c>
      <c r="N93" s="377">
        <f t="shared" si="84"/>
        <v>67040611.5</v>
      </c>
      <c r="O93" s="377">
        <f t="shared" si="84"/>
        <v>63408543.641390227</v>
      </c>
      <c r="P93" s="377">
        <f t="shared" si="84"/>
        <v>63611636.394097127</v>
      </c>
      <c r="Q93" s="377">
        <f>Q91/Q90</f>
        <v>63769918.90032918</v>
      </c>
      <c r="R93" s="456"/>
    </row>
    <row r="94" spans="2:18">
      <c r="B94" s="495" t="s">
        <v>275</v>
      </c>
      <c r="C94" s="377">
        <f>C92/C90</f>
        <v>132797.25</v>
      </c>
      <c r="D94" s="377">
        <f>D92/D90</f>
        <v>163784.10810810811</v>
      </c>
      <c r="E94" s="377">
        <f t="shared" ref="E94:Q94" si="85">E92/E90</f>
        <v>171928.33333333334</v>
      </c>
      <c r="F94" s="377">
        <f t="shared" si="85"/>
        <v>150503.2340425532</v>
      </c>
      <c r="G94" s="377">
        <f t="shared" si="85"/>
        <v>130141.22033898304</v>
      </c>
      <c r="H94" s="377">
        <f t="shared" si="85"/>
        <v>118822.5</v>
      </c>
      <c r="I94" s="377">
        <f t="shared" si="85"/>
        <v>116141.83333333333</v>
      </c>
      <c r="J94" s="377">
        <f t="shared" si="85"/>
        <v>114048.33333333333</v>
      </c>
      <c r="K94" s="377"/>
      <c r="L94" s="377">
        <f t="shared" si="85"/>
        <v>118658.52300742001</v>
      </c>
      <c r="M94" s="377">
        <f t="shared" si="85"/>
        <v>119457.16666666667</v>
      </c>
      <c r="N94" s="377">
        <f t="shared" si="85"/>
        <v>122710</v>
      </c>
      <c r="O94" s="377">
        <f t="shared" si="85"/>
        <v>116835.16666666667</v>
      </c>
      <c r="P94" s="377">
        <f t="shared" si="85"/>
        <v>119700.00346874523</v>
      </c>
      <c r="Q94" s="377">
        <f t="shared" si="85"/>
        <v>119997.84860556327</v>
      </c>
      <c r="R94" s="456"/>
    </row>
    <row r="95" spans="2:18">
      <c r="B95" s="4" t="s">
        <v>266</v>
      </c>
      <c r="C95" s="807"/>
      <c r="D95" s="807">
        <f>D90-C90</f>
        <v>-0.91666666666666652</v>
      </c>
      <c r="E95" s="807">
        <f t="shared" ref="E95:Q95" si="86">E90-D90</f>
        <v>-8.3333333333333481E-2</v>
      </c>
      <c r="F95" s="807">
        <f t="shared" si="86"/>
        <v>0.91666666666666652</v>
      </c>
      <c r="G95" s="807">
        <f t="shared" si="86"/>
        <v>1.0000000000000004</v>
      </c>
      <c r="H95" s="807">
        <f t="shared" si="86"/>
        <v>1.083333333333333</v>
      </c>
      <c r="I95" s="807">
        <f t="shared" si="86"/>
        <v>0</v>
      </c>
      <c r="J95" s="807">
        <f t="shared" si="86"/>
        <v>0</v>
      </c>
      <c r="K95" s="807">
        <f>M90-J90</f>
        <v>0</v>
      </c>
      <c r="L95" s="807"/>
      <c r="M95" s="807">
        <f t="shared" si="86"/>
        <v>0</v>
      </c>
      <c r="N95" s="807">
        <f t="shared" si="86"/>
        <v>0</v>
      </c>
      <c r="O95" s="807">
        <f t="shared" si="86"/>
        <v>0</v>
      </c>
      <c r="P95" s="807">
        <f t="shared" si="86"/>
        <v>0</v>
      </c>
      <c r="Q95" s="807">
        <f t="shared" si="86"/>
        <v>0</v>
      </c>
      <c r="R95" s="456"/>
    </row>
    <row r="96" spans="2:18">
      <c r="B96" s="4" t="s">
        <v>268</v>
      </c>
      <c r="C96" s="807"/>
      <c r="D96" s="807">
        <f>D91-C91</f>
        <v>8540773.7670563459</v>
      </c>
      <c r="E96" s="807">
        <f t="shared" ref="E96:Q96" si="87">E91-D91</f>
        <v>14097258.232943654</v>
      </c>
      <c r="F96" s="807">
        <f t="shared" si="87"/>
        <v>29665361.730031252</v>
      </c>
      <c r="G96" s="807">
        <f t="shared" si="87"/>
        <v>21218537.831035018</v>
      </c>
      <c r="H96" s="807">
        <f t="shared" si="87"/>
        <v>33301987.041305363</v>
      </c>
      <c r="I96" s="807">
        <f t="shared" si="87"/>
        <v>-46084856.602371633</v>
      </c>
      <c r="J96" s="807">
        <f t="shared" si="87"/>
        <v>20675407</v>
      </c>
      <c r="K96" s="807">
        <f t="shared" ref="K96:K98" si="88">M91-J91</f>
        <v>31229714</v>
      </c>
      <c r="L96" s="807"/>
      <c r="M96" s="807">
        <f t="shared" si="87"/>
        <v>3184377.272154212</v>
      </c>
      <c r="N96" s="807">
        <f t="shared" si="87"/>
        <v>7815158</v>
      </c>
      <c r="O96" s="807">
        <f t="shared" si="87"/>
        <v>-21792407.151658654</v>
      </c>
      <c r="P96" s="807">
        <f t="shared" si="87"/>
        <v>1218556.5162414312</v>
      </c>
      <c r="Q96" s="807">
        <f t="shared" si="87"/>
        <v>949695.03739231825</v>
      </c>
      <c r="R96" s="456"/>
    </row>
    <row r="97" spans="2:18">
      <c r="B97" s="4" t="s">
        <v>276</v>
      </c>
      <c r="C97" s="807"/>
      <c r="D97" s="807">
        <f>D92-C92</f>
        <v>-26188</v>
      </c>
      <c r="E97" s="807">
        <f t="shared" ref="E97:Q97" si="89">E92-D92</f>
        <v>10784</v>
      </c>
      <c r="F97" s="807">
        <f t="shared" si="89"/>
        <v>73686</v>
      </c>
      <c r="G97" s="807">
        <f t="shared" si="89"/>
        <v>50390</v>
      </c>
      <c r="H97" s="807">
        <f t="shared" si="89"/>
        <v>73074</v>
      </c>
      <c r="I97" s="807">
        <f t="shared" si="89"/>
        <v>-16084</v>
      </c>
      <c r="J97" s="807">
        <f t="shared" si="89"/>
        <v>-12561</v>
      </c>
      <c r="K97" s="807">
        <f t="shared" si="88"/>
        <v>32453</v>
      </c>
      <c r="L97" s="807"/>
      <c r="M97" s="807">
        <f t="shared" si="89"/>
        <v>4791.8619554799516</v>
      </c>
      <c r="N97" s="807">
        <f t="shared" si="89"/>
        <v>19517</v>
      </c>
      <c r="O97" s="807">
        <f t="shared" si="89"/>
        <v>-35249</v>
      </c>
      <c r="P97" s="807">
        <f t="shared" si="89"/>
        <v>17189.020812471397</v>
      </c>
      <c r="Q97" s="807">
        <f t="shared" si="89"/>
        <v>1787.0708209081786</v>
      </c>
      <c r="R97" s="456"/>
    </row>
    <row r="98" spans="2:18">
      <c r="B98" s="495" t="s">
        <v>274</v>
      </c>
      <c r="C98" s="807"/>
      <c r="D98" s="807">
        <f>D93-C93</f>
        <v>23713410.464991242</v>
      </c>
      <c r="E98" s="807">
        <f t="shared" ref="E98:Q98" si="90">E93-D93</f>
        <v>7314627.5350087583</v>
      </c>
      <c r="F98" s="807">
        <f t="shared" si="90"/>
        <v>-16175127.217864364</v>
      </c>
      <c r="G98" s="807">
        <f t="shared" si="90"/>
        <v>-13033312.871410295</v>
      </c>
      <c r="H98" s="807">
        <f t="shared" si="90"/>
        <v>-7497638.8103300706</v>
      </c>
      <c r="I98" s="807">
        <f t="shared" si="90"/>
        <v>-7680809.4337286055</v>
      </c>
      <c r="J98" s="807">
        <f t="shared" si="90"/>
        <v>3445901.1666666716</v>
      </c>
      <c r="K98" s="807">
        <f t="shared" si="88"/>
        <v>5204952.3333333284</v>
      </c>
      <c r="L98" s="807"/>
      <c r="M98" s="807">
        <f t="shared" si="90"/>
        <v>530729.54535903037</v>
      </c>
      <c r="N98" s="807">
        <f t="shared" si="90"/>
        <v>1302526.3333333358</v>
      </c>
      <c r="O98" s="807">
        <f t="shared" si="90"/>
        <v>-3632067.8586097732</v>
      </c>
      <c r="P98" s="807">
        <f t="shared" si="90"/>
        <v>203092.75270690024</v>
      </c>
      <c r="Q98" s="807">
        <f t="shared" si="90"/>
        <v>158282.50623205304</v>
      </c>
      <c r="R98" s="456"/>
    </row>
    <row r="99" spans="2:18">
      <c r="B99" s="495" t="s">
        <v>277</v>
      </c>
      <c r="C99" s="807"/>
      <c r="D99" s="807">
        <f>D94-C94</f>
        <v>30986.858108108107</v>
      </c>
      <c r="E99" s="807">
        <f t="shared" ref="E99:Q99" si="91">E94-D94</f>
        <v>8144.2252252252365</v>
      </c>
      <c r="F99" s="807">
        <f t="shared" si="91"/>
        <v>-21425.099290780141</v>
      </c>
      <c r="G99" s="807">
        <f t="shared" si="91"/>
        <v>-20362.013703570163</v>
      </c>
      <c r="H99" s="807">
        <f t="shared" si="91"/>
        <v>-11318.720338983039</v>
      </c>
      <c r="I99" s="807">
        <f t="shared" si="91"/>
        <v>-2680.6666666666715</v>
      </c>
      <c r="J99" s="807">
        <f t="shared" si="91"/>
        <v>-2093.5</v>
      </c>
      <c r="K99" s="807">
        <f>M94-J94</f>
        <v>5408.833333333343</v>
      </c>
      <c r="L99" s="807"/>
      <c r="M99" s="807">
        <f t="shared" si="91"/>
        <v>798.64365924666345</v>
      </c>
      <c r="N99" s="807">
        <f t="shared" si="91"/>
        <v>3252.8333333333285</v>
      </c>
      <c r="O99" s="807">
        <f t="shared" si="91"/>
        <v>-5874.8333333333285</v>
      </c>
      <c r="P99" s="807">
        <f t="shared" si="91"/>
        <v>2864.8368020785565</v>
      </c>
      <c r="Q99" s="807">
        <f t="shared" si="91"/>
        <v>297.84513681803946</v>
      </c>
      <c r="R99" s="456"/>
    </row>
    <row r="100" spans="2:18">
      <c r="B100" s="4" t="s">
        <v>267</v>
      </c>
      <c r="C100" s="377"/>
      <c r="D100" s="376">
        <f>D95/C90</f>
        <v>-0.22916666666666663</v>
      </c>
      <c r="E100" s="376">
        <f t="shared" ref="E100:Q100" si="92">E95/D90</f>
        <v>-2.7027027027027074E-2</v>
      </c>
      <c r="F100" s="376">
        <f t="shared" si="92"/>
        <v>0.30555555555555552</v>
      </c>
      <c r="G100" s="376">
        <f t="shared" si="92"/>
        <v>0.25531914893617036</v>
      </c>
      <c r="H100" s="376">
        <f t="shared" si="92"/>
        <v>0.2203389830508474</v>
      </c>
      <c r="I100" s="376">
        <f t="shared" si="92"/>
        <v>0</v>
      </c>
      <c r="J100" s="376">
        <f t="shared" si="92"/>
        <v>0</v>
      </c>
      <c r="K100" s="376">
        <f>K95/J90</f>
        <v>0</v>
      </c>
      <c r="L100" s="376"/>
      <c r="M100" s="376">
        <f t="shared" si="92"/>
        <v>0</v>
      </c>
      <c r="N100" s="376">
        <f t="shared" si="92"/>
        <v>0</v>
      </c>
      <c r="O100" s="376">
        <f t="shared" si="92"/>
        <v>0</v>
      </c>
      <c r="P100" s="376">
        <f t="shared" si="92"/>
        <v>0</v>
      </c>
      <c r="Q100" s="376">
        <f t="shared" si="92"/>
        <v>0</v>
      </c>
      <c r="R100" s="456"/>
    </row>
    <row r="101" spans="2:18">
      <c r="B101" s="4" t="s">
        <v>269</v>
      </c>
      <c r="C101" s="377"/>
      <c r="D101" s="376">
        <f>D96/C91</f>
        <v>3.0309612417679759E-2</v>
      </c>
      <c r="E101" s="376">
        <f t="shared" ref="E101:Q101" si="93">E96/D91</f>
        <v>4.8556801141689268E-2</v>
      </c>
      <c r="F101" s="376">
        <f t="shared" si="93"/>
        <v>9.7448038081142441E-2</v>
      </c>
      <c r="G101" s="376">
        <f t="shared" si="93"/>
        <v>6.3511875627028397E-2</v>
      </c>
      <c r="H101" s="376">
        <f t="shared" si="93"/>
        <v>9.3727555158880538E-2</v>
      </c>
      <c r="I101" s="376">
        <f t="shared" si="93"/>
        <v>-0.11858949727725716</v>
      </c>
      <c r="J101" s="376">
        <f t="shared" si="93"/>
        <v>6.0362029582855643E-2</v>
      </c>
      <c r="K101" s="376">
        <f>K96/J91</f>
        <v>8.5985180176684342E-2</v>
      </c>
      <c r="L101" s="376"/>
      <c r="M101" s="376">
        <f t="shared" si="93"/>
        <v>8.1391054782416344E-3</v>
      </c>
      <c r="N101" s="376">
        <f t="shared" si="93"/>
        <v>1.9813876994302777E-2</v>
      </c>
      <c r="O101" s="376">
        <f t="shared" si="93"/>
        <v>-5.4177129016935888E-2</v>
      </c>
      <c r="P101" s="376">
        <f t="shared" si="93"/>
        <v>3.202924102081655E-3</v>
      </c>
      <c r="Q101" s="376">
        <f t="shared" si="93"/>
        <v>2.4882633933740609E-3</v>
      </c>
      <c r="R101" s="456"/>
    </row>
    <row r="102" spans="2:18">
      <c r="B102" s="4" t="s">
        <v>278</v>
      </c>
      <c r="C102" s="377"/>
      <c r="D102" s="376">
        <f>D97/C92</f>
        <v>-4.9300719706168616E-2</v>
      </c>
      <c r="E102" s="376">
        <f t="shared" ref="E102:Q102" si="94">E97/D92</f>
        <v>2.1354413159577902E-2</v>
      </c>
      <c r="F102" s="376">
        <f t="shared" si="94"/>
        <v>0.14286185135279234</v>
      </c>
      <c r="G102" s="376">
        <f t="shared" si="94"/>
        <v>8.5483424969167277E-2</v>
      </c>
      <c r="H102" s="376">
        <f t="shared" si="94"/>
        <v>0.11420292844852241</v>
      </c>
      <c r="I102" s="376">
        <f t="shared" si="94"/>
        <v>-2.2560261454410289E-2</v>
      </c>
      <c r="J102" s="376">
        <f t="shared" si="94"/>
        <v>-1.8025374147414584E-2</v>
      </c>
      <c r="K102" s="376">
        <f>K97/J92</f>
        <v>4.7425799003346536E-2</v>
      </c>
      <c r="L102" s="376"/>
      <c r="M102" s="376">
        <f t="shared" si="94"/>
        <v>6.73060509270554E-3</v>
      </c>
      <c r="N102" s="376">
        <f t="shared" si="94"/>
        <v>2.7230122931092456E-2</v>
      </c>
      <c r="O102" s="376">
        <f t="shared" si="94"/>
        <v>-4.7875750414255833E-2</v>
      </c>
      <c r="P102" s="376">
        <f t="shared" si="94"/>
        <v>2.4520329655984566E-2</v>
      </c>
      <c r="Q102" s="376">
        <f t="shared" si="94"/>
        <v>2.4882633933740851E-3</v>
      </c>
      <c r="R102" s="456"/>
    </row>
    <row r="103" spans="2:18">
      <c r="B103" s="495" t="s">
        <v>271</v>
      </c>
      <c r="C103" s="377"/>
      <c r="D103" s="376">
        <f>D98/C93</f>
        <v>0.33661787556888179</v>
      </c>
      <c r="E103" s="376">
        <f t="shared" ref="E103:Q103" si="95">E98/D93</f>
        <v>7.7683378951180701E-2</v>
      </c>
      <c r="F103" s="376">
        <f t="shared" si="95"/>
        <v>-0.159401502746359</v>
      </c>
      <c r="G103" s="376">
        <f t="shared" si="95"/>
        <v>-0.1527956245005028</v>
      </c>
      <c r="H103" s="376">
        <f t="shared" si="95"/>
        <v>-0.10375103118925068</v>
      </c>
      <c r="I103" s="376">
        <f t="shared" si="95"/>
        <v>-0.11858949727725718</v>
      </c>
      <c r="J103" s="376">
        <f t="shared" si="95"/>
        <v>6.0362029582855734E-2</v>
      </c>
      <c r="K103" s="823">
        <f>M93/J93</f>
        <v>1.0859851801766842</v>
      </c>
      <c r="L103" s="376"/>
      <c r="M103" s="376">
        <f t="shared" si="95"/>
        <v>8.1391054782415581E-3</v>
      </c>
      <c r="N103" s="376">
        <f t="shared" si="95"/>
        <v>1.9813876994302815E-2</v>
      </c>
      <c r="O103" s="376">
        <f t="shared" si="95"/>
        <v>-5.4177129016935853E-2</v>
      </c>
      <c r="P103" s="376">
        <f t="shared" si="95"/>
        <v>3.2029241020815765E-3</v>
      </c>
      <c r="Q103" s="376">
        <f t="shared" si="95"/>
        <v>2.4882633933740613E-3</v>
      </c>
      <c r="R103" s="456"/>
    </row>
    <row r="104" spans="2:18" ht="13.8" thickBot="1">
      <c r="B104" s="495" t="s">
        <v>279</v>
      </c>
      <c r="C104" s="803"/>
      <c r="D104" s="766">
        <f>D99/C94</f>
        <v>0.23333960686767313</v>
      </c>
      <c r="E104" s="766">
        <f t="shared" ref="E104:Q104" si="96">E99/D94</f>
        <v>4.9725369080677359E-2</v>
      </c>
      <c r="F104" s="766">
        <f t="shared" si="96"/>
        <v>-0.12461645428296755</v>
      </c>
      <c r="G104" s="766">
        <f t="shared" si="96"/>
        <v>-0.13529286485507028</v>
      </c>
      <c r="H104" s="766">
        <f t="shared" si="96"/>
        <v>-8.6972600299127387E-2</v>
      </c>
      <c r="I104" s="766">
        <f t="shared" si="96"/>
        <v>-2.256026145441033E-2</v>
      </c>
      <c r="J104" s="766">
        <f t="shared" si="96"/>
        <v>-1.8025374147414584E-2</v>
      </c>
      <c r="K104" s="823">
        <f>M94/J94</f>
        <v>1.0474257990033466</v>
      </c>
      <c r="L104" s="766"/>
      <c r="M104" s="766">
        <f t="shared" si="96"/>
        <v>6.7306050927055808E-3</v>
      </c>
      <c r="N104" s="766">
        <f t="shared" si="96"/>
        <v>2.7230122931092414E-2</v>
      </c>
      <c r="O104" s="766">
        <f t="shared" si="96"/>
        <v>-4.7875750414255791E-2</v>
      </c>
      <c r="P104" s="766">
        <f t="shared" si="96"/>
        <v>2.4520329655984482E-2</v>
      </c>
      <c r="Q104" s="766">
        <f t="shared" si="96"/>
        <v>2.4882633933741662E-3</v>
      </c>
      <c r="R104" s="456"/>
    </row>
    <row r="105" spans="2:18">
      <c r="B105" s="351" t="s">
        <v>148</v>
      </c>
      <c r="C105" s="769"/>
      <c r="D105" s="769"/>
      <c r="E105" s="769"/>
      <c r="F105" s="769"/>
      <c r="G105" s="769"/>
      <c r="H105" s="769"/>
      <c r="I105" s="769"/>
      <c r="J105" s="769"/>
      <c r="K105" s="769"/>
      <c r="L105" s="769"/>
      <c r="M105" s="769"/>
      <c r="N105" s="410"/>
      <c r="O105" s="770"/>
      <c r="P105" s="770"/>
      <c r="Q105" s="770"/>
      <c r="R105" s="456"/>
    </row>
    <row r="106" spans="2:18">
      <c r="B106" s="22" t="s">
        <v>143</v>
      </c>
      <c r="C106" s="407">
        <v>2</v>
      </c>
      <c r="D106" s="407">
        <v>2</v>
      </c>
      <c r="E106" s="407">
        <v>2</v>
      </c>
      <c r="F106" s="407">
        <v>2</v>
      </c>
      <c r="G106" s="407">
        <v>2</v>
      </c>
      <c r="H106" s="407">
        <v>2</v>
      </c>
      <c r="I106" s="407">
        <v>2</v>
      </c>
      <c r="J106" s="407">
        <v>2</v>
      </c>
      <c r="K106" s="407"/>
      <c r="L106" s="407">
        <v>2</v>
      </c>
      <c r="M106" s="407">
        <v>2</v>
      </c>
      <c r="N106" s="407">
        <v>2</v>
      </c>
      <c r="O106" s="407">
        <v>2</v>
      </c>
      <c r="P106" s="407">
        <v>2</v>
      </c>
      <c r="Q106" s="407">
        <v>2</v>
      </c>
      <c r="R106" s="456"/>
    </row>
    <row r="107" spans="2:18">
      <c r="B107" s="22" t="s">
        <v>280</v>
      </c>
      <c r="C107" s="807">
        <f>AVERAGE(Customer!O3:O14)</f>
        <v>30337.595564307605</v>
      </c>
      <c r="D107" s="807">
        <f>AVERAGE(Customer!$O15:$O26)</f>
        <v>31611.019599636918</v>
      </c>
      <c r="E107" s="807">
        <f>AVERAGE(Customer!$O27:$O38)</f>
        <v>32938.021511582483</v>
      </c>
      <c r="F107" s="807">
        <f>AVERAGE(Customer!$O39:$O50)</f>
        <v>34321.07884283633</v>
      </c>
      <c r="G107" s="807">
        <f>AVERAGE(Customer!$O51:$O62)</f>
        <v>35762.47657845333</v>
      </c>
      <c r="H107" s="807">
        <f>AVERAGE(Customer!$O63:$O74)</f>
        <v>37264.540522296098</v>
      </c>
      <c r="I107" s="807">
        <f>AVERAGE(Customer!$O75:$O86)</f>
        <v>38829.210038078141</v>
      </c>
      <c r="J107" s="807">
        <f>AVERAGE(Customer!$O87:$O98)</f>
        <v>40459.427703839814</v>
      </c>
      <c r="K107" s="807"/>
      <c r="L107" s="807">
        <v>42158</v>
      </c>
      <c r="M107" s="807">
        <f>AVERAGE(Customer!$O99:$O110)</f>
        <v>41470.288491103776</v>
      </c>
      <c r="N107" s="807">
        <f>AVERAGE(Customer!$O111:$O122)</f>
        <v>42363</v>
      </c>
      <c r="O107" s="807">
        <f>AVERAGE(Customer!$O123:$O134)</f>
        <v>43516.166666666664</v>
      </c>
      <c r="P107" s="807">
        <f>AVERAGE(Customer!$O135:$O146)</f>
        <v>44887.105740010484</v>
      </c>
      <c r="Q107" s="807">
        <f>AVERAGE(Customer!$O147:$O158)</f>
        <v>46301.235059343046</v>
      </c>
      <c r="R107" s="456"/>
    </row>
    <row r="108" spans="2:18">
      <c r="B108" s="4" t="s">
        <v>145</v>
      </c>
      <c r="C108" s="377">
        <f>'Rate Class Customer Model'!I6</f>
        <v>19209.5</v>
      </c>
      <c r="D108" s="377">
        <f>'Rate Class Customer Model'!I7</f>
        <v>19382.339216134995</v>
      </c>
      <c r="E108" s="377">
        <f>'Rate Class Customer Model'!I8</f>
        <v>19532.047760969832</v>
      </c>
      <c r="F108" s="377">
        <f>'Rate Class Customer Model'!I9</f>
        <v>19700.545243537166</v>
      </c>
      <c r="G108" s="377">
        <f>'Rate Class Customer Model'!I10</f>
        <v>20002.158642736078</v>
      </c>
      <c r="H108" s="377">
        <f>'Rate Class Customer Model'!I11</f>
        <v>20282.068636034099</v>
      </c>
      <c r="I108" s="377">
        <f>'Rate Class Customer Model'!I12</f>
        <v>20464.909141258118</v>
      </c>
      <c r="J108" s="377">
        <f>'Rate Class Customer Model'!I13</f>
        <v>20690.721096265836</v>
      </c>
      <c r="K108" s="377"/>
      <c r="L108" s="377">
        <v>21218.875738132239</v>
      </c>
      <c r="M108" s="377">
        <f>'Rate Class Customer Model'!I14</f>
        <v>21003.255899495027</v>
      </c>
      <c r="N108" s="371">
        <f>'Rate Class Customer Model'!I15</f>
        <v>21359.419765147974</v>
      </c>
      <c r="O108" s="371">
        <f>'Rate Class Customer Model'!I16</f>
        <v>21727.127805574488</v>
      </c>
      <c r="P108" s="371">
        <f>'Rate Class Customer Model'!I17</f>
        <v>22028.752031332919</v>
      </c>
      <c r="Q108" s="371">
        <f>'Rate Class Customer Model'!I18</f>
        <v>22334.563518950279</v>
      </c>
      <c r="R108" s="456"/>
    </row>
    <row r="109" spans="2:18">
      <c r="B109" s="4" t="s">
        <v>144</v>
      </c>
      <c r="C109" s="377">
        <f>kWh!J79</f>
        <v>19110906</v>
      </c>
      <c r="D109" s="377">
        <f>kWh!S79</f>
        <v>20964771.307337914</v>
      </c>
      <c r="E109" s="377">
        <f>kWh!AB79</f>
        <v>21908421</v>
      </c>
      <c r="F109" s="377">
        <f>kWh!AK79</f>
        <v>23791244.91483907</v>
      </c>
      <c r="G109" s="377">
        <f>kWh!AT79</f>
        <v>25786193.119400337</v>
      </c>
      <c r="H109" s="377">
        <f>kWh!BC79</f>
        <v>26786692.927983887</v>
      </c>
      <c r="I109" s="377">
        <f>kWh!BL79</f>
        <v>27343426</v>
      </c>
      <c r="J109" s="377">
        <f>kWh!BU79</f>
        <v>28336125</v>
      </c>
      <c r="K109" s="377"/>
      <c r="L109" s="377">
        <v>29651502.294606268</v>
      </c>
      <c r="M109" s="377">
        <f>kWh!CD79</f>
        <v>29752537.486288141</v>
      </c>
      <c r="N109" s="377">
        <f>kWh!CM79</f>
        <v>30597265</v>
      </c>
      <c r="O109" s="377">
        <f>kWh!CV79</f>
        <v>31295952.417045128</v>
      </c>
      <c r="P109" s="371">
        <f>'Rate Class Energy Model'!O77</f>
        <v>32285799.737891771</v>
      </c>
      <c r="Q109" s="371">
        <f>'Rate Class Energy Model'!O78</f>
        <v>33306954.548778366</v>
      </c>
      <c r="R109" s="456"/>
    </row>
    <row r="110" spans="2:18">
      <c r="B110" s="4" t="s">
        <v>146</v>
      </c>
      <c r="C110" s="377">
        <f>KW!F17</f>
        <v>58415</v>
      </c>
      <c r="D110" s="377">
        <f>KW!L17</f>
        <v>60474</v>
      </c>
      <c r="E110" s="377">
        <f>KW!R17</f>
        <v>65522</v>
      </c>
      <c r="F110" s="377">
        <f>KW!X17</f>
        <v>70150</v>
      </c>
      <c r="G110" s="377">
        <f>KW!AD17</f>
        <v>76385</v>
      </c>
      <c r="H110" s="377">
        <f>KW!AJ17</f>
        <v>79929</v>
      </c>
      <c r="I110" s="377">
        <f>KW!AP17</f>
        <v>81921</v>
      </c>
      <c r="J110" s="377">
        <f>KW!AV17</f>
        <v>84893</v>
      </c>
      <c r="K110" s="377"/>
      <c r="L110" s="377">
        <v>88253.993877635105</v>
      </c>
      <c r="M110" s="377">
        <f>KW!BB17</f>
        <v>90235</v>
      </c>
      <c r="N110" s="377">
        <f>KW!BH17</f>
        <v>92995</v>
      </c>
      <c r="O110" s="377">
        <f>KW!BN17</f>
        <v>95410</v>
      </c>
      <c r="P110" s="371">
        <f>'Rate Class Load Model'!E14</f>
        <v>97585.401322853897</v>
      </c>
      <c r="Q110" s="371">
        <f>'Rate Class Load Model'!E15</f>
        <v>100671.89144675127</v>
      </c>
      <c r="R110" s="456"/>
    </row>
    <row r="111" spans="2:18">
      <c r="B111" s="495" t="s">
        <v>270</v>
      </c>
      <c r="C111" s="377">
        <f>C109/C108</f>
        <v>994.86743538353414</v>
      </c>
      <c r="D111" s="377">
        <f>D109/D108</f>
        <v>1081.6429881634519</v>
      </c>
      <c r="E111" s="377">
        <f>E109/E108</f>
        <v>1121.6653403735161</v>
      </c>
      <c r="F111" s="377">
        <f>F109/F108</f>
        <v>1207.6439824752501</v>
      </c>
      <c r="G111" s="377">
        <f t="shared" ref="G111:Q111" si="97">G109/G108</f>
        <v>1289.1705130418397</v>
      </c>
      <c r="H111" s="377">
        <f t="shared" si="97"/>
        <v>1320.7081293667136</v>
      </c>
      <c r="I111" s="377">
        <f t="shared" si="97"/>
        <v>1336.112748474143</v>
      </c>
      <c r="J111" s="377">
        <f t="shared" si="97"/>
        <v>1369.5088183811038</v>
      </c>
      <c r="K111" s="377"/>
      <c r="L111" s="377">
        <f t="shared" si="97"/>
        <v>1397.4115622591557</v>
      </c>
      <c r="M111" s="377">
        <f t="shared" si="97"/>
        <v>1416.5678706511151</v>
      </c>
      <c r="N111" s="377">
        <f t="shared" si="97"/>
        <v>1432.4951396819008</v>
      </c>
      <c r="O111" s="377">
        <f t="shared" si="97"/>
        <v>1440.4090912106469</v>
      </c>
      <c r="P111" s="377">
        <f t="shared" si="97"/>
        <v>1465.6209163355959</v>
      </c>
      <c r="Q111" s="377">
        <f t="shared" si="97"/>
        <v>1491.2740300708499</v>
      </c>
      <c r="R111" s="456"/>
    </row>
    <row r="112" spans="2:18">
      <c r="B112" s="495" t="s">
        <v>275</v>
      </c>
      <c r="C112" s="807">
        <f>C110/C108</f>
        <v>3.0409432832712979</v>
      </c>
      <c r="D112" s="807">
        <f>D110/D108</f>
        <v>3.120056837600794</v>
      </c>
      <c r="E112" s="807">
        <f>E110/E108</f>
        <v>3.3545893805835449</v>
      </c>
      <c r="F112" s="807">
        <f>F110/F108</f>
        <v>3.5608151517031215</v>
      </c>
      <c r="G112" s="807">
        <f t="shared" ref="G112:Q112" si="98">G110/G108</f>
        <v>3.8188378246734755</v>
      </c>
      <c r="H112" s="807">
        <f t="shared" si="98"/>
        <v>3.9408702058129461</v>
      </c>
      <c r="I112" s="807">
        <f t="shared" si="98"/>
        <v>4.0029984709213204</v>
      </c>
      <c r="J112" s="807">
        <f t="shared" si="98"/>
        <v>4.1029502840923744</v>
      </c>
      <c r="K112" s="807"/>
      <c r="L112" s="807">
        <f t="shared" si="98"/>
        <v>4.1592210146664224</v>
      </c>
      <c r="M112" s="807">
        <f t="shared" si="98"/>
        <v>4.2962386608911185</v>
      </c>
      <c r="N112" s="807">
        <f t="shared" si="98"/>
        <v>4.3538167713590861</v>
      </c>
      <c r="O112" s="807">
        <f t="shared" si="98"/>
        <v>4.3912845201527668</v>
      </c>
      <c r="P112" s="807">
        <f t="shared" si="98"/>
        <v>4.4299105634332747</v>
      </c>
      <c r="Q112" s="807">
        <f t="shared" si="98"/>
        <v>4.5074483484458456</v>
      </c>
      <c r="R112" s="456"/>
    </row>
    <row r="113" spans="2:18">
      <c r="B113" s="4" t="s">
        <v>266</v>
      </c>
      <c r="C113" s="807"/>
      <c r="D113" s="807">
        <f t="shared" ref="D113:D119" si="99">D106-C106</f>
        <v>0</v>
      </c>
      <c r="E113" s="807">
        <f t="shared" ref="E113:Q113" si="100">E106-D106</f>
        <v>0</v>
      </c>
      <c r="F113" s="807">
        <f t="shared" si="100"/>
        <v>0</v>
      </c>
      <c r="G113" s="807">
        <f t="shared" si="100"/>
        <v>0</v>
      </c>
      <c r="H113" s="807">
        <f t="shared" si="100"/>
        <v>0</v>
      </c>
      <c r="I113" s="807">
        <f t="shared" si="100"/>
        <v>0</v>
      </c>
      <c r="J113" s="807">
        <f t="shared" si="100"/>
        <v>0</v>
      </c>
      <c r="K113" s="807">
        <f t="shared" ref="K113:K119" si="101">M106-J106</f>
        <v>0</v>
      </c>
      <c r="L113" s="807"/>
      <c r="M113" s="807">
        <f t="shared" si="100"/>
        <v>0</v>
      </c>
      <c r="N113" s="807">
        <f t="shared" si="100"/>
        <v>0</v>
      </c>
      <c r="O113" s="807">
        <f t="shared" si="100"/>
        <v>0</v>
      </c>
      <c r="P113" s="807">
        <f t="shared" si="100"/>
        <v>0</v>
      </c>
      <c r="Q113" s="807">
        <f t="shared" si="100"/>
        <v>0</v>
      </c>
      <c r="R113" s="456"/>
    </row>
    <row r="114" spans="2:18">
      <c r="B114" s="4" t="s">
        <v>281</v>
      </c>
      <c r="C114" s="807"/>
      <c r="D114" s="807">
        <f t="shared" si="99"/>
        <v>1273.4240353293135</v>
      </c>
      <c r="E114" s="807">
        <f t="shared" ref="E114:Q114" si="102">E107-D107</f>
        <v>1327.0019119455646</v>
      </c>
      <c r="F114" s="807">
        <f t="shared" si="102"/>
        <v>1383.0573312538472</v>
      </c>
      <c r="G114" s="807">
        <f t="shared" si="102"/>
        <v>1441.3977356169999</v>
      </c>
      <c r="H114" s="807">
        <f t="shared" si="102"/>
        <v>1502.0639438427679</v>
      </c>
      <c r="I114" s="807">
        <f t="shared" si="102"/>
        <v>1564.6695157820432</v>
      </c>
      <c r="J114" s="807">
        <f t="shared" si="102"/>
        <v>1630.2176657616728</v>
      </c>
      <c r="K114" s="807">
        <f t="shared" si="101"/>
        <v>1010.8607872639623</v>
      </c>
      <c r="L114" s="807"/>
      <c r="M114" s="807">
        <f t="shared" si="102"/>
        <v>-687.71150889622368</v>
      </c>
      <c r="N114" s="807">
        <f t="shared" si="102"/>
        <v>892.71150889622368</v>
      </c>
      <c r="O114" s="807">
        <f t="shared" si="102"/>
        <v>1153.1666666666642</v>
      </c>
      <c r="P114" s="807">
        <f t="shared" si="102"/>
        <v>1370.9390733438195</v>
      </c>
      <c r="Q114" s="807">
        <f t="shared" si="102"/>
        <v>1414.1293193325619</v>
      </c>
      <c r="R114" s="456"/>
    </row>
    <row r="115" spans="2:18">
      <c r="B115" s="4" t="s">
        <v>272</v>
      </c>
      <c r="C115" s="807"/>
      <c r="D115" s="807">
        <f t="shared" si="99"/>
        <v>172.83921613499479</v>
      </c>
      <c r="E115" s="807">
        <f t="shared" ref="E115:Q115" si="103">E108-D108</f>
        <v>149.70854483483708</v>
      </c>
      <c r="F115" s="807">
        <f t="shared" si="103"/>
        <v>168.49748256733437</v>
      </c>
      <c r="G115" s="807">
        <f t="shared" si="103"/>
        <v>301.61339919891179</v>
      </c>
      <c r="H115" s="807">
        <f t="shared" si="103"/>
        <v>279.90999329802071</v>
      </c>
      <c r="I115" s="807">
        <f t="shared" si="103"/>
        <v>182.84050522401958</v>
      </c>
      <c r="J115" s="807">
        <f t="shared" si="103"/>
        <v>225.81195500771719</v>
      </c>
      <c r="K115" s="807">
        <f t="shared" si="101"/>
        <v>312.53480322919131</v>
      </c>
      <c r="L115" s="807"/>
      <c r="M115" s="807">
        <f t="shared" si="103"/>
        <v>-215.61983863721252</v>
      </c>
      <c r="N115" s="807">
        <f t="shared" si="103"/>
        <v>356.1638656529467</v>
      </c>
      <c r="O115" s="807">
        <f t="shared" si="103"/>
        <v>367.70804042651434</v>
      </c>
      <c r="P115" s="807">
        <f t="shared" si="103"/>
        <v>301.62422575843084</v>
      </c>
      <c r="Q115" s="807">
        <f t="shared" si="103"/>
        <v>305.8114876173604</v>
      </c>
      <c r="R115" s="456"/>
    </row>
    <row r="116" spans="2:18">
      <c r="B116" s="4" t="s">
        <v>268</v>
      </c>
      <c r="C116" s="807"/>
      <c r="D116" s="807">
        <f t="shared" si="99"/>
        <v>1853865.3073379137</v>
      </c>
      <c r="E116" s="807">
        <f t="shared" ref="E116:Q116" si="104">E109-D109</f>
        <v>943649.69266208634</v>
      </c>
      <c r="F116" s="807">
        <f t="shared" si="104"/>
        <v>1882823.9148390703</v>
      </c>
      <c r="G116" s="807">
        <f t="shared" si="104"/>
        <v>1994948.204561267</v>
      </c>
      <c r="H116" s="807">
        <f t="shared" si="104"/>
        <v>1000499.8085835502</v>
      </c>
      <c r="I116" s="807">
        <f t="shared" si="104"/>
        <v>556733.07201611251</v>
      </c>
      <c r="J116" s="807">
        <f t="shared" si="104"/>
        <v>992699</v>
      </c>
      <c r="K116" s="807">
        <f t="shared" si="101"/>
        <v>1416412.4862881415</v>
      </c>
      <c r="L116" s="807"/>
      <c r="M116" s="807">
        <f t="shared" si="104"/>
        <v>101035.19168187305</v>
      </c>
      <c r="N116" s="807">
        <f t="shared" si="104"/>
        <v>844727.51371185854</v>
      </c>
      <c r="O116" s="807">
        <f t="shared" si="104"/>
        <v>698687.4170451276</v>
      </c>
      <c r="P116" s="807">
        <f t="shared" si="104"/>
        <v>989847.3208466433</v>
      </c>
      <c r="Q116" s="807">
        <f t="shared" si="104"/>
        <v>1021154.8108865954</v>
      </c>
      <c r="R116" s="456"/>
    </row>
    <row r="117" spans="2:18">
      <c r="B117" s="4" t="s">
        <v>276</v>
      </c>
      <c r="C117" s="807"/>
      <c r="D117" s="807">
        <f t="shared" si="99"/>
        <v>2059</v>
      </c>
      <c r="E117" s="807">
        <f t="shared" ref="E117:Q117" si="105">E110-D110</f>
        <v>5048</v>
      </c>
      <c r="F117" s="807">
        <f t="shared" si="105"/>
        <v>4628</v>
      </c>
      <c r="G117" s="807">
        <f t="shared" si="105"/>
        <v>6235</v>
      </c>
      <c r="H117" s="807">
        <f t="shared" si="105"/>
        <v>3544</v>
      </c>
      <c r="I117" s="807">
        <f t="shared" si="105"/>
        <v>1992</v>
      </c>
      <c r="J117" s="807">
        <f t="shared" si="105"/>
        <v>2972</v>
      </c>
      <c r="K117" s="807">
        <f t="shared" si="101"/>
        <v>5342</v>
      </c>
      <c r="L117" s="807"/>
      <c r="M117" s="807">
        <f t="shared" si="105"/>
        <v>1981.0061223648954</v>
      </c>
      <c r="N117" s="807">
        <f t="shared" si="105"/>
        <v>2760</v>
      </c>
      <c r="O117" s="807">
        <f t="shared" si="105"/>
        <v>2415</v>
      </c>
      <c r="P117" s="807">
        <f t="shared" si="105"/>
        <v>2175.401322853897</v>
      </c>
      <c r="Q117" s="807">
        <f t="shared" si="105"/>
        <v>3086.4901238973689</v>
      </c>
      <c r="R117" s="456"/>
    </row>
    <row r="118" spans="2:18">
      <c r="B118" s="495" t="s">
        <v>274</v>
      </c>
      <c r="C118" s="807"/>
      <c r="D118" s="807">
        <f t="shared" si="99"/>
        <v>86.775552779917803</v>
      </c>
      <c r="E118" s="807">
        <f t="shared" ref="E118:Q118" si="106">E111-D111</f>
        <v>40.022352210064128</v>
      </c>
      <c r="F118" s="807">
        <f t="shared" si="106"/>
        <v>85.978642101734067</v>
      </c>
      <c r="G118" s="807">
        <f t="shared" si="106"/>
        <v>81.526530566589599</v>
      </c>
      <c r="H118" s="807">
        <f t="shared" si="106"/>
        <v>31.537616324873852</v>
      </c>
      <c r="I118" s="807">
        <f t="shared" si="106"/>
        <v>15.404619107429426</v>
      </c>
      <c r="J118" s="807">
        <f t="shared" si="106"/>
        <v>33.396069906960747</v>
      </c>
      <c r="K118" s="807">
        <f t="shared" si="101"/>
        <v>47.059052270011307</v>
      </c>
      <c r="L118" s="807"/>
      <c r="M118" s="807">
        <f t="shared" si="106"/>
        <v>19.156308391959328</v>
      </c>
      <c r="N118" s="807">
        <f t="shared" si="106"/>
        <v>15.927269030785737</v>
      </c>
      <c r="O118" s="807">
        <f t="shared" si="106"/>
        <v>7.9139515287461109</v>
      </c>
      <c r="P118" s="807">
        <f t="shared" si="106"/>
        <v>25.211825124948973</v>
      </c>
      <c r="Q118" s="807">
        <f t="shared" si="106"/>
        <v>25.65311373525401</v>
      </c>
      <c r="R118" s="456"/>
    </row>
    <row r="119" spans="2:18">
      <c r="B119" s="495" t="s">
        <v>277</v>
      </c>
      <c r="C119" s="807"/>
      <c r="D119" s="807">
        <f t="shared" si="99"/>
        <v>7.9113554329496072E-2</v>
      </c>
      <c r="E119" s="807">
        <f t="shared" ref="E119:Q119" si="107">E112-D112</f>
        <v>0.23453254298275095</v>
      </c>
      <c r="F119" s="807">
        <f t="shared" si="107"/>
        <v>0.20622577111957652</v>
      </c>
      <c r="G119" s="807">
        <f t="shared" si="107"/>
        <v>0.25802267297035408</v>
      </c>
      <c r="H119" s="807">
        <f t="shared" si="107"/>
        <v>0.12203238113947057</v>
      </c>
      <c r="I119" s="807">
        <f t="shared" si="107"/>
        <v>6.2128265108374325E-2</v>
      </c>
      <c r="J119" s="807">
        <f t="shared" si="107"/>
        <v>9.9951813171053949E-2</v>
      </c>
      <c r="K119" s="807">
        <f t="shared" si="101"/>
        <v>0.19328837679874411</v>
      </c>
      <c r="L119" s="807"/>
      <c r="M119" s="807">
        <f t="shared" si="107"/>
        <v>0.13701764622469614</v>
      </c>
      <c r="N119" s="807">
        <f t="shared" si="107"/>
        <v>5.7578110467967569E-2</v>
      </c>
      <c r="O119" s="807">
        <f t="shared" si="107"/>
        <v>3.7467748793680755E-2</v>
      </c>
      <c r="P119" s="807">
        <f t="shared" si="107"/>
        <v>3.8626043280507893E-2</v>
      </c>
      <c r="Q119" s="807">
        <f t="shared" si="107"/>
        <v>7.7537785012570914E-2</v>
      </c>
      <c r="R119" s="456"/>
    </row>
    <row r="120" spans="2:18">
      <c r="B120" s="4" t="s">
        <v>267</v>
      </c>
      <c r="C120" s="377"/>
      <c r="D120" s="376">
        <f>D113/C106</f>
        <v>0</v>
      </c>
      <c r="E120" s="376">
        <f t="shared" ref="E120:Q120" si="108">E113/D106</f>
        <v>0</v>
      </c>
      <c r="F120" s="376">
        <f t="shared" si="108"/>
        <v>0</v>
      </c>
      <c r="G120" s="376">
        <f t="shared" si="108"/>
        <v>0</v>
      </c>
      <c r="H120" s="376">
        <f t="shared" si="108"/>
        <v>0</v>
      </c>
      <c r="I120" s="376">
        <f t="shared" si="108"/>
        <v>0</v>
      </c>
      <c r="J120" s="376">
        <f t="shared" si="108"/>
        <v>0</v>
      </c>
      <c r="K120" s="376">
        <f t="shared" ref="K120:K126" si="109">K113/J106</f>
        <v>0</v>
      </c>
      <c r="L120" s="376"/>
      <c r="M120" s="376">
        <f t="shared" si="108"/>
        <v>0</v>
      </c>
      <c r="N120" s="376">
        <f t="shared" si="108"/>
        <v>0</v>
      </c>
      <c r="O120" s="376">
        <f t="shared" si="108"/>
        <v>0</v>
      </c>
      <c r="P120" s="376">
        <f t="shared" si="108"/>
        <v>0</v>
      </c>
      <c r="Q120" s="376">
        <f t="shared" si="108"/>
        <v>0</v>
      </c>
      <c r="R120" s="456"/>
    </row>
    <row r="121" spans="2:18">
      <c r="B121" s="4" t="s">
        <v>282</v>
      </c>
      <c r="C121" s="377"/>
      <c r="D121" s="376">
        <f>D114/C107</f>
        <v>4.1975114099929059E-2</v>
      </c>
      <c r="E121" s="376">
        <f t="shared" ref="E121:Q121" si="110">E114/D107</f>
        <v>4.197909237830489E-2</v>
      </c>
      <c r="F121" s="376">
        <f t="shared" si="110"/>
        <v>4.1989690569832872E-2</v>
      </c>
      <c r="G121" s="376">
        <f t="shared" si="110"/>
        <v>4.1997448338307576E-2</v>
      </c>
      <c r="H121" s="376">
        <f t="shared" si="110"/>
        <v>4.2001116464841032E-2</v>
      </c>
      <c r="I121" s="376">
        <f t="shared" si="110"/>
        <v>4.1988160697858892E-2</v>
      </c>
      <c r="J121" s="376">
        <f t="shared" si="110"/>
        <v>4.1984311917831661E-2</v>
      </c>
      <c r="K121" s="376">
        <f t="shared" si="109"/>
        <v>2.4984554765910005E-2</v>
      </c>
      <c r="L121" s="376"/>
      <c r="M121" s="376">
        <f t="shared" si="110"/>
        <v>-1.6312716658670328E-2</v>
      </c>
      <c r="N121" s="376">
        <f t="shared" si="110"/>
        <v>2.1526532401329412E-2</v>
      </c>
      <c r="O121" s="376">
        <f t="shared" si="110"/>
        <v>2.7221081289489985E-2</v>
      </c>
      <c r="P121" s="376">
        <f t="shared" si="110"/>
        <v>3.150413233420115E-2</v>
      </c>
      <c r="Q121" s="376">
        <f t="shared" si="110"/>
        <v>3.1504132334200963E-2</v>
      </c>
      <c r="R121" s="456"/>
    </row>
    <row r="122" spans="2:18">
      <c r="B122" s="4" t="s">
        <v>273</v>
      </c>
      <c r="C122" s="377"/>
      <c r="D122" s="376">
        <f t="shared" ref="D122:Q122" si="111">D115/C108</f>
        <v>8.9975905741947887E-3</v>
      </c>
      <c r="E122" s="376">
        <f t="shared" si="111"/>
        <v>7.7239668115090523E-3</v>
      </c>
      <c r="F122" s="376">
        <f t="shared" si="111"/>
        <v>8.6267187460004405E-3</v>
      </c>
      <c r="G122" s="376">
        <f t="shared" si="111"/>
        <v>1.5309901095141371E-2</v>
      </c>
      <c r="H122" s="376">
        <f t="shared" si="111"/>
        <v>1.399398926373739E-2</v>
      </c>
      <c r="I122" s="376">
        <f t="shared" si="111"/>
        <v>9.0148844531162051E-3</v>
      </c>
      <c r="J122" s="376">
        <f t="shared" si="111"/>
        <v>1.1034104937826026E-2</v>
      </c>
      <c r="K122" s="376">
        <f t="shared" si="109"/>
        <v>1.5105070614749919E-2</v>
      </c>
      <c r="L122" s="376"/>
      <c r="M122" s="376">
        <f t="shared" si="111"/>
        <v>-1.016169948390452E-2</v>
      </c>
      <c r="N122" s="376">
        <f t="shared" si="111"/>
        <v>1.69575549313528E-2</v>
      </c>
      <c r="O122" s="376">
        <f t="shared" si="111"/>
        <v>1.7215263545056647E-2</v>
      </c>
      <c r="P122" s="376">
        <f t="shared" si="111"/>
        <v>1.3882379137156071E-2</v>
      </c>
      <c r="Q122" s="376">
        <f t="shared" si="111"/>
        <v>1.3882379137156065E-2</v>
      </c>
      <c r="R122" s="456"/>
    </row>
    <row r="123" spans="2:18">
      <c r="B123" s="4" t="s">
        <v>269</v>
      </c>
      <c r="C123" s="377"/>
      <c r="D123" s="376">
        <f>D116/C109</f>
        <v>9.7005621153592278E-2</v>
      </c>
      <c r="E123" s="376">
        <f t="shared" ref="E123:Q123" si="112">E116/D109</f>
        <v>4.5011208509190749E-2</v>
      </c>
      <c r="F123" s="376">
        <f t="shared" si="112"/>
        <v>8.5940648796144201E-2</v>
      </c>
      <c r="G123" s="376">
        <f t="shared" si="112"/>
        <v>8.3852199063235169E-2</v>
      </c>
      <c r="H123" s="376">
        <f t="shared" si="112"/>
        <v>3.8799826091072763E-2</v>
      </c>
      <c r="I123" s="376">
        <f t="shared" si="112"/>
        <v>2.0783941993619413E-2</v>
      </c>
      <c r="J123" s="376">
        <f t="shared" si="112"/>
        <v>3.6304850752791551E-2</v>
      </c>
      <c r="K123" s="376">
        <f t="shared" si="109"/>
        <v>4.9986103826410333E-2</v>
      </c>
      <c r="L123" s="376"/>
      <c r="M123" s="376">
        <f t="shared" si="112"/>
        <v>3.4074223517589451E-3</v>
      </c>
      <c r="N123" s="376">
        <f t="shared" si="112"/>
        <v>2.8391780502794513E-2</v>
      </c>
      <c r="O123" s="376">
        <f t="shared" si="112"/>
        <v>2.2834963093764347E-2</v>
      </c>
      <c r="P123" s="376">
        <f t="shared" si="112"/>
        <v>3.1628605119795927E-2</v>
      </c>
      <c r="Q123" s="376">
        <f t="shared" si="112"/>
        <v>3.1628605119796108E-2</v>
      </c>
      <c r="R123" s="456"/>
    </row>
    <row r="124" spans="2:18">
      <c r="B124" s="4" t="s">
        <v>278</v>
      </c>
      <c r="C124" s="377"/>
      <c r="D124" s="376">
        <f t="shared" ref="D124:Q125" si="113">D117/C110</f>
        <v>3.5247795942822908E-2</v>
      </c>
      <c r="E124" s="376">
        <f t="shared" si="113"/>
        <v>8.3473889605450283E-2</v>
      </c>
      <c r="F124" s="376">
        <f t="shared" si="113"/>
        <v>7.0632764567626141E-2</v>
      </c>
      <c r="G124" s="376">
        <f t="shared" si="113"/>
        <v>8.888096935138988E-2</v>
      </c>
      <c r="H124" s="376">
        <f t="shared" si="113"/>
        <v>4.6396543824049223E-2</v>
      </c>
      <c r="I124" s="376">
        <f t="shared" si="113"/>
        <v>2.4922118380062305E-2</v>
      </c>
      <c r="J124" s="376">
        <f t="shared" si="113"/>
        <v>3.6278854017895289E-2</v>
      </c>
      <c r="K124" s="376">
        <f t="shared" si="109"/>
        <v>6.292627189520926E-2</v>
      </c>
      <c r="L124" s="376"/>
      <c r="M124" s="376">
        <f t="shared" si="113"/>
        <v>2.2446645588771619E-2</v>
      </c>
      <c r="N124" s="376">
        <f t="shared" si="113"/>
        <v>3.0586801130381782E-2</v>
      </c>
      <c r="O124" s="376">
        <f t="shared" si="113"/>
        <v>2.5969138125705685E-2</v>
      </c>
      <c r="P124" s="376">
        <f t="shared" si="113"/>
        <v>2.280055888118538E-2</v>
      </c>
      <c r="Q124" s="376">
        <f t="shared" si="113"/>
        <v>3.1628605119796052E-2</v>
      </c>
      <c r="R124" s="456"/>
    </row>
    <row r="125" spans="2:18" s="348" customFormat="1">
      <c r="B125" s="495" t="s">
        <v>271</v>
      </c>
      <c r="C125" s="811"/>
      <c r="D125" s="810">
        <f t="shared" si="113"/>
        <v>8.7223231652430872E-2</v>
      </c>
      <c r="E125" s="810">
        <f t="shared" si="113"/>
        <v>3.7001443773993357E-2</v>
      </c>
      <c r="F125" s="810">
        <f t="shared" si="113"/>
        <v>7.6652669033263579E-2</v>
      </c>
      <c r="G125" s="810">
        <f>G118/F111</f>
        <v>6.7508745747640431E-2</v>
      </c>
      <c r="H125" s="809">
        <f t="shared" si="113"/>
        <v>2.4463494941766719E-2</v>
      </c>
      <c r="I125" s="809">
        <f t="shared" si="113"/>
        <v>1.166390875084264E-2</v>
      </c>
      <c r="J125" s="809">
        <f t="shared" si="113"/>
        <v>2.4994948925604867E-2</v>
      </c>
      <c r="K125" s="376">
        <f t="shared" si="109"/>
        <v>3.4361992882703599E-2</v>
      </c>
      <c r="L125" s="809"/>
      <c r="M125" s="809">
        <f t="shared" si="113"/>
        <v>1.370842270761655E-2</v>
      </c>
      <c r="N125" s="809">
        <f t="shared" si="113"/>
        <v>1.1243562247013894E-2</v>
      </c>
      <c r="O125" s="809">
        <f t="shared" si="113"/>
        <v>5.5245922373624804E-3</v>
      </c>
      <c r="P125" s="809">
        <f t="shared" si="113"/>
        <v>1.7503239377473473E-2</v>
      </c>
      <c r="Q125" s="809">
        <f t="shared" si="113"/>
        <v>1.7503239377473511E-2</v>
      </c>
      <c r="R125" s="356"/>
    </row>
    <row r="126" spans="2:18" s="348" customFormat="1" ht="13.8" thickBot="1">
      <c r="B126" s="495" t="s">
        <v>279</v>
      </c>
      <c r="C126" s="805"/>
      <c r="D126" s="810">
        <f>D119/C112</f>
        <v>2.6016122946031926E-2</v>
      </c>
      <c r="E126" s="810">
        <f t="shared" ref="E126:Q126" si="114">E119/D112</f>
        <v>7.5169317480478212E-2</v>
      </c>
      <c r="F126" s="810">
        <f t="shared" si="114"/>
        <v>6.1475712143255722E-2</v>
      </c>
      <c r="G126" s="810">
        <f t="shared" si="114"/>
        <v>7.2461686995165434E-2</v>
      </c>
      <c r="H126" s="810">
        <f t="shared" si="114"/>
        <v>3.1955371435524307E-2</v>
      </c>
      <c r="I126" s="810">
        <f t="shared" si="114"/>
        <v>1.5765113252583802E-2</v>
      </c>
      <c r="J126" s="810">
        <f t="shared" si="114"/>
        <v>2.4969235910811946E-2</v>
      </c>
      <c r="K126" s="376">
        <f t="shared" si="109"/>
        <v>4.7109607335030626E-2</v>
      </c>
      <c r="L126" s="810"/>
      <c r="M126" s="810">
        <f t="shared" si="114"/>
        <v>3.294310298527986E-2</v>
      </c>
      <c r="N126" s="810">
        <f t="shared" si="114"/>
        <v>1.3401981363862317E-2</v>
      </c>
      <c r="O126" s="810">
        <f t="shared" si="114"/>
        <v>8.6057247608940686E-3</v>
      </c>
      <c r="P126" s="810">
        <f t="shared" si="114"/>
        <v>8.7960693740619083E-3</v>
      </c>
      <c r="Q126" s="810">
        <f t="shared" si="114"/>
        <v>1.7503239377473456E-2</v>
      </c>
      <c r="R126" s="356"/>
    </row>
    <row r="127" spans="2:18">
      <c r="B127" s="351" t="s">
        <v>220</v>
      </c>
      <c r="C127" s="769"/>
      <c r="D127" s="769"/>
      <c r="E127" s="769"/>
      <c r="F127" s="769"/>
      <c r="G127" s="769"/>
      <c r="H127" s="769"/>
      <c r="I127" s="769"/>
      <c r="J127" s="769"/>
      <c r="K127" s="769"/>
      <c r="L127" s="769"/>
      <c r="M127" s="769"/>
      <c r="N127" s="410"/>
      <c r="O127" s="770"/>
      <c r="P127" s="770"/>
      <c r="Q127" s="770"/>
      <c r="R127" s="456"/>
    </row>
    <row r="128" spans="2:18">
      <c r="B128" s="4" t="s">
        <v>143</v>
      </c>
      <c r="C128" s="377"/>
      <c r="D128" s="377"/>
      <c r="E128" s="377"/>
      <c r="F128" s="377"/>
      <c r="G128" s="377"/>
      <c r="H128" s="377"/>
      <c r="I128" s="377">
        <v>1</v>
      </c>
      <c r="J128" s="377">
        <v>1</v>
      </c>
      <c r="K128" s="377"/>
      <c r="L128" s="377">
        <v>1</v>
      </c>
      <c r="M128" s="377">
        <v>1</v>
      </c>
      <c r="N128" s="377">
        <v>1</v>
      </c>
      <c r="O128" s="377">
        <v>1</v>
      </c>
      <c r="P128" s="371">
        <v>1</v>
      </c>
      <c r="Q128" s="371">
        <v>1</v>
      </c>
      <c r="R128" s="456"/>
    </row>
    <row r="129" spans="2:18">
      <c r="B129" s="4" t="s">
        <v>144</v>
      </c>
      <c r="C129" s="377"/>
      <c r="D129" s="377"/>
      <c r="E129" s="377"/>
      <c r="F129" s="377"/>
      <c r="G129" s="377"/>
      <c r="H129" s="377"/>
      <c r="I129" s="377">
        <f t="shared" ref="I129:N129" si="115">I15/1.0247</f>
        <v>15195322.035717772</v>
      </c>
      <c r="J129" s="377">
        <f t="shared" si="115"/>
        <v>19041917.000097588</v>
      </c>
      <c r="K129" s="377"/>
      <c r="L129" s="377">
        <v>34245664.036759704</v>
      </c>
      <c r="M129" s="377">
        <f t="shared" si="115"/>
        <v>33946645.993949451</v>
      </c>
      <c r="N129" s="377">
        <f t="shared" si="115"/>
        <v>33806316.092514887</v>
      </c>
      <c r="O129" s="377">
        <f>O15/1.0247</f>
        <v>40323932.077681273</v>
      </c>
      <c r="P129" s="371">
        <v>0</v>
      </c>
      <c r="Q129" s="371">
        <f>'Emb. Dist. Forecast'!N16</f>
        <v>17012413.820937574</v>
      </c>
      <c r="R129" s="456"/>
    </row>
    <row r="130" spans="2:18">
      <c r="B130" s="4" t="s">
        <v>146</v>
      </c>
      <c r="C130" s="377"/>
      <c r="D130" s="377"/>
      <c r="E130" s="377"/>
      <c r="F130" s="377"/>
      <c r="G130" s="377"/>
      <c r="H130" s="377"/>
      <c r="I130" s="377">
        <f>'Hist. kW for Emb. Dist.'!D14</f>
        <v>34989.599999999999</v>
      </c>
      <c r="J130" s="377">
        <f>'Hist. kW for Emb. Dist.'!$D$26</f>
        <v>39259.200000000004</v>
      </c>
      <c r="K130" s="377"/>
      <c r="L130" s="377">
        <v>84900.544126983368</v>
      </c>
      <c r="M130" s="377">
        <f>'Hist. kW for Emb. Dist.'!$D$38</f>
        <v>84159.23</v>
      </c>
      <c r="N130" s="377">
        <f>'Hist. kW for Emb. Dist.'!$D$50</f>
        <v>76798.280000000013</v>
      </c>
      <c r="O130" s="771">
        <f>'Hist. kW for Emb. Dist.'!D62</f>
        <v>94984.87000000001</v>
      </c>
      <c r="P130" s="371">
        <v>0</v>
      </c>
      <c r="Q130" s="371">
        <f>'Emb. Dist. Forecast'!M16</f>
        <v>40073.436725163534</v>
      </c>
      <c r="R130" s="456"/>
    </row>
    <row r="131" spans="2:18">
      <c r="B131" s="495" t="s">
        <v>270</v>
      </c>
      <c r="C131" s="377"/>
      <c r="D131" s="377"/>
      <c r="E131" s="377"/>
      <c r="F131" s="377"/>
      <c r="G131" s="377"/>
      <c r="H131" s="377"/>
      <c r="I131" s="377">
        <f t="shared" ref="I131:Q131" si="116">I129/I128</f>
        <v>15195322.035717772</v>
      </c>
      <c r="J131" s="377">
        <f t="shared" si="116"/>
        <v>19041917.000097588</v>
      </c>
      <c r="K131" s="377"/>
      <c r="L131" s="377">
        <f t="shared" si="116"/>
        <v>34245664.036759704</v>
      </c>
      <c r="M131" s="377">
        <f t="shared" si="116"/>
        <v>33946645.993949451</v>
      </c>
      <c r="N131" s="377">
        <f t="shared" si="116"/>
        <v>33806316.092514887</v>
      </c>
      <c r="O131" s="377">
        <f t="shared" si="116"/>
        <v>40323932.077681273</v>
      </c>
      <c r="P131" s="377">
        <f t="shared" si="116"/>
        <v>0</v>
      </c>
      <c r="Q131" s="377">
        <f t="shared" si="116"/>
        <v>17012413.820937574</v>
      </c>
      <c r="R131" s="456"/>
    </row>
    <row r="132" spans="2:18">
      <c r="B132" s="495" t="s">
        <v>275</v>
      </c>
      <c r="C132" s="377"/>
      <c r="D132" s="377"/>
      <c r="E132" s="377"/>
      <c r="F132" s="377"/>
      <c r="G132" s="377"/>
      <c r="H132" s="377"/>
      <c r="I132" s="377">
        <f t="shared" ref="I132:Q132" si="117">I130/I128</f>
        <v>34989.599999999999</v>
      </c>
      <c r="J132" s="377">
        <f t="shared" si="117"/>
        <v>39259.200000000004</v>
      </c>
      <c r="K132" s="377"/>
      <c r="L132" s="377">
        <f t="shared" si="117"/>
        <v>84900.544126983368</v>
      </c>
      <c r="M132" s="377">
        <f>M130/M128</f>
        <v>84159.23</v>
      </c>
      <c r="N132" s="377">
        <f t="shared" si="117"/>
        <v>76798.280000000013</v>
      </c>
      <c r="O132" s="377">
        <f t="shared" si="117"/>
        <v>94984.87000000001</v>
      </c>
      <c r="P132" s="377">
        <f t="shared" si="117"/>
        <v>0</v>
      </c>
      <c r="Q132" s="377">
        <f t="shared" si="117"/>
        <v>40073.436725163534</v>
      </c>
      <c r="R132" s="456"/>
    </row>
    <row r="133" spans="2:18">
      <c r="B133" s="4" t="s">
        <v>266</v>
      </c>
      <c r="C133" s="807"/>
      <c r="D133" s="807"/>
      <c r="E133" s="807"/>
      <c r="F133" s="807"/>
      <c r="G133" s="807"/>
      <c r="H133" s="807"/>
      <c r="I133" s="807">
        <f t="shared" ref="I133" si="118">I128-H128</f>
        <v>1</v>
      </c>
      <c r="J133" s="807">
        <f t="shared" ref="J133" si="119">J128-I128</f>
        <v>0</v>
      </c>
      <c r="K133" s="807">
        <f>M128-J128</f>
        <v>0</v>
      </c>
      <c r="L133" s="807"/>
      <c r="M133" s="807">
        <f>M128-L128</f>
        <v>0</v>
      </c>
      <c r="N133" s="807">
        <f>N128-M128</f>
        <v>0</v>
      </c>
      <c r="O133" s="807">
        <f t="shared" ref="O133" si="120">O128-N128</f>
        <v>0</v>
      </c>
      <c r="P133" s="807">
        <f t="shared" ref="P133" si="121">P128-O128</f>
        <v>0</v>
      </c>
      <c r="Q133" s="807">
        <f t="shared" ref="Q133:Q137" si="122">Q128-P128</f>
        <v>0</v>
      </c>
      <c r="R133" s="456"/>
    </row>
    <row r="134" spans="2:18">
      <c r="B134" s="4" t="s">
        <v>268</v>
      </c>
      <c r="C134" s="807"/>
      <c r="D134" s="807"/>
      <c r="E134" s="807"/>
      <c r="F134" s="807"/>
      <c r="G134" s="807"/>
      <c r="H134" s="807"/>
      <c r="I134" s="807">
        <f>I129-H129</f>
        <v>15195322.035717772</v>
      </c>
      <c r="J134" s="807">
        <f t="shared" ref="J134" si="123">J129-I129</f>
        <v>3846594.9643798154</v>
      </c>
      <c r="K134" s="807">
        <f t="shared" ref="K134:K136" si="124">M129-J129</f>
        <v>14904728.993851863</v>
      </c>
      <c r="L134" s="807"/>
      <c r="M134" s="807">
        <f t="shared" ref="M134" si="125">M129-L129</f>
        <v>-299018.0428102538</v>
      </c>
      <c r="N134" s="807">
        <f t="shared" ref="N134" si="126">N129-M129</f>
        <v>-140329.9014345631</v>
      </c>
      <c r="O134" s="807">
        <f t="shared" ref="O134" si="127">O129-N129</f>
        <v>6517615.9851663858</v>
      </c>
      <c r="P134" s="807">
        <f>P129-O129</f>
        <v>-40323932.077681273</v>
      </c>
      <c r="Q134" s="807">
        <f t="shared" si="122"/>
        <v>17012413.820937574</v>
      </c>
      <c r="R134" s="456"/>
    </row>
    <row r="135" spans="2:18">
      <c r="B135" s="4" t="s">
        <v>276</v>
      </c>
      <c r="C135" s="807"/>
      <c r="D135" s="807"/>
      <c r="E135" s="807"/>
      <c r="F135" s="807"/>
      <c r="G135" s="807"/>
      <c r="H135" s="807"/>
      <c r="I135" s="807">
        <f t="shared" ref="I135" si="128">I130-H130</f>
        <v>34989.599999999999</v>
      </c>
      <c r="J135" s="807">
        <f t="shared" ref="J135" si="129">J130-I130</f>
        <v>4269.6000000000058</v>
      </c>
      <c r="K135" s="807">
        <f t="shared" si="124"/>
        <v>44900.029999999992</v>
      </c>
      <c r="L135" s="807"/>
      <c r="M135" s="807">
        <f t="shared" ref="M135" si="130">M130-L130</f>
        <v>-741.31412698337226</v>
      </c>
      <c r="N135" s="807">
        <f t="shared" ref="N135" si="131">N130-M130</f>
        <v>-7360.9499999999825</v>
      </c>
      <c r="O135" s="807">
        <f t="shared" ref="O135" si="132">O130-N130</f>
        <v>18186.589999999997</v>
      </c>
      <c r="P135" s="807">
        <f t="shared" ref="P135" si="133">P130-O130</f>
        <v>-94984.87000000001</v>
      </c>
      <c r="Q135" s="807">
        <f t="shared" si="122"/>
        <v>40073.436725163534</v>
      </c>
      <c r="R135" s="456"/>
    </row>
    <row r="136" spans="2:18">
      <c r="B136" s="495" t="s">
        <v>274</v>
      </c>
      <c r="C136" s="807"/>
      <c r="D136" s="807"/>
      <c r="E136" s="807"/>
      <c r="F136" s="807"/>
      <c r="G136" s="807"/>
      <c r="H136" s="807"/>
      <c r="I136" s="807"/>
      <c r="J136" s="807">
        <f t="shared" ref="J136" si="134">J131-I131</f>
        <v>3846594.9643798154</v>
      </c>
      <c r="K136" s="807">
        <f t="shared" si="124"/>
        <v>14904728.993851863</v>
      </c>
      <c r="L136" s="807"/>
      <c r="M136" s="807">
        <f t="shared" ref="M136" si="135">M131-L131</f>
        <v>-299018.0428102538</v>
      </c>
      <c r="N136" s="807">
        <f t="shared" ref="N136" si="136">N131-M131</f>
        <v>-140329.9014345631</v>
      </c>
      <c r="O136" s="807">
        <f t="shared" ref="O136" si="137">O131-N131</f>
        <v>6517615.9851663858</v>
      </c>
      <c r="P136" s="807">
        <f t="shared" ref="P136" si="138">P131-O131</f>
        <v>-40323932.077681273</v>
      </c>
      <c r="Q136" s="807">
        <f t="shared" si="122"/>
        <v>17012413.820937574</v>
      </c>
      <c r="R136" s="456"/>
    </row>
    <row r="137" spans="2:18">
      <c r="B137" s="495" t="s">
        <v>277</v>
      </c>
      <c r="C137" s="807"/>
      <c r="D137" s="807"/>
      <c r="E137" s="807"/>
      <c r="F137" s="807"/>
      <c r="G137" s="807"/>
      <c r="H137" s="807"/>
      <c r="I137" s="807"/>
      <c r="J137" s="807">
        <f t="shared" ref="J137" si="139">J132-I132</f>
        <v>4269.6000000000058</v>
      </c>
      <c r="K137" s="807">
        <f>M132-J132</f>
        <v>44900.029999999992</v>
      </c>
      <c r="L137" s="807"/>
      <c r="M137" s="807">
        <f t="shared" ref="M137" si="140">M132-L132</f>
        <v>-741.31412698337226</v>
      </c>
      <c r="N137" s="807">
        <f t="shared" ref="N137" si="141">N132-M132</f>
        <v>-7360.9499999999825</v>
      </c>
      <c r="O137" s="807">
        <f t="shared" ref="O137" si="142">O132-N132</f>
        <v>18186.589999999997</v>
      </c>
      <c r="P137" s="807">
        <f t="shared" ref="P137" si="143">P132-O132</f>
        <v>-94984.87000000001</v>
      </c>
      <c r="Q137" s="807">
        <f t="shared" si="122"/>
        <v>40073.436725163534</v>
      </c>
      <c r="R137" s="456"/>
    </row>
    <row r="138" spans="2:18">
      <c r="B138" s="4" t="s">
        <v>267</v>
      </c>
      <c r="C138" s="377"/>
      <c r="D138" s="376"/>
      <c r="E138" s="377"/>
      <c r="F138" s="376"/>
      <c r="G138" s="377"/>
      <c r="H138" s="376"/>
      <c r="I138" s="376"/>
      <c r="J138" s="376">
        <f t="shared" ref="J138" si="144">J133/I128</f>
        <v>0</v>
      </c>
      <c r="K138" s="376">
        <f>K133/J128</f>
        <v>0</v>
      </c>
      <c r="L138" s="377"/>
      <c r="M138" s="376">
        <f t="shared" ref="M138" si="145">M133/L128</f>
        <v>0</v>
      </c>
      <c r="N138" s="376">
        <f t="shared" ref="N138" si="146">N133/M128</f>
        <v>0</v>
      </c>
      <c r="O138" s="376">
        <f t="shared" ref="O138" si="147">O133/N128</f>
        <v>0</v>
      </c>
      <c r="P138" s="376">
        <f t="shared" ref="P138" si="148">P133/O128</f>
        <v>0</v>
      </c>
      <c r="Q138" s="376">
        <f t="shared" ref="Q138" si="149">Q133/P128</f>
        <v>0</v>
      </c>
      <c r="R138" s="456"/>
    </row>
    <row r="139" spans="2:18">
      <c r="B139" s="4" t="s">
        <v>269</v>
      </c>
      <c r="C139" s="377"/>
      <c r="D139" s="376"/>
      <c r="E139" s="377"/>
      <c r="F139" s="376"/>
      <c r="G139" s="377"/>
      <c r="H139" s="376"/>
      <c r="I139" s="376"/>
      <c r="J139" s="376">
        <f t="shared" ref="J139" si="150">J134/I129</f>
        <v>0.25314336578968832</v>
      </c>
      <c r="K139" s="376">
        <f>K134/J129</f>
        <v>0.78273258904423737</v>
      </c>
      <c r="L139" s="377"/>
      <c r="M139" s="376">
        <f t="shared" ref="M139" si="151">M134/L129</f>
        <v>-8.7315591979552284E-3</v>
      </c>
      <c r="N139" s="376">
        <f t="shared" ref="N139" si="152">N134/M129</f>
        <v>-4.1338370058584019E-3</v>
      </c>
      <c r="O139" s="376">
        <f t="shared" ref="O139" si="153">O134/N129</f>
        <v>0.19279284874844621</v>
      </c>
      <c r="P139" s="376">
        <f t="shared" ref="P139" si="154">P134/O129</f>
        <v>-1</v>
      </c>
      <c r="Q139" s="376">
        <f>IFERROR(Q134/P129,0)</f>
        <v>0</v>
      </c>
      <c r="R139" s="456"/>
    </row>
    <row r="140" spans="2:18">
      <c r="B140" s="4" t="s">
        <v>278</v>
      </c>
      <c r="C140" s="377"/>
      <c r="D140" s="376"/>
      <c r="E140" s="377"/>
      <c r="F140" s="376"/>
      <c r="G140" s="377"/>
      <c r="H140" s="376"/>
      <c r="I140" s="376"/>
      <c r="J140" s="376">
        <f t="shared" ref="J140" si="155">J135/I130</f>
        <v>0.12202483023527008</v>
      </c>
      <c r="K140" s="376">
        <f>K135/J130</f>
        <v>1.1436817357460158</v>
      </c>
      <c r="L140" s="377"/>
      <c r="M140" s="376">
        <f t="shared" ref="M140" si="156">M135/L130</f>
        <v>-8.73155919795531E-3</v>
      </c>
      <c r="N140" s="376">
        <f t="shared" ref="N140" si="157">N135/M130</f>
        <v>-8.7464559739911865E-2</v>
      </c>
      <c r="O140" s="376">
        <f t="shared" ref="O140" si="158">O135/N130</f>
        <v>0.23680986084584177</v>
      </c>
      <c r="P140" s="376">
        <f t="shared" ref="P140" si="159">P135/O130</f>
        <v>-1</v>
      </c>
      <c r="Q140" s="376">
        <f t="shared" ref="Q140:Q141" si="160">IFERROR(Q135/P130,0)</f>
        <v>0</v>
      </c>
      <c r="R140" s="456"/>
    </row>
    <row r="141" spans="2:18">
      <c r="B141" s="495" t="s">
        <v>271</v>
      </c>
      <c r="C141" s="377"/>
      <c r="D141" s="376"/>
      <c r="E141" s="377"/>
      <c r="F141" s="376"/>
      <c r="G141" s="377"/>
      <c r="H141" s="376"/>
      <c r="I141" s="376"/>
      <c r="J141" s="376">
        <f t="shared" ref="J141" si="161">J136/I131</f>
        <v>0.25314336578968832</v>
      </c>
      <c r="K141" s="823">
        <f>M131/J131</f>
        <v>1.7827325890442374</v>
      </c>
      <c r="L141" s="377"/>
      <c r="M141" s="376">
        <f t="shared" ref="M141" si="162">M136/L131</f>
        <v>-8.7315591979552284E-3</v>
      </c>
      <c r="N141" s="376">
        <f t="shared" ref="N141" si="163">N136/M131</f>
        <v>-4.1338370058584019E-3</v>
      </c>
      <c r="O141" s="376">
        <f t="shared" ref="O141" si="164">O136/N131</f>
        <v>0.19279284874844621</v>
      </c>
      <c r="P141" s="376">
        <f t="shared" ref="P141" si="165">P136/O131</f>
        <v>-1</v>
      </c>
      <c r="Q141" s="376">
        <f t="shared" si="160"/>
        <v>0</v>
      </c>
      <c r="R141" s="456"/>
    </row>
    <row r="142" spans="2:18" s="348" customFormat="1" ht="13.8" thickBot="1">
      <c r="B142" s="495" t="s">
        <v>279</v>
      </c>
      <c r="C142" s="803"/>
      <c r="D142" s="766"/>
      <c r="E142" s="803"/>
      <c r="F142" s="766"/>
      <c r="G142" s="803"/>
      <c r="H142" s="766"/>
      <c r="I142" s="766"/>
      <c r="J142" s="766">
        <f t="shared" ref="J142" si="166">J137/I132</f>
        <v>0.12202483023527008</v>
      </c>
      <c r="K142" s="823">
        <f>M132/J132</f>
        <v>2.1436817357460161</v>
      </c>
      <c r="L142" s="803"/>
      <c r="M142" s="766">
        <f t="shared" ref="M142" si="167">M137/L132</f>
        <v>-8.73155919795531E-3</v>
      </c>
      <c r="N142" s="766">
        <f t="shared" ref="N142" si="168">N137/M132</f>
        <v>-8.7464559739911865E-2</v>
      </c>
      <c r="O142" s="766">
        <f t="shared" ref="O142" si="169">O137/N132</f>
        <v>0.23680986084584177</v>
      </c>
      <c r="P142" s="766">
        <f t="shared" ref="P142" si="170">P137/O132</f>
        <v>-1</v>
      </c>
      <c r="Q142" s="766">
        <f>IFERROR(Q137/P132,0)</f>
        <v>0</v>
      </c>
      <c r="R142" s="356"/>
    </row>
    <row r="143" spans="2:18">
      <c r="B143" s="351" t="s">
        <v>225</v>
      </c>
      <c r="C143" s="769"/>
      <c r="D143" s="769"/>
      <c r="E143" s="769"/>
      <c r="F143" s="769"/>
      <c r="G143" s="769"/>
      <c r="H143" s="769"/>
      <c r="I143" s="769"/>
      <c r="J143" s="769"/>
      <c r="K143" s="769"/>
      <c r="L143" s="769"/>
      <c r="M143" s="769"/>
      <c r="N143" s="410"/>
      <c r="O143" s="770"/>
      <c r="P143" s="770"/>
      <c r="Q143" s="770"/>
      <c r="R143" s="456"/>
    </row>
    <row r="144" spans="2:18">
      <c r="B144" s="4" t="s">
        <v>143</v>
      </c>
      <c r="C144" s="377"/>
      <c r="D144" s="377"/>
      <c r="E144" s="377"/>
      <c r="F144" s="377"/>
      <c r="G144" s="377"/>
      <c r="H144" s="377"/>
      <c r="I144" s="377">
        <v>0</v>
      </c>
      <c r="J144" s="377">
        <v>0</v>
      </c>
      <c r="K144" s="377"/>
      <c r="L144" s="377">
        <v>0</v>
      </c>
      <c r="M144" s="374">
        <f>AVERAGE(Customer!K99:K110)</f>
        <v>1.4166666666666667</v>
      </c>
      <c r="N144" s="371">
        <f>AVERAGE(Customer!K111:K122)</f>
        <v>6</v>
      </c>
      <c r="O144" s="371">
        <f>AVERAGE(Customer!K123:K134)</f>
        <v>18.75</v>
      </c>
      <c r="P144" s="371">
        <f>'Dist. Gen. Forecast'!V17</f>
        <v>43.041666666666679</v>
      </c>
      <c r="Q144" s="371">
        <f>'Dist. Gen. Forecast'!O17</f>
        <v>67.583333333333371</v>
      </c>
      <c r="R144" s="456"/>
    </row>
    <row r="145" spans="2:18">
      <c r="B145" s="4" t="s">
        <v>144</v>
      </c>
      <c r="C145" s="377"/>
      <c r="D145" s="377"/>
      <c r="E145" s="377"/>
      <c r="F145" s="377"/>
      <c r="G145" s="377"/>
      <c r="H145" s="377"/>
      <c r="I145" s="377">
        <v>0</v>
      </c>
      <c r="J145" s="377">
        <v>0</v>
      </c>
      <c r="K145" s="377"/>
      <c r="L145" s="377">
        <v>0</v>
      </c>
      <c r="M145" s="377">
        <f>1717.72</f>
        <v>1717.72</v>
      </c>
      <c r="N145" s="377">
        <v>14365.97</v>
      </c>
      <c r="O145" s="377">
        <v>49100.7</v>
      </c>
      <c r="P145" s="371">
        <f>'Dist. Gen. Forecast'!X17</f>
        <v>113715.47674831092</v>
      </c>
      <c r="Q145" s="371">
        <f>'Dist. Gen. Forecast'!Q17</f>
        <v>178815.83827199429</v>
      </c>
      <c r="R145" s="456"/>
    </row>
    <row r="146" spans="2:18">
      <c r="B146" s="495" t="s">
        <v>270</v>
      </c>
      <c r="C146" s="377"/>
      <c r="D146" s="377"/>
      <c r="E146" s="377"/>
      <c r="F146" s="377"/>
      <c r="G146" s="377"/>
      <c r="H146" s="377"/>
      <c r="I146" s="377">
        <f>IFERROR(I145/I144,0)</f>
        <v>0</v>
      </c>
      <c r="J146" s="377">
        <f>IFERROR(J145/J144,0)</f>
        <v>0</v>
      </c>
      <c r="K146" s="377"/>
      <c r="L146" s="377">
        <f>IFERROR(L145/L144,0)</f>
        <v>0</v>
      </c>
      <c r="M146" s="377">
        <f t="shared" ref="M146:Q146" si="171">M145/M144</f>
        <v>1212.5082352941176</v>
      </c>
      <c r="N146" s="377">
        <f t="shared" si="171"/>
        <v>2394.3283333333334</v>
      </c>
      <c r="O146" s="377">
        <f t="shared" si="171"/>
        <v>2618.7039999999997</v>
      </c>
      <c r="P146" s="377">
        <f t="shared" si="171"/>
        <v>2641.985907027552</v>
      </c>
      <c r="Q146" s="377">
        <f t="shared" si="171"/>
        <v>2645.857039782898</v>
      </c>
      <c r="R146" s="456"/>
    </row>
    <row r="147" spans="2:18">
      <c r="B147" s="4" t="s">
        <v>266</v>
      </c>
      <c r="C147" s="807"/>
      <c r="D147" s="807"/>
      <c r="E147" s="807"/>
      <c r="F147" s="807"/>
      <c r="G147" s="807"/>
      <c r="H147" s="807"/>
      <c r="I147" s="807">
        <f t="shared" ref="I147:J149" si="172">I144-H144</f>
        <v>0</v>
      </c>
      <c r="J147" s="807">
        <f t="shared" si="172"/>
        <v>0</v>
      </c>
      <c r="K147" s="377">
        <f>M144-J144</f>
        <v>1.4166666666666667</v>
      </c>
      <c r="L147" s="807"/>
      <c r="M147" s="807">
        <f t="shared" ref="M147:N147" si="173">M144-L144</f>
        <v>1.4166666666666667</v>
      </c>
      <c r="N147" s="807">
        <f t="shared" si="173"/>
        <v>4.583333333333333</v>
      </c>
      <c r="O147" s="807">
        <f t="shared" ref="O147" si="174">O144-N144</f>
        <v>12.75</v>
      </c>
      <c r="P147" s="807">
        <f t="shared" ref="P147" si="175">P144-O144</f>
        <v>24.291666666666679</v>
      </c>
      <c r="Q147" s="807">
        <f t="shared" ref="Q147:Q149" si="176">Q144-P144</f>
        <v>24.541666666666693</v>
      </c>
      <c r="R147" s="456"/>
    </row>
    <row r="148" spans="2:18">
      <c r="B148" s="4" t="s">
        <v>268</v>
      </c>
      <c r="C148" s="807"/>
      <c r="D148" s="807"/>
      <c r="E148" s="807"/>
      <c r="F148" s="807"/>
      <c r="G148" s="807"/>
      <c r="H148" s="807"/>
      <c r="I148" s="807">
        <f t="shared" si="172"/>
        <v>0</v>
      </c>
      <c r="J148" s="807">
        <f t="shared" si="172"/>
        <v>0</v>
      </c>
      <c r="K148" s="377">
        <f>M145-J145</f>
        <v>1717.72</v>
      </c>
      <c r="L148" s="807"/>
      <c r="M148" s="807">
        <f t="shared" ref="M148" si="177">M145-L145</f>
        <v>1717.72</v>
      </c>
      <c r="N148" s="807">
        <f>N145-M145</f>
        <v>12648.25</v>
      </c>
      <c r="O148" s="807">
        <f t="shared" ref="O148" si="178">O145-N145</f>
        <v>34734.729999999996</v>
      </c>
      <c r="P148" s="807">
        <f t="shared" ref="P148" si="179">P145-O145</f>
        <v>64614.77674831092</v>
      </c>
      <c r="Q148" s="807">
        <f t="shared" si="176"/>
        <v>65100.361523683372</v>
      </c>
      <c r="R148" s="456"/>
    </row>
    <row r="149" spans="2:18">
      <c r="B149" s="495" t="s">
        <v>274</v>
      </c>
      <c r="C149" s="807"/>
      <c r="D149" s="807"/>
      <c r="E149" s="807"/>
      <c r="F149" s="807"/>
      <c r="G149" s="807"/>
      <c r="H149" s="807"/>
      <c r="I149" s="807">
        <f t="shared" si="172"/>
        <v>0</v>
      </c>
      <c r="J149" s="807">
        <f t="shared" si="172"/>
        <v>0</v>
      </c>
      <c r="K149" s="806">
        <f t="shared" ref="K149" si="180">M146-J146</f>
        <v>1212.5082352941176</v>
      </c>
      <c r="L149" s="807"/>
      <c r="M149" s="807">
        <f t="shared" ref="M149" si="181">M146-L146</f>
        <v>1212.5082352941176</v>
      </c>
      <c r="N149" s="807">
        <f>N146-M146</f>
        <v>1181.8200980392157</v>
      </c>
      <c r="O149" s="807">
        <f t="shared" ref="O149" si="182">O146-N146</f>
        <v>224.37566666666635</v>
      </c>
      <c r="P149" s="807">
        <f t="shared" ref="P149" si="183">P146-O146</f>
        <v>23.281907027552279</v>
      </c>
      <c r="Q149" s="807">
        <f t="shared" si="176"/>
        <v>3.8711327553460251</v>
      </c>
      <c r="R149" s="456"/>
    </row>
    <row r="150" spans="2:18">
      <c r="B150" s="4" t="s">
        <v>267</v>
      </c>
      <c r="C150" s="377"/>
      <c r="D150" s="376"/>
      <c r="E150" s="376"/>
      <c r="F150" s="376"/>
      <c r="G150" s="376"/>
      <c r="H150" s="376"/>
      <c r="I150" s="376">
        <f>IFERROR(I147/H144,0)</f>
        <v>0</v>
      </c>
      <c r="J150" s="376">
        <f>IFERROR(J147/I144,0)</f>
        <v>0</v>
      </c>
      <c r="K150" s="376">
        <f>IFERROR(M144/J144,0)</f>
        <v>0</v>
      </c>
      <c r="L150" s="376"/>
      <c r="M150" s="376">
        <f>IFERROR(M147/L144,0)</f>
        <v>0</v>
      </c>
      <c r="N150" s="376">
        <f t="shared" ref="N150" si="184">N147/M144</f>
        <v>3.2352941176470584</v>
      </c>
      <c r="O150" s="376">
        <f t="shared" ref="O150" si="185">O147/N144</f>
        <v>2.125</v>
      </c>
      <c r="P150" s="376">
        <f t="shared" ref="P150" si="186">P147/O144</f>
        <v>1.2955555555555562</v>
      </c>
      <c r="Q150" s="376">
        <f t="shared" ref="Q150" si="187">Q147/P144</f>
        <v>0.57018393030009729</v>
      </c>
      <c r="R150" s="456"/>
    </row>
    <row r="151" spans="2:18">
      <c r="B151" s="4" t="s">
        <v>269</v>
      </c>
      <c r="C151" s="377"/>
      <c r="D151" s="376"/>
      <c r="E151" s="376"/>
      <c r="F151" s="376"/>
      <c r="G151" s="376"/>
      <c r="H151" s="376"/>
      <c r="I151" s="376">
        <f t="shared" ref="I151:J152" si="188">IFERROR(I148/H145,0)</f>
        <v>0</v>
      </c>
      <c r="J151" s="376">
        <f t="shared" si="188"/>
        <v>0</v>
      </c>
      <c r="K151" s="376">
        <f t="shared" ref="K151:K152" si="189">IFERROR(M145/J145,0)</f>
        <v>0</v>
      </c>
      <c r="L151" s="376"/>
      <c r="M151" s="376">
        <f t="shared" ref="M151:M152" si="190">IFERROR(M148/L145,0)</f>
        <v>0</v>
      </c>
      <c r="N151" s="376">
        <f>N148/M145</f>
        <v>7.3633944996856293</v>
      </c>
      <c r="O151" s="376">
        <f t="shared" ref="O151" si="191">O148/N145</f>
        <v>2.4178478724374335</v>
      </c>
      <c r="P151" s="376">
        <f t="shared" ref="P151" si="192">P148/O145</f>
        <v>1.3159644719588708</v>
      </c>
      <c r="Q151" s="376">
        <f>Q148/P145</f>
        <v>0.57248462025772884</v>
      </c>
      <c r="R151" s="456"/>
    </row>
    <row r="152" spans="2:18" ht="13.8" thickBot="1">
      <c r="B152" s="495" t="s">
        <v>271</v>
      </c>
      <c r="C152" s="376"/>
      <c r="D152" s="376"/>
      <c r="E152" s="376"/>
      <c r="F152" s="376"/>
      <c r="G152" s="376"/>
      <c r="H152" s="376"/>
      <c r="I152" s="376">
        <f t="shared" si="188"/>
        <v>0</v>
      </c>
      <c r="J152" s="376">
        <f t="shared" si="188"/>
        <v>0</v>
      </c>
      <c r="K152" s="376">
        <f t="shared" si="189"/>
        <v>0</v>
      </c>
      <c r="L152" s="376"/>
      <c r="M152" s="376">
        <f t="shared" si="190"/>
        <v>0</v>
      </c>
      <c r="N152" s="376">
        <f>N149/M146</f>
        <v>0.97469036798132935</v>
      </c>
      <c r="O152" s="376">
        <f t="shared" ref="O152" si="193">O149/N146</f>
        <v>9.3711319179978658E-2</v>
      </c>
      <c r="P152" s="376">
        <f t="shared" ref="P152" si="194">P149/O146</f>
        <v>8.8906218601080087E-3</v>
      </c>
      <c r="Q152" s="376">
        <f>Q149/P146</f>
        <v>1.4652359594534562E-3</v>
      </c>
      <c r="R152" s="456"/>
    </row>
    <row r="153" spans="2:18">
      <c r="B153" s="351" t="s">
        <v>237</v>
      </c>
      <c r="C153" s="769"/>
      <c r="D153" s="769"/>
      <c r="E153" s="769"/>
      <c r="F153" s="769"/>
      <c r="G153" s="769"/>
      <c r="H153" s="769"/>
      <c r="I153" s="769"/>
      <c r="J153" s="769"/>
      <c r="K153" s="769"/>
      <c r="L153" s="769"/>
      <c r="M153" s="769"/>
      <c r="N153" s="410"/>
      <c r="O153" s="770"/>
      <c r="P153" s="770"/>
      <c r="Q153" s="770"/>
      <c r="R153" s="456"/>
    </row>
    <row r="154" spans="2:18">
      <c r="B154" s="4" t="s">
        <v>143</v>
      </c>
      <c r="C154" s="807"/>
      <c r="D154" s="807"/>
      <c r="E154" s="807"/>
      <c r="F154" s="807"/>
      <c r="G154" s="807"/>
      <c r="H154" s="807"/>
      <c r="I154" s="807">
        <v>1</v>
      </c>
      <c r="J154" s="807">
        <v>1</v>
      </c>
      <c r="K154" s="807"/>
      <c r="L154" s="807">
        <v>1</v>
      </c>
      <c r="M154" s="812">
        <v>1</v>
      </c>
      <c r="N154" s="812">
        <v>1</v>
      </c>
      <c r="O154" s="812">
        <v>1</v>
      </c>
      <c r="P154" s="812">
        <v>1</v>
      </c>
      <c r="Q154" s="812">
        <v>1</v>
      </c>
      <c r="R154" s="456"/>
    </row>
    <row r="155" spans="2:18">
      <c r="B155" s="4" t="s">
        <v>144</v>
      </c>
      <c r="C155" s="807"/>
      <c r="D155" s="807"/>
      <c r="E155" s="807"/>
      <c r="F155" s="807"/>
      <c r="G155" s="807"/>
      <c r="H155" s="807"/>
      <c r="I155" s="807">
        <v>0</v>
      </c>
      <c r="J155" s="807">
        <v>0</v>
      </c>
      <c r="K155" s="807"/>
      <c r="L155" s="807">
        <v>0</v>
      </c>
      <c r="M155" s="807">
        <v>0</v>
      </c>
      <c r="N155" s="807">
        <v>0</v>
      </c>
      <c r="O155" s="807">
        <v>0</v>
      </c>
      <c r="P155" s="807">
        <v>0</v>
      </c>
      <c r="Q155" s="807">
        <v>0</v>
      </c>
      <c r="R155" s="456"/>
    </row>
    <row r="156" spans="2:18">
      <c r="B156" s="4" t="s">
        <v>146</v>
      </c>
      <c r="C156" s="807"/>
      <c r="D156" s="807"/>
      <c r="E156" s="807"/>
      <c r="F156" s="807"/>
      <c r="G156" s="807"/>
      <c r="H156" s="807"/>
      <c r="I156" s="807">
        <v>0</v>
      </c>
      <c r="J156" s="807">
        <v>0</v>
      </c>
      <c r="K156" s="807"/>
      <c r="L156" s="807">
        <v>0</v>
      </c>
      <c r="M156" s="807">
        <v>0</v>
      </c>
      <c r="N156" s="807">
        <v>0</v>
      </c>
      <c r="O156" s="807">
        <v>0</v>
      </c>
      <c r="P156" s="807">
        <v>0</v>
      </c>
      <c r="Q156" s="807">
        <v>0</v>
      </c>
      <c r="R156" s="456"/>
    </row>
    <row r="157" spans="2:18">
      <c r="B157" s="495" t="s">
        <v>270</v>
      </c>
      <c r="C157" s="807"/>
      <c r="D157" s="807"/>
      <c r="E157" s="807"/>
      <c r="F157" s="807"/>
      <c r="G157" s="807"/>
      <c r="H157" s="807"/>
      <c r="I157" s="807">
        <f t="shared" ref="I157:Q157" si="195">I155/I154</f>
        <v>0</v>
      </c>
      <c r="J157" s="807">
        <f t="shared" si="195"/>
        <v>0</v>
      </c>
      <c r="K157" s="807"/>
      <c r="L157" s="807">
        <f>IFERROR(L155/L154,0)</f>
        <v>0</v>
      </c>
      <c r="M157" s="807">
        <f t="shared" si="195"/>
        <v>0</v>
      </c>
      <c r="N157" s="807">
        <f t="shared" si="195"/>
        <v>0</v>
      </c>
      <c r="O157" s="807">
        <f t="shared" si="195"/>
        <v>0</v>
      </c>
      <c r="P157" s="807">
        <f t="shared" si="195"/>
        <v>0</v>
      </c>
      <c r="Q157" s="807">
        <f t="shared" si="195"/>
        <v>0</v>
      </c>
      <c r="R157" s="456"/>
    </row>
    <row r="158" spans="2:18">
      <c r="B158" s="495" t="s">
        <v>275</v>
      </c>
      <c r="C158" s="807"/>
      <c r="D158" s="807"/>
      <c r="E158" s="807"/>
      <c r="F158" s="807"/>
      <c r="G158" s="807"/>
      <c r="H158" s="807"/>
      <c r="I158" s="807">
        <f t="shared" ref="I158:J158" si="196">I156/I154</f>
        <v>0</v>
      </c>
      <c r="J158" s="807">
        <f t="shared" si="196"/>
        <v>0</v>
      </c>
      <c r="K158" s="807"/>
      <c r="L158" s="807">
        <f>IFERROR(L156/L154,0)</f>
        <v>0</v>
      </c>
      <c r="M158" s="807">
        <f>M156/M154</f>
        <v>0</v>
      </c>
      <c r="N158" s="807">
        <f t="shared" ref="N158:Q158" si="197">N156/N154</f>
        <v>0</v>
      </c>
      <c r="O158" s="807">
        <f t="shared" si="197"/>
        <v>0</v>
      </c>
      <c r="P158" s="807">
        <f t="shared" si="197"/>
        <v>0</v>
      </c>
      <c r="Q158" s="807">
        <f t="shared" si="197"/>
        <v>0</v>
      </c>
      <c r="R158" s="456"/>
    </row>
    <row r="159" spans="2:18">
      <c r="B159" s="4" t="s">
        <v>266</v>
      </c>
      <c r="C159" s="807"/>
      <c r="D159" s="807"/>
      <c r="E159" s="807"/>
      <c r="F159" s="807"/>
      <c r="G159" s="807"/>
      <c r="H159" s="807"/>
      <c r="I159" s="807">
        <f t="shared" ref="I159:J159" si="198">I154-H154</f>
        <v>1</v>
      </c>
      <c r="J159" s="807">
        <f t="shared" si="198"/>
        <v>0</v>
      </c>
      <c r="K159" s="807">
        <f>M154-J154</f>
        <v>0</v>
      </c>
      <c r="L159" s="807">
        <v>0</v>
      </c>
      <c r="M159" s="807">
        <f>M154-L154</f>
        <v>0</v>
      </c>
      <c r="N159" s="807">
        <f>N154-M154</f>
        <v>0</v>
      </c>
      <c r="O159" s="807">
        <f t="shared" ref="O159:Q163" si="199">O154-N154</f>
        <v>0</v>
      </c>
      <c r="P159" s="807">
        <f t="shared" si="199"/>
        <v>0</v>
      </c>
      <c r="Q159" s="807">
        <f t="shared" si="199"/>
        <v>0</v>
      </c>
      <c r="R159" s="456"/>
    </row>
    <row r="160" spans="2:18">
      <c r="B160" s="4" t="s">
        <v>268</v>
      </c>
      <c r="C160" s="807"/>
      <c r="D160" s="807"/>
      <c r="E160" s="807"/>
      <c r="F160" s="807"/>
      <c r="G160" s="807"/>
      <c r="H160" s="807"/>
      <c r="I160" s="807">
        <f>I155-H155</f>
        <v>0</v>
      </c>
      <c r="J160" s="807">
        <f t="shared" ref="J160" si="200">J155-I155</f>
        <v>0</v>
      </c>
      <c r="K160" s="807">
        <f t="shared" ref="K160:K162" si="201">M155-J155</f>
        <v>0</v>
      </c>
      <c r="L160" s="807">
        <v>0</v>
      </c>
      <c r="M160" s="807">
        <f t="shared" ref="M160:P163" si="202">M155-L155</f>
        <v>0</v>
      </c>
      <c r="N160" s="807">
        <f t="shared" si="202"/>
        <v>0</v>
      </c>
      <c r="O160" s="807">
        <f t="shared" si="202"/>
        <v>0</v>
      </c>
      <c r="P160" s="807">
        <f>P155-O155</f>
        <v>0</v>
      </c>
      <c r="Q160" s="807">
        <f t="shared" si="199"/>
        <v>0</v>
      </c>
      <c r="R160" s="456"/>
    </row>
    <row r="161" spans="2:18">
      <c r="B161" s="4" t="s">
        <v>276</v>
      </c>
      <c r="C161" s="807"/>
      <c r="D161" s="807"/>
      <c r="E161" s="807"/>
      <c r="F161" s="807"/>
      <c r="G161" s="807"/>
      <c r="H161" s="807"/>
      <c r="I161" s="807">
        <f t="shared" ref="I161:J161" si="203">I156-H156</f>
        <v>0</v>
      </c>
      <c r="J161" s="807">
        <f t="shared" si="203"/>
        <v>0</v>
      </c>
      <c r="K161" s="807">
        <f t="shared" si="201"/>
        <v>0</v>
      </c>
      <c r="L161" s="807">
        <v>0</v>
      </c>
      <c r="M161" s="807">
        <f t="shared" ref="M161" si="204">M156-L156</f>
        <v>0</v>
      </c>
      <c r="N161" s="807">
        <f t="shared" si="202"/>
        <v>0</v>
      </c>
      <c r="O161" s="807">
        <f t="shared" si="202"/>
        <v>0</v>
      </c>
      <c r="P161" s="807">
        <f t="shared" si="202"/>
        <v>0</v>
      </c>
      <c r="Q161" s="807">
        <f t="shared" si="199"/>
        <v>0</v>
      </c>
      <c r="R161" s="456"/>
    </row>
    <row r="162" spans="2:18">
      <c r="B162" s="495" t="s">
        <v>274</v>
      </c>
      <c r="C162" s="807"/>
      <c r="D162" s="807"/>
      <c r="E162" s="807"/>
      <c r="F162" s="807"/>
      <c r="G162" s="807"/>
      <c r="H162" s="807"/>
      <c r="I162" s="807">
        <f t="shared" ref="I162" si="205">I157-H157</f>
        <v>0</v>
      </c>
      <c r="J162" s="807">
        <f t="shared" ref="J162" si="206">J157-I157</f>
        <v>0</v>
      </c>
      <c r="K162" s="807">
        <f t="shared" si="201"/>
        <v>0</v>
      </c>
      <c r="L162" s="807">
        <v>0</v>
      </c>
      <c r="M162" s="807">
        <f t="shared" ref="M162" si="207">M157-L157</f>
        <v>0</v>
      </c>
      <c r="N162" s="807">
        <f t="shared" si="202"/>
        <v>0</v>
      </c>
      <c r="O162" s="807">
        <f t="shared" si="202"/>
        <v>0</v>
      </c>
      <c r="P162" s="807">
        <f t="shared" si="202"/>
        <v>0</v>
      </c>
      <c r="Q162" s="807">
        <f t="shared" si="199"/>
        <v>0</v>
      </c>
      <c r="R162" s="456"/>
    </row>
    <row r="163" spans="2:18">
      <c r="B163" s="495" t="s">
        <v>277</v>
      </c>
      <c r="C163" s="807"/>
      <c r="D163" s="807"/>
      <c r="E163" s="807"/>
      <c r="F163" s="807"/>
      <c r="G163" s="807"/>
      <c r="H163" s="807"/>
      <c r="I163" s="807">
        <f t="shared" ref="I163" si="208">I158-H158</f>
        <v>0</v>
      </c>
      <c r="J163" s="807">
        <f t="shared" ref="J163" si="209">J158-I158</f>
        <v>0</v>
      </c>
      <c r="K163" s="807">
        <f>M158-J158</f>
        <v>0</v>
      </c>
      <c r="L163" s="807">
        <v>0</v>
      </c>
      <c r="M163" s="807">
        <f t="shared" ref="M163" si="210">M158-L158</f>
        <v>0</v>
      </c>
      <c r="N163" s="807">
        <f t="shared" si="202"/>
        <v>0</v>
      </c>
      <c r="O163" s="807">
        <f t="shared" si="202"/>
        <v>0</v>
      </c>
      <c r="P163" s="807">
        <f t="shared" si="202"/>
        <v>0</v>
      </c>
      <c r="Q163" s="807">
        <f t="shared" si="199"/>
        <v>0</v>
      </c>
      <c r="R163" s="456"/>
    </row>
    <row r="164" spans="2:18">
      <c r="B164" s="4" t="s">
        <v>267</v>
      </c>
      <c r="C164" s="377"/>
      <c r="D164" s="376"/>
      <c r="E164" s="377"/>
      <c r="F164" s="376"/>
      <c r="G164" s="377"/>
      <c r="H164" s="376"/>
      <c r="I164" s="376">
        <f>IFERROR(I159/H154,0)</f>
        <v>0</v>
      </c>
      <c r="J164" s="376">
        <f>IFERROR(J159/I154,0)</f>
        <v>0</v>
      </c>
      <c r="K164" s="376">
        <f>K159/J154</f>
        <v>0</v>
      </c>
      <c r="L164" s="376">
        <f>IFERROR(L159/J154,0)</f>
        <v>0</v>
      </c>
      <c r="M164" s="376">
        <f t="shared" ref="M164:Q164" si="211">IFERROR(M159/L154,0)</f>
        <v>0</v>
      </c>
      <c r="N164" s="376">
        <f t="shared" si="211"/>
        <v>0</v>
      </c>
      <c r="O164" s="376">
        <f t="shared" si="211"/>
        <v>0</v>
      </c>
      <c r="P164" s="376">
        <f t="shared" si="211"/>
        <v>0</v>
      </c>
      <c r="Q164" s="376">
        <f t="shared" si="211"/>
        <v>0</v>
      </c>
      <c r="R164" s="456"/>
    </row>
    <row r="165" spans="2:18">
      <c r="B165" s="4" t="s">
        <v>269</v>
      </c>
      <c r="C165" s="377"/>
      <c r="D165" s="376"/>
      <c r="E165" s="377"/>
      <c r="F165" s="376"/>
      <c r="G165" s="377"/>
      <c r="H165" s="376"/>
      <c r="I165" s="376">
        <f>IFERROR(I160/H155,0)</f>
        <v>0</v>
      </c>
      <c r="J165" s="376">
        <f>IFERROR(J160/I155,0)</f>
        <v>0</v>
      </c>
      <c r="K165" s="376">
        <f>IFERROR(K160/J155,0)</f>
        <v>0</v>
      </c>
      <c r="L165" s="376">
        <f>IFERROR(L160/J155,0)</f>
        <v>0</v>
      </c>
      <c r="M165" s="376">
        <f t="shared" ref="M165:Q165" si="212">IFERROR(M160/L155,0)</f>
        <v>0</v>
      </c>
      <c r="N165" s="376">
        <f t="shared" si="212"/>
        <v>0</v>
      </c>
      <c r="O165" s="376">
        <f t="shared" si="212"/>
        <v>0</v>
      </c>
      <c r="P165" s="376">
        <f t="shared" si="212"/>
        <v>0</v>
      </c>
      <c r="Q165" s="376">
        <f t="shared" si="212"/>
        <v>0</v>
      </c>
      <c r="R165" s="456"/>
    </row>
    <row r="166" spans="2:18">
      <c r="B166" s="4" t="s">
        <v>278</v>
      </c>
      <c r="C166" s="377"/>
      <c r="D166" s="376"/>
      <c r="E166" s="377"/>
      <c r="F166" s="376"/>
      <c r="G166" s="377"/>
      <c r="H166" s="376"/>
      <c r="I166" s="376">
        <f t="shared" ref="I166" si="213">IFERROR(I161/H156,0)</f>
        <v>0</v>
      </c>
      <c r="J166" s="376">
        <f t="shared" ref="J166:Q168" si="214">IFERROR(J161/I156,0)</f>
        <v>0</v>
      </c>
      <c r="K166" s="376">
        <f t="shared" ref="K166:K168" si="215">IFERROR(K161/J156,0)</f>
        <v>0</v>
      </c>
      <c r="L166" s="376">
        <f>IFERROR(L161/J156,0)</f>
        <v>0</v>
      </c>
      <c r="M166" s="376">
        <f t="shared" si="214"/>
        <v>0</v>
      </c>
      <c r="N166" s="376">
        <f t="shared" si="214"/>
        <v>0</v>
      </c>
      <c r="O166" s="376">
        <f t="shared" si="214"/>
        <v>0</v>
      </c>
      <c r="P166" s="376">
        <f t="shared" si="214"/>
        <v>0</v>
      </c>
      <c r="Q166" s="376">
        <f t="shared" si="214"/>
        <v>0</v>
      </c>
      <c r="R166" s="456"/>
    </row>
    <row r="167" spans="2:18">
      <c r="B167" s="495" t="s">
        <v>271</v>
      </c>
      <c r="C167" s="377"/>
      <c r="D167" s="376"/>
      <c r="E167" s="377"/>
      <c r="F167" s="376"/>
      <c r="G167" s="377"/>
      <c r="H167" s="376"/>
      <c r="I167" s="376">
        <f t="shared" ref="I167" si="216">IFERROR(I162/H157,0)</f>
        <v>0</v>
      </c>
      <c r="J167" s="376">
        <f t="shared" si="214"/>
        <v>0</v>
      </c>
      <c r="K167" s="376">
        <f t="shared" si="215"/>
        <v>0</v>
      </c>
      <c r="L167" s="376">
        <f>IFERROR(L162/J157,0)</f>
        <v>0</v>
      </c>
      <c r="M167" s="376">
        <f t="shared" si="214"/>
        <v>0</v>
      </c>
      <c r="N167" s="376">
        <f t="shared" si="214"/>
        <v>0</v>
      </c>
      <c r="O167" s="376">
        <f t="shared" si="214"/>
        <v>0</v>
      </c>
      <c r="P167" s="376">
        <f t="shared" si="214"/>
        <v>0</v>
      </c>
      <c r="Q167" s="376">
        <f t="shared" si="214"/>
        <v>0</v>
      </c>
      <c r="R167" s="456"/>
    </row>
    <row r="168" spans="2:18" ht="13.8" thickBot="1">
      <c r="B168" s="495" t="s">
        <v>279</v>
      </c>
      <c r="C168" s="803"/>
      <c r="D168" s="766"/>
      <c r="E168" s="803"/>
      <c r="F168" s="766"/>
      <c r="G168" s="803"/>
      <c r="H168" s="766"/>
      <c r="I168" s="376">
        <f t="shared" ref="I168" si="217">IFERROR(I163/H158,0)</f>
        <v>0</v>
      </c>
      <c r="J168" s="376">
        <f t="shared" si="214"/>
        <v>0</v>
      </c>
      <c r="K168" s="376">
        <f t="shared" si="215"/>
        <v>0</v>
      </c>
      <c r="L168" s="376">
        <f>IFERROR(L163/J158,0)</f>
        <v>0</v>
      </c>
      <c r="M168" s="376">
        <f t="shared" si="214"/>
        <v>0</v>
      </c>
      <c r="N168" s="376">
        <f t="shared" si="214"/>
        <v>0</v>
      </c>
      <c r="O168" s="376">
        <f t="shared" si="214"/>
        <v>0</v>
      </c>
      <c r="P168" s="376">
        <f t="shared" si="214"/>
        <v>0</v>
      </c>
      <c r="Q168" s="376">
        <f t="shared" si="214"/>
        <v>0</v>
      </c>
      <c r="R168" s="456"/>
    </row>
    <row r="169" spans="2:18">
      <c r="B169" s="351" t="s">
        <v>257</v>
      </c>
      <c r="C169" s="769"/>
      <c r="D169" s="769"/>
      <c r="E169" s="769"/>
      <c r="F169" s="769"/>
      <c r="G169" s="769"/>
      <c r="H169" s="769"/>
      <c r="I169" s="769"/>
      <c r="J169" s="769"/>
      <c r="K169" s="769"/>
      <c r="L169" s="769"/>
      <c r="M169" s="769"/>
      <c r="N169" s="410"/>
      <c r="O169" s="770"/>
      <c r="P169" s="770"/>
      <c r="Q169" s="770"/>
      <c r="R169" s="456"/>
    </row>
    <row r="170" spans="2:18">
      <c r="B170" s="4" t="s">
        <v>143</v>
      </c>
      <c r="C170" s="806"/>
      <c r="D170" s="806"/>
      <c r="E170" s="806"/>
      <c r="F170" s="806"/>
      <c r="G170" s="806"/>
      <c r="H170" s="806"/>
      <c r="I170" s="806">
        <v>0</v>
      </c>
      <c r="J170" s="806">
        <v>0</v>
      </c>
      <c r="K170" s="806"/>
      <c r="L170" s="806">
        <v>0</v>
      </c>
      <c r="M170" s="806">
        <v>0</v>
      </c>
      <c r="N170" s="806">
        <v>0</v>
      </c>
      <c r="O170" s="807">
        <v>1</v>
      </c>
      <c r="P170" s="807">
        <v>1</v>
      </c>
      <c r="Q170" s="807">
        <v>1</v>
      </c>
      <c r="R170" s="456"/>
    </row>
    <row r="171" spans="2:18">
      <c r="B171" s="4" t="s">
        <v>144</v>
      </c>
      <c r="C171" s="806"/>
      <c r="D171" s="806"/>
      <c r="E171" s="806"/>
      <c r="F171" s="806"/>
      <c r="G171" s="806"/>
      <c r="H171" s="806"/>
      <c r="I171" s="806">
        <v>0</v>
      </c>
      <c r="J171" s="806">
        <v>0</v>
      </c>
      <c r="K171" s="806"/>
      <c r="L171" s="806">
        <v>0</v>
      </c>
      <c r="M171" s="806">
        <v>0</v>
      </c>
      <c r="N171" s="806">
        <v>0</v>
      </c>
      <c r="O171" s="807">
        <v>0</v>
      </c>
      <c r="P171" s="807">
        <v>0</v>
      </c>
      <c r="Q171" s="807">
        <v>0</v>
      </c>
      <c r="R171" s="456"/>
    </row>
    <row r="172" spans="2:18">
      <c r="B172" s="4" t="s">
        <v>146</v>
      </c>
      <c r="C172" s="806"/>
      <c r="D172" s="806"/>
      <c r="E172" s="806"/>
      <c r="F172" s="806"/>
      <c r="G172" s="806"/>
      <c r="H172" s="806"/>
      <c r="I172" s="806">
        <v>0</v>
      </c>
      <c r="J172" s="806">
        <v>0</v>
      </c>
      <c r="K172" s="806"/>
      <c r="L172" s="806">
        <v>0</v>
      </c>
      <c r="M172" s="806">
        <v>0</v>
      </c>
      <c r="N172" s="806">
        <v>0</v>
      </c>
      <c r="O172" s="807">
        <v>40934.799999999996</v>
      </c>
      <c r="P172" s="807">
        <v>54579.733333333323</v>
      </c>
      <c r="Q172" s="807">
        <v>54579.733333333323</v>
      </c>
      <c r="R172" s="456"/>
    </row>
    <row r="173" spans="2:18">
      <c r="B173" s="495" t="s">
        <v>270</v>
      </c>
      <c r="C173" s="806"/>
      <c r="D173" s="806"/>
      <c r="E173" s="806"/>
      <c r="F173" s="806"/>
      <c r="G173" s="806"/>
      <c r="H173" s="806"/>
      <c r="I173" s="806">
        <f>IFERROR(I171/I170,0)</f>
        <v>0</v>
      </c>
      <c r="J173" s="806">
        <f>IFERROR(J171/J170,0)</f>
        <v>0</v>
      </c>
      <c r="K173" s="806"/>
      <c r="L173" s="806">
        <f t="shared" ref="L173:Q173" si="218">IFERROR(L171/L170,0)</f>
        <v>0</v>
      </c>
      <c r="M173" s="806">
        <f t="shared" si="218"/>
        <v>0</v>
      </c>
      <c r="N173" s="806">
        <f t="shared" si="218"/>
        <v>0</v>
      </c>
      <c r="O173" s="807">
        <f t="shared" si="218"/>
        <v>0</v>
      </c>
      <c r="P173" s="807">
        <f t="shared" si="218"/>
        <v>0</v>
      </c>
      <c r="Q173" s="807">
        <f t="shared" si="218"/>
        <v>0</v>
      </c>
      <c r="R173" s="456"/>
    </row>
    <row r="174" spans="2:18">
      <c r="B174" s="495" t="s">
        <v>275</v>
      </c>
      <c r="C174" s="806"/>
      <c r="D174" s="806"/>
      <c r="E174" s="806"/>
      <c r="F174" s="806"/>
      <c r="G174" s="806"/>
      <c r="H174" s="806"/>
      <c r="I174" s="806">
        <f>IFERROR(I172/I170,0)</f>
        <v>0</v>
      </c>
      <c r="J174" s="806">
        <f>IFERROR(J172/J170,0)</f>
        <v>0</v>
      </c>
      <c r="K174" s="806"/>
      <c r="L174" s="806">
        <f t="shared" ref="L174:Q174" si="219">IFERROR(L172/L170,0)</f>
        <v>0</v>
      </c>
      <c r="M174" s="806">
        <f t="shared" si="219"/>
        <v>0</v>
      </c>
      <c r="N174" s="806">
        <f t="shared" si="219"/>
        <v>0</v>
      </c>
      <c r="O174" s="807">
        <f>IFERROR(O172/O170,0)</f>
        <v>40934.799999999996</v>
      </c>
      <c r="P174" s="807">
        <f t="shared" si="219"/>
        <v>54579.733333333323</v>
      </c>
      <c r="Q174" s="807">
        <f t="shared" si="219"/>
        <v>54579.733333333323</v>
      </c>
      <c r="R174" s="456"/>
    </row>
    <row r="175" spans="2:18">
      <c r="B175" s="4" t="s">
        <v>266</v>
      </c>
      <c r="C175" s="806"/>
      <c r="D175" s="806"/>
      <c r="E175" s="806"/>
      <c r="F175" s="806"/>
      <c r="G175" s="806"/>
      <c r="H175" s="806"/>
      <c r="I175" s="806">
        <f t="shared" ref="I175:J175" si="220">I170-H170</f>
        <v>0</v>
      </c>
      <c r="J175" s="806">
        <f t="shared" si="220"/>
        <v>0</v>
      </c>
      <c r="K175" s="807">
        <f>M170-J170</f>
        <v>0</v>
      </c>
      <c r="L175" s="806">
        <v>0</v>
      </c>
      <c r="M175" s="806">
        <f>M170-L170</f>
        <v>0</v>
      </c>
      <c r="N175" s="806">
        <f>N170-M170</f>
        <v>0</v>
      </c>
      <c r="O175" s="807">
        <f t="shared" ref="O175:Q175" si="221">O170-N170</f>
        <v>1</v>
      </c>
      <c r="P175" s="807">
        <f t="shared" si="221"/>
        <v>0</v>
      </c>
      <c r="Q175" s="807">
        <f t="shared" si="221"/>
        <v>0</v>
      </c>
      <c r="R175" s="456"/>
    </row>
    <row r="176" spans="2:18">
      <c r="B176" s="4" t="s">
        <v>268</v>
      </c>
      <c r="C176" s="806"/>
      <c r="D176" s="806"/>
      <c r="E176" s="806"/>
      <c r="F176" s="806"/>
      <c r="G176" s="806"/>
      <c r="H176" s="806"/>
      <c r="I176" s="806">
        <f>I171-H171</f>
        <v>0</v>
      </c>
      <c r="J176" s="806">
        <f t="shared" ref="J176" si="222">J171-I171</f>
        <v>0</v>
      </c>
      <c r="K176" s="807">
        <f t="shared" ref="K176:K178" si="223">M171-J171</f>
        <v>0</v>
      </c>
      <c r="L176" s="806">
        <v>0</v>
      </c>
      <c r="M176" s="806">
        <f t="shared" ref="M176:O176" si="224">M171-L171</f>
        <v>0</v>
      </c>
      <c r="N176" s="806">
        <f t="shared" si="224"/>
        <v>0</v>
      </c>
      <c r="O176" s="807">
        <f t="shared" si="224"/>
        <v>0</v>
      </c>
      <c r="P176" s="807">
        <f>P171-O171</f>
        <v>0</v>
      </c>
      <c r="Q176" s="807">
        <f t="shared" ref="Q176" si="225">Q171-P171</f>
        <v>0</v>
      </c>
      <c r="R176" s="456"/>
    </row>
    <row r="177" spans="2:18">
      <c r="B177" s="4" t="s">
        <v>276</v>
      </c>
      <c r="C177" s="806"/>
      <c r="D177" s="806"/>
      <c r="E177" s="806"/>
      <c r="F177" s="806"/>
      <c r="G177" s="806"/>
      <c r="H177" s="806"/>
      <c r="I177" s="806">
        <f t="shared" ref="I177:J177" si="226">I172-H172</f>
        <v>0</v>
      </c>
      <c r="J177" s="806">
        <f t="shared" si="226"/>
        <v>0</v>
      </c>
      <c r="K177" s="807">
        <f t="shared" si="223"/>
        <v>0</v>
      </c>
      <c r="L177" s="806">
        <v>0</v>
      </c>
      <c r="M177" s="806">
        <f t="shared" ref="M177:Q177" si="227">M172-L172</f>
        <v>0</v>
      </c>
      <c r="N177" s="806">
        <f t="shared" si="227"/>
        <v>0</v>
      </c>
      <c r="O177" s="807">
        <f>O172-N172</f>
        <v>40934.799999999996</v>
      </c>
      <c r="P177" s="807">
        <f>P172-O172</f>
        <v>13644.933333333327</v>
      </c>
      <c r="Q177" s="807">
        <f t="shared" si="227"/>
        <v>0</v>
      </c>
      <c r="R177" s="456"/>
    </row>
    <row r="178" spans="2:18">
      <c r="B178" s="495" t="s">
        <v>274</v>
      </c>
      <c r="C178" s="806"/>
      <c r="D178" s="806"/>
      <c r="E178" s="806"/>
      <c r="F178" s="806"/>
      <c r="G178" s="806"/>
      <c r="H178" s="806"/>
      <c r="I178" s="806">
        <f>IFERROR(I173/H168,0)</f>
        <v>0</v>
      </c>
      <c r="J178" s="806">
        <f>IFERROR(J173/I168,0)</f>
        <v>0</v>
      </c>
      <c r="K178" s="807">
        <f t="shared" si="223"/>
        <v>0</v>
      </c>
      <c r="L178" s="806">
        <v>0</v>
      </c>
      <c r="M178" s="806">
        <f t="shared" ref="M178:Q178" si="228">M173-L173</f>
        <v>0</v>
      </c>
      <c r="N178" s="806">
        <f t="shared" si="228"/>
        <v>0</v>
      </c>
      <c r="O178" s="807">
        <f t="shared" si="228"/>
        <v>0</v>
      </c>
      <c r="P178" s="807">
        <f t="shared" si="228"/>
        <v>0</v>
      </c>
      <c r="Q178" s="807">
        <f t="shared" si="228"/>
        <v>0</v>
      </c>
      <c r="R178" s="456"/>
    </row>
    <row r="179" spans="2:18">
      <c r="B179" s="495" t="s">
        <v>277</v>
      </c>
      <c r="C179" s="806"/>
      <c r="D179" s="806"/>
      <c r="E179" s="806"/>
      <c r="F179" s="806"/>
      <c r="G179" s="806"/>
      <c r="H179" s="806"/>
      <c r="I179" s="806">
        <f t="shared" ref="I179:J179" si="229">IFERROR(I174/H169,0)</f>
        <v>0</v>
      </c>
      <c r="J179" s="806">
        <f t="shared" si="229"/>
        <v>0</v>
      </c>
      <c r="K179" s="807">
        <f>M174-J174</f>
        <v>0</v>
      </c>
      <c r="L179" s="806">
        <v>0</v>
      </c>
      <c r="M179" s="806">
        <f t="shared" ref="M179:Q179" si="230">M174-L174</f>
        <v>0</v>
      </c>
      <c r="N179" s="806">
        <f t="shared" si="230"/>
        <v>0</v>
      </c>
      <c r="O179" s="807">
        <f t="shared" si="230"/>
        <v>40934.799999999996</v>
      </c>
      <c r="P179" s="807">
        <f t="shared" si="230"/>
        <v>13644.933333333327</v>
      </c>
      <c r="Q179" s="807">
        <f t="shared" si="230"/>
        <v>0</v>
      </c>
      <c r="R179" s="456"/>
    </row>
    <row r="180" spans="2:18">
      <c r="B180" s="4" t="s">
        <v>267</v>
      </c>
      <c r="C180" s="377"/>
      <c r="D180" s="376"/>
      <c r="E180" s="377"/>
      <c r="F180" s="376"/>
      <c r="G180" s="377"/>
      <c r="H180" s="376"/>
      <c r="I180" s="376">
        <f t="shared" ref="I180:K181" si="231">IFERROR(I175/H170,0)</f>
        <v>0</v>
      </c>
      <c r="J180" s="376">
        <f t="shared" si="231"/>
        <v>0</v>
      </c>
      <c r="K180" s="376">
        <f t="shared" si="231"/>
        <v>0</v>
      </c>
      <c r="L180" s="376">
        <f>IFERROR(L175/J170,0)</f>
        <v>0</v>
      </c>
      <c r="M180" s="376">
        <f t="shared" ref="M180:Q180" si="232">IFERROR(M175/L170,0)</f>
        <v>0</v>
      </c>
      <c r="N180" s="376">
        <f t="shared" si="232"/>
        <v>0</v>
      </c>
      <c r="O180" s="376">
        <f t="shared" si="232"/>
        <v>0</v>
      </c>
      <c r="P180" s="376">
        <f t="shared" si="232"/>
        <v>0</v>
      </c>
      <c r="Q180" s="376">
        <f t="shared" si="232"/>
        <v>0</v>
      </c>
      <c r="R180" s="456"/>
    </row>
    <row r="181" spans="2:18">
      <c r="B181" s="4" t="s">
        <v>269</v>
      </c>
      <c r="C181" s="377"/>
      <c r="D181" s="376"/>
      <c r="E181" s="377"/>
      <c r="F181" s="376"/>
      <c r="G181" s="377"/>
      <c r="H181" s="376"/>
      <c r="I181" s="376">
        <f t="shared" si="231"/>
        <v>0</v>
      </c>
      <c r="J181" s="376">
        <f t="shared" si="231"/>
        <v>0</v>
      </c>
      <c r="K181" s="376">
        <f t="shared" si="231"/>
        <v>0</v>
      </c>
      <c r="L181" s="376">
        <f>IFERROR(L176/J171,0)</f>
        <v>0</v>
      </c>
      <c r="M181" s="376">
        <f t="shared" ref="M181:Q181" si="233">IFERROR(M176/L171,0)</f>
        <v>0</v>
      </c>
      <c r="N181" s="376">
        <f t="shared" si="233"/>
        <v>0</v>
      </c>
      <c r="O181" s="376">
        <f t="shared" si="233"/>
        <v>0</v>
      </c>
      <c r="P181" s="376">
        <f t="shared" si="233"/>
        <v>0</v>
      </c>
      <c r="Q181" s="376">
        <f t="shared" si="233"/>
        <v>0</v>
      </c>
      <c r="R181" s="456"/>
    </row>
    <row r="182" spans="2:18">
      <c r="B182" s="4" t="s">
        <v>278</v>
      </c>
      <c r="C182" s="377"/>
      <c r="D182" s="376"/>
      <c r="E182" s="377"/>
      <c r="F182" s="376"/>
      <c r="G182" s="377"/>
      <c r="H182" s="376"/>
      <c r="I182" s="376">
        <f t="shared" ref="I182" si="234">IFERROR(I177/H172,0)</f>
        <v>0</v>
      </c>
      <c r="J182" s="376">
        <f t="shared" ref="J182:Q184" si="235">IFERROR(J177/I172,0)</f>
        <v>0</v>
      </c>
      <c r="K182" s="376">
        <f t="shared" si="235"/>
        <v>0</v>
      </c>
      <c r="L182" s="376">
        <f>IFERROR(L177/J172,0)</f>
        <v>0</v>
      </c>
      <c r="M182" s="376">
        <f t="shared" si="235"/>
        <v>0</v>
      </c>
      <c r="N182" s="376">
        <f t="shared" si="235"/>
        <v>0</v>
      </c>
      <c r="O182" s="376">
        <f t="shared" si="235"/>
        <v>0</v>
      </c>
      <c r="P182" s="376">
        <f t="shared" si="235"/>
        <v>0.3333333333333332</v>
      </c>
      <c r="Q182" s="376">
        <f t="shared" si="235"/>
        <v>0</v>
      </c>
      <c r="R182" s="456"/>
    </row>
    <row r="183" spans="2:18">
      <c r="B183" s="495" t="s">
        <v>271</v>
      </c>
      <c r="C183" s="377"/>
      <c r="D183" s="376"/>
      <c r="E183" s="377"/>
      <c r="F183" s="376"/>
      <c r="G183" s="377"/>
      <c r="H183" s="376"/>
      <c r="I183" s="376">
        <f t="shared" ref="I183" si="236">IFERROR(I178/H173,0)</f>
        <v>0</v>
      </c>
      <c r="J183" s="376">
        <f t="shared" ref="J183:Q183" si="237">IFERROR(J178/I173,0)</f>
        <v>0</v>
      </c>
      <c r="K183" s="376">
        <f t="shared" si="235"/>
        <v>0</v>
      </c>
      <c r="L183" s="376">
        <f>IFERROR(L178/J173,0)</f>
        <v>0</v>
      </c>
      <c r="M183" s="376">
        <f t="shared" si="237"/>
        <v>0</v>
      </c>
      <c r="N183" s="376">
        <f t="shared" si="237"/>
        <v>0</v>
      </c>
      <c r="O183" s="376">
        <f t="shared" si="237"/>
        <v>0</v>
      </c>
      <c r="P183" s="376">
        <f t="shared" si="237"/>
        <v>0</v>
      </c>
      <c r="Q183" s="376">
        <f t="shared" si="237"/>
        <v>0</v>
      </c>
      <c r="R183" s="456"/>
    </row>
    <row r="184" spans="2:18" ht="13.8" thickBot="1">
      <c r="B184" s="666" t="s">
        <v>279</v>
      </c>
      <c r="C184" s="803"/>
      <c r="D184" s="766"/>
      <c r="E184" s="803"/>
      <c r="F184" s="766"/>
      <c r="G184" s="803"/>
      <c r="H184" s="766"/>
      <c r="I184" s="766">
        <f t="shared" ref="I184" si="238">IFERROR(I179/H174,0)</f>
        <v>0</v>
      </c>
      <c r="J184" s="766">
        <f t="shared" ref="J184:Q184" si="239">IFERROR(J179/I174,0)</f>
        <v>0</v>
      </c>
      <c r="K184" s="766">
        <f t="shared" si="235"/>
        <v>0</v>
      </c>
      <c r="L184" s="766">
        <f>IFERROR(L179/J174,0)</f>
        <v>0</v>
      </c>
      <c r="M184" s="766">
        <f t="shared" si="239"/>
        <v>0</v>
      </c>
      <c r="N184" s="766">
        <f t="shared" si="239"/>
        <v>0</v>
      </c>
      <c r="O184" s="766">
        <f t="shared" si="239"/>
        <v>0</v>
      </c>
      <c r="P184" s="766">
        <f t="shared" si="239"/>
        <v>0.3333333333333332</v>
      </c>
      <c r="Q184" s="766">
        <f t="shared" si="239"/>
        <v>0</v>
      </c>
      <c r="R184" s="456"/>
    </row>
    <row r="185" spans="2:18">
      <c r="B185" s="179" t="s">
        <v>65</v>
      </c>
      <c r="C185" s="255"/>
      <c r="D185" s="255"/>
      <c r="E185" s="255"/>
      <c r="F185" s="255"/>
      <c r="G185" s="253"/>
      <c r="H185" s="255"/>
      <c r="I185" s="255"/>
      <c r="J185" s="255"/>
      <c r="K185" s="255"/>
      <c r="L185" s="255"/>
      <c r="M185" s="255"/>
      <c r="N185" s="773"/>
      <c r="O185" s="773"/>
      <c r="P185" s="773"/>
      <c r="Q185" s="773"/>
    </row>
    <row r="186" spans="2:18">
      <c r="B186" t="s">
        <v>143</v>
      </c>
      <c r="C186" s="776">
        <f t="shared" ref="C186:P186" si="240">SUM(C106,C90,C74,C58,C45,C35,C25,C128,C144,C154,C170)</f>
        <v>99744.083333333328</v>
      </c>
      <c r="D186" s="776">
        <f t="shared" si="240"/>
        <v>106597.5</v>
      </c>
      <c r="E186" s="776">
        <f t="shared" si="240"/>
        <v>113274.66666666667</v>
      </c>
      <c r="F186" s="776">
        <f t="shared" si="240"/>
        <v>118452.08333333334</v>
      </c>
      <c r="G186" s="776">
        <f t="shared" si="240"/>
        <v>123023.41666666666</v>
      </c>
      <c r="H186" s="776">
        <f t="shared" si="240"/>
        <v>128178.58333333333</v>
      </c>
      <c r="I186" s="776">
        <f>SUM(I106,I90,I74,I58,I45,I35,I25,I128,I144,I154,I170)</f>
        <v>130313.33333333333</v>
      </c>
      <c r="J186" s="776">
        <f t="shared" si="240"/>
        <v>132489.16666666669</v>
      </c>
      <c r="K186" s="776">
        <f t="shared" si="240"/>
        <v>0</v>
      </c>
      <c r="L186" s="776">
        <f>SUM(L106,L90,L74,L58,L45,L35,L25,L128,L144,L154,L170)</f>
        <v>134539.11991852472</v>
      </c>
      <c r="M186" s="776">
        <f t="shared" si="240"/>
        <v>136118.5</v>
      </c>
      <c r="N186" s="776">
        <f t="shared" si="240"/>
        <v>139740</v>
      </c>
      <c r="O186" s="776">
        <f t="shared" si="240"/>
        <v>143969.91666666669</v>
      </c>
      <c r="P186" s="776">
        <f t="shared" si="240"/>
        <v>147788.07161511492</v>
      </c>
      <c r="Q186" s="776">
        <f>SUM(Q106,Q90,Q74,Q58,Q45,Q35,Q25,Q128,Q144,Q154,Q170)</f>
        <v>151708.41850582566</v>
      </c>
    </row>
    <row r="187" spans="2:18">
      <c r="B187" t="s">
        <v>145</v>
      </c>
      <c r="C187" s="776">
        <f>SUM(C46,C108)</f>
        <v>20314.5</v>
      </c>
      <c r="D187" s="776">
        <f t="shared" ref="D187:Q187" si="241">SUM(D46,D108)</f>
        <v>20512.339216134995</v>
      </c>
      <c r="E187" s="776">
        <f t="shared" si="241"/>
        <v>20691.047760969832</v>
      </c>
      <c r="F187" s="776">
        <f t="shared" si="241"/>
        <v>20907.545243537166</v>
      </c>
      <c r="G187" s="776">
        <f t="shared" si="241"/>
        <v>21252.158642736078</v>
      </c>
      <c r="H187" s="776">
        <f t="shared" si="241"/>
        <v>21549.068636034099</v>
      </c>
      <c r="I187" s="776">
        <f>SUM(I46,I108)</f>
        <v>21744.909141258118</v>
      </c>
      <c r="J187" s="776">
        <f t="shared" si="241"/>
        <v>21983.721096265836</v>
      </c>
      <c r="K187" s="776">
        <f t="shared" si="241"/>
        <v>0</v>
      </c>
      <c r="L187" s="776">
        <f>SUM(L46,L108)</f>
        <v>22519.280909620047</v>
      </c>
      <c r="M187" s="776">
        <f t="shared" si="241"/>
        <v>22372.089232828359</v>
      </c>
      <c r="N187" s="776">
        <f t="shared" si="241"/>
        <v>22783.503098481306</v>
      </c>
      <c r="O187" s="776">
        <f t="shared" si="241"/>
        <v>23204.294472241156</v>
      </c>
      <c r="P187" s="776">
        <f t="shared" si="241"/>
        <v>23547.606208434387</v>
      </c>
      <c r="Q187" s="776">
        <f t="shared" si="241"/>
        <v>23896.281680722986</v>
      </c>
    </row>
    <row r="188" spans="2:18">
      <c r="B188" t="s">
        <v>144</v>
      </c>
      <c r="C188" s="814">
        <f t="shared" ref="C188:P188" si="242">SUM(C109,C91,C75,C59,C47,C36,C26,C129,C145,C171,)</f>
        <v>3329496978</v>
      </c>
      <c r="D188" s="814">
        <f t="shared" si="242"/>
        <v>3483144427</v>
      </c>
      <c r="E188" s="814">
        <f t="shared" si="242"/>
        <v>3723506554</v>
      </c>
      <c r="F188" s="814">
        <f t="shared" si="242"/>
        <v>3718723113.000001</v>
      </c>
      <c r="G188" s="814">
        <f t="shared" si="242"/>
        <v>3839000000</v>
      </c>
      <c r="H188" s="814">
        <f t="shared" si="242"/>
        <v>3791763566</v>
      </c>
      <c r="I188" s="814">
        <f>SUM(I109,I91,I75,I59,I47,I36,I26,I129,I145,I171,)</f>
        <v>3631910103.035718</v>
      </c>
      <c r="J188" s="814">
        <f t="shared" si="242"/>
        <v>3807772781.6170015</v>
      </c>
      <c r="K188" s="814">
        <f t="shared" ref="K188" si="243">SUM(K109,K91,K75,K59,K47,K36,K26,K129,K145,K171,)</f>
        <v>0</v>
      </c>
      <c r="L188" s="814">
        <f t="shared" si="242"/>
        <v>3850115760.1599708</v>
      </c>
      <c r="M188" s="814">
        <f t="shared" si="242"/>
        <v>3865234849.2617712</v>
      </c>
      <c r="N188" s="814">
        <f t="shared" si="242"/>
        <v>3909965087.9834805</v>
      </c>
      <c r="O188" s="814">
        <f t="shared" si="242"/>
        <v>3877058755.257412</v>
      </c>
      <c r="P188" s="814">
        <f t="shared" si="242"/>
        <v>3879975810.4150286</v>
      </c>
      <c r="Q188" s="814">
        <f>SUM(Q109,Q91,Q75,Q59,Q47,Q36,Q26,Q129,Q145,Q171,)</f>
        <v>3972635062.5123029</v>
      </c>
    </row>
    <row r="189" spans="2:18">
      <c r="B189" t="s">
        <v>149</v>
      </c>
      <c r="C189" s="776">
        <f>SUM(C110,C92,C76,C60,C130,C156,C172)</f>
        <v>5272572</v>
      </c>
      <c r="D189" s="776">
        <f t="shared" ref="D189:Q189" si="244">SUM(D110,D92,D76,D60,D130,D156,D172)</f>
        <v>5463110</v>
      </c>
      <c r="E189" s="776">
        <f t="shared" si="244"/>
        <v>5650636</v>
      </c>
      <c r="F189" s="776">
        <f t="shared" si="244"/>
        <v>5759975</v>
      </c>
      <c r="G189" s="776">
        <f t="shared" si="244"/>
        <v>5862835</v>
      </c>
      <c r="H189" s="776">
        <f t="shared" si="244"/>
        <v>5833524</v>
      </c>
      <c r="I189" s="776">
        <f t="shared" si="244"/>
        <v>5702850.5999999996</v>
      </c>
      <c r="J189" s="776">
        <f t="shared" si="244"/>
        <v>5775036.2000000002</v>
      </c>
      <c r="K189" s="776">
        <f t="shared" ref="K189" si="245">SUM(K110,K92,K76,K60,K130,K156,K172)</f>
        <v>0</v>
      </c>
      <c r="L189" s="776">
        <f t="shared" si="244"/>
        <v>5891392.6703263316</v>
      </c>
      <c r="M189" s="776">
        <f t="shared" si="244"/>
        <v>5836490.2300000004</v>
      </c>
      <c r="N189" s="776">
        <f t="shared" si="244"/>
        <v>5908276.2800000003</v>
      </c>
      <c r="O189" s="776">
        <f t="shared" si="244"/>
        <v>5963874.6699999999</v>
      </c>
      <c r="P189" s="776">
        <f t="shared" si="244"/>
        <v>5823957.4152080705</v>
      </c>
      <c r="Q189" s="776">
        <f t="shared" si="244"/>
        <v>5864284.2534289686</v>
      </c>
    </row>
    <row r="190" spans="2:18" ht="13.8" thickBot="1">
      <c r="B190" s="25"/>
      <c r="C190" s="774"/>
      <c r="D190" s="774"/>
      <c r="E190" s="774"/>
      <c r="F190" s="774"/>
      <c r="G190" s="774"/>
      <c r="H190" s="774"/>
      <c r="I190" s="774"/>
      <c r="J190" s="774"/>
      <c r="K190" s="774"/>
      <c r="L190" s="774"/>
      <c r="M190" s="774"/>
      <c r="N190" s="775"/>
      <c r="O190" s="775"/>
      <c r="P190" s="775"/>
      <c r="Q190" s="775"/>
    </row>
    <row r="191" spans="2:18"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772"/>
      <c r="O191" s="773"/>
      <c r="P191" s="773"/>
      <c r="Q191" s="773"/>
    </row>
    <row r="192" spans="2:18"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772"/>
      <c r="O192" s="773"/>
      <c r="P192" s="773"/>
      <c r="Q192" s="773"/>
    </row>
    <row r="193" spans="3:17"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776"/>
      <c r="N193" s="776"/>
      <c r="O193" s="776"/>
      <c r="P193" s="776"/>
      <c r="Q193" s="776"/>
    </row>
    <row r="194" spans="3:17"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776"/>
      <c r="N194" s="776"/>
      <c r="O194" s="776"/>
      <c r="P194" s="776"/>
      <c r="Q194" s="776"/>
    </row>
    <row r="195" spans="3:17"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</row>
    <row r="196" spans="3:17"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777"/>
      <c r="O196" s="253"/>
      <c r="P196" s="778"/>
      <c r="Q196" s="776"/>
    </row>
    <row r="197" spans="3:17"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779"/>
      <c r="O197" s="253"/>
      <c r="P197" s="253"/>
      <c r="Q197" s="776"/>
    </row>
    <row r="198" spans="3:17"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777"/>
      <c r="N198" s="777"/>
      <c r="O198" s="253"/>
      <c r="P198" s="253"/>
      <c r="Q198" s="253"/>
    </row>
    <row r="199" spans="3:17"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777"/>
      <c r="N199" s="777"/>
      <c r="O199" s="253"/>
      <c r="P199" s="253"/>
      <c r="Q199" s="255"/>
    </row>
    <row r="200" spans="3:17"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777"/>
      <c r="N200" s="777"/>
      <c r="O200" s="253"/>
      <c r="P200" s="253"/>
      <c r="Q200" s="253"/>
    </row>
    <row r="201" spans="3:17"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777"/>
      <c r="N201" s="777"/>
      <c r="O201" s="253"/>
      <c r="P201" s="253"/>
      <c r="Q201" s="253"/>
    </row>
    <row r="202" spans="3:17"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777"/>
      <c r="N202" s="777"/>
      <c r="O202" s="253"/>
      <c r="P202" s="253"/>
      <c r="Q202" s="253"/>
    </row>
    <row r="203" spans="3:17"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777"/>
      <c r="N203" s="777"/>
      <c r="O203" s="253"/>
      <c r="P203" s="253"/>
      <c r="Q203" s="253"/>
    </row>
    <row r="204" spans="3:17"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777"/>
      <c r="N204" s="777"/>
      <c r="O204" s="253"/>
      <c r="P204" s="253"/>
      <c r="Q204" s="253"/>
    </row>
    <row r="205" spans="3:17"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777"/>
      <c r="N205" s="777"/>
      <c r="O205" s="253"/>
      <c r="P205" s="253"/>
      <c r="Q205" s="253"/>
    </row>
    <row r="206" spans="3:17"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780"/>
      <c r="N206" s="780"/>
      <c r="O206" s="776"/>
      <c r="P206" s="776"/>
      <c r="Q206" s="776"/>
    </row>
  </sheetData>
  <mergeCells count="2">
    <mergeCell ref="C2:I2"/>
    <mergeCell ref="A1:Q1"/>
  </mergeCells>
  <pageMargins left="0.70866141732283472" right="0.70866141732283472" top="0.74803149606299213" bottom="0.74803149606299213" header="0.31496062992125984" footer="0.31496062992125984"/>
  <pageSetup scale="42" fitToWidth="5" fitToHeight="5" orientation="landscape" r:id="rId1"/>
  <rowBreaks count="2" manualBreakCount="2">
    <brk id="88" max="15" man="1"/>
    <brk id="152" max="15" man="1"/>
  </rowBreaks>
  <ignoredErrors>
    <ignoredError sqref="J15:P15 E111:Q112 M144:O144 M45:Q45 D107 E45:J45 E107:K107 M107:Q107 E108:K108 M108:Q108 E109:K109 M109:Q109 E110:K110 M110:Q110" formulaRange="1"/>
    <ignoredError sqref="L180:L184 L167:L168 L165:L166 M32:P32 J32 E32:I32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>
  <dimension ref="A1:Q72"/>
  <sheetViews>
    <sheetView zoomScale="90" zoomScaleNormal="90" workbookViewId="0">
      <pane xSplit="2" ySplit="3" topLeftCell="C49" activePane="bottomRight" state="frozen"/>
      <selection activeCell="H9" sqref="H9"/>
      <selection pane="topRight" activeCell="H9" sqref="H9"/>
      <selection pane="bottomLeft" activeCell="H9" sqref="H9"/>
      <selection pane="bottomRight" activeCell="E74" sqref="E74"/>
    </sheetView>
  </sheetViews>
  <sheetFormatPr defaultRowHeight="13.2"/>
  <cols>
    <col min="3" max="3" width="14.44140625" customWidth="1"/>
    <col min="4" max="4" width="12.109375" customWidth="1"/>
    <col min="5" max="5" width="13.6640625" customWidth="1"/>
    <col min="6" max="6" width="6.5546875" customWidth="1"/>
    <col min="7" max="7" width="13.88671875" bestFit="1" customWidth="1"/>
    <col min="8" max="8" width="12.33203125" bestFit="1" customWidth="1"/>
    <col min="9" max="9" width="13.33203125" customWidth="1"/>
    <col min="10" max="10" width="3" customWidth="1"/>
    <col min="11" max="11" width="11.6640625" bestFit="1" customWidth="1"/>
    <col min="12" max="12" width="13.5546875" customWidth="1"/>
    <col min="13" max="13" width="17.6640625" bestFit="1" customWidth="1"/>
    <col min="14" max="14" width="22.5546875" customWidth="1"/>
    <col min="15" max="15" width="12.88671875" bestFit="1" customWidth="1"/>
    <col min="16" max="16" width="12.6640625" bestFit="1" customWidth="1"/>
    <col min="17" max="17" width="9.109375" style="66"/>
  </cols>
  <sheetData>
    <row r="1" spans="1:16" ht="15.75" customHeight="1">
      <c r="A1" s="957" t="s">
        <v>230</v>
      </c>
      <c r="B1" s="957"/>
      <c r="C1" s="957"/>
      <c r="D1" s="957"/>
      <c r="E1" s="957"/>
      <c r="F1" s="957"/>
      <c r="G1" s="957"/>
      <c r="H1" s="957"/>
      <c r="I1" s="957"/>
      <c r="J1" s="957"/>
      <c r="K1" s="957"/>
      <c r="L1" s="855"/>
    </row>
    <row r="2" spans="1:16">
      <c r="A2" s="815"/>
      <c r="B2" s="815"/>
      <c r="C2" s="956" t="s">
        <v>192</v>
      </c>
      <c r="D2" s="956"/>
      <c r="E2" s="956"/>
      <c r="F2" s="815"/>
      <c r="G2" s="956" t="s">
        <v>207</v>
      </c>
      <c r="H2" s="956"/>
      <c r="I2" s="956"/>
      <c r="J2" s="856"/>
      <c r="K2" s="815"/>
    </row>
    <row r="3" spans="1:16" ht="14.4">
      <c r="A3" s="862" t="s">
        <v>15</v>
      </c>
      <c r="B3" s="862" t="s">
        <v>193</v>
      </c>
      <c r="C3" s="851" t="s">
        <v>169</v>
      </c>
      <c r="D3" s="851" t="s">
        <v>170</v>
      </c>
      <c r="E3" s="851" t="s">
        <v>65</v>
      </c>
      <c r="F3" s="851"/>
      <c r="G3" s="851" t="s">
        <v>169</v>
      </c>
      <c r="H3" s="851" t="s">
        <v>170</v>
      </c>
      <c r="I3" s="851" t="s">
        <v>65</v>
      </c>
      <c r="J3" s="851"/>
      <c r="K3" s="851" t="s">
        <v>96</v>
      </c>
      <c r="L3" s="1"/>
      <c r="M3" s="1"/>
    </row>
    <row r="4" spans="1:16" ht="14.4">
      <c r="A4" s="857">
        <v>2011</v>
      </c>
      <c r="B4" s="858" t="s">
        <v>180</v>
      </c>
      <c r="C4" s="817">
        <f>(G4*K4)</f>
        <v>0</v>
      </c>
      <c r="D4" s="817">
        <f t="shared" ref="D4:D35" si="0">(H4*K4)</f>
        <v>0</v>
      </c>
      <c r="E4" s="817">
        <f t="shared" ref="E4:E35" si="1">SUM(C4:D4)</f>
        <v>0</v>
      </c>
      <c r="F4" s="817"/>
      <c r="G4" s="817"/>
      <c r="H4" s="817"/>
      <c r="I4" s="817">
        <f t="shared" ref="I4:I35" si="2">SUM(G4:H4)</f>
        <v>0</v>
      </c>
      <c r="J4" s="815"/>
      <c r="K4" s="815">
        <v>1.034</v>
      </c>
    </row>
    <row r="5" spans="1:16" ht="14.4">
      <c r="A5" s="857">
        <f>A4+0</f>
        <v>2011</v>
      </c>
      <c r="B5" s="858" t="s">
        <v>181</v>
      </c>
      <c r="C5" s="817">
        <f t="shared" ref="C5:C35" si="3">(G5*K5)</f>
        <v>0</v>
      </c>
      <c r="D5" s="817">
        <f t="shared" si="0"/>
        <v>0</v>
      </c>
      <c r="E5" s="817">
        <f t="shared" si="1"/>
        <v>0</v>
      </c>
      <c r="F5" s="817"/>
      <c r="G5" s="817"/>
      <c r="H5" s="817"/>
      <c r="I5" s="817">
        <f t="shared" si="2"/>
        <v>0</v>
      </c>
      <c r="J5" s="815"/>
      <c r="K5" s="815">
        <v>1.034</v>
      </c>
    </row>
    <row r="6" spans="1:16" ht="14.4">
      <c r="A6" s="857">
        <f t="shared" ref="A6:A15" si="4">A5+0</f>
        <v>2011</v>
      </c>
      <c r="B6" s="858" t="s">
        <v>182</v>
      </c>
      <c r="C6" s="817">
        <f t="shared" si="3"/>
        <v>0</v>
      </c>
      <c r="D6" s="817">
        <f t="shared" si="0"/>
        <v>0</v>
      </c>
      <c r="E6" s="817">
        <f t="shared" si="1"/>
        <v>0</v>
      </c>
      <c r="F6" s="817"/>
      <c r="G6" s="817"/>
      <c r="H6" s="817"/>
      <c r="I6" s="817">
        <f t="shared" si="2"/>
        <v>0</v>
      </c>
      <c r="J6" s="815"/>
      <c r="K6" s="815">
        <v>1.034</v>
      </c>
    </row>
    <row r="7" spans="1:16" ht="14.4">
      <c r="A7" s="857">
        <f t="shared" si="4"/>
        <v>2011</v>
      </c>
      <c r="B7" s="858" t="s">
        <v>183</v>
      </c>
      <c r="C7" s="817">
        <f t="shared" si="3"/>
        <v>0</v>
      </c>
      <c r="D7" s="817">
        <f t="shared" si="0"/>
        <v>0</v>
      </c>
      <c r="E7" s="817">
        <f t="shared" si="1"/>
        <v>0</v>
      </c>
      <c r="F7" s="817"/>
      <c r="G7" s="817"/>
      <c r="H7" s="817"/>
      <c r="I7" s="817">
        <f t="shared" si="2"/>
        <v>0</v>
      </c>
      <c r="J7" s="815"/>
      <c r="K7" s="815">
        <v>1.034</v>
      </c>
    </row>
    <row r="8" spans="1:16" ht="14.4">
      <c r="A8" s="857">
        <f t="shared" si="4"/>
        <v>2011</v>
      </c>
      <c r="B8" s="858" t="s">
        <v>184</v>
      </c>
      <c r="C8" s="817">
        <f>(G8*K8)</f>
        <v>3287402.7348799999</v>
      </c>
      <c r="D8" s="817">
        <f t="shared" si="0"/>
        <v>0</v>
      </c>
      <c r="E8" s="817">
        <f>SUM(C8:D8)</f>
        <v>3287402.7348799999</v>
      </c>
      <c r="F8" s="817"/>
      <c r="G8" s="817">
        <v>3179306.32</v>
      </c>
      <c r="H8" s="817">
        <v>0</v>
      </c>
      <c r="I8" s="817">
        <f>SUM(G8:H8)</f>
        <v>3179306.32</v>
      </c>
      <c r="J8" s="815"/>
      <c r="K8" s="815">
        <v>1.034</v>
      </c>
      <c r="P8" s="587"/>
    </row>
    <row r="9" spans="1:16" ht="14.4">
      <c r="A9" s="857">
        <f t="shared" si="4"/>
        <v>2011</v>
      </c>
      <c r="B9" s="858" t="s">
        <v>185</v>
      </c>
      <c r="C9" s="817">
        <f t="shared" si="3"/>
        <v>3439221.7391400002</v>
      </c>
      <c r="D9" s="817">
        <f t="shared" si="0"/>
        <v>0</v>
      </c>
      <c r="E9" s="817">
        <f t="shared" si="1"/>
        <v>3439221.7391400002</v>
      </c>
      <c r="F9" s="817"/>
      <c r="G9" s="817">
        <v>3326133.21</v>
      </c>
      <c r="H9" s="817">
        <v>0</v>
      </c>
      <c r="I9" s="817">
        <f>SUM(G9:H9)</f>
        <v>3326133.21</v>
      </c>
      <c r="J9" s="815"/>
      <c r="K9" s="815">
        <v>1.034</v>
      </c>
      <c r="P9" s="587"/>
    </row>
    <row r="10" spans="1:16" ht="14.4">
      <c r="A10" s="857">
        <f t="shared" si="4"/>
        <v>2011</v>
      </c>
      <c r="B10" s="858" t="s">
        <v>186</v>
      </c>
      <c r="C10" s="817">
        <f t="shared" si="3"/>
        <v>3630411.3170599998</v>
      </c>
      <c r="D10" s="817">
        <f t="shared" si="0"/>
        <v>0</v>
      </c>
      <c r="E10" s="817">
        <f t="shared" si="1"/>
        <v>3630411.3170599998</v>
      </c>
      <c r="F10" s="817"/>
      <c r="G10" s="817">
        <v>3511036.09</v>
      </c>
      <c r="H10" s="817">
        <v>0</v>
      </c>
      <c r="I10" s="817">
        <f>SUM(G10:H10)</f>
        <v>3511036.09</v>
      </c>
      <c r="J10" s="815"/>
      <c r="K10" s="815">
        <v>1.034</v>
      </c>
      <c r="P10" s="587"/>
    </row>
    <row r="11" spans="1:16" ht="14.4">
      <c r="A11" s="857">
        <f t="shared" si="4"/>
        <v>2011</v>
      </c>
      <c r="B11" s="858" t="s">
        <v>187</v>
      </c>
      <c r="C11" s="817">
        <f t="shared" si="3"/>
        <v>4085774.4736600001</v>
      </c>
      <c r="D11" s="817">
        <f t="shared" si="0"/>
        <v>0</v>
      </c>
      <c r="E11" s="817">
        <f t="shared" si="1"/>
        <v>4085774.4736600001</v>
      </c>
      <c r="F11" s="817"/>
      <c r="G11" s="817">
        <v>3951425.99</v>
      </c>
      <c r="H11" s="817">
        <v>0</v>
      </c>
      <c r="I11" s="817">
        <f>SUM(G11:H11)</f>
        <v>3951425.99</v>
      </c>
      <c r="J11" s="815"/>
      <c r="K11" s="815">
        <v>1.034</v>
      </c>
      <c r="P11" s="587"/>
    </row>
    <row r="12" spans="1:16" ht="14.4">
      <c r="A12" s="857">
        <f t="shared" si="4"/>
        <v>2011</v>
      </c>
      <c r="B12" s="858" t="s">
        <v>188</v>
      </c>
      <c r="C12" s="817">
        <f t="shared" si="3"/>
        <v>3958782.9468000005</v>
      </c>
      <c r="D12" s="817">
        <f t="shared" si="0"/>
        <v>0</v>
      </c>
      <c r="E12" s="817">
        <f t="shared" si="1"/>
        <v>3958782.9468000005</v>
      </c>
      <c r="F12" s="817"/>
      <c r="G12" s="817">
        <v>3828610.2</v>
      </c>
      <c r="H12" s="817">
        <v>0</v>
      </c>
      <c r="I12" s="817">
        <f>SUM(G12:H12)</f>
        <v>3828610.2</v>
      </c>
      <c r="J12" s="815"/>
      <c r="K12" s="815">
        <v>1.034</v>
      </c>
      <c r="P12" s="587"/>
    </row>
    <row r="13" spans="1:16" ht="14.4">
      <c r="A13" s="857">
        <f t="shared" si="4"/>
        <v>2011</v>
      </c>
      <c r="B13" s="858" t="s">
        <v>189</v>
      </c>
      <c r="C13" s="817">
        <f t="shared" si="3"/>
        <v>4062529.7504000003</v>
      </c>
      <c r="D13" s="817">
        <f t="shared" si="0"/>
        <v>0</v>
      </c>
      <c r="E13" s="817">
        <f t="shared" si="1"/>
        <v>4062529.7504000003</v>
      </c>
      <c r="F13" s="817"/>
      <c r="G13" s="817">
        <v>3928945.6</v>
      </c>
      <c r="H13" s="817">
        <v>0</v>
      </c>
      <c r="I13" s="817">
        <f t="shared" si="2"/>
        <v>3928945.6</v>
      </c>
      <c r="J13" s="815"/>
      <c r="K13" s="815">
        <v>1.034</v>
      </c>
      <c r="P13" s="587"/>
    </row>
    <row r="14" spans="1:16" ht="14.4">
      <c r="A14" s="857">
        <f t="shared" si="4"/>
        <v>2011</v>
      </c>
      <c r="B14" s="858" t="s">
        <v>190</v>
      </c>
      <c r="C14" s="817">
        <f t="shared" si="3"/>
        <v>4192028.2412800002</v>
      </c>
      <c r="D14" s="817">
        <f t="shared" si="0"/>
        <v>0</v>
      </c>
      <c r="E14" s="817">
        <f t="shared" si="1"/>
        <v>4192028.2412800002</v>
      </c>
      <c r="F14" s="817"/>
      <c r="G14" s="817">
        <v>4054185.92</v>
      </c>
      <c r="H14" s="817">
        <v>0</v>
      </c>
      <c r="I14" s="817">
        <f t="shared" si="2"/>
        <v>4054185.92</v>
      </c>
      <c r="J14" s="815"/>
      <c r="K14" s="815">
        <v>1.034</v>
      </c>
      <c r="P14" s="587"/>
    </row>
    <row r="15" spans="1:16" s="66" customFormat="1" ht="14.4">
      <c r="A15" s="859">
        <f t="shared" si="4"/>
        <v>2011</v>
      </c>
      <c r="B15" s="860" t="s">
        <v>191</v>
      </c>
      <c r="C15" s="820">
        <f t="shared" si="3"/>
        <v>3934475.9643200003</v>
      </c>
      <c r="D15" s="820">
        <f t="shared" si="0"/>
        <v>0</v>
      </c>
      <c r="E15" s="820">
        <f t="shared" si="1"/>
        <v>3934475.9643200003</v>
      </c>
      <c r="F15" s="820"/>
      <c r="G15" s="820">
        <v>3805102.48</v>
      </c>
      <c r="H15" s="820">
        <v>0</v>
      </c>
      <c r="I15" s="820">
        <f t="shared" si="2"/>
        <v>3805102.48</v>
      </c>
      <c r="J15" s="818"/>
      <c r="K15" s="818">
        <v>1.034</v>
      </c>
      <c r="P15" s="854"/>
    </row>
    <row r="16" spans="1:16" ht="14.4">
      <c r="A16" s="857">
        <f>A15+1</f>
        <v>2012</v>
      </c>
      <c r="B16" s="858" t="s">
        <v>180</v>
      </c>
      <c r="C16" s="817">
        <f t="shared" si="3"/>
        <v>3723587.1043799999</v>
      </c>
      <c r="D16" s="817">
        <f t="shared" si="0"/>
        <v>0</v>
      </c>
      <c r="E16" s="817">
        <f t="shared" si="1"/>
        <v>3723587.1043799999</v>
      </c>
      <c r="F16" s="817"/>
      <c r="G16" s="817">
        <v>3601148.07</v>
      </c>
      <c r="H16" s="817">
        <v>0</v>
      </c>
      <c r="I16" s="817">
        <f t="shared" si="2"/>
        <v>3601148.07</v>
      </c>
      <c r="J16" s="815"/>
      <c r="K16" s="815">
        <v>1.034</v>
      </c>
      <c r="M16" s="36"/>
      <c r="P16" s="587"/>
    </row>
    <row r="17" spans="1:16" ht="14.4">
      <c r="A17" s="857">
        <f>A16+0</f>
        <v>2012</v>
      </c>
      <c r="B17" s="858" t="s">
        <v>181</v>
      </c>
      <c r="C17" s="817">
        <f t="shared" si="3"/>
        <v>3294699.2903000005</v>
      </c>
      <c r="D17" s="817">
        <f t="shared" si="0"/>
        <v>0</v>
      </c>
      <c r="E17" s="817">
        <f t="shared" si="1"/>
        <v>3294699.2903000005</v>
      </c>
      <c r="F17" s="817"/>
      <c r="G17" s="817">
        <v>3186362.95</v>
      </c>
      <c r="H17" s="817">
        <v>0</v>
      </c>
      <c r="I17" s="817">
        <f t="shared" si="2"/>
        <v>3186362.95</v>
      </c>
      <c r="J17" s="815"/>
      <c r="K17" s="815">
        <v>1.034</v>
      </c>
      <c r="M17" s="36"/>
      <c r="P17" s="587"/>
    </row>
    <row r="18" spans="1:16" ht="14.4">
      <c r="A18" s="857">
        <f t="shared" ref="A18:A27" si="5">A17+0</f>
        <v>2012</v>
      </c>
      <c r="B18" s="858" t="s">
        <v>182</v>
      </c>
      <c r="C18" s="817">
        <f t="shared" si="3"/>
        <v>4066062.2769800005</v>
      </c>
      <c r="D18" s="817">
        <f t="shared" si="0"/>
        <v>0</v>
      </c>
      <c r="E18" s="817">
        <f t="shared" si="1"/>
        <v>4066062.2769800005</v>
      </c>
      <c r="F18" s="817"/>
      <c r="G18" s="817">
        <v>3932361.97</v>
      </c>
      <c r="H18" s="817">
        <v>0</v>
      </c>
      <c r="I18" s="817">
        <f t="shared" si="2"/>
        <v>3932361.97</v>
      </c>
      <c r="J18" s="815"/>
      <c r="K18" s="815">
        <v>1.034</v>
      </c>
      <c r="M18" s="36"/>
      <c r="P18" s="587"/>
    </row>
    <row r="19" spans="1:16" ht="14.4">
      <c r="A19" s="857">
        <f t="shared" si="5"/>
        <v>2012</v>
      </c>
      <c r="B19" s="858" t="s">
        <v>183</v>
      </c>
      <c r="C19" s="817">
        <f t="shared" si="3"/>
        <v>3975605.3616400003</v>
      </c>
      <c r="D19" s="817">
        <f t="shared" si="0"/>
        <v>373674.44752000005</v>
      </c>
      <c r="E19" s="817">
        <f t="shared" si="1"/>
        <v>4349279.8091600006</v>
      </c>
      <c r="F19" s="817"/>
      <c r="G19" s="817">
        <v>3844879.46</v>
      </c>
      <c r="H19" s="817">
        <v>361387.28</v>
      </c>
      <c r="I19" s="817">
        <f>SUM(G19:H19)</f>
        <v>4206266.74</v>
      </c>
      <c r="J19" s="815"/>
      <c r="K19" s="815">
        <v>1.034</v>
      </c>
      <c r="M19" s="36"/>
      <c r="P19" s="587"/>
    </row>
    <row r="20" spans="1:16" ht="14.4">
      <c r="A20" s="857">
        <f t="shared" si="5"/>
        <v>2012</v>
      </c>
      <c r="B20" s="858" t="s">
        <v>184</v>
      </c>
      <c r="C20" s="817">
        <f t="shared" si="3"/>
        <v>3946524.70102</v>
      </c>
      <c r="D20" s="817">
        <f t="shared" si="0"/>
        <v>424331.30696000002</v>
      </c>
      <c r="E20" s="817">
        <f t="shared" si="1"/>
        <v>4370856.0079800002</v>
      </c>
      <c r="F20" s="817"/>
      <c r="G20" s="817">
        <v>3816755.03</v>
      </c>
      <c r="H20" s="817">
        <v>410378.44</v>
      </c>
      <c r="I20" s="817">
        <f t="shared" si="2"/>
        <v>4227133.47</v>
      </c>
      <c r="J20" s="815"/>
      <c r="K20" s="815">
        <v>1.034</v>
      </c>
      <c r="M20" s="36"/>
      <c r="N20" s="36"/>
      <c r="P20" s="587"/>
    </row>
    <row r="21" spans="1:16" ht="14.4">
      <c r="A21" s="857">
        <f t="shared" si="5"/>
        <v>2012</v>
      </c>
      <c r="B21" s="858" t="s">
        <v>185</v>
      </c>
      <c r="C21" s="817">
        <f t="shared" si="3"/>
        <v>3955512.4151400002</v>
      </c>
      <c r="D21" s="817">
        <f t="shared" si="0"/>
        <v>434879.00654000003</v>
      </c>
      <c r="E21" s="817">
        <f t="shared" si="1"/>
        <v>4390391.4216800006</v>
      </c>
      <c r="F21" s="817"/>
      <c r="G21" s="817">
        <v>3825447.21</v>
      </c>
      <c r="H21" s="817">
        <v>420579.31</v>
      </c>
      <c r="I21" s="817">
        <f t="shared" si="2"/>
        <v>4246026.5199999996</v>
      </c>
      <c r="J21" s="815"/>
      <c r="K21" s="815">
        <v>1.034</v>
      </c>
      <c r="M21" s="36"/>
      <c r="N21" s="36"/>
      <c r="P21" s="587"/>
    </row>
    <row r="22" spans="1:16" ht="14.4">
      <c r="A22" s="857">
        <f t="shared" si="5"/>
        <v>2012</v>
      </c>
      <c r="B22" s="858" t="s">
        <v>186</v>
      </c>
      <c r="C22" s="817">
        <f t="shared" si="3"/>
        <v>4367035.4813800007</v>
      </c>
      <c r="D22" s="817">
        <f t="shared" si="0"/>
        <v>467198.81692000001</v>
      </c>
      <c r="E22" s="817">
        <f t="shared" si="1"/>
        <v>4834234.2983000008</v>
      </c>
      <c r="F22" s="817"/>
      <c r="G22" s="817">
        <v>4223438.57</v>
      </c>
      <c r="H22" s="817">
        <v>451836.38</v>
      </c>
      <c r="I22" s="817">
        <f t="shared" si="2"/>
        <v>4675274.95</v>
      </c>
      <c r="J22" s="815"/>
      <c r="K22" s="815">
        <v>1.034</v>
      </c>
      <c r="M22" s="36"/>
      <c r="N22" s="36"/>
      <c r="P22" s="587"/>
    </row>
    <row r="23" spans="1:16" ht="14.4">
      <c r="A23" s="857">
        <f t="shared" si="5"/>
        <v>2012</v>
      </c>
      <c r="B23" s="858" t="s">
        <v>187</v>
      </c>
      <c r="C23" s="817">
        <f t="shared" si="3"/>
        <v>4472249.3552000001</v>
      </c>
      <c r="D23" s="817">
        <f t="shared" si="0"/>
        <v>441645.47152000002</v>
      </c>
      <c r="E23" s="817">
        <f t="shared" si="1"/>
        <v>4913894.8267200002</v>
      </c>
      <c r="F23" s="817"/>
      <c r="G23" s="817">
        <v>4325192.8</v>
      </c>
      <c r="H23" s="817">
        <v>427123.28</v>
      </c>
      <c r="I23" s="817">
        <f t="shared" si="2"/>
        <v>4752316.08</v>
      </c>
      <c r="J23" s="815"/>
      <c r="K23" s="815">
        <v>1.034</v>
      </c>
      <c r="M23" s="36"/>
      <c r="N23" s="36"/>
      <c r="P23" s="587"/>
    </row>
    <row r="24" spans="1:16" ht="14.4">
      <c r="A24" s="857">
        <f t="shared" si="5"/>
        <v>2012</v>
      </c>
      <c r="B24" s="858" t="s">
        <v>188</v>
      </c>
      <c r="C24" s="817">
        <f t="shared" si="3"/>
        <v>4404641.2962199999</v>
      </c>
      <c r="D24" s="817">
        <f t="shared" si="0"/>
        <v>376644.75728000002</v>
      </c>
      <c r="E24" s="817">
        <f t="shared" si="1"/>
        <v>4781286.0535000004</v>
      </c>
      <c r="F24" s="817"/>
      <c r="G24" s="817">
        <v>4259807.83</v>
      </c>
      <c r="H24" s="817">
        <v>364259.92</v>
      </c>
      <c r="I24" s="817">
        <f t="shared" si="2"/>
        <v>4624067.75</v>
      </c>
      <c r="J24" s="815"/>
      <c r="K24" s="815">
        <v>1.034</v>
      </c>
      <c r="M24" s="455"/>
      <c r="N24" s="36"/>
      <c r="P24" s="587"/>
    </row>
    <row r="25" spans="1:16" ht="14.4">
      <c r="A25" s="857">
        <f t="shared" si="5"/>
        <v>2012</v>
      </c>
      <c r="B25" s="858" t="s">
        <v>189</v>
      </c>
      <c r="C25" s="817">
        <f t="shared" si="3"/>
        <v>4606891.3136400003</v>
      </c>
      <c r="D25" s="817">
        <f t="shared" si="0"/>
        <v>358700.60754</v>
      </c>
      <c r="E25" s="817">
        <f t="shared" si="1"/>
        <v>4965591.9211800005</v>
      </c>
      <c r="F25" s="817"/>
      <c r="G25" s="817">
        <v>4455407.46</v>
      </c>
      <c r="H25" s="817">
        <v>346905.81</v>
      </c>
      <c r="I25" s="817">
        <f t="shared" si="2"/>
        <v>4802313.2699999996</v>
      </c>
      <c r="J25" s="815"/>
      <c r="K25" s="815">
        <v>1.034</v>
      </c>
      <c r="M25" s="36"/>
      <c r="N25" s="36"/>
      <c r="P25" s="587"/>
    </row>
    <row r="26" spans="1:16" ht="14.4">
      <c r="A26" s="857">
        <f t="shared" si="5"/>
        <v>2012</v>
      </c>
      <c r="B26" s="858" t="s">
        <v>190</v>
      </c>
      <c r="C26" s="817">
        <f t="shared" si="3"/>
        <v>4564233.9538399996</v>
      </c>
      <c r="D26" s="817">
        <f t="shared" si="0"/>
        <v>335985.24057999998</v>
      </c>
      <c r="E26" s="817">
        <f t="shared" si="1"/>
        <v>4900219.1944199996</v>
      </c>
      <c r="F26" s="817"/>
      <c r="G26" s="817">
        <v>4414152.76</v>
      </c>
      <c r="H26" s="817">
        <v>324937.37</v>
      </c>
      <c r="I26" s="817">
        <f t="shared" si="2"/>
        <v>4739090.13</v>
      </c>
      <c r="J26" s="815"/>
      <c r="K26" s="815">
        <v>1.034</v>
      </c>
      <c r="M26" s="36"/>
      <c r="N26" s="36"/>
      <c r="P26" s="587"/>
    </row>
    <row r="27" spans="1:16" s="66" customFormat="1" ht="14.4">
      <c r="A27" s="859">
        <f t="shared" si="5"/>
        <v>2012</v>
      </c>
      <c r="B27" s="860" t="s">
        <v>191</v>
      </c>
      <c r="C27" s="820">
        <f t="shared" si="3"/>
        <v>3704664.3667000001</v>
      </c>
      <c r="D27" s="820">
        <f t="shared" si="0"/>
        <v>355286.50497999997</v>
      </c>
      <c r="E27" s="820">
        <f t="shared" si="1"/>
        <v>4059950.8716799999</v>
      </c>
      <c r="F27" s="820"/>
      <c r="G27" s="820">
        <v>3582847.55</v>
      </c>
      <c r="H27" s="820">
        <v>343603.97</v>
      </c>
      <c r="I27" s="820">
        <f t="shared" si="2"/>
        <v>3926451.5199999996</v>
      </c>
      <c r="J27" s="818"/>
      <c r="K27" s="818">
        <v>1.034</v>
      </c>
      <c r="M27" s="577"/>
      <c r="N27" s="577"/>
      <c r="P27" s="854"/>
    </row>
    <row r="28" spans="1:16" ht="14.4">
      <c r="A28" s="857">
        <f>A27+1</f>
        <v>2013</v>
      </c>
      <c r="B28" s="858" t="s">
        <v>180</v>
      </c>
      <c r="C28" s="817">
        <f t="shared" si="3"/>
        <v>4290598.57204</v>
      </c>
      <c r="D28" s="817">
        <f t="shared" si="0"/>
        <v>349484.46214000002</v>
      </c>
      <c r="E28" s="817">
        <f t="shared" si="1"/>
        <v>4640083.0341800004</v>
      </c>
      <c r="F28" s="817"/>
      <c r="G28" s="817">
        <v>4149515.06</v>
      </c>
      <c r="H28" s="817">
        <v>337992.71</v>
      </c>
      <c r="I28" s="817">
        <f>SUM(G28:H28)</f>
        <v>4487507.7700000005</v>
      </c>
      <c r="J28" s="815"/>
      <c r="K28" s="815">
        <v>1.034</v>
      </c>
      <c r="M28" s="36"/>
      <c r="N28" s="36"/>
      <c r="P28" s="587"/>
    </row>
    <row r="29" spans="1:16" ht="14.4">
      <c r="A29" s="857">
        <f>A28+0</f>
        <v>2013</v>
      </c>
      <c r="B29" s="858" t="s">
        <v>181</v>
      </c>
      <c r="C29" s="817">
        <f t="shared" si="3"/>
        <v>3671864.7286200002</v>
      </c>
      <c r="D29" s="817">
        <f t="shared" si="0"/>
        <v>310532.28623999999</v>
      </c>
      <c r="E29" s="817">
        <f t="shared" si="1"/>
        <v>3982397.01486</v>
      </c>
      <c r="F29" s="817"/>
      <c r="G29" s="817">
        <v>3551126.43</v>
      </c>
      <c r="H29" s="817">
        <v>300321.36</v>
      </c>
      <c r="I29" s="817">
        <f t="shared" si="2"/>
        <v>3851447.79</v>
      </c>
      <c r="J29" s="815"/>
      <c r="K29" s="815">
        <v>1.034</v>
      </c>
      <c r="M29" s="36"/>
      <c r="N29" s="36"/>
      <c r="P29" s="587"/>
    </row>
    <row r="30" spans="1:16" ht="14.4">
      <c r="A30" s="857">
        <f t="shared" ref="A30:A39" si="6">A29+0</f>
        <v>2013</v>
      </c>
      <c r="B30" s="858" t="s">
        <v>182</v>
      </c>
      <c r="C30" s="817">
        <f t="shared" si="3"/>
        <v>4308805.4094799999</v>
      </c>
      <c r="D30" s="817">
        <f t="shared" si="0"/>
        <v>334433.40304</v>
      </c>
      <c r="E30" s="817">
        <f t="shared" si="1"/>
        <v>4643238.8125200002</v>
      </c>
      <c r="F30" s="817"/>
      <c r="G30" s="817">
        <v>4167123.22</v>
      </c>
      <c r="H30" s="817">
        <v>323436.56</v>
      </c>
      <c r="I30" s="817">
        <f t="shared" si="2"/>
        <v>4490559.78</v>
      </c>
      <c r="J30" s="815"/>
      <c r="K30" s="815">
        <v>1.034</v>
      </c>
      <c r="M30" s="36"/>
      <c r="N30" s="36"/>
      <c r="P30" s="587"/>
    </row>
    <row r="31" spans="1:16" ht="14.4">
      <c r="A31" s="857">
        <f t="shared" si="6"/>
        <v>2013</v>
      </c>
      <c r="B31" s="858" t="s">
        <v>183</v>
      </c>
      <c r="C31" s="817">
        <f t="shared" si="3"/>
        <v>4456984.0513000004</v>
      </c>
      <c r="D31" s="817">
        <f t="shared" si="0"/>
        <v>338658.29602000007</v>
      </c>
      <c r="E31" s="817">
        <f t="shared" si="1"/>
        <v>4795642.3473200006</v>
      </c>
      <c r="F31" s="817"/>
      <c r="G31" s="817">
        <v>4310429.45</v>
      </c>
      <c r="H31" s="817">
        <v>327522.53000000003</v>
      </c>
      <c r="I31" s="817">
        <f t="shared" si="2"/>
        <v>4637951.9800000004</v>
      </c>
      <c r="J31" s="815"/>
      <c r="K31" s="815">
        <v>1.034</v>
      </c>
      <c r="M31" s="36"/>
      <c r="N31" s="36"/>
      <c r="P31" s="587"/>
    </row>
    <row r="32" spans="1:16" ht="14.4">
      <c r="A32" s="857">
        <f t="shared" si="6"/>
        <v>2013</v>
      </c>
      <c r="B32" s="858" t="s">
        <v>184</v>
      </c>
      <c r="C32" s="817">
        <f t="shared" si="3"/>
        <v>4332483.2164020017</v>
      </c>
      <c r="D32" s="817">
        <f t="shared" si="0"/>
        <v>393636.83807799994</v>
      </c>
      <c r="E32" s="817">
        <f t="shared" si="1"/>
        <v>4726120.0544800013</v>
      </c>
      <c r="F32" s="817"/>
      <c r="G32" s="861">
        <v>4190022.4530000011</v>
      </c>
      <c r="H32" s="861">
        <v>380693.26699999993</v>
      </c>
      <c r="I32" s="817">
        <f t="shared" si="2"/>
        <v>4570715.7200000007</v>
      </c>
      <c r="J32" s="815"/>
      <c r="K32" s="815">
        <v>1.034</v>
      </c>
      <c r="M32" s="36"/>
      <c r="N32" s="36"/>
      <c r="O32" s="432"/>
      <c r="P32" s="587"/>
    </row>
    <row r="33" spans="1:16" ht="14.4">
      <c r="A33" s="857">
        <f t="shared" si="6"/>
        <v>2013</v>
      </c>
      <c r="B33" s="858" t="s">
        <v>185</v>
      </c>
      <c r="C33" s="817">
        <f t="shared" si="3"/>
        <v>4488024.4676299999</v>
      </c>
      <c r="D33" s="817">
        <f t="shared" si="0"/>
        <v>406353.27614200045</v>
      </c>
      <c r="E33" s="817">
        <f t="shared" si="1"/>
        <v>4894377.7437720001</v>
      </c>
      <c r="F33" s="817"/>
      <c r="G33" s="861">
        <v>4340449.1949999994</v>
      </c>
      <c r="H33" s="861">
        <v>392991.56300000043</v>
      </c>
      <c r="I33" s="817">
        <f t="shared" si="2"/>
        <v>4733440.7579999994</v>
      </c>
      <c r="J33" s="815"/>
      <c r="K33" s="815">
        <v>1.034</v>
      </c>
      <c r="M33" s="36"/>
      <c r="N33" s="36"/>
      <c r="O33" s="36"/>
      <c r="P33" s="587"/>
    </row>
    <row r="34" spans="1:16" ht="14.4">
      <c r="A34" s="857">
        <f t="shared" si="6"/>
        <v>2013</v>
      </c>
      <c r="B34" s="858" t="s">
        <v>186</v>
      </c>
      <c r="C34" s="817">
        <f t="shared" si="3"/>
        <v>4641751.9318939978</v>
      </c>
      <c r="D34" s="817">
        <f t="shared" si="0"/>
        <v>450477.1860599998</v>
      </c>
      <c r="E34" s="817">
        <f t="shared" si="1"/>
        <v>5092229.117953998</v>
      </c>
      <c r="F34" s="817"/>
      <c r="G34" s="861">
        <v>4489121.7909999974</v>
      </c>
      <c r="H34" s="861">
        <v>435664.58999999979</v>
      </c>
      <c r="I34" s="817">
        <f t="shared" si="2"/>
        <v>4924786.3809999973</v>
      </c>
      <c r="J34" s="815"/>
      <c r="K34" s="815">
        <v>1.034</v>
      </c>
      <c r="M34" s="36"/>
      <c r="N34" s="609"/>
      <c r="O34" s="609"/>
      <c r="P34" s="587"/>
    </row>
    <row r="35" spans="1:16" ht="14.4">
      <c r="A35" s="857">
        <f t="shared" si="6"/>
        <v>2013</v>
      </c>
      <c r="B35" s="858" t="s">
        <v>187</v>
      </c>
      <c r="C35" s="817">
        <f t="shared" si="3"/>
        <v>4827390.5945540015</v>
      </c>
      <c r="D35" s="817">
        <f t="shared" si="0"/>
        <v>453426.06100000069</v>
      </c>
      <c r="E35" s="817">
        <f t="shared" si="1"/>
        <v>5280816.6555540022</v>
      </c>
      <c r="F35" s="817"/>
      <c r="G35" s="861">
        <v>4668656.2810000014</v>
      </c>
      <c r="H35" s="861">
        <v>438516.50000000064</v>
      </c>
      <c r="I35" s="817">
        <f t="shared" si="2"/>
        <v>5107172.7810000023</v>
      </c>
      <c r="J35" s="815"/>
      <c r="K35" s="815">
        <v>1.034</v>
      </c>
      <c r="M35" s="36"/>
      <c r="N35" s="609"/>
      <c r="O35" s="609"/>
      <c r="P35" s="587"/>
    </row>
    <row r="36" spans="1:16" ht="14.4">
      <c r="A36" s="857">
        <f t="shared" si="6"/>
        <v>2013</v>
      </c>
      <c r="B36" s="858" t="s">
        <v>188</v>
      </c>
      <c r="C36" s="817">
        <f t="shared" ref="C36:C63" si="7">(G36*K36)</f>
        <v>4574462.3325060001</v>
      </c>
      <c r="D36" s="817">
        <f t="shared" ref="D36:D63" si="8">(H36*K36)</f>
        <v>395800.15013000026</v>
      </c>
      <c r="E36" s="817">
        <f t="shared" ref="E36:E63" si="9">SUM(C36:D36)</f>
        <v>4970262.482636</v>
      </c>
      <c r="F36" s="817"/>
      <c r="G36" s="861">
        <v>4424044.8090000004</v>
      </c>
      <c r="H36" s="861">
        <v>382785.44500000024</v>
      </c>
      <c r="I36" s="817">
        <f t="shared" ref="I36:I63" si="10">SUM(G36:H36)</f>
        <v>4806830.2540000007</v>
      </c>
      <c r="J36" s="815"/>
      <c r="K36" s="815">
        <v>1.034</v>
      </c>
      <c r="M36" s="609"/>
      <c r="N36" s="609"/>
      <c r="O36" s="432"/>
      <c r="P36" s="587"/>
    </row>
    <row r="37" spans="1:16" ht="14.4">
      <c r="A37" s="857">
        <f t="shared" si="6"/>
        <v>2013</v>
      </c>
      <c r="B37" s="858" t="s">
        <v>189</v>
      </c>
      <c r="C37" s="817">
        <f t="shared" si="7"/>
        <v>4782026.4698800007</v>
      </c>
      <c r="D37" s="817">
        <f t="shared" si="8"/>
        <v>381198.71042000002</v>
      </c>
      <c r="E37" s="817">
        <f t="shared" si="9"/>
        <v>5163225.1803000011</v>
      </c>
      <c r="F37" s="817"/>
      <c r="G37" s="820">
        <f>2717984.13+1067862.58+838937.11</f>
        <v>4624783.82</v>
      </c>
      <c r="H37" s="820">
        <v>368664.13</v>
      </c>
      <c r="I37" s="817">
        <f t="shared" si="10"/>
        <v>4993447.95</v>
      </c>
      <c r="J37" s="815"/>
      <c r="K37" s="815">
        <v>1.034</v>
      </c>
      <c r="M37" s="36"/>
      <c r="N37" s="455"/>
      <c r="O37" s="432"/>
      <c r="P37" s="587"/>
    </row>
    <row r="38" spans="1:16" ht="14.4">
      <c r="A38" s="857">
        <f t="shared" si="6"/>
        <v>2013</v>
      </c>
      <c r="B38" s="858" t="s">
        <v>190</v>
      </c>
      <c r="C38" s="817">
        <f t="shared" si="7"/>
        <v>4998875.9675799999</v>
      </c>
      <c r="D38" s="817">
        <f t="shared" si="8"/>
        <v>345384.02139999997</v>
      </c>
      <c r="E38" s="817">
        <f t="shared" si="9"/>
        <v>5344259.9889799999</v>
      </c>
      <c r="F38" s="817"/>
      <c r="G38" s="820">
        <f>2865664.4+827728.58+1141109.89</f>
        <v>4834502.87</v>
      </c>
      <c r="H38" s="820">
        <v>334027.09999999998</v>
      </c>
      <c r="I38" s="817">
        <f t="shared" si="10"/>
        <v>5168529.97</v>
      </c>
      <c r="J38" s="815"/>
      <c r="K38" s="815">
        <v>1.034</v>
      </c>
      <c r="M38" s="36"/>
      <c r="N38" s="609"/>
      <c r="O38" s="432"/>
      <c r="P38" s="587"/>
    </row>
    <row r="39" spans="1:16" s="66" customFormat="1" ht="14.4">
      <c r="A39" s="859">
        <f t="shared" si="6"/>
        <v>2013</v>
      </c>
      <c r="B39" s="860" t="s">
        <v>191</v>
      </c>
      <c r="C39" s="820">
        <f t="shared" si="7"/>
        <v>3919827.2139400002</v>
      </c>
      <c r="D39" s="820">
        <f t="shared" si="8"/>
        <v>359900.22331999999</v>
      </c>
      <c r="E39" s="820">
        <f t="shared" si="9"/>
        <v>4279727.43726</v>
      </c>
      <c r="F39" s="820"/>
      <c r="G39" s="820">
        <f>2265898.77+873634.31+651402.33</f>
        <v>3790935.41</v>
      </c>
      <c r="H39" s="820">
        <v>348065.98</v>
      </c>
      <c r="I39" s="820">
        <f>SUM(G39:H39)</f>
        <v>4139001.39</v>
      </c>
      <c r="J39" s="818"/>
      <c r="K39" s="818">
        <v>1.034</v>
      </c>
      <c r="L39" s="736"/>
      <c r="M39" s="736"/>
      <c r="N39" s="591"/>
      <c r="O39" s="596"/>
      <c r="P39" s="854"/>
    </row>
    <row r="40" spans="1:16" ht="14.4">
      <c r="A40" s="857">
        <f>A39+1</f>
        <v>2014</v>
      </c>
      <c r="B40" s="858" t="s">
        <v>180</v>
      </c>
      <c r="C40" s="817">
        <f t="shared" si="7"/>
        <v>4290864.1626807759</v>
      </c>
      <c r="D40" s="817">
        <f t="shared" si="8"/>
        <v>349506.09543910326</v>
      </c>
      <c r="E40" s="817">
        <f t="shared" si="9"/>
        <v>4640370.2581198793</v>
      </c>
      <c r="F40" s="817"/>
      <c r="G40" s="820">
        <f>(SUM($G$28:$G$39)*'Rate Class Energy Model'!$M$47)*(G28/SUM($G$28:$G$39))</f>
        <v>4149771.9174862439</v>
      </c>
      <c r="H40" s="820">
        <f>(SUM($H$28:$H$39)*'Rate Class Energy Model'!$M$47)*(H28/SUM($H$28:$H$39))</f>
        <v>338013.63195271109</v>
      </c>
      <c r="I40" s="817">
        <f t="shared" si="10"/>
        <v>4487785.5494389553</v>
      </c>
      <c r="J40" s="815"/>
      <c r="K40" s="815">
        <v>1.034</v>
      </c>
      <c r="L40" s="537"/>
      <c r="M40" s="537"/>
      <c r="N40" s="455">
        <f>(G28/SUM($G$28:$G$39))*N39</f>
        <v>0</v>
      </c>
      <c r="O40" s="432"/>
      <c r="P40" s="587"/>
    </row>
    <row r="41" spans="1:16" ht="14.4">
      <c r="A41" s="857">
        <f>A40+0</f>
        <v>2014</v>
      </c>
      <c r="B41" s="858" t="s">
        <v>181</v>
      </c>
      <c r="C41" s="817">
        <f t="shared" si="7"/>
        <v>3672092.0192624931</v>
      </c>
      <c r="D41" s="817">
        <f t="shared" si="8"/>
        <v>310551.5083759093</v>
      </c>
      <c r="E41" s="817">
        <f t="shared" si="9"/>
        <v>3982643.5276384023</v>
      </c>
      <c r="F41" s="817"/>
      <c r="G41" s="820">
        <f>(SUM($G$28:$G$39)*'Rate Class Energy Model'!$M$47)*(G29/SUM($G$28:$G$39))</f>
        <v>3551346.2468689489</v>
      </c>
      <c r="H41" s="820">
        <f>(SUM($H$28:$H$39)*'Rate Class Energy Model'!$M$47)*(H29/SUM($H$28:$H$39))</f>
        <v>300339.95007341326</v>
      </c>
      <c r="I41" s="817">
        <f t="shared" si="10"/>
        <v>3851686.196942362</v>
      </c>
      <c r="J41" s="815"/>
      <c r="K41" s="815">
        <v>1.034</v>
      </c>
      <c r="O41" s="432"/>
      <c r="P41" s="587"/>
    </row>
    <row r="42" spans="1:16" ht="14.4">
      <c r="A42" s="857">
        <f t="shared" ref="A42:A51" si="11">A41+0</f>
        <v>2014</v>
      </c>
      <c r="B42" s="858" t="s">
        <v>182</v>
      </c>
      <c r="C42" s="817">
        <f t="shared" si="7"/>
        <v>4309072.1271350011</v>
      </c>
      <c r="D42" s="817">
        <f t="shared" si="8"/>
        <v>334454.10466946242</v>
      </c>
      <c r="E42" s="817">
        <f t="shared" si="9"/>
        <v>4643526.231804464</v>
      </c>
      <c r="F42" s="817"/>
      <c r="G42" s="820">
        <f>(SUM($G$28:$G$39)*'Rate Class Energy Model'!$M$47)*(G30/SUM($G$28:$G$39))</f>
        <v>4167381.1674419739</v>
      </c>
      <c r="H42" s="820">
        <f>(SUM($H$28:$H$39)*'Rate Class Energy Model'!$M$47)*(H30/SUM($H$28:$H$39))</f>
        <v>323456.58091824217</v>
      </c>
      <c r="I42" s="817">
        <f t="shared" si="10"/>
        <v>4490837.7483602157</v>
      </c>
      <c r="J42" s="815"/>
      <c r="K42" s="815">
        <v>1.034</v>
      </c>
      <c r="M42" s="501"/>
      <c r="N42" s="586"/>
      <c r="O42" s="432"/>
      <c r="P42" s="587"/>
    </row>
    <row r="43" spans="1:16" ht="14.4">
      <c r="A43" s="857">
        <f t="shared" si="11"/>
        <v>2014</v>
      </c>
      <c r="B43" s="858" t="s">
        <v>183</v>
      </c>
      <c r="C43" s="817">
        <f t="shared" si="7"/>
        <v>4457259.9413023479</v>
      </c>
      <c r="D43" s="817">
        <f t="shared" si="8"/>
        <v>338679.25917288742</v>
      </c>
      <c r="E43" s="817">
        <f t="shared" si="9"/>
        <v>4795939.2004752355</v>
      </c>
      <c r="F43" s="817"/>
      <c r="G43" s="820">
        <f>(SUM($G$28:$G$39)*'Rate Class Energy Model'!$M$47)*(G31/SUM($G$28:$G$39))</f>
        <v>4310696.2681840891</v>
      </c>
      <c r="H43" s="820">
        <f>(SUM($H$28:$H$39)*'Rate Class Energy Model'!$M$47)*(H31/SUM($H$28:$H$39))</f>
        <v>327542.8038422509</v>
      </c>
      <c r="I43" s="817">
        <f t="shared" si="10"/>
        <v>4638239.0720263403</v>
      </c>
      <c r="J43" s="815"/>
      <c r="K43" s="815">
        <v>1.034</v>
      </c>
      <c r="L43" s="443"/>
      <c r="O43" s="432"/>
      <c r="P43" s="587"/>
    </row>
    <row r="44" spans="1:16" ht="14.4">
      <c r="A44" s="857">
        <f t="shared" si="11"/>
        <v>2014</v>
      </c>
      <c r="B44" s="858" t="s">
        <v>184</v>
      </c>
      <c r="C44" s="817">
        <f t="shared" si="7"/>
        <v>4332751.3997275382</v>
      </c>
      <c r="D44" s="817">
        <f t="shared" si="8"/>
        <v>393661.20443581755</v>
      </c>
      <c r="E44" s="817">
        <f t="shared" si="9"/>
        <v>4726412.6041633561</v>
      </c>
      <c r="F44" s="817"/>
      <c r="G44" s="820">
        <f>(SUM($G$28:$G$39)*'Rate Class Energy Model'!$M$47)*(G32/SUM($G$28:$G$39))</f>
        <v>4190281.8179183155</v>
      </c>
      <c r="H44" s="820">
        <f>(SUM($H$28:$H$39)*'Rate Class Energy Model'!$M$47)*(H32/SUM($H$28:$H$39))</f>
        <v>380716.83214295702</v>
      </c>
      <c r="I44" s="817">
        <f t="shared" si="10"/>
        <v>4570998.6500612721</v>
      </c>
      <c r="J44" s="815"/>
      <c r="K44" s="815">
        <v>1.034</v>
      </c>
      <c r="O44" s="432"/>
      <c r="P44" s="587"/>
    </row>
    <row r="45" spans="1:16" ht="14.4">
      <c r="A45" s="857">
        <f t="shared" si="11"/>
        <v>2014</v>
      </c>
      <c r="B45" s="858" t="s">
        <v>185</v>
      </c>
      <c r="C45" s="817">
        <f t="shared" si="7"/>
        <v>4488302.2790528489</v>
      </c>
      <c r="D45" s="817">
        <f t="shared" si="8"/>
        <v>406378.42965500796</v>
      </c>
      <c r="E45" s="817">
        <f t="shared" si="9"/>
        <v>4894680.7087078569</v>
      </c>
      <c r="F45" s="817"/>
      <c r="G45" s="820">
        <f>(SUM($G$28:$G$39)*'Rate Class Energy Model'!$M$47)*(G33/SUM($G$28:$G$39))</f>
        <v>4340717.8714244189</v>
      </c>
      <c r="H45" s="820">
        <f>(SUM($H$28:$H$39)*'Rate Class Energy Model'!$M$47)*(H33/SUM($H$28:$H$39))</f>
        <v>393015.88941490132</v>
      </c>
      <c r="I45" s="817">
        <f t="shared" si="10"/>
        <v>4733733.7608393198</v>
      </c>
      <c r="J45" s="815"/>
      <c r="K45" s="815">
        <v>1.034</v>
      </c>
      <c r="O45" s="432"/>
      <c r="P45" s="587"/>
    </row>
    <row r="46" spans="1:16" ht="14.4">
      <c r="A46" s="857">
        <f t="shared" si="11"/>
        <v>2014</v>
      </c>
      <c r="B46" s="858" t="s">
        <v>186</v>
      </c>
      <c r="C46" s="817">
        <f t="shared" si="7"/>
        <v>4642039.2591396514</v>
      </c>
      <c r="D46" s="817">
        <f t="shared" si="8"/>
        <v>450505.07086965791</v>
      </c>
      <c r="E46" s="817">
        <f t="shared" si="9"/>
        <v>5092544.3300093096</v>
      </c>
      <c r="F46" s="817"/>
      <c r="G46" s="820">
        <f>(SUM($G$28:$G$39)*'Rate Class Energy Model'!$M$47)*(G34/SUM($G$28:$G$39))</f>
        <v>4489399.6703478256</v>
      </c>
      <c r="H46" s="820">
        <f>(SUM($H$28:$H$39)*'Rate Class Energy Model'!$M$47)*(H34/SUM($H$28:$H$39))</f>
        <v>435691.55790102313</v>
      </c>
      <c r="I46" s="817">
        <f t="shared" si="10"/>
        <v>4925091.2282488486</v>
      </c>
      <c r="J46" s="815"/>
      <c r="K46" s="815">
        <v>1.034</v>
      </c>
      <c r="O46" s="432"/>
      <c r="P46" s="587"/>
    </row>
    <row r="47" spans="1:16" ht="14.4">
      <c r="A47" s="857">
        <f t="shared" si="11"/>
        <v>2014</v>
      </c>
      <c r="B47" s="858" t="s">
        <v>187</v>
      </c>
      <c r="C47" s="817">
        <f t="shared" si="7"/>
        <v>4827689.4129448999</v>
      </c>
      <c r="D47" s="817">
        <f t="shared" si="8"/>
        <v>453454.12834679708</v>
      </c>
      <c r="E47" s="817">
        <f t="shared" si="9"/>
        <v>5281143.541291697</v>
      </c>
      <c r="F47" s="817"/>
      <c r="G47" s="820">
        <f>(SUM($G$28:$G$39)*'Rate Class Energy Model'!$M$47)*(G35/SUM($G$28:$G$39))</f>
        <v>4668945.273641102</v>
      </c>
      <c r="H47" s="820">
        <f>(SUM($H$28:$H$39)*'Rate Class Energy Model'!$M$47)*(H35/SUM($H$28:$H$39))</f>
        <v>438543.64443597395</v>
      </c>
      <c r="I47" s="817">
        <f t="shared" si="10"/>
        <v>5107488.9180770759</v>
      </c>
      <c r="J47" s="815"/>
      <c r="K47" s="815">
        <v>1.034</v>
      </c>
      <c r="O47" s="432"/>
      <c r="P47" s="587"/>
    </row>
    <row r="48" spans="1:16" ht="14.4">
      <c r="A48" s="857">
        <f t="shared" si="11"/>
        <v>2014</v>
      </c>
      <c r="B48" s="858" t="s">
        <v>188</v>
      </c>
      <c r="C48" s="817">
        <f t="shared" si="7"/>
        <v>4574745.4944848474</v>
      </c>
      <c r="D48" s="817">
        <f t="shared" si="8"/>
        <v>395824.65039813938</v>
      </c>
      <c r="E48" s="817">
        <f t="shared" si="9"/>
        <v>4970570.1448829863</v>
      </c>
      <c r="F48" s="817"/>
      <c r="G48" s="820">
        <f>(SUM($G$28:$G$39)*'Rate Class Energy Model'!$M$47)*(G36/SUM($G$28:$G$39))</f>
        <v>4424318.6600433728</v>
      </c>
      <c r="H48" s="820">
        <f>(SUM($H$28:$H$39)*'Rate Class Energy Model'!$M$47)*(H36/SUM($H$28:$H$39))</f>
        <v>382809.13965003809</v>
      </c>
      <c r="I48" s="817">
        <f t="shared" si="10"/>
        <v>4807127.7996934112</v>
      </c>
      <c r="J48" s="815"/>
      <c r="K48" s="815">
        <v>1.034</v>
      </c>
      <c r="O48" s="432"/>
      <c r="P48" s="587"/>
    </row>
    <row r="49" spans="1:16" ht="14.4">
      <c r="A49" s="857">
        <f t="shared" si="11"/>
        <v>2014</v>
      </c>
      <c r="B49" s="858" t="s">
        <v>189</v>
      </c>
      <c r="C49" s="817">
        <f t="shared" si="7"/>
        <v>4782322.480204205</v>
      </c>
      <c r="D49" s="817">
        <f t="shared" si="8"/>
        <v>381222.30685020989</v>
      </c>
      <c r="E49" s="817">
        <f t="shared" si="9"/>
        <v>5163544.7870544149</v>
      </c>
      <c r="F49" s="817"/>
      <c r="G49" s="820">
        <f>(SUM($G$28:$G$39)*'Rate Class Energy Model'!$M$47)*(G37/SUM($G$28:$G$39))</f>
        <v>4625070.0969092892</v>
      </c>
      <c r="H49" s="820">
        <f>(SUM($H$28:$H$39)*'Rate Class Energy Model'!$M$47)*(H37/SUM($H$28:$H$39))</f>
        <v>368686.95053211786</v>
      </c>
      <c r="I49" s="817">
        <f t="shared" si="10"/>
        <v>4993757.0474414071</v>
      </c>
      <c r="J49" s="815"/>
      <c r="K49" s="815">
        <v>1.034</v>
      </c>
      <c r="O49" s="432"/>
      <c r="P49" s="587"/>
    </row>
    <row r="50" spans="1:16" ht="14.4">
      <c r="A50" s="857">
        <f t="shared" si="11"/>
        <v>2014</v>
      </c>
      <c r="B50" s="858" t="s">
        <v>190</v>
      </c>
      <c r="C50" s="817">
        <f t="shared" si="7"/>
        <v>4999185.4010189706</v>
      </c>
      <c r="D50" s="817">
        <f t="shared" si="8"/>
        <v>345405.40087934706</v>
      </c>
      <c r="E50" s="817">
        <f t="shared" si="9"/>
        <v>5344590.8018983174</v>
      </c>
      <c r="F50" s="817"/>
      <c r="G50" s="820">
        <f>(SUM($G$28:$G$39)*'Rate Class Energy Model'!$M$47)*(G38/SUM($G$28:$G$39))</f>
        <v>4834802.1286450392</v>
      </c>
      <c r="H50" s="820">
        <f>(SUM($H$28:$H$39)*'Rate Class Energy Model'!$M$47)*(H38/SUM($H$28:$H$39))</f>
        <v>334047.77647905902</v>
      </c>
      <c r="I50" s="817">
        <f t="shared" si="10"/>
        <v>5168849.9051240981</v>
      </c>
      <c r="J50" s="815"/>
      <c r="K50" s="815">
        <v>1.034</v>
      </c>
      <c r="O50" s="432"/>
      <c r="P50" s="587"/>
    </row>
    <row r="51" spans="1:16" ht="14.4">
      <c r="A51" s="859">
        <f t="shared" si="11"/>
        <v>2014</v>
      </c>
      <c r="B51" s="860" t="s">
        <v>191</v>
      </c>
      <c r="C51" s="820">
        <f t="shared" si="7"/>
        <v>3920069.853609968</v>
      </c>
      <c r="D51" s="820">
        <f t="shared" si="8"/>
        <v>359922.50136100571</v>
      </c>
      <c r="E51" s="820">
        <f t="shared" si="9"/>
        <v>4279992.3549709739</v>
      </c>
      <c r="F51" s="820"/>
      <c r="G51" s="820">
        <f>(SUM($G$28:$G$39)*'Rate Class Energy Model'!$M$47)*(G39/SUM($G$28:$G$39))</f>
        <v>3791170.0711895241</v>
      </c>
      <c r="H51" s="820">
        <f>(SUM($H$28:$H$39)*'Rate Class Energy Model'!$M$47)*(H39/SUM($H$28:$H$39))</f>
        <v>348087.5254942028</v>
      </c>
      <c r="I51" s="820">
        <f t="shared" si="10"/>
        <v>4139257.5966837271</v>
      </c>
      <c r="J51" s="818"/>
      <c r="K51" s="815">
        <v>1.034</v>
      </c>
      <c r="O51" s="432"/>
      <c r="P51" s="587"/>
    </row>
    <row r="52" spans="1:16" ht="14.4">
      <c r="A52" s="857">
        <f>A51+1</f>
        <v>2015</v>
      </c>
      <c r="B52" s="858" t="s">
        <v>180</v>
      </c>
      <c r="C52" s="817">
        <f t="shared" si="7"/>
        <v>4291544.7726408616</v>
      </c>
      <c r="D52" s="817">
        <f t="shared" si="8"/>
        <v>349561.53353284084</v>
      </c>
      <c r="E52" s="817">
        <f t="shared" si="9"/>
        <v>4641106.3061737027</v>
      </c>
      <c r="F52" s="817"/>
      <c r="G52" s="820">
        <f>(SUM($G$40:$G$51)*'Rate Class Energy Model'!$M$47)*(G40/SUM($G$40:$G$51))</f>
        <v>4150028.7908721217</v>
      </c>
      <c r="H52" s="820">
        <f>(SUM($H$40:$H$51)*'Rate Class Energy Model'!$M$47)*(H40/SUM($H$40:$H$51))</f>
        <v>338034.55520050367</v>
      </c>
      <c r="I52" s="817">
        <f t="shared" si="10"/>
        <v>4488063.3460726254</v>
      </c>
      <c r="J52" s="815"/>
      <c r="K52" s="815">
        <v>1.0341</v>
      </c>
      <c r="O52" s="432"/>
      <c r="P52" s="587"/>
    </row>
    <row r="53" spans="1:16" ht="14.4">
      <c r="A53" s="857">
        <f>A52+0</f>
        <v>2015</v>
      </c>
      <c r="B53" s="858" t="s">
        <v>181</v>
      </c>
      <c r="C53" s="817">
        <f t="shared" si="7"/>
        <v>3672674.4805821488</v>
      </c>
      <c r="D53" s="817">
        <f t="shared" si="8"/>
        <v>310600.76755581022</v>
      </c>
      <c r="E53" s="817">
        <f t="shared" si="9"/>
        <v>3983275.2481379588</v>
      </c>
      <c r="F53" s="817"/>
      <c r="G53" s="820">
        <f>(SUM($G$40:$G$51)*'Rate Class Energy Model'!$M$47)*(G41/SUM($G$40:$G$51))</f>
        <v>3551566.0773446946</v>
      </c>
      <c r="H53" s="820">
        <f>(SUM($H$40:$H$51)*'Rate Class Energy Model'!$M$47)*(H41/SUM($H$40:$H$51))</f>
        <v>300358.54129756329</v>
      </c>
      <c r="I53" s="817">
        <f t="shared" si="10"/>
        <v>3851924.618642258</v>
      </c>
      <c r="J53" s="815"/>
      <c r="K53" s="815">
        <v>1.0341</v>
      </c>
      <c r="O53" s="432"/>
      <c r="P53" s="587"/>
    </row>
    <row r="54" spans="1:16" ht="14.4">
      <c r="A54" s="857">
        <f t="shared" ref="A54:A63" si="12">A53+0</f>
        <v>2015</v>
      </c>
      <c r="B54" s="858" t="s">
        <v>182</v>
      </c>
      <c r="C54" s="817">
        <f t="shared" si="7"/>
        <v>4309755.6252130717</v>
      </c>
      <c r="D54" s="817">
        <f t="shared" si="8"/>
        <v>334507.15524067578</v>
      </c>
      <c r="E54" s="817">
        <f t="shared" si="9"/>
        <v>4644262.7804537471</v>
      </c>
      <c r="F54" s="817"/>
      <c r="G54" s="820">
        <f>(SUM($G$40:$G$51)*'Rate Class Energy Model'!$M$47)*(G42/SUM($G$40:$G$51))</f>
        <v>4167639.1308510504</v>
      </c>
      <c r="H54" s="820">
        <f>(SUM($H$40:$H$51)*'Rate Class Energy Model'!$M$47)*(H42/SUM($H$40:$H$51))</f>
        <v>323476.60307579127</v>
      </c>
      <c r="I54" s="817">
        <f t="shared" si="10"/>
        <v>4491115.733926842</v>
      </c>
      <c r="J54" s="815"/>
      <c r="K54" s="815">
        <v>1.0341</v>
      </c>
      <c r="O54" s="432"/>
      <c r="P54" s="587"/>
    </row>
    <row r="55" spans="1:16" ht="14.4">
      <c r="A55" s="857">
        <f t="shared" si="12"/>
        <v>2015</v>
      </c>
      <c r="B55" s="858" t="s">
        <v>183</v>
      </c>
      <c r="C55" s="817">
        <f t="shared" si="7"/>
        <v>4457966.9446927421</v>
      </c>
      <c r="D55" s="817">
        <f t="shared" si="8"/>
        <v>338732.97993130056</v>
      </c>
      <c r="E55" s="817">
        <f t="shared" si="9"/>
        <v>4796699.9246240426</v>
      </c>
      <c r="F55" s="817"/>
      <c r="G55" s="820">
        <f>(SUM($G$40:$G$51)*'Rate Class Energy Model'!$M$47)*(G43/SUM($G$40:$G$51))</f>
        <v>4310963.1028843848</v>
      </c>
      <c r="H55" s="820">
        <f>(SUM($H$40:$H$51)*'Rate Class Energy Model'!$M$47)*(H43/SUM($H$40:$H$51))</f>
        <v>327563.07893946482</v>
      </c>
      <c r="I55" s="817">
        <f t="shared" si="10"/>
        <v>4638526.1818238497</v>
      </c>
      <c r="J55" s="815"/>
      <c r="K55" s="815">
        <v>1.0341</v>
      </c>
      <c r="O55" s="432"/>
      <c r="P55" s="587"/>
    </row>
    <row r="56" spans="1:16" ht="14.4">
      <c r="A56" s="857">
        <f t="shared" si="12"/>
        <v>2015</v>
      </c>
      <c r="B56" s="858" t="s">
        <v>184</v>
      </c>
      <c r="C56" s="817">
        <f t="shared" si="7"/>
        <v>4333438.6537736747</v>
      </c>
      <c r="D56" s="817">
        <f t="shared" si="8"/>
        <v>393723.64634180197</v>
      </c>
      <c r="E56" s="817">
        <f t="shared" si="9"/>
        <v>4727162.3001154764</v>
      </c>
      <c r="F56" s="817"/>
      <c r="G56" s="820">
        <f>(SUM($G$40:$G$51)*'Rate Class Energy Model'!$M$47)*(G44/SUM($G$40:$G$51))</f>
        <v>4190541.1988914758</v>
      </c>
      <c r="H56" s="820">
        <f>(SUM($H$40:$H$51)*'Rate Class Energy Model'!$M$47)*(H44/SUM($H$40:$H$51))</f>
        <v>380740.39874461072</v>
      </c>
      <c r="I56" s="817">
        <f t="shared" si="10"/>
        <v>4571281.5976360869</v>
      </c>
      <c r="J56" s="815"/>
      <c r="K56" s="815">
        <v>1.0341</v>
      </c>
      <c r="O56" s="432"/>
      <c r="P56" s="587"/>
    </row>
    <row r="57" spans="1:16" ht="14.4">
      <c r="A57" s="857">
        <f t="shared" si="12"/>
        <v>2015</v>
      </c>
      <c r="B57" s="858" t="s">
        <v>185</v>
      </c>
      <c r="C57" s="817">
        <f t="shared" si="7"/>
        <v>4489014.2063288428</v>
      </c>
      <c r="D57" s="817">
        <f t="shared" si="8"/>
        <v>406442.88874676672</v>
      </c>
      <c r="E57" s="817">
        <f t="shared" si="9"/>
        <v>4895457.0950756092</v>
      </c>
      <c r="F57" s="817"/>
      <c r="G57" s="820">
        <f>(SUM($G$40:$G$51)*'Rate Class Energy Model'!$M$47)*(G45/SUM($G$40:$G$51))</f>
        <v>4340986.5644800719</v>
      </c>
      <c r="H57" s="820">
        <f>(SUM($H$40:$H$51)*'Rate Class Energy Model'!$M$47)*(H45/SUM($H$40:$H$51))</f>
        <v>393040.217335622</v>
      </c>
      <c r="I57" s="817">
        <f t="shared" si="10"/>
        <v>4734026.7818156937</v>
      </c>
      <c r="J57" s="815"/>
      <c r="K57" s="815">
        <v>1.0341</v>
      </c>
      <c r="O57" s="432"/>
      <c r="P57" s="587"/>
    </row>
    <row r="58" spans="1:16" ht="14.4">
      <c r="A58" s="857">
        <f t="shared" si="12"/>
        <v>2015</v>
      </c>
      <c r="B58" s="858" t="s">
        <v>186</v>
      </c>
      <c r="C58" s="817">
        <f t="shared" si="7"/>
        <v>4642775.5719277263</v>
      </c>
      <c r="D58" s="817">
        <f t="shared" si="8"/>
        <v>450576.52925814968</v>
      </c>
      <c r="E58" s="817">
        <f t="shared" si="9"/>
        <v>5093352.1011858759</v>
      </c>
      <c r="F58" s="817"/>
      <c r="G58" s="820">
        <f>(SUM($G$40:$G$51)*'Rate Class Energy Model'!$M$47)*(G46/SUM($G$40:$G$51))</f>
        <v>4489677.5668965541</v>
      </c>
      <c r="H58" s="820">
        <f>(SUM($H$40:$H$51)*'Rate Class Energy Model'!$M$47)*(H46/SUM($H$40:$H$51))</f>
        <v>435718.52747137577</v>
      </c>
      <c r="I58" s="817">
        <f t="shared" si="10"/>
        <v>4925396.0943679297</v>
      </c>
      <c r="J58" s="815"/>
      <c r="K58" s="815">
        <v>1.0341</v>
      </c>
      <c r="O58" s="432"/>
      <c r="P58" s="587"/>
    </row>
    <row r="59" spans="1:16" ht="14.4">
      <c r="A59" s="857">
        <f t="shared" si="12"/>
        <v>2015</v>
      </c>
      <c r="B59" s="858" t="s">
        <v>187</v>
      </c>
      <c r="C59" s="817">
        <f t="shared" si="7"/>
        <v>4828455.1732612532</v>
      </c>
      <c r="D59" s="817">
        <f t="shared" si="8"/>
        <v>453526.05451003433</v>
      </c>
      <c r="E59" s="817">
        <f t="shared" si="9"/>
        <v>5281981.2277712878</v>
      </c>
      <c r="F59" s="817"/>
      <c r="G59" s="820">
        <f>(SUM($G$40:$G$51)*'Rate Class Energy Model'!$M$47)*(G47/SUM($G$40:$G$51))</f>
        <v>4669234.2841710215</v>
      </c>
      <c r="H59" s="820">
        <f>(SUM($H$40:$H$51)*'Rate Class Energy Model'!$M$47)*(H47/SUM($H$40:$H$51))</f>
        <v>438570.79055220418</v>
      </c>
      <c r="I59" s="817">
        <f t="shared" si="10"/>
        <v>5107805.074723226</v>
      </c>
      <c r="J59" s="815"/>
      <c r="K59" s="815">
        <v>1.0341</v>
      </c>
      <c r="O59" s="432"/>
      <c r="P59" s="587"/>
    </row>
    <row r="60" spans="1:16" ht="14.4">
      <c r="A60" s="857">
        <f t="shared" si="12"/>
        <v>2015</v>
      </c>
      <c r="B60" s="858" t="s">
        <v>188</v>
      </c>
      <c r="C60" s="817">
        <f t="shared" si="7"/>
        <v>4575471.1332443962</v>
      </c>
      <c r="D60" s="817">
        <f t="shared" si="8"/>
        <v>395887.43546643655</v>
      </c>
      <c r="E60" s="817">
        <f t="shared" si="9"/>
        <v>4971358.5687108329</v>
      </c>
      <c r="F60" s="817"/>
      <c r="G60" s="820">
        <f>(SUM($G$40:$G$51)*'Rate Class Energy Model'!$M$47)*(G48/SUM($G$40:$G$51))</f>
        <v>4424592.5280382903</v>
      </c>
      <c r="H60" s="820">
        <f>(SUM($H$40:$H$51)*'Rate Class Energy Model'!$M$47)*(H48/SUM($H$40:$H$51))</f>
        <v>382832.83576678904</v>
      </c>
      <c r="I60" s="817">
        <f t="shared" si="10"/>
        <v>4807425.3638050798</v>
      </c>
      <c r="J60" s="815"/>
      <c r="K60" s="815">
        <v>1.0341</v>
      </c>
      <c r="O60" s="432"/>
      <c r="P60" s="587"/>
    </row>
    <row r="61" spans="1:16" ht="14.4">
      <c r="A61" s="857">
        <f t="shared" si="12"/>
        <v>2015</v>
      </c>
      <c r="B61" s="858" t="s">
        <v>189</v>
      </c>
      <c r="C61" s="817">
        <f t="shared" si="7"/>
        <v>4783081.0444907825</v>
      </c>
      <c r="D61" s="817">
        <f t="shared" si="8"/>
        <v>381282.7757183006</v>
      </c>
      <c r="E61" s="817">
        <f t="shared" si="9"/>
        <v>5164363.8202090831</v>
      </c>
      <c r="F61" s="817"/>
      <c r="G61" s="820">
        <f>(SUM($G$40:$G$51)*'Rate Class Energy Model'!$M$47)*(G49/SUM($G$40:$G$51))</f>
        <v>4625356.3915392924</v>
      </c>
      <c r="H61" s="820">
        <f>(SUM($H$40:$H$51)*'Rate Class Energy Model'!$M$47)*(H49/SUM($H$40:$H$51))</f>
        <v>368709.77247684036</v>
      </c>
      <c r="I61" s="817">
        <f t="shared" si="10"/>
        <v>4994066.1640161332</v>
      </c>
      <c r="J61" s="815"/>
      <c r="K61" s="815">
        <v>1.0341</v>
      </c>
      <c r="O61" s="432"/>
      <c r="P61" s="587"/>
    </row>
    <row r="62" spans="1:16" ht="14.4">
      <c r="A62" s="857">
        <f t="shared" si="12"/>
        <v>2015</v>
      </c>
      <c r="B62" s="858" t="s">
        <v>190</v>
      </c>
      <c r="C62" s="817">
        <f t="shared" si="7"/>
        <v>4999978.3637526389</v>
      </c>
      <c r="D62" s="817">
        <f t="shared" si="8"/>
        <v>345460.18852752051</v>
      </c>
      <c r="E62" s="817">
        <f t="shared" si="9"/>
        <v>5345438.5522801597</v>
      </c>
      <c r="F62" s="817"/>
      <c r="G62" s="820">
        <f>(SUM($G$40:$G$51)*'Rate Class Energy Model'!$M$47)*(G50/SUM($G$40:$G$51))</f>
        <v>4835101.4058143692</v>
      </c>
      <c r="H62" s="820">
        <f>(SUM($H$40:$H$51)*'Rate Class Energy Model'!$M$47)*(H50/SUM($H$40:$H$51))</f>
        <v>334068.45423800458</v>
      </c>
      <c r="I62" s="817">
        <f t="shared" si="10"/>
        <v>5169169.8600523742</v>
      </c>
      <c r="J62" s="815"/>
      <c r="K62" s="815">
        <v>1.0341</v>
      </c>
      <c r="O62" s="432"/>
      <c r="P62" s="587"/>
    </row>
    <row r="63" spans="1:16" ht="14.4">
      <c r="A63" s="857">
        <f t="shared" si="12"/>
        <v>2015</v>
      </c>
      <c r="B63" s="858" t="s">
        <v>191</v>
      </c>
      <c r="C63" s="817">
        <f t="shared" si="7"/>
        <v>3920691.6487741675</v>
      </c>
      <c r="D63" s="817">
        <f t="shared" si="8"/>
        <v>359979.59168826783</v>
      </c>
      <c r="E63" s="817">
        <f t="shared" si="9"/>
        <v>4280671.2404624354</v>
      </c>
      <c r="F63" s="817"/>
      <c r="G63" s="820">
        <f>(SUM($G$40:$G$51)*'Rate Class Energy Model'!$M$47)*(G51/SUM($G$40:$G$51))</f>
        <v>3791404.7469047168</v>
      </c>
      <c r="H63" s="820">
        <f>(SUM($H$40:$H$51)*'Rate Class Energy Model'!$M$47)*(H51/SUM($H$40:$H$51))</f>
        <v>348109.07232208474</v>
      </c>
      <c r="I63" s="817">
        <f t="shared" si="10"/>
        <v>4139513.8192268014</v>
      </c>
      <c r="J63" s="815"/>
      <c r="K63" s="815">
        <v>1.0341</v>
      </c>
      <c r="L63" s="503"/>
      <c r="M63" s="504"/>
      <c r="O63" s="432"/>
      <c r="P63" s="587"/>
    </row>
    <row r="64" spans="1:16" ht="14.4">
      <c r="A64" s="503"/>
      <c r="B64" s="503"/>
    </row>
    <row r="65" spans="1:9" ht="14.4">
      <c r="A65" s="503"/>
      <c r="B65" s="503"/>
      <c r="C65" s="849" t="s">
        <v>169</v>
      </c>
      <c r="D65" s="849" t="s">
        <v>170</v>
      </c>
      <c r="E65" s="849" t="s">
        <v>65</v>
      </c>
      <c r="G65" s="849" t="s">
        <v>169</v>
      </c>
      <c r="H65" s="849" t="s">
        <v>170</v>
      </c>
      <c r="I65" s="849" t="s">
        <v>65</v>
      </c>
    </row>
    <row r="66" spans="1:9">
      <c r="B66" s="815">
        <v>2011</v>
      </c>
      <c r="C66" s="850">
        <f>SUM(C4:C15)</f>
        <v>30590627.167539999</v>
      </c>
      <c r="D66" s="850">
        <f>SUM(D4:D15)</f>
        <v>0</v>
      </c>
      <c r="E66" s="850">
        <f>SUM(C66:D66)</f>
        <v>30590627.167539999</v>
      </c>
      <c r="G66" s="850">
        <f>SUM(G4:G15)</f>
        <v>29584745.809999999</v>
      </c>
      <c r="H66" s="850">
        <f>SUM(H4:H15)</f>
        <v>0</v>
      </c>
      <c r="I66" s="850">
        <f>SUM(G66:H66)</f>
        <v>29584745.809999999</v>
      </c>
    </row>
    <row r="67" spans="1:9">
      <c r="B67" s="815">
        <f>B66+1</f>
        <v>2012</v>
      </c>
      <c r="C67" s="850">
        <f>SUM(C16:C27)</f>
        <v>49081706.916440003</v>
      </c>
      <c r="D67" s="850">
        <f>SUM(D16:D27)</f>
        <v>3568346.1598399999</v>
      </c>
      <c r="E67" s="850">
        <f t="shared" ref="E67:E70" si="13">SUM(C67:D67)</f>
        <v>52650053.076280005</v>
      </c>
      <c r="G67" s="850">
        <f>SUM(G16:G27)</f>
        <v>47467801.659999996</v>
      </c>
      <c r="H67" s="850">
        <f>SUM(H16:H27)</f>
        <v>3451011.7600000007</v>
      </c>
      <c r="I67" s="850">
        <f t="shared" ref="I67:I70" si="14">SUM(G67:H67)</f>
        <v>50918813.419999994</v>
      </c>
    </row>
    <row r="68" spans="1:9">
      <c r="B68" s="815">
        <f t="shared" ref="B68:B70" si="15">B67+1</f>
        <v>2013</v>
      </c>
      <c r="C68" s="850">
        <f>SUM(C28:C39)</f>
        <v>53293094.955825999</v>
      </c>
      <c r="D68" s="850">
        <f>SUM(D28:D39)</f>
        <v>4519284.9139900012</v>
      </c>
      <c r="E68" s="850">
        <f t="shared" si="13"/>
        <v>57812379.869815998</v>
      </c>
      <c r="G68" s="850">
        <f>SUM(G28:G39)</f>
        <v>51540710.789000005</v>
      </c>
      <c r="H68" s="850">
        <f>SUM(H28:H39)</f>
        <v>4370681.7350000013</v>
      </c>
      <c r="I68" s="850">
        <f t="shared" si="14"/>
        <v>55911392.524000004</v>
      </c>
    </row>
    <row r="69" spans="1:9">
      <c r="B69" s="815">
        <f t="shared" si="15"/>
        <v>2014</v>
      </c>
      <c r="C69" s="850">
        <f>SUM(C40:C51)</f>
        <v>53296393.830563545</v>
      </c>
      <c r="D69" s="850">
        <f>SUM(D40:D51)</f>
        <v>4519564.6604533456</v>
      </c>
      <c r="E69" s="850">
        <f t="shared" si="13"/>
        <v>57815958.491016895</v>
      </c>
      <c r="G69" s="850">
        <f>SUM(G40:G51)</f>
        <v>51543901.190100148</v>
      </c>
      <c r="H69" s="850">
        <f>SUM(H40:H51)</f>
        <v>4370952.2828368898</v>
      </c>
      <c r="I69" s="850">
        <f t="shared" si="14"/>
        <v>55914853.47293704</v>
      </c>
    </row>
    <row r="70" spans="1:9" ht="13.8" thickBot="1">
      <c r="B70" s="815">
        <f t="shared" si="15"/>
        <v>2015</v>
      </c>
      <c r="C70" s="852">
        <f>SUM(C52:C63)</f>
        <v>53304847.61868231</v>
      </c>
      <c r="D70" s="852">
        <f>SUM(D52:D63)</f>
        <v>4520281.5465179058</v>
      </c>
      <c r="E70" s="852">
        <f t="shared" si="13"/>
        <v>57825129.165200219</v>
      </c>
      <c r="G70" s="852">
        <f>SUM(G52:G63)</f>
        <v>51547091.788688041</v>
      </c>
      <c r="H70" s="852">
        <f>SUM(H52:H63)</f>
        <v>4371222.8474208545</v>
      </c>
      <c r="I70" s="852">
        <f t="shared" si="14"/>
        <v>55918314.636108898</v>
      </c>
    </row>
    <row r="71" spans="1:9" ht="13.8" thickBot="1">
      <c r="B71" s="851" t="s">
        <v>65</v>
      </c>
      <c r="C71" s="853">
        <f>SUM(C66:C70)</f>
        <v>239566670.48905188</v>
      </c>
      <c r="D71" s="853">
        <f t="shared" ref="D71" si="16">SUM(D66:D70)</f>
        <v>17127477.280801252</v>
      </c>
      <c r="E71" s="853">
        <f>SUM(E66:E70)</f>
        <v>256694147.76985312</v>
      </c>
      <c r="G71" s="853">
        <f>SUM(G66:G70)</f>
        <v>231684251.23778817</v>
      </c>
      <c r="H71" s="853">
        <f t="shared" ref="H71" si="17">SUM(H66:H70)</f>
        <v>16563868.625257747</v>
      </c>
      <c r="I71" s="853">
        <f t="shared" ref="I71" si="18">SUM(I66:I70)</f>
        <v>248248119.86304596</v>
      </c>
    </row>
    <row r="72" spans="1:9" ht="13.8" thickTop="1"/>
  </sheetData>
  <mergeCells count="3">
    <mergeCell ref="C2:E2"/>
    <mergeCell ref="G2:I2"/>
    <mergeCell ref="A1:K1"/>
  </mergeCells>
  <pageMargins left="0.7" right="0.7" top="0.75" bottom="0.75" header="0.3" footer="0.3"/>
  <pageSetup scale="65" orientation="portrait" r:id="rId1"/>
  <ignoredErrors>
    <ignoredError sqref="A16" formula="1"/>
    <ignoredError sqref="H66:H68 G66:G67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>
  <dimension ref="A1:R8788"/>
  <sheetViews>
    <sheetView zoomScale="90" zoomScaleNormal="90" workbookViewId="0">
      <pane xSplit="1" ySplit="17" topLeftCell="B33" activePane="bottomRight" state="frozen"/>
      <selection activeCell="H9" sqref="H9"/>
      <selection pane="topRight" activeCell="H9" sqref="H9"/>
      <selection pane="bottomLeft" activeCell="H9" sqref="H9"/>
      <selection pane="bottomRight" activeCell="T16" sqref="T16"/>
    </sheetView>
  </sheetViews>
  <sheetFormatPr defaultRowHeight="13.2"/>
  <cols>
    <col min="1" max="3" width="12.6640625" hidden="1" customWidth="1"/>
    <col min="4" max="4" width="15.5546875" hidden="1" customWidth="1"/>
    <col min="5" max="5" width="16.88671875" hidden="1" customWidth="1"/>
    <col min="6" max="6" width="17.5546875" style="432" hidden="1" customWidth="1"/>
    <col min="7" max="7" width="11.33203125" style="432" customWidth="1"/>
    <col min="8" max="11" width="9.109375" hidden="1" customWidth="1"/>
    <col min="12" max="12" width="6.109375" customWidth="1"/>
    <col min="13" max="13" width="13.44140625" customWidth="1"/>
    <col min="14" max="14" width="11.88671875" customWidth="1"/>
    <col min="15" max="15" width="8.6640625" customWidth="1"/>
    <col min="16" max="16" width="15.88671875" customWidth="1"/>
    <col min="18" max="18" width="9.109375" style="66"/>
  </cols>
  <sheetData>
    <row r="1" spans="1:16" ht="15.6">
      <c r="L1" s="958" t="s">
        <v>261</v>
      </c>
      <c r="M1" s="958"/>
      <c r="N1" s="958"/>
      <c r="O1" s="958"/>
      <c r="P1" s="958"/>
    </row>
    <row r="2" spans="1:16" ht="15.75" customHeight="1">
      <c r="A2" s="960" t="s">
        <v>216</v>
      </c>
      <c r="B2" s="960" t="s">
        <v>217</v>
      </c>
      <c r="C2" s="961" t="s">
        <v>215</v>
      </c>
      <c r="D2" s="962" t="s">
        <v>65</v>
      </c>
      <c r="E2" s="960" t="s">
        <v>229</v>
      </c>
      <c r="F2" s="960" t="s">
        <v>219</v>
      </c>
      <c r="M2" s="959" t="s">
        <v>218</v>
      </c>
      <c r="N2" s="959" t="s">
        <v>231</v>
      </c>
      <c r="O2" s="959" t="s">
        <v>96</v>
      </c>
      <c r="P2" s="959" t="s">
        <v>232</v>
      </c>
    </row>
    <row r="3" spans="1:16" ht="35.25" customHeight="1">
      <c r="A3" s="960"/>
      <c r="B3" s="960"/>
      <c r="C3" s="961"/>
      <c r="D3" s="962"/>
      <c r="E3" s="960"/>
      <c r="F3" s="960"/>
      <c r="M3" s="959"/>
      <c r="N3" s="959"/>
      <c r="O3" s="959"/>
      <c r="P3" s="959"/>
    </row>
    <row r="4" spans="1:16">
      <c r="A4" s="640">
        <v>10113</v>
      </c>
      <c r="B4" s="640">
        <v>100</v>
      </c>
      <c r="C4" s="638">
        <v>4124.259</v>
      </c>
      <c r="D4" s="633">
        <f>C4</f>
        <v>4124.259</v>
      </c>
      <c r="E4" s="760"/>
      <c r="F4" s="760">
        <f>(D4/(MAX($D$4:$D$747)))*$M$4</f>
        <v>1740.0847850955818</v>
      </c>
      <c r="H4" s="537"/>
      <c r="J4" s="537"/>
      <c r="K4" s="443"/>
      <c r="L4" t="s">
        <v>196</v>
      </c>
      <c r="M4" s="759">
        <v>2611.5298324882915</v>
      </c>
      <c r="N4" s="537">
        <f>SUM(F4:F747)</f>
        <v>1378242.0008224235</v>
      </c>
      <c r="O4" s="604">
        <v>1.0246999999999999</v>
      </c>
      <c r="P4" s="537">
        <f>N4*O4</f>
        <v>1412284.5782427373</v>
      </c>
    </row>
    <row r="5" spans="1:16">
      <c r="A5" s="640">
        <v>10113</v>
      </c>
      <c r="B5" s="640">
        <v>200</v>
      </c>
      <c r="C5" s="638">
        <v>4057.4119999999998</v>
      </c>
      <c r="D5" s="633">
        <f t="shared" ref="D5:D68" si="0">C5</f>
        <v>4057.4119999999998</v>
      </c>
      <c r="E5" s="760"/>
      <c r="F5" s="760">
        <f t="shared" ref="F5:F67" si="1">(D5/(MAX($D$4:$D$747)))*$M$4</f>
        <v>1711.8810647110754</v>
      </c>
      <c r="H5" s="537"/>
      <c r="J5" s="537"/>
      <c r="K5" s="443"/>
      <c r="L5" t="s">
        <v>197</v>
      </c>
      <c r="M5" s="736">
        <v>2507.8470353989287</v>
      </c>
      <c r="N5" s="537">
        <f>SUM(F748:F1443)</f>
        <v>1254044.6336183976</v>
      </c>
      <c r="O5" s="604">
        <v>1.0246999999999999</v>
      </c>
      <c r="P5" s="537">
        <f t="shared" ref="P5:P15" si="2">N5*O5</f>
        <v>1285019.536068772</v>
      </c>
    </row>
    <row r="6" spans="1:16">
      <c r="A6" s="640">
        <v>10113</v>
      </c>
      <c r="B6" s="640">
        <v>300</v>
      </c>
      <c r="C6" s="638">
        <v>3851.1410000000001</v>
      </c>
      <c r="D6" s="633">
        <f t="shared" si="0"/>
        <v>3851.1410000000001</v>
      </c>
      <c r="E6" s="760"/>
      <c r="F6" s="760">
        <f t="shared" si="1"/>
        <v>1624.8523333180055</v>
      </c>
      <c r="H6" s="537"/>
      <c r="J6" s="537"/>
      <c r="K6" s="443"/>
      <c r="L6" t="s">
        <v>198</v>
      </c>
      <c r="M6" s="736">
        <v>2289.6070985009146</v>
      </c>
      <c r="N6" s="537">
        <f>SUM(F1444:F2187)</f>
        <v>1261482.3621325314</v>
      </c>
      <c r="O6" s="604">
        <v>1.0246999999999999</v>
      </c>
      <c r="P6" s="537">
        <f t="shared" si="2"/>
        <v>1292640.9764772048</v>
      </c>
    </row>
    <row r="7" spans="1:16">
      <c r="A7" s="640">
        <v>10113</v>
      </c>
      <c r="B7" s="640">
        <v>400</v>
      </c>
      <c r="C7" s="638">
        <v>3736.1149999999998</v>
      </c>
      <c r="D7" s="633">
        <f t="shared" si="0"/>
        <v>3736.1149999999998</v>
      </c>
      <c r="E7" s="760"/>
      <c r="F7" s="760">
        <f t="shared" si="1"/>
        <v>1576.3211929385084</v>
      </c>
      <c r="H7" s="537"/>
      <c r="J7" s="537"/>
      <c r="K7" s="443"/>
      <c r="L7" t="s">
        <v>199</v>
      </c>
      <c r="M7" s="736">
        <v>2099.3493451472928</v>
      </c>
      <c r="N7" s="537">
        <f>SUM(F2188:F2907)</f>
        <v>1097717.7617361618</v>
      </c>
      <c r="O7" s="604">
        <v>1.0246999999999999</v>
      </c>
      <c r="P7" s="537">
        <f t="shared" si="2"/>
        <v>1124831.390451045</v>
      </c>
    </row>
    <row r="8" spans="1:16">
      <c r="A8" s="640">
        <v>10113</v>
      </c>
      <c r="B8" s="640">
        <v>500</v>
      </c>
      <c r="C8" s="638">
        <v>3717.665</v>
      </c>
      <c r="D8" s="633">
        <f t="shared" si="0"/>
        <v>3717.665</v>
      </c>
      <c r="E8" s="760"/>
      <c r="F8" s="760">
        <f t="shared" si="1"/>
        <v>1568.5368699158723</v>
      </c>
      <c r="H8" s="537"/>
      <c r="J8" s="537"/>
      <c r="K8" s="443"/>
      <c r="L8" t="s">
        <v>7</v>
      </c>
      <c r="M8" s="736">
        <v>3743.5870910603749</v>
      </c>
      <c r="N8" s="537">
        <f>SUM(F2908:F3651)</f>
        <v>1578221.7359273359</v>
      </c>
      <c r="O8" s="604">
        <v>1.0246999999999999</v>
      </c>
      <c r="P8" s="537">
        <f t="shared" si="2"/>
        <v>1617203.8128047411</v>
      </c>
    </row>
    <row r="9" spans="1:16">
      <c r="A9" s="640">
        <v>10113</v>
      </c>
      <c r="B9" s="640">
        <v>600</v>
      </c>
      <c r="C9" s="638">
        <v>3808.0360000000001</v>
      </c>
      <c r="D9" s="633">
        <f t="shared" si="0"/>
        <v>3808.0360000000001</v>
      </c>
      <c r="E9" s="760"/>
      <c r="F9" s="760">
        <f t="shared" si="1"/>
        <v>1606.6657076328715</v>
      </c>
      <c r="H9" s="537"/>
      <c r="J9" s="537"/>
      <c r="K9" s="443"/>
      <c r="L9" t="s">
        <v>200</v>
      </c>
      <c r="M9" s="736">
        <v>4547.0269863426693</v>
      </c>
      <c r="N9" s="537">
        <f>SUM(F3652:F4371)</f>
        <v>1797645.8277836586</v>
      </c>
      <c r="O9" s="604">
        <v>1.0246999999999999</v>
      </c>
      <c r="P9" s="537">
        <f t="shared" si="2"/>
        <v>1842047.679729915</v>
      </c>
    </row>
    <row r="10" spans="1:16">
      <c r="A10" s="640">
        <v>10113</v>
      </c>
      <c r="B10" s="640">
        <v>700</v>
      </c>
      <c r="C10" s="638">
        <v>3945.6959999999999</v>
      </c>
      <c r="D10" s="633">
        <f t="shared" si="0"/>
        <v>3945.6959999999999</v>
      </c>
      <c r="E10" s="760"/>
      <c r="F10" s="760">
        <f t="shared" si="1"/>
        <v>1664.7464614158559</v>
      </c>
      <c r="H10" s="537"/>
      <c r="J10" s="537"/>
      <c r="K10" s="443"/>
      <c r="L10" t="s">
        <v>201</v>
      </c>
      <c r="M10" s="736">
        <v>5000</v>
      </c>
      <c r="N10" s="537">
        <f>SUM(F4372:F5115)</f>
        <v>2113369.9720983976</v>
      </c>
      <c r="O10" s="604">
        <v>1.0246999999999999</v>
      </c>
      <c r="P10" s="537">
        <f t="shared" si="2"/>
        <v>2165570.2104092278</v>
      </c>
    </row>
    <row r="11" spans="1:16">
      <c r="A11" s="640">
        <v>10113</v>
      </c>
      <c r="B11" s="640">
        <v>800</v>
      </c>
      <c r="C11" s="638">
        <v>4011.308</v>
      </c>
      <c r="D11" s="633">
        <f t="shared" si="0"/>
        <v>4011.308</v>
      </c>
      <c r="E11" s="760"/>
      <c r="F11" s="760">
        <f t="shared" si="1"/>
        <v>1692.429117359552</v>
      </c>
      <c r="H11" s="537"/>
      <c r="J11" s="537"/>
      <c r="K11" s="443"/>
      <c r="L11" t="s">
        <v>202</v>
      </c>
      <c r="M11" s="736">
        <v>4233.2940774131703</v>
      </c>
      <c r="N11" s="537">
        <f>SUM(F5116:F5859)</f>
        <v>1908761.5595103994</v>
      </c>
      <c r="O11" s="604">
        <v>1.0246999999999999</v>
      </c>
      <c r="P11" s="537">
        <f t="shared" si="2"/>
        <v>1955907.9700303061</v>
      </c>
    </row>
    <row r="12" spans="1:16">
      <c r="A12" s="640">
        <v>10113</v>
      </c>
      <c r="B12" s="640">
        <v>900</v>
      </c>
      <c r="C12" s="638">
        <v>4040.6120000000001</v>
      </c>
      <c r="D12" s="633">
        <f t="shared" si="0"/>
        <v>4040.6120000000001</v>
      </c>
      <c r="E12" s="760"/>
      <c r="F12" s="760">
        <f t="shared" si="1"/>
        <v>1704.7929006579436</v>
      </c>
      <c r="H12" s="537"/>
      <c r="J12" s="537"/>
      <c r="K12" s="443"/>
      <c r="L12" t="s">
        <v>203</v>
      </c>
      <c r="M12" s="736">
        <v>4552.2466708479278</v>
      </c>
      <c r="N12" s="537">
        <f>SUM(F5860:F6579)</f>
        <v>1728364.7257110137</v>
      </c>
      <c r="O12" s="604">
        <v>1.0246999999999999</v>
      </c>
      <c r="P12" s="537">
        <f t="shared" si="2"/>
        <v>1771055.3344360755</v>
      </c>
    </row>
    <row r="13" spans="1:16">
      <c r="A13" s="640">
        <v>10113</v>
      </c>
      <c r="B13" s="640">
        <v>1000</v>
      </c>
      <c r="C13" s="638">
        <v>4236.5330000000004</v>
      </c>
      <c r="D13" s="633">
        <f t="shared" si="0"/>
        <v>4236.5330000000004</v>
      </c>
      <c r="E13" s="760"/>
      <c r="F13" s="760">
        <f t="shared" si="1"/>
        <v>1787.4548166968518</v>
      </c>
      <c r="H13" s="537"/>
      <c r="J13" s="537"/>
      <c r="K13" s="443"/>
      <c r="L13" t="s">
        <v>204</v>
      </c>
      <c r="M13" s="736">
        <v>3095.443357183618</v>
      </c>
      <c r="N13" s="537">
        <f>SUM(F6580:F7323)</f>
        <v>896753.50408559397</v>
      </c>
      <c r="O13" s="604">
        <v>1.0246999999999999</v>
      </c>
      <c r="P13" s="537">
        <f t="shared" si="2"/>
        <v>918903.31563650805</v>
      </c>
    </row>
    <row r="14" spans="1:16">
      <c r="A14" s="640">
        <v>10113</v>
      </c>
      <c r="B14" s="640">
        <v>1100</v>
      </c>
      <c r="C14" s="638">
        <v>4074.3910000000001</v>
      </c>
      <c r="D14" s="633">
        <f t="shared" si="0"/>
        <v>4074.3910000000001</v>
      </c>
      <c r="E14" s="760"/>
      <c r="F14" s="760">
        <f t="shared" si="1"/>
        <v>1719.0447514645352</v>
      </c>
      <c r="H14" s="537"/>
      <c r="J14" s="537"/>
      <c r="K14" s="443"/>
      <c r="L14" t="s">
        <v>205</v>
      </c>
      <c r="M14" s="736">
        <v>2523.3537848323867</v>
      </c>
      <c r="N14" s="537">
        <f>SUM(F7324:F8043)</f>
        <v>1107850.3370400395</v>
      </c>
      <c r="O14" s="604">
        <v>1.0246999999999999</v>
      </c>
      <c r="P14" s="537">
        <f t="shared" si="2"/>
        <v>1135214.2403649285</v>
      </c>
    </row>
    <row r="15" spans="1:16">
      <c r="A15" s="640">
        <v>10113</v>
      </c>
      <c r="B15" s="640">
        <v>1200</v>
      </c>
      <c r="C15" s="638">
        <v>4069.2779999999998</v>
      </c>
      <c r="D15" s="633">
        <f t="shared" si="0"/>
        <v>4069.2779999999998</v>
      </c>
      <c r="E15" s="760"/>
      <c r="F15" s="760">
        <f t="shared" si="1"/>
        <v>1716.8875024881268</v>
      </c>
      <c r="H15" s="537"/>
      <c r="J15" s="537"/>
      <c r="K15" s="443"/>
      <c r="L15" t="s">
        <v>206</v>
      </c>
      <c r="M15" s="736">
        <v>2870.1514459479567</v>
      </c>
      <c r="N15" s="537">
        <f>SUM(F8044:F8787)</f>
        <v>889959.40047162306</v>
      </c>
      <c r="O15" s="604">
        <v>1.0246999999999999</v>
      </c>
      <c r="P15" s="537">
        <f t="shared" si="2"/>
        <v>911941.3976632721</v>
      </c>
    </row>
    <row r="16" spans="1:16" ht="13.8" thickBot="1">
      <c r="A16" s="640">
        <v>10113</v>
      </c>
      <c r="B16" s="640">
        <v>1300</v>
      </c>
      <c r="C16" s="638">
        <v>4157.1480000000001</v>
      </c>
      <c r="D16" s="633">
        <f t="shared" si="0"/>
        <v>4157.1480000000001</v>
      </c>
      <c r="E16" s="760"/>
      <c r="F16" s="760">
        <f t="shared" si="1"/>
        <v>1753.9611319731687</v>
      </c>
      <c r="M16" s="635">
        <f>SUM(M4:M15)</f>
        <v>40073.436725163534</v>
      </c>
      <c r="N16" s="635">
        <f>SUM(N4:N15)</f>
        <v>17012413.820937574</v>
      </c>
      <c r="O16" s="635"/>
      <c r="P16" s="635">
        <f>SUM(P4:P15)</f>
        <v>17432620.442314733</v>
      </c>
    </row>
    <row r="17" spans="1:15" ht="13.8" thickTop="1">
      <c r="A17" s="640">
        <v>10113</v>
      </c>
      <c r="B17" s="640">
        <v>1400</v>
      </c>
      <c r="C17" s="638">
        <v>4135.3829999999998</v>
      </c>
      <c r="D17" s="633">
        <f t="shared" si="0"/>
        <v>4135.3829999999998</v>
      </c>
      <c r="E17" s="760"/>
      <c r="F17" s="760">
        <f t="shared" si="1"/>
        <v>1744.7781622936197</v>
      </c>
      <c r="M17" s="443"/>
    </row>
    <row r="18" spans="1:15">
      <c r="A18" s="640">
        <v>10113</v>
      </c>
      <c r="B18" s="640">
        <v>1500</v>
      </c>
      <c r="C18" s="638">
        <v>4129.55</v>
      </c>
      <c r="D18" s="633">
        <f t="shared" si="0"/>
        <v>4129.55</v>
      </c>
      <c r="E18" s="760"/>
      <c r="F18" s="760">
        <f t="shared" si="1"/>
        <v>1742.3171348577916</v>
      </c>
      <c r="M18" s="443"/>
    </row>
    <row r="19" spans="1:15">
      <c r="A19" s="640">
        <v>10113</v>
      </c>
      <c r="B19" s="640">
        <v>1600</v>
      </c>
      <c r="C19" s="638">
        <v>4347.8789999999999</v>
      </c>
      <c r="D19" s="633">
        <f t="shared" si="0"/>
        <v>4347.8789999999999</v>
      </c>
      <c r="E19" s="760"/>
      <c r="F19" s="760">
        <f t="shared" si="1"/>
        <v>1834.433311617091</v>
      </c>
      <c r="M19" s="443"/>
      <c r="N19" s="432"/>
    </row>
    <row r="20" spans="1:15">
      <c r="A20" s="640">
        <v>10113</v>
      </c>
      <c r="B20" s="640">
        <v>1700</v>
      </c>
      <c r="C20" s="638">
        <v>4795.8869999999997</v>
      </c>
      <c r="D20" s="633">
        <f t="shared" si="0"/>
        <v>4795.8869999999997</v>
      </c>
      <c r="E20" s="760"/>
      <c r="F20" s="760">
        <f t="shared" si="1"/>
        <v>2023.4543950168245</v>
      </c>
      <c r="M20" s="443"/>
      <c r="N20" s="443"/>
      <c r="O20" s="443"/>
    </row>
    <row r="21" spans="1:15">
      <c r="A21" s="640">
        <v>10113</v>
      </c>
      <c r="B21" s="640">
        <v>1800</v>
      </c>
      <c r="C21" s="638">
        <v>5494.0169999999998</v>
      </c>
      <c r="D21" s="633">
        <f t="shared" si="0"/>
        <v>5494.0169999999998</v>
      </c>
      <c r="E21" s="760"/>
      <c r="F21" s="760">
        <f t="shared" si="1"/>
        <v>2318.0055837318832</v>
      </c>
      <c r="M21" s="443"/>
      <c r="N21" s="443"/>
      <c r="O21" s="443"/>
    </row>
    <row r="22" spans="1:15">
      <c r="A22" s="640">
        <v>10113</v>
      </c>
      <c r="B22" s="640">
        <v>1900</v>
      </c>
      <c r="C22" s="638">
        <v>5703.7070000000003</v>
      </c>
      <c r="D22" s="633">
        <f t="shared" si="0"/>
        <v>5703.7070000000003</v>
      </c>
      <c r="E22" s="760"/>
      <c r="F22" s="760">
        <f t="shared" si="1"/>
        <v>2406.4768408926711</v>
      </c>
      <c r="M22" s="443"/>
      <c r="N22" s="443"/>
      <c r="O22" s="443"/>
    </row>
    <row r="23" spans="1:15">
      <c r="A23" s="640">
        <v>10113</v>
      </c>
      <c r="B23" s="640">
        <v>2000</v>
      </c>
      <c r="C23" s="638">
        <v>5625.2749999999996</v>
      </c>
      <c r="D23" s="633">
        <f t="shared" si="0"/>
        <v>5625.2749999999996</v>
      </c>
      <c r="E23" s="760"/>
      <c r="F23" s="760">
        <f t="shared" si="1"/>
        <v>2373.3852407131922</v>
      </c>
      <c r="M23" s="443"/>
      <c r="N23" s="443"/>
      <c r="O23" s="443"/>
    </row>
    <row r="24" spans="1:15">
      <c r="A24" s="640">
        <v>10113</v>
      </c>
      <c r="B24" s="640">
        <v>2100</v>
      </c>
      <c r="C24" s="638">
        <v>5460.4709999999995</v>
      </c>
      <c r="D24" s="633">
        <f t="shared" si="0"/>
        <v>5460.4709999999995</v>
      </c>
      <c r="E24" s="760"/>
      <c r="F24" s="760">
        <f t="shared" si="1"/>
        <v>2303.8520390100757</v>
      </c>
      <c r="M24" s="443"/>
      <c r="N24" s="443"/>
      <c r="O24" s="443"/>
    </row>
    <row r="25" spans="1:15">
      <c r="A25" s="640">
        <v>10113</v>
      </c>
      <c r="B25" s="640">
        <v>2200</v>
      </c>
      <c r="C25" s="638">
        <v>5236.2089999999998</v>
      </c>
      <c r="D25" s="633">
        <f t="shared" si="0"/>
        <v>5236.2089999999998</v>
      </c>
      <c r="E25" s="760"/>
      <c r="F25" s="760">
        <f t="shared" si="1"/>
        <v>2209.2326433622502</v>
      </c>
      <c r="M25" s="443"/>
      <c r="N25" s="443"/>
      <c r="O25" s="443"/>
    </row>
    <row r="26" spans="1:15">
      <c r="A26" s="640">
        <v>10113</v>
      </c>
      <c r="B26" s="640">
        <v>2300</v>
      </c>
      <c r="C26" s="638">
        <v>4694.9120000000003</v>
      </c>
      <c r="D26" s="633">
        <f t="shared" si="0"/>
        <v>4694.9120000000003</v>
      </c>
      <c r="E26" s="760"/>
      <c r="F26" s="760">
        <f t="shared" si="1"/>
        <v>1980.8515756558133</v>
      </c>
      <c r="M26" s="443"/>
      <c r="N26" s="443"/>
      <c r="O26" s="443"/>
    </row>
    <row r="27" spans="1:15">
      <c r="A27" s="640">
        <v>10113</v>
      </c>
      <c r="B27" s="640">
        <v>2400</v>
      </c>
      <c r="C27" s="638">
        <v>4102.0469999999996</v>
      </c>
      <c r="D27" s="633">
        <f t="shared" si="0"/>
        <v>4102.0469999999996</v>
      </c>
      <c r="E27" s="760"/>
      <c r="F27" s="760">
        <f t="shared" si="1"/>
        <v>1730.7132196224766</v>
      </c>
      <c r="M27" s="443"/>
      <c r="N27" s="443"/>
      <c r="O27" s="443"/>
    </row>
    <row r="28" spans="1:15">
      <c r="A28" s="640">
        <v>10213</v>
      </c>
      <c r="B28" s="640">
        <v>100</v>
      </c>
      <c r="C28" s="638">
        <v>3835.47</v>
      </c>
      <c r="D28" s="633">
        <f t="shared" si="0"/>
        <v>3835.47</v>
      </c>
      <c r="E28" s="760"/>
      <c r="F28" s="760">
        <f t="shared" si="1"/>
        <v>1618.2405107658249</v>
      </c>
      <c r="M28" s="443"/>
      <c r="N28" s="443"/>
      <c r="O28" s="443"/>
    </row>
    <row r="29" spans="1:15">
      <c r="A29" s="640">
        <v>10213</v>
      </c>
      <c r="B29" s="640">
        <v>200</v>
      </c>
      <c r="C29" s="638">
        <v>3842.9639999999999</v>
      </c>
      <c r="D29" s="633">
        <f t="shared" si="0"/>
        <v>3842.9639999999999</v>
      </c>
      <c r="E29" s="760"/>
      <c r="F29" s="760">
        <f t="shared" si="1"/>
        <v>1621.4023382309542</v>
      </c>
      <c r="M29" s="443"/>
      <c r="N29" s="443"/>
      <c r="O29" s="443"/>
    </row>
    <row r="30" spans="1:15">
      <c r="A30" s="640">
        <v>10213</v>
      </c>
      <c r="B30" s="640">
        <v>300</v>
      </c>
      <c r="C30" s="638">
        <v>3751.8330000000001</v>
      </c>
      <c r="D30" s="633">
        <f t="shared" si="0"/>
        <v>3751.8330000000001</v>
      </c>
      <c r="E30" s="760"/>
      <c r="F30" s="760">
        <f t="shared" si="1"/>
        <v>1582.9528454734566</v>
      </c>
      <c r="M30" s="443"/>
      <c r="N30" s="443"/>
      <c r="O30" s="443"/>
    </row>
    <row r="31" spans="1:15">
      <c r="A31" s="640">
        <v>10213</v>
      </c>
      <c r="B31" s="640">
        <v>400</v>
      </c>
      <c r="C31" s="638">
        <v>3738.9870000000001</v>
      </c>
      <c r="D31" s="633">
        <f t="shared" si="0"/>
        <v>3738.9870000000001</v>
      </c>
      <c r="E31" s="760"/>
      <c r="F31" s="760">
        <f t="shared" si="1"/>
        <v>1577.5329314599724</v>
      </c>
      <c r="M31" s="443"/>
      <c r="N31" s="443"/>
      <c r="O31" s="443"/>
    </row>
    <row r="32" spans="1:15">
      <c r="A32" s="640">
        <v>10213</v>
      </c>
      <c r="B32" s="640">
        <v>500</v>
      </c>
      <c r="C32" s="638">
        <v>3798.98</v>
      </c>
      <c r="D32" s="633">
        <f t="shared" si="0"/>
        <v>3798.98</v>
      </c>
      <c r="E32" s="760"/>
      <c r="F32" s="760">
        <f t="shared" si="1"/>
        <v>1602.8448496766118</v>
      </c>
      <c r="M32" s="443"/>
    </row>
    <row r="33" spans="1:13">
      <c r="A33" s="640">
        <v>10213</v>
      </c>
      <c r="B33" s="640">
        <v>600</v>
      </c>
      <c r="C33" s="638">
        <v>4127.2039999999997</v>
      </c>
      <c r="D33" s="633">
        <f t="shared" si="0"/>
        <v>4127.2039999999997</v>
      </c>
      <c r="E33" s="760"/>
      <c r="F33" s="760">
        <f t="shared" si="1"/>
        <v>1741.3273233775146</v>
      </c>
      <c r="M33" s="443"/>
    </row>
    <row r="34" spans="1:13">
      <c r="A34" s="640">
        <v>10213</v>
      </c>
      <c r="B34" s="640">
        <v>700</v>
      </c>
      <c r="C34" s="638">
        <v>4455.5709999999999</v>
      </c>
      <c r="D34" s="633">
        <f t="shared" si="0"/>
        <v>4455.5709999999999</v>
      </c>
      <c r="E34" s="760"/>
      <c r="F34" s="760">
        <f t="shared" si="1"/>
        <v>1879.8701308557747</v>
      </c>
      <c r="M34" s="443"/>
    </row>
    <row r="35" spans="1:13">
      <c r="A35" s="640">
        <v>10213</v>
      </c>
      <c r="B35" s="640">
        <v>800</v>
      </c>
      <c r="C35" s="638">
        <v>4680.4709999999995</v>
      </c>
      <c r="D35" s="633">
        <f t="shared" si="0"/>
        <v>4680.4709999999995</v>
      </c>
      <c r="E35" s="760"/>
      <c r="F35" s="760">
        <f t="shared" si="1"/>
        <v>1974.7587079718082</v>
      </c>
      <c r="M35" s="443"/>
    </row>
    <row r="36" spans="1:13">
      <c r="A36" s="640">
        <v>10213</v>
      </c>
      <c r="B36" s="640">
        <v>900</v>
      </c>
      <c r="C36" s="638">
        <v>4608.1869999999999</v>
      </c>
      <c r="D36" s="633">
        <f t="shared" si="0"/>
        <v>4608.1869999999999</v>
      </c>
      <c r="E36" s="760"/>
      <c r="F36" s="760">
        <f t="shared" si="1"/>
        <v>1944.2610383041542</v>
      </c>
      <c r="M36" s="443"/>
    </row>
    <row r="37" spans="1:13">
      <c r="A37" s="640">
        <v>10213</v>
      </c>
      <c r="B37" s="640">
        <v>1000</v>
      </c>
      <c r="C37" s="638">
        <v>4535.8270000000002</v>
      </c>
      <c r="D37" s="633">
        <f t="shared" si="0"/>
        <v>4535.8270000000002</v>
      </c>
      <c r="E37" s="760"/>
      <c r="F37" s="760">
        <f t="shared" si="1"/>
        <v>1913.7313031324506</v>
      </c>
      <c r="M37" s="443"/>
    </row>
    <row r="38" spans="1:13">
      <c r="A38" s="640">
        <v>10213</v>
      </c>
      <c r="B38" s="640">
        <v>1100</v>
      </c>
      <c r="C38" s="638">
        <v>4241.2309999999998</v>
      </c>
      <c r="D38" s="633">
        <f t="shared" si="0"/>
        <v>4241.2309999999998</v>
      </c>
      <c r="E38" s="760"/>
      <c r="F38" s="760">
        <f t="shared" si="1"/>
        <v>1789.4369711445665</v>
      </c>
      <c r="M38" s="443"/>
    </row>
    <row r="39" spans="1:13">
      <c r="A39" s="640">
        <v>10213</v>
      </c>
      <c r="B39" s="640">
        <v>1200</v>
      </c>
      <c r="C39" s="638">
        <v>4132.4480000000003</v>
      </c>
      <c r="D39" s="633">
        <f t="shared" si="0"/>
        <v>4132.4480000000003</v>
      </c>
      <c r="E39" s="760"/>
      <c r="F39" s="760">
        <f t="shared" si="1"/>
        <v>1743.539843156957</v>
      </c>
      <c r="M39" s="443"/>
    </row>
    <row r="40" spans="1:13">
      <c r="A40" s="640">
        <v>10213</v>
      </c>
      <c r="B40" s="640">
        <v>1300</v>
      </c>
      <c r="C40" s="638">
        <v>4077.4070000000002</v>
      </c>
      <c r="D40" s="633">
        <f t="shared" si="0"/>
        <v>4077.4070000000002</v>
      </c>
      <c r="E40" s="760"/>
      <c r="F40" s="760">
        <f t="shared" si="1"/>
        <v>1720.3172456778832</v>
      </c>
      <c r="M40" s="443"/>
    </row>
    <row r="41" spans="1:13">
      <c r="A41" s="640">
        <v>10213</v>
      </c>
      <c r="B41" s="640">
        <v>1400</v>
      </c>
      <c r="C41" s="638">
        <v>4006.402</v>
      </c>
      <c r="D41" s="633">
        <f t="shared" si="0"/>
        <v>4006.402</v>
      </c>
      <c r="E41" s="760"/>
      <c r="F41" s="760">
        <f t="shared" si="1"/>
        <v>1690.3592046902265</v>
      </c>
      <c r="M41" s="443"/>
    </row>
    <row r="42" spans="1:13">
      <c r="A42" s="640">
        <v>10213</v>
      </c>
      <c r="B42" s="640">
        <v>1500</v>
      </c>
      <c r="C42" s="638">
        <v>3948.8240000000001</v>
      </c>
      <c r="D42" s="633">
        <f t="shared" si="0"/>
        <v>3948.8240000000001</v>
      </c>
      <c r="E42" s="760"/>
      <c r="F42" s="760">
        <f t="shared" si="1"/>
        <v>1666.0662100562249</v>
      </c>
      <c r="M42" s="443"/>
    </row>
    <row r="43" spans="1:13">
      <c r="A43" s="640">
        <v>10213</v>
      </c>
      <c r="B43" s="640">
        <v>1600</v>
      </c>
      <c r="C43" s="638">
        <v>4331.8140000000003</v>
      </c>
      <c r="D43" s="633">
        <f t="shared" si="0"/>
        <v>4331.8140000000003</v>
      </c>
      <c r="E43" s="760"/>
      <c r="F43" s="760">
        <f t="shared" si="1"/>
        <v>1827.6552547412841</v>
      </c>
      <c r="M43" s="443"/>
    </row>
    <row r="44" spans="1:13">
      <c r="A44" s="640">
        <v>10213</v>
      </c>
      <c r="B44" s="640">
        <v>1700</v>
      </c>
      <c r="C44" s="638">
        <v>4636.8180000000002</v>
      </c>
      <c r="D44" s="633">
        <f t="shared" si="0"/>
        <v>4636.8180000000002</v>
      </c>
      <c r="E44" s="760"/>
      <c r="F44" s="760">
        <f t="shared" si="1"/>
        <v>1956.3408731258939</v>
      </c>
      <c r="M44" s="443"/>
    </row>
    <row r="45" spans="1:13">
      <c r="A45" s="640">
        <v>10213</v>
      </c>
      <c r="B45" s="640">
        <v>1800</v>
      </c>
      <c r="C45" s="638">
        <v>5399.8680000000004</v>
      </c>
      <c r="D45" s="633">
        <f t="shared" si="0"/>
        <v>5399.8680000000004</v>
      </c>
      <c r="E45" s="760"/>
      <c r="F45" s="760">
        <f t="shared" si="1"/>
        <v>2278.2827529319839</v>
      </c>
      <c r="M45" s="443"/>
    </row>
    <row r="46" spans="1:13">
      <c r="A46" s="640">
        <v>10213</v>
      </c>
      <c r="B46" s="640">
        <v>1900</v>
      </c>
      <c r="C46" s="638">
        <v>5629.6970000000001</v>
      </c>
      <c r="D46" s="633">
        <f t="shared" si="0"/>
        <v>5629.6970000000001</v>
      </c>
      <c r="E46" s="760"/>
      <c r="F46" s="760">
        <f t="shared" si="1"/>
        <v>2375.2509467514628</v>
      </c>
      <c r="M46" s="443"/>
    </row>
    <row r="47" spans="1:13">
      <c r="A47" s="640">
        <v>10213</v>
      </c>
      <c r="B47" s="640">
        <v>2000</v>
      </c>
      <c r="C47" s="638">
        <v>5582.09</v>
      </c>
      <c r="D47" s="633">
        <f t="shared" si="0"/>
        <v>5582.09</v>
      </c>
      <c r="E47" s="760"/>
      <c r="F47" s="760">
        <f t="shared" si="1"/>
        <v>2355.1648618659005</v>
      </c>
      <c r="M47" s="443"/>
    </row>
    <row r="48" spans="1:13">
      <c r="A48" s="640">
        <v>10213</v>
      </c>
      <c r="B48" s="640">
        <v>2100</v>
      </c>
      <c r="C48" s="638">
        <v>5397.915</v>
      </c>
      <c r="D48" s="633">
        <f t="shared" si="0"/>
        <v>5397.915</v>
      </c>
      <c r="E48" s="760"/>
      <c r="F48" s="760">
        <f t="shared" si="1"/>
        <v>2277.4587538608066</v>
      </c>
      <c r="M48" s="443"/>
    </row>
    <row r="49" spans="1:13">
      <c r="A49" s="640">
        <v>10213</v>
      </c>
      <c r="B49" s="640">
        <v>2200</v>
      </c>
      <c r="C49" s="638">
        <v>5175.9939999999997</v>
      </c>
      <c r="D49" s="633">
        <f t="shared" si="0"/>
        <v>5175.9939999999997</v>
      </c>
      <c r="E49" s="760"/>
      <c r="F49" s="760">
        <f t="shared" si="1"/>
        <v>2183.8270601206227</v>
      </c>
      <c r="M49" s="443"/>
    </row>
    <row r="50" spans="1:13">
      <c r="A50" s="640">
        <v>10213</v>
      </c>
      <c r="B50" s="640">
        <v>2300</v>
      </c>
      <c r="C50" s="638">
        <v>4713.4560000000001</v>
      </c>
      <c r="D50" s="633">
        <f t="shared" si="0"/>
        <v>4713.4560000000001</v>
      </c>
      <c r="E50" s="760"/>
      <c r="F50" s="760">
        <f t="shared" si="1"/>
        <v>1988.6755586439845</v>
      </c>
      <c r="M50" s="443"/>
    </row>
    <row r="51" spans="1:13">
      <c r="A51" s="640">
        <v>10213</v>
      </c>
      <c r="B51" s="640">
        <v>2400</v>
      </c>
      <c r="C51" s="638">
        <v>4143.6180000000004</v>
      </c>
      <c r="D51" s="633">
        <f t="shared" si="0"/>
        <v>4143.6180000000004</v>
      </c>
      <c r="E51" s="760"/>
      <c r="F51" s="760">
        <f t="shared" si="1"/>
        <v>1748.2526284232356</v>
      </c>
      <c r="M51" s="443"/>
    </row>
    <row r="52" spans="1:13">
      <c r="A52" s="640">
        <v>10313</v>
      </c>
      <c r="B52" s="640">
        <v>100</v>
      </c>
      <c r="C52" s="638">
        <v>3753.7669999999998</v>
      </c>
      <c r="D52" s="633">
        <f t="shared" si="0"/>
        <v>3753.7669999999998</v>
      </c>
      <c r="E52" s="760"/>
      <c r="F52" s="760">
        <f t="shared" si="1"/>
        <v>1583.7688281686203</v>
      </c>
      <c r="M52" s="443"/>
    </row>
    <row r="53" spans="1:13">
      <c r="A53" s="640">
        <v>10313</v>
      </c>
      <c r="B53" s="640">
        <v>200</v>
      </c>
      <c r="C53" s="638">
        <v>3721.9290000000001</v>
      </c>
      <c r="D53" s="633">
        <f t="shared" si="0"/>
        <v>3721.9290000000001</v>
      </c>
      <c r="E53" s="760"/>
      <c r="F53" s="760">
        <f t="shared" si="1"/>
        <v>1570.3359134588816</v>
      </c>
      <c r="M53" s="443"/>
    </row>
    <row r="54" spans="1:13">
      <c r="A54" s="640">
        <v>10313</v>
      </c>
      <c r="B54" s="640">
        <v>300</v>
      </c>
      <c r="C54" s="638">
        <v>3673.433</v>
      </c>
      <c r="D54" s="633">
        <f t="shared" si="0"/>
        <v>3673.433</v>
      </c>
      <c r="E54" s="760"/>
      <c r="F54" s="760">
        <f t="shared" si="1"/>
        <v>1549.8747465588408</v>
      </c>
      <c r="M54" s="443"/>
    </row>
    <row r="55" spans="1:13">
      <c r="A55" s="640">
        <v>10313</v>
      </c>
      <c r="B55" s="640">
        <v>400</v>
      </c>
      <c r="C55" s="638">
        <v>3681.8180000000002</v>
      </c>
      <c r="D55" s="633">
        <f t="shared" si="0"/>
        <v>3681.8180000000002</v>
      </c>
      <c r="E55" s="760"/>
      <c r="F55" s="760">
        <f t="shared" si="1"/>
        <v>1553.4124998675024</v>
      </c>
      <c r="M55" s="443"/>
    </row>
    <row r="56" spans="1:13">
      <c r="A56" s="640">
        <v>10313</v>
      </c>
      <c r="B56" s="640">
        <v>500</v>
      </c>
      <c r="C56" s="638">
        <v>3820.3510000000001</v>
      </c>
      <c r="D56" s="633">
        <f t="shared" si="0"/>
        <v>3820.3510000000001</v>
      </c>
      <c r="E56" s="760"/>
      <c r="F56" s="760">
        <f t="shared" si="1"/>
        <v>1611.8615850325334</v>
      </c>
      <c r="M56" s="443"/>
    </row>
    <row r="57" spans="1:13">
      <c r="A57" s="640">
        <v>10313</v>
      </c>
      <c r="B57" s="640">
        <v>600</v>
      </c>
      <c r="C57" s="638">
        <v>4118.2370000000001</v>
      </c>
      <c r="D57" s="633">
        <f t="shared" si="0"/>
        <v>4118.2370000000001</v>
      </c>
      <c r="E57" s="760"/>
      <c r="F57" s="760">
        <f t="shared" si="1"/>
        <v>1737.5440158141557</v>
      </c>
      <c r="M57" s="443"/>
    </row>
    <row r="58" spans="1:13">
      <c r="A58" s="640">
        <v>10313</v>
      </c>
      <c r="B58" s="640">
        <v>700</v>
      </c>
      <c r="C58" s="638">
        <v>4425.62</v>
      </c>
      <c r="D58" s="633">
        <f t="shared" si="0"/>
        <v>4425.62</v>
      </c>
      <c r="E58" s="760"/>
      <c r="F58" s="760">
        <f t="shared" si="1"/>
        <v>1867.2333688584322</v>
      </c>
      <c r="M58" s="443"/>
    </row>
    <row r="59" spans="1:13">
      <c r="A59" s="640">
        <v>10313</v>
      </c>
      <c r="B59" s="640">
        <v>800</v>
      </c>
      <c r="C59" s="638">
        <v>4691.6819999999998</v>
      </c>
      <c r="D59" s="633">
        <f t="shared" si="0"/>
        <v>4691.6819999999998</v>
      </c>
      <c r="E59" s="760"/>
      <c r="F59" s="760">
        <f t="shared" si="1"/>
        <v>1979.4887917336932</v>
      </c>
      <c r="M59" s="443"/>
    </row>
    <row r="60" spans="1:13">
      <c r="A60" s="640">
        <v>10313</v>
      </c>
      <c r="B60" s="640">
        <v>900</v>
      </c>
      <c r="C60" s="638">
        <v>4693.442</v>
      </c>
      <c r="D60" s="633">
        <f t="shared" si="0"/>
        <v>4693.442</v>
      </c>
      <c r="E60" s="760"/>
      <c r="F60" s="760">
        <f t="shared" si="1"/>
        <v>1980.2313613011643</v>
      </c>
      <c r="M60" s="443"/>
    </row>
    <row r="61" spans="1:13">
      <c r="A61" s="640">
        <v>10313</v>
      </c>
      <c r="B61" s="640">
        <v>1000</v>
      </c>
      <c r="C61" s="638">
        <v>4654.0749999999998</v>
      </c>
      <c r="D61" s="633">
        <f t="shared" si="0"/>
        <v>4654.0749999999998</v>
      </c>
      <c r="E61" s="760"/>
      <c r="F61" s="760">
        <f t="shared" si="1"/>
        <v>1963.6218521178519</v>
      </c>
      <c r="M61" s="443"/>
    </row>
    <row r="62" spans="1:13">
      <c r="A62" s="640">
        <v>10313</v>
      </c>
      <c r="B62" s="640">
        <v>1100</v>
      </c>
      <c r="C62" s="638">
        <v>4561.4319999999998</v>
      </c>
      <c r="D62" s="633">
        <f t="shared" si="0"/>
        <v>4561.4319999999998</v>
      </c>
      <c r="E62" s="760"/>
      <c r="F62" s="760">
        <f t="shared" si="1"/>
        <v>1924.5344245955721</v>
      </c>
      <c r="M62" s="443"/>
    </row>
    <row r="63" spans="1:13">
      <c r="A63" s="640">
        <v>10313</v>
      </c>
      <c r="B63" s="640">
        <v>1200</v>
      </c>
      <c r="C63" s="638">
        <v>4561.6639999999998</v>
      </c>
      <c r="D63" s="633">
        <f t="shared" si="0"/>
        <v>4561.6639999999998</v>
      </c>
      <c r="E63" s="760"/>
      <c r="F63" s="760">
        <f t="shared" si="1"/>
        <v>1924.6323087658297</v>
      </c>
      <c r="M63" s="443"/>
    </row>
    <row r="64" spans="1:13">
      <c r="A64" s="640">
        <v>10313</v>
      </c>
      <c r="B64" s="640">
        <v>1300</v>
      </c>
      <c r="C64" s="638">
        <v>4497.7809999999999</v>
      </c>
      <c r="D64" s="633">
        <f t="shared" si="0"/>
        <v>4497.7809999999999</v>
      </c>
      <c r="E64" s="760"/>
      <c r="F64" s="760">
        <f t="shared" si="1"/>
        <v>1897.6791430392689</v>
      </c>
      <c r="M64" s="443"/>
    </row>
    <row r="65" spans="1:13">
      <c r="A65" s="640">
        <v>10313</v>
      </c>
      <c r="B65" s="640">
        <v>1400</v>
      </c>
      <c r="C65" s="638">
        <v>4310.2749999999996</v>
      </c>
      <c r="D65" s="633">
        <f t="shared" si="0"/>
        <v>4310.2749999999996</v>
      </c>
      <c r="E65" s="760"/>
      <c r="F65" s="760">
        <f t="shared" si="1"/>
        <v>1818.5676377448308</v>
      </c>
      <c r="M65" s="443"/>
    </row>
    <row r="66" spans="1:13">
      <c r="A66" s="640">
        <v>10313</v>
      </c>
      <c r="B66" s="640">
        <v>1500</v>
      </c>
      <c r="C66" s="638">
        <v>4412.4560000000001</v>
      </c>
      <c r="D66" s="633">
        <f t="shared" si="0"/>
        <v>4412.4560000000001</v>
      </c>
      <c r="E66" s="760"/>
      <c r="F66" s="760">
        <f t="shared" si="1"/>
        <v>1861.6792860253711</v>
      </c>
      <c r="M66" s="443"/>
    </row>
    <row r="67" spans="1:13">
      <c r="A67" s="640">
        <v>10313</v>
      </c>
      <c r="B67" s="640">
        <v>1600</v>
      </c>
      <c r="C67" s="638">
        <v>4529.74</v>
      </c>
      <c r="D67" s="633">
        <f t="shared" si="0"/>
        <v>4529.74</v>
      </c>
      <c r="E67" s="760"/>
      <c r="F67" s="760">
        <f t="shared" si="1"/>
        <v>1911.1631094067711</v>
      </c>
      <c r="M67" s="443"/>
    </row>
    <row r="68" spans="1:13">
      <c r="A68" s="640">
        <v>10313</v>
      </c>
      <c r="B68" s="640">
        <v>1700</v>
      </c>
      <c r="C68" s="638">
        <v>4835.1899999999996</v>
      </c>
      <c r="D68" s="633">
        <f t="shared" si="0"/>
        <v>4835.1899999999996</v>
      </c>
      <c r="E68" s="760"/>
      <c r="F68" s="760">
        <f t="shared" ref="F68:F131" si="3">(D68/(MAX($D$4:$D$747)))*$M$4</f>
        <v>2040.0369016704105</v>
      </c>
      <c r="M68" s="443"/>
    </row>
    <row r="69" spans="1:13">
      <c r="A69" s="640">
        <v>10313</v>
      </c>
      <c r="B69" s="640">
        <v>1800</v>
      </c>
      <c r="C69" s="638">
        <v>5516.3029999999999</v>
      </c>
      <c r="D69" s="633">
        <f t="shared" ref="D69:D132" si="4">C69</f>
        <v>5516.3029999999999</v>
      </c>
      <c r="E69" s="760"/>
      <c r="F69" s="760">
        <f t="shared" si="3"/>
        <v>2327.4083708799844</v>
      </c>
      <c r="M69" s="443"/>
    </row>
    <row r="70" spans="1:13">
      <c r="A70" s="640">
        <v>10313</v>
      </c>
      <c r="B70" s="640">
        <v>1900</v>
      </c>
      <c r="C70" s="638">
        <v>5608.3789999999999</v>
      </c>
      <c r="D70" s="633">
        <f t="shared" si="4"/>
        <v>5608.3789999999999</v>
      </c>
      <c r="E70" s="760"/>
      <c r="F70" s="760">
        <f t="shared" si="3"/>
        <v>2366.2565728654708</v>
      </c>
      <c r="M70" s="443"/>
    </row>
    <row r="71" spans="1:13">
      <c r="A71" s="640">
        <v>10313</v>
      </c>
      <c r="B71" s="640">
        <v>2000</v>
      </c>
      <c r="C71" s="638">
        <v>5582.32</v>
      </c>
      <c r="D71" s="633">
        <f t="shared" si="4"/>
        <v>5582.32</v>
      </c>
      <c r="E71" s="760"/>
      <c r="F71" s="760">
        <f t="shared" si="3"/>
        <v>2355.2619022071035</v>
      </c>
      <c r="M71" s="443"/>
    </row>
    <row r="72" spans="1:13">
      <c r="A72" s="640">
        <v>10313</v>
      </c>
      <c r="B72" s="640">
        <v>2100</v>
      </c>
      <c r="C72" s="638">
        <v>5435.0370000000003</v>
      </c>
      <c r="D72" s="633">
        <f t="shared" si="4"/>
        <v>5435.0370000000003</v>
      </c>
      <c r="E72" s="760"/>
      <c r="F72" s="760">
        <f t="shared" si="3"/>
        <v>2293.1210649310665</v>
      </c>
      <c r="M72" s="443"/>
    </row>
    <row r="73" spans="1:13">
      <c r="A73" s="640">
        <v>10313</v>
      </c>
      <c r="B73" s="640">
        <v>2200</v>
      </c>
      <c r="C73" s="638">
        <v>5173.24</v>
      </c>
      <c r="D73" s="633">
        <f t="shared" si="4"/>
        <v>5173.24</v>
      </c>
      <c r="E73" s="760"/>
      <c r="F73" s="760">
        <f t="shared" si="3"/>
        <v>2182.6651075133418</v>
      </c>
      <c r="M73" s="443"/>
    </row>
    <row r="74" spans="1:13">
      <c r="A74" s="640">
        <v>10313</v>
      </c>
      <c r="B74" s="640">
        <v>2300</v>
      </c>
      <c r="C74" s="638">
        <v>4571.1400000000003</v>
      </c>
      <c r="D74" s="633">
        <f t="shared" si="4"/>
        <v>4571.1400000000003</v>
      </c>
      <c r="E74" s="760"/>
      <c r="F74" s="760">
        <f t="shared" si="3"/>
        <v>1928.6303708234179</v>
      </c>
      <c r="M74" s="443"/>
    </row>
    <row r="75" spans="1:13">
      <c r="A75" s="640">
        <v>10313</v>
      </c>
      <c r="B75" s="640">
        <v>2400</v>
      </c>
      <c r="C75" s="638">
        <v>3996.1039999999998</v>
      </c>
      <c r="D75" s="633">
        <f t="shared" si="4"/>
        <v>3996.1039999999998</v>
      </c>
      <c r="E75" s="760"/>
      <c r="F75" s="760">
        <f t="shared" si="3"/>
        <v>1686.0143288914676</v>
      </c>
      <c r="M75" s="443"/>
    </row>
    <row r="76" spans="1:13">
      <c r="A76" s="640">
        <v>10413</v>
      </c>
      <c r="B76" s="640">
        <v>100</v>
      </c>
      <c r="C76" s="638">
        <v>3739.5880000000002</v>
      </c>
      <c r="D76" s="633">
        <f t="shared" si="4"/>
        <v>3739.5880000000002</v>
      </c>
      <c r="E76" s="760"/>
      <c r="F76" s="760">
        <f t="shared" si="3"/>
        <v>1577.7865020906827</v>
      </c>
      <c r="M76" s="443"/>
    </row>
    <row r="77" spans="1:13">
      <c r="A77" s="640">
        <v>10413</v>
      </c>
      <c r="B77" s="640">
        <v>200</v>
      </c>
      <c r="C77" s="638">
        <v>3755.1260000000002</v>
      </c>
      <c r="D77" s="633">
        <f t="shared" si="4"/>
        <v>3755.1260000000002</v>
      </c>
      <c r="E77" s="760"/>
      <c r="F77" s="760">
        <f t="shared" si="3"/>
        <v>1584.3422100107757</v>
      </c>
      <c r="M77" s="443"/>
    </row>
    <row r="78" spans="1:13">
      <c r="A78" s="640">
        <v>10413</v>
      </c>
      <c r="B78" s="640">
        <v>300</v>
      </c>
      <c r="C78" s="638">
        <v>3683.9960000000001</v>
      </c>
      <c r="D78" s="633">
        <f t="shared" si="4"/>
        <v>3683.9960000000001</v>
      </c>
      <c r="E78" s="760"/>
      <c r="F78" s="760">
        <f t="shared" si="3"/>
        <v>1554.3314297072477</v>
      </c>
      <c r="M78" s="443"/>
    </row>
    <row r="79" spans="1:13">
      <c r="A79" s="640">
        <v>10413</v>
      </c>
      <c r="B79" s="640">
        <v>400</v>
      </c>
      <c r="C79" s="638">
        <v>3669.67</v>
      </c>
      <c r="D79" s="633">
        <f t="shared" si="4"/>
        <v>3669.67</v>
      </c>
      <c r="E79" s="760"/>
      <c r="F79" s="760">
        <f t="shared" si="3"/>
        <v>1548.287082193845</v>
      </c>
      <c r="M79" s="443"/>
    </row>
    <row r="80" spans="1:13">
      <c r="A80" s="640">
        <v>10413</v>
      </c>
      <c r="B80" s="640">
        <v>500</v>
      </c>
      <c r="C80" s="638">
        <v>3812.3519999999999</v>
      </c>
      <c r="D80" s="633">
        <f t="shared" si="4"/>
        <v>3812.3519999999999</v>
      </c>
      <c r="E80" s="760"/>
      <c r="F80" s="760">
        <f t="shared" si="3"/>
        <v>1608.4866907312833</v>
      </c>
      <c r="M80" s="443"/>
    </row>
    <row r="81" spans="1:13">
      <c r="A81" s="640">
        <v>10413</v>
      </c>
      <c r="B81" s="640">
        <v>600</v>
      </c>
      <c r="C81" s="638">
        <v>4110.9620000000004</v>
      </c>
      <c r="D81" s="633">
        <f t="shared" si="4"/>
        <v>4110.9620000000004</v>
      </c>
      <c r="E81" s="760"/>
      <c r="F81" s="760">
        <f t="shared" si="3"/>
        <v>1734.4745876304335</v>
      </c>
      <c r="M81" s="443"/>
    </row>
    <row r="82" spans="1:13">
      <c r="A82" s="640">
        <v>10413</v>
      </c>
      <c r="B82" s="640">
        <v>700</v>
      </c>
      <c r="C82" s="638">
        <v>4412.4480000000003</v>
      </c>
      <c r="D82" s="633">
        <f t="shared" si="4"/>
        <v>4412.4480000000003</v>
      </c>
      <c r="E82" s="760"/>
      <c r="F82" s="760">
        <f t="shared" si="3"/>
        <v>1861.6759107091552</v>
      </c>
      <c r="M82" s="443"/>
    </row>
    <row r="83" spans="1:13">
      <c r="A83" s="640">
        <v>10413</v>
      </c>
      <c r="B83" s="640">
        <v>800</v>
      </c>
      <c r="C83" s="638">
        <v>4657.6109999999999</v>
      </c>
      <c r="D83" s="633">
        <f t="shared" si="4"/>
        <v>4657.6109999999999</v>
      </c>
      <c r="E83" s="760"/>
      <c r="F83" s="760">
        <f t="shared" si="3"/>
        <v>1965.1137418852254</v>
      </c>
      <c r="M83" s="443"/>
    </row>
    <row r="84" spans="1:13">
      <c r="A84" s="640">
        <v>10413</v>
      </c>
      <c r="B84" s="640">
        <v>900</v>
      </c>
      <c r="C84" s="638">
        <v>4697.0510000000004</v>
      </c>
      <c r="D84" s="633">
        <f t="shared" si="4"/>
        <v>4697.0510000000004</v>
      </c>
      <c r="E84" s="760"/>
      <c r="F84" s="760">
        <f t="shared" si="3"/>
        <v>1981.7540508290067</v>
      </c>
      <c r="M84" s="443"/>
    </row>
    <row r="85" spans="1:13">
      <c r="A85" s="640">
        <v>10413</v>
      </c>
      <c r="B85" s="640">
        <v>1000</v>
      </c>
      <c r="C85" s="638">
        <v>4746.8980000000001</v>
      </c>
      <c r="D85" s="633">
        <f t="shared" si="4"/>
        <v>4746.8980000000001</v>
      </c>
      <c r="E85" s="760"/>
      <c r="F85" s="760">
        <f t="shared" si="3"/>
        <v>2002.7852242549866</v>
      </c>
      <c r="M85" s="443"/>
    </row>
    <row r="86" spans="1:13">
      <c r="A86" s="640">
        <v>10413</v>
      </c>
      <c r="B86" s="640">
        <v>1100</v>
      </c>
      <c r="C86" s="638">
        <v>4605.5789999999997</v>
      </c>
      <c r="D86" s="633">
        <f t="shared" si="4"/>
        <v>4605.5789999999997</v>
      </c>
      <c r="E86" s="760"/>
      <c r="F86" s="760">
        <f t="shared" si="3"/>
        <v>1943.1606852178111</v>
      </c>
      <c r="M86" s="443"/>
    </row>
    <row r="87" spans="1:13">
      <c r="A87" s="640">
        <v>10413</v>
      </c>
      <c r="B87" s="640">
        <v>1200</v>
      </c>
      <c r="C87" s="638">
        <v>4441.1379999999999</v>
      </c>
      <c r="D87" s="633">
        <f t="shared" si="4"/>
        <v>4441.1379999999999</v>
      </c>
      <c r="E87" s="760"/>
      <c r="F87" s="760">
        <f t="shared" si="3"/>
        <v>1873.7806384879857</v>
      </c>
      <c r="M87" s="443"/>
    </row>
    <row r="88" spans="1:13">
      <c r="A88" s="640">
        <v>10413</v>
      </c>
      <c r="B88" s="640">
        <v>1300</v>
      </c>
      <c r="C88" s="638">
        <v>4603.1350000000002</v>
      </c>
      <c r="D88" s="633">
        <f t="shared" si="4"/>
        <v>4603.1350000000002</v>
      </c>
      <c r="E88" s="760"/>
      <c r="F88" s="760">
        <f t="shared" si="3"/>
        <v>1942.1295261138914</v>
      </c>
      <c r="M88" s="443"/>
    </row>
    <row r="89" spans="1:13">
      <c r="A89" s="640">
        <v>10413</v>
      </c>
      <c r="B89" s="640">
        <v>1400</v>
      </c>
      <c r="C89" s="638">
        <v>4620.3379999999997</v>
      </c>
      <c r="D89" s="633">
        <f t="shared" si="4"/>
        <v>4620.3379999999997</v>
      </c>
      <c r="E89" s="760"/>
      <c r="F89" s="760">
        <f t="shared" si="3"/>
        <v>1949.3877217213928</v>
      </c>
      <c r="M89" s="443"/>
    </row>
    <row r="90" spans="1:13">
      <c r="A90" s="640">
        <v>10413</v>
      </c>
      <c r="B90" s="640">
        <v>1500</v>
      </c>
      <c r="C90" s="638">
        <v>4648.6279999999997</v>
      </c>
      <c r="D90" s="633">
        <f t="shared" si="4"/>
        <v>4648.6279999999997</v>
      </c>
      <c r="E90" s="760"/>
      <c r="F90" s="760">
        <f t="shared" si="3"/>
        <v>1961.3236836894346</v>
      </c>
      <c r="M90" s="443"/>
    </row>
    <row r="91" spans="1:13">
      <c r="A91" s="640">
        <v>10413</v>
      </c>
      <c r="B91" s="640">
        <v>1600</v>
      </c>
      <c r="C91" s="638">
        <v>4764.9859999999999</v>
      </c>
      <c r="D91" s="633">
        <f t="shared" si="4"/>
        <v>4764.9859999999999</v>
      </c>
      <c r="E91" s="760"/>
      <c r="F91" s="760">
        <f t="shared" si="3"/>
        <v>2010.4168142188587</v>
      </c>
      <c r="M91" s="443"/>
    </row>
    <row r="92" spans="1:13">
      <c r="A92" s="640">
        <v>10413</v>
      </c>
      <c r="B92" s="640">
        <v>1700</v>
      </c>
      <c r="C92" s="638">
        <v>5020.6139999999996</v>
      </c>
      <c r="D92" s="633">
        <f t="shared" si="4"/>
        <v>5020.6139999999996</v>
      </c>
      <c r="E92" s="760"/>
      <c r="F92" s="760">
        <f t="shared" si="3"/>
        <v>2118.2699809196924</v>
      </c>
      <c r="M92" s="443"/>
    </row>
    <row r="93" spans="1:13">
      <c r="A93" s="640">
        <v>10413</v>
      </c>
      <c r="B93" s="640">
        <v>1800</v>
      </c>
      <c r="C93" s="638">
        <v>5494.0940000000001</v>
      </c>
      <c r="D93" s="633">
        <f t="shared" si="4"/>
        <v>5494.0940000000001</v>
      </c>
      <c r="E93" s="760"/>
      <c r="F93" s="760">
        <f t="shared" si="3"/>
        <v>2318.0380711504599</v>
      </c>
      <c r="M93" s="443"/>
    </row>
    <row r="94" spans="1:13">
      <c r="A94" s="640">
        <v>10413</v>
      </c>
      <c r="B94" s="640">
        <v>1900</v>
      </c>
      <c r="C94" s="638">
        <v>5642.99</v>
      </c>
      <c r="D94" s="633">
        <f t="shared" si="4"/>
        <v>5642.99</v>
      </c>
      <c r="E94" s="760"/>
      <c r="F94" s="760">
        <f t="shared" si="3"/>
        <v>2380.8594565585036</v>
      </c>
      <c r="M94" s="443"/>
    </row>
    <row r="95" spans="1:13">
      <c r="A95" s="640">
        <v>10413</v>
      </c>
      <c r="B95" s="640">
        <v>2000</v>
      </c>
      <c r="C95" s="638">
        <v>5429.5820000000003</v>
      </c>
      <c r="D95" s="633">
        <f t="shared" si="4"/>
        <v>5429.5820000000003</v>
      </c>
      <c r="E95" s="760"/>
      <c r="F95" s="760">
        <f t="shared" si="3"/>
        <v>2290.8195211864336</v>
      </c>
      <c r="M95" s="443"/>
    </row>
    <row r="96" spans="1:13">
      <c r="A96" s="640">
        <v>10413</v>
      </c>
      <c r="B96" s="640">
        <v>2100</v>
      </c>
      <c r="C96" s="638">
        <v>5297.12</v>
      </c>
      <c r="D96" s="633">
        <f t="shared" si="4"/>
        <v>5297.12</v>
      </c>
      <c r="E96" s="760"/>
      <c r="F96" s="760">
        <f t="shared" si="3"/>
        <v>2234.9318791146502</v>
      </c>
      <c r="M96" s="443"/>
    </row>
    <row r="97" spans="1:13">
      <c r="A97" s="640">
        <v>10413</v>
      </c>
      <c r="B97" s="640">
        <v>2200</v>
      </c>
      <c r="C97" s="638">
        <v>5048.8490000000002</v>
      </c>
      <c r="D97" s="633">
        <f t="shared" si="4"/>
        <v>5048.8490000000002</v>
      </c>
      <c r="E97" s="760"/>
      <c r="F97" s="760">
        <f t="shared" si="3"/>
        <v>2130.1827375887506</v>
      </c>
      <c r="M97" s="443"/>
    </row>
    <row r="98" spans="1:13">
      <c r="A98" s="640">
        <v>10413</v>
      </c>
      <c r="B98" s="640">
        <v>2300</v>
      </c>
      <c r="C98" s="638">
        <v>4640.3500000000004</v>
      </c>
      <c r="D98" s="633">
        <f t="shared" si="4"/>
        <v>4640.3500000000004</v>
      </c>
      <c r="E98" s="760"/>
      <c r="F98" s="760">
        <f t="shared" si="3"/>
        <v>1957.8310752351595</v>
      </c>
      <c r="M98" s="443"/>
    </row>
    <row r="99" spans="1:13">
      <c r="A99" s="640">
        <v>10413</v>
      </c>
      <c r="B99" s="640">
        <v>2400</v>
      </c>
      <c r="C99" s="638">
        <v>4133.5690000000004</v>
      </c>
      <c r="D99" s="633">
        <f t="shared" si="4"/>
        <v>4133.5690000000004</v>
      </c>
      <c r="E99" s="760"/>
      <c r="F99" s="760">
        <f t="shared" si="3"/>
        <v>1744.0128093416924</v>
      </c>
      <c r="M99" s="443"/>
    </row>
    <row r="100" spans="1:13">
      <c r="A100" s="640">
        <v>10513</v>
      </c>
      <c r="B100" s="640">
        <v>100</v>
      </c>
      <c r="C100" s="638">
        <v>3708.614</v>
      </c>
      <c r="D100" s="633">
        <f t="shared" si="4"/>
        <v>3708.614</v>
      </c>
      <c r="E100" s="760"/>
      <c r="F100" s="760">
        <f t="shared" si="3"/>
        <v>1564.7181215322478</v>
      </c>
      <c r="M100" s="443"/>
    </row>
    <row r="101" spans="1:13">
      <c r="A101" s="640">
        <v>10513</v>
      </c>
      <c r="B101" s="640">
        <v>200</v>
      </c>
      <c r="C101" s="638">
        <v>3654.3629999999998</v>
      </c>
      <c r="D101" s="633">
        <f t="shared" si="4"/>
        <v>3654.3629999999998</v>
      </c>
      <c r="E101" s="760"/>
      <c r="F101" s="760">
        <f t="shared" si="3"/>
        <v>1541.8288365294823</v>
      </c>
      <c r="M101" s="443"/>
    </row>
    <row r="102" spans="1:13">
      <c r="A102" s="640">
        <v>10513</v>
      </c>
      <c r="B102" s="640">
        <v>300</v>
      </c>
      <c r="C102" s="638">
        <v>3535.1239999999998</v>
      </c>
      <c r="D102" s="633">
        <f t="shared" si="4"/>
        <v>3535.1239999999998</v>
      </c>
      <c r="E102" s="760"/>
      <c r="F102" s="760">
        <f t="shared" si="3"/>
        <v>1491.5201702478514</v>
      </c>
      <c r="M102" s="443"/>
    </row>
    <row r="103" spans="1:13">
      <c r="A103" s="640">
        <v>10513</v>
      </c>
      <c r="B103" s="640">
        <v>400</v>
      </c>
      <c r="C103" s="638">
        <v>3510.75</v>
      </c>
      <c r="D103" s="633">
        <f t="shared" si="4"/>
        <v>3510.75</v>
      </c>
      <c r="E103" s="760"/>
      <c r="F103" s="760">
        <f t="shared" si="3"/>
        <v>1481.2364255674327</v>
      </c>
      <c r="M103" s="443"/>
    </row>
    <row r="104" spans="1:13">
      <c r="A104" s="640">
        <v>10513</v>
      </c>
      <c r="B104" s="640">
        <v>500</v>
      </c>
      <c r="C104" s="638">
        <v>3528.5050000000001</v>
      </c>
      <c r="D104" s="633">
        <f t="shared" si="4"/>
        <v>3528.5050000000001</v>
      </c>
      <c r="E104" s="760"/>
      <c r="F104" s="760">
        <f t="shared" si="3"/>
        <v>1488.7275179938231</v>
      </c>
      <c r="M104" s="443"/>
    </row>
    <row r="105" spans="1:13">
      <c r="A105" s="640">
        <v>10513</v>
      </c>
      <c r="B105" s="640">
        <v>600</v>
      </c>
      <c r="C105" s="638">
        <v>3625.79</v>
      </c>
      <c r="D105" s="633">
        <f t="shared" si="4"/>
        <v>3625.79</v>
      </c>
      <c r="E105" s="760"/>
      <c r="F105" s="760">
        <f t="shared" si="3"/>
        <v>1529.7734727503073</v>
      </c>
      <c r="M105" s="443"/>
    </row>
    <row r="106" spans="1:13">
      <c r="A106" s="640">
        <v>10513</v>
      </c>
      <c r="B106" s="640">
        <v>700</v>
      </c>
      <c r="C106" s="638">
        <v>3793.07</v>
      </c>
      <c r="D106" s="633">
        <f t="shared" si="4"/>
        <v>3793.07</v>
      </c>
      <c r="E106" s="760"/>
      <c r="F106" s="760">
        <f t="shared" si="3"/>
        <v>1600.3513348222066</v>
      </c>
      <c r="M106" s="443"/>
    </row>
    <row r="107" spans="1:13">
      <c r="A107" s="640">
        <v>10513</v>
      </c>
      <c r="B107" s="640">
        <v>800</v>
      </c>
      <c r="C107" s="638">
        <v>4038.9189999999999</v>
      </c>
      <c r="D107" s="633">
        <f t="shared" si="4"/>
        <v>4038.9189999999999</v>
      </c>
      <c r="E107" s="760"/>
      <c r="F107" s="760">
        <f t="shared" si="3"/>
        <v>1704.0785993637794</v>
      </c>
      <c r="M107" s="443"/>
    </row>
    <row r="108" spans="1:13">
      <c r="A108" s="640">
        <v>10513</v>
      </c>
      <c r="B108" s="640">
        <v>900</v>
      </c>
      <c r="C108" s="638">
        <v>4291.6679999999997</v>
      </c>
      <c r="D108" s="633">
        <f t="shared" si="4"/>
        <v>4291.6679999999997</v>
      </c>
      <c r="E108" s="760"/>
      <c r="F108" s="760">
        <f t="shared" si="3"/>
        <v>1810.7170741414602</v>
      </c>
      <c r="M108" s="443"/>
    </row>
    <row r="109" spans="1:13">
      <c r="A109" s="640">
        <v>10513</v>
      </c>
      <c r="B109" s="640">
        <v>1000</v>
      </c>
      <c r="C109" s="638">
        <v>4465.2849999999999</v>
      </c>
      <c r="D109" s="633">
        <f t="shared" si="4"/>
        <v>4465.2849999999999</v>
      </c>
      <c r="E109" s="760"/>
      <c r="F109" s="760">
        <f t="shared" si="3"/>
        <v>1883.9686085707822</v>
      </c>
      <c r="M109" s="443"/>
    </row>
    <row r="110" spans="1:13">
      <c r="A110" s="640">
        <v>10513</v>
      </c>
      <c r="B110" s="640">
        <v>1100</v>
      </c>
      <c r="C110" s="638">
        <v>4274.4290000000001</v>
      </c>
      <c r="D110" s="633">
        <f t="shared" si="4"/>
        <v>4274.4290000000001</v>
      </c>
      <c r="E110" s="760"/>
      <c r="F110" s="760">
        <f t="shared" si="3"/>
        <v>1803.4436896109878</v>
      </c>
      <c r="M110" s="443"/>
    </row>
    <row r="111" spans="1:13">
      <c r="A111" s="640">
        <v>10513</v>
      </c>
      <c r="B111" s="640">
        <v>1200</v>
      </c>
      <c r="C111" s="638">
        <v>4111.4939999999997</v>
      </c>
      <c r="D111" s="633">
        <f t="shared" si="4"/>
        <v>4111.4939999999997</v>
      </c>
      <c r="E111" s="760"/>
      <c r="F111" s="760">
        <f t="shared" si="3"/>
        <v>1734.6990461587823</v>
      </c>
      <c r="M111" s="443"/>
    </row>
    <row r="112" spans="1:13">
      <c r="A112" s="640">
        <v>10513</v>
      </c>
      <c r="B112" s="640">
        <v>1300</v>
      </c>
      <c r="C112" s="638">
        <v>4047.72</v>
      </c>
      <c r="D112" s="633">
        <f t="shared" si="4"/>
        <v>4047.72</v>
      </c>
      <c r="E112" s="760"/>
      <c r="F112" s="760">
        <f t="shared" si="3"/>
        <v>1707.7918691156613</v>
      </c>
      <c r="M112" s="443"/>
    </row>
    <row r="113" spans="1:13">
      <c r="A113" s="640">
        <v>10513</v>
      </c>
      <c r="B113" s="640">
        <v>1400</v>
      </c>
      <c r="C113" s="638">
        <v>4136.7619999999997</v>
      </c>
      <c r="D113" s="633">
        <f t="shared" si="4"/>
        <v>4136.7619999999997</v>
      </c>
      <c r="E113" s="760"/>
      <c r="F113" s="760">
        <f t="shared" si="3"/>
        <v>1745.3599824263144</v>
      </c>
      <c r="M113" s="443"/>
    </row>
    <row r="114" spans="1:13">
      <c r="A114" s="640">
        <v>10513</v>
      </c>
      <c r="B114" s="640">
        <v>1500</v>
      </c>
      <c r="C114" s="638">
        <v>4099.6350000000002</v>
      </c>
      <c r="D114" s="633">
        <f t="shared" si="4"/>
        <v>4099.6350000000002</v>
      </c>
      <c r="E114" s="760"/>
      <c r="F114" s="760">
        <f t="shared" si="3"/>
        <v>1729.6955617834201</v>
      </c>
      <c r="M114" s="443"/>
    </row>
    <row r="115" spans="1:13">
      <c r="A115" s="640">
        <v>10513</v>
      </c>
      <c r="B115" s="640">
        <v>1600</v>
      </c>
      <c r="C115" s="638">
        <v>4263.259</v>
      </c>
      <c r="D115" s="633">
        <f t="shared" si="4"/>
        <v>4263.259</v>
      </c>
      <c r="E115" s="760"/>
      <c r="F115" s="760">
        <f t="shared" si="3"/>
        <v>1798.7309043447092</v>
      </c>
      <c r="M115" s="443"/>
    </row>
    <row r="116" spans="1:13">
      <c r="A116" s="640">
        <v>10513</v>
      </c>
      <c r="B116" s="640">
        <v>1700</v>
      </c>
      <c r="C116" s="638">
        <v>4763.6509999999998</v>
      </c>
      <c r="D116" s="633">
        <f t="shared" si="4"/>
        <v>4763.6509999999998</v>
      </c>
      <c r="E116" s="760"/>
      <c r="F116" s="760">
        <f t="shared" si="3"/>
        <v>2009.8535583253511</v>
      </c>
      <c r="M116" s="443"/>
    </row>
    <row r="117" spans="1:13">
      <c r="A117" s="640">
        <v>10513</v>
      </c>
      <c r="B117" s="640">
        <v>1800</v>
      </c>
      <c r="C117" s="638">
        <v>5376.6149999999998</v>
      </c>
      <c r="D117" s="633">
        <f t="shared" si="4"/>
        <v>5376.6149999999998</v>
      </c>
      <c r="E117" s="760"/>
      <c r="F117" s="760">
        <f t="shared" si="3"/>
        <v>2268.4719744363006</v>
      </c>
      <c r="M117" s="443"/>
    </row>
    <row r="118" spans="1:13">
      <c r="A118" s="640">
        <v>10513</v>
      </c>
      <c r="B118" s="640">
        <v>1900</v>
      </c>
      <c r="C118" s="638">
        <v>5416.2809999999999</v>
      </c>
      <c r="D118" s="633">
        <f t="shared" si="4"/>
        <v>5416.2809999999999</v>
      </c>
      <c r="E118" s="760"/>
      <c r="F118" s="760">
        <f t="shared" si="3"/>
        <v>2285.2076360631772</v>
      </c>
      <c r="M118" s="443"/>
    </row>
    <row r="119" spans="1:13">
      <c r="A119" s="640">
        <v>10513</v>
      </c>
      <c r="B119" s="640">
        <v>2000</v>
      </c>
      <c r="C119" s="638">
        <v>5243.3459999999995</v>
      </c>
      <c r="D119" s="633">
        <f t="shared" si="4"/>
        <v>5243.3459999999995</v>
      </c>
      <c r="E119" s="760"/>
      <c r="F119" s="760">
        <f t="shared" si="3"/>
        <v>2212.2438473412503</v>
      </c>
      <c r="M119" s="443"/>
    </row>
    <row r="120" spans="1:13">
      <c r="A120" s="640">
        <v>10513</v>
      </c>
      <c r="B120" s="640">
        <v>2100</v>
      </c>
      <c r="C120" s="638">
        <v>5097.5950000000003</v>
      </c>
      <c r="D120" s="633">
        <f t="shared" si="4"/>
        <v>5097.5950000000003</v>
      </c>
      <c r="E120" s="760"/>
      <c r="F120" s="760">
        <f t="shared" si="3"/>
        <v>2150.7493831205347</v>
      </c>
      <c r="M120" s="443"/>
    </row>
    <row r="121" spans="1:13">
      <c r="A121" s="640">
        <v>10513</v>
      </c>
      <c r="B121" s="640">
        <v>2200</v>
      </c>
      <c r="C121" s="638">
        <v>4778.6009999999997</v>
      </c>
      <c r="D121" s="633">
        <f t="shared" si="4"/>
        <v>4778.6009999999997</v>
      </c>
      <c r="E121" s="760"/>
      <c r="F121" s="760">
        <f t="shared" si="3"/>
        <v>2016.1611805035843</v>
      </c>
      <c r="M121" s="443"/>
    </row>
    <row r="122" spans="1:13">
      <c r="A122" s="640">
        <v>10513</v>
      </c>
      <c r="B122" s="640">
        <v>2300</v>
      </c>
      <c r="C122" s="638">
        <v>4427.9669999999996</v>
      </c>
      <c r="D122" s="633">
        <f t="shared" si="4"/>
        <v>4427.9669999999996</v>
      </c>
      <c r="E122" s="760"/>
      <c r="F122" s="760">
        <f t="shared" si="3"/>
        <v>1868.2236022532356</v>
      </c>
      <c r="M122" s="443"/>
    </row>
    <row r="123" spans="1:13">
      <c r="A123" s="640">
        <v>10513</v>
      </c>
      <c r="B123" s="640">
        <v>2400</v>
      </c>
      <c r="C123" s="638">
        <v>4048.3</v>
      </c>
      <c r="D123" s="633">
        <f t="shared" si="4"/>
        <v>4048.3</v>
      </c>
      <c r="E123" s="760"/>
      <c r="F123" s="760">
        <f t="shared" si="3"/>
        <v>1708.0365795413054</v>
      </c>
      <c r="M123" s="443"/>
    </row>
    <row r="124" spans="1:13">
      <c r="A124" s="640">
        <v>10613</v>
      </c>
      <c r="B124" s="640">
        <v>100</v>
      </c>
      <c r="C124" s="638">
        <v>3766.3510000000001</v>
      </c>
      <c r="D124" s="633">
        <f t="shared" si="4"/>
        <v>3766.3510000000001</v>
      </c>
      <c r="E124" s="760"/>
      <c r="F124" s="760">
        <f t="shared" si="3"/>
        <v>1589.0782005760382</v>
      </c>
      <c r="M124" s="443"/>
    </row>
    <row r="125" spans="1:13">
      <c r="A125" s="640">
        <v>10613</v>
      </c>
      <c r="B125" s="640">
        <v>200</v>
      </c>
      <c r="C125" s="638">
        <v>3714.1579999999999</v>
      </c>
      <c r="D125" s="633">
        <f t="shared" si="4"/>
        <v>3714.1579999999999</v>
      </c>
      <c r="E125" s="760"/>
      <c r="F125" s="760">
        <f t="shared" si="3"/>
        <v>1567.057215669781</v>
      </c>
      <c r="M125" s="443"/>
    </row>
    <row r="126" spans="1:13">
      <c r="A126" s="640">
        <v>10613</v>
      </c>
      <c r="B126" s="640">
        <v>300</v>
      </c>
      <c r="C126" s="638">
        <v>3544.63</v>
      </c>
      <c r="D126" s="633">
        <f t="shared" si="4"/>
        <v>3544.63</v>
      </c>
      <c r="E126" s="760"/>
      <c r="F126" s="760">
        <f t="shared" si="3"/>
        <v>1495.5308897412485</v>
      </c>
      <c r="M126" s="443"/>
    </row>
    <row r="127" spans="1:13">
      <c r="A127" s="640">
        <v>10613</v>
      </c>
      <c r="B127" s="640">
        <v>400</v>
      </c>
      <c r="C127" s="638">
        <v>3497.6889999999999</v>
      </c>
      <c r="D127" s="633">
        <f t="shared" si="4"/>
        <v>3497.6889999999999</v>
      </c>
      <c r="E127" s="760"/>
      <c r="F127" s="760">
        <f t="shared" si="3"/>
        <v>1475.7257999306494</v>
      </c>
      <c r="M127" s="443"/>
    </row>
    <row r="128" spans="1:13">
      <c r="A128" s="640">
        <v>10613</v>
      </c>
      <c r="B128" s="640">
        <v>500</v>
      </c>
      <c r="C128" s="638">
        <v>3485.6039999999998</v>
      </c>
      <c r="D128" s="633">
        <f t="shared" si="4"/>
        <v>3485.6039999999998</v>
      </c>
      <c r="E128" s="760"/>
      <c r="F128" s="760">
        <f t="shared" si="3"/>
        <v>1470.6269628721914</v>
      </c>
      <c r="M128" s="443"/>
    </row>
    <row r="129" spans="1:13">
      <c r="A129" s="640">
        <v>10613</v>
      </c>
      <c r="B129" s="640">
        <v>600</v>
      </c>
      <c r="C129" s="638">
        <v>3545.9070000000002</v>
      </c>
      <c r="D129" s="633">
        <f t="shared" si="4"/>
        <v>3545.9070000000002</v>
      </c>
      <c r="E129" s="760"/>
      <c r="F129" s="760">
        <f t="shared" si="3"/>
        <v>1496.0696745921921</v>
      </c>
      <c r="M129" s="443"/>
    </row>
    <row r="130" spans="1:13">
      <c r="A130" s="640">
        <v>10613</v>
      </c>
      <c r="B130" s="640">
        <v>700</v>
      </c>
      <c r="C130" s="638">
        <v>3720.453</v>
      </c>
      <c r="D130" s="633">
        <f t="shared" si="4"/>
        <v>3720.453</v>
      </c>
      <c r="E130" s="760"/>
      <c r="F130" s="760">
        <f t="shared" si="3"/>
        <v>1569.7131676170709</v>
      </c>
      <c r="M130" s="443"/>
    </row>
    <row r="131" spans="1:13">
      <c r="A131" s="640">
        <v>10613</v>
      </c>
      <c r="B131" s="640">
        <v>800</v>
      </c>
      <c r="C131" s="638">
        <v>3987.9160000000002</v>
      </c>
      <c r="D131" s="633">
        <f t="shared" si="4"/>
        <v>3987.9160000000002</v>
      </c>
      <c r="E131" s="760"/>
      <c r="F131" s="760">
        <f t="shared" si="3"/>
        <v>1682.5596927446197</v>
      </c>
      <c r="M131" s="443"/>
    </row>
    <row r="132" spans="1:13">
      <c r="A132" s="640">
        <v>10613</v>
      </c>
      <c r="B132" s="640">
        <v>900</v>
      </c>
      <c r="C132" s="638">
        <v>4214.32</v>
      </c>
      <c r="D132" s="633">
        <f t="shared" si="4"/>
        <v>4214.32</v>
      </c>
      <c r="E132" s="760"/>
      <c r="F132" s="760">
        <f t="shared" ref="F132:F195" si="5">(D132/(MAX($D$4:$D$747)))*$M$4</f>
        <v>1778.0828293092193</v>
      </c>
      <c r="M132" s="443"/>
    </row>
    <row r="133" spans="1:13">
      <c r="A133" s="640">
        <v>10613</v>
      </c>
      <c r="B133" s="640">
        <v>1000</v>
      </c>
      <c r="C133" s="638">
        <v>4412.5370000000003</v>
      </c>
      <c r="D133" s="633">
        <f t="shared" ref="D133:D196" si="6">C133</f>
        <v>4412.5370000000003</v>
      </c>
      <c r="E133" s="760"/>
      <c r="F133" s="760">
        <f t="shared" si="5"/>
        <v>1861.7134611020558</v>
      </c>
      <c r="M133" s="443"/>
    </row>
    <row r="134" spans="1:13">
      <c r="A134" s="640">
        <v>10613</v>
      </c>
      <c r="B134" s="640">
        <v>1100</v>
      </c>
      <c r="C134" s="638">
        <v>4353.4269999999997</v>
      </c>
      <c r="D134" s="633">
        <f t="shared" si="6"/>
        <v>4353.4269999999997</v>
      </c>
      <c r="E134" s="760"/>
      <c r="F134" s="760">
        <f t="shared" si="5"/>
        <v>1836.7740934127326</v>
      </c>
      <c r="M134" s="443"/>
    </row>
    <row r="135" spans="1:13">
      <c r="A135" s="640">
        <v>10613</v>
      </c>
      <c r="B135" s="640">
        <v>1200</v>
      </c>
      <c r="C135" s="638">
        <v>4411.741</v>
      </c>
      <c r="D135" s="633">
        <f t="shared" si="6"/>
        <v>4411.741</v>
      </c>
      <c r="E135" s="760"/>
      <c r="F135" s="760">
        <f t="shared" si="5"/>
        <v>1861.3776171385859</v>
      </c>
      <c r="M135" s="443"/>
    </row>
    <row r="136" spans="1:13">
      <c r="A136" s="640">
        <v>10613</v>
      </c>
      <c r="B136" s="640">
        <v>1300</v>
      </c>
      <c r="C136" s="638">
        <v>4591.8109999999997</v>
      </c>
      <c r="D136" s="633">
        <f t="shared" si="6"/>
        <v>4591.8109999999997</v>
      </c>
      <c r="E136" s="760"/>
      <c r="F136" s="760">
        <f t="shared" si="5"/>
        <v>1937.3517660104585</v>
      </c>
      <c r="M136" s="443"/>
    </row>
    <row r="137" spans="1:13">
      <c r="A137" s="640">
        <v>10613</v>
      </c>
      <c r="B137" s="640">
        <v>1400</v>
      </c>
      <c r="C137" s="638">
        <v>4512.3320000000003</v>
      </c>
      <c r="D137" s="633">
        <f t="shared" si="6"/>
        <v>4512.3320000000003</v>
      </c>
      <c r="E137" s="760"/>
      <c r="F137" s="760">
        <f t="shared" si="5"/>
        <v>1903.8184213212403</v>
      </c>
      <c r="M137" s="443"/>
    </row>
    <row r="138" spans="1:13">
      <c r="A138" s="640">
        <v>10613</v>
      </c>
      <c r="B138" s="640">
        <v>1500</v>
      </c>
      <c r="C138" s="638">
        <v>4504.4889999999996</v>
      </c>
      <c r="D138" s="633">
        <f t="shared" si="6"/>
        <v>4504.4889999999996</v>
      </c>
      <c r="E138" s="760"/>
      <c r="F138" s="760">
        <f t="shared" si="5"/>
        <v>1900.5093456861975</v>
      </c>
      <c r="M138" s="443"/>
    </row>
    <row r="139" spans="1:13">
      <c r="A139" s="640">
        <v>10613</v>
      </c>
      <c r="B139" s="640">
        <v>1600</v>
      </c>
      <c r="C139" s="638">
        <v>4544.4759999999997</v>
      </c>
      <c r="D139" s="633">
        <f t="shared" si="6"/>
        <v>4544.4759999999997</v>
      </c>
      <c r="E139" s="760"/>
      <c r="F139" s="760">
        <f t="shared" si="5"/>
        <v>1917.3804418762325</v>
      </c>
      <c r="M139" s="443"/>
    </row>
    <row r="140" spans="1:13">
      <c r="A140" s="640">
        <v>10613</v>
      </c>
      <c r="B140" s="640">
        <v>1700</v>
      </c>
      <c r="C140" s="638">
        <v>4818.0950000000003</v>
      </c>
      <c r="D140" s="633">
        <f t="shared" si="6"/>
        <v>4818.0950000000003</v>
      </c>
      <c r="E140" s="760"/>
      <c r="F140" s="760">
        <f t="shared" si="5"/>
        <v>2032.8242728318221</v>
      </c>
      <c r="M140" s="443"/>
    </row>
    <row r="141" spans="1:13">
      <c r="A141" s="640">
        <v>10613</v>
      </c>
      <c r="B141" s="640">
        <v>1800</v>
      </c>
      <c r="C141" s="638">
        <v>5460.1980000000003</v>
      </c>
      <c r="D141" s="633">
        <f t="shared" si="6"/>
        <v>5460.1980000000003</v>
      </c>
      <c r="E141" s="760"/>
      <c r="F141" s="760">
        <f t="shared" si="5"/>
        <v>2303.7368563442128</v>
      </c>
      <c r="M141" s="443"/>
    </row>
    <row r="142" spans="1:13">
      <c r="A142" s="640">
        <v>10613</v>
      </c>
      <c r="B142" s="640">
        <v>1900</v>
      </c>
      <c r="C142" s="638">
        <v>5485.6509999999998</v>
      </c>
      <c r="D142" s="633">
        <f t="shared" si="6"/>
        <v>5485.6509999999998</v>
      </c>
      <c r="E142" s="760"/>
      <c r="F142" s="760">
        <f t="shared" si="5"/>
        <v>2314.4758467992347</v>
      </c>
      <c r="M142" s="443"/>
    </row>
    <row r="143" spans="1:13">
      <c r="A143" s="640">
        <v>10613</v>
      </c>
      <c r="B143" s="640">
        <v>2000</v>
      </c>
      <c r="C143" s="638">
        <v>5261.87</v>
      </c>
      <c r="D143" s="633">
        <f t="shared" si="6"/>
        <v>5261.87</v>
      </c>
      <c r="E143" s="760"/>
      <c r="F143" s="760">
        <f t="shared" si="5"/>
        <v>2220.0593920388824</v>
      </c>
      <c r="M143" s="443"/>
    </row>
    <row r="144" spans="1:13">
      <c r="A144" s="640">
        <v>10613</v>
      </c>
      <c r="B144" s="640">
        <v>2100</v>
      </c>
      <c r="C144" s="638">
        <v>5093.2849999999999</v>
      </c>
      <c r="D144" s="633">
        <f t="shared" si="6"/>
        <v>5093.2849999999999</v>
      </c>
      <c r="E144" s="760"/>
      <c r="F144" s="760">
        <f t="shared" si="5"/>
        <v>2148.9309315092846</v>
      </c>
      <c r="M144" s="443"/>
    </row>
    <row r="145" spans="1:13">
      <c r="A145" s="640">
        <v>10613</v>
      </c>
      <c r="B145" s="640">
        <v>2200</v>
      </c>
      <c r="C145" s="638">
        <v>4845.2340000000004</v>
      </c>
      <c r="D145" s="633">
        <f t="shared" si="6"/>
        <v>4845.2340000000004</v>
      </c>
      <c r="E145" s="760"/>
      <c r="F145" s="760">
        <f t="shared" si="5"/>
        <v>2044.274611179319</v>
      </c>
      <c r="M145" s="443"/>
    </row>
    <row r="146" spans="1:13">
      <c r="A146" s="640">
        <v>10613</v>
      </c>
      <c r="B146" s="640">
        <v>2300</v>
      </c>
      <c r="C146" s="638">
        <v>4289.0020000000004</v>
      </c>
      <c r="D146" s="633">
        <f t="shared" si="6"/>
        <v>4289.0020000000004</v>
      </c>
      <c r="E146" s="760"/>
      <c r="F146" s="760">
        <f t="shared" si="5"/>
        <v>1809.592250012553</v>
      </c>
      <c r="M146" s="443"/>
    </row>
    <row r="147" spans="1:13">
      <c r="A147" s="640">
        <v>10613</v>
      </c>
      <c r="B147" s="640">
        <v>2400</v>
      </c>
      <c r="C147" s="638">
        <v>3749.0619999999999</v>
      </c>
      <c r="D147" s="633">
        <f t="shared" si="6"/>
        <v>3749.0619999999999</v>
      </c>
      <c r="E147" s="760"/>
      <c r="F147" s="760">
        <f t="shared" si="5"/>
        <v>1581.7837203192166</v>
      </c>
      <c r="M147" s="443"/>
    </row>
    <row r="148" spans="1:13">
      <c r="A148" s="640">
        <v>10713</v>
      </c>
      <c r="B148" s="640">
        <v>100</v>
      </c>
      <c r="C148" s="638">
        <v>3510.404</v>
      </c>
      <c r="D148" s="633">
        <f t="shared" si="6"/>
        <v>3510.404</v>
      </c>
      <c r="E148" s="760"/>
      <c r="F148" s="760">
        <f t="shared" si="5"/>
        <v>1481.0904431411002</v>
      </c>
      <c r="M148" s="443"/>
    </row>
    <row r="149" spans="1:13">
      <c r="A149" s="640">
        <v>10713</v>
      </c>
      <c r="B149" s="640">
        <v>200</v>
      </c>
      <c r="C149" s="638">
        <v>3592.931</v>
      </c>
      <c r="D149" s="633">
        <f t="shared" si="6"/>
        <v>3592.931</v>
      </c>
      <c r="E149" s="760"/>
      <c r="F149" s="760">
        <f t="shared" si="5"/>
        <v>1515.90978330853</v>
      </c>
      <c r="M149" s="443"/>
    </row>
    <row r="150" spans="1:13">
      <c r="A150" s="640">
        <v>10713</v>
      </c>
      <c r="B150" s="640">
        <v>300</v>
      </c>
      <c r="C150" s="638">
        <v>3572.2649999999999</v>
      </c>
      <c r="D150" s="633">
        <f t="shared" si="6"/>
        <v>3572.2649999999999</v>
      </c>
      <c r="E150" s="760"/>
      <c r="F150" s="760">
        <f t="shared" si="5"/>
        <v>1507.1904976941235</v>
      </c>
      <c r="M150" s="443"/>
    </row>
    <row r="151" spans="1:13">
      <c r="A151" s="640">
        <v>10713</v>
      </c>
      <c r="B151" s="640">
        <v>400</v>
      </c>
      <c r="C151" s="638">
        <v>3647.9140000000002</v>
      </c>
      <c r="D151" s="633">
        <f t="shared" si="6"/>
        <v>3647.9140000000002</v>
      </c>
      <c r="E151" s="760"/>
      <c r="F151" s="760">
        <f t="shared" si="5"/>
        <v>1539.107909745039</v>
      </c>
      <c r="M151" s="443"/>
    </row>
    <row r="152" spans="1:13">
      <c r="A152" s="640">
        <v>10713</v>
      </c>
      <c r="B152" s="640">
        <v>500</v>
      </c>
      <c r="C152" s="638">
        <v>3742.723</v>
      </c>
      <c r="D152" s="633">
        <f t="shared" si="6"/>
        <v>3742.723</v>
      </c>
      <c r="E152" s="760"/>
      <c r="F152" s="760">
        <f t="shared" si="5"/>
        <v>1579.1092041327402</v>
      </c>
      <c r="M152" s="443"/>
    </row>
    <row r="153" spans="1:13">
      <c r="A153" s="640">
        <v>10713</v>
      </c>
      <c r="B153" s="640">
        <v>600</v>
      </c>
      <c r="C153" s="638">
        <v>4122.46</v>
      </c>
      <c r="D153" s="633">
        <f t="shared" si="6"/>
        <v>4122.46</v>
      </c>
      <c r="E153" s="760"/>
      <c r="F153" s="760">
        <f t="shared" si="5"/>
        <v>1739.325760861559</v>
      </c>
      <c r="M153" s="443"/>
    </row>
    <row r="154" spans="1:13">
      <c r="A154" s="640">
        <v>10713</v>
      </c>
      <c r="B154" s="640">
        <v>700</v>
      </c>
      <c r="C154" s="638">
        <v>4688.2849999999999</v>
      </c>
      <c r="D154" s="633">
        <f t="shared" si="6"/>
        <v>4688.2849999999999</v>
      </c>
      <c r="E154" s="760"/>
      <c r="F154" s="760">
        <f t="shared" si="5"/>
        <v>1978.0555480855687</v>
      </c>
      <c r="M154" s="443"/>
    </row>
    <row r="155" spans="1:13">
      <c r="A155" s="640">
        <v>10713</v>
      </c>
      <c r="B155" s="640">
        <v>800</v>
      </c>
      <c r="C155" s="638">
        <v>5026.875</v>
      </c>
      <c r="D155" s="633">
        <f t="shared" si="6"/>
        <v>5026.875</v>
      </c>
      <c r="E155" s="760"/>
      <c r="F155" s="760">
        <f t="shared" si="5"/>
        <v>2120.9115877730651</v>
      </c>
      <c r="M155" s="443"/>
    </row>
    <row r="156" spans="1:13">
      <c r="A156" s="640">
        <v>10713</v>
      </c>
      <c r="B156" s="640">
        <v>900</v>
      </c>
      <c r="C156" s="638">
        <v>4795.1899999999996</v>
      </c>
      <c r="D156" s="633">
        <f t="shared" si="6"/>
        <v>4795.1899999999996</v>
      </c>
      <c r="E156" s="760"/>
      <c r="F156" s="760">
        <f t="shared" si="5"/>
        <v>2023.1603205915249</v>
      </c>
      <c r="M156" s="443"/>
    </row>
    <row r="157" spans="1:13">
      <c r="A157" s="640">
        <v>10713</v>
      </c>
      <c r="B157" s="640">
        <v>1000</v>
      </c>
      <c r="C157" s="638">
        <v>4635.8670000000002</v>
      </c>
      <c r="D157" s="633">
        <f t="shared" si="6"/>
        <v>4635.8670000000002</v>
      </c>
      <c r="E157" s="760"/>
      <c r="F157" s="760">
        <f t="shared" si="5"/>
        <v>1955.9396324107431</v>
      </c>
      <c r="M157" s="443"/>
    </row>
    <row r="158" spans="1:13">
      <c r="A158" s="640">
        <v>10713</v>
      </c>
      <c r="B158" s="640">
        <v>1100</v>
      </c>
      <c r="C158" s="638">
        <v>4549.2039999999997</v>
      </c>
      <c r="D158" s="633">
        <f t="shared" si="6"/>
        <v>4549.2039999999997</v>
      </c>
      <c r="E158" s="760"/>
      <c r="F158" s="760">
        <f t="shared" si="5"/>
        <v>1919.375253759757</v>
      </c>
      <c r="M158" s="443"/>
    </row>
    <row r="159" spans="1:13">
      <c r="A159" s="640">
        <v>10713</v>
      </c>
      <c r="B159" s="640">
        <v>1200</v>
      </c>
      <c r="C159" s="638">
        <v>4559.6859999999997</v>
      </c>
      <c r="D159" s="633">
        <f t="shared" si="6"/>
        <v>4559.6859999999997</v>
      </c>
      <c r="E159" s="760"/>
      <c r="F159" s="760">
        <f t="shared" si="5"/>
        <v>1923.7977618314787</v>
      </c>
      <c r="M159" s="443"/>
    </row>
    <row r="160" spans="1:13">
      <c r="A160" s="640">
        <v>10713</v>
      </c>
      <c r="B160" s="640">
        <v>1300</v>
      </c>
      <c r="C160" s="638">
        <v>4536.5690000000004</v>
      </c>
      <c r="D160" s="633">
        <f t="shared" si="6"/>
        <v>4536.5690000000004</v>
      </c>
      <c r="E160" s="760"/>
      <c r="F160" s="760">
        <f t="shared" si="5"/>
        <v>1914.044363711464</v>
      </c>
      <c r="M160" s="443"/>
    </row>
    <row r="161" spans="1:13">
      <c r="A161" s="640">
        <v>10713</v>
      </c>
      <c r="B161" s="640">
        <v>1400</v>
      </c>
      <c r="C161" s="638">
        <v>4409.1530000000002</v>
      </c>
      <c r="D161" s="633">
        <f t="shared" si="6"/>
        <v>4409.1530000000002</v>
      </c>
      <c r="E161" s="760"/>
      <c r="F161" s="760">
        <f t="shared" si="5"/>
        <v>1860.2857023427823</v>
      </c>
      <c r="M161" s="443"/>
    </row>
    <row r="162" spans="1:13">
      <c r="A162" s="640">
        <v>10713</v>
      </c>
      <c r="B162" s="640">
        <v>1500</v>
      </c>
      <c r="C162" s="638">
        <v>4109.21</v>
      </c>
      <c r="D162" s="633">
        <f t="shared" si="6"/>
        <v>4109.21</v>
      </c>
      <c r="E162" s="760"/>
      <c r="F162" s="760">
        <f t="shared" si="5"/>
        <v>1733.7353933791783</v>
      </c>
      <c r="M162" s="443"/>
    </row>
    <row r="163" spans="1:13">
      <c r="A163" s="640">
        <v>10713</v>
      </c>
      <c r="B163" s="640">
        <v>1600</v>
      </c>
      <c r="C163" s="638">
        <v>4462.0129999999999</v>
      </c>
      <c r="D163" s="633">
        <f t="shared" si="6"/>
        <v>4462.0129999999999</v>
      </c>
      <c r="E163" s="760"/>
      <c r="F163" s="760">
        <f t="shared" si="5"/>
        <v>1882.5881042385292</v>
      </c>
      <c r="M163" s="443"/>
    </row>
    <row r="164" spans="1:13">
      <c r="A164" s="640">
        <v>10713</v>
      </c>
      <c r="B164" s="640">
        <v>1700</v>
      </c>
      <c r="C164" s="638">
        <v>4686.1570000000002</v>
      </c>
      <c r="D164" s="633">
        <f t="shared" si="6"/>
        <v>4686.1570000000002</v>
      </c>
      <c r="E164" s="760"/>
      <c r="F164" s="760">
        <f t="shared" si="5"/>
        <v>1977.1577139721721</v>
      </c>
      <c r="M164" s="443"/>
    </row>
    <row r="165" spans="1:13">
      <c r="A165" s="640">
        <v>10713</v>
      </c>
      <c r="B165" s="640">
        <v>1800</v>
      </c>
      <c r="C165" s="638">
        <v>5369.5320000000002</v>
      </c>
      <c r="D165" s="633">
        <f t="shared" si="6"/>
        <v>5369.5320000000002</v>
      </c>
      <c r="E165" s="760"/>
      <c r="F165" s="760">
        <f t="shared" si="5"/>
        <v>2265.4835538417569</v>
      </c>
      <c r="M165" s="443"/>
    </row>
    <row r="166" spans="1:13">
      <c r="A166" s="640">
        <v>10713</v>
      </c>
      <c r="B166" s="640">
        <v>1900</v>
      </c>
      <c r="C166" s="638">
        <v>5635.2740000000003</v>
      </c>
      <c r="D166" s="633">
        <f t="shared" si="6"/>
        <v>5635.2740000000003</v>
      </c>
      <c r="E166" s="760"/>
      <c r="F166" s="760">
        <f t="shared" si="5"/>
        <v>2377.6039640683866</v>
      </c>
      <c r="M166" s="443"/>
    </row>
    <row r="167" spans="1:13">
      <c r="A167" s="640">
        <v>10713</v>
      </c>
      <c r="B167" s="640">
        <v>2000</v>
      </c>
      <c r="C167" s="638">
        <v>5485.5129999999999</v>
      </c>
      <c r="D167" s="633">
        <f t="shared" si="6"/>
        <v>5485.5129999999999</v>
      </c>
      <c r="E167" s="760"/>
      <c r="F167" s="760">
        <f t="shared" si="5"/>
        <v>2314.4176225945121</v>
      </c>
      <c r="M167" s="443"/>
    </row>
    <row r="168" spans="1:13">
      <c r="A168" s="640">
        <v>10713</v>
      </c>
      <c r="B168" s="640">
        <v>2100</v>
      </c>
      <c r="C168" s="638">
        <v>5324.96</v>
      </c>
      <c r="D168" s="633">
        <f t="shared" si="6"/>
        <v>5324.96</v>
      </c>
      <c r="E168" s="760"/>
      <c r="F168" s="760">
        <f t="shared" si="5"/>
        <v>2246.6779795455545</v>
      </c>
      <c r="M168" s="443"/>
    </row>
    <row r="169" spans="1:13">
      <c r="A169" s="640">
        <v>10713</v>
      </c>
      <c r="B169" s="640">
        <v>2200</v>
      </c>
      <c r="C169" s="638">
        <v>5113.9830000000002</v>
      </c>
      <c r="D169" s="633">
        <f t="shared" si="6"/>
        <v>5113.9830000000002</v>
      </c>
      <c r="E169" s="760"/>
      <c r="F169" s="760">
        <f t="shared" si="5"/>
        <v>2157.6637183885541</v>
      </c>
      <c r="M169" s="443"/>
    </row>
    <row r="170" spans="1:13">
      <c r="A170" s="640">
        <v>10713</v>
      </c>
      <c r="B170" s="640">
        <v>2300</v>
      </c>
      <c r="C170" s="638">
        <v>4512.7700000000004</v>
      </c>
      <c r="D170" s="633">
        <f t="shared" si="6"/>
        <v>4512.7700000000004</v>
      </c>
      <c r="E170" s="760"/>
      <c r="F170" s="760">
        <f t="shared" si="5"/>
        <v>1904.0032198840543</v>
      </c>
      <c r="M170" s="443"/>
    </row>
    <row r="171" spans="1:13">
      <c r="A171" s="640">
        <v>10713</v>
      </c>
      <c r="B171" s="640">
        <v>2400</v>
      </c>
      <c r="C171" s="638">
        <v>3920.0149999999999</v>
      </c>
      <c r="D171" s="633">
        <f t="shared" si="6"/>
        <v>3920.0149999999999</v>
      </c>
      <c r="E171" s="760"/>
      <c r="F171" s="760">
        <f t="shared" si="5"/>
        <v>1653.9112744486845</v>
      </c>
      <c r="M171" s="443"/>
    </row>
    <row r="172" spans="1:13">
      <c r="A172" s="640">
        <v>10813</v>
      </c>
      <c r="B172" s="640">
        <v>100</v>
      </c>
      <c r="C172" s="638">
        <v>3542.3020000000001</v>
      </c>
      <c r="D172" s="633">
        <f t="shared" si="6"/>
        <v>3542.3020000000001</v>
      </c>
      <c r="E172" s="760"/>
      <c r="F172" s="760">
        <f t="shared" si="5"/>
        <v>1494.5486727224575</v>
      </c>
      <c r="M172" s="443"/>
    </row>
    <row r="173" spans="1:13">
      <c r="A173" s="640">
        <v>10813</v>
      </c>
      <c r="B173" s="640">
        <v>200</v>
      </c>
      <c r="C173" s="638">
        <v>3599.19</v>
      </c>
      <c r="D173" s="633">
        <f t="shared" si="6"/>
        <v>3599.19</v>
      </c>
      <c r="E173" s="760"/>
      <c r="F173" s="760">
        <f t="shared" si="5"/>
        <v>1518.5505463328486</v>
      </c>
      <c r="M173" s="443"/>
    </row>
    <row r="174" spans="1:13">
      <c r="A174" s="640">
        <v>10813</v>
      </c>
      <c r="B174" s="640">
        <v>300</v>
      </c>
      <c r="C174" s="638">
        <v>3526.3229999999999</v>
      </c>
      <c r="D174" s="633">
        <f t="shared" si="6"/>
        <v>3526.3229999999999</v>
      </c>
      <c r="E174" s="760"/>
      <c r="F174" s="760">
        <f t="shared" si="5"/>
        <v>1487.8069004959696</v>
      </c>
      <c r="M174" s="443"/>
    </row>
    <row r="175" spans="1:13">
      <c r="A175" s="640">
        <v>10813</v>
      </c>
      <c r="B175" s="640">
        <v>400</v>
      </c>
      <c r="C175" s="638">
        <v>3562.2750000000001</v>
      </c>
      <c r="D175" s="633">
        <f t="shared" si="6"/>
        <v>3562.2750000000001</v>
      </c>
      <c r="E175" s="760"/>
      <c r="F175" s="760">
        <f t="shared" si="5"/>
        <v>1502.9755715696722</v>
      </c>
      <c r="M175" s="443"/>
    </row>
    <row r="176" spans="1:13">
      <c r="A176" s="640">
        <v>10813</v>
      </c>
      <c r="B176" s="640">
        <v>500</v>
      </c>
      <c r="C176" s="638">
        <v>3637.4059999999999</v>
      </c>
      <c r="D176" s="633">
        <f t="shared" si="6"/>
        <v>3637.4059999999999</v>
      </c>
      <c r="E176" s="760"/>
      <c r="F176" s="760">
        <f t="shared" si="5"/>
        <v>1534.6744318956157</v>
      </c>
      <c r="M176" s="443"/>
    </row>
    <row r="177" spans="1:13">
      <c r="A177" s="640">
        <v>10813</v>
      </c>
      <c r="B177" s="640">
        <v>600</v>
      </c>
      <c r="C177" s="638">
        <v>3971.6010000000001</v>
      </c>
      <c r="D177" s="633">
        <f t="shared" si="6"/>
        <v>3971.6010000000001</v>
      </c>
      <c r="E177" s="760"/>
      <c r="F177" s="760">
        <f t="shared" si="5"/>
        <v>1675.6761572370692</v>
      </c>
      <c r="M177" s="443"/>
    </row>
    <row r="178" spans="1:13">
      <c r="A178" s="640">
        <v>10813</v>
      </c>
      <c r="B178" s="640">
        <v>700</v>
      </c>
      <c r="C178" s="638">
        <v>4529.1570000000002</v>
      </c>
      <c r="D178" s="633">
        <f t="shared" si="6"/>
        <v>4529.1570000000002</v>
      </c>
      <c r="E178" s="760"/>
      <c r="F178" s="760">
        <f t="shared" si="5"/>
        <v>1910.9171332375465</v>
      </c>
      <c r="M178" s="443"/>
    </row>
    <row r="179" spans="1:13">
      <c r="A179" s="640">
        <v>10813</v>
      </c>
      <c r="B179" s="640">
        <v>800</v>
      </c>
      <c r="C179" s="638">
        <v>4775.3519999999999</v>
      </c>
      <c r="D179" s="633">
        <f t="shared" si="6"/>
        <v>4775.3519999999999</v>
      </c>
      <c r="E179" s="760"/>
      <c r="F179" s="760">
        <f t="shared" si="5"/>
        <v>2014.7903802054518</v>
      </c>
      <c r="M179" s="443"/>
    </row>
    <row r="180" spans="1:13">
      <c r="A180" s="640">
        <v>10813</v>
      </c>
      <c r="B180" s="640">
        <v>900</v>
      </c>
      <c r="C180" s="638">
        <v>4613.6149999999998</v>
      </c>
      <c r="D180" s="633">
        <f t="shared" si="6"/>
        <v>4613.6149999999998</v>
      </c>
      <c r="E180" s="760"/>
      <c r="F180" s="760">
        <f t="shared" si="5"/>
        <v>1946.5511903565593</v>
      </c>
      <c r="M180" s="443"/>
    </row>
    <row r="181" spans="1:13">
      <c r="A181" s="640">
        <v>10813</v>
      </c>
      <c r="B181" s="640">
        <v>1000</v>
      </c>
      <c r="C181" s="638">
        <v>4473.665</v>
      </c>
      <c r="D181" s="633">
        <f t="shared" si="6"/>
        <v>4473.665</v>
      </c>
      <c r="E181" s="760"/>
      <c r="F181" s="760">
        <f t="shared" si="5"/>
        <v>1887.5042523068087</v>
      </c>
      <c r="M181" s="443"/>
    </row>
    <row r="182" spans="1:13">
      <c r="A182" s="640">
        <v>10813</v>
      </c>
      <c r="B182" s="640">
        <v>1100</v>
      </c>
      <c r="C182" s="638">
        <v>4436.1980000000003</v>
      </c>
      <c r="D182" s="633">
        <f t="shared" si="6"/>
        <v>4436.1980000000003</v>
      </c>
      <c r="E182" s="760"/>
      <c r="F182" s="760">
        <f t="shared" si="5"/>
        <v>1871.6963807247434</v>
      </c>
      <c r="M182" s="443"/>
    </row>
    <row r="183" spans="1:13">
      <c r="A183" s="640">
        <v>10813</v>
      </c>
      <c r="B183" s="640">
        <v>1200</v>
      </c>
      <c r="C183" s="638">
        <v>4186.6949999999997</v>
      </c>
      <c r="D183" s="633">
        <f t="shared" si="6"/>
        <v>4186.6949999999997</v>
      </c>
      <c r="E183" s="760"/>
      <c r="F183" s="760">
        <f t="shared" si="5"/>
        <v>1766.427440501614</v>
      </c>
      <c r="M183" s="443"/>
    </row>
    <row r="184" spans="1:13">
      <c r="A184" s="640">
        <v>10813</v>
      </c>
      <c r="B184" s="640">
        <v>1300</v>
      </c>
      <c r="C184" s="638">
        <v>3765.1289999999999</v>
      </c>
      <c r="D184" s="633">
        <f t="shared" si="6"/>
        <v>3765.1289999999999</v>
      </c>
      <c r="E184" s="760"/>
      <c r="F184" s="760">
        <f t="shared" si="5"/>
        <v>1588.562621024078</v>
      </c>
      <c r="M184" s="443"/>
    </row>
    <row r="185" spans="1:13">
      <c r="A185" s="640">
        <v>10813</v>
      </c>
      <c r="B185" s="640">
        <v>1400</v>
      </c>
      <c r="C185" s="638">
        <v>3600.5259999999998</v>
      </c>
      <c r="D185" s="633">
        <f t="shared" si="6"/>
        <v>3600.5259999999998</v>
      </c>
      <c r="E185" s="760"/>
      <c r="F185" s="760">
        <f t="shared" si="5"/>
        <v>1519.1142241408829</v>
      </c>
      <c r="M185" s="443"/>
    </row>
    <row r="186" spans="1:13">
      <c r="A186" s="640">
        <v>10813</v>
      </c>
      <c r="B186" s="640">
        <v>1500</v>
      </c>
      <c r="C186" s="638">
        <v>3564.7910000000002</v>
      </c>
      <c r="D186" s="633">
        <f t="shared" si="6"/>
        <v>3564.7910000000002</v>
      </c>
      <c r="E186" s="760"/>
      <c r="F186" s="760">
        <f t="shared" si="5"/>
        <v>1504.0371085195341</v>
      </c>
      <c r="M186" s="443"/>
    </row>
    <row r="187" spans="1:13">
      <c r="A187" s="640">
        <v>10813</v>
      </c>
      <c r="B187" s="640">
        <v>1600</v>
      </c>
      <c r="C187" s="638">
        <v>3874.7249999999999</v>
      </c>
      <c r="D187" s="633">
        <f t="shared" si="6"/>
        <v>3874.7249999999999</v>
      </c>
      <c r="E187" s="760"/>
      <c r="F187" s="760">
        <f t="shared" si="5"/>
        <v>1634.8027655221165</v>
      </c>
      <c r="M187" s="443"/>
    </row>
    <row r="188" spans="1:13">
      <c r="A188" s="640">
        <v>10813</v>
      </c>
      <c r="B188" s="640">
        <v>1700</v>
      </c>
      <c r="C188" s="638">
        <v>4349.259</v>
      </c>
      <c r="D188" s="633">
        <f t="shared" si="6"/>
        <v>4349.259</v>
      </c>
      <c r="E188" s="760"/>
      <c r="F188" s="760">
        <f t="shared" si="5"/>
        <v>1835.0155536643128</v>
      </c>
      <c r="M188" s="443"/>
    </row>
    <row r="189" spans="1:13">
      <c r="A189" s="640">
        <v>10813</v>
      </c>
      <c r="B189" s="640">
        <v>1800</v>
      </c>
      <c r="C189" s="638">
        <v>4932.3890000000001</v>
      </c>
      <c r="D189" s="633">
        <f t="shared" si="6"/>
        <v>4932.3890000000001</v>
      </c>
      <c r="E189" s="760"/>
      <c r="F189" s="760">
        <f t="shared" si="5"/>
        <v>2081.0465717775755</v>
      </c>
      <c r="M189" s="443"/>
    </row>
    <row r="190" spans="1:13">
      <c r="A190" s="640">
        <v>10813</v>
      </c>
      <c r="B190" s="640">
        <v>1900</v>
      </c>
      <c r="C190" s="638">
        <v>5214.2740000000003</v>
      </c>
      <c r="D190" s="633">
        <f t="shared" si="6"/>
        <v>5214.2740000000003</v>
      </c>
      <c r="E190" s="760"/>
      <c r="F190" s="760">
        <f t="shared" si="5"/>
        <v>2199.9779482131166</v>
      </c>
      <c r="M190" s="443"/>
    </row>
    <row r="191" spans="1:13">
      <c r="A191" s="640">
        <v>10813</v>
      </c>
      <c r="B191" s="640">
        <v>2000</v>
      </c>
      <c r="C191" s="638">
        <v>5197.6570000000002</v>
      </c>
      <c r="D191" s="633">
        <f t="shared" si="6"/>
        <v>5197.6570000000002</v>
      </c>
      <c r="E191" s="760"/>
      <c r="F191" s="760">
        <f t="shared" si="5"/>
        <v>2192.9669945184205</v>
      </c>
      <c r="M191" s="443"/>
    </row>
    <row r="192" spans="1:13">
      <c r="A192" s="640">
        <v>10813</v>
      </c>
      <c r="B192" s="640">
        <v>2100</v>
      </c>
      <c r="C192" s="638">
        <v>5063.3379999999997</v>
      </c>
      <c r="D192" s="633">
        <f t="shared" si="6"/>
        <v>5063.3379999999997</v>
      </c>
      <c r="E192" s="760"/>
      <c r="F192" s="760">
        <f t="shared" si="5"/>
        <v>2136.2958571700497</v>
      </c>
      <c r="M192" s="443"/>
    </row>
    <row r="193" spans="1:13">
      <c r="A193" s="640">
        <v>10813</v>
      </c>
      <c r="B193" s="640">
        <v>2200</v>
      </c>
      <c r="C193" s="638">
        <v>4742.3919999999998</v>
      </c>
      <c r="D193" s="633">
        <f t="shared" si="6"/>
        <v>4742.3919999999998</v>
      </c>
      <c r="E193" s="760"/>
      <c r="F193" s="760">
        <f t="shared" si="5"/>
        <v>2000.88407739645</v>
      </c>
      <c r="M193" s="443"/>
    </row>
    <row r="194" spans="1:13">
      <c r="A194" s="640">
        <v>10813</v>
      </c>
      <c r="B194" s="640">
        <v>2300</v>
      </c>
      <c r="C194" s="638">
        <v>4314.027</v>
      </c>
      <c r="D194" s="633">
        <f t="shared" si="6"/>
        <v>4314.027</v>
      </c>
      <c r="E194" s="760"/>
      <c r="F194" s="760">
        <f t="shared" si="5"/>
        <v>1820.1506610500305</v>
      </c>
      <c r="M194" s="443"/>
    </row>
    <row r="195" spans="1:13">
      <c r="A195" s="640">
        <v>10813</v>
      </c>
      <c r="B195" s="640">
        <v>2400</v>
      </c>
      <c r="C195" s="638">
        <v>3745.1909999999998</v>
      </c>
      <c r="D195" s="633">
        <f t="shared" si="6"/>
        <v>3745.1909999999998</v>
      </c>
      <c r="E195" s="760"/>
      <c r="F195" s="760">
        <f t="shared" si="5"/>
        <v>1580.1504891853074</v>
      </c>
      <c r="M195" s="443"/>
    </row>
    <row r="196" spans="1:13">
      <c r="A196" s="640">
        <v>10913</v>
      </c>
      <c r="B196" s="640">
        <v>100</v>
      </c>
      <c r="C196" s="638">
        <v>3442.0140000000001</v>
      </c>
      <c r="D196" s="633">
        <f t="shared" si="6"/>
        <v>3442.0140000000001</v>
      </c>
      <c r="E196" s="760"/>
      <c r="F196" s="760">
        <f t="shared" ref="F196:F259" si="7">(D196/(MAX($D$4:$D$747)))*$M$4</f>
        <v>1452.2357086414756</v>
      </c>
      <c r="M196" s="443"/>
    </row>
    <row r="197" spans="1:13">
      <c r="A197" s="640">
        <v>10913</v>
      </c>
      <c r="B197" s="640">
        <v>200</v>
      </c>
      <c r="C197" s="638">
        <v>3572.511</v>
      </c>
      <c r="D197" s="633">
        <f t="shared" ref="D197:D260" si="8">C197</f>
        <v>3572.511</v>
      </c>
      <c r="E197" s="760"/>
      <c r="F197" s="760">
        <f t="shared" si="7"/>
        <v>1507.2942886677588</v>
      </c>
      <c r="M197" s="443"/>
    </row>
    <row r="198" spans="1:13">
      <c r="A198" s="640">
        <v>10913</v>
      </c>
      <c r="B198" s="640">
        <v>300</v>
      </c>
      <c r="C198" s="638">
        <v>3496.8580000000002</v>
      </c>
      <c r="D198" s="633">
        <f t="shared" si="8"/>
        <v>3496.8580000000002</v>
      </c>
      <c r="E198" s="760"/>
      <c r="F198" s="760">
        <f t="shared" si="7"/>
        <v>1475.3751889587356</v>
      </c>
      <c r="M198" s="443"/>
    </row>
    <row r="199" spans="1:13">
      <c r="A199" s="640">
        <v>10913</v>
      </c>
      <c r="B199" s="640">
        <v>400</v>
      </c>
      <c r="C199" s="638">
        <v>3521.3029999999999</v>
      </c>
      <c r="D199" s="633">
        <f t="shared" si="8"/>
        <v>3521.3029999999999</v>
      </c>
      <c r="E199" s="760"/>
      <c r="F199" s="760">
        <f t="shared" si="7"/>
        <v>1485.6888895705695</v>
      </c>
      <c r="M199" s="443"/>
    </row>
    <row r="200" spans="1:13">
      <c r="A200" s="640">
        <v>10913</v>
      </c>
      <c r="B200" s="640">
        <v>500</v>
      </c>
      <c r="C200" s="638">
        <v>3619.9189999999999</v>
      </c>
      <c r="D200" s="633">
        <f t="shared" si="8"/>
        <v>3619.9189999999999</v>
      </c>
      <c r="E200" s="760"/>
      <c r="F200" s="760">
        <f t="shared" si="7"/>
        <v>1527.296412562454</v>
      </c>
      <c r="M200" s="443"/>
    </row>
    <row r="201" spans="1:13">
      <c r="A201" s="640">
        <v>10913</v>
      </c>
      <c r="B201" s="640">
        <v>600</v>
      </c>
      <c r="C201" s="638">
        <v>4005.779</v>
      </c>
      <c r="D201" s="633">
        <f t="shared" si="8"/>
        <v>4005.779</v>
      </c>
      <c r="E201" s="760"/>
      <c r="F201" s="760">
        <f t="shared" si="7"/>
        <v>1690.0963519399231</v>
      </c>
      <c r="M201" s="443"/>
    </row>
    <row r="202" spans="1:13">
      <c r="A202" s="640">
        <v>10913</v>
      </c>
      <c r="B202" s="640">
        <v>700</v>
      </c>
      <c r="C202" s="638">
        <v>4586.8630000000003</v>
      </c>
      <c r="D202" s="633">
        <f t="shared" si="8"/>
        <v>4586.8630000000003</v>
      </c>
      <c r="E202" s="760"/>
      <c r="F202" s="760">
        <f t="shared" si="7"/>
        <v>1935.2641329310009</v>
      </c>
      <c r="M202" s="443"/>
    </row>
    <row r="203" spans="1:13">
      <c r="A203" s="640">
        <v>10913</v>
      </c>
      <c r="B203" s="640">
        <v>800</v>
      </c>
      <c r="C203" s="638">
        <v>4856.893</v>
      </c>
      <c r="D203" s="633">
        <f t="shared" si="8"/>
        <v>4856.893</v>
      </c>
      <c r="E203" s="760"/>
      <c r="F203" s="760">
        <f t="shared" si="7"/>
        <v>2049.1937126492871</v>
      </c>
      <c r="M203" s="443"/>
    </row>
    <row r="204" spans="1:13">
      <c r="A204" s="640">
        <v>10913</v>
      </c>
      <c r="B204" s="640">
        <v>900</v>
      </c>
      <c r="C204" s="638">
        <v>4663.0730000000003</v>
      </c>
      <c r="D204" s="633">
        <f t="shared" si="8"/>
        <v>4663.0730000000003</v>
      </c>
      <c r="E204" s="760"/>
      <c r="F204" s="760">
        <f t="shared" si="7"/>
        <v>1967.4182390315475</v>
      </c>
      <c r="M204" s="443"/>
    </row>
    <row r="205" spans="1:13">
      <c r="A205" s="640">
        <v>10913</v>
      </c>
      <c r="B205" s="640">
        <v>1000</v>
      </c>
      <c r="C205" s="638">
        <v>4522.2250000000004</v>
      </c>
      <c r="D205" s="633">
        <f t="shared" si="8"/>
        <v>4522.2250000000004</v>
      </c>
      <c r="E205" s="760"/>
      <c r="F205" s="760">
        <f t="shared" si="7"/>
        <v>1907.9924217365758</v>
      </c>
      <c r="M205" s="443"/>
    </row>
    <row r="206" spans="1:13">
      <c r="A206" s="640">
        <v>10913</v>
      </c>
      <c r="B206" s="640">
        <v>1100</v>
      </c>
      <c r="C206" s="638">
        <v>4310.2190000000001</v>
      </c>
      <c r="D206" s="633">
        <f t="shared" si="8"/>
        <v>4310.2190000000001</v>
      </c>
      <c r="E206" s="760"/>
      <c r="F206" s="760">
        <f t="shared" si="7"/>
        <v>1818.5440105313205</v>
      </c>
      <c r="M206" s="443"/>
    </row>
    <row r="207" spans="1:13">
      <c r="A207" s="640">
        <v>10913</v>
      </c>
      <c r="B207" s="640">
        <v>1200</v>
      </c>
      <c r="C207" s="638">
        <v>3817.337</v>
      </c>
      <c r="D207" s="633">
        <f t="shared" si="8"/>
        <v>3817.337</v>
      </c>
      <c r="E207" s="760"/>
      <c r="F207" s="760">
        <f t="shared" si="7"/>
        <v>1610.5899346482395</v>
      </c>
      <c r="M207" s="443"/>
    </row>
    <row r="208" spans="1:13">
      <c r="A208" s="640">
        <v>10913</v>
      </c>
      <c r="B208" s="640">
        <v>1300</v>
      </c>
      <c r="C208" s="638">
        <v>3946.451</v>
      </c>
      <c r="D208" s="633">
        <f t="shared" si="8"/>
        <v>3946.451</v>
      </c>
      <c r="E208" s="760"/>
      <c r="F208" s="760">
        <f t="shared" si="7"/>
        <v>1665.0650068837201</v>
      </c>
      <c r="M208" s="443"/>
    </row>
    <row r="209" spans="1:13">
      <c r="A209" s="640">
        <v>10913</v>
      </c>
      <c r="B209" s="640">
        <v>1400</v>
      </c>
      <c r="C209" s="638">
        <v>3792.5230000000001</v>
      </c>
      <c r="D209" s="633">
        <f t="shared" si="8"/>
        <v>3792.5230000000001</v>
      </c>
      <c r="E209" s="760"/>
      <c r="F209" s="760">
        <f t="shared" si="7"/>
        <v>1600.1205475759527</v>
      </c>
      <c r="M209" s="443"/>
    </row>
    <row r="210" spans="1:13">
      <c r="A210" s="640">
        <v>10913</v>
      </c>
      <c r="B210" s="640">
        <v>1500</v>
      </c>
      <c r="C210" s="638">
        <v>3594.2849999999999</v>
      </c>
      <c r="D210" s="633">
        <f t="shared" si="8"/>
        <v>3594.2849999999999</v>
      </c>
      <c r="E210" s="760"/>
      <c r="F210" s="760">
        <f t="shared" si="7"/>
        <v>1516.4810555780502</v>
      </c>
      <c r="M210" s="443"/>
    </row>
    <row r="211" spans="1:13">
      <c r="A211" s="640">
        <v>10913</v>
      </c>
      <c r="B211" s="640">
        <v>1600</v>
      </c>
      <c r="C211" s="638">
        <v>3793.7330000000002</v>
      </c>
      <c r="D211" s="633">
        <f t="shared" si="8"/>
        <v>3793.7330000000002</v>
      </c>
      <c r="E211" s="760"/>
      <c r="F211" s="760">
        <f t="shared" si="7"/>
        <v>1600.6310641535893</v>
      </c>
      <c r="M211" s="443"/>
    </row>
    <row r="212" spans="1:13">
      <c r="A212" s="640">
        <v>10913</v>
      </c>
      <c r="B212" s="640">
        <v>1700</v>
      </c>
      <c r="C212" s="638">
        <v>4308.9669999999996</v>
      </c>
      <c r="D212" s="633">
        <f t="shared" si="8"/>
        <v>4308.9669999999996</v>
      </c>
      <c r="E212" s="760"/>
      <c r="F212" s="760">
        <f t="shared" si="7"/>
        <v>1818.0157735435514</v>
      </c>
      <c r="M212" s="443"/>
    </row>
    <row r="213" spans="1:13">
      <c r="A213" s="640">
        <v>10913</v>
      </c>
      <c r="B213" s="640">
        <v>1800</v>
      </c>
      <c r="C213" s="638">
        <v>5044.3720000000003</v>
      </c>
      <c r="D213" s="633">
        <f t="shared" si="8"/>
        <v>5044.3720000000003</v>
      </c>
      <c r="E213" s="760"/>
      <c r="F213" s="760">
        <f t="shared" si="7"/>
        <v>2128.2938262514967</v>
      </c>
      <c r="M213" s="443"/>
    </row>
    <row r="214" spans="1:13">
      <c r="A214" s="640">
        <v>10913</v>
      </c>
      <c r="B214" s="640">
        <v>1900</v>
      </c>
      <c r="C214" s="638">
        <v>5186.4399999999996</v>
      </c>
      <c r="D214" s="633">
        <f t="shared" si="8"/>
        <v>5186.4399999999996</v>
      </c>
      <c r="E214" s="760"/>
      <c r="F214" s="760">
        <f t="shared" si="7"/>
        <v>2188.2343792693737</v>
      </c>
      <c r="M214" s="443"/>
    </row>
    <row r="215" spans="1:13">
      <c r="A215" s="640">
        <v>10913</v>
      </c>
      <c r="B215" s="640">
        <v>2000</v>
      </c>
      <c r="C215" s="638">
        <v>5152.5860000000002</v>
      </c>
      <c r="D215" s="633">
        <f t="shared" si="8"/>
        <v>5152.5860000000002</v>
      </c>
      <c r="E215" s="760"/>
      <c r="F215" s="760">
        <f t="shared" si="7"/>
        <v>2173.9508848732594</v>
      </c>
      <c r="M215" s="443"/>
    </row>
    <row r="216" spans="1:13">
      <c r="A216" s="640">
        <v>10913</v>
      </c>
      <c r="B216" s="640">
        <v>2100</v>
      </c>
      <c r="C216" s="638">
        <v>5072.8980000000001</v>
      </c>
      <c r="D216" s="633">
        <f t="shared" si="8"/>
        <v>5072.8980000000001</v>
      </c>
      <c r="E216" s="760"/>
      <c r="F216" s="760">
        <f t="shared" si="7"/>
        <v>2140.3293600479037</v>
      </c>
      <c r="M216" s="443"/>
    </row>
    <row r="217" spans="1:13">
      <c r="A217" s="640">
        <v>10913</v>
      </c>
      <c r="B217" s="640">
        <v>2200</v>
      </c>
      <c r="C217" s="638">
        <v>4769.1980000000003</v>
      </c>
      <c r="D217" s="633">
        <f t="shared" si="8"/>
        <v>4769.1980000000003</v>
      </c>
      <c r="E217" s="760"/>
      <c r="F217" s="760">
        <f t="shared" si="7"/>
        <v>2012.1939182064655</v>
      </c>
      <c r="M217" s="443"/>
    </row>
    <row r="218" spans="1:13">
      <c r="A218" s="640">
        <v>10913</v>
      </c>
      <c r="B218" s="640">
        <v>2300</v>
      </c>
      <c r="C218" s="638">
        <v>4202.2129999999997</v>
      </c>
      <c r="D218" s="633">
        <f t="shared" si="8"/>
        <v>4202.2129999999997</v>
      </c>
      <c r="E218" s="760"/>
      <c r="F218" s="760">
        <f t="shared" si="7"/>
        <v>1772.9747101311675</v>
      </c>
      <c r="M218" s="443"/>
    </row>
    <row r="219" spans="1:13">
      <c r="A219" s="640">
        <v>10913</v>
      </c>
      <c r="B219" s="640">
        <v>2400</v>
      </c>
      <c r="C219" s="638">
        <v>3627.5039999999999</v>
      </c>
      <c r="D219" s="633">
        <f t="shared" si="8"/>
        <v>3627.5039999999999</v>
      </c>
      <c r="E219" s="760"/>
      <c r="F219" s="760">
        <f t="shared" si="7"/>
        <v>1530.4966342495377</v>
      </c>
      <c r="M219" s="443"/>
    </row>
    <row r="220" spans="1:13">
      <c r="A220" s="640">
        <v>11013</v>
      </c>
      <c r="B220" s="640">
        <v>100</v>
      </c>
      <c r="C220" s="638">
        <v>3330.1320000000001</v>
      </c>
      <c r="D220" s="633">
        <f t="shared" si="8"/>
        <v>3330.1320000000001</v>
      </c>
      <c r="E220" s="760"/>
      <c r="F220" s="760">
        <f t="shared" si="7"/>
        <v>1405.0310675347791</v>
      </c>
      <c r="M220" s="443"/>
    </row>
    <row r="221" spans="1:13">
      <c r="A221" s="640">
        <v>11013</v>
      </c>
      <c r="B221" s="640">
        <v>200</v>
      </c>
      <c r="C221" s="638">
        <v>3404.212</v>
      </c>
      <c r="D221" s="633">
        <f t="shared" si="8"/>
        <v>3404.212</v>
      </c>
      <c r="E221" s="760"/>
      <c r="F221" s="760">
        <f t="shared" si="7"/>
        <v>1436.286495692875</v>
      </c>
      <c r="M221" s="443"/>
    </row>
    <row r="222" spans="1:13">
      <c r="A222" s="640">
        <v>11013</v>
      </c>
      <c r="B222" s="640">
        <v>300</v>
      </c>
      <c r="C222" s="638">
        <v>3332.2629999999999</v>
      </c>
      <c r="D222" s="633">
        <f t="shared" si="8"/>
        <v>3332.2629999999999</v>
      </c>
      <c r="E222" s="760"/>
      <c r="F222" s="760">
        <f t="shared" si="7"/>
        <v>1405.9301673917566</v>
      </c>
      <c r="M222" s="443"/>
    </row>
    <row r="223" spans="1:13">
      <c r="A223" s="640">
        <v>11013</v>
      </c>
      <c r="B223" s="640">
        <v>400</v>
      </c>
      <c r="C223" s="638">
        <v>3325.518</v>
      </c>
      <c r="D223" s="633">
        <f t="shared" si="8"/>
        <v>3325.518</v>
      </c>
      <c r="E223" s="760"/>
      <c r="F223" s="760">
        <f t="shared" si="7"/>
        <v>1403.0843539073296</v>
      </c>
      <c r="M223" s="443"/>
    </row>
    <row r="224" spans="1:13">
      <c r="A224" s="640">
        <v>11013</v>
      </c>
      <c r="B224" s="640">
        <v>500</v>
      </c>
      <c r="C224" s="638">
        <v>3440.9360000000001</v>
      </c>
      <c r="D224" s="633">
        <f t="shared" si="8"/>
        <v>3440.9360000000001</v>
      </c>
      <c r="E224" s="760"/>
      <c r="F224" s="760">
        <f t="shared" si="7"/>
        <v>1451.7808847813997</v>
      </c>
      <c r="M224" s="443"/>
    </row>
    <row r="225" spans="1:13">
      <c r="A225" s="640">
        <v>11013</v>
      </c>
      <c r="B225" s="640">
        <v>600</v>
      </c>
      <c r="C225" s="638">
        <v>3740.1729999999998</v>
      </c>
      <c r="D225" s="633">
        <f t="shared" si="8"/>
        <v>3740.1729999999998</v>
      </c>
      <c r="E225" s="760"/>
      <c r="F225" s="760">
        <f t="shared" si="7"/>
        <v>1578.0333220889613</v>
      </c>
      <c r="M225" s="443"/>
    </row>
    <row r="226" spans="1:13">
      <c r="A226" s="640">
        <v>11013</v>
      </c>
      <c r="B226" s="640">
        <v>700</v>
      </c>
      <c r="C226" s="638">
        <v>4282.3919999999998</v>
      </c>
      <c r="D226" s="633">
        <f t="shared" si="8"/>
        <v>4282.3919999999998</v>
      </c>
      <c r="E226" s="760"/>
      <c r="F226" s="760">
        <f t="shared" si="7"/>
        <v>1806.8033949892667</v>
      </c>
      <c r="M226" s="443"/>
    </row>
    <row r="227" spans="1:13">
      <c r="A227" s="640">
        <v>11013</v>
      </c>
      <c r="B227" s="640">
        <v>800</v>
      </c>
      <c r="C227" s="638">
        <v>4534.509</v>
      </c>
      <c r="D227" s="633">
        <f t="shared" si="8"/>
        <v>4534.509</v>
      </c>
      <c r="E227" s="760"/>
      <c r="F227" s="760">
        <f t="shared" si="7"/>
        <v>1913.1752197859014</v>
      </c>
      <c r="M227" s="443"/>
    </row>
    <row r="228" spans="1:13">
      <c r="A228" s="640">
        <v>11013</v>
      </c>
      <c r="B228" s="640">
        <v>900</v>
      </c>
      <c r="C228" s="638">
        <v>4406.8429999999998</v>
      </c>
      <c r="D228" s="633">
        <f t="shared" si="8"/>
        <v>4406.8429999999998</v>
      </c>
      <c r="E228" s="760"/>
      <c r="F228" s="760">
        <f t="shared" si="7"/>
        <v>1859.3110797854763</v>
      </c>
      <c r="M228" s="443"/>
    </row>
    <row r="229" spans="1:13">
      <c r="A229" s="640">
        <v>11013</v>
      </c>
      <c r="B229" s="640">
        <v>1000</v>
      </c>
      <c r="C229" s="638">
        <v>3911.5129999999999</v>
      </c>
      <c r="D229" s="633">
        <f t="shared" si="8"/>
        <v>3911.5129999999999</v>
      </c>
      <c r="E229" s="760"/>
      <c r="F229" s="760">
        <f t="shared" si="7"/>
        <v>1650.3241571403673</v>
      </c>
      <c r="M229" s="443"/>
    </row>
    <row r="230" spans="1:13">
      <c r="A230" s="640">
        <v>11013</v>
      </c>
      <c r="B230" s="640">
        <v>1100</v>
      </c>
      <c r="C230" s="638">
        <v>3593.6350000000002</v>
      </c>
      <c r="D230" s="633">
        <f t="shared" si="8"/>
        <v>3593.6350000000002</v>
      </c>
      <c r="E230" s="760"/>
      <c r="F230" s="760">
        <f t="shared" si="7"/>
        <v>1516.2068111355184</v>
      </c>
      <c r="M230" s="443"/>
    </row>
    <row r="231" spans="1:13">
      <c r="A231" s="640">
        <v>11013</v>
      </c>
      <c r="B231" s="640">
        <v>1200</v>
      </c>
      <c r="C231" s="638">
        <v>3487.2260000000001</v>
      </c>
      <c r="D231" s="633">
        <f t="shared" si="8"/>
        <v>3487.2260000000001</v>
      </c>
      <c r="E231" s="760"/>
      <c r="F231" s="760">
        <f t="shared" si="7"/>
        <v>1471.31130823494</v>
      </c>
      <c r="M231" s="443"/>
    </row>
    <row r="232" spans="1:13">
      <c r="A232" s="640">
        <v>11013</v>
      </c>
      <c r="B232" s="640">
        <v>1300</v>
      </c>
      <c r="C232" s="638">
        <v>3345.194</v>
      </c>
      <c r="D232" s="633">
        <f t="shared" si="8"/>
        <v>3345.194</v>
      </c>
      <c r="E232" s="760"/>
      <c r="F232" s="760">
        <f t="shared" si="7"/>
        <v>1411.3859441400334</v>
      </c>
      <c r="M232" s="443"/>
    </row>
    <row r="233" spans="1:13">
      <c r="A233" s="640">
        <v>11013</v>
      </c>
      <c r="B233" s="640">
        <v>1400</v>
      </c>
      <c r="C233" s="638">
        <v>3232.4470000000001</v>
      </c>
      <c r="D233" s="633">
        <f t="shared" si="8"/>
        <v>3232.4470000000001</v>
      </c>
      <c r="E233" s="760"/>
      <c r="F233" s="760">
        <f t="shared" si="7"/>
        <v>1363.816346967506</v>
      </c>
      <c r="M233" s="443"/>
    </row>
    <row r="234" spans="1:13">
      <c r="A234" s="640">
        <v>11013</v>
      </c>
      <c r="B234" s="640">
        <v>1500</v>
      </c>
      <c r="C234" s="638">
        <v>3276.2510000000002</v>
      </c>
      <c r="D234" s="633">
        <f t="shared" si="8"/>
        <v>3276.2510000000002</v>
      </c>
      <c r="E234" s="760"/>
      <c r="F234" s="760">
        <f t="shared" si="7"/>
        <v>1382.2978909069932</v>
      </c>
      <c r="M234" s="443"/>
    </row>
    <row r="235" spans="1:13">
      <c r="A235" s="640">
        <v>11013</v>
      </c>
      <c r="B235" s="640">
        <v>1600</v>
      </c>
      <c r="C235" s="638">
        <v>3489.8319999999999</v>
      </c>
      <c r="D235" s="633">
        <f t="shared" si="8"/>
        <v>3489.8319999999999</v>
      </c>
      <c r="E235" s="760"/>
      <c r="F235" s="760">
        <f t="shared" si="7"/>
        <v>1472.4108174922294</v>
      </c>
      <c r="M235" s="443"/>
    </row>
    <row r="236" spans="1:13">
      <c r="A236" s="640">
        <v>11013</v>
      </c>
      <c r="B236" s="640">
        <v>1700</v>
      </c>
      <c r="C236" s="638">
        <v>3819.3820000000001</v>
      </c>
      <c r="D236" s="633">
        <f t="shared" si="8"/>
        <v>3819.3820000000001</v>
      </c>
      <c r="E236" s="760"/>
      <c r="F236" s="760">
        <f t="shared" si="7"/>
        <v>1611.4527498558973</v>
      </c>
      <c r="M236" s="443"/>
    </row>
    <row r="237" spans="1:13">
      <c r="A237" s="640">
        <v>11013</v>
      </c>
      <c r="B237" s="640">
        <v>1800</v>
      </c>
      <c r="C237" s="638">
        <v>4615.78</v>
      </c>
      <c r="D237" s="633">
        <f t="shared" si="8"/>
        <v>4615.78</v>
      </c>
      <c r="E237" s="760"/>
      <c r="F237" s="760">
        <f t="shared" si="7"/>
        <v>1947.4646353074538</v>
      </c>
      <c r="M237" s="443"/>
    </row>
    <row r="238" spans="1:13">
      <c r="A238" s="640">
        <v>11013</v>
      </c>
      <c r="B238" s="640">
        <v>1900</v>
      </c>
      <c r="C238" s="638">
        <v>4827.7089999999998</v>
      </c>
      <c r="D238" s="633">
        <f t="shared" si="8"/>
        <v>4827.7089999999998</v>
      </c>
      <c r="E238" s="760"/>
      <c r="F238" s="760">
        <f t="shared" si="7"/>
        <v>2036.880559094132</v>
      </c>
      <c r="M238" s="443"/>
    </row>
    <row r="239" spans="1:13">
      <c r="A239" s="640">
        <v>11013</v>
      </c>
      <c r="B239" s="640">
        <v>2000</v>
      </c>
      <c r="C239" s="638">
        <v>4830.6109999999999</v>
      </c>
      <c r="D239" s="633">
        <f t="shared" si="8"/>
        <v>4830.6109999999999</v>
      </c>
      <c r="E239" s="760"/>
      <c r="F239" s="760">
        <f t="shared" si="7"/>
        <v>2038.1049550514051</v>
      </c>
      <c r="M239" s="443"/>
    </row>
    <row r="240" spans="1:13">
      <c r="A240" s="640">
        <v>11013</v>
      </c>
      <c r="B240" s="640">
        <v>2100</v>
      </c>
      <c r="C240" s="638">
        <v>4747.37</v>
      </c>
      <c r="D240" s="633">
        <f t="shared" si="8"/>
        <v>4747.37</v>
      </c>
      <c r="E240" s="760"/>
      <c r="F240" s="760">
        <f t="shared" si="7"/>
        <v>2002.9843679117175</v>
      </c>
      <c r="M240" s="443"/>
    </row>
    <row r="241" spans="1:13">
      <c r="A241" s="640">
        <v>11013</v>
      </c>
      <c r="B241" s="640">
        <v>2200</v>
      </c>
      <c r="C241" s="638">
        <v>4560.1859999999997</v>
      </c>
      <c r="D241" s="633">
        <f t="shared" si="8"/>
        <v>4560.1859999999997</v>
      </c>
      <c r="E241" s="760"/>
      <c r="F241" s="760">
        <f t="shared" si="7"/>
        <v>1924.0087190949648</v>
      </c>
      <c r="M241" s="443"/>
    </row>
    <row r="242" spans="1:13">
      <c r="A242" s="640">
        <v>11013</v>
      </c>
      <c r="B242" s="640">
        <v>2300</v>
      </c>
      <c r="C242" s="638">
        <v>4016.5770000000002</v>
      </c>
      <c r="D242" s="633">
        <f t="shared" si="8"/>
        <v>4016.5770000000002</v>
      </c>
      <c r="E242" s="760"/>
      <c r="F242" s="760">
        <f t="shared" si="7"/>
        <v>1694.6521850021682</v>
      </c>
      <c r="M242" s="443"/>
    </row>
    <row r="243" spans="1:13">
      <c r="A243" s="640">
        <v>11013</v>
      </c>
      <c r="B243" s="640">
        <v>2400</v>
      </c>
      <c r="C243" s="638">
        <v>3555.7719999999999</v>
      </c>
      <c r="D243" s="633">
        <f t="shared" si="8"/>
        <v>3555.7719999999999</v>
      </c>
      <c r="E243" s="760"/>
      <c r="F243" s="760">
        <f t="shared" si="7"/>
        <v>1500.2318614007722</v>
      </c>
      <c r="M243" s="443"/>
    </row>
    <row r="244" spans="1:13">
      <c r="A244" s="640">
        <v>11113</v>
      </c>
      <c r="B244" s="640">
        <v>100</v>
      </c>
      <c r="C244" s="638">
        <v>3272.826</v>
      </c>
      <c r="D244" s="633">
        <f t="shared" si="8"/>
        <v>3272.826</v>
      </c>
      <c r="E244" s="760"/>
      <c r="F244" s="760">
        <f t="shared" si="7"/>
        <v>1380.8528336521138</v>
      </c>
      <c r="M244" s="443"/>
    </row>
    <row r="245" spans="1:13">
      <c r="A245" s="640">
        <v>11113</v>
      </c>
      <c r="B245" s="640">
        <v>200</v>
      </c>
      <c r="C245" s="638">
        <v>3312.16</v>
      </c>
      <c r="D245" s="633">
        <f t="shared" si="8"/>
        <v>3312.16</v>
      </c>
      <c r="E245" s="760"/>
      <c r="F245" s="760">
        <f t="shared" si="7"/>
        <v>1397.4484196560356</v>
      </c>
      <c r="M245" s="443"/>
    </row>
    <row r="246" spans="1:13">
      <c r="A246" s="640">
        <v>11113</v>
      </c>
      <c r="B246" s="640">
        <v>300</v>
      </c>
      <c r="C246" s="638">
        <v>3180.614</v>
      </c>
      <c r="D246" s="633">
        <f t="shared" si="8"/>
        <v>3180.614</v>
      </c>
      <c r="E246" s="760"/>
      <c r="F246" s="760">
        <f t="shared" si="7"/>
        <v>1341.947251290959</v>
      </c>
      <c r="M246" s="443"/>
    </row>
    <row r="247" spans="1:13">
      <c r="A247" s="640">
        <v>11113</v>
      </c>
      <c r="B247" s="640">
        <v>400</v>
      </c>
      <c r="C247" s="638">
        <v>3212.538</v>
      </c>
      <c r="D247" s="633">
        <f t="shared" si="8"/>
        <v>3212.538</v>
      </c>
      <c r="E247" s="760"/>
      <c r="F247" s="760">
        <f t="shared" si="7"/>
        <v>1355.4164506500176</v>
      </c>
      <c r="M247" s="443"/>
    </row>
    <row r="248" spans="1:13">
      <c r="A248" s="640">
        <v>11113</v>
      </c>
      <c r="B248" s="640">
        <v>500</v>
      </c>
      <c r="C248" s="638">
        <v>3273.826</v>
      </c>
      <c r="D248" s="633">
        <f t="shared" si="8"/>
        <v>3273.826</v>
      </c>
      <c r="E248" s="760"/>
      <c r="F248" s="760">
        <f t="shared" si="7"/>
        <v>1381.2747481790859</v>
      </c>
      <c r="M248" s="443"/>
    </row>
    <row r="249" spans="1:13">
      <c r="A249" s="640">
        <v>11113</v>
      </c>
      <c r="B249" s="640">
        <v>600</v>
      </c>
      <c r="C249" s="638">
        <v>3630.0839999999998</v>
      </c>
      <c r="D249" s="633">
        <f t="shared" si="8"/>
        <v>3630.0839999999998</v>
      </c>
      <c r="E249" s="760"/>
      <c r="F249" s="760">
        <f t="shared" si="7"/>
        <v>1531.5851737291257</v>
      </c>
      <c r="M249" s="443"/>
    </row>
    <row r="250" spans="1:13">
      <c r="A250" s="640">
        <v>11113</v>
      </c>
      <c r="B250" s="640">
        <v>700</v>
      </c>
      <c r="C250" s="638">
        <v>4135.491</v>
      </c>
      <c r="D250" s="633">
        <f t="shared" si="8"/>
        <v>4135.491</v>
      </c>
      <c r="E250" s="760"/>
      <c r="F250" s="760">
        <f t="shared" si="7"/>
        <v>1744.8237290625329</v>
      </c>
      <c r="M250" s="443"/>
    </row>
    <row r="251" spans="1:13">
      <c r="A251" s="640">
        <v>11113</v>
      </c>
      <c r="B251" s="640">
        <v>800</v>
      </c>
      <c r="C251" s="638">
        <v>4444.0469999999996</v>
      </c>
      <c r="D251" s="633">
        <f t="shared" si="8"/>
        <v>4444.0469999999996</v>
      </c>
      <c r="E251" s="760"/>
      <c r="F251" s="760">
        <f t="shared" si="7"/>
        <v>1875.0079878469478</v>
      </c>
      <c r="M251" s="443"/>
    </row>
    <row r="252" spans="1:13">
      <c r="A252" s="640">
        <v>11113</v>
      </c>
      <c r="B252" s="640">
        <v>900</v>
      </c>
      <c r="C252" s="638">
        <v>4423.1260000000002</v>
      </c>
      <c r="D252" s="633">
        <f t="shared" si="8"/>
        <v>4423.1260000000002</v>
      </c>
      <c r="E252" s="760"/>
      <c r="F252" s="760">
        <f t="shared" si="7"/>
        <v>1866.1811140281638</v>
      </c>
      <c r="M252" s="443"/>
    </row>
    <row r="253" spans="1:13">
      <c r="A253" s="640">
        <v>11113</v>
      </c>
      <c r="B253" s="640">
        <v>1000</v>
      </c>
      <c r="C253" s="638">
        <v>4365.366</v>
      </c>
      <c r="D253" s="633">
        <f t="shared" si="8"/>
        <v>4365.366</v>
      </c>
      <c r="E253" s="760"/>
      <c r="F253" s="760">
        <f t="shared" si="7"/>
        <v>1841.811330950253</v>
      </c>
      <c r="M253" s="443"/>
    </row>
    <row r="254" spans="1:13">
      <c r="A254" s="640">
        <v>11113</v>
      </c>
      <c r="B254" s="640">
        <v>1100</v>
      </c>
      <c r="C254" s="638">
        <v>4330.1610000000001</v>
      </c>
      <c r="D254" s="633">
        <f t="shared" si="8"/>
        <v>4330.1610000000001</v>
      </c>
      <c r="E254" s="760"/>
      <c r="F254" s="760">
        <f t="shared" si="7"/>
        <v>1826.9578300281989</v>
      </c>
      <c r="M254" s="443"/>
    </row>
    <row r="255" spans="1:13">
      <c r="A255" s="640">
        <v>11113</v>
      </c>
      <c r="B255" s="640">
        <v>1200</v>
      </c>
      <c r="C255" s="638">
        <v>4301.9650000000001</v>
      </c>
      <c r="D255" s="633">
        <f t="shared" si="8"/>
        <v>4301.9650000000001</v>
      </c>
      <c r="E255" s="760"/>
      <c r="F255" s="760">
        <f t="shared" si="7"/>
        <v>1815.0615280256925</v>
      </c>
      <c r="M255" s="443"/>
    </row>
    <row r="256" spans="1:13">
      <c r="A256" s="640">
        <v>11113</v>
      </c>
      <c r="B256" s="640">
        <v>1300</v>
      </c>
      <c r="C256" s="638">
        <v>4151.6760000000004</v>
      </c>
      <c r="D256" s="633">
        <f t="shared" si="8"/>
        <v>4151.6760000000004</v>
      </c>
      <c r="E256" s="760"/>
      <c r="F256" s="760">
        <f t="shared" si="7"/>
        <v>1751.6524156815769</v>
      </c>
      <c r="M256" s="443"/>
    </row>
    <row r="257" spans="1:13">
      <c r="A257" s="640">
        <v>11113</v>
      </c>
      <c r="B257" s="640">
        <v>1400</v>
      </c>
      <c r="C257" s="638">
        <v>4139.4040000000005</v>
      </c>
      <c r="D257" s="633">
        <f t="shared" si="8"/>
        <v>4139.4040000000005</v>
      </c>
      <c r="E257" s="760"/>
      <c r="F257" s="760">
        <f t="shared" si="7"/>
        <v>1746.474680606575</v>
      </c>
      <c r="M257" s="443"/>
    </row>
    <row r="258" spans="1:13">
      <c r="A258" s="640">
        <v>11113</v>
      </c>
      <c r="B258" s="640">
        <v>1500</v>
      </c>
      <c r="C258" s="638">
        <v>4200.9639999999999</v>
      </c>
      <c r="D258" s="633">
        <f t="shared" si="8"/>
        <v>4200.9639999999999</v>
      </c>
      <c r="E258" s="760"/>
      <c r="F258" s="760">
        <f t="shared" si="7"/>
        <v>1772.4477388869798</v>
      </c>
      <c r="M258" s="443"/>
    </row>
    <row r="259" spans="1:13">
      <c r="A259" s="640">
        <v>11113</v>
      </c>
      <c r="B259" s="640">
        <v>1600</v>
      </c>
      <c r="C259" s="638">
        <v>4323.6499999999996</v>
      </c>
      <c r="D259" s="633">
        <f t="shared" si="8"/>
        <v>4323.6499999999996</v>
      </c>
      <c r="E259" s="760"/>
      <c r="F259" s="760">
        <f t="shared" si="7"/>
        <v>1824.2107445430831</v>
      </c>
      <c r="M259" s="443"/>
    </row>
    <row r="260" spans="1:13">
      <c r="A260" s="640">
        <v>11113</v>
      </c>
      <c r="B260" s="640">
        <v>1700</v>
      </c>
      <c r="C260" s="638">
        <v>4396.6850000000004</v>
      </c>
      <c r="D260" s="633">
        <f t="shared" si="8"/>
        <v>4396.6850000000004</v>
      </c>
      <c r="E260" s="760"/>
      <c r="F260" s="760">
        <f t="shared" ref="F260:F323" si="9">(D260/(MAX($D$4:$D$747)))*$M$4</f>
        <v>1855.0252720204937</v>
      </c>
      <c r="M260" s="443"/>
    </row>
    <row r="261" spans="1:13">
      <c r="A261" s="640">
        <v>11113</v>
      </c>
      <c r="B261" s="640">
        <v>1800</v>
      </c>
      <c r="C261" s="638">
        <v>4724.9589999999998</v>
      </c>
      <c r="D261" s="633">
        <f t="shared" ref="D261:D324" si="10">C261</f>
        <v>4724.9589999999998</v>
      </c>
      <c r="E261" s="760"/>
      <c r="F261" s="760">
        <f t="shared" si="9"/>
        <v>1993.5288414477448</v>
      </c>
      <c r="M261" s="443"/>
    </row>
    <row r="262" spans="1:13">
      <c r="A262" s="640">
        <v>11113</v>
      </c>
      <c r="B262" s="640">
        <v>1900</v>
      </c>
      <c r="C262" s="638">
        <v>4762.9409999999998</v>
      </c>
      <c r="D262" s="633">
        <f t="shared" si="10"/>
        <v>4762.9409999999998</v>
      </c>
      <c r="E262" s="760"/>
      <c r="F262" s="760">
        <f t="shared" si="9"/>
        <v>2009.5539990112006</v>
      </c>
      <c r="M262" s="443"/>
    </row>
    <row r="263" spans="1:13">
      <c r="A263" s="640">
        <v>11113</v>
      </c>
      <c r="B263" s="640">
        <v>2000</v>
      </c>
      <c r="C263" s="638">
        <v>4690.5429999999997</v>
      </c>
      <c r="D263" s="633">
        <f t="shared" si="10"/>
        <v>4690.5429999999997</v>
      </c>
      <c r="E263" s="760"/>
      <c r="F263" s="760">
        <f t="shared" si="9"/>
        <v>1979.0082310874718</v>
      </c>
      <c r="M263" s="443"/>
    </row>
    <row r="264" spans="1:13">
      <c r="A264" s="640">
        <v>11113</v>
      </c>
      <c r="B264" s="640">
        <v>2100</v>
      </c>
      <c r="C264" s="638">
        <v>4582.7359999999999</v>
      </c>
      <c r="D264" s="633">
        <f t="shared" si="10"/>
        <v>4582.7359999999999</v>
      </c>
      <c r="E264" s="760"/>
      <c r="F264" s="760">
        <f t="shared" si="9"/>
        <v>1933.5228916781864</v>
      </c>
      <c r="M264" s="443"/>
    </row>
    <row r="265" spans="1:13">
      <c r="A265" s="640">
        <v>11113</v>
      </c>
      <c r="B265" s="640">
        <v>2200</v>
      </c>
      <c r="C265" s="638">
        <v>4320.3819999999996</v>
      </c>
      <c r="D265" s="633">
        <f t="shared" si="10"/>
        <v>4320.3819999999996</v>
      </c>
      <c r="E265" s="760"/>
      <c r="F265" s="760">
        <f t="shared" si="9"/>
        <v>1822.8319278689382</v>
      </c>
      <c r="M265" s="443"/>
    </row>
    <row r="266" spans="1:13">
      <c r="A266" s="640">
        <v>11113</v>
      </c>
      <c r="B266" s="640">
        <v>2300</v>
      </c>
      <c r="C266" s="638">
        <v>3938.6190000000001</v>
      </c>
      <c r="D266" s="633">
        <f t="shared" si="10"/>
        <v>3938.6190000000001</v>
      </c>
      <c r="E266" s="760"/>
      <c r="F266" s="760">
        <f t="shared" si="9"/>
        <v>1661.7605723084741</v>
      </c>
      <c r="M266" s="443"/>
    </row>
    <row r="267" spans="1:13">
      <c r="A267" s="640">
        <v>11113</v>
      </c>
      <c r="B267" s="640">
        <v>2400</v>
      </c>
      <c r="C267" s="638">
        <v>3511.1790000000001</v>
      </c>
      <c r="D267" s="633">
        <f t="shared" si="10"/>
        <v>3511.1790000000001</v>
      </c>
      <c r="E267" s="760"/>
      <c r="F267" s="760">
        <f t="shared" si="9"/>
        <v>1481.4174268995034</v>
      </c>
      <c r="M267" s="443"/>
    </row>
    <row r="268" spans="1:13">
      <c r="A268" s="640">
        <v>11213</v>
      </c>
      <c r="B268" s="640">
        <v>100</v>
      </c>
      <c r="C268" s="638">
        <v>3191.9050000000002</v>
      </c>
      <c r="D268" s="633">
        <f t="shared" si="10"/>
        <v>3191.9050000000002</v>
      </c>
      <c r="E268" s="760"/>
      <c r="F268" s="760">
        <f t="shared" si="9"/>
        <v>1346.7110882150014</v>
      </c>
      <c r="M268" s="443"/>
    </row>
    <row r="269" spans="1:13">
      <c r="A269" s="640">
        <v>11213</v>
      </c>
      <c r="B269" s="640">
        <v>200</v>
      </c>
      <c r="C269" s="638">
        <v>3174.7310000000002</v>
      </c>
      <c r="D269" s="633">
        <f t="shared" si="10"/>
        <v>3174.7310000000002</v>
      </c>
      <c r="E269" s="760"/>
      <c r="F269" s="760">
        <f t="shared" si="9"/>
        <v>1339.4651281287818</v>
      </c>
      <c r="M269" s="443"/>
    </row>
    <row r="270" spans="1:13">
      <c r="A270" s="640">
        <v>11213</v>
      </c>
      <c r="B270" s="640">
        <v>300</v>
      </c>
      <c r="C270" s="638">
        <v>3085.9690000000001</v>
      </c>
      <c r="D270" s="633">
        <f t="shared" si="10"/>
        <v>3085.9690000000001</v>
      </c>
      <c r="E270" s="760"/>
      <c r="F270" s="760">
        <f t="shared" si="9"/>
        <v>1302.0151508856809</v>
      </c>
      <c r="M270" s="443"/>
    </row>
    <row r="271" spans="1:13">
      <c r="A271" s="640">
        <v>11213</v>
      </c>
      <c r="B271" s="640">
        <v>400</v>
      </c>
      <c r="C271" s="638">
        <v>3023.9630000000002</v>
      </c>
      <c r="D271" s="633">
        <f t="shared" si="10"/>
        <v>3023.9630000000002</v>
      </c>
      <c r="E271" s="760"/>
      <c r="F271" s="760">
        <f t="shared" si="9"/>
        <v>1275.8539187262465</v>
      </c>
      <c r="M271" s="443"/>
    </row>
    <row r="272" spans="1:13">
      <c r="A272" s="640">
        <v>11213</v>
      </c>
      <c r="B272" s="640">
        <v>500</v>
      </c>
      <c r="C272" s="638">
        <v>3014.2669999999998</v>
      </c>
      <c r="D272" s="633">
        <f t="shared" si="10"/>
        <v>3014.2669999999998</v>
      </c>
      <c r="E272" s="760"/>
      <c r="F272" s="760">
        <f t="shared" si="9"/>
        <v>1271.7630354727246</v>
      </c>
      <c r="M272" s="443"/>
    </row>
    <row r="273" spans="1:13">
      <c r="A273" s="640">
        <v>11213</v>
      </c>
      <c r="B273" s="640">
        <v>600</v>
      </c>
      <c r="C273" s="638">
        <v>3136.2559999999999</v>
      </c>
      <c r="D273" s="633">
        <f t="shared" si="10"/>
        <v>3136.2559999999999</v>
      </c>
      <c r="E273" s="760"/>
      <c r="F273" s="760">
        <f t="shared" si="9"/>
        <v>1323.231966703529</v>
      </c>
      <c r="M273" s="443"/>
    </row>
    <row r="274" spans="1:13">
      <c r="A274" s="640">
        <v>11213</v>
      </c>
      <c r="B274" s="640">
        <v>700</v>
      </c>
      <c r="C274" s="638">
        <v>3288.643</v>
      </c>
      <c r="D274" s="633">
        <f t="shared" si="10"/>
        <v>3288.643</v>
      </c>
      <c r="E274" s="760"/>
      <c r="F274" s="760">
        <f t="shared" si="9"/>
        <v>1387.526255725232</v>
      </c>
      <c r="M274" s="443"/>
    </row>
    <row r="275" spans="1:13">
      <c r="A275" s="640">
        <v>11213</v>
      </c>
      <c r="B275" s="640">
        <v>800</v>
      </c>
      <c r="C275" s="638">
        <v>3605.73</v>
      </c>
      <c r="D275" s="633">
        <f t="shared" si="10"/>
        <v>3605.73</v>
      </c>
      <c r="E275" s="760"/>
      <c r="F275" s="760">
        <f t="shared" si="9"/>
        <v>1521.3098673392462</v>
      </c>
      <c r="M275" s="443"/>
    </row>
    <row r="276" spans="1:13">
      <c r="A276" s="640">
        <v>11213</v>
      </c>
      <c r="B276" s="640">
        <v>900</v>
      </c>
      <c r="C276" s="638">
        <v>3941.4810000000002</v>
      </c>
      <c r="D276" s="633">
        <f t="shared" si="10"/>
        <v>3941.4810000000002</v>
      </c>
      <c r="E276" s="760"/>
      <c r="F276" s="760">
        <f t="shared" si="9"/>
        <v>1662.9680916846685</v>
      </c>
      <c r="M276" s="443"/>
    </row>
    <row r="277" spans="1:13">
      <c r="A277" s="640">
        <v>11213</v>
      </c>
      <c r="B277" s="640">
        <v>1000</v>
      </c>
      <c r="C277" s="638">
        <v>4005.93</v>
      </c>
      <c r="D277" s="633">
        <f t="shared" si="10"/>
        <v>4005.93</v>
      </c>
      <c r="E277" s="760"/>
      <c r="F277" s="760">
        <f t="shared" si="9"/>
        <v>1690.1600610334958</v>
      </c>
      <c r="M277" s="443"/>
    </row>
    <row r="278" spans="1:13">
      <c r="A278" s="640">
        <v>11213</v>
      </c>
      <c r="B278" s="640">
        <v>1100</v>
      </c>
      <c r="C278" s="638">
        <v>3927.2190000000001</v>
      </c>
      <c r="D278" s="633">
        <f t="shared" si="10"/>
        <v>3927.2190000000001</v>
      </c>
      <c r="E278" s="760"/>
      <c r="F278" s="760">
        <f t="shared" si="9"/>
        <v>1656.9507467009917</v>
      </c>
      <c r="M278" s="443"/>
    </row>
    <row r="279" spans="1:13">
      <c r="A279" s="640">
        <v>11213</v>
      </c>
      <c r="B279" s="640">
        <v>1200</v>
      </c>
      <c r="C279" s="638">
        <v>3830.623</v>
      </c>
      <c r="D279" s="633">
        <f t="shared" si="10"/>
        <v>3830.623</v>
      </c>
      <c r="E279" s="760"/>
      <c r="F279" s="760">
        <f t="shared" si="9"/>
        <v>1616.1954910535912</v>
      </c>
      <c r="M279" s="443"/>
    </row>
    <row r="280" spans="1:13">
      <c r="A280" s="640">
        <v>11213</v>
      </c>
      <c r="B280" s="640">
        <v>1300</v>
      </c>
      <c r="C280" s="638">
        <v>3781.4079999999999</v>
      </c>
      <c r="D280" s="633">
        <f t="shared" si="10"/>
        <v>3781.4079999999999</v>
      </c>
      <c r="E280" s="760"/>
      <c r="F280" s="760">
        <f t="shared" si="9"/>
        <v>1595.4309676086573</v>
      </c>
      <c r="M280" s="443"/>
    </row>
    <row r="281" spans="1:13">
      <c r="A281" s="640">
        <v>11213</v>
      </c>
      <c r="B281" s="640">
        <v>1400</v>
      </c>
      <c r="C281" s="638">
        <v>3633.9780000000001</v>
      </c>
      <c r="D281" s="633">
        <f t="shared" si="10"/>
        <v>3633.9780000000001</v>
      </c>
      <c r="E281" s="760"/>
      <c r="F281" s="760">
        <f t="shared" si="9"/>
        <v>1533.2281088971552</v>
      </c>
      <c r="M281" s="443"/>
    </row>
    <row r="282" spans="1:13">
      <c r="A282" s="640">
        <v>11213</v>
      </c>
      <c r="B282" s="640">
        <v>1500</v>
      </c>
      <c r="C282" s="638">
        <v>3522.8719999999998</v>
      </c>
      <c r="D282" s="633">
        <f t="shared" si="10"/>
        <v>3522.8719999999998</v>
      </c>
      <c r="E282" s="760"/>
      <c r="F282" s="760">
        <f t="shared" si="9"/>
        <v>1486.3508734633888</v>
      </c>
      <c r="M282" s="443"/>
    </row>
    <row r="283" spans="1:13">
      <c r="A283" s="640">
        <v>11213</v>
      </c>
      <c r="B283" s="640">
        <v>1600</v>
      </c>
      <c r="C283" s="638">
        <v>3710.1320000000001</v>
      </c>
      <c r="D283" s="633">
        <f t="shared" si="10"/>
        <v>3710.1320000000001</v>
      </c>
      <c r="E283" s="760"/>
      <c r="F283" s="760">
        <f t="shared" si="9"/>
        <v>1565.3585877841915</v>
      </c>
      <c r="M283" s="443"/>
    </row>
    <row r="284" spans="1:13">
      <c r="A284" s="640">
        <v>11213</v>
      </c>
      <c r="B284" s="640">
        <v>1700</v>
      </c>
      <c r="C284" s="638">
        <v>3868.2649999999999</v>
      </c>
      <c r="D284" s="633">
        <f t="shared" si="10"/>
        <v>3868.2649999999999</v>
      </c>
      <c r="E284" s="760"/>
      <c r="F284" s="760">
        <f t="shared" si="9"/>
        <v>1632.0771976778765</v>
      </c>
      <c r="M284" s="443"/>
    </row>
    <row r="285" spans="1:13">
      <c r="A285" s="640">
        <v>11213</v>
      </c>
      <c r="B285" s="640">
        <v>1800</v>
      </c>
      <c r="C285" s="638">
        <v>4629.165</v>
      </c>
      <c r="D285" s="633">
        <f t="shared" si="10"/>
        <v>4629.165</v>
      </c>
      <c r="E285" s="760"/>
      <c r="F285" s="760">
        <f t="shared" si="9"/>
        <v>1953.1119612509758</v>
      </c>
      <c r="M285" s="443"/>
    </row>
    <row r="286" spans="1:13">
      <c r="A286" s="640">
        <v>11213</v>
      </c>
      <c r="B286" s="640">
        <v>1900</v>
      </c>
      <c r="C286" s="638">
        <v>4683.4160000000002</v>
      </c>
      <c r="D286" s="633">
        <f t="shared" si="10"/>
        <v>4683.4160000000002</v>
      </c>
      <c r="E286" s="760"/>
      <c r="F286" s="760">
        <f t="shared" si="9"/>
        <v>1976.0012462537413</v>
      </c>
      <c r="M286" s="443"/>
    </row>
    <row r="287" spans="1:13">
      <c r="A287" s="640">
        <v>11213</v>
      </c>
      <c r="B287" s="640">
        <v>2000</v>
      </c>
      <c r="C287" s="638">
        <v>4492.0550000000003</v>
      </c>
      <c r="D287" s="633">
        <f t="shared" si="10"/>
        <v>4492.0550000000003</v>
      </c>
      <c r="E287" s="760"/>
      <c r="F287" s="760">
        <f t="shared" si="9"/>
        <v>1895.2632604578264</v>
      </c>
      <c r="M287" s="443"/>
    </row>
    <row r="288" spans="1:13">
      <c r="A288" s="640">
        <v>11213</v>
      </c>
      <c r="B288" s="640">
        <v>2100</v>
      </c>
      <c r="C288" s="638">
        <v>4163.4290000000001</v>
      </c>
      <c r="D288" s="633">
        <f t="shared" si="10"/>
        <v>4163.4290000000001</v>
      </c>
      <c r="E288" s="760"/>
      <c r="F288" s="760">
        <f t="shared" si="9"/>
        <v>1756.6111771170806</v>
      </c>
      <c r="M288" s="443"/>
    </row>
    <row r="289" spans="1:13">
      <c r="A289" s="640">
        <v>11213</v>
      </c>
      <c r="B289" s="640">
        <v>2200</v>
      </c>
      <c r="C289" s="638">
        <v>3998.877</v>
      </c>
      <c r="D289" s="633">
        <f t="shared" si="10"/>
        <v>3998.877</v>
      </c>
      <c r="E289" s="760"/>
      <c r="F289" s="760">
        <f t="shared" si="9"/>
        <v>1687.1842978747613</v>
      </c>
      <c r="M289" s="443"/>
    </row>
    <row r="290" spans="1:13">
      <c r="A290" s="640">
        <v>11213</v>
      </c>
      <c r="B290" s="640">
        <v>2300</v>
      </c>
      <c r="C290" s="638">
        <v>3680.942</v>
      </c>
      <c r="D290" s="633">
        <f t="shared" si="10"/>
        <v>3680.942</v>
      </c>
      <c r="E290" s="760"/>
      <c r="F290" s="760">
        <f t="shared" si="9"/>
        <v>1553.0429027418747</v>
      </c>
      <c r="M290" s="443"/>
    </row>
    <row r="291" spans="1:13">
      <c r="A291" s="640">
        <v>11213</v>
      </c>
      <c r="B291" s="640">
        <v>2400</v>
      </c>
      <c r="C291" s="638">
        <v>3296.8539999999998</v>
      </c>
      <c r="D291" s="633">
        <f t="shared" si="10"/>
        <v>3296.8539999999998</v>
      </c>
      <c r="E291" s="760"/>
      <c r="F291" s="760">
        <f t="shared" si="9"/>
        <v>1390.9905959062</v>
      </c>
      <c r="M291" s="443"/>
    </row>
    <row r="292" spans="1:13">
      <c r="A292" s="640">
        <v>11313</v>
      </c>
      <c r="B292" s="640">
        <v>100</v>
      </c>
      <c r="C292" s="638">
        <v>3022.808</v>
      </c>
      <c r="D292" s="633">
        <f t="shared" si="10"/>
        <v>3022.808</v>
      </c>
      <c r="E292" s="760"/>
      <c r="F292" s="760">
        <f t="shared" si="9"/>
        <v>1275.3666074475939</v>
      </c>
      <c r="M292" s="443"/>
    </row>
    <row r="293" spans="1:13">
      <c r="A293" s="640">
        <v>11313</v>
      </c>
      <c r="B293" s="640">
        <v>200</v>
      </c>
      <c r="C293" s="638">
        <v>3040.373</v>
      </c>
      <c r="D293" s="633">
        <f t="shared" si="10"/>
        <v>3040.373</v>
      </c>
      <c r="E293" s="760"/>
      <c r="F293" s="760">
        <f t="shared" si="9"/>
        <v>1282.7775361138595</v>
      </c>
      <c r="M293" s="443"/>
    </row>
    <row r="294" spans="1:13">
      <c r="A294" s="640">
        <v>11313</v>
      </c>
      <c r="B294" s="640">
        <v>300</v>
      </c>
      <c r="C294" s="638">
        <v>2894.74</v>
      </c>
      <c r="D294" s="633">
        <f t="shared" si="10"/>
        <v>2894.74</v>
      </c>
      <c r="E294" s="760"/>
      <c r="F294" s="760">
        <f t="shared" si="9"/>
        <v>1221.3328578073258</v>
      </c>
      <c r="M294" s="443"/>
    </row>
    <row r="295" spans="1:13">
      <c r="A295" s="640">
        <v>11313</v>
      </c>
      <c r="B295" s="640">
        <v>400</v>
      </c>
      <c r="C295" s="638">
        <v>2861.779</v>
      </c>
      <c r="D295" s="633">
        <f t="shared" si="10"/>
        <v>2861.779</v>
      </c>
      <c r="E295" s="760"/>
      <c r="F295" s="760">
        <f t="shared" si="9"/>
        <v>1207.4261330837974</v>
      </c>
      <c r="M295" s="443"/>
    </row>
    <row r="296" spans="1:13">
      <c r="A296" s="640">
        <v>11313</v>
      </c>
      <c r="B296" s="640">
        <v>500</v>
      </c>
      <c r="C296" s="638">
        <v>2884.5839999999998</v>
      </c>
      <c r="D296" s="633">
        <f t="shared" si="10"/>
        <v>2884.5839999999998</v>
      </c>
      <c r="E296" s="760"/>
      <c r="F296" s="760">
        <f t="shared" si="9"/>
        <v>1217.0478938713968</v>
      </c>
      <c r="M296" s="443"/>
    </row>
    <row r="297" spans="1:13">
      <c r="A297" s="640">
        <v>11313</v>
      </c>
      <c r="B297" s="640">
        <v>600</v>
      </c>
      <c r="C297" s="638">
        <v>3015.8429999999998</v>
      </c>
      <c r="D297" s="633">
        <f t="shared" si="10"/>
        <v>3015.8429999999998</v>
      </c>
      <c r="E297" s="760"/>
      <c r="F297" s="760">
        <f t="shared" si="9"/>
        <v>1272.4279727672326</v>
      </c>
      <c r="M297" s="443"/>
    </row>
    <row r="298" spans="1:13">
      <c r="A298" s="640">
        <v>11313</v>
      </c>
      <c r="B298" s="640">
        <v>700</v>
      </c>
      <c r="C298" s="638">
        <v>3152.9780000000001</v>
      </c>
      <c r="D298" s="633">
        <f t="shared" si="10"/>
        <v>3152.9780000000001</v>
      </c>
      <c r="E298" s="760"/>
      <c r="F298" s="760">
        <f t="shared" si="9"/>
        <v>1330.287221423557</v>
      </c>
      <c r="M298" s="443"/>
    </row>
    <row r="299" spans="1:13">
      <c r="A299" s="640">
        <v>11313</v>
      </c>
      <c r="B299" s="640">
        <v>800</v>
      </c>
      <c r="C299" s="638">
        <v>3429.808</v>
      </c>
      <c r="D299" s="633">
        <f t="shared" si="10"/>
        <v>3429.808</v>
      </c>
      <c r="E299" s="760"/>
      <c r="F299" s="760">
        <f t="shared" si="9"/>
        <v>1447.0858199252539</v>
      </c>
      <c r="M299" s="443"/>
    </row>
    <row r="300" spans="1:13">
      <c r="A300" s="640">
        <v>11313</v>
      </c>
      <c r="B300" s="640">
        <v>900</v>
      </c>
      <c r="C300" s="638">
        <v>3791.1379999999999</v>
      </c>
      <c r="D300" s="633">
        <f t="shared" si="10"/>
        <v>3791.1379999999999</v>
      </c>
      <c r="E300" s="760"/>
      <c r="F300" s="760">
        <f t="shared" si="9"/>
        <v>1599.5361959560964</v>
      </c>
      <c r="M300" s="443"/>
    </row>
    <row r="301" spans="1:13">
      <c r="A301" s="640">
        <v>11313</v>
      </c>
      <c r="B301" s="640">
        <v>1000</v>
      </c>
      <c r="C301" s="638">
        <v>4050.674</v>
      </c>
      <c r="D301" s="633">
        <f t="shared" si="10"/>
        <v>4050.674</v>
      </c>
      <c r="E301" s="760"/>
      <c r="F301" s="760">
        <f t="shared" si="9"/>
        <v>1709.0382046283371</v>
      </c>
      <c r="M301" s="443"/>
    </row>
    <row r="302" spans="1:13">
      <c r="A302" s="640">
        <v>11313</v>
      </c>
      <c r="B302" s="640">
        <v>1100</v>
      </c>
      <c r="C302" s="638">
        <v>4051.098</v>
      </c>
      <c r="D302" s="633">
        <f t="shared" si="10"/>
        <v>4051.098</v>
      </c>
      <c r="E302" s="760"/>
      <c r="F302" s="760">
        <f t="shared" si="9"/>
        <v>1709.2170963877732</v>
      </c>
      <c r="M302" s="443"/>
    </row>
    <row r="303" spans="1:13">
      <c r="A303" s="640">
        <v>11313</v>
      </c>
      <c r="B303" s="640">
        <v>1200</v>
      </c>
      <c r="C303" s="638">
        <v>4095.6790000000001</v>
      </c>
      <c r="D303" s="633">
        <f t="shared" si="10"/>
        <v>4095.6790000000001</v>
      </c>
      <c r="E303" s="760"/>
      <c r="F303" s="760">
        <f t="shared" si="9"/>
        <v>1728.0264679147183</v>
      </c>
      <c r="M303" s="443"/>
    </row>
    <row r="304" spans="1:13">
      <c r="A304" s="640">
        <v>11313</v>
      </c>
      <c r="B304" s="640">
        <v>1300</v>
      </c>
      <c r="C304" s="638">
        <v>3969.4360000000001</v>
      </c>
      <c r="D304" s="633">
        <f t="shared" si="10"/>
        <v>3969.4360000000001</v>
      </c>
      <c r="E304" s="760"/>
      <c r="F304" s="760">
        <f t="shared" si="9"/>
        <v>1674.7627122861747</v>
      </c>
      <c r="M304" s="443"/>
    </row>
    <row r="305" spans="1:13">
      <c r="A305" s="640">
        <v>11313</v>
      </c>
      <c r="B305" s="640">
        <v>1400</v>
      </c>
      <c r="C305" s="638">
        <v>3760.529</v>
      </c>
      <c r="D305" s="633">
        <f t="shared" si="10"/>
        <v>3760.529</v>
      </c>
      <c r="E305" s="760"/>
      <c r="F305" s="760">
        <f t="shared" si="9"/>
        <v>1586.6218142000064</v>
      </c>
      <c r="M305" s="443"/>
    </row>
    <row r="306" spans="1:13">
      <c r="A306" s="640">
        <v>11313</v>
      </c>
      <c r="B306" s="640">
        <v>1500</v>
      </c>
      <c r="C306" s="638">
        <v>3807.3069999999998</v>
      </c>
      <c r="D306" s="633">
        <f t="shared" si="10"/>
        <v>3807.3069999999998</v>
      </c>
      <c r="E306" s="760"/>
      <c r="F306" s="760">
        <f t="shared" si="9"/>
        <v>1606.3581319427087</v>
      </c>
      <c r="M306" s="443"/>
    </row>
    <row r="307" spans="1:13">
      <c r="A307" s="640">
        <v>11313</v>
      </c>
      <c r="B307" s="640">
        <v>1600</v>
      </c>
      <c r="C307" s="638">
        <v>3937.2559999999999</v>
      </c>
      <c r="D307" s="633">
        <f t="shared" si="10"/>
        <v>3937.2559999999999</v>
      </c>
      <c r="E307" s="760"/>
      <c r="F307" s="760">
        <f t="shared" si="9"/>
        <v>1661.1855028082111</v>
      </c>
      <c r="M307" s="443"/>
    </row>
    <row r="308" spans="1:13">
      <c r="A308" s="640">
        <v>11313</v>
      </c>
      <c r="B308" s="640">
        <v>1700</v>
      </c>
      <c r="C308" s="638">
        <v>4214.5659999999998</v>
      </c>
      <c r="D308" s="633">
        <f t="shared" si="10"/>
        <v>4214.5659999999998</v>
      </c>
      <c r="E308" s="760"/>
      <c r="F308" s="760">
        <f t="shared" si="9"/>
        <v>1778.1866202828546</v>
      </c>
      <c r="M308" s="443"/>
    </row>
    <row r="309" spans="1:13">
      <c r="A309" s="640">
        <v>11313</v>
      </c>
      <c r="B309" s="640">
        <v>1800</v>
      </c>
      <c r="C309" s="638">
        <v>4828.4110000000001</v>
      </c>
      <c r="D309" s="633">
        <f t="shared" si="10"/>
        <v>4828.4110000000001</v>
      </c>
      <c r="E309" s="760"/>
      <c r="F309" s="760">
        <f t="shared" si="9"/>
        <v>2037.1767430920665</v>
      </c>
      <c r="M309" s="443"/>
    </row>
    <row r="310" spans="1:13">
      <c r="A310" s="640">
        <v>11313</v>
      </c>
      <c r="B310" s="640">
        <v>1900</v>
      </c>
      <c r="C310" s="638">
        <v>4959.9859999999999</v>
      </c>
      <c r="D310" s="633">
        <f t="shared" si="10"/>
        <v>4959.9859999999999</v>
      </c>
      <c r="E310" s="760"/>
      <c r="F310" s="760">
        <f t="shared" si="9"/>
        <v>2092.6901469784257</v>
      </c>
      <c r="M310" s="443"/>
    </row>
    <row r="311" spans="1:13">
      <c r="A311" s="640">
        <v>11313</v>
      </c>
      <c r="B311" s="640">
        <v>2000</v>
      </c>
      <c r="C311" s="638">
        <v>4738.7160000000003</v>
      </c>
      <c r="D311" s="633">
        <f t="shared" si="10"/>
        <v>4738.7160000000003</v>
      </c>
      <c r="E311" s="760"/>
      <c r="F311" s="760">
        <f t="shared" si="9"/>
        <v>1999.333119595301</v>
      </c>
      <c r="M311" s="443"/>
    </row>
    <row r="312" spans="1:13">
      <c r="A312" s="640">
        <v>11313</v>
      </c>
      <c r="B312" s="640">
        <v>2100</v>
      </c>
      <c r="C312" s="638">
        <v>4486.2780000000002</v>
      </c>
      <c r="D312" s="633">
        <f t="shared" si="10"/>
        <v>4486.2780000000002</v>
      </c>
      <c r="E312" s="760"/>
      <c r="F312" s="760">
        <f t="shared" si="9"/>
        <v>1892.8258602355081</v>
      </c>
      <c r="M312" s="443"/>
    </row>
    <row r="313" spans="1:13">
      <c r="A313" s="640">
        <v>11313</v>
      </c>
      <c r="B313" s="640">
        <v>2200</v>
      </c>
      <c r="C313" s="638">
        <v>4151.92</v>
      </c>
      <c r="D313" s="633">
        <f t="shared" si="10"/>
        <v>4151.92</v>
      </c>
      <c r="E313" s="760"/>
      <c r="F313" s="760">
        <f t="shared" si="9"/>
        <v>1751.7553628261583</v>
      </c>
      <c r="M313" s="443"/>
    </row>
    <row r="314" spans="1:13">
      <c r="A314" s="640">
        <v>11313</v>
      </c>
      <c r="B314" s="640">
        <v>2300</v>
      </c>
      <c r="C314" s="638">
        <v>3638.759</v>
      </c>
      <c r="D314" s="633">
        <f t="shared" si="10"/>
        <v>3638.759</v>
      </c>
      <c r="E314" s="760"/>
      <c r="F314" s="760">
        <f t="shared" si="9"/>
        <v>1535.2452822506089</v>
      </c>
      <c r="M314" s="443"/>
    </row>
    <row r="315" spans="1:13">
      <c r="A315" s="640">
        <v>11313</v>
      </c>
      <c r="B315" s="640">
        <v>2400</v>
      </c>
      <c r="C315" s="638">
        <v>3192.0259999999998</v>
      </c>
      <c r="D315" s="633">
        <f t="shared" si="10"/>
        <v>3192.0259999999998</v>
      </c>
      <c r="E315" s="760"/>
      <c r="F315" s="760">
        <f t="shared" si="9"/>
        <v>1346.7621398727649</v>
      </c>
      <c r="M315" s="443"/>
    </row>
    <row r="316" spans="1:13">
      <c r="A316" s="640">
        <v>11413</v>
      </c>
      <c r="B316" s="640">
        <v>100</v>
      </c>
      <c r="C316" s="638">
        <v>2936.8490000000002</v>
      </c>
      <c r="D316" s="633">
        <f t="shared" si="10"/>
        <v>2936.8490000000002</v>
      </c>
      <c r="E316" s="760"/>
      <c r="F316" s="760">
        <f t="shared" si="9"/>
        <v>1239.0992566235959</v>
      </c>
      <c r="M316" s="443"/>
    </row>
    <row r="317" spans="1:13">
      <c r="A317" s="640">
        <v>11413</v>
      </c>
      <c r="B317" s="640">
        <v>200</v>
      </c>
      <c r="C317" s="638">
        <v>3037.549</v>
      </c>
      <c r="D317" s="633">
        <f t="shared" si="10"/>
        <v>3037.549</v>
      </c>
      <c r="E317" s="760"/>
      <c r="F317" s="760">
        <f t="shared" si="9"/>
        <v>1281.5860494896901</v>
      </c>
      <c r="M317" s="443"/>
    </row>
    <row r="318" spans="1:13">
      <c r="A318" s="640">
        <v>11413</v>
      </c>
      <c r="B318" s="640">
        <v>300</v>
      </c>
      <c r="C318" s="638">
        <v>3039.4009999999998</v>
      </c>
      <c r="D318" s="633">
        <f t="shared" si="10"/>
        <v>3039.4009999999998</v>
      </c>
      <c r="E318" s="760"/>
      <c r="F318" s="760">
        <f t="shared" si="9"/>
        <v>1282.3674351936425</v>
      </c>
      <c r="M318" s="443"/>
    </row>
    <row r="319" spans="1:13">
      <c r="A319" s="640">
        <v>11413</v>
      </c>
      <c r="B319" s="640">
        <v>400</v>
      </c>
      <c r="C319" s="638">
        <v>3101.0729999999999</v>
      </c>
      <c r="D319" s="633">
        <f t="shared" si="10"/>
        <v>3101.0729999999999</v>
      </c>
      <c r="E319" s="760"/>
      <c r="F319" s="760">
        <f t="shared" si="9"/>
        <v>1308.3877479010682</v>
      </c>
      <c r="M319" s="443"/>
    </row>
    <row r="320" spans="1:13">
      <c r="A320" s="640">
        <v>11413</v>
      </c>
      <c r="B320" s="640">
        <v>500</v>
      </c>
      <c r="C320" s="638">
        <v>3255.116</v>
      </c>
      <c r="D320" s="633">
        <f t="shared" si="10"/>
        <v>3255.116</v>
      </c>
      <c r="E320" s="760"/>
      <c r="F320" s="760">
        <f t="shared" si="9"/>
        <v>1373.3807273794371</v>
      </c>
      <c r="M320" s="443"/>
    </row>
    <row r="321" spans="1:13">
      <c r="A321" s="640">
        <v>11413</v>
      </c>
      <c r="B321" s="640">
        <v>600</v>
      </c>
      <c r="C321" s="638">
        <v>3611.08</v>
      </c>
      <c r="D321" s="633">
        <f t="shared" si="10"/>
        <v>3611.08</v>
      </c>
      <c r="E321" s="760"/>
      <c r="F321" s="760">
        <f t="shared" si="9"/>
        <v>1523.5671100585471</v>
      </c>
      <c r="M321" s="443"/>
    </row>
    <row r="322" spans="1:13">
      <c r="A322" s="640">
        <v>11413</v>
      </c>
      <c r="B322" s="640">
        <v>700</v>
      </c>
      <c r="C322" s="638">
        <v>4187.4390000000003</v>
      </c>
      <c r="D322" s="633">
        <f t="shared" si="10"/>
        <v>4187.4390000000003</v>
      </c>
      <c r="E322" s="760"/>
      <c r="F322" s="760">
        <f t="shared" si="9"/>
        <v>1766.7413449096816</v>
      </c>
      <c r="M322" s="443"/>
    </row>
    <row r="323" spans="1:13">
      <c r="A323" s="640">
        <v>11413</v>
      </c>
      <c r="B323" s="640">
        <v>800</v>
      </c>
      <c r="C323" s="638">
        <v>4569.4120000000003</v>
      </c>
      <c r="D323" s="633">
        <f t="shared" si="10"/>
        <v>4569.4120000000003</v>
      </c>
      <c r="E323" s="760"/>
      <c r="F323" s="760">
        <f t="shared" si="9"/>
        <v>1927.9013025208101</v>
      </c>
      <c r="M323" s="443"/>
    </row>
    <row r="324" spans="1:13">
      <c r="A324" s="640">
        <v>11413</v>
      </c>
      <c r="B324" s="640">
        <v>900</v>
      </c>
      <c r="C324" s="638">
        <v>4492.6850000000004</v>
      </c>
      <c r="D324" s="633">
        <f t="shared" si="10"/>
        <v>4492.6850000000004</v>
      </c>
      <c r="E324" s="760"/>
      <c r="F324" s="760">
        <f t="shared" ref="F324:F387" si="11">(D324/(MAX($D$4:$D$747)))*$M$4</f>
        <v>1895.529066609819</v>
      </c>
      <c r="M324" s="443"/>
    </row>
    <row r="325" spans="1:13">
      <c r="A325" s="640">
        <v>11413</v>
      </c>
      <c r="B325" s="640">
        <v>1000</v>
      </c>
      <c r="C325" s="638">
        <v>4416.5829999999996</v>
      </c>
      <c r="D325" s="633">
        <f t="shared" ref="D325:D388" si="12">C325</f>
        <v>4416.5829999999996</v>
      </c>
      <c r="E325" s="760"/>
      <c r="F325" s="760">
        <f t="shared" si="11"/>
        <v>1863.4205272781849</v>
      </c>
      <c r="M325" s="443"/>
    </row>
    <row r="326" spans="1:13">
      <c r="A326" s="640">
        <v>11413</v>
      </c>
      <c r="B326" s="640">
        <v>1100</v>
      </c>
      <c r="C326" s="638">
        <v>4354.6790000000001</v>
      </c>
      <c r="D326" s="633">
        <f t="shared" si="12"/>
        <v>4354.6790000000001</v>
      </c>
      <c r="E326" s="760"/>
      <c r="F326" s="760">
        <f t="shared" si="11"/>
        <v>1837.3023304005019</v>
      </c>
      <c r="M326" s="443"/>
    </row>
    <row r="327" spans="1:13">
      <c r="A327" s="640">
        <v>11413</v>
      </c>
      <c r="B327" s="640">
        <v>1200</v>
      </c>
      <c r="C327" s="638">
        <v>4326.1719999999996</v>
      </c>
      <c r="D327" s="633">
        <f t="shared" si="12"/>
        <v>4326.1719999999996</v>
      </c>
      <c r="E327" s="760"/>
      <c r="F327" s="760">
        <f t="shared" si="11"/>
        <v>1825.2748129801068</v>
      </c>
      <c r="M327" s="443"/>
    </row>
    <row r="328" spans="1:13">
      <c r="A328" s="640">
        <v>11413</v>
      </c>
      <c r="B328" s="640">
        <v>1300</v>
      </c>
      <c r="C328" s="638">
        <v>4319.674</v>
      </c>
      <c r="D328" s="633">
        <f t="shared" si="12"/>
        <v>4319.674</v>
      </c>
      <c r="E328" s="760"/>
      <c r="F328" s="760">
        <f t="shared" si="11"/>
        <v>1822.5332123838423</v>
      </c>
      <c r="M328" s="443"/>
    </row>
    <row r="329" spans="1:13">
      <c r="A329" s="640">
        <v>11413</v>
      </c>
      <c r="B329" s="640">
        <v>1400</v>
      </c>
      <c r="C329" s="638">
        <v>4299.4989999999998</v>
      </c>
      <c r="D329" s="633">
        <f t="shared" si="12"/>
        <v>4299.4989999999998</v>
      </c>
      <c r="E329" s="760"/>
      <c r="F329" s="760">
        <f t="shared" si="11"/>
        <v>1814.0210868021793</v>
      </c>
      <c r="M329" s="443"/>
    </row>
    <row r="330" spans="1:13">
      <c r="A330" s="640">
        <v>11413</v>
      </c>
      <c r="B330" s="640">
        <v>1500</v>
      </c>
      <c r="C330" s="638">
        <v>4242.7389999999996</v>
      </c>
      <c r="D330" s="633">
        <f t="shared" si="12"/>
        <v>4242.7389999999996</v>
      </c>
      <c r="E330" s="760"/>
      <c r="F330" s="760">
        <f t="shared" si="11"/>
        <v>1790.0732182512406</v>
      </c>
      <c r="M330" s="443"/>
    </row>
    <row r="331" spans="1:13">
      <c r="A331" s="640">
        <v>11413</v>
      </c>
      <c r="B331" s="640">
        <v>1600</v>
      </c>
      <c r="C331" s="638">
        <v>4485.2790000000005</v>
      </c>
      <c r="D331" s="633">
        <f t="shared" si="12"/>
        <v>4485.2790000000005</v>
      </c>
      <c r="E331" s="760"/>
      <c r="F331" s="760">
        <f t="shared" si="11"/>
        <v>1892.4043676230631</v>
      </c>
      <c r="M331" s="443"/>
    </row>
    <row r="332" spans="1:13">
      <c r="A332" s="640">
        <v>11413</v>
      </c>
      <c r="B332" s="640">
        <v>1700</v>
      </c>
      <c r="C332" s="638">
        <v>4732.9110000000001</v>
      </c>
      <c r="D332" s="633">
        <f t="shared" si="12"/>
        <v>4732.9110000000001</v>
      </c>
      <c r="E332" s="760"/>
      <c r="F332" s="760">
        <f t="shared" si="11"/>
        <v>1996.8839057662274</v>
      </c>
      <c r="M332" s="443"/>
    </row>
    <row r="333" spans="1:13">
      <c r="A333" s="640">
        <v>11413</v>
      </c>
      <c r="B333" s="640">
        <v>1800</v>
      </c>
      <c r="C333" s="638">
        <v>5135.5630000000001</v>
      </c>
      <c r="D333" s="633">
        <f t="shared" si="12"/>
        <v>5135.5630000000001</v>
      </c>
      <c r="E333" s="760"/>
      <c r="F333" s="760">
        <f t="shared" si="11"/>
        <v>2166.7686338806125</v>
      </c>
      <c r="M333" s="443"/>
    </row>
    <row r="334" spans="1:13">
      <c r="A334" s="640">
        <v>11413</v>
      </c>
      <c r="B334" s="640">
        <v>1900</v>
      </c>
      <c r="C334" s="638">
        <v>5269.7340000000004</v>
      </c>
      <c r="D334" s="633">
        <f t="shared" si="12"/>
        <v>5269.7340000000004</v>
      </c>
      <c r="E334" s="760"/>
      <c r="F334" s="760">
        <f t="shared" si="11"/>
        <v>2223.3773278789918</v>
      </c>
      <c r="M334" s="443"/>
    </row>
    <row r="335" spans="1:13">
      <c r="A335" s="640">
        <v>11413</v>
      </c>
      <c r="B335" s="640">
        <v>2000</v>
      </c>
      <c r="C335" s="638">
        <v>5265.3220000000001</v>
      </c>
      <c r="D335" s="633">
        <f t="shared" si="12"/>
        <v>5265.3220000000001</v>
      </c>
      <c r="E335" s="760"/>
      <c r="F335" s="760">
        <f t="shared" si="11"/>
        <v>2221.5158409859901</v>
      </c>
      <c r="M335" s="443"/>
    </row>
    <row r="336" spans="1:13">
      <c r="A336" s="640">
        <v>11413</v>
      </c>
      <c r="B336" s="640">
        <v>2100</v>
      </c>
      <c r="C336" s="638">
        <v>5115.0569999999998</v>
      </c>
      <c r="D336" s="633">
        <f t="shared" si="12"/>
        <v>5115.0569999999998</v>
      </c>
      <c r="E336" s="760"/>
      <c r="F336" s="760">
        <f t="shared" si="11"/>
        <v>2158.1168545905221</v>
      </c>
      <c r="M336" s="443"/>
    </row>
    <row r="337" spans="1:13">
      <c r="A337" s="640">
        <v>11413</v>
      </c>
      <c r="B337" s="640">
        <v>2200</v>
      </c>
      <c r="C337" s="638">
        <v>4765.9489999999996</v>
      </c>
      <c r="D337" s="633">
        <f t="shared" si="12"/>
        <v>4765.9489999999996</v>
      </c>
      <c r="E337" s="760"/>
      <c r="F337" s="760">
        <f t="shared" si="11"/>
        <v>2010.823117908333</v>
      </c>
      <c r="M337" s="443"/>
    </row>
    <row r="338" spans="1:13">
      <c r="A338" s="640">
        <v>11413</v>
      </c>
      <c r="B338" s="640">
        <v>2300</v>
      </c>
      <c r="C338" s="638">
        <v>4204.1279999999997</v>
      </c>
      <c r="D338" s="633">
        <f t="shared" si="12"/>
        <v>4204.1279999999997</v>
      </c>
      <c r="E338" s="760"/>
      <c r="F338" s="760">
        <f t="shared" si="11"/>
        <v>1773.7826764503193</v>
      </c>
      <c r="M338" s="443"/>
    </row>
    <row r="339" spans="1:13">
      <c r="A339" s="640">
        <v>11413</v>
      </c>
      <c r="B339" s="640">
        <v>2400</v>
      </c>
      <c r="C339" s="638">
        <v>3641.2539999999999</v>
      </c>
      <c r="D339" s="633">
        <f t="shared" si="12"/>
        <v>3641.2539999999999</v>
      </c>
      <c r="E339" s="760"/>
      <c r="F339" s="760">
        <f t="shared" si="11"/>
        <v>1536.2979589954043</v>
      </c>
      <c r="M339" s="443"/>
    </row>
    <row r="340" spans="1:13">
      <c r="A340" s="640">
        <v>11513</v>
      </c>
      <c r="B340" s="640">
        <v>100</v>
      </c>
      <c r="C340" s="638">
        <v>3398.6529999999998</v>
      </c>
      <c r="D340" s="633">
        <f t="shared" si="12"/>
        <v>3398.6529999999998</v>
      </c>
      <c r="E340" s="760"/>
      <c r="F340" s="760">
        <f t="shared" si="11"/>
        <v>1433.9410728374369</v>
      </c>
      <c r="M340" s="443"/>
    </row>
    <row r="341" spans="1:13">
      <c r="A341" s="640">
        <v>11513</v>
      </c>
      <c r="B341" s="640">
        <v>200</v>
      </c>
      <c r="C341" s="638">
        <v>3451.6640000000002</v>
      </c>
      <c r="D341" s="633">
        <f t="shared" si="12"/>
        <v>3451.6640000000002</v>
      </c>
      <c r="E341" s="760"/>
      <c r="F341" s="760">
        <f t="shared" si="11"/>
        <v>1456.307183826757</v>
      </c>
      <c r="M341" s="443"/>
    </row>
    <row r="342" spans="1:13">
      <c r="A342" s="640">
        <v>11513</v>
      </c>
      <c r="B342" s="640">
        <v>300</v>
      </c>
      <c r="C342" s="638">
        <v>3385.7260000000001</v>
      </c>
      <c r="D342" s="633">
        <f t="shared" si="12"/>
        <v>3385.7260000000001</v>
      </c>
      <c r="E342" s="760"/>
      <c r="F342" s="760">
        <f t="shared" si="11"/>
        <v>1428.4869837472681</v>
      </c>
      <c r="M342" s="443"/>
    </row>
    <row r="343" spans="1:13">
      <c r="A343" s="640">
        <v>11513</v>
      </c>
      <c r="B343" s="640">
        <v>400</v>
      </c>
      <c r="C343" s="638">
        <v>3415.52</v>
      </c>
      <c r="D343" s="633">
        <f t="shared" si="12"/>
        <v>3415.52</v>
      </c>
      <c r="E343" s="760"/>
      <c r="F343" s="760">
        <f t="shared" si="11"/>
        <v>1441.0575051638759</v>
      </c>
      <c r="M343" s="443"/>
    </row>
    <row r="344" spans="1:13">
      <c r="A344" s="640">
        <v>11513</v>
      </c>
      <c r="B344" s="640">
        <v>500</v>
      </c>
      <c r="C344" s="638">
        <v>3503.9870000000001</v>
      </c>
      <c r="D344" s="633">
        <f t="shared" si="12"/>
        <v>3503.9870000000001</v>
      </c>
      <c r="E344" s="760"/>
      <c r="F344" s="760">
        <f t="shared" si="11"/>
        <v>1478.3830176215199</v>
      </c>
      <c r="M344" s="443"/>
    </row>
    <row r="345" spans="1:13">
      <c r="A345" s="640">
        <v>11513</v>
      </c>
      <c r="B345" s="640">
        <v>600</v>
      </c>
      <c r="C345" s="638">
        <v>3853.7139999999999</v>
      </c>
      <c r="D345" s="633">
        <f t="shared" si="12"/>
        <v>3853.7139999999999</v>
      </c>
      <c r="E345" s="760"/>
      <c r="F345" s="760">
        <f t="shared" si="11"/>
        <v>1625.9379193959048</v>
      </c>
      <c r="M345" s="443"/>
    </row>
    <row r="346" spans="1:13">
      <c r="A346" s="640">
        <v>11513</v>
      </c>
      <c r="B346" s="640">
        <v>700</v>
      </c>
      <c r="C346" s="638">
        <v>4432.7730000000001</v>
      </c>
      <c r="D346" s="633">
        <f t="shared" si="12"/>
        <v>4432.7730000000001</v>
      </c>
      <c r="E346" s="760"/>
      <c r="F346" s="760">
        <f t="shared" si="11"/>
        <v>1870.251323469864</v>
      </c>
      <c r="M346" s="443"/>
    </row>
    <row r="347" spans="1:13">
      <c r="A347" s="640">
        <v>11513</v>
      </c>
      <c r="B347" s="640">
        <v>800</v>
      </c>
      <c r="C347" s="638">
        <v>4709.9579999999996</v>
      </c>
      <c r="D347" s="633">
        <f t="shared" si="12"/>
        <v>4709.9579999999996</v>
      </c>
      <c r="E347" s="760"/>
      <c r="F347" s="760">
        <f t="shared" si="11"/>
        <v>1987.1997016286357</v>
      </c>
      <c r="M347" s="443"/>
    </row>
    <row r="348" spans="1:13">
      <c r="A348" s="640">
        <v>11513</v>
      </c>
      <c r="B348" s="640">
        <v>900</v>
      </c>
      <c r="C348" s="638">
        <v>4573.8819999999996</v>
      </c>
      <c r="D348" s="633">
        <f t="shared" si="12"/>
        <v>4573.8819999999996</v>
      </c>
      <c r="E348" s="760"/>
      <c r="F348" s="760">
        <f t="shared" si="11"/>
        <v>1929.787260456375</v>
      </c>
      <c r="M348" s="443"/>
    </row>
    <row r="349" spans="1:13">
      <c r="A349" s="640">
        <v>11513</v>
      </c>
      <c r="B349" s="640">
        <v>1000</v>
      </c>
      <c r="C349" s="638">
        <v>4185.0860000000002</v>
      </c>
      <c r="D349" s="633">
        <f t="shared" si="12"/>
        <v>4185.0860000000002</v>
      </c>
      <c r="E349" s="760"/>
      <c r="F349" s="760">
        <f t="shared" si="11"/>
        <v>1765.7485800277163</v>
      </c>
      <c r="M349" s="443"/>
    </row>
    <row r="350" spans="1:13">
      <c r="A350" s="640">
        <v>11513</v>
      </c>
      <c r="B350" s="640">
        <v>1100</v>
      </c>
      <c r="C350" s="638">
        <v>3843.29</v>
      </c>
      <c r="D350" s="633">
        <f t="shared" si="12"/>
        <v>3843.29</v>
      </c>
      <c r="E350" s="760"/>
      <c r="F350" s="760">
        <f t="shared" si="11"/>
        <v>1621.5398823667474</v>
      </c>
      <c r="M350" s="443"/>
    </row>
    <row r="351" spans="1:13">
      <c r="A351" s="640">
        <v>11513</v>
      </c>
      <c r="B351" s="640">
        <v>1200</v>
      </c>
      <c r="C351" s="638">
        <v>3873.7109999999998</v>
      </c>
      <c r="D351" s="633">
        <f t="shared" si="12"/>
        <v>3873.7109999999998</v>
      </c>
      <c r="E351" s="760"/>
      <c r="F351" s="760">
        <f t="shared" si="11"/>
        <v>1634.3749441917664</v>
      </c>
      <c r="M351" s="443"/>
    </row>
    <row r="352" spans="1:13">
      <c r="A352" s="640">
        <v>11513</v>
      </c>
      <c r="B352" s="640">
        <v>1300</v>
      </c>
      <c r="C352" s="638">
        <v>3788.2669999999998</v>
      </c>
      <c r="D352" s="633">
        <f t="shared" si="12"/>
        <v>3788.2669999999998</v>
      </c>
      <c r="E352" s="760"/>
      <c r="F352" s="760">
        <f t="shared" si="11"/>
        <v>1598.3248793491593</v>
      </c>
      <c r="M352" s="443"/>
    </row>
    <row r="353" spans="1:13">
      <c r="A353" s="640">
        <v>11513</v>
      </c>
      <c r="B353" s="640">
        <v>1400</v>
      </c>
      <c r="C353" s="638">
        <v>3607.5650000000001</v>
      </c>
      <c r="D353" s="633">
        <f t="shared" si="12"/>
        <v>3607.5650000000001</v>
      </c>
      <c r="E353" s="760"/>
      <c r="F353" s="760">
        <f t="shared" si="11"/>
        <v>1522.0840804962402</v>
      </c>
      <c r="M353" s="443"/>
    </row>
    <row r="354" spans="1:13">
      <c r="A354" s="640">
        <v>11513</v>
      </c>
      <c r="B354" s="640">
        <v>1500</v>
      </c>
      <c r="C354" s="638">
        <v>3599.3539999999998</v>
      </c>
      <c r="D354" s="633">
        <f t="shared" si="12"/>
        <v>3599.3539999999998</v>
      </c>
      <c r="E354" s="760"/>
      <c r="F354" s="760">
        <f t="shared" si="11"/>
        <v>1518.6197403152717</v>
      </c>
      <c r="M354" s="443"/>
    </row>
    <row r="355" spans="1:13">
      <c r="A355" s="640">
        <v>11513</v>
      </c>
      <c r="B355" s="640">
        <v>1600</v>
      </c>
      <c r="C355" s="638">
        <v>3876.7930000000001</v>
      </c>
      <c r="D355" s="633">
        <f t="shared" si="12"/>
        <v>3876.7930000000001</v>
      </c>
      <c r="E355" s="760"/>
      <c r="F355" s="760">
        <f t="shared" si="11"/>
        <v>1635.6752847638948</v>
      </c>
      <c r="M355" s="443"/>
    </row>
    <row r="356" spans="1:13">
      <c r="A356" s="640">
        <v>11513</v>
      </c>
      <c r="B356" s="640">
        <v>1700</v>
      </c>
      <c r="C356" s="638">
        <v>4316.0889999999999</v>
      </c>
      <c r="D356" s="633">
        <f t="shared" si="12"/>
        <v>4316.0889999999999</v>
      </c>
      <c r="E356" s="760"/>
      <c r="F356" s="760">
        <f t="shared" si="11"/>
        <v>1821.020648804647</v>
      </c>
      <c r="M356" s="443"/>
    </row>
    <row r="357" spans="1:13">
      <c r="A357" s="640">
        <v>11513</v>
      </c>
      <c r="B357" s="640">
        <v>1800</v>
      </c>
      <c r="C357" s="638">
        <v>4901.2790000000005</v>
      </c>
      <c r="D357" s="633">
        <f t="shared" si="12"/>
        <v>4901.2790000000005</v>
      </c>
      <c r="E357" s="760"/>
      <c r="F357" s="760">
        <f t="shared" si="11"/>
        <v>2067.9208108434723</v>
      </c>
      <c r="M357" s="443"/>
    </row>
    <row r="358" spans="1:13">
      <c r="A358" s="640">
        <v>11513</v>
      </c>
      <c r="B358" s="640">
        <v>1900</v>
      </c>
      <c r="C358" s="638">
        <v>5182.5410000000002</v>
      </c>
      <c r="D358" s="633">
        <f t="shared" si="12"/>
        <v>5182.5410000000002</v>
      </c>
      <c r="E358" s="760"/>
      <c r="F358" s="760">
        <f t="shared" si="11"/>
        <v>2186.5893345287095</v>
      </c>
      <c r="M358" s="443"/>
    </row>
    <row r="359" spans="1:13">
      <c r="A359" s="640">
        <v>11513</v>
      </c>
      <c r="B359" s="640">
        <v>2000</v>
      </c>
      <c r="C359" s="638">
        <v>5151.1030000000001</v>
      </c>
      <c r="D359" s="633">
        <f t="shared" si="12"/>
        <v>5151.1030000000001</v>
      </c>
      <c r="E359" s="760"/>
      <c r="F359" s="760">
        <f t="shared" si="11"/>
        <v>2173.3251856297597</v>
      </c>
      <c r="M359" s="443"/>
    </row>
    <row r="360" spans="1:13">
      <c r="A360" s="640">
        <v>11513</v>
      </c>
      <c r="B360" s="640">
        <v>2100</v>
      </c>
      <c r="C360" s="638">
        <v>5035.9709999999995</v>
      </c>
      <c r="D360" s="633">
        <f t="shared" si="12"/>
        <v>5035.9709999999995</v>
      </c>
      <c r="E360" s="760"/>
      <c r="F360" s="760">
        <f t="shared" si="11"/>
        <v>2124.7493223104034</v>
      </c>
      <c r="M360" s="443"/>
    </row>
    <row r="361" spans="1:13">
      <c r="A361" s="640">
        <v>11513</v>
      </c>
      <c r="B361" s="640">
        <v>2200</v>
      </c>
      <c r="C361" s="638">
        <v>4786.4830000000002</v>
      </c>
      <c r="D361" s="633">
        <f t="shared" si="12"/>
        <v>4786.4830000000002</v>
      </c>
      <c r="E361" s="760"/>
      <c r="F361" s="760">
        <f t="shared" si="11"/>
        <v>2019.4867108051787</v>
      </c>
      <c r="M361" s="443"/>
    </row>
    <row r="362" spans="1:13">
      <c r="A362" s="640">
        <v>11513</v>
      </c>
      <c r="B362" s="640">
        <v>2300</v>
      </c>
      <c r="C362" s="638">
        <v>4187.2960000000003</v>
      </c>
      <c r="D362" s="633">
        <f t="shared" si="12"/>
        <v>4187.2960000000003</v>
      </c>
      <c r="E362" s="760"/>
      <c r="F362" s="760">
        <f t="shared" si="11"/>
        <v>1766.6810111323246</v>
      </c>
      <c r="M362" s="443"/>
    </row>
    <row r="363" spans="1:13">
      <c r="A363" s="640">
        <v>11513</v>
      </c>
      <c r="B363" s="640">
        <v>2400</v>
      </c>
      <c r="C363" s="638">
        <v>3637.9670000000001</v>
      </c>
      <c r="D363" s="633">
        <f t="shared" si="12"/>
        <v>3637.9670000000001</v>
      </c>
      <c r="E363" s="760"/>
      <c r="F363" s="760">
        <f t="shared" si="11"/>
        <v>1534.9111259452472</v>
      </c>
      <c r="M363" s="443"/>
    </row>
    <row r="364" spans="1:13">
      <c r="A364" s="640">
        <v>11613</v>
      </c>
      <c r="B364" s="640">
        <v>100</v>
      </c>
      <c r="C364" s="638">
        <v>3446.1819999999998</v>
      </c>
      <c r="D364" s="633">
        <f t="shared" si="12"/>
        <v>3446.1819999999998</v>
      </c>
      <c r="E364" s="760"/>
      <c r="F364" s="760">
        <f t="shared" si="11"/>
        <v>1453.9942483898956</v>
      </c>
      <c r="M364" s="443"/>
    </row>
    <row r="365" spans="1:13">
      <c r="A365" s="640">
        <v>11613</v>
      </c>
      <c r="B365" s="640">
        <v>200</v>
      </c>
      <c r="C365" s="638">
        <v>3523.52</v>
      </c>
      <c r="D365" s="633">
        <f t="shared" si="12"/>
        <v>3523.52</v>
      </c>
      <c r="E365" s="760"/>
      <c r="F365" s="760">
        <f t="shared" si="11"/>
        <v>1486.6242740768669</v>
      </c>
      <c r="M365" s="443"/>
    </row>
    <row r="366" spans="1:13">
      <c r="A366" s="640">
        <v>11613</v>
      </c>
      <c r="B366" s="640">
        <v>300</v>
      </c>
      <c r="C366" s="638">
        <v>3493.5619999999999</v>
      </c>
      <c r="D366" s="633">
        <f t="shared" si="12"/>
        <v>3493.5619999999999</v>
      </c>
      <c r="E366" s="760"/>
      <c r="F366" s="760">
        <f t="shared" si="11"/>
        <v>1473.9845586778354</v>
      </c>
      <c r="M366" s="443"/>
    </row>
    <row r="367" spans="1:13">
      <c r="A367" s="640">
        <v>11613</v>
      </c>
      <c r="B367" s="640">
        <v>400</v>
      </c>
      <c r="C367" s="638">
        <v>3494.933</v>
      </c>
      <c r="D367" s="633">
        <f t="shared" si="12"/>
        <v>3494.933</v>
      </c>
      <c r="E367" s="760"/>
      <c r="F367" s="760">
        <f t="shared" si="11"/>
        <v>1474.5630034943142</v>
      </c>
      <c r="M367" s="443"/>
    </row>
    <row r="368" spans="1:13">
      <c r="A368" s="640">
        <v>11613</v>
      </c>
      <c r="B368" s="640">
        <v>500</v>
      </c>
      <c r="C368" s="638">
        <v>3643.239</v>
      </c>
      <c r="D368" s="633">
        <f t="shared" si="12"/>
        <v>3643.239</v>
      </c>
      <c r="E368" s="760"/>
      <c r="F368" s="760">
        <f t="shared" si="11"/>
        <v>1537.1354593314443</v>
      </c>
      <c r="M368" s="443"/>
    </row>
    <row r="369" spans="1:13">
      <c r="A369" s="640">
        <v>11613</v>
      </c>
      <c r="B369" s="640">
        <v>600</v>
      </c>
      <c r="C369" s="638">
        <v>3933.7179999999998</v>
      </c>
      <c r="D369" s="633">
        <f t="shared" si="12"/>
        <v>3933.7179999999998</v>
      </c>
      <c r="E369" s="760"/>
      <c r="F369" s="760">
        <f t="shared" si="11"/>
        <v>1659.6927692117838</v>
      </c>
      <c r="M369" s="443"/>
    </row>
    <row r="370" spans="1:13">
      <c r="A370" s="640">
        <v>11613</v>
      </c>
      <c r="B370" s="640">
        <v>700</v>
      </c>
      <c r="C370" s="638">
        <v>4525.835</v>
      </c>
      <c r="D370" s="633">
        <f t="shared" si="12"/>
        <v>4525.835</v>
      </c>
      <c r="E370" s="760"/>
      <c r="F370" s="760">
        <f t="shared" si="11"/>
        <v>1909.5155331789451</v>
      </c>
      <c r="M370" s="443"/>
    </row>
    <row r="371" spans="1:13">
      <c r="A371" s="640">
        <v>11613</v>
      </c>
      <c r="B371" s="640">
        <v>800</v>
      </c>
      <c r="C371" s="638">
        <v>4787.7079999999996</v>
      </c>
      <c r="D371" s="633">
        <f t="shared" si="12"/>
        <v>4787.7079999999996</v>
      </c>
      <c r="E371" s="760"/>
      <c r="F371" s="760">
        <f t="shared" si="11"/>
        <v>2020.0035561007194</v>
      </c>
      <c r="M371" s="443"/>
    </row>
    <row r="372" spans="1:13">
      <c r="A372" s="640">
        <v>11613</v>
      </c>
      <c r="B372" s="640">
        <v>900</v>
      </c>
      <c r="C372" s="638">
        <v>4550.6989999999996</v>
      </c>
      <c r="D372" s="633">
        <f t="shared" si="12"/>
        <v>4550.6989999999996</v>
      </c>
      <c r="E372" s="760"/>
      <c r="F372" s="760">
        <f t="shared" si="11"/>
        <v>1920.0060159775801</v>
      </c>
      <c r="M372" s="443"/>
    </row>
    <row r="373" spans="1:13">
      <c r="A373" s="640">
        <v>11613</v>
      </c>
      <c r="B373" s="640">
        <v>1000</v>
      </c>
      <c r="C373" s="638">
        <v>4289.2169999999996</v>
      </c>
      <c r="D373" s="633">
        <f t="shared" si="12"/>
        <v>4289.2169999999996</v>
      </c>
      <c r="E373" s="760"/>
      <c r="F373" s="760">
        <f t="shared" si="11"/>
        <v>1809.6829616358516</v>
      </c>
      <c r="M373" s="443"/>
    </row>
    <row r="374" spans="1:13">
      <c r="A374" s="640">
        <v>11613</v>
      </c>
      <c r="B374" s="640">
        <v>1100</v>
      </c>
      <c r="C374" s="638">
        <v>3912.9639999999999</v>
      </c>
      <c r="D374" s="633">
        <f t="shared" si="12"/>
        <v>3912.9639999999999</v>
      </c>
      <c r="E374" s="760"/>
      <c r="F374" s="760">
        <f t="shared" si="11"/>
        <v>1650.9363551190038</v>
      </c>
      <c r="M374" s="443"/>
    </row>
    <row r="375" spans="1:13">
      <c r="A375" s="640">
        <v>11613</v>
      </c>
      <c r="B375" s="640">
        <v>1200</v>
      </c>
      <c r="C375" s="638">
        <v>3721.9490000000001</v>
      </c>
      <c r="D375" s="633">
        <f t="shared" si="12"/>
        <v>3721.9490000000001</v>
      </c>
      <c r="E375" s="760"/>
      <c r="F375" s="760">
        <f t="shared" si="11"/>
        <v>1570.3443517494211</v>
      </c>
      <c r="M375" s="443"/>
    </row>
    <row r="376" spans="1:13">
      <c r="A376" s="640">
        <v>11613</v>
      </c>
      <c r="B376" s="640">
        <v>1300</v>
      </c>
      <c r="C376" s="638">
        <v>3598.0909999999999</v>
      </c>
      <c r="D376" s="633">
        <f t="shared" si="12"/>
        <v>3598.0909999999999</v>
      </c>
      <c r="E376" s="760"/>
      <c r="F376" s="760">
        <f t="shared" si="11"/>
        <v>1518.086862267706</v>
      </c>
      <c r="M376" s="443"/>
    </row>
    <row r="377" spans="1:13">
      <c r="A377" s="640">
        <v>11613</v>
      </c>
      <c r="B377" s="640">
        <v>1400</v>
      </c>
      <c r="C377" s="638">
        <v>3440.3879999999999</v>
      </c>
      <c r="D377" s="633">
        <f t="shared" si="12"/>
        <v>3440.3879999999999</v>
      </c>
      <c r="E377" s="760"/>
      <c r="F377" s="760">
        <f t="shared" si="11"/>
        <v>1451.5496756206189</v>
      </c>
      <c r="M377" s="443"/>
    </row>
    <row r="378" spans="1:13">
      <c r="A378" s="640">
        <v>11613</v>
      </c>
      <c r="B378" s="640">
        <v>1500</v>
      </c>
      <c r="C378" s="638">
        <v>3452.4940000000001</v>
      </c>
      <c r="D378" s="633">
        <f t="shared" si="12"/>
        <v>3452.4940000000001</v>
      </c>
      <c r="E378" s="760"/>
      <c r="F378" s="760">
        <f t="shared" si="11"/>
        <v>1456.6573728841438</v>
      </c>
      <c r="M378" s="443"/>
    </row>
    <row r="379" spans="1:13">
      <c r="A379" s="640">
        <v>11613</v>
      </c>
      <c r="B379" s="640">
        <v>1600</v>
      </c>
      <c r="C379" s="638">
        <v>3644.3139999999999</v>
      </c>
      <c r="D379" s="633">
        <f t="shared" si="12"/>
        <v>3644.3139999999999</v>
      </c>
      <c r="E379" s="760"/>
      <c r="F379" s="760">
        <f t="shared" si="11"/>
        <v>1537.5890174479391</v>
      </c>
      <c r="M379" s="443"/>
    </row>
    <row r="380" spans="1:13">
      <c r="A380" s="640">
        <v>11613</v>
      </c>
      <c r="B380" s="640">
        <v>1700</v>
      </c>
      <c r="C380" s="638">
        <v>4202.6270000000004</v>
      </c>
      <c r="D380" s="633">
        <f t="shared" si="12"/>
        <v>4202.6270000000004</v>
      </c>
      <c r="E380" s="760"/>
      <c r="F380" s="760">
        <f t="shared" si="11"/>
        <v>1773.1493827453346</v>
      </c>
      <c r="M380" s="443"/>
    </row>
    <row r="381" spans="1:13">
      <c r="A381" s="640">
        <v>11613</v>
      </c>
      <c r="B381" s="640">
        <v>1800</v>
      </c>
      <c r="C381" s="638">
        <v>4827.7629999999999</v>
      </c>
      <c r="D381" s="633">
        <f t="shared" si="12"/>
        <v>4827.7629999999999</v>
      </c>
      <c r="E381" s="760"/>
      <c r="F381" s="760">
        <f t="shared" si="11"/>
        <v>2036.9033424785885</v>
      </c>
      <c r="M381" s="443"/>
    </row>
    <row r="382" spans="1:13">
      <c r="A382" s="640">
        <v>11613</v>
      </c>
      <c r="B382" s="640">
        <v>1900</v>
      </c>
      <c r="C382" s="638">
        <v>5145.63</v>
      </c>
      <c r="D382" s="633">
        <f t="shared" si="12"/>
        <v>5145.63</v>
      </c>
      <c r="E382" s="760"/>
      <c r="F382" s="760">
        <f t="shared" si="11"/>
        <v>2171.0160474236413</v>
      </c>
      <c r="M382" s="443"/>
    </row>
    <row r="383" spans="1:13">
      <c r="A383" s="640">
        <v>11613</v>
      </c>
      <c r="B383" s="640">
        <v>2000</v>
      </c>
      <c r="C383" s="638">
        <v>5176.1440000000002</v>
      </c>
      <c r="D383" s="633">
        <f t="shared" si="12"/>
        <v>5176.1440000000002</v>
      </c>
      <c r="E383" s="760"/>
      <c r="F383" s="760">
        <f t="shared" si="11"/>
        <v>2183.890347299669</v>
      </c>
      <c r="M383" s="443"/>
    </row>
    <row r="384" spans="1:13">
      <c r="A384" s="640">
        <v>11613</v>
      </c>
      <c r="B384" s="640">
        <v>2100</v>
      </c>
      <c r="C384" s="638">
        <v>4964.4979999999996</v>
      </c>
      <c r="D384" s="633">
        <f t="shared" si="12"/>
        <v>4964.4979999999996</v>
      </c>
      <c r="E384" s="760"/>
      <c r="F384" s="760">
        <f t="shared" si="11"/>
        <v>2094.5938253241238</v>
      </c>
      <c r="M384" s="443"/>
    </row>
    <row r="385" spans="1:13">
      <c r="A385" s="640">
        <v>11613</v>
      </c>
      <c r="B385" s="640">
        <v>2200</v>
      </c>
      <c r="C385" s="638">
        <v>4729.6880000000001</v>
      </c>
      <c r="D385" s="633">
        <f t="shared" si="12"/>
        <v>4729.6880000000001</v>
      </c>
      <c r="E385" s="760"/>
      <c r="F385" s="760">
        <f t="shared" si="11"/>
        <v>1995.5240752457964</v>
      </c>
      <c r="M385" s="443"/>
    </row>
    <row r="386" spans="1:13">
      <c r="A386" s="640">
        <v>11613</v>
      </c>
      <c r="B386" s="640">
        <v>2300</v>
      </c>
      <c r="C386" s="638">
        <v>4156.5020000000004</v>
      </c>
      <c r="D386" s="633">
        <f t="shared" si="12"/>
        <v>4156.5020000000004</v>
      </c>
      <c r="E386" s="760"/>
      <c r="F386" s="760">
        <f t="shared" si="11"/>
        <v>1753.6885751887446</v>
      </c>
      <c r="M386" s="443"/>
    </row>
    <row r="387" spans="1:13">
      <c r="A387" s="640">
        <v>11613</v>
      </c>
      <c r="B387" s="640">
        <v>2400</v>
      </c>
      <c r="C387" s="638">
        <v>3657.922</v>
      </c>
      <c r="D387" s="633">
        <f t="shared" si="12"/>
        <v>3657.922</v>
      </c>
      <c r="E387" s="760"/>
      <c r="F387" s="760">
        <f t="shared" si="11"/>
        <v>1543.330430330976</v>
      </c>
      <c r="M387" s="443"/>
    </row>
    <row r="388" spans="1:13">
      <c r="A388" s="640">
        <v>11713</v>
      </c>
      <c r="B388" s="640">
        <v>100</v>
      </c>
      <c r="C388" s="638">
        <v>3396.0770000000002</v>
      </c>
      <c r="D388" s="633">
        <f t="shared" si="12"/>
        <v>3396.0770000000002</v>
      </c>
      <c r="E388" s="760"/>
      <c r="F388" s="760">
        <f t="shared" ref="F388:F451" si="13">(D388/(MAX($D$4:$D$747)))*$M$4</f>
        <v>1432.8542210159567</v>
      </c>
      <c r="M388" s="443"/>
    </row>
    <row r="389" spans="1:13">
      <c r="A389" s="640">
        <v>11713</v>
      </c>
      <c r="B389" s="640">
        <v>200</v>
      </c>
      <c r="C389" s="638">
        <v>3421.4609999999998</v>
      </c>
      <c r="D389" s="633">
        <f t="shared" ref="D389:D452" si="14">C389</f>
        <v>3421.4609999999998</v>
      </c>
      <c r="E389" s="760"/>
      <c r="F389" s="760">
        <f t="shared" si="13"/>
        <v>1443.5640993686172</v>
      </c>
      <c r="M389" s="443"/>
    </row>
    <row r="390" spans="1:13">
      <c r="A390" s="640">
        <v>11713</v>
      </c>
      <c r="B390" s="640">
        <v>300</v>
      </c>
      <c r="C390" s="638">
        <v>3347.201</v>
      </c>
      <c r="D390" s="633">
        <f t="shared" si="14"/>
        <v>3347.201</v>
      </c>
      <c r="E390" s="760"/>
      <c r="F390" s="760">
        <f t="shared" si="13"/>
        <v>1412.2327265956662</v>
      </c>
      <c r="M390" s="443"/>
    </row>
    <row r="391" spans="1:13">
      <c r="A391" s="640">
        <v>11713</v>
      </c>
      <c r="B391" s="640">
        <v>400</v>
      </c>
      <c r="C391" s="638">
        <v>3390.627</v>
      </c>
      <c r="D391" s="633">
        <f t="shared" si="14"/>
        <v>3390.627</v>
      </c>
      <c r="E391" s="760"/>
      <c r="F391" s="760">
        <f t="shared" si="13"/>
        <v>1430.5547868439585</v>
      </c>
      <c r="M391" s="443"/>
    </row>
    <row r="392" spans="1:13">
      <c r="A392" s="640">
        <v>11713</v>
      </c>
      <c r="B392" s="640">
        <v>500</v>
      </c>
      <c r="C392" s="638">
        <v>3530.6239999999998</v>
      </c>
      <c r="D392" s="633">
        <f t="shared" si="14"/>
        <v>3530.6239999999998</v>
      </c>
      <c r="E392" s="760"/>
      <c r="F392" s="760">
        <f t="shared" si="13"/>
        <v>1489.6215548764769</v>
      </c>
      <c r="M392" s="443"/>
    </row>
    <row r="393" spans="1:13">
      <c r="A393" s="640">
        <v>11713</v>
      </c>
      <c r="B393" s="640">
        <v>600</v>
      </c>
      <c r="C393" s="638">
        <v>3917.53</v>
      </c>
      <c r="D393" s="633">
        <f t="shared" si="14"/>
        <v>3917.53</v>
      </c>
      <c r="E393" s="760"/>
      <c r="F393" s="760">
        <f t="shared" si="13"/>
        <v>1652.8628168491587</v>
      </c>
      <c r="M393" s="443"/>
    </row>
    <row r="394" spans="1:13">
      <c r="A394" s="640">
        <v>11713</v>
      </c>
      <c r="B394" s="640">
        <v>700</v>
      </c>
      <c r="C394" s="638">
        <v>4484.991</v>
      </c>
      <c r="D394" s="633">
        <f t="shared" si="14"/>
        <v>4484.991</v>
      </c>
      <c r="E394" s="760"/>
      <c r="F394" s="760">
        <f t="shared" si="13"/>
        <v>1892.2828562392949</v>
      </c>
      <c r="M394" s="443"/>
    </row>
    <row r="395" spans="1:13">
      <c r="A395" s="640">
        <v>11713</v>
      </c>
      <c r="B395" s="640">
        <v>800</v>
      </c>
      <c r="C395" s="638">
        <v>4906.9210000000003</v>
      </c>
      <c r="D395" s="633">
        <f t="shared" si="14"/>
        <v>4906.9210000000003</v>
      </c>
      <c r="E395" s="760"/>
      <c r="F395" s="760">
        <f t="shared" si="13"/>
        <v>2070.3012526046491</v>
      </c>
      <c r="M395" s="443"/>
    </row>
    <row r="396" spans="1:13">
      <c r="A396" s="640">
        <v>11713</v>
      </c>
      <c r="B396" s="640">
        <v>900</v>
      </c>
      <c r="C396" s="638">
        <v>4757.8329999999996</v>
      </c>
      <c r="D396" s="633">
        <f t="shared" si="14"/>
        <v>4757.8329999999996</v>
      </c>
      <c r="E396" s="760"/>
      <c r="F396" s="760">
        <f t="shared" si="13"/>
        <v>2007.3988596074269</v>
      </c>
      <c r="M396" s="443"/>
    </row>
    <row r="397" spans="1:13">
      <c r="A397" s="640">
        <v>11713</v>
      </c>
      <c r="B397" s="640">
        <v>1000</v>
      </c>
      <c r="C397" s="638">
        <v>4671.8230000000003</v>
      </c>
      <c r="D397" s="633">
        <f t="shared" si="14"/>
        <v>4671.8230000000003</v>
      </c>
      <c r="E397" s="760"/>
      <c r="F397" s="760">
        <f t="shared" si="13"/>
        <v>1971.1099911425538</v>
      </c>
      <c r="M397" s="443"/>
    </row>
    <row r="398" spans="1:13">
      <c r="A398" s="640">
        <v>11713</v>
      </c>
      <c r="B398" s="640">
        <v>1100</v>
      </c>
      <c r="C398" s="638">
        <v>4233.4539999999997</v>
      </c>
      <c r="D398" s="633">
        <f t="shared" si="14"/>
        <v>4233.4539999999997</v>
      </c>
      <c r="E398" s="760"/>
      <c r="F398" s="760">
        <f t="shared" si="13"/>
        <v>1786.1557418683044</v>
      </c>
      <c r="M398" s="443"/>
    </row>
    <row r="399" spans="1:13">
      <c r="A399" s="640">
        <v>11713</v>
      </c>
      <c r="B399" s="640">
        <v>1200</v>
      </c>
      <c r="C399" s="638">
        <v>4028.1419999999998</v>
      </c>
      <c r="D399" s="633">
        <f t="shared" si="14"/>
        <v>4028.1419999999998</v>
      </c>
      <c r="E399" s="760"/>
      <c r="F399" s="760">
        <f t="shared" si="13"/>
        <v>1699.5316265066008</v>
      </c>
      <c r="M399" s="443"/>
    </row>
    <row r="400" spans="1:13">
      <c r="A400" s="640">
        <v>11713</v>
      </c>
      <c r="B400" s="640">
        <v>1300</v>
      </c>
      <c r="C400" s="638">
        <v>4062.0990000000002</v>
      </c>
      <c r="D400" s="633">
        <f t="shared" si="14"/>
        <v>4062.0990000000002</v>
      </c>
      <c r="E400" s="760"/>
      <c r="F400" s="760">
        <f t="shared" si="13"/>
        <v>1713.8585780989938</v>
      </c>
      <c r="M400" s="443"/>
    </row>
    <row r="401" spans="1:13">
      <c r="A401" s="640">
        <v>11713</v>
      </c>
      <c r="B401" s="640">
        <v>1400</v>
      </c>
      <c r="C401" s="638">
        <v>4101.8739999999998</v>
      </c>
      <c r="D401" s="633">
        <f t="shared" si="14"/>
        <v>4101.8739999999998</v>
      </c>
      <c r="E401" s="760"/>
      <c r="F401" s="760">
        <f t="shared" si="13"/>
        <v>1730.6402284093103</v>
      </c>
      <c r="M401" s="443"/>
    </row>
    <row r="402" spans="1:13">
      <c r="A402" s="640">
        <v>11713</v>
      </c>
      <c r="B402" s="640">
        <v>1500</v>
      </c>
      <c r="C402" s="638">
        <v>4326.9679999999998</v>
      </c>
      <c r="D402" s="633">
        <f t="shared" si="14"/>
        <v>4326.9679999999998</v>
      </c>
      <c r="E402" s="760"/>
      <c r="F402" s="760">
        <f t="shared" si="13"/>
        <v>1825.6106569435769</v>
      </c>
      <c r="M402" s="443"/>
    </row>
    <row r="403" spans="1:13">
      <c r="A403" s="640">
        <v>11713</v>
      </c>
      <c r="B403" s="640">
        <v>1600</v>
      </c>
      <c r="C403" s="638">
        <v>4651.2539999999999</v>
      </c>
      <c r="D403" s="633">
        <f t="shared" si="14"/>
        <v>4651.2539999999999</v>
      </c>
      <c r="E403" s="760"/>
      <c r="F403" s="760">
        <f t="shared" si="13"/>
        <v>1962.4316312372637</v>
      </c>
      <c r="M403" s="443"/>
    </row>
    <row r="404" spans="1:13">
      <c r="A404" s="640">
        <v>11713</v>
      </c>
      <c r="B404" s="640">
        <v>1700</v>
      </c>
      <c r="C404" s="638">
        <v>4919.9589999999998</v>
      </c>
      <c r="D404" s="633">
        <f t="shared" si="14"/>
        <v>4919.9589999999998</v>
      </c>
      <c r="E404" s="760"/>
      <c r="F404" s="760">
        <f t="shared" si="13"/>
        <v>2075.802174207312</v>
      </c>
      <c r="M404" s="443"/>
    </row>
    <row r="405" spans="1:13">
      <c r="A405" s="640">
        <v>11713</v>
      </c>
      <c r="B405" s="640">
        <v>1800</v>
      </c>
      <c r="C405" s="638">
        <v>5325.6490000000003</v>
      </c>
      <c r="D405" s="633">
        <f t="shared" si="14"/>
        <v>5325.6490000000003</v>
      </c>
      <c r="E405" s="760"/>
      <c r="F405" s="760">
        <f t="shared" si="13"/>
        <v>2246.9686786546386</v>
      </c>
      <c r="M405" s="443"/>
    </row>
    <row r="406" spans="1:13">
      <c r="A406" s="640">
        <v>11713</v>
      </c>
      <c r="B406" s="640">
        <v>1900</v>
      </c>
      <c r="C406" s="638">
        <v>5472.3639999999996</v>
      </c>
      <c r="D406" s="633">
        <f t="shared" si="14"/>
        <v>5472.3639999999996</v>
      </c>
      <c r="E406" s="760"/>
      <c r="F406" s="760">
        <f t="shared" si="13"/>
        <v>2308.8698684793553</v>
      </c>
      <c r="M406" s="443"/>
    </row>
    <row r="407" spans="1:13">
      <c r="A407" s="640">
        <v>11713</v>
      </c>
      <c r="B407" s="640">
        <v>2000</v>
      </c>
      <c r="C407" s="638">
        <v>5415.8909999999996</v>
      </c>
      <c r="D407" s="633">
        <f t="shared" si="14"/>
        <v>5415.8909999999996</v>
      </c>
      <c r="E407" s="760"/>
      <c r="F407" s="760">
        <f t="shared" si="13"/>
        <v>2285.0430893976577</v>
      </c>
      <c r="M407" s="443"/>
    </row>
    <row r="408" spans="1:13">
      <c r="A408" s="640">
        <v>11713</v>
      </c>
      <c r="B408" s="640">
        <v>2100</v>
      </c>
      <c r="C408" s="638">
        <v>5472.0910000000003</v>
      </c>
      <c r="D408" s="633">
        <f t="shared" si="14"/>
        <v>5472.0910000000003</v>
      </c>
      <c r="E408" s="760"/>
      <c r="F408" s="760">
        <f t="shared" si="13"/>
        <v>2308.7546858134924</v>
      </c>
      <c r="M408" s="443"/>
    </row>
    <row r="409" spans="1:13">
      <c r="A409" s="640">
        <v>11713</v>
      </c>
      <c r="B409" s="640">
        <v>2200</v>
      </c>
      <c r="C409" s="638">
        <v>5189.317</v>
      </c>
      <c r="D409" s="633">
        <f t="shared" si="14"/>
        <v>5189.317</v>
      </c>
      <c r="E409" s="760"/>
      <c r="F409" s="760">
        <f t="shared" si="13"/>
        <v>2189.4482273634731</v>
      </c>
      <c r="M409" s="443"/>
    </row>
    <row r="410" spans="1:13">
      <c r="A410" s="640">
        <v>11713</v>
      </c>
      <c r="B410" s="640">
        <v>2300</v>
      </c>
      <c r="C410" s="638">
        <v>4685.99</v>
      </c>
      <c r="D410" s="633">
        <f t="shared" si="14"/>
        <v>4685.99</v>
      </c>
      <c r="E410" s="760"/>
      <c r="F410" s="760">
        <f t="shared" si="13"/>
        <v>1977.0872542461677</v>
      </c>
      <c r="M410" s="443"/>
    </row>
    <row r="411" spans="1:13">
      <c r="A411" s="640">
        <v>11713</v>
      </c>
      <c r="B411" s="640">
        <v>2400</v>
      </c>
      <c r="C411" s="638">
        <v>4147.9009999999998</v>
      </c>
      <c r="D411" s="633">
        <f t="shared" si="14"/>
        <v>4147.9009999999998</v>
      </c>
      <c r="E411" s="760"/>
      <c r="F411" s="760">
        <f t="shared" si="13"/>
        <v>1750.059688342257</v>
      </c>
      <c r="M411" s="443"/>
    </row>
    <row r="412" spans="1:13">
      <c r="A412" s="640">
        <v>11813</v>
      </c>
      <c r="B412" s="640">
        <v>100</v>
      </c>
      <c r="C412" s="638">
        <v>3889.194</v>
      </c>
      <c r="D412" s="633">
        <f t="shared" si="14"/>
        <v>3889.194</v>
      </c>
      <c r="E412" s="760"/>
      <c r="F412" s="760">
        <f t="shared" si="13"/>
        <v>1640.9074468128763</v>
      </c>
      <c r="M412" s="443"/>
    </row>
    <row r="413" spans="1:13">
      <c r="A413" s="640">
        <v>11813</v>
      </c>
      <c r="B413" s="640">
        <v>200</v>
      </c>
      <c r="C413" s="638">
        <v>3924.2779999999998</v>
      </c>
      <c r="D413" s="633">
        <f t="shared" si="14"/>
        <v>3924.2779999999998</v>
      </c>
      <c r="E413" s="760"/>
      <c r="F413" s="760">
        <f t="shared" si="13"/>
        <v>1655.7098960771666</v>
      </c>
      <c r="M413" s="443"/>
    </row>
    <row r="414" spans="1:13">
      <c r="A414" s="640">
        <v>11813</v>
      </c>
      <c r="B414" s="640">
        <v>300</v>
      </c>
      <c r="C414" s="638">
        <v>3892.9839999999999</v>
      </c>
      <c r="D414" s="633">
        <f t="shared" si="14"/>
        <v>3892.9839999999999</v>
      </c>
      <c r="E414" s="760"/>
      <c r="F414" s="760">
        <f t="shared" si="13"/>
        <v>1642.5065028701006</v>
      </c>
      <c r="M414" s="443"/>
    </row>
    <row r="415" spans="1:13">
      <c r="A415" s="640">
        <v>11813</v>
      </c>
      <c r="B415" s="640">
        <v>400</v>
      </c>
      <c r="C415" s="638">
        <v>3961.2719999999999</v>
      </c>
      <c r="D415" s="633">
        <f t="shared" si="14"/>
        <v>3961.2719999999999</v>
      </c>
      <c r="E415" s="760"/>
      <c r="F415" s="760">
        <f t="shared" si="13"/>
        <v>1671.318202087974</v>
      </c>
      <c r="M415" s="443"/>
    </row>
    <row r="416" spans="1:13">
      <c r="A416" s="640">
        <v>11813</v>
      </c>
      <c r="B416" s="640">
        <v>500</v>
      </c>
      <c r="C416" s="638">
        <v>4088.8560000000002</v>
      </c>
      <c r="D416" s="633">
        <f t="shared" si="14"/>
        <v>4088.8560000000002</v>
      </c>
      <c r="E416" s="760"/>
      <c r="F416" s="760">
        <f t="shared" si="13"/>
        <v>1725.1477450971872</v>
      </c>
      <c r="M416" s="443"/>
    </row>
    <row r="417" spans="1:13">
      <c r="A417" s="640">
        <v>11813</v>
      </c>
      <c r="B417" s="640">
        <v>600</v>
      </c>
      <c r="C417" s="638">
        <v>4430.8909999999996</v>
      </c>
      <c r="D417" s="633">
        <f t="shared" si="14"/>
        <v>4430.8909999999996</v>
      </c>
      <c r="E417" s="760"/>
      <c r="F417" s="760">
        <f t="shared" si="13"/>
        <v>1869.4572803301021</v>
      </c>
      <c r="M417" s="443"/>
    </row>
    <row r="418" spans="1:13">
      <c r="A418" s="640">
        <v>11813</v>
      </c>
      <c r="B418" s="640">
        <v>700</v>
      </c>
      <c r="C418" s="638">
        <v>5007.683</v>
      </c>
      <c r="D418" s="633">
        <f t="shared" si="14"/>
        <v>5007.683</v>
      </c>
      <c r="E418" s="760"/>
      <c r="F418" s="760">
        <f t="shared" si="13"/>
        <v>2112.8142041714159</v>
      </c>
      <c r="M418" s="443"/>
    </row>
    <row r="419" spans="1:13">
      <c r="A419" s="640">
        <v>11813</v>
      </c>
      <c r="B419" s="640">
        <v>800</v>
      </c>
      <c r="C419" s="638">
        <v>5254.6890000000003</v>
      </c>
      <c r="D419" s="633">
        <f t="shared" si="14"/>
        <v>5254.6890000000003</v>
      </c>
      <c r="E419" s="760"/>
      <c r="F419" s="760">
        <f t="shared" si="13"/>
        <v>2217.0296238206956</v>
      </c>
      <c r="M419" s="443"/>
    </row>
    <row r="420" spans="1:13">
      <c r="A420" s="640">
        <v>11813</v>
      </c>
      <c r="B420" s="640">
        <v>900</v>
      </c>
      <c r="C420" s="638">
        <v>5033.1329999999998</v>
      </c>
      <c r="D420" s="633">
        <f t="shared" si="14"/>
        <v>5033.1329999999998</v>
      </c>
      <c r="E420" s="760"/>
      <c r="F420" s="760">
        <f t="shared" si="13"/>
        <v>2123.5519288828564</v>
      </c>
      <c r="M420" s="443"/>
    </row>
    <row r="421" spans="1:13">
      <c r="A421" s="640">
        <v>11813</v>
      </c>
      <c r="B421" s="640">
        <v>1000</v>
      </c>
      <c r="C421" s="638">
        <v>4628.3389999999999</v>
      </c>
      <c r="D421" s="633">
        <f t="shared" si="14"/>
        <v>4628.3389999999999</v>
      </c>
      <c r="E421" s="760"/>
      <c r="F421" s="760">
        <f t="shared" si="13"/>
        <v>1952.7634598516968</v>
      </c>
      <c r="M421" s="443"/>
    </row>
    <row r="422" spans="1:13">
      <c r="A422" s="640">
        <v>11813</v>
      </c>
      <c r="B422" s="640">
        <v>1100</v>
      </c>
      <c r="C422" s="638">
        <v>4422.7889999999998</v>
      </c>
      <c r="D422" s="633">
        <f t="shared" si="14"/>
        <v>4422.7889999999998</v>
      </c>
      <c r="E422" s="760"/>
      <c r="F422" s="760">
        <f t="shared" si="13"/>
        <v>1866.0389288325739</v>
      </c>
      <c r="M422" s="443"/>
    </row>
    <row r="423" spans="1:13">
      <c r="A423" s="640">
        <v>11813</v>
      </c>
      <c r="B423" s="640">
        <v>1200</v>
      </c>
      <c r="C423" s="638">
        <v>4351.2359999999999</v>
      </c>
      <c r="D423" s="633">
        <f t="shared" si="14"/>
        <v>4351.2359999999999</v>
      </c>
      <c r="E423" s="760"/>
      <c r="F423" s="760">
        <f t="shared" si="13"/>
        <v>1835.8496786841367</v>
      </c>
      <c r="M423" s="443"/>
    </row>
    <row r="424" spans="1:13">
      <c r="A424" s="640">
        <v>11813</v>
      </c>
      <c r="B424" s="640">
        <v>1300</v>
      </c>
      <c r="C424" s="638">
        <v>3996.2620000000002</v>
      </c>
      <c r="D424" s="633">
        <f t="shared" si="14"/>
        <v>3996.2620000000002</v>
      </c>
      <c r="E424" s="760"/>
      <c r="F424" s="760">
        <f t="shared" si="13"/>
        <v>1686.0809913867292</v>
      </c>
      <c r="M424" s="443"/>
    </row>
    <row r="425" spans="1:13">
      <c r="A425" s="640">
        <v>11813</v>
      </c>
      <c r="B425" s="640">
        <v>1400</v>
      </c>
      <c r="C425" s="638">
        <v>3966.7539999999999</v>
      </c>
      <c r="D425" s="633">
        <f t="shared" si="14"/>
        <v>3966.7539999999999</v>
      </c>
      <c r="E425" s="760"/>
      <c r="F425" s="760">
        <f t="shared" si="13"/>
        <v>1673.6311375248354</v>
      </c>
      <c r="M425" s="443"/>
    </row>
    <row r="426" spans="1:13">
      <c r="A426" s="640">
        <v>11813</v>
      </c>
      <c r="B426" s="640">
        <v>1500</v>
      </c>
      <c r="C426" s="638">
        <v>4173.3999999999996</v>
      </c>
      <c r="D426" s="633">
        <f t="shared" si="14"/>
        <v>4173.3999999999996</v>
      </c>
      <c r="E426" s="760"/>
      <c r="F426" s="760">
        <f t="shared" si="13"/>
        <v>1760.8180868655195</v>
      </c>
      <c r="M426" s="443"/>
    </row>
    <row r="427" spans="1:13">
      <c r="A427" s="640">
        <v>11813</v>
      </c>
      <c r="B427" s="640">
        <v>1600</v>
      </c>
      <c r="C427" s="638">
        <v>4591.28</v>
      </c>
      <c r="D427" s="633">
        <f t="shared" si="14"/>
        <v>4591.28</v>
      </c>
      <c r="E427" s="760"/>
      <c r="F427" s="760">
        <f t="shared" si="13"/>
        <v>1937.1277293966364</v>
      </c>
      <c r="M427" s="443"/>
    </row>
    <row r="428" spans="1:13">
      <c r="A428" s="640">
        <v>11813</v>
      </c>
      <c r="B428" s="640">
        <v>1700</v>
      </c>
      <c r="C428" s="638">
        <v>4927.1139999999996</v>
      </c>
      <c r="D428" s="633">
        <f t="shared" si="14"/>
        <v>4927.1139999999996</v>
      </c>
      <c r="E428" s="760"/>
      <c r="F428" s="760">
        <f t="shared" si="13"/>
        <v>2078.8209726477971</v>
      </c>
      <c r="M428" s="443"/>
    </row>
    <row r="429" spans="1:13">
      <c r="A429" s="640">
        <v>11813</v>
      </c>
      <c r="B429" s="640">
        <v>1800</v>
      </c>
      <c r="C429" s="638">
        <v>5312.6409999999996</v>
      </c>
      <c r="D429" s="633">
        <f t="shared" si="14"/>
        <v>5312.6409999999996</v>
      </c>
      <c r="E429" s="760"/>
      <c r="F429" s="760">
        <f t="shared" si="13"/>
        <v>2241.4804144877849</v>
      </c>
      <c r="M429" s="443"/>
    </row>
    <row r="430" spans="1:13">
      <c r="A430" s="640">
        <v>11813</v>
      </c>
      <c r="B430" s="640">
        <v>1900</v>
      </c>
      <c r="C430" s="638">
        <v>5447.7110000000002</v>
      </c>
      <c r="D430" s="633">
        <f t="shared" si="14"/>
        <v>5447.7110000000002</v>
      </c>
      <c r="E430" s="760"/>
      <c r="F430" s="760">
        <f t="shared" si="13"/>
        <v>2298.4684096459114</v>
      </c>
      <c r="M430" s="443"/>
    </row>
    <row r="431" spans="1:13">
      <c r="A431" s="640">
        <v>11813</v>
      </c>
      <c r="B431" s="640">
        <v>2000</v>
      </c>
      <c r="C431" s="638">
        <v>5341.2870000000003</v>
      </c>
      <c r="D431" s="633">
        <f t="shared" si="14"/>
        <v>5341.2870000000003</v>
      </c>
      <c r="E431" s="760"/>
      <c r="F431" s="760">
        <f t="shared" si="13"/>
        <v>2253.5665780274285</v>
      </c>
      <c r="M431" s="443"/>
    </row>
    <row r="432" spans="1:13">
      <c r="A432" s="640">
        <v>11813</v>
      </c>
      <c r="B432" s="640">
        <v>2100</v>
      </c>
      <c r="C432" s="638">
        <v>5165.9799999999996</v>
      </c>
      <c r="D432" s="633">
        <f t="shared" si="14"/>
        <v>5165.9799999999996</v>
      </c>
      <c r="E432" s="760"/>
      <c r="F432" s="760">
        <f t="shared" si="13"/>
        <v>2179.6020080475237</v>
      </c>
      <c r="M432" s="443"/>
    </row>
    <row r="433" spans="1:13">
      <c r="A433" s="640">
        <v>11813</v>
      </c>
      <c r="B433" s="640">
        <v>2200</v>
      </c>
      <c r="C433" s="638">
        <v>4918.1329999999998</v>
      </c>
      <c r="D433" s="633">
        <f t="shared" si="14"/>
        <v>4918.1329999999998</v>
      </c>
      <c r="E433" s="760"/>
      <c r="F433" s="760">
        <f t="shared" si="13"/>
        <v>2075.0317582810608</v>
      </c>
      <c r="M433" s="443"/>
    </row>
    <row r="434" spans="1:13">
      <c r="A434" s="640">
        <v>11813</v>
      </c>
      <c r="B434" s="640">
        <v>2300</v>
      </c>
      <c r="C434" s="638">
        <v>4532.2510000000002</v>
      </c>
      <c r="D434" s="633">
        <f t="shared" si="14"/>
        <v>4532.2510000000002</v>
      </c>
      <c r="E434" s="760"/>
      <c r="F434" s="760">
        <f t="shared" si="13"/>
        <v>1912.2225367839983</v>
      </c>
      <c r="M434" s="443"/>
    </row>
    <row r="435" spans="1:13">
      <c r="A435" s="640">
        <v>11813</v>
      </c>
      <c r="B435" s="640">
        <v>2400</v>
      </c>
      <c r="C435" s="638">
        <v>4084.0149999999999</v>
      </c>
      <c r="D435" s="633">
        <f t="shared" si="14"/>
        <v>4084.0149999999999</v>
      </c>
      <c r="E435" s="760"/>
      <c r="F435" s="760">
        <f t="shared" si="13"/>
        <v>1723.105256872115</v>
      </c>
      <c r="M435" s="443"/>
    </row>
    <row r="436" spans="1:13">
      <c r="A436" s="640">
        <v>11913</v>
      </c>
      <c r="B436" s="640">
        <v>100</v>
      </c>
      <c r="C436" s="638">
        <v>3759.46</v>
      </c>
      <c r="D436" s="633">
        <f t="shared" si="14"/>
        <v>3759.46</v>
      </c>
      <c r="E436" s="760"/>
      <c r="F436" s="760">
        <f t="shared" si="13"/>
        <v>1586.1707875706729</v>
      </c>
      <c r="M436" s="443"/>
    </row>
    <row r="437" spans="1:13">
      <c r="A437" s="640">
        <v>11913</v>
      </c>
      <c r="B437" s="640">
        <v>200</v>
      </c>
      <c r="C437" s="638">
        <v>3760.5720000000001</v>
      </c>
      <c r="D437" s="633">
        <f t="shared" si="14"/>
        <v>3760.5720000000001</v>
      </c>
      <c r="E437" s="760"/>
      <c r="F437" s="760">
        <f t="shared" si="13"/>
        <v>1586.6399565246659</v>
      </c>
      <c r="M437" s="443"/>
    </row>
    <row r="438" spans="1:13">
      <c r="A438" s="640">
        <v>11913</v>
      </c>
      <c r="B438" s="640">
        <v>300</v>
      </c>
      <c r="C438" s="638">
        <v>3648.26</v>
      </c>
      <c r="D438" s="633">
        <f t="shared" si="14"/>
        <v>3648.26</v>
      </c>
      <c r="E438" s="760"/>
      <c r="F438" s="760">
        <f t="shared" si="13"/>
        <v>1539.2538921713713</v>
      </c>
      <c r="M438" s="443"/>
    </row>
    <row r="439" spans="1:13">
      <c r="A439" s="640">
        <v>11913</v>
      </c>
      <c r="B439" s="640">
        <v>400</v>
      </c>
      <c r="C439" s="638">
        <v>3633.665</v>
      </c>
      <c r="D439" s="633">
        <f t="shared" si="14"/>
        <v>3633.665</v>
      </c>
      <c r="E439" s="760"/>
      <c r="F439" s="760">
        <f t="shared" si="13"/>
        <v>1533.0960496502128</v>
      </c>
      <c r="M439" s="443"/>
    </row>
    <row r="440" spans="1:13">
      <c r="A440" s="640">
        <v>11913</v>
      </c>
      <c r="B440" s="640">
        <v>500</v>
      </c>
      <c r="C440" s="638">
        <v>3669.212</v>
      </c>
      <c r="D440" s="633">
        <f t="shared" si="14"/>
        <v>3669.212</v>
      </c>
      <c r="E440" s="760"/>
      <c r="F440" s="760">
        <f t="shared" si="13"/>
        <v>1548.0938453404915</v>
      </c>
      <c r="M440" s="443"/>
    </row>
    <row r="441" spans="1:13">
      <c r="A441" s="640">
        <v>11913</v>
      </c>
      <c r="B441" s="640">
        <v>600</v>
      </c>
      <c r="C441" s="638">
        <v>3730.0549999999998</v>
      </c>
      <c r="D441" s="633">
        <f t="shared" si="14"/>
        <v>3730.0549999999998</v>
      </c>
      <c r="E441" s="760"/>
      <c r="F441" s="760">
        <f t="shared" si="13"/>
        <v>1573.7643909050573</v>
      </c>
      <c r="M441" s="443"/>
    </row>
    <row r="442" spans="1:13">
      <c r="A442" s="640">
        <v>11913</v>
      </c>
      <c r="B442" s="640">
        <v>700</v>
      </c>
      <c r="C442" s="638">
        <v>3866.93</v>
      </c>
      <c r="D442" s="633">
        <f t="shared" si="14"/>
        <v>3866.93</v>
      </c>
      <c r="E442" s="760"/>
      <c r="F442" s="760">
        <f t="shared" si="13"/>
        <v>1631.5139417843684</v>
      </c>
      <c r="M442" s="443"/>
    </row>
    <row r="443" spans="1:13">
      <c r="A443" s="640">
        <v>11913</v>
      </c>
      <c r="B443" s="640">
        <v>800</v>
      </c>
      <c r="C443" s="638">
        <v>4136.3140000000003</v>
      </c>
      <c r="D443" s="633">
        <f t="shared" si="14"/>
        <v>4136.3140000000003</v>
      </c>
      <c r="E443" s="760"/>
      <c r="F443" s="760">
        <f t="shared" si="13"/>
        <v>1745.1709647182311</v>
      </c>
      <c r="M443" s="443"/>
    </row>
    <row r="444" spans="1:13">
      <c r="A444" s="640">
        <v>11913</v>
      </c>
      <c r="B444" s="640">
        <v>900</v>
      </c>
      <c r="C444" s="638">
        <v>4321.9409999999998</v>
      </c>
      <c r="D444" s="633">
        <f t="shared" si="14"/>
        <v>4321.9409999999998</v>
      </c>
      <c r="E444" s="760"/>
      <c r="F444" s="760">
        <f t="shared" si="13"/>
        <v>1823.4896926164879</v>
      </c>
      <c r="M444" s="443"/>
    </row>
    <row r="445" spans="1:13">
      <c r="A445" s="640">
        <v>11913</v>
      </c>
      <c r="B445" s="640">
        <v>1000</v>
      </c>
      <c r="C445" s="638">
        <v>4484.192</v>
      </c>
      <c r="D445" s="633">
        <f t="shared" si="14"/>
        <v>4484.192</v>
      </c>
      <c r="E445" s="760"/>
      <c r="F445" s="760">
        <f t="shared" si="13"/>
        <v>1891.9457465322444</v>
      </c>
      <c r="M445" s="443"/>
    </row>
    <row r="446" spans="1:13">
      <c r="A446" s="640">
        <v>11913</v>
      </c>
      <c r="B446" s="640">
        <v>1100</v>
      </c>
      <c r="C446" s="638">
        <v>4320.076</v>
      </c>
      <c r="D446" s="633">
        <f t="shared" si="14"/>
        <v>4320.076</v>
      </c>
      <c r="E446" s="760"/>
      <c r="F446" s="760">
        <f t="shared" si="13"/>
        <v>1822.7028220236848</v>
      </c>
      <c r="M446" s="443"/>
    </row>
    <row r="447" spans="1:13">
      <c r="A447" s="640">
        <v>11913</v>
      </c>
      <c r="B447" s="640">
        <v>1200</v>
      </c>
      <c r="C447" s="638">
        <v>4311.6570000000002</v>
      </c>
      <c r="D447" s="633">
        <f t="shared" si="14"/>
        <v>4311.6570000000002</v>
      </c>
      <c r="E447" s="760"/>
      <c r="F447" s="760">
        <f t="shared" si="13"/>
        <v>1819.1507236211066</v>
      </c>
      <c r="M447" s="443"/>
    </row>
    <row r="448" spans="1:13">
      <c r="A448" s="640">
        <v>11913</v>
      </c>
      <c r="B448" s="640">
        <v>1300</v>
      </c>
      <c r="C448" s="638">
        <v>4192.8990000000003</v>
      </c>
      <c r="D448" s="633">
        <f t="shared" si="14"/>
        <v>4192.8990000000003</v>
      </c>
      <c r="E448" s="760"/>
      <c r="F448" s="760">
        <f t="shared" si="13"/>
        <v>1769.0449982269497</v>
      </c>
      <c r="M448" s="443"/>
    </row>
    <row r="449" spans="1:13">
      <c r="A449" s="640">
        <v>11913</v>
      </c>
      <c r="B449" s="640">
        <v>1400</v>
      </c>
      <c r="C449" s="638">
        <v>4120.1679999999997</v>
      </c>
      <c r="D449" s="633">
        <f t="shared" si="14"/>
        <v>4120.1679999999997</v>
      </c>
      <c r="E449" s="760"/>
      <c r="F449" s="760">
        <f t="shared" si="13"/>
        <v>1738.3587327657388</v>
      </c>
      <c r="M449" s="443"/>
    </row>
    <row r="450" spans="1:13">
      <c r="A450" s="640">
        <v>11913</v>
      </c>
      <c r="B450" s="640">
        <v>1500</v>
      </c>
      <c r="C450" s="638">
        <v>4125.0829999999996</v>
      </c>
      <c r="D450" s="633">
        <f t="shared" si="14"/>
        <v>4125.0829999999996</v>
      </c>
      <c r="E450" s="760"/>
      <c r="F450" s="760">
        <f t="shared" si="13"/>
        <v>1740.4324426658068</v>
      </c>
      <c r="M450" s="443"/>
    </row>
    <row r="451" spans="1:13">
      <c r="A451" s="640">
        <v>11913</v>
      </c>
      <c r="B451" s="640">
        <v>1600</v>
      </c>
      <c r="C451" s="638">
        <v>4212.8689999999997</v>
      </c>
      <c r="D451" s="633">
        <f t="shared" si="14"/>
        <v>4212.8689999999997</v>
      </c>
      <c r="E451" s="760"/>
      <c r="F451" s="760">
        <f t="shared" si="13"/>
        <v>1777.4706313305826</v>
      </c>
      <c r="M451" s="443"/>
    </row>
    <row r="452" spans="1:13">
      <c r="A452" s="640">
        <v>11913</v>
      </c>
      <c r="B452" s="640">
        <v>1700</v>
      </c>
      <c r="C452" s="638">
        <v>4462.1149999999998</v>
      </c>
      <c r="D452" s="633">
        <f t="shared" si="14"/>
        <v>4462.1149999999998</v>
      </c>
      <c r="E452" s="760"/>
      <c r="F452" s="760">
        <f t="shared" ref="F452:F515" si="15">(D452/(MAX($D$4:$D$747)))*$M$4</f>
        <v>1882.6311395202802</v>
      </c>
      <c r="M452" s="443"/>
    </row>
    <row r="453" spans="1:13">
      <c r="A453" s="640">
        <v>11913</v>
      </c>
      <c r="B453" s="640">
        <v>1800</v>
      </c>
      <c r="C453" s="638">
        <v>4858.7860000000001</v>
      </c>
      <c r="D453" s="633">
        <f t="shared" ref="D453:D516" si="16">C453</f>
        <v>4858.7860000000001</v>
      </c>
      <c r="E453" s="760"/>
      <c r="F453" s="760">
        <f t="shared" si="15"/>
        <v>2049.9923968488451</v>
      </c>
      <c r="M453" s="443"/>
    </row>
    <row r="454" spans="1:13">
      <c r="A454" s="640">
        <v>11913</v>
      </c>
      <c r="B454" s="640">
        <v>1900</v>
      </c>
      <c r="C454" s="638">
        <v>5058.5069999999996</v>
      </c>
      <c r="D454" s="633">
        <f t="shared" si="16"/>
        <v>5058.5069999999996</v>
      </c>
      <c r="E454" s="760"/>
      <c r="F454" s="760">
        <f t="shared" si="15"/>
        <v>2134.2575880902473</v>
      </c>
      <c r="M454" s="443"/>
    </row>
    <row r="455" spans="1:13">
      <c r="A455" s="640">
        <v>11913</v>
      </c>
      <c r="B455" s="640">
        <v>2000</v>
      </c>
      <c r="C455" s="638">
        <v>4918.6310000000003</v>
      </c>
      <c r="D455" s="633">
        <f t="shared" si="16"/>
        <v>4918.6310000000003</v>
      </c>
      <c r="E455" s="760"/>
      <c r="F455" s="760">
        <f t="shared" si="15"/>
        <v>2075.2418717154928</v>
      </c>
      <c r="M455" s="443"/>
    </row>
    <row r="456" spans="1:13">
      <c r="A456" s="640">
        <v>11913</v>
      </c>
      <c r="B456" s="640">
        <v>2100</v>
      </c>
      <c r="C456" s="638">
        <v>4706.433</v>
      </c>
      <c r="D456" s="633">
        <f t="shared" si="16"/>
        <v>4706.433</v>
      </c>
      <c r="E456" s="760"/>
      <c r="F456" s="760">
        <f t="shared" si="15"/>
        <v>1985.7124529210589</v>
      </c>
      <c r="M456" s="443"/>
    </row>
    <row r="457" spans="1:13">
      <c r="A457" s="640">
        <v>11913</v>
      </c>
      <c r="B457" s="640">
        <v>2200</v>
      </c>
      <c r="C457" s="638">
        <v>4501.8159999999998</v>
      </c>
      <c r="D457" s="633">
        <f t="shared" si="16"/>
        <v>4501.8159999999998</v>
      </c>
      <c r="E457" s="760"/>
      <c r="F457" s="760">
        <f t="shared" si="15"/>
        <v>1899.3815681556009</v>
      </c>
      <c r="M457" s="443"/>
    </row>
    <row r="458" spans="1:13">
      <c r="A458" s="640">
        <v>11913</v>
      </c>
      <c r="B458" s="640">
        <v>2300</v>
      </c>
      <c r="C458" s="638">
        <v>4181.3490000000002</v>
      </c>
      <c r="D458" s="633">
        <f t="shared" si="16"/>
        <v>4181.3490000000002</v>
      </c>
      <c r="E458" s="760"/>
      <c r="F458" s="760">
        <f t="shared" si="15"/>
        <v>1764.1718854404212</v>
      </c>
      <c r="M458" s="443"/>
    </row>
    <row r="459" spans="1:13">
      <c r="A459" s="640">
        <v>11913</v>
      </c>
      <c r="B459" s="640">
        <v>2400</v>
      </c>
      <c r="C459" s="638">
        <v>3771.3409999999999</v>
      </c>
      <c r="D459" s="633">
        <f t="shared" si="16"/>
        <v>3771.3409999999999</v>
      </c>
      <c r="E459" s="760"/>
      <c r="F459" s="760">
        <f t="shared" si="15"/>
        <v>1591.1835540656291</v>
      </c>
      <c r="M459" s="443"/>
    </row>
    <row r="460" spans="1:13">
      <c r="A460" s="640">
        <v>12013</v>
      </c>
      <c r="B460" s="640">
        <v>100</v>
      </c>
      <c r="C460" s="638">
        <v>3499.2350000000001</v>
      </c>
      <c r="D460" s="633">
        <f t="shared" si="16"/>
        <v>3499.2350000000001</v>
      </c>
      <c r="E460" s="760"/>
      <c r="F460" s="760">
        <f t="shared" si="15"/>
        <v>1476.3780797893485</v>
      </c>
      <c r="M460" s="443"/>
    </row>
    <row r="461" spans="1:13">
      <c r="A461" s="640">
        <v>12013</v>
      </c>
      <c r="B461" s="640">
        <v>200</v>
      </c>
      <c r="C461" s="638">
        <v>3502.5279999999998</v>
      </c>
      <c r="D461" s="633">
        <f t="shared" si="16"/>
        <v>3502.5279999999998</v>
      </c>
      <c r="E461" s="760"/>
      <c r="F461" s="760">
        <f t="shared" si="15"/>
        <v>1477.7674443266676</v>
      </c>
      <c r="M461" s="443"/>
    </row>
    <row r="462" spans="1:13">
      <c r="A462" s="640">
        <v>12013</v>
      </c>
      <c r="B462" s="640">
        <v>300</v>
      </c>
      <c r="C462" s="638">
        <v>3403.373</v>
      </c>
      <c r="D462" s="633">
        <f t="shared" si="16"/>
        <v>3403.373</v>
      </c>
      <c r="E462" s="760"/>
      <c r="F462" s="760">
        <f t="shared" si="15"/>
        <v>1435.9325094047451</v>
      </c>
      <c r="M462" s="443"/>
    </row>
    <row r="463" spans="1:13">
      <c r="A463" s="640">
        <v>12013</v>
      </c>
      <c r="B463" s="640">
        <v>400</v>
      </c>
      <c r="C463" s="638">
        <v>3381.4169999999999</v>
      </c>
      <c r="D463" s="633">
        <f t="shared" si="16"/>
        <v>3381.4169999999999</v>
      </c>
      <c r="E463" s="760"/>
      <c r="F463" s="760">
        <f t="shared" si="15"/>
        <v>1426.6689540505449</v>
      </c>
      <c r="M463" s="443"/>
    </row>
    <row r="464" spans="1:13">
      <c r="A464" s="640">
        <v>12013</v>
      </c>
      <c r="B464" s="640">
        <v>500</v>
      </c>
      <c r="C464" s="638">
        <v>3433.8389999999999</v>
      </c>
      <c r="D464" s="633">
        <f t="shared" si="16"/>
        <v>3433.8389999999999</v>
      </c>
      <c r="E464" s="760"/>
      <c r="F464" s="760">
        <f t="shared" si="15"/>
        <v>1448.7865573834783</v>
      </c>
      <c r="M464" s="443"/>
    </row>
    <row r="465" spans="1:13">
      <c r="A465" s="640">
        <v>12013</v>
      </c>
      <c r="B465" s="640">
        <v>600</v>
      </c>
      <c r="C465" s="638">
        <v>3606.643</v>
      </c>
      <c r="D465" s="633">
        <f t="shared" si="16"/>
        <v>3606.643</v>
      </c>
      <c r="E465" s="760"/>
      <c r="F465" s="760">
        <f t="shared" si="15"/>
        <v>1521.6950753023718</v>
      </c>
      <c r="M465" s="443"/>
    </row>
    <row r="466" spans="1:13">
      <c r="A466" s="640">
        <v>12013</v>
      </c>
      <c r="B466" s="640">
        <v>700</v>
      </c>
      <c r="C466" s="638">
        <v>3839.357</v>
      </c>
      <c r="D466" s="633">
        <f t="shared" si="16"/>
        <v>3839.357</v>
      </c>
      <c r="E466" s="760"/>
      <c r="F466" s="760">
        <f t="shared" si="15"/>
        <v>1619.8804925321658</v>
      </c>
      <c r="M466" s="443"/>
    </row>
    <row r="467" spans="1:13">
      <c r="A467" s="640">
        <v>12013</v>
      </c>
      <c r="B467" s="640">
        <v>800</v>
      </c>
      <c r="C467" s="638">
        <v>4172.9679999999998</v>
      </c>
      <c r="D467" s="633">
        <f t="shared" si="16"/>
        <v>4172.9679999999998</v>
      </c>
      <c r="E467" s="760"/>
      <c r="F467" s="760">
        <f t="shared" si="15"/>
        <v>1760.6358197898676</v>
      </c>
      <c r="M467" s="443"/>
    </row>
    <row r="468" spans="1:13">
      <c r="A468" s="640">
        <v>12013</v>
      </c>
      <c r="B468" s="640">
        <v>900</v>
      </c>
      <c r="C468" s="638">
        <v>4397.6030000000001</v>
      </c>
      <c r="D468" s="633">
        <f t="shared" si="16"/>
        <v>4397.6030000000001</v>
      </c>
      <c r="E468" s="760"/>
      <c r="F468" s="760">
        <f t="shared" si="15"/>
        <v>1855.4125895562538</v>
      </c>
      <c r="M468" s="443"/>
    </row>
    <row r="469" spans="1:13">
      <c r="A469" s="640">
        <v>12013</v>
      </c>
      <c r="B469" s="640">
        <v>1000</v>
      </c>
      <c r="C469" s="638">
        <v>4558.7569999999996</v>
      </c>
      <c r="D469" s="633">
        <f t="shared" si="16"/>
        <v>4558.7569999999996</v>
      </c>
      <c r="E469" s="760"/>
      <c r="F469" s="760">
        <f t="shared" si="15"/>
        <v>1923.4058032359214</v>
      </c>
      <c r="M469" s="443"/>
    </row>
    <row r="470" spans="1:13">
      <c r="A470" s="640">
        <v>12013</v>
      </c>
      <c r="B470" s="640">
        <v>1100</v>
      </c>
      <c r="C470" s="638">
        <v>4592.4160000000002</v>
      </c>
      <c r="D470" s="633">
        <f t="shared" si="16"/>
        <v>4592.4160000000002</v>
      </c>
      <c r="E470" s="760"/>
      <c r="F470" s="760">
        <f t="shared" si="15"/>
        <v>1937.6070242992769</v>
      </c>
      <c r="M470" s="443"/>
    </row>
    <row r="471" spans="1:13">
      <c r="A471" s="640">
        <v>12013</v>
      </c>
      <c r="B471" s="640">
        <v>1200</v>
      </c>
      <c r="C471" s="638">
        <v>4637.0950000000003</v>
      </c>
      <c r="D471" s="633">
        <f t="shared" si="16"/>
        <v>4637.0950000000003</v>
      </c>
      <c r="E471" s="760"/>
      <c r="F471" s="760">
        <f t="shared" si="15"/>
        <v>1956.4577434498651</v>
      </c>
      <c r="M471" s="443"/>
    </row>
    <row r="472" spans="1:13">
      <c r="A472" s="640">
        <v>12013</v>
      </c>
      <c r="B472" s="640">
        <v>1300</v>
      </c>
      <c r="C472" s="638">
        <v>4584.1459999999997</v>
      </c>
      <c r="D472" s="633">
        <f t="shared" si="16"/>
        <v>4584.1459999999997</v>
      </c>
      <c r="E472" s="760"/>
      <c r="F472" s="760">
        <f t="shared" si="15"/>
        <v>1934.1177911612174</v>
      </c>
      <c r="M472" s="443"/>
    </row>
    <row r="473" spans="1:13">
      <c r="A473" s="640">
        <v>12013</v>
      </c>
      <c r="B473" s="640">
        <v>1400</v>
      </c>
      <c r="C473" s="638">
        <v>4495.9170000000004</v>
      </c>
      <c r="D473" s="633">
        <f t="shared" si="16"/>
        <v>4495.9170000000004</v>
      </c>
      <c r="E473" s="760"/>
      <c r="F473" s="760">
        <f t="shared" si="15"/>
        <v>1896.8926943609929</v>
      </c>
      <c r="M473" s="443"/>
    </row>
    <row r="474" spans="1:13">
      <c r="A474" s="640">
        <v>12013</v>
      </c>
      <c r="B474" s="640">
        <v>1500</v>
      </c>
      <c r="C474" s="638">
        <v>4508.9610000000002</v>
      </c>
      <c r="D474" s="633">
        <f t="shared" si="16"/>
        <v>4508.9610000000002</v>
      </c>
      <c r="E474" s="760"/>
      <c r="F474" s="760">
        <f t="shared" si="15"/>
        <v>1902.3961474508171</v>
      </c>
      <c r="M474" s="443"/>
    </row>
    <row r="475" spans="1:13">
      <c r="A475" s="640">
        <v>12013</v>
      </c>
      <c r="B475" s="640">
        <v>1600</v>
      </c>
      <c r="C475" s="638">
        <v>4587.4470000000001</v>
      </c>
      <c r="D475" s="633">
        <f t="shared" si="16"/>
        <v>4587.4470000000001</v>
      </c>
      <c r="E475" s="760"/>
      <c r="F475" s="760">
        <f t="shared" si="15"/>
        <v>1935.5105310147524</v>
      </c>
      <c r="M475" s="443"/>
    </row>
    <row r="476" spans="1:13">
      <c r="A476" s="640">
        <v>12013</v>
      </c>
      <c r="B476" s="640">
        <v>1700</v>
      </c>
      <c r="C476" s="638">
        <v>4930.6440000000002</v>
      </c>
      <c r="D476" s="633">
        <f t="shared" si="16"/>
        <v>4930.6440000000002</v>
      </c>
      <c r="E476" s="760"/>
      <c r="F476" s="760">
        <f t="shared" si="15"/>
        <v>2080.3103309280091</v>
      </c>
      <c r="M476" s="443"/>
    </row>
    <row r="477" spans="1:13">
      <c r="A477" s="640">
        <v>12013</v>
      </c>
      <c r="B477" s="640">
        <v>1800</v>
      </c>
      <c r="C477" s="638">
        <v>5528.5829999999996</v>
      </c>
      <c r="D477" s="633">
        <f t="shared" si="16"/>
        <v>5528.5829999999996</v>
      </c>
      <c r="E477" s="760"/>
      <c r="F477" s="760">
        <f t="shared" si="15"/>
        <v>2332.5894812712022</v>
      </c>
      <c r="M477" s="443"/>
    </row>
    <row r="478" spans="1:13">
      <c r="A478" s="640">
        <v>12013</v>
      </c>
      <c r="B478" s="640">
        <v>1900</v>
      </c>
      <c r="C478" s="638">
        <v>5788.3609999999999</v>
      </c>
      <c r="D478" s="633">
        <f t="shared" si="16"/>
        <v>5788.3609999999999</v>
      </c>
      <c r="E478" s="760"/>
      <c r="F478" s="760">
        <f t="shared" si="15"/>
        <v>2442.1935932589699</v>
      </c>
      <c r="M478" s="443"/>
    </row>
    <row r="479" spans="1:13">
      <c r="A479" s="640">
        <v>12013</v>
      </c>
      <c r="B479" s="640">
        <v>2000</v>
      </c>
      <c r="C479" s="638">
        <v>5623.4449999999997</v>
      </c>
      <c r="D479" s="633">
        <f t="shared" si="16"/>
        <v>5623.4449999999997</v>
      </c>
      <c r="E479" s="760"/>
      <c r="F479" s="760">
        <f t="shared" si="15"/>
        <v>2372.6131371288329</v>
      </c>
      <c r="M479" s="443"/>
    </row>
    <row r="480" spans="1:13">
      <c r="A480" s="640">
        <v>12013</v>
      </c>
      <c r="B480" s="640">
        <v>2100</v>
      </c>
      <c r="C480" s="638">
        <v>5386.1080000000002</v>
      </c>
      <c r="D480" s="633">
        <f t="shared" si="16"/>
        <v>5386.1080000000002</v>
      </c>
      <c r="E480" s="760"/>
      <c r="F480" s="760">
        <f t="shared" si="15"/>
        <v>2272.4772090408469</v>
      </c>
      <c r="M480" s="443"/>
    </row>
    <row r="481" spans="1:13">
      <c r="A481" s="640">
        <v>12013</v>
      </c>
      <c r="B481" s="640">
        <v>2200</v>
      </c>
      <c r="C481" s="638">
        <v>5073.4780000000001</v>
      </c>
      <c r="D481" s="633">
        <f t="shared" si="16"/>
        <v>5073.4780000000001</v>
      </c>
      <c r="E481" s="760"/>
      <c r="F481" s="760">
        <f t="shared" si="15"/>
        <v>2140.5740704735472</v>
      </c>
      <c r="M481" s="443"/>
    </row>
    <row r="482" spans="1:13">
      <c r="A482" s="640">
        <v>12013</v>
      </c>
      <c r="B482" s="640">
        <v>2300</v>
      </c>
      <c r="C482" s="638">
        <v>4616.8770000000004</v>
      </c>
      <c r="D482" s="633">
        <f t="shared" si="16"/>
        <v>4616.8770000000004</v>
      </c>
      <c r="E482" s="760"/>
      <c r="F482" s="760">
        <f t="shared" si="15"/>
        <v>1947.9274755435426</v>
      </c>
      <c r="M482" s="443"/>
    </row>
    <row r="483" spans="1:13">
      <c r="A483" s="640">
        <v>12013</v>
      </c>
      <c r="B483" s="640">
        <v>2400</v>
      </c>
      <c r="C483" s="638">
        <v>4123.8850000000002</v>
      </c>
      <c r="D483" s="633">
        <f t="shared" si="16"/>
        <v>4123.8850000000002</v>
      </c>
      <c r="E483" s="760"/>
      <c r="F483" s="760">
        <f t="shared" si="15"/>
        <v>1739.9269890624944</v>
      </c>
      <c r="M483" s="443"/>
    </row>
    <row r="484" spans="1:13">
      <c r="A484" s="640">
        <v>12113</v>
      </c>
      <c r="B484" s="640">
        <v>100</v>
      </c>
      <c r="C484" s="638">
        <v>3805.4580000000001</v>
      </c>
      <c r="D484" s="633">
        <f t="shared" si="16"/>
        <v>3805.4580000000001</v>
      </c>
      <c r="E484" s="760"/>
      <c r="F484" s="760">
        <f t="shared" si="15"/>
        <v>1605.5780119823376</v>
      </c>
      <c r="M484" s="443"/>
    </row>
    <row r="485" spans="1:13">
      <c r="A485" s="640">
        <v>12113</v>
      </c>
      <c r="B485" s="640">
        <v>200</v>
      </c>
      <c r="C485" s="638">
        <v>3875.424</v>
      </c>
      <c r="D485" s="633">
        <f t="shared" si="16"/>
        <v>3875.424</v>
      </c>
      <c r="E485" s="760"/>
      <c r="F485" s="760">
        <f t="shared" si="15"/>
        <v>1635.0976837764697</v>
      </c>
      <c r="M485" s="443"/>
    </row>
    <row r="486" spans="1:13">
      <c r="A486" s="640">
        <v>12113</v>
      </c>
      <c r="B486" s="640">
        <v>300</v>
      </c>
      <c r="C486" s="638">
        <v>3860.998</v>
      </c>
      <c r="D486" s="633">
        <f t="shared" si="16"/>
        <v>3860.998</v>
      </c>
      <c r="E486" s="760"/>
      <c r="F486" s="760">
        <f t="shared" si="15"/>
        <v>1629.0111448103701</v>
      </c>
      <c r="M486" s="443"/>
    </row>
    <row r="487" spans="1:13">
      <c r="A487" s="640">
        <v>12113</v>
      </c>
      <c r="B487" s="640">
        <v>400</v>
      </c>
      <c r="C487" s="638">
        <v>3886.0709999999999</v>
      </c>
      <c r="D487" s="633">
        <f t="shared" si="16"/>
        <v>3886.0709999999999</v>
      </c>
      <c r="E487" s="760"/>
      <c r="F487" s="760">
        <f t="shared" si="15"/>
        <v>1639.5898077451423</v>
      </c>
      <c r="M487" s="443"/>
    </row>
    <row r="488" spans="1:13">
      <c r="A488" s="640">
        <v>12113</v>
      </c>
      <c r="B488" s="640">
        <v>500</v>
      </c>
      <c r="C488" s="638">
        <v>3980.9960000000001</v>
      </c>
      <c r="D488" s="633">
        <f t="shared" si="16"/>
        <v>3980.9960000000001</v>
      </c>
      <c r="E488" s="760"/>
      <c r="F488" s="760">
        <f t="shared" si="15"/>
        <v>1679.6400442179724</v>
      </c>
      <c r="M488" s="443"/>
    </row>
    <row r="489" spans="1:13">
      <c r="A489" s="640">
        <v>12113</v>
      </c>
      <c r="B489" s="640">
        <v>600</v>
      </c>
      <c r="C489" s="638">
        <v>4314.9579999999996</v>
      </c>
      <c r="D489" s="633">
        <f t="shared" si="16"/>
        <v>4314.9579999999996</v>
      </c>
      <c r="E489" s="760"/>
      <c r="F489" s="760">
        <f t="shared" si="15"/>
        <v>1820.5434634746414</v>
      </c>
      <c r="M489" s="443"/>
    </row>
    <row r="490" spans="1:13">
      <c r="A490" s="640">
        <v>12113</v>
      </c>
      <c r="B490" s="640">
        <v>700</v>
      </c>
      <c r="C490" s="638">
        <v>4811.6189999999997</v>
      </c>
      <c r="D490" s="633">
        <f t="shared" si="16"/>
        <v>4811.6189999999997</v>
      </c>
      <c r="E490" s="760"/>
      <c r="F490" s="760">
        <f t="shared" si="15"/>
        <v>2030.0919543551502</v>
      </c>
      <c r="M490" s="443"/>
    </row>
    <row r="491" spans="1:13">
      <c r="A491" s="640">
        <v>12113</v>
      </c>
      <c r="B491" s="640">
        <v>800</v>
      </c>
      <c r="C491" s="638">
        <v>5137.1030000000001</v>
      </c>
      <c r="D491" s="633">
        <f t="shared" si="16"/>
        <v>5137.1030000000001</v>
      </c>
      <c r="E491" s="760"/>
      <c r="F491" s="760">
        <f t="shared" si="15"/>
        <v>2167.41838225215</v>
      </c>
      <c r="M491" s="443"/>
    </row>
    <row r="492" spans="1:13">
      <c r="A492" s="640">
        <v>12113</v>
      </c>
      <c r="B492" s="640">
        <v>900</v>
      </c>
      <c r="C492" s="638">
        <v>4915.8050000000003</v>
      </c>
      <c r="D492" s="633">
        <f t="shared" si="16"/>
        <v>4915.8050000000003</v>
      </c>
      <c r="E492" s="760"/>
      <c r="F492" s="760">
        <f t="shared" si="15"/>
        <v>2074.0495412622699</v>
      </c>
      <c r="M492" s="443"/>
    </row>
    <row r="493" spans="1:13">
      <c r="A493" s="640">
        <v>12113</v>
      </c>
      <c r="B493" s="640">
        <v>1000</v>
      </c>
      <c r="C493" s="638">
        <v>4837.223</v>
      </c>
      <c r="D493" s="633">
        <f t="shared" si="16"/>
        <v>4837.223</v>
      </c>
      <c r="E493" s="760"/>
      <c r="F493" s="760">
        <f t="shared" si="15"/>
        <v>2040.8946539037449</v>
      </c>
      <c r="M493" s="443"/>
    </row>
    <row r="494" spans="1:13">
      <c r="A494" s="640">
        <v>12113</v>
      </c>
      <c r="B494" s="640">
        <v>1100</v>
      </c>
      <c r="C494" s="638">
        <v>4815.3440000000001</v>
      </c>
      <c r="D494" s="633">
        <f t="shared" si="16"/>
        <v>4815.3440000000001</v>
      </c>
      <c r="E494" s="760"/>
      <c r="F494" s="760">
        <f t="shared" si="15"/>
        <v>2031.6635859681217</v>
      </c>
      <c r="M494" s="443"/>
    </row>
    <row r="495" spans="1:13">
      <c r="A495" s="640">
        <v>12113</v>
      </c>
      <c r="B495" s="640">
        <v>1200</v>
      </c>
      <c r="C495" s="638">
        <v>4490.652</v>
      </c>
      <c r="D495" s="633">
        <f t="shared" si="16"/>
        <v>4490.652</v>
      </c>
      <c r="E495" s="760"/>
      <c r="F495" s="760">
        <f t="shared" si="15"/>
        <v>1894.6713143764844</v>
      </c>
      <c r="M495" s="443"/>
    </row>
    <row r="496" spans="1:13">
      <c r="A496" s="640">
        <v>12113</v>
      </c>
      <c r="B496" s="640">
        <v>1300</v>
      </c>
      <c r="C496" s="638">
        <v>4316.0129999999999</v>
      </c>
      <c r="D496" s="633">
        <f t="shared" si="16"/>
        <v>4316.0129999999999</v>
      </c>
      <c r="E496" s="760"/>
      <c r="F496" s="760">
        <f t="shared" si="15"/>
        <v>1820.9885833005969</v>
      </c>
      <c r="M496" s="443"/>
    </row>
    <row r="497" spans="1:13">
      <c r="A497" s="640">
        <v>12113</v>
      </c>
      <c r="B497" s="640">
        <v>1400</v>
      </c>
      <c r="C497" s="638">
        <v>4106.5910000000003</v>
      </c>
      <c r="D497" s="633">
        <f t="shared" si="16"/>
        <v>4106.5910000000003</v>
      </c>
      <c r="E497" s="760"/>
      <c r="F497" s="760">
        <f t="shared" si="15"/>
        <v>1732.6303992330381</v>
      </c>
      <c r="M497" s="443"/>
    </row>
    <row r="498" spans="1:13">
      <c r="A498" s="640">
        <v>12113</v>
      </c>
      <c r="B498" s="640">
        <v>1500</v>
      </c>
      <c r="C498" s="638">
        <v>4252.2849999999999</v>
      </c>
      <c r="D498" s="633">
        <f t="shared" si="16"/>
        <v>4252.2849999999999</v>
      </c>
      <c r="E498" s="760"/>
      <c r="F498" s="760">
        <f t="shared" si="15"/>
        <v>1794.1008143257168</v>
      </c>
      <c r="M498" s="443"/>
    </row>
    <row r="499" spans="1:13">
      <c r="A499" s="640">
        <v>12113</v>
      </c>
      <c r="B499" s="640">
        <v>1600</v>
      </c>
      <c r="C499" s="638">
        <v>4554.7420000000002</v>
      </c>
      <c r="D499" s="633">
        <f t="shared" si="16"/>
        <v>4554.7420000000002</v>
      </c>
      <c r="E499" s="760"/>
      <c r="F499" s="760">
        <f t="shared" si="15"/>
        <v>1921.7118164101289</v>
      </c>
      <c r="M499" s="443"/>
    </row>
    <row r="500" spans="1:13">
      <c r="A500" s="640">
        <v>12113</v>
      </c>
      <c r="B500" s="640">
        <v>1700</v>
      </c>
      <c r="C500" s="638">
        <v>4987.7510000000002</v>
      </c>
      <c r="D500" s="633">
        <f t="shared" si="16"/>
        <v>4987.7510000000002</v>
      </c>
      <c r="E500" s="760"/>
      <c r="F500" s="760">
        <f t="shared" si="15"/>
        <v>2104.4046038198071</v>
      </c>
      <c r="M500" s="443"/>
    </row>
    <row r="501" spans="1:13">
      <c r="A501" s="640">
        <v>12113</v>
      </c>
      <c r="B501" s="640">
        <v>1800</v>
      </c>
      <c r="C501" s="638">
        <v>5562.5829999999996</v>
      </c>
      <c r="D501" s="633">
        <f t="shared" si="16"/>
        <v>5562.5829999999996</v>
      </c>
      <c r="E501" s="760"/>
      <c r="F501" s="760">
        <f t="shared" si="15"/>
        <v>2346.9345751882547</v>
      </c>
      <c r="M501" s="443"/>
    </row>
    <row r="502" spans="1:13">
      <c r="A502" s="640">
        <v>12113</v>
      </c>
      <c r="B502" s="640">
        <v>1900</v>
      </c>
      <c r="C502" s="638">
        <v>6031.3050000000003</v>
      </c>
      <c r="D502" s="633">
        <f t="shared" si="16"/>
        <v>6031.3050000000003</v>
      </c>
      <c r="E502" s="760"/>
      <c r="F502" s="760">
        <f t="shared" si="15"/>
        <v>2544.6951960996894</v>
      </c>
      <c r="M502" s="443"/>
    </row>
    <row r="503" spans="1:13">
      <c r="A503" s="640">
        <v>12113</v>
      </c>
      <c r="B503" s="640">
        <v>2000</v>
      </c>
      <c r="C503" s="638">
        <v>5890.9089999999997</v>
      </c>
      <c r="D503" s="633">
        <f t="shared" si="16"/>
        <v>5890.9089999999997</v>
      </c>
      <c r="E503" s="760"/>
      <c r="F503" s="760">
        <f t="shared" si="15"/>
        <v>2485.4600841709089</v>
      </c>
      <c r="M503" s="443"/>
    </row>
    <row r="504" spans="1:13">
      <c r="A504" s="640">
        <v>12113</v>
      </c>
      <c r="B504" s="640">
        <v>2100</v>
      </c>
      <c r="C504" s="638">
        <v>5832.3879999999999</v>
      </c>
      <c r="D504" s="633">
        <f t="shared" si="16"/>
        <v>5832.3879999999999</v>
      </c>
      <c r="E504" s="760"/>
      <c r="F504" s="760">
        <f t="shared" si="15"/>
        <v>2460.7692241379723</v>
      </c>
      <c r="M504" s="443"/>
    </row>
    <row r="505" spans="1:13">
      <c r="A505" s="640">
        <v>12113</v>
      </c>
      <c r="B505" s="640">
        <v>2200</v>
      </c>
      <c r="C505" s="638">
        <v>5546.7619999999997</v>
      </c>
      <c r="D505" s="633">
        <f t="shared" si="16"/>
        <v>5546.7619999999997</v>
      </c>
      <c r="E505" s="760"/>
      <c r="F505" s="760">
        <f t="shared" si="15"/>
        <v>2340.2594654570285</v>
      </c>
      <c r="M505" s="443"/>
    </row>
    <row r="506" spans="1:13">
      <c r="A506" s="640">
        <v>12113</v>
      </c>
      <c r="B506" s="640">
        <v>2300</v>
      </c>
      <c r="C506" s="638">
        <v>4995.75</v>
      </c>
      <c r="D506" s="633">
        <f t="shared" si="16"/>
        <v>4995.75</v>
      </c>
      <c r="E506" s="760"/>
      <c r="F506" s="760">
        <f t="shared" si="15"/>
        <v>2107.7794981210573</v>
      </c>
      <c r="M506" s="443"/>
    </row>
    <row r="507" spans="1:13">
      <c r="A507" s="640">
        <v>12113</v>
      </c>
      <c r="B507" s="640">
        <v>2400</v>
      </c>
      <c r="C507" s="638">
        <v>4477.0929999999998</v>
      </c>
      <c r="D507" s="633">
        <f t="shared" si="16"/>
        <v>4477.0929999999998</v>
      </c>
      <c r="E507" s="760"/>
      <c r="F507" s="760">
        <f t="shared" si="15"/>
        <v>1888.950575305269</v>
      </c>
      <c r="M507" s="443"/>
    </row>
    <row r="508" spans="1:13">
      <c r="A508" s="640">
        <v>12213</v>
      </c>
      <c r="B508" s="640">
        <v>100</v>
      </c>
      <c r="C508" s="638">
        <v>4273.3410000000003</v>
      </c>
      <c r="D508" s="633">
        <f t="shared" si="16"/>
        <v>4273.3410000000003</v>
      </c>
      <c r="E508" s="760"/>
      <c r="F508" s="760">
        <f t="shared" si="15"/>
        <v>1802.9846466056422</v>
      </c>
      <c r="M508" s="443"/>
    </row>
    <row r="509" spans="1:13">
      <c r="A509" s="640">
        <v>12213</v>
      </c>
      <c r="B509" s="640">
        <v>200</v>
      </c>
      <c r="C509" s="638">
        <v>4344.1750000000002</v>
      </c>
      <c r="D509" s="633">
        <f t="shared" si="16"/>
        <v>4344.1750000000002</v>
      </c>
      <c r="E509" s="760"/>
      <c r="F509" s="760">
        <f t="shared" si="15"/>
        <v>1832.8705402091866</v>
      </c>
      <c r="M509" s="443"/>
    </row>
    <row r="510" spans="1:13">
      <c r="A510" s="640">
        <v>12213</v>
      </c>
      <c r="B510" s="640">
        <v>300</v>
      </c>
      <c r="C510" s="638">
        <v>4396.0550000000003</v>
      </c>
      <c r="D510" s="633">
        <f t="shared" si="16"/>
        <v>4396.0550000000003</v>
      </c>
      <c r="E510" s="760"/>
      <c r="F510" s="760">
        <f t="shared" si="15"/>
        <v>1854.7594658685011</v>
      </c>
      <c r="M510" s="443"/>
    </row>
    <row r="511" spans="1:13">
      <c r="A511" s="640">
        <v>12213</v>
      </c>
      <c r="B511" s="640">
        <v>400</v>
      </c>
      <c r="C511" s="638">
        <v>4475.4629999999997</v>
      </c>
      <c r="D511" s="633">
        <f t="shared" si="16"/>
        <v>4475.4629999999997</v>
      </c>
      <c r="E511" s="760"/>
      <c r="F511" s="760">
        <f t="shared" si="15"/>
        <v>1888.2628546263043</v>
      </c>
      <c r="M511" s="443"/>
    </row>
    <row r="512" spans="1:13">
      <c r="A512" s="640">
        <v>12213</v>
      </c>
      <c r="B512" s="640">
        <v>500</v>
      </c>
      <c r="C512" s="638">
        <v>4595.4030000000002</v>
      </c>
      <c r="D512" s="633">
        <f t="shared" si="16"/>
        <v>4595.4030000000002</v>
      </c>
      <c r="E512" s="760"/>
      <c r="F512" s="760">
        <f t="shared" si="15"/>
        <v>1938.8672829913428</v>
      </c>
      <c r="M512" s="443"/>
    </row>
    <row r="513" spans="1:13">
      <c r="A513" s="640">
        <v>12213</v>
      </c>
      <c r="B513" s="640">
        <v>600</v>
      </c>
      <c r="C513" s="638">
        <v>4924.2520000000004</v>
      </c>
      <c r="D513" s="633">
        <f t="shared" si="16"/>
        <v>4924.2520000000004</v>
      </c>
      <c r="E513" s="760"/>
      <c r="F513" s="760">
        <f t="shared" si="15"/>
        <v>2077.6134532716032</v>
      </c>
      <c r="M513" s="443"/>
    </row>
    <row r="514" spans="1:13">
      <c r="A514" s="640">
        <v>12213</v>
      </c>
      <c r="B514" s="640">
        <v>700</v>
      </c>
      <c r="C514" s="638">
        <v>5416.8720000000003</v>
      </c>
      <c r="D514" s="633">
        <f t="shared" si="16"/>
        <v>5416.8720000000003</v>
      </c>
      <c r="E514" s="760"/>
      <c r="F514" s="760">
        <f t="shared" si="15"/>
        <v>2285.4569875486181</v>
      </c>
      <c r="M514" s="443"/>
    </row>
    <row r="515" spans="1:13">
      <c r="A515" s="640">
        <v>12213</v>
      </c>
      <c r="B515" s="640">
        <v>800</v>
      </c>
      <c r="C515" s="638">
        <v>5594.33</v>
      </c>
      <c r="D515" s="633">
        <f t="shared" si="16"/>
        <v>5594.33</v>
      </c>
      <c r="E515" s="760"/>
      <c r="F515" s="760">
        <f t="shared" si="15"/>
        <v>2360.3290956760393</v>
      </c>
      <c r="M515" s="443"/>
    </row>
    <row r="516" spans="1:13">
      <c r="A516" s="640">
        <v>12213</v>
      </c>
      <c r="B516" s="640">
        <v>900</v>
      </c>
      <c r="C516" s="638">
        <v>5481.777</v>
      </c>
      <c r="D516" s="633">
        <f t="shared" si="16"/>
        <v>5481.777</v>
      </c>
      <c r="E516" s="760"/>
      <c r="F516" s="760">
        <f t="shared" ref="F516:F579" si="17">(D516/(MAX($D$4:$D$747)))*$M$4</f>
        <v>2312.841349921744</v>
      </c>
      <c r="M516" s="443"/>
    </row>
    <row r="517" spans="1:13">
      <c r="A517" s="640">
        <v>12213</v>
      </c>
      <c r="B517" s="640">
        <v>1000</v>
      </c>
      <c r="C517" s="638">
        <v>5159.7470000000003</v>
      </c>
      <c r="D517" s="633">
        <f t="shared" ref="D517:D580" si="18">C517</f>
        <v>5159.7470000000003</v>
      </c>
      <c r="E517" s="760"/>
      <c r="F517" s="760">
        <f t="shared" si="17"/>
        <v>2176.9722148009068</v>
      </c>
      <c r="M517" s="443"/>
    </row>
    <row r="518" spans="1:13">
      <c r="A518" s="640">
        <v>12213</v>
      </c>
      <c r="B518" s="640">
        <v>1100</v>
      </c>
      <c r="C518" s="638">
        <v>4809.1350000000002</v>
      </c>
      <c r="D518" s="633">
        <f t="shared" si="18"/>
        <v>4809.1350000000002</v>
      </c>
      <c r="E518" s="760"/>
      <c r="F518" s="760">
        <f t="shared" si="17"/>
        <v>2029.0439186701517</v>
      </c>
      <c r="M518" s="443"/>
    </row>
    <row r="519" spans="1:13">
      <c r="A519" s="640">
        <v>12213</v>
      </c>
      <c r="B519" s="640">
        <v>1200</v>
      </c>
      <c r="C519" s="638">
        <v>4866.1310000000003</v>
      </c>
      <c r="D519" s="633">
        <f t="shared" si="18"/>
        <v>4866.1310000000003</v>
      </c>
      <c r="E519" s="760"/>
      <c r="F519" s="760">
        <f t="shared" si="17"/>
        <v>2053.0913590494556</v>
      </c>
      <c r="M519" s="443"/>
    </row>
    <row r="520" spans="1:13">
      <c r="A520" s="640">
        <v>12213</v>
      </c>
      <c r="B520" s="640">
        <v>1300</v>
      </c>
      <c r="C520" s="638">
        <v>4801.9799999999996</v>
      </c>
      <c r="D520" s="633">
        <f t="shared" si="18"/>
        <v>4801.9799999999996</v>
      </c>
      <c r="E520" s="760"/>
      <c r="F520" s="760">
        <f t="shared" si="17"/>
        <v>2026.0251202296658</v>
      </c>
      <c r="M520" s="443"/>
    </row>
    <row r="521" spans="1:13">
      <c r="A521" s="640">
        <v>12213</v>
      </c>
      <c r="B521" s="640">
        <v>1400</v>
      </c>
      <c r="C521" s="638">
        <v>4797.6809999999996</v>
      </c>
      <c r="D521" s="633">
        <f t="shared" si="18"/>
        <v>4797.6809999999996</v>
      </c>
      <c r="E521" s="760"/>
      <c r="F521" s="760">
        <f t="shared" si="17"/>
        <v>2024.2113096782127</v>
      </c>
      <c r="M521" s="443"/>
    </row>
    <row r="522" spans="1:13">
      <c r="A522" s="640">
        <v>12213</v>
      </c>
      <c r="B522" s="640">
        <v>1500</v>
      </c>
      <c r="C522" s="638">
        <v>4898.7659999999996</v>
      </c>
      <c r="D522" s="633">
        <f t="shared" si="18"/>
        <v>4898.7659999999996</v>
      </c>
      <c r="E522" s="760"/>
      <c r="F522" s="760">
        <f t="shared" si="17"/>
        <v>2066.8605396371913</v>
      </c>
      <c r="M522" s="443"/>
    </row>
    <row r="523" spans="1:13">
      <c r="A523" s="640">
        <v>12213</v>
      </c>
      <c r="B523" s="640">
        <v>1600</v>
      </c>
      <c r="C523" s="638">
        <v>4917.7470000000003</v>
      </c>
      <c r="D523" s="633">
        <f t="shared" si="18"/>
        <v>4917.7470000000003</v>
      </c>
      <c r="E523" s="760"/>
      <c r="F523" s="760">
        <f t="shared" si="17"/>
        <v>2074.8688992736497</v>
      </c>
      <c r="M523" s="443"/>
    </row>
    <row r="524" spans="1:13">
      <c r="A524" s="640">
        <v>12213</v>
      </c>
      <c r="B524" s="640">
        <v>1700</v>
      </c>
      <c r="C524" s="638">
        <v>5409.1559999999999</v>
      </c>
      <c r="D524" s="633">
        <f t="shared" si="18"/>
        <v>5409.1559999999999</v>
      </c>
      <c r="E524" s="760"/>
      <c r="F524" s="760">
        <f t="shared" si="17"/>
        <v>2282.2014950585008</v>
      </c>
      <c r="M524" s="443"/>
    </row>
    <row r="525" spans="1:13">
      <c r="A525" s="640">
        <v>12213</v>
      </c>
      <c r="B525" s="640">
        <v>1800</v>
      </c>
      <c r="C525" s="638">
        <v>5826.4309999999996</v>
      </c>
      <c r="D525" s="633">
        <f t="shared" si="18"/>
        <v>5826.4309999999996</v>
      </c>
      <c r="E525" s="760"/>
      <c r="F525" s="760">
        <f t="shared" si="17"/>
        <v>2458.2558793007993</v>
      </c>
      <c r="M525" s="443"/>
    </row>
    <row r="526" spans="1:13">
      <c r="A526" s="640">
        <v>12213</v>
      </c>
      <c r="B526" s="640">
        <v>1900</v>
      </c>
      <c r="C526" s="638">
        <v>6120.5950000000003</v>
      </c>
      <c r="D526" s="633">
        <f t="shared" si="18"/>
        <v>6120.5950000000003</v>
      </c>
      <c r="E526" s="760"/>
      <c r="F526" s="760">
        <f t="shared" si="17"/>
        <v>2582.3679442130315</v>
      </c>
      <c r="M526" s="443"/>
    </row>
    <row r="527" spans="1:13">
      <c r="A527" s="640">
        <v>12213</v>
      </c>
      <c r="B527" s="640">
        <v>2000</v>
      </c>
      <c r="C527" s="638">
        <v>6189.7129999999997</v>
      </c>
      <c r="D527" s="633">
        <f t="shared" si="18"/>
        <v>6189.7129999999997</v>
      </c>
      <c r="E527" s="760"/>
      <c r="F527" s="760">
        <f t="shared" si="17"/>
        <v>2611.5298324882915</v>
      </c>
      <c r="M527" s="443"/>
    </row>
    <row r="528" spans="1:13">
      <c r="A528" s="640">
        <v>12213</v>
      </c>
      <c r="B528" s="640">
        <v>2100</v>
      </c>
      <c r="C528" s="638">
        <v>6096.8429999999998</v>
      </c>
      <c r="D528" s="633">
        <f t="shared" si="18"/>
        <v>6096.8429999999998</v>
      </c>
      <c r="E528" s="760"/>
      <c r="F528" s="760">
        <f t="shared" si="17"/>
        <v>2572.346630368389</v>
      </c>
      <c r="M528" s="443"/>
    </row>
    <row r="529" spans="1:13">
      <c r="A529" s="640">
        <v>12213</v>
      </c>
      <c r="B529" s="640">
        <v>2200</v>
      </c>
      <c r="C529" s="638">
        <v>5745.0259999999998</v>
      </c>
      <c r="D529" s="633">
        <f t="shared" si="18"/>
        <v>5745.0259999999998</v>
      </c>
      <c r="E529" s="760"/>
      <c r="F529" s="760">
        <f t="shared" si="17"/>
        <v>2423.9099272326325</v>
      </c>
      <c r="M529" s="443"/>
    </row>
    <row r="530" spans="1:13">
      <c r="A530" s="640">
        <v>12213</v>
      </c>
      <c r="B530" s="640">
        <v>2300</v>
      </c>
      <c r="C530" s="638">
        <v>5142.9449999999997</v>
      </c>
      <c r="D530" s="633">
        <f t="shared" si="18"/>
        <v>5142.9449999999997</v>
      </c>
      <c r="E530" s="760"/>
      <c r="F530" s="760">
        <f t="shared" si="17"/>
        <v>2169.883206918721</v>
      </c>
      <c r="M530" s="443"/>
    </row>
    <row r="531" spans="1:13">
      <c r="A531" s="640">
        <v>12213</v>
      </c>
      <c r="B531" s="640">
        <v>2400</v>
      </c>
      <c r="C531" s="638">
        <v>4697.7579999999998</v>
      </c>
      <c r="D531" s="633">
        <f t="shared" si="18"/>
        <v>4697.7579999999998</v>
      </c>
      <c r="E531" s="760"/>
      <c r="F531" s="760">
        <f t="shared" si="17"/>
        <v>1982.0523443995758</v>
      </c>
      <c r="M531" s="443"/>
    </row>
    <row r="532" spans="1:13">
      <c r="A532" s="640">
        <v>12313</v>
      </c>
      <c r="B532" s="640">
        <v>100</v>
      </c>
      <c r="C532" s="638">
        <v>4474.5119999999997</v>
      </c>
      <c r="D532" s="633">
        <f t="shared" si="18"/>
        <v>4474.5119999999997</v>
      </c>
      <c r="E532" s="760"/>
      <c r="F532" s="760">
        <f t="shared" si="17"/>
        <v>1887.8616139111539</v>
      </c>
      <c r="M532" s="443"/>
    </row>
    <row r="533" spans="1:13">
      <c r="A533" s="640">
        <v>12313</v>
      </c>
      <c r="B533" s="640">
        <v>200</v>
      </c>
      <c r="C533" s="638">
        <v>4551.7349999999997</v>
      </c>
      <c r="D533" s="633">
        <f t="shared" si="18"/>
        <v>4551.7349999999997</v>
      </c>
      <c r="E533" s="760"/>
      <c r="F533" s="760">
        <f t="shared" si="17"/>
        <v>1920.4431194275232</v>
      </c>
      <c r="M533" s="443"/>
    </row>
    <row r="534" spans="1:13">
      <c r="A534" s="640">
        <v>12313</v>
      </c>
      <c r="B534" s="640">
        <v>300</v>
      </c>
      <c r="C534" s="638">
        <v>4578.6419999999998</v>
      </c>
      <c r="D534" s="633">
        <f t="shared" si="18"/>
        <v>4578.6419999999998</v>
      </c>
      <c r="E534" s="760"/>
      <c r="F534" s="760">
        <f t="shared" si="17"/>
        <v>1931.7955736047627</v>
      </c>
      <c r="M534" s="443"/>
    </row>
    <row r="535" spans="1:13">
      <c r="A535" s="640">
        <v>12313</v>
      </c>
      <c r="B535" s="640">
        <v>400</v>
      </c>
      <c r="C535" s="638">
        <v>4602.7240000000002</v>
      </c>
      <c r="D535" s="633">
        <f t="shared" si="18"/>
        <v>4602.7240000000002</v>
      </c>
      <c r="E535" s="760"/>
      <c r="F535" s="760">
        <f t="shared" si="17"/>
        <v>1941.9561192433059</v>
      </c>
      <c r="M535" s="443"/>
    </row>
    <row r="536" spans="1:13">
      <c r="A536" s="640">
        <v>12313</v>
      </c>
      <c r="B536" s="640">
        <v>500</v>
      </c>
      <c r="C536" s="638">
        <v>4745.9030000000002</v>
      </c>
      <c r="D536" s="633">
        <f t="shared" si="18"/>
        <v>4745.9030000000002</v>
      </c>
      <c r="E536" s="760"/>
      <c r="F536" s="760">
        <f t="shared" si="17"/>
        <v>2002.3654193006496</v>
      </c>
      <c r="M536" s="443"/>
    </row>
    <row r="537" spans="1:13">
      <c r="A537" s="640">
        <v>12313</v>
      </c>
      <c r="B537" s="640">
        <v>600</v>
      </c>
      <c r="C537" s="638">
        <v>5095.6000000000004</v>
      </c>
      <c r="D537" s="633">
        <f t="shared" si="18"/>
        <v>5095.6000000000004</v>
      </c>
      <c r="E537" s="760"/>
      <c r="F537" s="760">
        <f t="shared" si="17"/>
        <v>2149.9076636392251</v>
      </c>
      <c r="M537" s="443"/>
    </row>
    <row r="538" spans="1:13">
      <c r="A538" s="640">
        <v>12313</v>
      </c>
      <c r="B538" s="640">
        <v>700</v>
      </c>
      <c r="C538" s="638">
        <v>5688.6379999999999</v>
      </c>
      <c r="D538" s="633">
        <f t="shared" si="18"/>
        <v>5688.6379999999999</v>
      </c>
      <c r="E538" s="760"/>
      <c r="F538" s="760">
        <f t="shared" si="17"/>
        <v>2400.1190108857277</v>
      </c>
      <c r="M538" s="443"/>
    </row>
    <row r="539" spans="1:13">
      <c r="A539" s="640">
        <v>12313</v>
      </c>
      <c r="B539" s="640">
        <v>800</v>
      </c>
      <c r="C539" s="638">
        <v>5989.7510000000002</v>
      </c>
      <c r="D539" s="633">
        <f t="shared" si="18"/>
        <v>5989.7510000000002</v>
      </c>
      <c r="E539" s="760"/>
      <c r="F539" s="760">
        <f t="shared" si="17"/>
        <v>2527.162959845889</v>
      </c>
      <c r="M539" s="443"/>
    </row>
    <row r="540" spans="1:13">
      <c r="A540" s="640">
        <v>12313</v>
      </c>
      <c r="B540" s="640">
        <v>900</v>
      </c>
      <c r="C540" s="638">
        <v>5735.5259999999998</v>
      </c>
      <c r="D540" s="633">
        <f t="shared" si="18"/>
        <v>5735.5259999999998</v>
      </c>
      <c r="E540" s="760"/>
      <c r="F540" s="760">
        <f t="shared" si="17"/>
        <v>2419.9017392263972</v>
      </c>
      <c r="M540" s="443"/>
    </row>
    <row r="541" spans="1:13">
      <c r="A541" s="640">
        <v>12313</v>
      </c>
      <c r="B541" s="640">
        <v>1000</v>
      </c>
      <c r="C541" s="638">
        <v>5409.607</v>
      </c>
      <c r="D541" s="633">
        <f t="shared" si="18"/>
        <v>5409.607</v>
      </c>
      <c r="E541" s="760"/>
      <c r="F541" s="760">
        <f t="shared" si="17"/>
        <v>2282.3917785101648</v>
      </c>
      <c r="M541" s="443"/>
    </row>
    <row r="542" spans="1:13">
      <c r="A542" s="640">
        <v>12313</v>
      </c>
      <c r="B542" s="640">
        <v>1100</v>
      </c>
      <c r="C542" s="638">
        <v>5350.6819999999998</v>
      </c>
      <c r="D542" s="633">
        <f t="shared" si="18"/>
        <v>5350.6819999999998</v>
      </c>
      <c r="E542" s="760"/>
      <c r="F542" s="760">
        <f t="shared" si="17"/>
        <v>2257.5304650083317</v>
      </c>
      <c r="M542" s="443"/>
    </row>
    <row r="543" spans="1:13">
      <c r="A543" s="640">
        <v>12313</v>
      </c>
      <c r="B543" s="640">
        <v>1200</v>
      </c>
      <c r="C543" s="638">
        <v>5189.5410000000002</v>
      </c>
      <c r="D543" s="633">
        <f t="shared" si="18"/>
        <v>5189.5410000000002</v>
      </c>
      <c r="E543" s="760"/>
      <c r="F543" s="760">
        <f t="shared" si="17"/>
        <v>2189.5427362175146</v>
      </c>
      <c r="M543" s="443"/>
    </row>
    <row r="544" spans="1:13">
      <c r="A544" s="640">
        <v>12313</v>
      </c>
      <c r="B544" s="640">
        <v>1300</v>
      </c>
      <c r="C544" s="638">
        <v>4902.6670000000004</v>
      </c>
      <c r="D544" s="633">
        <f t="shared" si="18"/>
        <v>4902.6670000000004</v>
      </c>
      <c r="E544" s="760"/>
      <c r="F544" s="760">
        <f t="shared" si="17"/>
        <v>2068.5064282069097</v>
      </c>
      <c r="M544" s="443"/>
    </row>
    <row r="545" spans="1:13">
      <c r="A545" s="640">
        <v>12313</v>
      </c>
      <c r="B545" s="640">
        <v>1400</v>
      </c>
      <c r="C545" s="638">
        <v>4902.8689999999997</v>
      </c>
      <c r="D545" s="633">
        <f t="shared" si="18"/>
        <v>4902.8689999999997</v>
      </c>
      <c r="E545" s="760"/>
      <c r="F545" s="760">
        <f t="shared" si="17"/>
        <v>2068.5916549413578</v>
      </c>
      <c r="M545" s="443"/>
    </row>
    <row r="546" spans="1:13">
      <c r="A546" s="640">
        <v>12313</v>
      </c>
      <c r="B546" s="640">
        <v>1500</v>
      </c>
      <c r="C546" s="638">
        <v>4988.05</v>
      </c>
      <c r="D546" s="633">
        <f t="shared" si="18"/>
        <v>4988.05</v>
      </c>
      <c r="E546" s="760"/>
      <c r="F546" s="760">
        <f t="shared" si="17"/>
        <v>2104.5307562633716</v>
      </c>
      <c r="M546" s="443"/>
    </row>
    <row r="547" spans="1:13">
      <c r="A547" s="640">
        <v>12313</v>
      </c>
      <c r="B547" s="640">
        <v>1600</v>
      </c>
      <c r="C547" s="638">
        <v>5056.5219999999999</v>
      </c>
      <c r="D547" s="633">
        <f t="shared" si="18"/>
        <v>5056.5219999999999</v>
      </c>
      <c r="E547" s="760"/>
      <c r="F547" s="760">
        <f t="shared" si="17"/>
        <v>2133.420087754208</v>
      </c>
      <c r="M547" s="443"/>
    </row>
    <row r="548" spans="1:13">
      <c r="A548" s="640">
        <v>12313</v>
      </c>
      <c r="B548" s="640">
        <v>1700</v>
      </c>
      <c r="C548" s="638">
        <v>5250.48</v>
      </c>
      <c r="D548" s="633">
        <f t="shared" si="18"/>
        <v>5250.48</v>
      </c>
      <c r="E548" s="760"/>
      <c r="F548" s="760">
        <f t="shared" si="17"/>
        <v>2215.2537855766695</v>
      </c>
      <c r="M548" s="443"/>
    </row>
    <row r="549" spans="1:13">
      <c r="A549" s="640">
        <v>12313</v>
      </c>
      <c r="B549" s="640">
        <v>1800</v>
      </c>
      <c r="C549" s="638">
        <v>5877.4560000000001</v>
      </c>
      <c r="D549" s="633">
        <f t="shared" si="18"/>
        <v>5877.4560000000001</v>
      </c>
      <c r="E549" s="760"/>
      <c r="F549" s="760">
        <f t="shared" si="17"/>
        <v>2479.7840680395529</v>
      </c>
      <c r="M549" s="443"/>
    </row>
    <row r="550" spans="1:13">
      <c r="A550" s="640">
        <v>12313</v>
      </c>
      <c r="B550" s="640">
        <v>1900</v>
      </c>
      <c r="C550" s="638">
        <v>6168.1779999999999</v>
      </c>
      <c r="D550" s="633">
        <f t="shared" si="18"/>
        <v>6168.1779999999999</v>
      </c>
      <c r="E550" s="760"/>
      <c r="F550" s="760">
        <f t="shared" si="17"/>
        <v>2602.4439031499469</v>
      </c>
      <c r="M550" s="443"/>
    </row>
    <row r="551" spans="1:13">
      <c r="A551" s="640">
        <v>12313</v>
      </c>
      <c r="B551" s="640">
        <v>2000</v>
      </c>
      <c r="C551" s="638">
        <v>6153.9889999999996</v>
      </c>
      <c r="D551" s="633">
        <f t="shared" si="18"/>
        <v>6153.9889999999996</v>
      </c>
      <c r="E551" s="760"/>
      <c r="F551" s="760">
        <f t="shared" si="17"/>
        <v>2596.457357926739</v>
      </c>
      <c r="M551" s="443"/>
    </row>
    <row r="552" spans="1:13">
      <c r="A552" s="640">
        <v>12313</v>
      </c>
      <c r="B552" s="640">
        <v>2100</v>
      </c>
      <c r="C552" s="638">
        <v>5941.0069999999996</v>
      </c>
      <c r="D552" s="633">
        <f t="shared" si="18"/>
        <v>5941.0069999999996</v>
      </c>
      <c r="E552" s="760"/>
      <c r="F552" s="760">
        <f t="shared" si="17"/>
        <v>2506.597158143159</v>
      </c>
      <c r="M552" s="443"/>
    </row>
    <row r="553" spans="1:13">
      <c r="A553" s="640">
        <v>12313</v>
      </c>
      <c r="B553" s="640">
        <v>2200</v>
      </c>
      <c r="C553" s="638">
        <v>5778.24</v>
      </c>
      <c r="D553" s="633">
        <f t="shared" si="18"/>
        <v>5778.24</v>
      </c>
      <c r="E553" s="760"/>
      <c r="F553" s="760">
        <f t="shared" si="17"/>
        <v>2437.923396331485</v>
      </c>
      <c r="M553" s="443"/>
    </row>
    <row r="554" spans="1:13">
      <c r="A554" s="640">
        <v>12313</v>
      </c>
      <c r="B554" s="640">
        <v>2300</v>
      </c>
      <c r="C554" s="638">
        <v>5084.5770000000002</v>
      </c>
      <c r="D554" s="633">
        <f t="shared" si="18"/>
        <v>5084.5770000000002</v>
      </c>
      <c r="E554" s="760"/>
      <c r="F554" s="760">
        <f t="shared" si="17"/>
        <v>2145.2568998084112</v>
      </c>
      <c r="M554" s="443"/>
    </row>
    <row r="555" spans="1:13">
      <c r="A555" s="640">
        <v>12313</v>
      </c>
      <c r="B555" s="640">
        <v>2400</v>
      </c>
      <c r="C555" s="638">
        <v>4497.0029999999997</v>
      </c>
      <c r="D555" s="633">
        <f t="shared" si="18"/>
        <v>4497.0029999999997</v>
      </c>
      <c r="E555" s="760"/>
      <c r="F555" s="760">
        <f t="shared" si="17"/>
        <v>1897.350893537284</v>
      </c>
      <c r="M555" s="443"/>
    </row>
    <row r="556" spans="1:13">
      <c r="A556" s="640">
        <v>12413</v>
      </c>
      <c r="B556" s="640">
        <v>100</v>
      </c>
      <c r="C556" s="638">
        <v>4224.5219999999999</v>
      </c>
      <c r="D556" s="633">
        <f t="shared" si="18"/>
        <v>4224.5219999999999</v>
      </c>
      <c r="E556" s="760"/>
      <c r="F556" s="760">
        <f t="shared" si="17"/>
        <v>1782.3872013133891</v>
      </c>
      <c r="M556" s="443"/>
    </row>
    <row r="557" spans="1:13">
      <c r="A557" s="640">
        <v>12413</v>
      </c>
      <c r="B557" s="640">
        <v>200</v>
      </c>
      <c r="C557" s="638">
        <v>4354.7039999999997</v>
      </c>
      <c r="D557" s="633">
        <f t="shared" si="18"/>
        <v>4354.7039999999997</v>
      </c>
      <c r="E557" s="760"/>
      <c r="F557" s="760">
        <f t="shared" si="17"/>
        <v>1837.3128782636759</v>
      </c>
      <c r="M557" s="443"/>
    </row>
    <row r="558" spans="1:13">
      <c r="A558" s="640">
        <v>12413</v>
      </c>
      <c r="B558" s="640">
        <v>300</v>
      </c>
      <c r="C558" s="638">
        <v>4315.2160000000003</v>
      </c>
      <c r="D558" s="633">
        <f t="shared" si="18"/>
        <v>4315.2160000000003</v>
      </c>
      <c r="E558" s="760"/>
      <c r="F558" s="760">
        <f t="shared" si="17"/>
        <v>1820.6523174226004</v>
      </c>
      <c r="M558" s="443"/>
    </row>
    <row r="559" spans="1:13">
      <c r="A559" s="640">
        <v>12413</v>
      </c>
      <c r="B559" s="640">
        <v>400</v>
      </c>
      <c r="C559" s="638">
        <v>4345.9430000000002</v>
      </c>
      <c r="D559" s="633">
        <f t="shared" si="18"/>
        <v>4345.9430000000002</v>
      </c>
      <c r="E559" s="760"/>
      <c r="F559" s="760">
        <f t="shared" si="17"/>
        <v>1833.6164850928733</v>
      </c>
      <c r="M559" s="443"/>
    </row>
    <row r="560" spans="1:13">
      <c r="A560" s="640">
        <v>12413</v>
      </c>
      <c r="B560" s="640">
        <v>500</v>
      </c>
      <c r="C560" s="638">
        <v>4457.6729999999998</v>
      </c>
      <c r="D560" s="633">
        <f t="shared" si="18"/>
        <v>4457.6729999999998</v>
      </c>
      <c r="E560" s="760"/>
      <c r="F560" s="760">
        <f t="shared" si="17"/>
        <v>1880.7569951914702</v>
      </c>
      <c r="M560" s="443"/>
    </row>
    <row r="561" spans="1:13">
      <c r="A561" s="640">
        <v>12413</v>
      </c>
      <c r="B561" s="640">
        <v>600</v>
      </c>
      <c r="C561" s="638">
        <v>4873.6880000000001</v>
      </c>
      <c r="D561" s="633">
        <f t="shared" si="18"/>
        <v>4873.6880000000001</v>
      </c>
      <c r="E561" s="760"/>
      <c r="F561" s="760">
        <f t="shared" si="17"/>
        <v>2056.279767129784</v>
      </c>
      <c r="M561" s="443"/>
    </row>
    <row r="562" spans="1:13">
      <c r="A562" s="640">
        <v>12413</v>
      </c>
      <c r="B562" s="640">
        <v>700</v>
      </c>
      <c r="C562" s="638">
        <v>5324.799</v>
      </c>
      <c r="D562" s="633">
        <f t="shared" si="18"/>
        <v>5324.799</v>
      </c>
      <c r="E562" s="760"/>
      <c r="F562" s="760">
        <f t="shared" si="17"/>
        <v>2246.6100513067122</v>
      </c>
      <c r="M562" s="443"/>
    </row>
    <row r="563" spans="1:13">
      <c r="A563" s="640">
        <v>12413</v>
      </c>
      <c r="B563" s="640">
        <v>800</v>
      </c>
      <c r="C563" s="638">
        <v>5591.9229999999998</v>
      </c>
      <c r="D563" s="633">
        <f t="shared" si="18"/>
        <v>5591.9229999999998</v>
      </c>
      <c r="E563" s="760"/>
      <c r="F563" s="760">
        <f t="shared" si="17"/>
        <v>2359.3135474096171</v>
      </c>
      <c r="M563" s="443"/>
    </row>
    <row r="564" spans="1:13">
      <c r="A564" s="640">
        <v>12413</v>
      </c>
      <c r="B564" s="640">
        <v>900</v>
      </c>
      <c r="C564" s="638">
        <v>5355.1360000000004</v>
      </c>
      <c r="D564" s="633">
        <f t="shared" si="18"/>
        <v>5355.1360000000004</v>
      </c>
      <c r="E564" s="760"/>
      <c r="F564" s="760">
        <f t="shared" si="17"/>
        <v>2259.4096723114658</v>
      </c>
      <c r="M564" s="443"/>
    </row>
    <row r="565" spans="1:13">
      <c r="A565" s="640">
        <v>12413</v>
      </c>
      <c r="B565" s="640">
        <v>1000</v>
      </c>
      <c r="C565" s="638">
        <v>4845.5879999999997</v>
      </c>
      <c r="D565" s="633">
        <f t="shared" si="18"/>
        <v>4845.5879999999997</v>
      </c>
      <c r="E565" s="760"/>
      <c r="F565" s="760">
        <f t="shared" si="17"/>
        <v>2044.4239689218668</v>
      </c>
      <c r="M565" s="443"/>
    </row>
    <row r="566" spans="1:13">
      <c r="A566" s="640">
        <v>12413</v>
      </c>
      <c r="B566" s="640">
        <v>1100</v>
      </c>
      <c r="C566" s="638">
        <v>4671.2960000000003</v>
      </c>
      <c r="D566" s="633">
        <f t="shared" si="18"/>
        <v>4671.2960000000003</v>
      </c>
      <c r="E566" s="760"/>
      <c r="F566" s="760">
        <f t="shared" si="17"/>
        <v>1970.8876421868392</v>
      </c>
      <c r="M566" s="443"/>
    </row>
    <row r="567" spans="1:13">
      <c r="A567" s="640">
        <v>12413</v>
      </c>
      <c r="B567" s="640">
        <v>1200</v>
      </c>
      <c r="C567" s="638">
        <v>4592.5910000000003</v>
      </c>
      <c r="D567" s="633">
        <f t="shared" si="18"/>
        <v>4592.5910000000003</v>
      </c>
      <c r="E567" s="760"/>
      <c r="F567" s="760">
        <f t="shared" si="17"/>
        <v>1937.6808593414971</v>
      </c>
      <c r="M567" s="443"/>
    </row>
    <row r="568" spans="1:13">
      <c r="A568" s="640">
        <v>12413</v>
      </c>
      <c r="B568" s="640">
        <v>1300</v>
      </c>
      <c r="C568" s="638">
        <v>4484.0079999999998</v>
      </c>
      <c r="D568" s="633">
        <f t="shared" si="18"/>
        <v>4484.0079999999998</v>
      </c>
      <c r="E568" s="760"/>
      <c r="F568" s="760">
        <f t="shared" si="17"/>
        <v>1891.8681142592814</v>
      </c>
      <c r="M568" s="443"/>
    </row>
    <row r="569" spans="1:13">
      <c r="A569" s="640">
        <v>12413</v>
      </c>
      <c r="B569" s="640">
        <v>1400</v>
      </c>
      <c r="C569" s="638">
        <v>4403.4110000000001</v>
      </c>
      <c r="D569" s="633">
        <f t="shared" si="18"/>
        <v>4403.4110000000001</v>
      </c>
      <c r="E569" s="760"/>
      <c r="F569" s="760">
        <f t="shared" si="17"/>
        <v>1857.8630691289081</v>
      </c>
      <c r="M569" s="443"/>
    </row>
    <row r="570" spans="1:13">
      <c r="A570" s="640">
        <v>12413</v>
      </c>
      <c r="B570" s="640">
        <v>1500</v>
      </c>
      <c r="C570" s="638">
        <v>4395.4769999999999</v>
      </c>
      <c r="D570" s="633">
        <f t="shared" si="18"/>
        <v>4395.4769999999999</v>
      </c>
      <c r="E570" s="760"/>
      <c r="F570" s="760">
        <f t="shared" si="17"/>
        <v>1854.515599271911</v>
      </c>
      <c r="M570" s="443"/>
    </row>
    <row r="571" spans="1:13">
      <c r="A571" s="640">
        <v>12413</v>
      </c>
      <c r="B571" s="640">
        <v>1600</v>
      </c>
      <c r="C571" s="638">
        <v>4476.29</v>
      </c>
      <c r="D571" s="633">
        <f t="shared" si="18"/>
        <v>4476.29</v>
      </c>
      <c r="E571" s="760"/>
      <c r="F571" s="760">
        <f t="shared" si="17"/>
        <v>1888.6117779401104</v>
      </c>
      <c r="M571" s="443"/>
    </row>
    <row r="572" spans="1:13">
      <c r="A572" s="640">
        <v>12413</v>
      </c>
      <c r="B572" s="640">
        <v>1700</v>
      </c>
      <c r="C572" s="638">
        <v>4813.8490000000002</v>
      </c>
      <c r="D572" s="633">
        <f t="shared" si="18"/>
        <v>4813.8490000000002</v>
      </c>
      <c r="E572" s="760"/>
      <c r="F572" s="760">
        <f t="shared" si="17"/>
        <v>2031.0328237502983</v>
      </c>
      <c r="M572" s="443"/>
    </row>
    <row r="573" spans="1:13">
      <c r="A573" s="640">
        <v>12413</v>
      </c>
      <c r="B573" s="640">
        <v>1800</v>
      </c>
      <c r="C573" s="638">
        <v>5479.5029999999997</v>
      </c>
      <c r="D573" s="633">
        <f t="shared" si="18"/>
        <v>5479.5029999999997</v>
      </c>
      <c r="E573" s="760"/>
      <c r="F573" s="760">
        <f t="shared" si="17"/>
        <v>2311.8819162874097</v>
      </c>
      <c r="M573" s="443"/>
    </row>
    <row r="574" spans="1:13">
      <c r="A574" s="640">
        <v>12413</v>
      </c>
      <c r="B574" s="640">
        <v>1900</v>
      </c>
      <c r="C574" s="638">
        <v>6050.1769999999997</v>
      </c>
      <c r="D574" s="633">
        <f t="shared" si="18"/>
        <v>6050.1769999999997</v>
      </c>
      <c r="E574" s="760"/>
      <c r="F574" s="760">
        <f t="shared" si="17"/>
        <v>2552.6575670527072</v>
      </c>
      <c r="M574" s="443"/>
    </row>
    <row r="575" spans="1:13">
      <c r="A575" s="640">
        <v>12413</v>
      </c>
      <c r="B575" s="640">
        <v>2000</v>
      </c>
      <c r="C575" s="638">
        <v>6101.6980000000003</v>
      </c>
      <c r="D575" s="633">
        <f t="shared" si="18"/>
        <v>6101.6980000000003</v>
      </c>
      <c r="E575" s="760"/>
      <c r="F575" s="760">
        <f t="shared" si="17"/>
        <v>2574.3950253968392</v>
      </c>
      <c r="M575" s="443"/>
    </row>
    <row r="576" spans="1:13">
      <c r="A576" s="640">
        <v>12413</v>
      </c>
      <c r="B576" s="640">
        <v>2100</v>
      </c>
      <c r="C576" s="638">
        <v>6034.3059999999996</v>
      </c>
      <c r="D576" s="633">
        <f t="shared" si="18"/>
        <v>6034.3059999999996</v>
      </c>
      <c r="E576" s="760"/>
      <c r="F576" s="760">
        <f t="shared" si="17"/>
        <v>2545.9613615951325</v>
      </c>
      <c r="M576" s="443"/>
    </row>
    <row r="577" spans="1:13">
      <c r="A577" s="640">
        <v>12413</v>
      </c>
      <c r="B577" s="640">
        <v>2200</v>
      </c>
      <c r="C577" s="638">
        <v>5757.9319999999998</v>
      </c>
      <c r="D577" s="633">
        <f t="shared" si="18"/>
        <v>5757.9319999999998</v>
      </c>
      <c r="E577" s="760"/>
      <c r="F577" s="760">
        <f t="shared" si="17"/>
        <v>2429.3551561177351</v>
      </c>
      <c r="M577" s="443"/>
    </row>
    <row r="578" spans="1:13">
      <c r="A578" s="640">
        <v>12413</v>
      </c>
      <c r="B578" s="640">
        <v>2300</v>
      </c>
      <c r="C578" s="638">
        <v>5197.7049999999999</v>
      </c>
      <c r="D578" s="633">
        <f t="shared" si="18"/>
        <v>5197.7049999999999</v>
      </c>
      <c r="E578" s="760"/>
      <c r="F578" s="760">
        <f t="shared" si="17"/>
        <v>2192.9872464157152</v>
      </c>
      <c r="M578" s="443"/>
    </row>
    <row r="579" spans="1:13">
      <c r="A579" s="640">
        <v>12413</v>
      </c>
      <c r="B579" s="640">
        <v>2400</v>
      </c>
      <c r="C579" s="638">
        <v>4631.0969999999998</v>
      </c>
      <c r="D579" s="633">
        <f t="shared" si="18"/>
        <v>4631.0969999999998</v>
      </c>
      <c r="E579" s="760"/>
      <c r="F579" s="760">
        <f t="shared" si="17"/>
        <v>1953.9271001170862</v>
      </c>
      <c r="M579" s="443"/>
    </row>
    <row r="580" spans="1:13">
      <c r="A580" s="640">
        <v>12513</v>
      </c>
      <c r="B580" s="640">
        <v>100</v>
      </c>
      <c r="C580" s="638">
        <v>4362.0360000000001</v>
      </c>
      <c r="D580" s="633">
        <f t="shared" si="18"/>
        <v>4362.0360000000001</v>
      </c>
      <c r="E580" s="760"/>
      <c r="F580" s="760">
        <f t="shared" ref="F580:F643" si="19">(D580/(MAX($D$4:$D$747)))*$M$4</f>
        <v>1840.4063555754358</v>
      </c>
      <c r="M580" s="443"/>
    </row>
    <row r="581" spans="1:13">
      <c r="A581" s="640">
        <v>12513</v>
      </c>
      <c r="B581" s="640">
        <v>200</v>
      </c>
      <c r="C581" s="638">
        <v>4476.2839999999997</v>
      </c>
      <c r="D581" s="633">
        <f t="shared" ref="D581:D644" si="20">C581</f>
        <v>4476.2839999999997</v>
      </c>
      <c r="E581" s="760"/>
      <c r="F581" s="760">
        <f t="shared" si="19"/>
        <v>1888.6092464529484</v>
      </c>
      <c r="M581" s="443"/>
    </row>
    <row r="582" spans="1:13">
      <c r="A582" s="640">
        <v>12513</v>
      </c>
      <c r="B582" s="640">
        <v>300</v>
      </c>
      <c r="C582" s="638">
        <v>4394.7160000000003</v>
      </c>
      <c r="D582" s="633">
        <f t="shared" si="20"/>
        <v>4394.7160000000003</v>
      </c>
      <c r="E582" s="760"/>
      <c r="F582" s="760">
        <f t="shared" si="19"/>
        <v>1854.1945223168855</v>
      </c>
      <c r="M582" s="443"/>
    </row>
    <row r="583" spans="1:13">
      <c r="A583" s="640">
        <v>12513</v>
      </c>
      <c r="B583" s="640">
        <v>400</v>
      </c>
      <c r="C583" s="638">
        <v>4368.8879999999999</v>
      </c>
      <c r="D583" s="633">
        <f t="shared" si="20"/>
        <v>4368.8879999999999</v>
      </c>
      <c r="E583" s="760"/>
      <c r="F583" s="760">
        <f t="shared" si="19"/>
        <v>1843.2973139142489</v>
      </c>
      <c r="M583" s="443"/>
    </row>
    <row r="584" spans="1:13">
      <c r="A584" s="640">
        <v>12513</v>
      </c>
      <c r="B584" s="640">
        <v>500</v>
      </c>
      <c r="C584" s="638">
        <v>4518.6149999999998</v>
      </c>
      <c r="D584" s="633">
        <f t="shared" si="20"/>
        <v>4518.6149999999998</v>
      </c>
      <c r="E584" s="760"/>
      <c r="F584" s="760">
        <f t="shared" si="19"/>
        <v>1906.469310294206</v>
      </c>
      <c r="M584" s="443"/>
    </row>
    <row r="585" spans="1:13">
      <c r="A585" s="640">
        <v>12513</v>
      </c>
      <c r="B585" s="640">
        <v>600</v>
      </c>
      <c r="C585" s="638">
        <v>4799.82</v>
      </c>
      <c r="D585" s="633">
        <f t="shared" si="20"/>
        <v>4799.82</v>
      </c>
      <c r="E585" s="760"/>
      <c r="F585" s="760">
        <f t="shared" si="19"/>
        <v>2025.1137848514061</v>
      </c>
      <c r="M585" s="443"/>
    </row>
    <row r="586" spans="1:13">
      <c r="A586" s="640">
        <v>12513</v>
      </c>
      <c r="B586" s="640">
        <v>700</v>
      </c>
      <c r="C586" s="638">
        <v>5226.7089999999998</v>
      </c>
      <c r="D586" s="633">
        <f t="shared" si="20"/>
        <v>5226.7089999999998</v>
      </c>
      <c r="E586" s="760"/>
      <c r="F586" s="760">
        <f t="shared" si="19"/>
        <v>2205.2244553560149</v>
      </c>
      <c r="M586" s="443"/>
    </row>
    <row r="587" spans="1:13">
      <c r="A587" s="640">
        <v>12513</v>
      </c>
      <c r="B587" s="640">
        <v>800</v>
      </c>
      <c r="C587" s="638">
        <v>5436.5280000000002</v>
      </c>
      <c r="D587" s="633">
        <f t="shared" si="20"/>
        <v>5436.5280000000002</v>
      </c>
      <c r="E587" s="760"/>
      <c r="F587" s="760">
        <f t="shared" si="19"/>
        <v>2293.7501394907822</v>
      </c>
      <c r="M587" s="443"/>
    </row>
    <row r="588" spans="1:13">
      <c r="A588" s="640">
        <v>12513</v>
      </c>
      <c r="B588" s="640">
        <v>900</v>
      </c>
      <c r="C588" s="638">
        <v>5318.8379999999997</v>
      </c>
      <c r="D588" s="633">
        <f t="shared" si="20"/>
        <v>5318.8379999999997</v>
      </c>
      <c r="E588" s="760"/>
      <c r="F588" s="760">
        <f t="shared" si="19"/>
        <v>2244.0950188114311</v>
      </c>
      <c r="M588" s="443"/>
    </row>
    <row r="589" spans="1:13">
      <c r="A589" s="640">
        <v>12513</v>
      </c>
      <c r="B589" s="640">
        <v>1000</v>
      </c>
      <c r="C589" s="638">
        <v>5212.8890000000001</v>
      </c>
      <c r="D589" s="633">
        <f t="shared" si="20"/>
        <v>5212.8890000000001</v>
      </c>
      <c r="E589" s="760"/>
      <c r="F589" s="760">
        <f t="shared" si="19"/>
        <v>2199.3935965932601</v>
      </c>
      <c r="M589" s="443"/>
    </row>
    <row r="590" spans="1:13">
      <c r="A590" s="640">
        <v>12513</v>
      </c>
      <c r="B590" s="640">
        <v>1100</v>
      </c>
      <c r="C590" s="638">
        <v>5070.6589999999997</v>
      </c>
      <c r="D590" s="633">
        <f t="shared" si="20"/>
        <v>5070.6589999999997</v>
      </c>
      <c r="E590" s="760"/>
      <c r="F590" s="760">
        <f t="shared" si="19"/>
        <v>2139.3846934220128</v>
      </c>
      <c r="M590" s="443"/>
    </row>
    <row r="591" spans="1:13">
      <c r="A591" s="640">
        <v>12513</v>
      </c>
      <c r="B591" s="640">
        <v>1200</v>
      </c>
      <c r="C591" s="638">
        <v>4964.7209999999995</v>
      </c>
      <c r="D591" s="633">
        <f t="shared" si="20"/>
        <v>4964.7209999999995</v>
      </c>
      <c r="E591" s="760"/>
      <c r="F591" s="760">
        <f t="shared" si="19"/>
        <v>2094.6879122636383</v>
      </c>
      <c r="M591" s="443"/>
    </row>
    <row r="592" spans="1:13">
      <c r="A592" s="640">
        <v>12513</v>
      </c>
      <c r="B592" s="640">
        <v>1300</v>
      </c>
      <c r="C592" s="638">
        <v>4971.1509999999998</v>
      </c>
      <c r="D592" s="633">
        <f t="shared" si="20"/>
        <v>4971.1509999999998</v>
      </c>
      <c r="E592" s="760"/>
      <c r="F592" s="760">
        <f t="shared" si="19"/>
        <v>2097.4008226720694</v>
      </c>
      <c r="M592" s="443"/>
    </row>
    <row r="593" spans="1:13">
      <c r="A593" s="640">
        <v>12513</v>
      </c>
      <c r="B593" s="640">
        <v>1400</v>
      </c>
      <c r="C593" s="638">
        <v>4989.2690000000002</v>
      </c>
      <c r="D593" s="633">
        <f t="shared" si="20"/>
        <v>4989.2690000000002</v>
      </c>
      <c r="E593" s="760"/>
      <c r="F593" s="760">
        <f t="shared" si="19"/>
        <v>2105.0450700717511</v>
      </c>
      <c r="M593" s="443"/>
    </row>
    <row r="594" spans="1:13">
      <c r="A594" s="640">
        <v>12513</v>
      </c>
      <c r="B594" s="640">
        <v>1500</v>
      </c>
      <c r="C594" s="638">
        <v>4949.9750000000004</v>
      </c>
      <c r="D594" s="633">
        <f t="shared" si="20"/>
        <v>4949.9750000000004</v>
      </c>
      <c r="E594" s="760"/>
      <c r="F594" s="760">
        <f t="shared" si="19"/>
        <v>2088.4663606489075</v>
      </c>
      <c r="M594" s="443"/>
    </row>
    <row r="595" spans="1:13">
      <c r="A595" s="640">
        <v>12513</v>
      </c>
      <c r="B595" s="640">
        <v>1600</v>
      </c>
      <c r="C595" s="638">
        <v>5037.9170000000004</v>
      </c>
      <c r="D595" s="633">
        <f t="shared" si="20"/>
        <v>5037.9170000000004</v>
      </c>
      <c r="E595" s="760"/>
      <c r="F595" s="760">
        <f t="shared" si="19"/>
        <v>2125.5703679798912</v>
      </c>
      <c r="M595" s="443"/>
    </row>
    <row r="596" spans="1:13">
      <c r="A596" s="640">
        <v>12513</v>
      </c>
      <c r="B596" s="640">
        <v>1700</v>
      </c>
      <c r="C596" s="638">
        <v>5034.8190000000004</v>
      </c>
      <c r="D596" s="633">
        <f t="shared" si="20"/>
        <v>5034.8190000000004</v>
      </c>
      <c r="E596" s="760"/>
      <c r="F596" s="760">
        <f t="shared" si="19"/>
        <v>2124.2632767753316</v>
      </c>
      <c r="M596" s="443"/>
    </row>
    <row r="597" spans="1:13">
      <c r="A597" s="640">
        <v>12513</v>
      </c>
      <c r="B597" s="640">
        <v>1800</v>
      </c>
      <c r="C597" s="638">
        <v>5324.6559999999999</v>
      </c>
      <c r="D597" s="633">
        <f t="shared" si="20"/>
        <v>5324.6559999999999</v>
      </c>
      <c r="E597" s="760"/>
      <c r="F597" s="760">
        <f t="shared" si="19"/>
        <v>2246.5497175293549</v>
      </c>
      <c r="M597" s="443"/>
    </row>
    <row r="598" spans="1:13">
      <c r="A598" s="640">
        <v>12513</v>
      </c>
      <c r="B598" s="640">
        <v>1900</v>
      </c>
      <c r="C598" s="638">
        <v>5666.3789999999999</v>
      </c>
      <c r="D598" s="633">
        <f t="shared" si="20"/>
        <v>5666.3789999999999</v>
      </c>
      <c r="E598" s="760"/>
      <c r="F598" s="760">
        <f t="shared" si="19"/>
        <v>2390.7276154298547</v>
      </c>
      <c r="M598" s="443"/>
    </row>
    <row r="599" spans="1:13">
      <c r="A599" s="640">
        <v>12513</v>
      </c>
      <c r="B599" s="640">
        <v>2000</v>
      </c>
      <c r="C599" s="638">
        <v>5579.5110000000004</v>
      </c>
      <c r="D599" s="633">
        <f t="shared" si="20"/>
        <v>5579.5110000000004</v>
      </c>
      <c r="E599" s="760"/>
      <c r="F599" s="760">
        <f t="shared" si="19"/>
        <v>2354.0767443008394</v>
      </c>
      <c r="M599" s="443"/>
    </row>
    <row r="600" spans="1:13">
      <c r="A600" s="640">
        <v>12513</v>
      </c>
      <c r="B600" s="640">
        <v>2100</v>
      </c>
      <c r="C600" s="638">
        <v>5473.3190000000004</v>
      </c>
      <c r="D600" s="633">
        <f t="shared" si="20"/>
        <v>5473.3190000000004</v>
      </c>
      <c r="E600" s="760"/>
      <c r="F600" s="760">
        <f t="shared" si="19"/>
        <v>2309.2727968526142</v>
      </c>
      <c r="M600" s="443"/>
    </row>
    <row r="601" spans="1:13">
      <c r="A601" s="640">
        <v>12513</v>
      </c>
      <c r="B601" s="640">
        <v>2200</v>
      </c>
      <c r="C601" s="638">
        <v>5248.7749999999996</v>
      </c>
      <c r="D601" s="633">
        <f t="shared" si="20"/>
        <v>5248.7749999999996</v>
      </c>
      <c r="E601" s="760"/>
      <c r="F601" s="760">
        <f t="shared" si="19"/>
        <v>2214.5344213081821</v>
      </c>
      <c r="M601" s="443"/>
    </row>
    <row r="602" spans="1:13">
      <c r="A602" s="640">
        <v>12513</v>
      </c>
      <c r="B602" s="640">
        <v>2300</v>
      </c>
      <c r="C602" s="638">
        <v>4804.8649999999998</v>
      </c>
      <c r="D602" s="633">
        <f t="shared" si="20"/>
        <v>4804.8649999999998</v>
      </c>
      <c r="E602" s="760"/>
      <c r="F602" s="760">
        <f t="shared" si="19"/>
        <v>2027.2423436399804</v>
      </c>
      <c r="M602" s="443"/>
    </row>
    <row r="603" spans="1:13">
      <c r="A603" s="640">
        <v>12513</v>
      </c>
      <c r="B603" s="640">
        <v>2400</v>
      </c>
      <c r="C603" s="638">
        <v>4417.8609999999999</v>
      </c>
      <c r="D603" s="633">
        <f t="shared" si="20"/>
        <v>4417.8609999999999</v>
      </c>
      <c r="E603" s="760"/>
      <c r="F603" s="760">
        <f t="shared" si="19"/>
        <v>1863.9597340436553</v>
      </c>
      <c r="M603" s="443"/>
    </row>
    <row r="604" spans="1:13">
      <c r="A604" s="640">
        <v>12613</v>
      </c>
      <c r="B604" s="640">
        <v>100</v>
      </c>
      <c r="C604" s="638">
        <v>4111.4880000000003</v>
      </c>
      <c r="D604" s="633">
        <f t="shared" si="20"/>
        <v>4111.4880000000003</v>
      </c>
      <c r="E604" s="760"/>
      <c r="F604" s="760">
        <f t="shared" si="19"/>
        <v>1734.6965146716209</v>
      </c>
      <c r="M604" s="443"/>
    </row>
    <row r="605" spans="1:13">
      <c r="A605" s="640">
        <v>12613</v>
      </c>
      <c r="B605" s="640">
        <v>200</v>
      </c>
      <c r="C605" s="638">
        <v>4198.9799999999996</v>
      </c>
      <c r="D605" s="633">
        <f t="shared" si="20"/>
        <v>4198.9799999999996</v>
      </c>
      <c r="E605" s="760"/>
      <c r="F605" s="760">
        <f t="shared" si="19"/>
        <v>1771.6106604654667</v>
      </c>
      <c r="M605" s="443"/>
    </row>
    <row r="606" spans="1:13">
      <c r="A606" s="640">
        <v>12613</v>
      </c>
      <c r="B606" s="640">
        <v>300</v>
      </c>
      <c r="C606" s="638">
        <v>4091.6819999999998</v>
      </c>
      <c r="D606" s="633">
        <f t="shared" si="20"/>
        <v>4091.6819999999998</v>
      </c>
      <c r="E606" s="760"/>
      <c r="F606" s="760">
        <f t="shared" si="19"/>
        <v>1726.3400755504103</v>
      </c>
      <c r="M606" s="443"/>
    </row>
    <row r="607" spans="1:13">
      <c r="A607" s="640">
        <v>12613</v>
      </c>
      <c r="B607" s="640">
        <v>400</v>
      </c>
      <c r="C607" s="638">
        <v>4082.7930000000001</v>
      </c>
      <c r="D607" s="633">
        <f t="shared" si="20"/>
        <v>4082.7930000000001</v>
      </c>
      <c r="E607" s="760"/>
      <c r="F607" s="760">
        <f t="shared" si="19"/>
        <v>1722.5896773201553</v>
      </c>
      <c r="M607" s="443"/>
    </row>
    <row r="608" spans="1:13">
      <c r="A608" s="640">
        <v>12613</v>
      </c>
      <c r="B608" s="640">
        <v>500</v>
      </c>
      <c r="C608" s="638">
        <v>4157.4170000000004</v>
      </c>
      <c r="D608" s="633">
        <f t="shared" si="20"/>
        <v>4157.4170000000004</v>
      </c>
      <c r="E608" s="760"/>
      <c r="F608" s="760">
        <f t="shared" si="19"/>
        <v>1754.074626980924</v>
      </c>
      <c r="M608" s="443"/>
    </row>
    <row r="609" spans="1:13">
      <c r="A609" s="640">
        <v>12613</v>
      </c>
      <c r="B609" s="640">
        <v>600</v>
      </c>
      <c r="C609" s="638">
        <v>4283.53</v>
      </c>
      <c r="D609" s="633">
        <f t="shared" si="20"/>
        <v>4283.53</v>
      </c>
      <c r="E609" s="760"/>
      <c r="F609" s="760">
        <f t="shared" si="19"/>
        <v>1807.283533720961</v>
      </c>
      <c r="M609" s="443"/>
    </row>
    <row r="610" spans="1:13">
      <c r="A610" s="640">
        <v>12613</v>
      </c>
      <c r="B610" s="640">
        <v>700</v>
      </c>
      <c r="C610" s="638">
        <v>4453.0479999999998</v>
      </c>
      <c r="D610" s="633">
        <f t="shared" si="20"/>
        <v>4453.0479999999998</v>
      </c>
      <c r="E610" s="760"/>
      <c r="F610" s="760">
        <f t="shared" si="19"/>
        <v>1878.8056405042239</v>
      </c>
      <c r="M610" s="443"/>
    </row>
    <row r="611" spans="1:13">
      <c r="A611" s="640">
        <v>12613</v>
      </c>
      <c r="B611" s="640">
        <v>800</v>
      </c>
      <c r="C611" s="638">
        <v>4727.7449999999999</v>
      </c>
      <c r="D611" s="633">
        <f t="shared" si="20"/>
        <v>4727.7449999999999</v>
      </c>
      <c r="E611" s="760"/>
      <c r="F611" s="760">
        <f t="shared" si="19"/>
        <v>1994.7042953198895</v>
      </c>
      <c r="M611" s="443"/>
    </row>
    <row r="612" spans="1:13">
      <c r="A612" s="640">
        <v>12613</v>
      </c>
      <c r="B612" s="640">
        <v>900</v>
      </c>
      <c r="C612" s="638">
        <v>5001.5159999999996</v>
      </c>
      <c r="D612" s="633">
        <f t="shared" si="20"/>
        <v>5001.5159999999996</v>
      </c>
      <c r="E612" s="760"/>
      <c r="F612" s="760">
        <f t="shared" si="19"/>
        <v>2110.2122572835783</v>
      </c>
      <c r="M612" s="443"/>
    </row>
    <row r="613" spans="1:13">
      <c r="A613" s="640">
        <v>12613</v>
      </c>
      <c r="B613" s="640">
        <v>1000</v>
      </c>
      <c r="C613" s="638">
        <v>5081.2979999999998</v>
      </c>
      <c r="D613" s="633">
        <f t="shared" si="20"/>
        <v>5081.2979999999998</v>
      </c>
      <c r="E613" s="760"/>
      <c r="F613" s="760">
        <f t="shared" si="19"/>
        <v>2143.8734420744695</v>
      </c>
      <c r="M613" s="443"/>
    </row>
    <row r="614" spans="1:13">
      <c r="A614" s="640">
        <v>12613</v>
      </c>
      <c r="B614" s="640">
        <v>1100</v>
      </c>
      <c r="C614" s="638">
        <v>4844.0529999999999</v>
      </c>
      <c r="D614" s="633">
        <f t="shared" si="20"/>
        <v>4844.0529999999999</v>
      </c>
      <c r="E614" s="760"/>
      <c r="F614" s="760">
        <f t="shared" si="19"/>
        <v>2043.7763301229645</v>
      </c>
      <c r="M614" s="443"/>
    </row>
    <row r="615" spans="1:13">
      <c r="A615" s="640">
        <v>12613</v>
      </c>
      <c r="B615" s="640">
        <v>1200</v>
      </c>
      <c r="C615" s="638">
        <v>4626.1109999999999</v>
      </c>
      <c r="D615" s="633">
        <f t="shared" si="20"/>
        <v>4626.1109999999999</v>
      </c>
      <c r="E615" s="760"/>
      <c r="F615" s="760">
        <f t="shared" si="19"/>
        <v>1951.8234342856033</v>
      </c>
      <c r="M615" s="443"/>
    </row>
    <row r="616" spans="1:13">
      <c r="A616" s="640">
        <v>12613</v>
      </c>
      <c r="B616" s="640">
        <v>1300</v>
      </c>
      <c r="C616" s="638">
        <v>4453.3999999999996</v>
      </c>
      <c r="D616" s="633">
        <f t="shared" si="20"/>
        <v>4453.3999999999996</v>
      </c>
      <c r="E616" s="760"/>
      <c r="F616" s="760">
        <f t="shared" si="19"/>
        <v>1878.954154417718</v>
      </c>
      <c r="M616" s="443"/>
    </row>
    <row r="617" spans="1:13">
      <c r="A617" s="640">
        <v>12613</v>
      </c>
      <c r="B617" s="640">
        <v>1400</v>
      </c>
      <c r="C617" s="638">
        <v>4364.0569999999998</v>
      </c>
      <c r="D617" s="633">
        <f t="shared" si="20"/>
        <v>4364.0569999999998</v>
      </c>
      <c r="E617" s="760"/>
      <c r="F617" s="760">
        <f t="shared" si="19"/>
        <v>1841.2590448344465</v>
      </c>
      <c r="M617" s="443"/>
    </row>
    <row r="618" spans="1:13">
      <c r="A618" s="640">
        <v>12613</v>
      </c>
      <c r="B618" s="640">
        <v>1500</v>
      </c>
      <c r="C618" s="638">
        <v>4382.893</v>
      </c>
      <c r="D618" s="633">
        <f t="shared" si="20"/>
        <v>4382.893</v>
      </c>
      <c r="E618" s="760"/>
      <c r="F618" s="760">
        <f t="shared" si="19"/>
        <v>1849.2062268644938</v>
      </c>
      <c r="M618" s="443"/>
    </row>
    <row r="619" spans="1:13">
      <c r="A619" s="640">
        <v>12613</v>
      </c>
      <c r="B619" s="640">
        <v>1600</v>
      </c>
      <c r="C619" s="638">
        <v>4271.2349999999997</v>
      </c>
      <c r="D619" s="633">
        <f t="shared" si="20"/>
        <v>4271.2349999999997</v>
      </c>
      <c r="E619" s="760"/>
      <c r="F619" s="760">
        <f t="shared" si="19"/>
        <v>1802.0960946118385</v>
      </c>
      <c r="M619" s="443"/>
    </row>
    <row r="620" spans="1:13">
      <c r="A620" s="640">
        <v>12613</v>
      </c>
      <c r="B620" s="640">
        <v>1700</v>
      </c>
      <c r="C620" s="638">
        <v>4511.2160000000003</v>
      </c>
      <c r="D620" s="633">
        <f t="shared" si="20"/>
        <v>4511.2160000000003</v>
      </c>
      <c r="E620" s="760"/>
      <c r="F620" s="760">
        <f t="shared" si="19"/>
        <v>1903.3475647091393</v>
      </c>
      <c r="M620" s="443"/>
    </row>
    <row r="621" spans="1:13">
      <c r="A621" s="640">
        <v>12613</v>
      </c>
      <c r="B621" s="640">
        <v>1800</v>
      </c>
      <c r="C621" s="638">
        <v>5082.8329999999996</v>
      </c>
      <c r="D621" s="633">
        <f t="shared" si="20"/>
        <v>5082.8329999999996</v>
      </c>
      <c r="E621" s="760"/>
      <c r="F621" s="760">
        <f t="shared" si="19"/>
        <v>2144.5210808733718</v>
      </c>
      <c r="M621" s="443"/>
    </row>
    <row r="622" spans="1:13">
      <c r="A622" s="640">
        <v>12613</v>
      </c>
      <c r="B622" s="640">
        <v>1900</v>
      </c>
      <c r="C622" s="638">
        <v>5524.8289999999997</v>
      </c>
      <c r="D622" s="633">
        <f t="shared" si="20"/>
        <v>5524.8289999999997</v>
      </c>
      <c r="E622" s="760"/>
      <c r="F622" s="760">
        <f t="shared" si="19"/>
        <v>2331.0056141369487</v>
      </c>
      <c r="M622" s="443"/>
    </row>
    <row r="623" spans="1:13">
      <c r="A623" s="640">
        <v>12613</v>
      </c>
      <c r="B623" s="640">
        <v>2000</v>
      </c>
      <c r="C623" s="638">
        <v>5389.1750000000002</v>
      </c>
      <c r="D623" s="633">
        <f t="shared" si="20"/>
        <v>5389.1750000000002</v>
      </c>
      <c r="E623" s="760"/>
      <c r="F623" s="760">
        <f t="shared" si="19"/>
        <v>2273.7712208950702</v>
      </c>
      <c r="M623" s="443"/>
    </row>
    <row r="624" spans="1:13">
      <c r="A624" s="640">
        <v>12613</v>
      </c>
      <c r="B624" s="640">
        <v>2100</v>
      </c>
      <c r="C624" s="638">
        <v>5206.5469999999996</v>
      </c>
      <c r="D624" s="633">
        <f t="shared" si="20"/>
        <v>5206.5469999999996</v>
      </c>
      <c r="E624" s="760"/>
      <c r="F624" s="760">
        <f t="shared" si="19"/>
        <v>2196.7178146632027</v>
      </c>
      <c r="M624" s="443"/>
    </row>
    <row r="625" spans="1:13">
      <c r="A625" s="640">
        <v>12613</v>
      </c>
      <c r="B625" s="640">
        <v>2200</v>
      </c>
      <c r="C625" s="638">
        <v>5026.3590000000004</v>
      </c>
      <c r="D625" s="633">
        <f t="shared" si="20"/>
        <v>5026.3590000000004</v>
      </c>
      <c r="E625" s="760"/>
      <c r="F625" s="760">
        <f t="shared" si="19"/>
        <v>2120.6938798771475</v>
      </c>
      <c r="M625" s="443"/>
    </row>
    <row r="626" spans="1:13">
      <c r="A626" s="640">
        <v>12613</v>
      </c>
      <c r="B626" s="640">
        <v>2300</v>
      </c>
      <c r="C626" s="638">
        <v>4787.8190000000004</v>
      </c>
      <c r="D626" s="633">
        <f t="shared" si="20"/>
        <v>4787.8190000000004</v>
      </c>
      <c r="E626" s="760"/>
      <c r="F626" s="760">
        <f t="shared" si="19"/>
        <v>2020.0503886132135</v>
      </c>
      <c r="M626" s="443"/>
    </row>
    <row r="627" spans="1:13">
      <c r="A627" s="640">
        <v>12613</v>
      </c>
      <c r="B627" s="640">
        <v>2400</v>
      </c>
      <c r="C627" s="638">
        <v>4355.3779999999997</v>
      </c>
      <c r="D627" s="633">
        <f t="shared" si="20"/>
        <v>4355.3779999999997</v>
      </c>
      <c r="E627" s="760"/>
      <c r="F627" s="760">
        <f t="shared" si="19"/>
        <v>1837.5972486548551</v>
      </c>
      <c r="M627" s="443"/>
    </row>
    <row r="628" spans="1:13">
      <c r="A628" s="640">
        <v>12713</v>
      </c>
      <c r="B628" s="640">
        <v>100</v>
      </c>
      <c r="C628" s="638">
        <v>4134.915</v>
      </c>
      <c r="D628" s="633">
        <f t="shared" si="20"/>
        <v>4134.915</v>
      </c>
      <c r="E628" s="760"/>
      <c r="F628" s="760">
        <f t="shared" si="19"/>
        <v>1744.5807062949968</v>
      </c>
      <c r="M628" s="443"/>
    </row>
    <row r="629" spans="1:13">
      <c r="A629" s="640">
        <v>12713</v>
      </c>
      <c r="B629" s="640">
        <v>200</v>
      </c>
      <c r="C629" s="638">
        <v>4166.3249999999998</v>
      </c>
      <c r="D629" s="633">
        <f t="shared" si="20"/>
        <v>4166.3249999999998</v>
      </c>
      <c r="E629" s="760"/>
      <c r="F629" s="760">
        <f t="shared" si="19"/>
        <v>1757.8330415871917</v>
      </c>
      <c r="M629" s="443"/>
    </row>
    <row r="630" spans="1:13">
      <c r="A630" s="640">
        <v>12713</v>
      </c>
      <c r="B630" s="640">
        <v>300</v>
      </c>
      <c r="C630" s="638">
        <v>4123.335</v>
      </c>
      <c r="D630" s="633">
        <f t="shared" si="20"/>
        <v>4123.335</v>
      </c>
      <c r="E630" s="760"/>
      <c r="F630" s="760">
        <f t="shared" si="19"/>
        <v>1739.6949360726596</v>
      </c>
      <c r="M630" s="443"/>
    </row>
    <row r="631" spans="1:13">
      <c r="A631" s="640">
        <v>12713</v>
      </c>
      <c r="B631" s="640">
        <v>400</v>
      </c>
      <c r="C631" s="638">
        <v>4061.297</v>
      </c>
      <c r="D631" s="633">
        <f t="shared" si="20"/>
        <v>4061.297</v>
      </c>
      <c r="E631" s="760"/>
      <c r="F631" s="760">
        <f t="shared" si="19"/>
        <v>1713.5202026483623</v>
      </c>
      <c r="M631" s="443"/>
    </row>
    <row r="632" spans="1:13">
      <c r="A632" s="640">
        <v>12713</v>
      </c>
      <c r="B632" s="640">
        <v>500</v>
      </c>
      <c r="C632" s="638">
        <v>4127.415</v>
      </c>
      <c r="D632" s="633">
        <f t="shared" si="20"/>
        <v>4127.415</v>
      </c>
      <c r="E632" s="760"/>
      <c r="F632" s="760">
        <f t="shared" si="19"/>
        <v>1741.4163473427059</v>
      </c>
      <c r="M632" s="443"/>
    </row>
    <row r="633" spans="1:13">
      <c r="A633" s="640">
        <v>12713</v>
      </c>
      <c r="B633" s="640">
        <v>600</v>
      </c>
      <c r="C633" s="638">
        <v>4329.3789999999999</v>
      </c>
      <c r="D633" s="633">
        <f t="shared" si="20"/>
        <v>4329.3789999999999</v>
      </c>
      <c r="E633" s="760"/>
      <c r="F633" s="760">
        <f t="shared" si="19"/>
        <v>1826.6278928681068</v>
      </c>
      <c r="M633" s="443"/>
    </row>
    <row r="634" spans="1:13">
      <c r="A634" s="640">
        <v>12713</v>
      </c>
      <c r="B634" s="640">
        <v>700</v>
      </c>
      <c r="C634" s="638">
        <v>4482.4539999999997</v>
      </c>
      <c r="D634" s="633">
        <f t="shared" si="20"/>
        <v>4482.4539999999997</v>
      </c>
      <c r="E634" s="760"/>
      <c r="F634" s="760">
        <f t="shared" si="19"/>
        <v>1891.2124590843666</v>
      </c>
      <c r="M634" s="443"/>
    </row>
    <row r="635" spans="1:13">
      <c r="A635" s="640">
        <v>12713</v>
      </c>
      <c r="B635" s="640">
        <v>800</v>
      </c>
      <c r="C635" s="638">
        <v>4715.2960000000003</v>
      </c>
      <c r="D635" s="633">
        <f t="shared" si="20"/>
        <v>4715.2960000000003</v>
      </c>
      <c r="E635" s="760"/>
      <c r="F635" s="760">
        <f t="shared" si="19"/>
        <v>1989.4518813736133</v>
      </c>
      <c r="M635" s="443"/>
    </row>
    <row r="636" spans="1:13">
      <c r="A636" s="640">
        <v>12713</v>
      </c>
      <c r="B636" s="640">
        <v>900</v>
      </c>
      <c r="C636" s="638">
        <v>4909.3010000000004</v>
      </c>
      <c r="D636" s="633">
        <f t="shared" si="20"/>
        <v>4909.3010000000004</v>
      </c>
      <c r="E636" s="760"/>
      <c r="F636" s="760">
        <f t="shared" si="19"/>
        <v>2071.3054091788431</v>
      </c>
      <c r="M636" s="443"/>
    </row>
    <row r="637" spans="1:13">
      <c r="A637" s="640">
        <v>12713</v>
      </c>
      <c r="B637" s="640">
        <v>1000</v>
      </c>
      <c r="C637" s="638">
        <v>4821.3370000000004</v>
      </c>
      <c r="D637" s="633">
        <f t="shared" si="20"/>
        <v>4821.3370000000004</v>
      </c>
      <c r="E637" s="760"/>
      <c r="F637" s="760">
        <f t="shared" si="19"/>
        <v>2034.1921197282659</v>
      </c>
      <c r="M637" s="443"/>
    </row>
    <row r="638" spans="1:13">
      <c r="A638" s="640">
        <v>12713</v>
      </c>
      <c r="B638" s="640">
        <v>1100</v>
      </c>
      <c r="C638" s="638">
        <v>4635.6220000000003</v>
      </c>
      <c r="D638" s="633">
        <f t="shared" si="20"/>
        <v>4635.6220000000003</v>
      </c>
      <c r="E638" s="760"/>
      <c r="F638" s="760">
        <f t="shared" si="19"/>
        <v>1955.8362633516351</v>
      </c>
      <c r="M638" s="443"/>
    </row>
    <row r="639" spans="1:13">
      <c r="A639" s="640">
        <v>12713</v>
      </c>
      <c r="B639" s="640">
        <v>1200</v>
      </c>
      <c r="C639" s="638">
        <v>4465.2529999999997</v>
      </c>
      <c r="D639" s="633">
        <f t="shared" si="20"/>
        <v>4465.2529999999997</v>
      </c>
      <c r="E639" s="760"/>
      <c r="F639" s="760">
        <f t="shared" si="19"/>
        <v>1883.9551073059188</v>
      </c>
      <c r="M639" s="443"/>
    </row>
    <row r="640" spans="1:13">
      <c r="A640" s="640">
        <v>12713</v>
      </c>
      <c r="B640" s="640">
        <v>1300</v>
      </c>
      <c r="C640" s="638">
        <v>4392.7030000000004</v>
      </c>
      <c r="D640" s="633">
        <f t="shared" si="20"/>
        <v>4392.7030000000004</v>
      </c>
      <c r="E640" s="760"/>
      <c r="F640" s="760">
        <f t="shared" si="19"/>
        <v>1853.3452083740906</v>
      </c>
      <c r="M640" s="443"/>
    </row>
    <row r="641" spans="1:13">
      <c r="A641" s="640">
        <v>12713</v>
      </c>
      <c r="B641" s="640">
        <v>1400</v>
      </c>
      <c r="C641" s="638">
        <v>4236.2169999999996</v>
      </c>
      <c r="D641" s="633">
        <f t="shared" si="20"/>
        <v>4236.2169999999996</v>
      </c>
      <c r="E641" s="760"/>
      <c r="F641" s="760">
        <f t="shared" si="19"/>
        <v>1787.3214917063283</v>
      </c>
      <c r="M641" s="443"/>
    </row>
    <row r="642" spans="1:13">
      <c r="A642" s="640">
        <v>12713</v>
      </c>
      <c r="B642" s="640">
        <v>1500</v>
      </c>
      <c r="C642" s="638">
        <v>4277.3339999999998</v>
      </c>
      <c r="D642" s="633">
        <f t="shared" si="20"/>
        <v>4277.3339999999998</v>
      </c>
      <c r="E642" s="760"/>
      <c r="F642" s="760">
        <f t="shared" si="19"/>
        <v>1804.6693513118416</v>
      </c>
      <c r="M642" s="443"/>
    </row>
    <row r="643" spans="1:13">
      <c r="A643" s="640">
        <v>12713</v>
      </c>
      <c r="B643" s="640">
        <v>1600</v>
      </c>
      <c r="C643" s="638">
        <v>4432.0469999999996</v>
      </c>
      <c r="D643" s="633">
        <f t="shared" si="20"/>
        <v>4432.0469999999996</v>
      </c>
      <c r="E643" s="760"/>
      <c r="F643" s="760">
        <f t="shared" si="19"/>
        <v>1869.9450135232821</v>
      </c>
      <c r="M643" s="443"/>
    </row>
    <row r="644" spans="1:13">
      <c r="A644" s="640">
        <v>12713</v>
      </c>
      <c r="B644" s="640">
        <v>1700</v>
      </c>
      <c r="C644" s="638">
        <v>4822.2420000000002</v>
      </c>
      <c r="D644" s="633">
        <f t="shared" si="20"/>
        <v>4822.2420000000002</v>
      </c>
      <c r="E644" s="760"/>
      <c r="F644" s="760">
        <f t="shared" ref="F644:F707" si="21">(D644/(MAX($D$4:$D$747)))*$M$4</f>
        <v>2034.5739523751756</v>
      </c>
      <c r="M644" s="443"/>
    </row>
    <row r="645" spans="1:13">
      <c r="A645" s="640">
        <v>12713</v>
      </c>
      <c r="B645" s="640">
        <v>1800</v>
      </c>
      <c r="C645" s="638">
        <v>5384.2650000000003</v>
      </c>
      <c r="D645" s="633">
        <f t="shared" ref="D645:D708" si="22">C645</f>
        <v>5384.2650000000003</v>
      </c>
      <c r="E645" s="760"/>
      <c r="F645" s="760">
        <f t="shared" si="21"/>
        <v>2271.6996205676373</v>
      </c>
      <c r="M645" s="443"/>
    </row>
    <row r="646" spans="1:13">
      <c r="A646" s="640">
        <v>12713</v>
      </c>
      <c r="B646" s="640">
        <v>1900</v>
      </c>
      <c r="C646" s="638">
        <v>5730.0339999999997</v>
      </c>
      <c r="D646" s="633">
        <f t="shared" si="22"/>
        <v>5730.0339999999997</v>
      </c>
      <c r="E646" s="760"/>
      <c r="F646" s="760">
        <f t="shared" si="21"/>
        <v>2417.5845846442662</v>
      </c>
      <c r="M646" s="443"/>
    </row>
    <row r="647" spans="1:13">
      <c r="A647" s="640">
        <v>12713</v>
      </c>
      <c r="B647" s="640">
        <v>2000</v>
      </c>
      <c r="C647" s="638">
        <v>5579.6229999999996</v>
      </c>
      <c r="D647" s="633">
        <f t="shared" si="22"/>
        <v>5579.6229999999996</v>
      </c>
      <c r="E647" s="760"/>
      <c r="F647" s="760">
        <f t="shared" si="21"/>
        <v>2354.12399872786</v>
      </c>
      <c r="M647" s="443"/>
    </row>
    <row r="648" spans="1:13">
      <c r="A648" s="640">
        <v>12713</v>
      </c>
      <c r="B648" s="640">
        <v>2100</v>
      </c>
      <c r="C648" s="638">
        <v>5369.5150000000003</v>
      </c>
      <c r="D648" s="633">
        <f t="shared" si="22"/>
        <v>5369.5150000000003</v>
      </c>
      <c r="E648" s="760"/>
      <c r="F648" s="760">
        <f t="shared" si="21"/>
        <v>2265.4763812947981</v>
      </c>
      <c r="M648" s="443"/>
    </row>
    <row r="649" spans="1:13">
      <c r="A649" s="640">
        <v>12713</v>
      </c>
      <c r="B649" s="640">
        <v>2200</v>
      </c>
      <c r="C649" s="638">
        <v>4974.6750000000002</v>
      </c>
      <c r="D649" s="633">
        <f t="shared" si="22"/>
        <v>4974.6750000000002</v>
      </c>
      <c r="E649" s="760"/>
      <c r="F649" s="760">
        <f t="shared" si="21"/>
        <v>2098.8876494651195</v>
      </c>
      <c r="M649" s="443"/>
    </row>
    <row r="650" spans="1:13">
      <c r="A650" s="640">
        <v>12713</v>
      </c>
      <c r="B650" s="640">
        <v>2300</v>
      </c>
      <c r="C650" s="638">
        <v>4426.3310000000001</v>
      </c>
      <c r="D650" s="633">
        <f t="shared" si="22"/>
        <v>4426.3310000000001</v>
      </c>
      <c r="E650" s="760"/>
      <c r="F650" s="760">
        <f t="shared" si="21"/>
        <v>1867.5333500871095</v>
      </c>
      <c r="M650" s="443"/>
    </row>
    <row r="651" spans="1:13">
      <c r="A651" s="640">
        <v>12713</v>
      </c>
      <c r="B651" s="640">
        <v>2400</v>
      </c>
      <c r="C651" s="638">
        <v>3891.7559999999999</v>
      </c>
      <c r="D651" s="633">
        <f t="shared" si="22"/>
        <v>3891.7559999999999</v>
      </c>
      <c r="E651" s="760"/>
      <c r="F651" s="760">
        <f t="shared" si="21"/>
        <v>1641.988391830979</v>
      </c>
      <c r="M651" s="443"/>
    </row>
    <row r="652" spans="1:13">
      <c r="A652" s="640">
        <v>12813</v>
      </c>
      <c r="B652" s="640">
        <v>100</v>
      </c>
      <c r="C652" s="638">
        <v>3669.5140000000001</v>
      </c>
      <c r="D652" s="633">
        <f t="shared" si="22"/>
        <v>3669.5140000000001</v>
      </c>
      <c r="E652" s="760"/>
      <c r="F652" s="760">
        <f t="shared" si="21"/>
        <v>1548.2212635276371</v>
      </c>
      <c r="M652" s="443"/>
    </row>
    <row r="653" spans="1:13">
      <c r="A653" s="640">
        <v>12813</v>
      </c>
      <c r="B653" s="640">
        <v>200</v>
      </c>
      <c r="C653" s="638">
        <v>3704.3519999999999</v>
      </c>
      <c r="D653" s="633">
        <f t="shared" si="22"/>
        <v>3704.3519999999999</v>
      </c>
      <c r="E653" s="760"/>
      <c r="F653" s="760">
        <f t="shared" si="21"/>
        <v>1562.9199218182923</v>
      </c>
      <c r="M653" s="443"/>
    </row>
    <row r="654" spans="1:13">
      <c r="A654" s="640">
        <v>12813</v>
      </c>
      <c r="B654" s="640">
        <v>300</v>
      </c>
      <c r="C654" s="638">
        <v>3639.8240000000001</v>
      </c>
      <c r="D654" s="633">
        <f t="shared" si="22"/>
        <v>3639.8240000000001</v>
      </c>
      <c r="E654" s="760"/>
      <c r="F654" s="760">
        <f t="shared" si="21"/>
        <v>1535.6946212218343</v>
      </c>
      <c r="M654" s="443"/>
    </row>
    <row r="655" spans="1:13">
      <c r="A655" s="640">
        <v>12813</v>
      </c>
      <c r="B655" s="640">
        <v>400</v>
      </c>
      <c r="C655" s="638">
        <v>3678.07</v>
      </c>
      <c r="D655" s="633">
        <f t="shared" si="22"/>
        <v>3678.07</v>
      </c>
      <c r="E655" s="760"/>
      <c r="F655" s="760">
        <f t="shared" si="21"/>
        <v>1551.8311642204105</v>
      </c>
      <c r="M655" s="443"/>
    </row>
    <row r="656" spans="1:13">
      <c r="A656" s="640">
        <v>12813</v>
      </c>
      <c r="B656" s="640">
        <v>500</v>
      </c>
      <c r="C656" s="638">
        <v>3791.41</v>
      </c>
      <c r="D656" s="633">
        <f t="shared" si="22"/>
        <v>3791.41</v>
      </c>
      <c r="E656" s="760"/>
      <c r="F656" s="760">
        <f t="shared" si="21"/>
        <v>1599.6509567074327</v>
      </c>
      <c r="M656" s="443"/>
    </row>
    <row r="657" spans="1:13">
      <c r="A657" s="640">
        <v>12813</v>
      </c>
      <c r="B657" s="640">
        <v>600</v>
      </c>
      <c r="C657" s="638">
        <v>4198.2830000000004</v>
      </c>
      <c r="D657" s="633">
        <f t="shared" si="22"/>
        <v>4198.2830000000004</v>
      </c>
      <c r="E657" s="760"/>
      <c r="F657" s="760">
        <f t="shared" si="21"/>
        <v>1771.3165860401675</v>
      </c>
      <c r="M657" s="443"/>
    </row>
    <row r="658" spans="1:13">
      <c r="A658" s="640">
        <v>12813</v>
      </c>
      <c r="B658" s="640">
        <v>700</v>
      </c>
      <c r="C658" s="638">
        <v>4579.5529999999999</v>
      </c>
      <c r="D658" s="633">
        <f t="shared" si="22"/>
        <v>4579.5529999999999</v>
      </c>
      <c r="E658" s="760"/>
      <c r="F658" s="760">
        <f t="shared" si="21"/>
        <v>1932.1799377388343</v>
      </c>
      <c r="M658" s="443"/>
    </row>
    <row r="659" spans="1:13">
      <c r="A659" s="640">
        <v>12813</v>
      </c>
      <c r="B659" s="640">
        <v>800</v>
      </c>
      <c r="C659" s="638">
        <v>4872.9759999999997</v>
      </c>
      <c r="D659" s="633">
        <f t="shared" si="22"/>
        <v>4872.9759999999997</v>
      </c>
      <c r="E659" s="760"/>
      <c r="F659" s="760">
        <f t="shared" si="21"/>
        <v>2055.9793639865798</v>
      </c>
      <c r="M659" s="443"/>
    </row>
    <row r="660" spans="1:13">
      <c r="A660" s="640">
        <v>12813</v>
      </c>
      <c r="B660" s="640">
        <v>900</v>
      </c>
      <c r="C660" s="638">
        <v>4735.0519999999997</v>
      </c>
      <c r="D660" s="633">
        <f t="shared" si="22"/>
        <v>4735.0519999999997</v>
      </c>
      <c r="E660" s="760"/>
      <c r="F660" s="760">
        <f t="shared" si="21"/>
        <v>1997.7872247684745</v>
      </c>
      <c r="M660" s="443"/>
    </row>
    <row r="661" spans="1:13">
      <c r="A661" s="640">
        <v>12813</v>
      </c>
      <c r="B661" s="640">
        <v>1000</v>
      </c>
      <c r="C661" s="638">
        <v>4770.1959999999999</v>
      </c>
      <c r="D661" s="633">
        <f t="shared" si="22"/>
        <v>4770.1959999999999</v>
      </c>
      <c r="E661" s="760"/>
      <c r="F661" s="760">
        <f t="shared" si="21"/>
        <v>2012.6149889043836</v>
      </c>
      <c r="M661" s="443"/>
    </row>
    <row r="662" spans="1:13">
      <c r="A662" s="640">
        <v>12813</v>
      </c>
      <c r="B662" s="640">
        <v>1100</v>
      </c>
      <c r="C662" s="638">
        <v>4745.6369999999997</v>
      </c>
      <c r="D662" s="633">
        <f t="shared" si="22"/>
        <v>4745.6369999999997</v>
      </c>
      <c r="E662" s="760"/>
      <c r="F662" s="760">
        <f t="shared" si="21"/>
        <v>2002.2531900364747</v>
      </c>
      <c r="M662" s="443"/>
    </row>
    <row r="663" spans="1:13">
      <c r="A663" s="640">
        <v>12813</v>
      </c>
      <c r="B663" s="640">
        <v>1200</v>
      </c>
      <c r="C663" s="638">
        <v>4683.4830000000002</v>
      </c>
      <c r="D663" s="633">
        <f t="shared" si="22"/>
        <v>4683.4830000000002</v>
      </c>
      <c r="E663" s="760"/>
      <c r="F663" s="760">
        <f t="shared" si="21"/>
        <v>1976.0295145270488</v>
      </c>
      <c r="M663" s="443"/>
    </row>
    <row r="664" spans="1:13">
      <c r="A664" s="640">
        <v>12813</v>
      </c>
      <c r="B664" s="640">
        <v>1300</v>
      </c>
      <c r="C664" s="638">
        <v>4659.0450000000001</v>
      </c>
      <c r="D664" s="633">
        <f t="shared" si="22"/>
        <v>4659.0450000000001</v>
      </c>
      <c r="E664" s="760"/>
      <c r="F664" s="760">
        <f t="shared" si="21"/>
        <v>1965.7187673169035</v>
      </c>
      <c r="M664" s="443"/>
    </row>
    <row r="665" spans="1:13">
      <c r="A665" s="640">
        <v>12813</v>
      </c>
      <c r="B665" s="640">
        <v>1400</v>
      </c>
      <c r="C665" s="638">
        <v>4535.1899999999996</v>
      </c>
      <c r="D665" s="633">
        <f t="shared" si="22"/>
        <v>4535.1899999999996</v>
      </c>
      <c r="E665" s="760"/>
      <c r="F665" s="760">
        <f t="shared" si="21"/>
        <v>1913.4625435787691</v>
      </c>
      <c r="M665" s="443"/>
    </row>
    <row r="666" spans="1:13">
      <c r="A666" s="640">
        <v>12813</v>
      </c>
      <c r="B666" s="640">
        <v>1500</v>
      </c>
      <c r="C666" s="638">
        <v>4550.2629999999999</v>
      </c>
      <c r="D666" s="633">
        <f t="shared" si="22"/>
        <v>4550.2629999999999</v>
      </c>
      <c r="E666" s="760"/>
      <c r="F666" s="760">
        <f t="shared" si="21"/>
        <v>1919.8220612438204</v>
      </c>
      <c r="M666" s="443"/>
    </row>
    <row r="667" spans="1:13">
      <c r="A667" s="640">
        <v>12813</v>
      </c>
      <c r="B667" s="640">
        <v>1600</v>
      </c>
      <c r="C667" s="638">
        <v>4634.9790000000003</v>
      </c>
      <c r="D667" s="633">
        <f t="shared" si="22"/>
        <v>4634.9790000000003</v>
      </c>
      <c r="E667" s="760"/>
      <c r="F667" s="760">
        <f t="shared" si="21"/>
        <v>1955.5649723107922</v>
      </c>
      <c r="M667" s="443"/>
    </row>
    <row r="668" spans="1:13">
      <c r="A668" s="640">
        <v>12813</v>
      </c>
      <c r="B668" s="640">
        <v>1700</v>
      </c>
      <c r="C668" s="638">
        <v>4673.1490000000003</v>
      </c>
      <c r="D668" s="633">
        <f t="shared" si="22"/>
        <v>4673.1490000000003</v>
      </c>
      <c r="E668" s="760"/>
      <c r="F668" s="760">
        <f t="shared" si="21"/>
        <v>1971.6694498053187</v>
      </c>
      <c r="M668" s="443"/>
    </row>
    <row r="669" spans="1:13">
      <c r="A669" s="640">
        <v>12813</v>
      </c>
      <c r="B669" s="640">
        <v>1800</v>
      </c>
      <c r="C669" s="638">
        <v>5115.7020000000002</v>
      </c>
      <c r="D669" s="633">
        <f t="shared" si="22"/>
        <v>5115.7020000000002</v>
      </c>
      <c r="E669" s="760"/>
      <c r="F669" s="760">
        <f t="shared" si="21"/>
        <v>2158.388989460419</v>
      </c>
      <c r="M669" s="443"/>
    </row>
    <row r="670" spans="1:13">
      <c r="A670" s="640">
        <v>12813</v>
      </c>
      <c r="B670" s="640">
        <v>1900</v>
      </c>
      <c r="C670" s="638">
        <v>5248.4380000000001</v>
      </c>
      <c r="D670" s="633">
        <f t="shared" si="22"/>
        <v>5248.4380000000001</v>
      </c>
      <c r="E670" s="760"/>
      <c r="F670" s="760">
        <f t="shared" si="21"/>
        <v>2214.3922361125929</v>
      </c>
      <c r="M670" s="443"/>
    </row>
    <row r="671" spans="1:13">
      <c r="A671" s="640">
        <v>12813</v>
      </c>
      <c r="B671" s="640">
        <v>2000</v>
      </c>
      <c r="C671" s="638">
        <v>5167.2520000000004</v>
      </c>
      <c r="D671" s="633">
        <f t="shared" si="22"/>
        <v>5167.2520000000004</v>
      </c>
      <c r="E671" s="760"/>
      <c r="F671" s="760">
        <f t="shared" si="21"/>
        <v>2180.138683325833</v>
      </c>
      <c r="M671" s="443"/>
    </row>
    <row r="672" spans="1:13">
      <c r="A672" s="640">
        <v>12813</v>
      </c>
      <c r="B672" s="640">
        <v>2100</v>
      </c>
      <c r="C672" s="638">
        <v>4886.692</v>
      </c>
      <c r="D672" s="633">
        <f t="shared" si="22"/>
        <v>4886.692</v>
      </c>
      <c r="E672" s="760"/>
      <c r="F672" s="760">
        <f t="shared" si="21"/>
        <v>2061.7663436385296</v>
      </c>
      <c r="M672" s="443"/>
    </row>
    <row r="673" spans="1:13">
      <c r="A673" s="640">
        <v>12813</v>
      </c>
      <c r="B673" s="640">
        <v>2200</v>
      </c>
      <c r="C673" s="638">
        <v>4509.5290000000005</v>
      </c>
      <c r="D673" s="633">
        <f t="shared" si="22"/>
        <v>4509.5290000000005</v>
      </c>
      <c r="E673" s="760"/>
      <c r="F673" s="760">
        <f t="shared" si="21"/>
        <v>1902.6357949021376</v>
      </c>
      <c r="M673" s="443"/>
    </row>
    <row r="674" spans="1:13">
      <c r="A674" s="640">
        <v>12813</v>
      </c>
      <c r="B674" s="640">
        <v>2300</v>
      </c>
      <c r="C674" s="638">
        <v>4068.4960000000001</v>
      </c>
      <c r="D674" s="633">
        <f t="shared" si="22"/>
        <v>4068.4960000000001</v>
      </c>
      <c r="E674" s="760"/>
      <c r="F674" s="760">
        <f t="shared" si="21"/>
        <v>1716.5575653280346</v>
      </c>
      <c r="M674" s="443"/>
    </row>
    <row r="675" spans="1:13">
      <c r="A675" s="640">
        <v>12813</v>
      </c>
      <c r="B675" s="640">
        <v>2400</v>
      </c>
      <c r="C675" s="638">
        <v>3605.8939999999998</v>
      </c>
      <c r="D675" s="633">
        <f t="shared" si="22"/>
        <v>3605.8939999999998</v>
      </c>
      <c r="E675" s="760"/>
      <c r="F675" s="760">
        <f t="shared" si="21"/>
        <v>1521.3790613216695</v>
      </c>
      <c r="M675" s="443"/>
    </row>
    <row r="676" spans="1:13">
      <c r="A676" s="640">
        <v>12913</v>
      </c>
      <c r="B676" s="640">
        <v>100</v>
      </c>
      <c r="C676" s="638">
        <v>3357.6460000000002</v>
      </c>
      <c r="D676" s="633">
        <f t="shared" si="22"/>
        <v>3357.6460000000002</v>
      </c>
      <c r="E676" s="760"/>
      <c r="F676" s="760">
        <f t="shared" si="21"/>
        <v>1416.6396238298903</v>
      </c>
      <c r="M676" s="443"/>
    </row>
    <row r="677" spans="1:13">
      <c r="A677" s="640">
        <v>12913</v>
      </c>
      <c r="B677" s="640">
        <v>200</v>
      </c>
      <c r="C677" s="638">
        <v>3418.962</v>
      </c>
      <c r="D677" s="633">
        <f t="shared" si="22"/>
        <v>3418.962</v>
      </c>
      <c r="E677" s="760"/>
      <c r="F677" s="760">
        <f t="shared" si="21"/>
        <v>1442.509734965714</v>
      </c>
      <c r="M677" s="443"/>
    </row>
    <row r="678" spans="1:13">
      <c r="A678" s="640">
        <v>12913</v>
      </c>
      <c r="B678" s="640">
        <v>300</v>
      </c>
      <c r="C678" s="638">
        <v>3391.5819999999999</v>
      </c>
      <c r="D678" s="633">
        <f t="shared" si="22"/>
        <v>3391.5819999999999</v>
      </c>
      <c r="E678" s="760"/>
      <c r="F678" s="760">
        <f t="shared" si="21"/>
        <v>1430.9577152172167</v>
      </c>
      <c r="M678" s="443"/>
    </row>
    <row r="679" spans="1:13">
      <c r="A679" s="640">
        <v>12913</v>
      </c>
      <c r="B679" s="640">
        <v>400</v>
      </c>
      <c r="C679" s="638">
        <v>3381.8159999999998</v>
      </c>
      <c r="D679" s="633">
        <f t="shared" si="22"/>
        <v>3381.8159999999998</v>
      </c>
      <c r="E679" s="760"/>
      <c r="F679" s="760">
        <f t="shared" si="21"/>
        <v>1426.8372979468068</v>
      </c>
      <c r="M679" s="443"/>
    </row>
    <row r="680" spans="1:13">
      <c r="A680" s="640">
        <v>12913</v>
      </c>
      <c r="B680" s="640">
        <v>500</v>
      </c>
      <c r="C680" s="638">
        <v>3486.1759999999999</v>
      </c>
      <c r="D680" s="633">
        <f t="shared" si="22"/>
        <v>3486.1759999999999</v>
      </c>
      <c r="E680" s="760"/>
      <c r="F680" s="760">
        <f t="shared" si="21"/>
        <v>1470.8682979816192</v>
      </c>
      <c r="M680" s="443"/>
    </row>
    <row r="681" spans="1:13">
      <c r="A681" s="640">
        <v>12913</v>
      </c>
      <c r="B681" s="640">
        <v>600</v>
      </c>
      <c r="C681" s="638">
        <v>3847.6419999999998</v>
      </c>
      <c r="D681" s="633">
        <f t="shared" si="22"/>
        <v>3847.6419999999998</v>
      </c>
      <c r="E681" s="760"/>
      <c r="F681" s="760">
        <f t="shared" si="21"/>
        <v>1623.3760543881299</v>
      </c>
      <c r="M681" s="443"/>
    </row>
    <row r="682" spans="1:13">
      <c r="A682" s="640">
        <v>12913</v>
      </c>
      <c r="B682" s="640">
        <v>700</v>
      </c>
      <c r="C682" s="638">
        <v>4344.4489999999996</v>
      </c>
      <c r="D682" s="633">
        <f t="shared" si="22"/>
        <v>4344.4489999999996</v>
      </c>
      <c r="E682" s="760"/>
      <c r="F682" s="760">
        <f t="shared" si="21"/>
        <v>1832.9861447895767</v>
      </c>
      <c r="M682" s="443"/>
    </row>
    <row r="683" spans="1:13">
      <c r="A683" s="640">
        <v>12913</v>
      </c>
      <c r="B683" s="640">
        <v>800</v>
      </c>
      <c r="C683" s="638">
        <v>4564.7809999999999</v>
      </c>
      <c r="D683" s="633">
        <f t="shared" si="22"/>
        <v>4564.7809999999999</v>
      </c>
      <c r="E683" s="760"/>
      <c r="F683" s="760">
        <f t="shared" si="21"/>
        <v>1925.9474163464017</v>
      </c>
      <c r="M683" s="443"/>
    </row>
    <row r="684" spans="1:13">
      <c r="A684" s="640">
        <v>12913</v>
      </c>
      <c r="B684" s="640">
        <v>900</v>
      </c>
      <c r="C684" s="638">
        <v>4482.2690000000002</v>
      </c>
      <c r="D684" s="633">
        <f t="shared" si="22"/>
        <v>4482.2690000000002</v>
      </c>
      <c r="E684" s="760"/>
      <c r="F684" s="760">
        <f t="shared" si="21"/>
        <v>1891.134404896877</v>
      </c>
      <c r="M684" s="443"/>
    </row>
    <row r="685" spans="1:13">
      <c r="A685" s="640">
        <v>12913</v>
      </c>
      <c r="B685" s="640">
        <v>1000</v>
      </c>
      <c r="C685" s="638">
        <v>4452.6350000000002</v>
      </c>
      <c r="D685" s="633">
        <f t="shared" si="22"/>
        <v>4452.6350000000002</v>
      </c>
      <c r="E685" s="760"/>
      <c r="F685" s="760">
        <f t="shared" si="21"/>
        <v>1878.6313898045846</v>
      </c>
      <c r="M685" s="443"/>
    </row>
    <row r="686" spans="1:13">
      <c r="A686" s="640">
        <v>12913</v>
      </c>
      <c r="B686" s="640">
        <v>1100</v>
      </c>
      <c r="C686" s="638">
        <v>4407.7759999999998</v>
      </c>
      <c r="D686" s="633">
        <f t="shared" si="22"/>
        <v>4407.7759999999998</v>
      </c>
      <c r="E686" s="760"/>
      <c r="F686" s="760">
        <f t="shared" si="21"/>
        <v>1859.7047260391414</v>
      </c>
      <c r="M686" s="443"/>
    </row>
    <row r="687" spans="1:13">
      <c r="A687" s="640">
        <v>12913</v>
      </c>
      <c r="B687" s="640">
        <v>1200</v>
      </c>
      <c r="C687" s="638">
        <v>4396.7979999999998</v>
      </c>
      <c r="D687" s="633">
        <f t="shared" si="22"/>
        <v>4396.7979999999998</v>
      </c>
      <c r="E687" s="760"/>
      <c r="F687" s="760">
        <f t="shared" si="21"/>
        <v>1855.0729483620412</v>
      </c>
      <c r="M687" s="443"/>
    </row>
    <row r="688" spans="1:13">
      <c r="A688" s="640">
        <v>12913</v>
      </c>
      <c r="B688" s="640">
        <v>1300</v>
      </c>
      <c r="C688" s="638">
        <v>4350.5150000000003</v>
      </c>
      <c r="D688" s="633">
        <f t="shared" si="22"/>
        <v>4350.5150000000003</v>
      </c>
      <c r="E688" s="760"/>
      <c r="F688" s="760">
        <f t="shared" si="21"/>
        <v>1835.54547831019</v>
      </c>
      <c r="M688" s="443"/>
    </row>
    <row r="689" spans="1:13">
      <c r="A689" s="640">
        <v>12913</v>
      </c>
      <c r="B689" s="640">
        <v>1400</v>
      </c>
      <c r="C689" s="638">
        <v>4291.3459999999995</v>
      </c>
      <c r="D689" s="633">
        <f t="shared" si="22"/>
        <v>4291.3459999999995</v>
      </c>
      <c r="E689" s="760"/>
      <c r="F689" s="760">
        <f t="shared" si="21"/>
        <v>1810.5812176637753</v>
      </c>
      <c r="M689" s="443"/>
    </row>
    <row r="690" spans="1:13">
      <c r="A690" s="640">
        <v>12913</v>
      </c>
      <c r="B690" s="640">
        <v>1500</v>
      </c>
      <c r="C690" s="638">
        <v>4314.6859999999997</v>
      </c>
      <c r="D690" s="633">
        <f t="shared" si="22"/>
        <v>4314.6859999999997</v>
      </c>
      <c r="E690" s="760"/>
      <c r="F690" s="760">
        <f t="shared" si="21"/>
        <v>1820.4287027233049</v>
      </c>
      <c r="M690" s="443"/>
    </row>
    <row r="691" spans="1:13">
      <c r="A691" s="640">
        <v>12913</v>
      </c>
      <c r="B691" s="640">
        <v>1600</v>
      </c>
      <c r="C691" s="638">
        <v>4415.2610000000004</v>
      </c>
      <c r="D691" s="633">
        <f t="shared" si="22"/>
        <v>4415.2610000000004</v>
      </c>
      <c r="E691" s="760"/>
      <c r="F691" s="760">
        <f t="shared" si="21"/>
        <v>1862.862756273528</v>
      </c>
      <c r="M691" s="443"/>
    </row>
    <row r="692" spans="1:13">
      <c r="A692" s="640">
        <v>12913</v>
      </c>
      <c r="B692" s="640">
        <v>1700</v>
      </c>
      <c r="C692" s="638">
        <v>4669.1469999999999</v>
      </c>
      <c r="D692" s="633">
        <f t="shared" si="22"/>
        <v>4669.1469999999999</v>
      </c>
      <c r="E692" s="760"/>
      <c r="F692" s="760">
        <f t="shared" si="21"/>
        <v>1969.980947868376</v>
      </c>
      <c r="M692" s="443"/>
    </row>
    <row r="693" spans="1:13">
      <c r="A693" s="640">
        <v>12913</v>
      </c>
      <c r="B693" s="640">
        <v>1800</v>
      </c>
      <c r="C693" s="638">
        <v>4969.5420000000004</v>
      </c>
      <c r="D693" s="633">
        <f t="shared" si="22"/>
        <v>4969.5420000000004</v>
      </c>
      <c r="E693" s="760"/>
      <c r="F693" s="760">
        <f t="shared" si="21"/>
        <v>2096.7219621981712</v>
      </c>
      <c r="M693" s="443"/>
    </row>
    <row r="694" spans="1:13">
      <c r="A694" s="640">
        <v>12913</v>
      </c>
      <c r="B694" s="640">
        <v>1900</v>
      </c>
      <c r="C694" s="638">
        <v>5038.1499999999996</v>
      </c>
      <c r="D694" s="633">
        <f t="shared" si="22"/>
        <v>5038.1499999999996</v>
      </c>
      <c r="E694" s="760"/>
      <c r="F694" s="760">
        <f t="shared" si="21"/>
        <v>2125.6686740646755</v>
      </c>
      <c r="M694" s="443"/>
    </row>
    <row r="695" spans="1:13">
      <c r="A695" s="640">
        <v>12913</v>
      </c>
      <c r="B695" s="640">
        <v>2000</v>
      </c>
      <c r="C695" s="638">
        <v>5066.6350000000002</v>
      </c>
      <c r="D695" s="633">
        <f t="shared" si="22"/>
        <v>5066.6350000000002</v>
      </c>
      <c r="E695" s="760"/>
      <c r="F695" s="760">
        <f t="shared" si="21"/>
        <v>2137.6869093654773</v>
      </c>
      <c r="M695" s="443"/>
    </row>
    <row r="696" spans="1:13">
      <c r="A696" s="640">
        <v>12913</v>
      </c>
      <c r="B696" s="640">
        <v>2100</v>
      </c>
      <c r="C696" s="638">
        <v>4938.5950000000003</v>
      </c>
      <c r="D696" s="633">
        <f t="shared" si="22"/>
        <v>4938.5950000000003</v>
      </c>
      <c r="E696" s="760"/>
      <c r="F696" s="760">
        <f t="shared" si="21"/>
        <v>2083.6649733319646</v>
      </c>
      <c r="M696" s="443"/>
    </row>
    <row r="697" spans="1:13">
      <c r="A697" s="640">
        <v>12913</v>
      </c>
      <c r="B697" s="640">
        <v>2200</v>
      </c>
      <c r="C697" s="638">
        <v>4555.5079999999998</v>
      </c>
      <c r="D697" s="633">
        <f t="shared" si="22"/>
        <v>4555.5079999999998</v>
      </c>
      <c r="E697" s="760"/>
      <c r="F697" s="760">
        <f t="shared" si="21"/>
        <v>1922.0350029377892</v>
      </c>
      <c r="M697" s="443"/>
    </row>
    <row r="698" spans="1:13">
      <c r="A698" s="640">
        <v>12913</v>
      </c>
      <c r="B698" s="640">
        <v>2300</v>
      </c>
      <c r="C698" s="638">
        <v>4070.5050000000001</v>
      </c>
      <c r="D698" s="633">
        <f t="shared" si="22"/>
        <v>4070.5050000000001</v>
      </c>
      <c r="E698" s="760"/>
      <c r="F698" s="760">
        <f t="shared" si="21"/>
        <v>1717.4051916127216</v>
      </c>
      <c r="M698" s="443"/>
    </row>
    <row r="699" spans="1:13">
      <c r="A699" s="640">
        <v>12913</v>
      </c>
      <c r="B699" s="640">
        <v>2400</v>
      </c>
      <c r="C699" s="638">
        <v>3512.2339999999999</v>
      </c>
      <c r="D699" s="633">
        <f t="shared" si="22"/>
        <v>3512.2339999999999</v>
      </c>
      <c r="E699" s="760"/>
      <c r="F699" s="760">
        <f t="shared" si="21"/>
        <v>1481.8625467254592</v>
      </c>
      <c r="M699" s="443"/>
    </row>
    <row r="700" spans="1:13">
      <c r="A700" s="640">
        <v>13013</v>
      </c>
      <c r="B700" s="640">
        <v>100</v>
      </c>
      <c r="C700" s="638">
        <v>3242.038</v>
      </c>
      <c r="D700" s="633">
        <f t="shared" si="22"/>
        <v>3242.038</v>
      </c>
      <c r="E700" s="760"/>
      <c r="F700" s="760">
        <f t="shared" si="21"/>
        <v>1367.8629291956954</v>
      </c>
      <c r="M700" s="443"/>
    </row>
    <row r="701" spans="1:13">
      <c r="A701" s="640">
        <v>13013</v>
      </c>
      <c r="B701" s="640">
        <v>200</v>
      </c>
      <c r="C701" s="638">
        <v>3263.857</v>
      </c>
      <c r="D701" s="633">
        <f t="shared" si="22"/>
        <v>3263.857</v>
      </c>
      <c r="E701" s="760"/>
      <c r="F701" s="760">
        <f t="shared" si="21"/>
        <v>1377.0686822597004</v>
      </c>
      <c r="M701" s="443"/>
    </row>
    <row r="702" spans="1:13">
      <c r="A702" s="640">
        <v>13013</v>
      </c>
      <c r="B702" s="640">
        <v>300</v>
      </c>
      <c r="C702" s="638">
        <v>3202.877</v>
      </c>
      <c r="D702" s="633">
        <f t="shared" si="22"/>
        <v>3202.877</v>
      </c>
      <c r="E702" s="760"/>
      <c r="F702" s="760">
        <f t="shared" si="21"/>
        <v>1351.3403344049395</v>
      </c>
      <c r="M702" s="443"/>
    </row>
    <row r="703" spans="1:13">
      <c r="A703" s="640">
        <v>13013</v>
      </c>
      <c r="B703" s="640">
        <v>400</v>
      </c>
      <c r="C703" s="638">
        <v>3194.1010000000001</v>
      </c>
      <c r="D703" s="633">
        <f t="shared" si="22"/>
        <v>3194.1010000000001</v>
      </c>
      <c r="E703" s="760"/>
      <c r="F703" s="760">
        <f t="shared" si="21"/>
        <v>1347.6376125162324</v>
      </c>
      <c r="M703" s="443"/>
    </row>
    <row r="704" spans="1:13">
      <c r="A704" s="640">
        <v>13013</v>
      </c>
      <c r="B704" s="640">
        <v>500</v>
      </c>
      <c r="C704" s="638">
        <v>3240.0520000000001</v>
      </c>
      <c r="D704" s="633">
        <f t="shared" si="22"/>
        <v>3240.0520000000001</v>
      </c>
      <c r="E704" s="760"/>
      <c r="F704" s="760">
        <f t="shared" si="21"/>
        <v>1367.0250069451288</v>
      </c>
      <c r="M704" s="443"/>
    </row>
    <row r="705" spans="1:13">
      <c r="A705" s="640">
        <v>13013</v>
      </c>
      <c r="B705" s="640">
        <v>600</v>
      </c>
      <c r="C705" s="638">
        <v>3586.884</v>
      </c>
      <c r="D705" s="633">
        <f t="shared" si="22"/>
        <v>3586.884</v>
      </c>
      <c r="E705" s="760"/>
      <c r="F705" s="760">
        <f t="shared" si="21"/>
        <v>1513.3584661639293</v>
      </c>
      <c r="M705" s="443"/>
    </row>
    <row r="706" spans="1:13">
      <c r="A706" s="640">
        <v>13013</v>
      </c>
      <c r="B706" s="640">
        <v>700</v>
      </c>
      <c r="C706" s="638">
        <v>4056.9160000000002</v>
      </c>
      <c r="D706" s="633">
        <f t="shared" si="22"/>
        <v>4056.9160000000002</v>
      </c>
      <c r="E706" s="760"/>
      <c r="F706" s="760">
        <f t="shared" si="21"/>
        <v>1711.6717951056971</v>
      </c>
      <c r="M706" s="443"/>
    </row>
    <row r="707" spans="1:13">
      <c r="A707" s="640">
        <v>13013</v>
      </c>
      <c r="B707" s="640">
        <v>800</v>
      </c>
      <c r="C707" s="638">
        <v>4332.8459999999995</v>
      </c>
      <c r="D707" s="633">
        <f t="shared" si="22"/>
        <v>4332.8459999999995</v>
      </c>
      <c r="E707" s="760"/>
      <c r="F707" s="760">
        <f t="shared" si="21"/>
        <v>1828.0906705331188</v>
      </c>
      <c r="M707" s="443"/>
    </row>
    <row r="708" spans="1:13">
      <c r="A708" s="640">
        <v>13013</v>
      </c>
      <c r="B708" s="640">
        <v>900</v>
      </c>
      <c r="C708" s="638">
        <v>4184.9889999999996</v>
      </c>
      <c r="D708" s="633">
        <f t="shared" si="22"/>
        <v>4184.9889999999996</v>
      </c>
      <c r="E708" s="760"/>
      <c r="F708" s="760">
        <f t="shared" ref="F708:F747" si="23">(D708/(MAX($D$4:$D$747)))*$M$4</f>
        <v>1765.7076543185995</v>
      </c>
      <c r="M708" s="443"/>
    </row>
    <row r="709" spans="1:13">
      <c r="A709" s="640">
        <v>13013</v>
      </c>
      <c r="B709" s="640">
        <v>1000</v>
      </c>
      <c r="C709" s="638">
        <v>4081.297</v>
      </c>
      <c r="D709" s="633">
        <f t="shared" ref="D709:D772" si="24">C709</f>
        <v>4081.297</v>
      </c>
      <c r="E709" s="760"/>
      <c r="F709" s="760">
        <f t="shared" si="23"/>
        <v>1721.9584931878048</v>
      </c>
      <c r="M709" s="443"/>
    </row>
    <row r="710" spans="1:13">
      <c r="A710" s="640">
        <v>13013</v>
      </c>
      <c r="B710" s="640">
        <v>1100</v>
      </c>
      <c r="C710" s="638">
        <v>3852.922</v>
      </c>
      <c r="D710" s="633">
        <f t="shared" si="24"/>
        <v>3852.922</v>
      </c>
      <c r="E710" s="760"/>
      <c r="F710" s="760">
        <f t="shared" si="23"/>
        <v>1625.603763090543</v>
      </c>
      <c r="M710" s="443"/>
    </row>
    <row r="711" spans="1:13">
      <c r="A711" s="640">
        <v>13013</v>
      </c>
      <c r="B711" s="640">
        <v>1200</v>
      </c>
      <c r="C711" s="638">
        <v>3958.0749999999998</v>
      </c>
      <c r="D711" s="633">
        <f t="shared" si="24"/>
        <v>3958.0749999999998</v>
      </c>
      <c r="E711" s="760"/>
      <c r="F711" s="760">
        <f t="shared" si="23"/>
        <v>1669.9693413452439</v>
      </c>
      <c r="M711" s="443"/>
    </row>
    <row r="712" spans="1:13">
      <c r="A712" s="640">
        <v>13013</v>
      </c>
      <c r="B712" s="640">
        <v>1300</v>
      </c>
      <c r="C712" s="638">
        <v>3916.393</v>
      </c>
      <c r="D712" s="633">
        <f t="shared" si="24"/>
        <v>3916.393</v>
      </c>
      <c r="E712" s="760"/>
      <c r="F712" s="760">
        <f t="shared" si="23"/>
        <v>1652.3831000319915</v>
      </c>
      <c r="M712" s="443"/>
    </row>
    <row r="713" spans="1:13">
      <c r="A713" s="640">
        <v>13013</v>
      </c>
      <c r="B713" s="640">
        <v>1400</v>
      </c>
      <c r="C713" s="638">
        <v>3883.4589999999998</v>
      </c>
      <c r="D713" s="633">
        <f t="shared" si="24"/>
        <v>3883.4589999999998</v>
      </c>
      <c r="E713" s="760"/>
      <c r="F713" s="760">
        <f t="shared" si="23"/>
        <v>1638.4877670006911</v>
      </c>
      <c r="M713" s="443"/>
    </row>
    <row r="714" spans="1:13">
      <c r="A714" s="640">
        <v>13013</v>
      </c>
      <c r="B714" s="640">
        <v>1500</v>
      </c>
      <c r="C714" s="638">
        <v>3950.7869999999998</v>
      </c>
      <c r="D714" s="633">
        <f t="shared" si="24"/>
        <v>3950.7869999999998</v>
      </c>
      <c r="E714" s="760"/>
      <c r="F714" s="760">
        <f t="shared" si="23"/>
        <v>1666.8944282726711</v>
      </c>
      <c r="M714" s="443"/>
    </row>
    <row r="715" spans="1:13">
      <c r="A715" s="640">
        <v>13013</v>
      </c>
      <c r="B715" s="640">
        <v>1600</v>
      </c>
      <c r="C715" s="638">
        <v>4008.828</v>
      </c>
      <c r="D715" s="633">
        <f t="shared" si="24"/>
        <v>4008.828</v>
      </c>
      <c r="E715" s="760"/>
      <c r="F715" s="760">
        <f t="shared" si="23"/>
        <v>1691.3827693326609</v>
      </c>
      <c r="M715" s="443"/>
    </row>
    <row r="716" spans="1:13">
      <c r="A716" s="640">
        <v>13013</v>
      </c>
      <c r="B716" s="640">
        <v>1700</v>
      </c>
      <c r="C716" s="638">
        <v>4225.625</v>
      </c>
      <c r="D716" s="633">
        <f t="shared" si="24"/>
        <v>4225.625</v>
      </c>
      <c r="E716" s="760"/>
      <c r="F716" s="760">
        <f t="shared" si="23"/>
        <v>1782.8525730366393</v>
      </c>
      <c r="M716" s="443"/>
    </row>
    <row r="717" spans="1:13">
      <c r="A717" s="640">
        <v>13013</v>
      </c>
      <c r="B717" s="640">
        <v>1800</v>
      </c>
      <c r="C717" s="638">
        <v>4592.5649999999996</v>
      </c>
      <c r="D717" s="633">
        <f t="shared" si="24"/>
        <v>4592.5649999999996</v>
      </c>
      <c r="E717" s="760"/>
      <c r="F717" s="760">
        <f t="shared" si="23"/>
        <v>1937.6698895637956</v>
      </c>
      <c r="M717" s="443"/>
    </row>
    <row r="718" spans="1:13">
      <c r="A718" s="640">
        <v>13013</v>
      </c>
      <c r="B718" s="640">
        <v>1900</v>
      </c>
      <c r="C718" s="638">
        <v>4853.0200000000004</v>
      </c>
      <c r="D718" s="633">
        <f t="shared" si="24"/>
        <v>4853.0200000000004</v>
      </c>
      <c r="E718" s="760"/>
      <c r="F718" s="760">
        <f t="shared" si="23"/>
        <v>2047.5596376863241</v>
      </c>
      <c r="M718" s="443"/>
    </row>
    <row r="719" spans="1:13">
      <c r="A719" s="640">
        <v>13013</v>
      </c>
      <c r="B719" s="640">
        <v>2000</v>
      </c>
      <c r="C719" s="638">
        <v>4714.2809999999999</v>
      </c>
      <c r="D719" s="633">
        <f t="shared" si="24"/>
        <v>4714.2809999999999</v>
      </c>
      <c r="E719" s="760"/>
      <c r="F719" s="760">
        <f t="shared" si="23"/>
        <v>1989.0236381287364</v>
      </c>
      <c r="M719" s="443"/>
    </row>
    <row r="720" spans="1:13">
      <c r="A720" s="640">
        <v>13013</v>
      </c>
      <c r="B720" s="640">
        <v>2100</v>
      </c>
      <c r="C720" s="638">
        <v>4569.9179999999997</v>
      </c>
      <c r="D720" s="633">
        <f t="shared" si="24"/>
        <v>4569.9179999999997</v>
      </c>
      <c r="E720" s="760"/>
      <c r="F720" s="760">
        <f t="shared" si="23"/>
        <v>1928.1147912714578</v>
      </c>
      <c r="M720" s="443"/>
    </row>
    <row r="721" spans="1:13">
      <c r="A721" s="640">
        <v>13013</v>
      </c>
      <c r="B721" s="640">
        <v>2200</v>
      </c>
      <c r="C721" s="638">
        <v>4276.1279999999997</v>
      </c>
      <c r="D721" s="633">
        <f t="shared" si="24"/>
        <v>4276.1279999999997</v>
      </c>
      <c r="E721" s="760"/>
      <c r="F721" s="760">
        <f t="shared" si="23"/>
        <v>1804.1605223923132</v>
      </c>
      <c r="M721" s="443"/>
    </row>
    <row r="722" spans="1:13">
      <c r="A722" s="640">
        <v>13013</v>
      </c>
      <c r="B722" s="640">
        <v>2300</v>
      </c>
      <c r="C722" s="638">
        <v>3800.7849999999999</v>
      </c>
      <c r="D722" s="633">
        <f t="shared" si="24"/>
        <v>3800.7849999999999</v>
      </c>
      <c r="E722" s="760"/>
      <c r="F722" s="760">
        <f t="shared" si="23"/>
        <v>1603.6064053977966</v>
      </c>
      <c r="M722" s="443"/>
    </row>
    <row r="723" spans="1:13">
      <c r="A723" s="640">
        <v>13013</v>
      </c>
      <c r="B723" s="640">
        <v>2400</v>
      </c>
      <c r="C723" s="638">
        <v>3328.6590000000001</v>
      </c>
      <c r="D723" s="633">
        <f t="shared" si="24"/>
        <v>3328.6590000000001</v>
      </c>
      <c r="E723" s="760"/>
      <c r="F723" s="760">
        <f t="shared" si="23"/>
        <v>1404.4095874365491</v>
      </c>
      <c r="M723" s="443"/>
    </row>
    <row r="724" spans="1:13">
      <c r="A724" s="640">
        <v>13113</v>
      </c>
      <c r="B724" s="640">
        <v>100</v>
      </c>
      <c r="C724" s="638">
        <v>3135.558</v>
      </c>
      <c r="D724" s="633">
        <f t="shared" si="24"/>
        <v>3135.558</v>
      </c>
      <c r="E724" s="760"/>
      <c r="F724" s="760">
        <f t="shared" si="23"/>
        <v>1322.9374703637022</v>
      </c>
      <c r="M724" s="443"/>
    </row>
    <row r="725" spans="1:13">
      <c r="A725" s="640">
        <v>13113</v>
      </c>
      <c r="B725" s="640">
        <v>200</v>
      </c>
      <c r="C725" s="638">
        <v>3227.5830000000001</v>
      </c>
      <c r="D725" s="633">
        <f t="shared" si="24"/>
        <v>3227.5830000000001</v>
      </c>
      <c r="E725" s="760"/>
      <c r="F725" s="760">
        <f t="shared" si="23"/>
        <v>1361.7641547083133</v>
      </c>
      <c r="M725" s="443"/>
    </row>
    <row r="726" spans="1:13">
      <c r="A726" s="640">
        <v>13113</v>
      </c>
      <c r="B726" s="640">
        <v>300</v>
      </c>
      <c r="C726" s="638">
        <v>3132.143</v>
      </c>
      <c r="D726" s="633">
        <f t="shared" si="24"/>
        <v>3132.143</v>
      </c>
      <c r="E726" s="760"/>
      <c r="F726" s="760">
        <f t="shared" si="23"/>
        <v>1321.4966322540924</v>
      </c>
      <c r="M726" s="443"/>
    </row>
    <row r="727" spans="1:13">
      <c r="A727" s="640">
        <v>13113</v>
      </c>
      <c r="B727" s="640">
        <v>400</v>
      </c>
      <c r="C727" s="638">
        <v>3281.3490000000002</v>
      </c>
      <c r="D727" s="633">
        <f t="shared" si="24"/>
        <v>3281.3490000000002</v>
      </c>
      <c r="E727" s="760"/>
      <c r="F727" s="760">
        <f t="shared" si="23"/>
        <v>1384.4488111654973</v>
      </c>
      <c r="M727" s="443"/>
    </row>
    <row r="728" spans="1:13">
      <c r="A728" s="640">
        <v>13113</v>
      </c>
      <c r="B728" s="640">
        <v>500</v>
      </c>
      <c r="C728" s="638">
        <v>3447.384</v>
      </c>
      <c r="D728" s="633">
        <f t="shared" si="24"/>
        <v>3447.384</v>
      </c>
      <c r="E728" s="760"/>
      <c r="F728" s="760">
        <f t="shared" si="23"/>
        <v>1454.5013896513162</v>
      </c>
      <c r="M728" s="443"/>
    </row>
    <row r="729" spans="1:13">
      <c r="A729" s="640">
        <v>13113</v>
      </c>
      <c r="B729" s="640">
        <v>600</v>
      </c>
      <c r="C729" s="638">
        <v>3882.48</v>
      </c>
      <c r="D729" s="633">
        <f t="shared" si="24"/>
        <v>3882.48</v>
      </c>
      <c r="E729" s="760"/>
      <c r="F729" s="760">
        <f t="shared" si="23"/>
        <v>1638.0747126787853</v>
      </c>
      <c r="M729" s="443"/>
    </row>
    <row r="730" spans="1:13">
      <c r="A730" s="640">
        <v>13113</v>
      </c>
      <c r="B730" s="640">
        <v>700</v>
      </c>
      <c r="C730" s="638">
        <v>4462.8990000000003</v>
      </c>
      <c r="D730" s="633">
        <f t="shared" si="24"/>
        <v>4462.8990000000003</v>
      </c>
      <c r="E730" s="760"/>
      <c r="F730" s="760">
        <f t="shared" si="23"/>
        <v>1882.9619205094266</v>
      </c>
      <c r="M730" s="443"/>
    </row>
    <row r="731" spans="1:13">
      <c r="A731" s="640">
        <v>13113</v>
      </c>
      <c r="B731" s="640">
        <v>800</v>
      </c>
      <c r="C731" s="638">
        <v>4798.2110000000002</v>
      </c>
      <c r="D731" s="633">
        <f t="shared" si="24"/>
        <v>4798.2110000000002</v>
      </c>
      <c r="E731" s="760"/>
      <c r="F731" s="760">
        <f t="shared" si="23"/>
        <v>2024.4349243775082</v>
      </c>
      <c r="M731" s="443"/>
    </row>
    <row r="732" spans="1:13">
      <c r="A732" s="640">
        <v>13113</v>
      </c>
      <c r="B732" s="640">
        <v>900</v>
      </c>
      <c r="C732" s="638">
        <v>4704.0169999999998</v>
      </c>
      <c r="D732" s="633">
        <f t="shared" si="24"/>
        <v>4704.0169999999998</v>
      </c>
      <c r="E732" s="760"/>
      <c r="F732" s="760">
        <f t="shared" si="23"/>
        <v>1984.6931074238944</v>
      </c>
      <c r="M732" s="443"/>
    </row>
    <row r="733" spans="1:13">
      <c r="A733" s="640">
        <v>13113</v>
      </c>
      <c r="B733" s="640">
        <v>1000</v>
      </c>
      <c r="C733" s="638">
        <v>4658.7809999999999</v>
      </c>
      <c r="D733" s="633">
        <f t="shared" si="24"/>
        <v>4658.7809999999999</v>
      </c>
      <c r="E733" s="760"/>
      <c r="F733" s="760">
        <f t="shared" si="23"/>
        <v>1965.6073818817829</v>
      </c>
      <c r="M733" s="443"/>
    </row>
    <row r="734" spans="1:13">
      <c r="A734" s="640">
        <v>13113</v>
      </c>
      <c r="B734" s="640">
        <v>1100</v>
      </c>
      <c r="C734" s="638">
        <v>4501.299</v>
      </c>
      <c r="D734" s="633">
        <f t="shared" si="24"/>
        <v>4501.299</v>
      </c>
      <c r="E734" s="760"/>
      <c r="F734" s="760">
        <f t="shared" si="23"/>
        <v>1899.1634383451567</v>
      </c>
      <c r="M734" s="443"/>
    </row>
    <row r="735" spans="1:13">
      <c r="A735" s="640">
        <v>13113</v>
      </c>
      <c r="B735" s="640">
        <v>1200</v>
      </c>
      <c r="C735" s="638">
        <v>4385.1559999999999</v>
      </c>
      <c r="D735" s="633">
        <f t="shared" si="24"/>
        <v>4385.1559999999999</v>
      </c>
      <c r="E735" s="760"/>
      <c r="F735" s="760">
        <f t="shared" si="23"/>
        <v>1850.1610194390316</v>
      </c>
      <c r="M735" s="443"/>
    </row>
    <row r="736" spans="1:13">
      <c r="A736" s="640">
        <v>13113</v>
      </c>
      <c r="B736" s="640">
        <v>1300</v>
      </c>
      <c r="C736" s="638">
        <v>4271.4070000000002</v>
      </c>
      <c r="D736" s="633">
        <f t="shared" si="24"/>
        <v>4271.4070000000002</v>
      </c>
      <c r="E736" s="760"/>
      <c r="F736" s="760">
        <f t="shared" si="23"/>
        <v>1802.168663910478</v>
      </c>
      <c r="M736" s="443"/>
    </row>
    <row r="737" spans="1:13">
      <c r="A737" s="640">
        <v>13113</v>
      </c>
      <c r="B737" s="640">
        <v>1400</v>
      </c>
      <c r="C737" s="638">
        <v>4191.6469999999999</v>
      </c>
      <c r="D737" s="633">
        <f t="shared" si="24"/>
        <v>4191.6469999999999</v>
      </c>
      <c r="E737" s="760"/>
      <c r="F737" s="760">
        <f t="shared" si="23"/>
        <v>1768.5167612391801</v>
      </c>
      <c r="M737" s="443"/>
    </row>
    <row r="738" spans="1:13">
      <c r="A738" s="640">
        <v>13113</v>
      </c>
      <c r="B738" s="640">
        <v>1500</v>
      </c>
      <c r="C738" s="638">
        <v>4304.8720000000003</v>
      </c>
      <c r="D738" s="633">
        <f t="shared" si="24"/>
        <v>4304.8720000000003</v>
      </c>
      <c r="E738" s="760"/>
      <c r="F738" s="760">
        <f t="shared" si="23"/>
        <v>1816.2880335556006</v>
      </c>
      <c r="M738" s="443"/>
    </row>
    <row r="739" spans="1:13">
      <c r="A739" s="640">
        <v>13113</v>
      </c>
      <c r="B739" s="640">
        <v>1600</v>
      </c>
      <c r="C739" s="638">
        <v>4461.4610000000002</v>
      </c>
      <c r="D739" s="633">
        <f t="shared" si="24"/>
        <v>4461.4610000000002</v>
      </c>
      <c r="E739" s="760"/>
      <c r="F739" s="760">
        <f t="shared" si="23"/>
        <v>1882.3552074196409</v>
      </c>
      <c r="M739" s="443"/>
    </row>
    <row r="740" spans="1:13">
      <c r="A740" s="640">
        <v>13113</v>
      </c>
      <c r="B740" s="640">
        <v>1700</v>
      </c>
      <c r="C740" s="638">
        <v>4803.2089999999998</v>
      </c>
      <c r="D740" s="633">
        <f t="shared" si="24"/>
        <v>4803.2089999999998</v>
      </c>
      <c r="E740" s="760"/>
      <c r="F740" s="760">
        <f t="shared" si="23"/>
        <v>2026.5436531833145</v>
      </c>
      <c r="M740" s="443"/>
    </row>
    <row r="741" spans="1:13">
      <c r="A741" s="640">
        <v>13113</v>
      </c>
      <c r="B741" s="640">
        <v>1800</v>
      </c>
      <c r="C741" s="638">
        <v>5098.7219999999998</v>
      </c>
      <c r="D741" s="633">
        <f t="shared" si="24"/>
        <v>5098.7219999999998</v>
      </c>
      <c r="E741" s="760"/>
      <c r="F741" s="760">
        <f t="shared" si="23"/>
        <v>2151.224880792432</v>
      </c>
      <c r="M741" s="443"/>
    </row>
    <row r="742" spans="1:13">
      <c r="A742" s="640">
        <v>13113</v>
      </c>
      <c r="B742" s="640">
        <v>1900</v>
      </c>
      <c r="C742" s="638">
        <v>5573.0969999999998</v>
      </c>
      <c r="D742" s="633">
        <f t="shared" si="24"/>
        <v>5573.0969999999998</v>
      </c>
      <c r="E742" s="760"/>
      <c r="F742" s="760">
        <f t="shared" si="23"/>
        <v>2351.3705845248396</v>
      </c>
      <c r="M742" s="443"/>
    </row>
    <row r="743" spans="1:13">
      <c r="A743" s="640">
        <v>13113</v>
      </c>
      <c r="B743" s="640">
        <v>2000</v>
      </c>
      <c r="C743" s="638">
        <v>5597.5219999999999</v>
      </c>
      <c r="D743" s="633">
        <f t="shared" si="24"/>
        <v>5597.5219999999999</v>
      </c>
      <c r="E743" s="760"/>
      <c r="F743" s="760">
        <f t="shared" si="23"/>
        <v>2361.6758468461344</v>
      </c>
      <c r="M743" s="443"/>
    </row>
    <row r="744" spans="1:13">
      <c r="A744" s="640">
        <v>13113</v>
      </c>
      <c r="B744" s="640">
        <v>2100</v>
      </c>
      <c r="C744" s="638">
        <v>5486.3639999999996</v>
      </c>
      <c r="D744" s="633">
        <f t="shared" si="24"/>
        <v>5486.3639999999996</v>
      </c>
      <c r="E744" s="760"/>
      <c r="F744" s="760">
        <f t="shared" si="23"/>
        <v>2314.7766718569655</v>
      </c>
      <c r="M744" s="443"/>
    </row>
    <row r="745" spans="1:13">
      <c r="A745" s="640">
        <v>13113</v>
      </c>
      <c r="B745" s="640">
        <v>2200</v>
      </c>
      <c r="C745" s="638">
        <v>5142.59</v>
      </c>
      <c r="D745" s="633">
        <f t="shared" si="24"/>
        <v>5142.59</v>
      </c>
      <c r="E745" s="760"/>
      <c r="F745" s="760">
        <f t="shared" si="23"/>
        <v>2169.7334272616458</v>
      </c>
      <c r="M745" s="443"/>
    </row>
    <row r="746" spans="1:13">
      <c r="A746" s="640">
        <v>13113</v>
      </c>
      <c r="B746" s="640">
        <v>2300</v>
      </c>
      <c r="C746" s="638">
        <v>4573.7879999999996</v>
      </c>
      <c r="D746" s="633">
        <f t="shared" si="24"/>
        <v>4573.7879999999996</v>
      </c>
      <c r="E746" s="760"/>
      <c r="F746" s="760">
        <f t="shared" si="23"/>
        <v>1929.7476004908397</v>
      </c>
      <c r="M746" s="443"/>
    </row>
    <row r="747" spans="1:13">
      <c r="A747" s="640">
        <v>13113</v>
      </c>
      <c r="B747" s="640">
        <v>2400</v>
      </c>
      <c r="C747" s="638">
        <v>4061.703</v>
      </c>
      <c r="D747" s="633">
        <f t="shared" si="24"/>
        <v>4061.703</v>
      </c>
      <c r="E747" s="760"/>
      <c r="F747" s="761">
        <f t="shared" si="23"/>
        <v>1713.6914999463129</v>
      </c>
      <c r="G747" s="462"/>
      <c r="M747" s="443"/>
    </row>
    <row r="748" spans="1:13">
      <c r="A748" s="640">
        <v>20113</v>
      </c>
      <c r="B748" s="640">
        <v>100</v>
      </c>
      <c r="C748" s="638">
        <v>3895.1880000000001</v>
      </c>
      <c r="D748" s="633">
        <f t="shared" si="24"/>
        <v>3895.1880000000001</v>
      </c>
      <c r="E748" s="760"/>
      <c r="F748" s="760">
        <f t="shared" ref="F748:F811" si="25">(D748/(MAX($D$748:$D$1443)))*$M$5</f>
        <v>1643.3602043861722</v>
      </c>
      <c r="M748" s="443"/>
    </row>
    <row r="749" spans="1:13">
      <c r="A749" s="640">
        <v>20113</v>
      </c>
      <c r="B749" s="640">
        <v>200</v>
      </c>
      <c r="C749" s="638">
        <v>3928.3719999999998</v>
      </c>
      <c r="D749" s="633">
        <f t="shared" si="24"/>
        <v>3928.3719999999998</v>
      </c>
      <c r="E749" s="608"/>
      <c r="F749" s="760">
        <f t="shared" si="25"/>
        <v>1657.3603669001125</v>
      </c>
      <c r="M749" s="443"/>
    </row>
    <row r="750" spans="1:13">
      <c r="A750" s="640">
        <v>20113</v>
      </c>
      <c r="B750" s="640">
        <v>300</v>
      </c>
      <c r="C750" s="638">
        <v>3891.692</v>
      </c>
      <c r="D750" s="633">
        <f t="shared" si="24"/>
        <v>3891.692</v>
      </c>
      <c r="E750" s="608"/>
      <c r="F750" s="760">
        <f t="shared" si="25"/>
        <v>1641.8852595890191</v>
      </c>
      <c r="M750" s="443"/>
    </row>
    <row r="751" spans="1:13">
      <c r="A751" s="640">
        <v>20113</v>
      </c>
      <c r="B751" s="640">
        <v>400</v>
      </c>
      <c r="C751" s="638">
        <v>3913.2939999999999</v>
      </c>
      <c r="D751" s="633">
        <f t="shared" si="24"/>
        <v>3913.2939999999999</v>
      </c>
      <c r="E751" s="608"/>
      <c r="F751" s="760">
        <f t="shared" si="25"/>
        <v>1650.9990346199418</v>
      </c>
      <c r="M751" s="443"/>
    </row>
    <row r="752" spans="1:13">
      <c r="A752" s="640">
        <v>20113</v>
      </c>
      <c r="B752" s="640">
        <v>500</v>
      </c>
      <c r="C752" s="638">
        <v>4050.6410000000001</v>
      </c>
      <c r="D752" s="633">
        <f t="shared" si="24"/>
        <v>4050.6410000000001</v>
      </c>
      <c r="E752" s="608"/>
      <c r="F752" s="760">
        <f t="shared" si="25"/>
        <v>1708.9450423586768</v>
      </c>
      <c r="M752" s="443"/>
    </row>
    <row r="753" spans="1:13">
      <c r="A753" s="640">
        <v>20113</v>
      </c>
      <c r="B753" s="640">
        <v>600</v>
      </c>
      <c r="C753" s="638">
        <v>4428.6530000000002</v>
      </c>
      <c r="D753" s="633">
        <f t="shared" si="24"/>
        <v>4428.6530000000002</v>
      </c>
      <c r="E753" s="608"/>
      <c r="F753" s="760">
        <f t="shared" si="25"/>
        <v>1868.4264018156339</v>
      </c>
      <c r="M753" s="443"/>
    </row>
    <row r="754" spans="1:13">
      <c r="A754" s="640">
        <v>20113</v>
      </c>
      <c r="B754" s="640">
        <v>700</v>
      </c>
      <c r="C754" s="638">
        <v>4962.8450000000003</v>
      </c>
      <c r="D754" s="633">
        <f t="shared" si="24"/>
        <v>4962.8450000000003</v>
      </c>
      <c r="E754" s="608"/>
      <c r="F754" s="760">
        <f t="shared" si="25"/>
        <v>2093.7993168845492</v>
      </c>
      <c r="M754" s="443"/>
    </row>
    <row r="755" spans="1:13">
      <c r="A755" s="640">
        <v>20113</v>
      </c>
      <c r="B755" s="640">
        <v>800</v>
      </c>
      <c r="C755" s="638">
        <v>5196.4579999999996</v>
      </c>
      <c r="D755" s="633">
        <f t="shared" si="24"/>
        <v>5196.4579999999996</v>
      </c>
      <c r="E755" s="608"/>
      <c r="F755" s="760">
        <f t="shared" si="25"/>
        <v>2192.3594653105729</v>
      </c>
      <c r="M755" s="443"/>
    </row>
    <row r="756" spans="1:13">
      <c r="A756" s="640">
        <v>20113</v>
      </c>
      <c r="B756" s="640">
        <v>900</v>
      </c>
      <c r="C756" s="638">
        <v>5005.7250000000004</v>
      </c>
      <c r="D756" s="633">
        <f t="shared" si="24"/>
        <v>5005.7250000000004</v>
      </c>
      <c r="E756" s="608"/>
      <c r="F756" s="760">
        <f t="shared" si="25"/>
        <v>2111.8901729777799</v>
      </c>
      <c r="M756" s="443"/>
    </row>
    <row r="757" spans="1:13">
      <c r="A757" s="640">
        <v>20113</v>
      </c>
      <c r="B757" s="640">
        <v>1000</v>
      </c>
      <c r="C757" s="638">
        <v>4677.6729999999998</v>
      </c>
      <c r="D757" s="633">
        <f t="shared" si="24"/>
        <v>4677.6729999999998</v>
      </c>
      <c r="E757" s="608"/>
      <c r="F757" s="760">
        <f t="shared" si="25"/>
        <v>1973.4866859652677</v>
      </c>
      <c r="M757" s="443"/>
    </row>
    <row r="758" spans="1:13">
      <c r="A758" s="640">
        <v>20113</v>
      </c>
      <c r="B758" s="640">
        <v>1100</v>
      </c>
      <c r="C758" s="638">
        <v>4445.6409999999996</v>
      </c>
      <c r="D758" s="633">
        <f t="shared" si="24"/>
        <v>4445.6409999999996</v>
      </c>
      <c r="E758" s="608"/>
      <c r="F758" s="760">
        <f t="shared" si="25"/>
        <v>1875.5935534786888</v>
      </c>
      <c r="M758" s="443"/>
    </row>
    <row r="759" spans="1:13">
      <c r="A759" s="640">
        <v>20113</v>
      </c>
      <c r="B759" s="640">
        <v>1200</v>
      </c>
      <c r="C759" s="638">
        <v>4277.835</v>
      </c>
      <c r="D759" s="633">
        <f t="shared" si="24"/>
        <v>4277.835</v>
      </c>
      <c r="E759" s="608"/>
      <c r="F759" s="760">
        <f t="shared" si="25"/>
        <v>1804.7970470052592</v>
      </c>
      <c r="M759" s="443"/>
    </row>
    <row r="760" spans="1:13">
      <c r="A760" s="640">
        <v>20113</v>
      </c>
      <c r="B760" s="640">
        <v>1300</v>
      </c>
      <c r="C760" s="638">
        <v>4227.2610000000004</v>
      </c>
      <c r="D760" s="633">
        <f t="shared" si="24"/>
        <v>4227.2610000000004</v>
      </c>
      <c r="E760" s="608"/>
      <c r="F760" s="760">
        <f t="shared" si="25"/>
        <v>1783.4601310523897</v>
      </c>
      <c r="M760" s="443"/>
    </row>
    <row r="761" spans="1:13">
      <c r="A761" s="640">
        <v>20113</v>
      </c>
      <c r="B761" s="640">
        <v>1400</v>
      </c>
      <c r="C761" s="638">
        <v>4084.25</v>
      </c>
      <c r="D761" s="633">
        <f t="shared" si="24"/>
        <v>4084.25</v>
      </c>
      <c r="E761" s="608"/>
      <c r="F761" s="760">
        <f t="shared" si="25"/>
        <v>1723.124510232683</v>
      </c>
      <c r="M761" s="443"/>
    </row>
    <row r="762" spans="1:13">
      <c r="A762" s="640">
        <v>20113</v>
      </c>
      <c r="B762" s="640">
        <v>1500</v>
      </c>
      <c r="C762" s="638">
        <v>4119.4229999999998</v>
      </c>
      <c r="D762" s="633">
        <f t="shared" si="24"/>
        <v>4119.4229999999998</v>
      </c>
      <c r="E762" s="608"/>
      <c r="F762" s="760">
        <f t="shared" si="25"/>
        <v>1737.9638218317314</v>
      </c>
      <c r="M762" s="443"/>
    </row>
    <row r="763" spans="1:13">
      <c r="A763" s="640">
        <v>20113</v>
      </c>
      <c r="B763" s="640">
        <v>1600</v>
      </c>
      <c r="C763" s="638">
        <v>4202.9610000000002</v>
      </c>
      <c r="D763" s="633">
        <f t="shared" si="24"/>
        <v>4202.9610000000002</v>
      </c>
      <c r="E763" s="608"/>
      <c r="F763" s="760">
        <f t="shared" si="25"/>
        <v>1773.2080834062724</v>
      </c>
      <c r="M763" s="443"/>
    </row>
    <row r="764" spans="1:13">
      <c r="A764" s="640">
        <v>20113</v>
      </c>
      <c r="B764" s="640">
        <v>1700</v>
      </c>
      <c r="C764" s="638">
        <v>4527.5339999999997</v>
      </c>
      <c r="D764" s="633">
        <f t="shared" si="24"/>
        <v>4527.5339999999997</v>
      </c>
      <c r="E764" s="608"/>
      <c r="F764" s="760">
        <f t="shared" si="25"/>
        <v>1910.1437978360334</v>
      </c>
      <c r="M764" s="443"/>
    </row>
    <row r="765" spans="1:13">
      <c r="A765" s="640">
        <v>20113</v>
      </c>
      <c r="B765" s="640">
        <v>1800</v>
      </c>
      <c r="C765" s="638">
        <v>4964.2240000000002</v>
      </c>
      <c r="D765" s="633">
        <f t="shared" si="24"/>
        <v>4964.2240000000002</v>
      </c>
      <c r="E765" s="608"/>
      <c r="F765" s="760">
        <f t="shared" si="25"/>
        <v>2094.3811100410921</v>
      </c>
      <c r="M765" s="443"/>
    </row>
    <row r="766" spans="1:13">
      <c r="A766" s="640">
        <v>20113</v>
      </c>
      <c r="B766" s="640">
        <v>1900</v>
      </c>
      <c r="C766" s="638">
        <v>5583.1229999999996</v>
      </c>
      <c r="D766" s="633">
        <f t="shared" si="24"/>
        <v>5583.1229999999996</v>
      </c>
      <c r="E766" s="608"/>
      <c r="F766" s="760">
        <f t="shared" si="25"/>
        <v>2355.4914818984703</v>
      </c>
      <c r="M766" s="443"/>
    </row>
    <row r="767" spans="1:13">
      <c r="A767" s="640">
        <v>20113</v>
      </c>
      <c r="B767" s="640">
        <v>2000</v>
      </c>
      <c r="C767" s="638">
        <v>5471.9560000000001</v>
      </c>
      <c r="D767" s="633">
        <f t="shared" si="24"/>
        <v>5471.9560000000001</v>
      </c>
      <c r="E767" s="608"/>
      <c r="F767" s="760">
        <f t="shared" si="25"/>
        <v>2308.5906843397911</v>
      </c>
      <c r="M767" s="443"/>
    </row>
    <row r="768" spans="1:13">
      <c r="A768" s="640">
        <v>20113</v>
      </c>
      <c r="B768" s="640">
        <v>2100</v>
      </c>
      <c r="C768" s="638">
        <v>5387.9979999999996</v>
      </c>
      <c r="D768" s="633">
        <f t="shared" si="24"/>
        <v>5387.9979999999996</v>
      </c>
      <c r="E768" s="608"/>
      <c r="F768" s="760">
        <f t="shared" si="25"/>
        <v>2273.1692268800089</v>
      </c>
      <c r="M768" s="443"/>
    </row>
    <row r="769" spans="1:13">
      <c r="A769" s="640">
        <v>20113</v>
      </c>
      <c r="B769" s="640">
        <v>2200</v>
      </c>
      <c r="C769" s="638">
        <v>5228.4870000000001</v>
      </c>
      <c r="D769" s="633">
        <f t="shared" si="24"/>
        <v>5228.4870000000001</v>
      </c>
      <c r="E769" s="608"/>
      <c r="F769" s="760">
        <f t="shared" si="25"/>
        <v>2205.872339140099</v>
      </c>
      <c r="M769" s="443"/>
    </row>
    <row r="770" spans="1:13">
      <c r="A770" s="640">
        <v>20113</v>
      </c>
      <c r="B770" s="640">
        <v>2300</v>
      </c>
      <c r="C770" s="638">
        <v>4867.1210000000001</v>
      </c>
      <c r="D770" s="633">
        <f t="shared" si="24"/>
        <v>4867.1210000000001</v>
      </c>
      <c r="E770" s="608"/>
      <c r="F770" s="760">
        <f t="shared" si="25"/>
        <v>2053.4138432682148</v>
      </c>
      <c r="M770" s="443"/>
    </row>
    <row r="771" spans="1:13">
      <c r="A771" s="640">
        <v>20113</v>
      </c>
      <c r="B771" s="640">
        <v>2400</v>
      </c>
      <c r="C771" s="638">
        <v>4416.2700000000004</v>
      </c>
      <c r="D771" s="633">
        <f t="shared" si="24"/>
        <v>4416.2700000000004</v>
      </c>
      <c r="E771" s="608"/>
      <c r="F771" s="760">
        <f t="shared" si="25"/>
        <v>1863.2020764657627</v>
      </c>
      <c r="M771" s="443"/>
    </row>
    <row r="772" spans="1:13">
      <c r="A772" s="640">
        <v>20213</v>
      </c>
      <c r="B772" s="640">
        <v>100</v>
      </c>
      <c r="C772" s="638">
        <v>4103.4049999999997</v>
      </c>
      <c r="D772" s="633">
        <f t="shared" si="24"/>
        <v>4103.4049999999997</v>
      </c>
      <c r="E772" s="608"/>
      <c r="F772" s="760">
        <f t="shared" si="25"/>
        <v>1731.2059082845913</v>
      </c>
      <c r="M772" s="443"/>
    </row>
    <row r="773" spans="1:13">
      <c r="A773" s="640">
        <v>20213</v>
      </c>
      <c r="B773" s="640">
        <v>200</v>
      </c>
      <c r="C773" s="638">
        <v>4244.4769999999999</v>
      </c>
      <c r="D773" s="633">
        <f t="shared" ref="D773:D836" si="26">C773</f>
        <v>4244.4769999999999</v>
      </c>
      <c r="E773" s="608"/>
      <c r="F773" s="760">
        <f t="shared" si="25"/>
        <v>1790.7234747674327</v>
      </c>
      <c r="M773" s="443"/>
    </row>
    <row r="774" spans="1:13">
      <c r="A774" s="640">
        <v>20213</v>
      </c>
      <c r="B774" s="640">
        <v>300</v>
      </c>
      <c r="C774" s="638">
        <v>4145.4260000000004</v>
      </c>
      <c r="D774" s="633">
        <f t="shared" si="26"/>
        <v>4145.4260000000004</v>
      </c>
      <c r="E774" s="608"/>
      <c r="F774" s="760">
        <f t="shared" si="25"/>
        <v>1748.934356603007</v>
      </c>
      <c r="M774" s="443"/>
    </row>
    <row r="775" spans="1:13">
      <c r="A775" s="640">
        <v>20213</v>
      </c>
      <c r="B775" s="640">
        <v>400</v>
      </c>
      <c r="C775" s="638">
        <v>4165.8450000000003</v>
      </c>
      <c r="D775" s="633">
        <f t="shared" si="26"/>
        <v>4165.8450000000003</v>
      </c>
      <c r="E775" s="608"/>
      <c r="F775" s="760">
        <f t="shared" si="25"/>
        <v>1757.5490298904995</v>
      </c>
      <c r="M775" s="443"/>
    </row>
    <row r="776" spans="1:13">
      <c r="A776" s="640">
        <v>20213</v>
      </c>
      <c r="B776" s="640">
        <v>500</v>
      </c>
      <c r="C776" s="638">
        <v>4207.4030000000002</v>
      </c>
      <c r="D776" s="633">
        <f t="shared" si="26"/>
        <v>4207.4030000000002</v>
      </c>
      <c r="E776" s="608"/>
      <c r="F776" s="760">
        <f t="shared" si="25"/>
        <v>1775.0821408401841</v>
      </c>
      <c r="M776" s="443"/>
    </row>
    <row r="777" spans="1:13">
      <c r="A777" s="640">
        <v>20213</v>
      </c>
      <c r="B777" s="640">
        <v>600</v>
      </c>
      <c r="C777" s="638">
        <v>4359.3329999999996</v>
      </c>
      <c r="D777" s="633">
        <f t="shared" si="26"/>
        <v>4359.3329999999996</v>
      </c>
      <c r="E777" s="608"/>
      <c r="F777" s="760">
        <f t="shared" si="25"/>
        <v>1839.1806428514835</v>
      </c>
      <c r="M777" s="443"/>
    </row>
    <row r="778" spans="1:13">
      <c r="A778" s="640">
        <v>20213</v>
      </c>
      <c r="B778" s="640">
        <v>700</v>
      </c>
      <c r="C778" s="638">
        <v>4521.3530000000001</v>
      </c>
      <c r="D778" s="633">
        <f t="shared" si="26"/>
        <v>4521.3530000000001</v>
      </c>
      <c r="E778" s="608"/>
      <c r="F778" s="760">
        <f t="shared" si="25"/>
        <v>1907.5360650582293</v>
      </c>
      <c r="M778" s="443"/>
    </row>
    <row r="779" spans="1:13">
      <c r="A779" s="640">
        <v>20213</v>
      </c>
      <c r="B779" s="640">
        <v>800</v>
      </c>
      <c r="C779" s="638">
        <v>4833</v>
      </c>
      <c r="D779" s="633">
        <f t="shared" si="26"/>
        <v>4833</v>
      </c>
      <c r="E779" s="608"/>
      <c r="F779" s="760">
        <f t="shared" si="25"/>
        <v>2039.0183651721998</v>
      </c>
      <c r="M779" s="443"/>
    </row>
    <row r="780" spans="1:13">
      <c r="A780" s="640">
        <v>20213</v>
      </c>
      <c r="B780" s="640">
        <v>900</v>
      </c>
      <c r="C780" s="638">
        <v>5155.54</v>
      </c>
      <c r="D780" s="633">
        <f t="shared" si="26"/>
        <v>5155.54</v>
      </c>
      <c r="E780" s="608"/>
      <c r="F780" s="760">
        <f t="shared" si="25"/>
        <v>2175.0963671383993</v>
      </c>
      <c r="M780" s="443"/>
    </row>
    <row r="781" spans="1:13">
      <c r="A781" s="640">
        <v>20213</v>
      </c>
      <c r="B781" s="640">
        <v>1000</v>
      </c>
      <c r="C781" s="638">
        <v>5341.0990000000002</v>
      </c>
      <c r="D781" s="633">
        <f t="shared" si="26"/>
        <v>5341.0990000000002</v>
      </c>
      <c r="E781" s="608"/>
      <c r="F781" s="760">
        <f t="shared" si="25"/>
        <v>2253.3827749230027</v>
      </c>
      <c r="M781" s="443"/>
    </row>
    <row r="782" spans="1:13">
      <c r="A782" s="640">
        <v>20213</v>
      </c>
      <c r="B782" s="640">
        <v>1100</v>
      </c>
      <c r="C782" s="638">
        <v>5182.9809999999998</v>
      </c>
      <c r="D782" s="633">
        <f t="shared" si="26"/>
        <v>5182.9809999999998</v>
      </c>
      <c r="E782" s="608"/>
      <c r="F782" s="760">
        <f t="shared" si="25"/>
        <v>2186.6735868691439</v>
      </c>
      <c r="M782" s="443"/>
    </row>
    <row r="783" spans="1:13">
      <c r="A783" s="640">
        <v>20213</v>
      </c>
      <c r="B783" s="640">
        <v>1200</v>
      </c>
      <c r="C783" s="638">
        <v>5128.6729999999998</v>
      </c>
      <c r="D783" s="633">
        <f t="shared" si="26"/>
        <v>5128.6729999999998</v>
      </c>
      <c r="E783" s="608"/>
      <c r="F783" s="760">
        <f t="shared" si="25"/>
        <v>2163.7613151174842</v>
      </c>
      <c r="M783" s="443"/>
    </row>
    <row r="784" spans="1:13">
      <c r="A784" s="640">
        <v>20213</v>
      </c>
      <c r="B784" s="640">
        <v>1300</v>
      </c>
      <c r="C784" s="638">
        <v>4972.4520000000002</v>
      </c>
      <c r="D784" s="633">
        <f t="shared" si="26"/>
        <v>4972.4520000000002</v>
      </c>
      <c r="E784" s="608"/>
      <c r="F784" s="760">
        <f t="shared" si="25"/>
        <v>2097.8524618119668</v>
      </c>
      <c r="M784" s="443"/>
    </row>
    <row r="785" spans="1:13">
      <c r="A785" s="640">
        <v>20213</v>
      </c>
      <c r="B785" s="640">
        <v>1400</v>
      </c>
      <c r="C785" s="638">
        <v>4826.6329999999998</v>
      </c>
      <c r="D785" s="633">
        <f t="shared" si="26"/>
        <v>4826.6329999999998</v>
      </c>
      <c r="E785" s="608"/>
      <c r="F785" s="760">
        <f t="shared" si="25"/>
        <v>2036.3321599309309</v>
      </c>
      <c r="M785" s="443"/>
    </row>
    <row r="786" spans="1:13">
      <c r="A786" s="640">
        <v>20213</v>
      </c>
      <c r="B786" s="640">
        <v>1500</v>
      </c>
      <c r="C786" s="638">
        <v>4696.0150000000003</v>
      </c>
      <c r="D786" s="633">
        <f t="shared" si="26"/>
        <v>4696.0150000000003</v>
      </c>
      <c r="E786" s="608"/>
      <c r="F786" s="760">
        <f t="shared" si="25"/>
        <v>1981.2250834107444</v>
      </c>
      <c r="M786" s="443"/>
    </row>
    <row r="787" spans="1:13">
      <c r="A787" s="640">
        <v>20213</v>
      </c>
      <c r="B787" s="640">
        <v>1600</v>
      </c>
      <c r="C787" s="638">
        <v>4761.4799999999996</v>
      </c>
      <c r="D787" s="633">
        <f t="shared" si="26"/>
        <v>4761.4799999999996</v>
      </c>
      <c r="E787" s="608"/>
      <c r="F787" s="760">
        <f t="shared" si="25"/>
        <v>2008.8444372853558</v>
      </c>
      <c r="M787" s="443"/>
    </row>
    <row r="788" spans="1:13">
      <c r="A788" s="640">
        <v>20213</v>
      </c>
      <c r="B788" s="640">
        <v>1700</v>
      </c>
      <c r="C788" s="638">
        <v>4934.3909999999996</v>
      </c>
      <c r="D788" s="633">
        <f t="shared" si="26"/>
        <v>4934.3909999999996</v>
      </c>
      <c r="E788" s="608"/>
      <c r="F788" s="760">
        <f t="shared" si="25"/>
        <v>2081.7947175544</v>
      </c>
      <c r="M788" s="443"/>
    </row>
    <row r="789" spans="1:13">
      <c r="A789" s="640">
        <v>20213</v>
      </c>
      <c r="B789" s="640">
        <v>1800</v>
      </c>
      <c r="C789" s="638">
        <v>5317.3159999999998</v>
      </c>
      <c r="D789" s="633">
        <f t="shared" si="26"/>
        <v>5317.3159999999998</v>
      </c>
      <c r="E789" s="608"/>
      <c r="F789" s="760">
        <f t="shared" si="25"/>
        <v>2243.3488469737181</v>
      </c>
      <c r="M789" s="443"/>
    </row>
    <row r="790" spans="1:13">
      <c r="A790" s="640">
        <v>20213</v>
      </c>
      <c r="B790" s="640">
        <v>1900</v>
      </c>
      <c r="C790" s="638">
        <v>5736.9719999999998</v>
      </c>
      <c r="D790" s="633">
        <f t="shared" si="26"/>
        <v>5736.9719999999998</v>
      </c>
      <c r="E790" s="608"/>
      <c r="F790" s="760">
        <f t="shared" si="25"/>
        <v>2420.399600347338</v>
      </c>
      <c r="M790" s="443"/>
    </row>
    <row r="791" spans="1:13">
      <c r="A791" s="640">
        <v>20213</v>
      </c>
      <c r="B791" s="640">
        <v>2000</v>
      </c>
      <c r="C791" s="638">
        <v>5647.2489999999998</v>
      </c>
      <c r="D791" s="633">
        <f t="shared" si="26"/>
        <v>5647.2489999999998</v>
      </c>
      <c r="E791" s="608"/>
      <c r="F791" s="760">
        <f t="shared" si="25"/>
        <v>2382.5459184151332</v>
      </c>
      <c r="M791" s="443"/>
    </row>
    <row r="792" spans="1:13">
      <c r="A792" s="640">
        <v>20213</v>
      </c>
      <c r="B792" s="640">
        <v>2100</v>
      </c>
      <c r="C792" s="638">
        <v>5379.683</v>
      </c>
      <c r="D792" s="633">
        <f t="shared" si="26"/>
        <v>5379.683</v>
      </c>
      <c r="E792" s="608"/>
      <c r="F792" s="760">
        <f t="shared" si="25"/>
        <v>2269.6611702471914</v>
      </c>
      <c r="M792" s="443"/>
    </row>
    <row r="793" spans="1:13">
      <c r="A793" s="640">
        <v>20213</v>
      </c>
      <c r="B793" s="640">
        <v>2200</v>
      </c>
      <c r="C793" s="638">
        <v>5113.884</v>
      </c>
      <c r="D793" s="633">
        <f t="shared" si="26"/>
        <v>5113.884</v>
      </c>
      <c r="E793" s="608"/>
      <c r="F793" s="760">
        <f t="shared" si="25"/>
        <v>2157.5219104821581</v>
      </c>
      <c r="M793" s="443"/>
    </row>
    <row r="794" spans="1:13">
      <c r="A794" s="640">
        <v>20213</v>
      </c>
      <c r="B794" s="640">
        <v>2300</v>
      </c>
      <c r="C794" s="638">
        <v>4885.4949999999999</v>
      </c>
      <c r="D794" s="633">
        <f t="shared" si="26"/>
        <v>4885.4949999999999</v>
      </c>
      <c r="E794" s="608"/>
      <c r="F794" s="760">
        <f t="shared" si="25"/>
        <v>2061.1657413525668</v>
      </c>
      <c r="M794" s="443"/>
    </row>
    <row r="795" spans="1:13">
      <c r="A795" s="640">
        <v>20213</v>
      </c>
      <c r="B795" s="640">
        <v>2400</v>
      </c>
      <c r="C795" s="638">
        <v>4562.6880000000001</v>
      </c>
      <c r="D795" s="633">
        <f t="shared" si="26"/>
        <v>4562.6880000000001</v>
      </c>
      <c r="E795" s="608"/>
      <c r="F795" s="760">
        <f t="shared" si="25"/>
        <v>1924.9750934307497</v>
      </c>
      <c r="M795" s="443"/>
    </row>
    <row r="796" spans="1:13">
      <c r="A796" s="640">
        <v>20313</v>
      </c>
      <c r="B796" s="640">
        <v>100</v>
      </c>
      <c r="C796" s="638">
        <v>4337.1859999999997</v>
      </c>
      <c r="D796" s="633">
        <f t="shared" si="26"/>
        <v>4337.1859999999997</v>
      </c>
      <c r="E796" s="608"/>
      <c r="F796" s="760">
        <f t="shared" si="25"/>
        <v>1829.836935064712</v>
      </c>
      <c r="M796" s="443"/>
    </row>
    <row r="797" spans="1:13">
      <c r="A797" s="640">
        <v>20313</v>
      </c>
      <c r="B797" s="640">
        <v>200</v>
      </c>
      <c r="C797" s="638">
        <v>4384.6090000000004</v>
      </c>
      <c r="D797" s="633">
        <f t="shared" si="26"/>
        <v>4384.6090000000004</v>
      </c>
      <c r="E797" s="608"/>
      <c r="F797" s="760">
        <f t="shared" si="25"/>
        <v>1849.8444599833053</v>
      </c>
      <c r="M797" s="443"/>
    </row>
    <row r="798" spans="1:13">
      <c r="A798" s="640">
        <v>20313</v>
      </c>
      <c r="B798" s="640">
        <v>300</v>
      </c>
      <c r="C798" s="638">
        <v>4266.1099999999997</v>
      </c>
      <c r="D798" s="633">
        <f t="shared" si="26"/>
        <v>4266.1099999999997</v>
      </c>
      <c r="E798" s="608"/>
      <c r="F798" s="760">
        <f t="shared" si="25"/>
        <v>1799.8503285422662</v>
      </c>
      <c r="M798" s="443"/>
    </row>
    <row r="799" spans="1:13">
      <c r="A799" s="640">
        <v>20313</v>
      </c>
      <c r="B799" s="640">
        <v>400</v>
      </c>
      <c r="C799" s="638">
        <v>4298.893</v>
      </c>
      <c r="D799" s="633">
        <f t="shared" si="26"/>
        <v>4298.893</v>
      </c>
      <c r="E799" s="608"/>
      <c r="F799" s="760">
        <f t="shared" si="25"/>
        <v>1813.6813111752977</v>
      </c>
      <c r="M799" s="443"/>
    </row>
    <row r="800" spans="1:13">
      <c r="A800" s="640">
        <v>20313</v>
      </c>
      <c r="B800" s="640">
        <v>500</v>
      </c>
      <c r="C800" s="638">
        <v>4366.7879999999996</v>
      </c>
      <c r="D800" s="633">
        <f t="shared" si="26"/>
        <v>4366.7879999999996</v>
      </c>
      <c r="E800" s="608"/>
      <c r="F800" s="760">
        <f t="shared" si="25"/>
        <v>1842.3258698145207</v>
      </c>
      <c r="M800" s="443"/>
    </row>
    <row r="801" spans="1:13">
      <c r="A801" s="640">
        <v>20313</v>
      </c>
      <c r="B801" s="640">
        <v>600</v>
      </c>
      <c r="C801" s="638">
        <v>4494.7820000000002</v>
      </c>
      <c r="D801" s="633">
        <f t="shared" si="26"/>
        <v>4494.7820000000002</v>
      </c>
      <c r="E801" s="608"/>
      <c r="F801" s="760">
        <f t="shared" si="25"/>
        <v>1896.3258939469131</v>
      </c>
      <c r="M801" s="443"/>
    </row>
    <row r="802" spans="1:13">
      <c r="A802" s="640">
        <v>20313</v>
      </c>
      <c r="B802" s="640">
        <v>700</v>
      </c>
      <c r="C802" s="638">
        <v>4688.1580000000004</v>
      </c>
      <c r="D802" s="633">
        <f t="shared" si="26"/>
        <v>4688.1580000000004</v>
      </c>
      <c r="E802" s="608"/>
      <c r="F802" s="760">
        <f t="shared" si="25"/>
        <v>1977.9102546718332</v>
      </c>
      <c r="M802" s="443"/>
    </row>
    <row r="803" spans="1:13">
      <c r="A803" s="640">
        <v>20313</v>
      </c>
      <c r="B803" s="640">
        <v>800</v>
      </c>
      <c r="C803" s="638">
        <v>4889.1289999999999</v>
      </c>
      <c r="D803" s="633">
        <f t="shared" si="26"/>
        <v>4889.1289999999999</v>
      </c>
      <c r="E803" s="608"/>
      <c r="F803" s="760">
        <f t="shared" si="25"/>
        <v>2062.6989076548712</v>
      </c>
      <c r="M803" s="443"/>
    </row>
    <row r="804" spans="1:13">
      <c r="A804" s="640">
        <v>20313</v>
      </c>
      <c r="B804" s="640">
        <v>900</v>
      </c>
      <c r="C804" s="638">
        <v>5068.32</v>
      </c>
      <c r="D804" s="633">
        <f t="shared" si="26"/>
        <v>5068.32</v>
      </c>
      <c r="E804" s="608"/>
      <c r="F804" s="760">
        <f t="shared" si="25"/>
        <v>2138.2986883032409</v>
      </c>
      <c r="M804" s="443"/>
    </row>
    <row r="805" spans="1:13">
      <c r="A805" s="640">
        <v>20313</v>
      </c>
      <c r="B805" s="640">
        <v>1000</v>
      </c>
      <c r="C805" s="638">
        <v>4971.6319999999996</v>
      </c>
      <c r="D805" s="633">
        <f t="shared" si="26"/>
        <v>4971.6319999999996</v>
      </c>
      <c r="E805" s="608"/>
      <c r="F805" s="760">
        <f t="shared" si="25"/>
        <v>2097.5065079407809</v>
      </c>
      <c r="M805" s="443"/>
    </row>
    <row r="806" spans="1:13">
      <c r="A806" s="640">
        <v>20313</v>
      </c>
      <c r="B806" s="640">
        <v>1100</v>
      </c>
      <c r="C806" s="638">
        <v>4808.7830000000004</v>
      </c>
      <c r="D806" s="633">
        <f t="shared" si="26"/>
        <v>4808.7830000000004</v>
      </c>
      <c r="E806" s="608"/>
      <c r="F806" s="760">
        <f t="shared" si="25"/>
        <v>2028.8013348081661</v>
      </c>
      <c r="M806" s="443"/>
    </row>
    <row r="807" spans="1:13">
      <c r="A807" s="640">
        <v>20313</v>
      </c>
      <c r="B807" s="640">
        <v>1200</v>
      </c>
      <c r="C807" s="638">
        <v>4825.1040000000003</v>
      </c>
      <c r="D807" s="633">
        <f t="shared" si="26"/>
        <v>4825.1040000000003</v>
      </c>
      <c r="E807" s="608"/>
      <c r="F807" s="760">
        <f t="shared" si="25"/>
        <v>2035.6870825296592</v>
      </c>
      <c r="M807" s="443"/>
    </row>
    <row r="808" spans="1:13">
      <c r="A808" s="640">
        <v>20313</v>
      </c>
      <c r="B808" s="640">
        <v>1300</v>
      </c>
      <c r="C808" s="638">
        <v>4719.9629999999997</v>
      </c>
      <c r="D808" s="633">
        <f t="shared" si="26"/>
        <v>4719.9629999999997</v>
      </c>
      <c r="E808" s="608"/>
      <c r="F808" s="760">
        <f t="shared" si="25"/>
        <v>1991.3286240292305</v>
      </c>
      <c r="M808" s="443"/>
    </row>
    <row r="809" spans="1:13">
      <c r="A809" s="640">
        <v>20313</v>
      </c>
      <c r="B809" s="640">
        <v>1400</v>
      </c>
      <c r="C809" s="638">
        <v>4648.5240000000003</v>
      </c>
      <c r="D809" s="633">
        <f t="shared" si="26"/>
        <v>4648.5240000000003</v>
      </c>
      <c r="E809" s="608"/>
      <c r="F809" s="760">
        <f t="shared" si="25"/>
        <v>1961.1888696345407</v>
      </c>
      <c r="M809" s="443"/>
    </row>
    <row r="810" spans="1:13">
      <c r="A810" s="640">
        <v>20313</v>
      </c>
      <c r="B810" s="640">
        <v>1500</v>
      </c>
      <c r="C810" s="638">
        <v>4673.0439999999999</v>
      </c>
      <c r="D810" s="633">
        <f t="shared" si="26"/>
        <v>4673.0439999999999</v>
      </c>
      <c r="E810" s="608"/>
      <c r="F810" s="760">
        <f t="shared" si="25"/>
        <v>1971.5337341729271</v>
      </c>
      <c r="M810" s="443"/>
    </row>
    <row r="811" spans="1:13">
      <c r="A811" s="640">
        <v>20313</v>
      </c>
      <c r="B811" s="640">
        <v>1600</v>
      </c>
      <c r="C811" s="638">
        <v>4824.3209999999999</v>
      </c>
      <c r="D811" s="633">
        <f t="shared" si="26"/>
        <v>4824.3209999999999</v>
      </c>
      <c r="E811" s="608"/>
      <c r="F811" s="760">
        <f t="shared" si="25"/>
        <v>2035.356738772173</v>
      </c>
      <c r="M811" s="443"/>
    </row>
    <row r="812" spans="1:13">
      <c r="A812" s="640">
        <v>20313</v>
      </c>
      <c r="B812" s="640">
        <v>1700</v>
      </c>
      <c r="C812" s="638">
        <v>5136.1660000000002</v>
      </c>
      <c r="D812" s="633">
        <f t="shared" si="26"/>
        <v>5136.1660000000002</v>
      </c>
      <c r="E812" s="608"/>
      <c r="F812" s="760">
        <f t="shared" ref="F812:F875" si="27">(D812/(MAX($D$748:$D$1443)))*$M$5</f>
        <v>2166.9225740891861</v>
      </c>
      <c r="M812" s="443"/>
    </row>
    <row r="813" spans="1:13">
      <c r="A813" s="640">
        <v>20313</v>
      </c>
      <c r="B813" s="640">
        <v>1800</v>
      </c>
      <c r="C813" s="638">
        <v>5623.1930000000002</v>
      </c>
      <c r="D813" s="633">
        <f t="shared" si="26"/>
        <v>5623.1930000000002</v>
      </c>
      <c r="E813" s="608"/>
      <c r="F813" s="760">
        <f t="shared" si="27"/>
        <v>2372.3968131404422</v>
      </c>
      <c r="M813" s="443"/>
    </row>
    <row r="814" spans="1:13">
      <c r="A814" s="640">
        <v>20313</v>
      </c>
      <c r="B814" s="640">
        <v>1900</v>
      </c>
      <c r="C814" s="638">
        <v>5906.8689999999997</v>
      </c>
      <c r="D814" s="633">
        <f t="shared" si="26"/>
        <v>5906.8689999999997</v>
      </c>
      <c r="E814" s="608"/>
      <c r="F814" s="760">
        <f t="shared" si="27"/>
        <v>2492.0782891922918</v>
      </c>
      <c r="M814" s="443"/>
    </row>
    <row r="815" spans="1:13">
      <c r="A815" s="640">
        <v>20313</v>
      </c>
      <c r="B815" s="640">
        <v>2000</v>
      </c>
      <c r="C815" s="638">
        <v>5786.1220000000003</v>
      </c>
      <c r="D815" s="633">
        <f t="shared" si="26"/>
        <v>5786.1220000000003</v>
      </c>
      <c r="E815" s="608"/>
      <c r="F815" s="760">
        <f t="shared" si="27"/>
        <v>2441.135737870246</v>
      </c>
      <c r="M815" s="443"/>
    </row>
    <row r="816" spans="1:13">
      <c r="A816" s="640">
        <v>20313</v>
      </c>
      <c r="B816" s="640">
        <v>2100</v>
      </c>
      <c r="C816" s="638">
        <v>5672.2439999999997</v>
      </c>
      <c r="D816" s="633">
        <f t="shared" si="26"/>
        <v>5672.2439999999997</v>
      </c>
      <c r="E816" s="608"/>
      <c r="F816" s="760">
        <f t="shared" si="27"/>
        <v>2393.0911830618288</v>
      </c>
      <c r="M816" s="443"/>
    </row>
    <row r="817" spans="1:13">
      <c r="A817" s="640">
        <v>20313</v>
      </c>
      <c r="B817" s="640">
        <v>2200</v>
      </c>
      <c r="C817" s="638">
        <v>5309.8580000000002</v>
      </c>
      <c r="D817" s="633">
        <f t="shared" si="26"/>
        <v>5309.8580000000002</v>
      </c>
      <c r="E817" s="608"/>
      <c r="F817" s="760">
        <f t="shared" si="27"/>
        <v>2240.2023543257869</v>
      </c>
      <c r="M817" s="443"/>
    </row>
    <row r="818" spans="1:13">
      <c r="A818" s="640">
        <v>20313</v>
      </c>
      <c r="B818" s="640">
        <v>2300</v>
      </c>
      <c r="C818" s="638">
        <v>4861.0529999999999</v>
      </c>
      <c r="D818" s="633">
        <f t="shared" si="26"/>
        <v>4861.0529999999999</v>
      </c>
      <c r="E818" s="608"/>
      <c r="F818" s="760">
        <f t="shared" si="27"/>
        <v>2050.8537846214394</v>
      </c>
      <c r="M818" s="443"/>
    </row>
    <row r="819" spans="1:13">
      <c r="A819" s="640">
        <v>20313</v>
      </c>
      <c r="B819" s="640">
        <v>2400</v>
      </c>
      <c r="C819" s="638">
        <v>4340.9480000000003</v>
      </c>
      <c r="D819" s="633">
        <f t="shared" si="26"/>
        <v>4340.9480000000003</v>
      </c>
      <c r="E819" s="608"/>
      <c r="F819" s="760">
        <f t="shared" si="27"/>
        <v>1831.4241039225185</v>
      </c>
      <c r="M819" s="443"/>
    </row>
    <row r="820" spans="1:13">
      <c r="A820" s="640">
        <v>20413</v>
      </c>
      <c r="B820" s="640">
        <v>100</v>
      </c>
      <c r="C820" s="638">
        <v>4098.42</v>
      </c>
      <c r="D820" s="633">
        <f t="shared" si="26"/>
        <v>4098.42</v>
      </c>
      <c r="E820" s="608"/>
      <c r="F820" s="760">
        <f t="shared" si="27"/>
        <v>1729.1027618847606</v>
      </c>
      <c r="M820" s="443"/>
    </row>
    <row r="821" spans="1:13">
      <c r="A821" s="640">
        <v>20413</v>
      </c>
      <c r="B821" s="640">
        <v>200</v>
      </c>
      <c r="C821" s="638">
        <v>4171.7139999999999</v>
      </c>
      <c r="D821" s="633">
        <f t="shared" si="26"/>
        <v>4171.7139999999999</v>
      </c>
      <c r="E821" s="608"/>
      <c r="F821" s="760">
        <f t="shared" si="27"/>
        <v>1760.0251314392672</v>
      </c>
      <c r="M821" s="443"/>
    </row>
    <row r="822" spans="1:13">
      <c r="A822" s="640">
        <v>20413</v>
      </c>
      <c r="B822" s="640">
        <v>300</v>
      </c>
      <c r="C822" s="638">
        <v>4064.5810000000001</v>
      </c>
      <c r="D822" s="633">
        <f t="shared" si="26"/>
        <v>4064.5810000000001</v>
      </c>
      <c r="E822" s="608"/>
      <c r="F822" s="760">
        <f t="shared" si="27"/>
        <v>1714.8262581688361</v>
      </c>
      <c r="M822" s="443"/>
    </row>
    <row r="823" spans="1:13">
      <c r="A823" s="640">
        <v>20413</v>
      </c>
      <c r="B823" s="640">
        <v>400</v>
      </c>
      <c r="C823" s="638">
        <v>4119.7070000000003</v>
      </c>
      <c r="D823" s="633">
        <f t="shared" si="26"/>
        <v>4119.7070000000003</v>
      </c>
      <c r="E823" s="608"/>
      <c r="F823" s="760">
        <f t="shared" si="27"/>
        <v>1738.0836400017522</v>
      </c>
      <c r="M823" s="443"/>
    </row>
    <row r="824" spans="1:13">
      <c r="A824" s="640">
        <v>20413</v>
      </c>
      <c r="B824" s="640">
        <v>500</v>
      </c>
      <c r="C824" s="638">
        <v>4187.8119999999999</v>
      </c>
      <c r="D824" s="633">
        <f t="shared" si="26"/>
        <v>4187.8119999999999</v>
      </c>
      <c r="E824" s="608"/>
      <c r="F824" s="760">
        <f t="shared" si="27"/>
        <v>1766.8167965835962</v>
      </c>
      <c r="M824" s="443"/>
    </row>
    <row r="825" spans="1:13">
      <c r="A825" s="640">
        <v>20413</v>
      </c>
      <c r="B825" s="640">
        <v>600</v>
      </c>
      <c r="C825" s="638">
        <v>4565.7790000000005</v>
      </c>
      <c r="D825" s="633">
        <f t="shared" si="26"/>
        <v>4565.7790000000005</v>
      </c>
      <c r="E825" s="608"/>
      <c r="F825" s="760">
        <f t="shared" si="27"/>
        <v>1926.2791707671349</v>
      </c>
      <c r="M825" s="443"/>
    </row>
    <row r="826" spans="1:13">
      <c r="A826" s="640">
        <v>20413</v>
      </c>
      <c r="B826" s="640">
        <v>700</v>
      </c>
      <c r="C826" s="638">
        <v>5107.5839999999998</v>
      </c>
      <c r="D826" s="633">
        <f t="shared" si="26"/>
        <v>5107.5839999999998</v>
      </c>
      <c r="E826" s="608"/>
      <c r="F826" s="760">
        <f t="shared" si="27"/>
        <v>2154.863972203535</v>
      </c>
      <c r="M826" s="443"/>
    </row>
    <row r="827" spans="1:13">
      <c r="A827" s="640">
        <v>20413</v>
      </c>
      <c r="B827" s="640">
        <v>800</v>
      </c>
      <c r="C827" s="638">
        <v>5285.4</v>
      </c>
      <c r="D827" s="633">
        <f t="shared" si="26"/>
        <v>5285.4</v>
      </c>
      <c r="E827" s="608"/>
      <c r="F827" s="760">
        <f t="shared" si="27"/>
        <v>2229.8836472752209</v>
      </c>
      <c r="M827" s="443"/>
    </row>
    <row r="828" spans="1:13">
      <c r="A828" s="640">
        <v>20413</v>
      </c>
      <c r="B828" s="640">
        <v>900</v>
      </c>
      <c r="C828" s="638">
        <v>4944.7219999999998</v>
      </c>
      <c r="D828" s="633">
        <f t="shared" si="26"/>
        <v>4944.7219999999998</v>
      </c>
      <c r="E828" s="608"/>
      <c r="F828" s="760">
        <f t="shared" si="27"/>
        <v>2086.1533144363771</v>
      </c>
      <c r="M828" s="443"/>
    </row>
    <row r="829" spans="1:13">
      <c r="A829" s="640">
        <v>20413</v>
      </c>
      <c r="B829" s="640">
        <v>1000</v>
      </c>
      <c r="C829" s="638">
        <v>4596.6180000000004</v>
      </c>
      <c r="D829" s="633">
        <f t="shared" si="26"/>
        <v>4596.6180000000004</v>
      </c>
      <c r="E829" s="608"/>
      <c r="F829" s="760">
        <f t="shared" si="27"/>
        <v>1939.2899895884768</v>
      </c>
      <c r="M829" s="443"/>
    </row>
    <row r="830" spans="1:13">
      <c r="A830" s="640">
        <v>20413</v>
      </c>
      <c r="B830" s="640">
        <v>1100</v>
      </c>
      <c r="C830" s="638">
        <v>4465.0379999999996</v>
      </c>
      <c r="D830" s="633">
        <f t="shared" si="26"/>
        <v>4465.0379999999996</v>
      </c>
      <c r="E830" s="608"/>
      <c r="F830" s="760">
        <f t="shared" si="27"/>
        <v>1883.7770501120935</v>
      </c>
      <c r="M830" s="443"/>
    </row>
    <row r="831" spans="1:13">
      <c r="A831" s="640">
        <v>20413</v>
      </c>
      <c r="B831" s="640">
        <v>1200</v>
      </c>
      <c r="C831" s="638">
        <v>4356.3590000000004</v>
      </c>
      <c r="D831" s="633">
        <f t="shared" si="26"/>
        <v>4356.3590000000004</v>
      </c>
      <c r="E831" s="608"/>
      <c r="F831" s="760">
        <f t="shared" si="27"/>
        <v>1837.9259272259878</v>
      </c>
      <c r="M831" s="443"/>
    </row>
    <row r="832" spans="1:13">
      <c r="A832" s="640">
        <v>20413</v>
      </c>
      <c r="B832" s="640">
        <v>1300</v>
      </c>
      <c r="C832" s="638">
        <v>4251.6670000000004</v>
      </c>
      <c r="D832" s="633">
        <f t="shared" si="26"/>
        <v>4251.6670000000004</v>
      </c>
      <c r="E832" s="608"/>
      <c r="F832" s="760">
        <f t="shared" si="27"/>
        <v>1793.7568995647821</v>
      </c>
      <c r="M832" s="443"/>
    </row>
    <row r="833" spans="1:13">
      <c r="A833" s="640">
        <v>20413</v>
      </c>
      <c r="B833" s="640">
        <v>1400</v>
      </c>
      <c r="C833" s="638">
        <v>4204.2449999999999</v>
      </c>
      <c r="D833" s="633">
        <f t="shared" si="26"/>
        <v>4204.2449999999999</v>
      </c>
      <c r="E833" s="608"/>
      <c r="F833" s="760">
        <f t="shared" si="27"/>
        <v>1773.7497965411535</v>
      </c>
      <c r="M833" s="443"/>
    </row>
    <row r="834" spans="1:13">
      <c r="A834" s="640">
        <v>20413</v>
      </c>
      <c r="B834" s="640">
        <v>1500</v>
      </c>
      <c r="C834" s="638">
        <v>4330.0150000000003</v>
      </c>
      <c r="D834" s="633">
        <f t="shared" si="26"/>
        <v>4330.0150000000003</v>
      </c>
      <c r="E834" s="608"/>
      <c r="F834" s="760">
        <f t="shared" si="27"/>
        <v>1826.8115262716951</v>
      </c>
      <c r="M834" s="443"/>
    </row>
    <row r="835" spans="1:13">
      <c r="A835" s="640">
        <v>20413</v>
      </c>
      <c r="B835" s="640">
        <v>1600</v>
      </c>
      <c r="C835" s="638">
        <v>4446.6859999999997</v>
      </c>
      <c r="D835" s="633">
        <f t="shared" si="26"/>
        <v>4446.6859999999997</v>
      </c>
      <c r="E835" s="608"/>
      <c r="F835" s="760">
        <f t="shared" si="27"/>
        <v>1876.0344337169684</v>
      </c>
      <c r="M835" s="443"/>
    </row>
    <row r="836" spans="1:13">
      <c r="A836" s="640">
        <v>20413</v>
      </c>
      <c r="B836" s="640">
        <v>1700</v>
      </c>
      <c r="C836" s="638">
        <v>4666.7889999999998</v>
      </c>
      <c r="D836" s="633">
        <f t="shared" si="26"/>
        <v>4666.7889999999998</v>
      </c>
      <c r="E836" s="608"/>
      <c r="F836" s="760">
        <f t="shared" si="27"/>
        <v>1968.8947811677228</v>
      </c>
      <c r="M836" s="443"/>
    </row>
    <row r="837" spans="1:13">
      <c r="A837" s="640">
        <v>20413</v>
      </c>
      <c r="B837" s="640">
        <v>1800</v>
      </c>
      <c r="C837" s="638">
        <v>5124.549</v>
      </c>
      <c r="D837" s="633">
        <f t="shared" ref="D837:D900" si="28">C837</f>
        <v>5124.549</v>
      </c>
      <c r="E837" s="608"/>
      <c r="F837" s="760">
        <f t="shared" si="27"/>
        <v>2162.0214202823981</v>
      </c>
      <c r="M837" s="443"/>
    </row>
    <row r="838" spans="1:13">
      <c r="A838" s="640">
        <v>20413</v>
      </c>
      <c r="B838" s="640">
        <v>1900</v>
      </c>
      <c r="C838" s="638">
        <v>5628.9139999999998</v>
      </c>
      <c r="D838" s="633">
        <f t="shared" si="28"/>
        <v>5628.9139999999998</v>
      </c>
      <c r="E838" s="608"/>
      <c r="F838" s="760">
        <f t="shared" si="27"/>
        <v>2374.8104742344108</v>
      </c>
      <c r="M838" s="443"/>
    </row>
    <row r="839" spans="1:13">
      <c r="A839" s="640">
        <v>20413</v>
      </c>
      <c r="B839" s="640">
        <v>2000</v>
      </c>
      <c r="C839" s="638">
        <v>5654.3879999999999</v>
      </c>
      <c r="D839" s="633">
        <f t="shared" si="28"/>
        <v>5654.3879999999999</v>
      </c>
      <c r="E839" s="608"/>
      <c r="F839" s="760">
        <f t="shared" si="27"/>
        <v>2385.5578265692748</v>
      </c>
      <c r="M839" s="443"/>
    </row>
    <row r="840" spans="1:13">
      <c r="A840" s="640">
        <v>20413</v>
      </c>
      <c r="B840" s="640">
        <v>2100</v>
      </c>
      <c r="C840" s="638">
        <v>5608.2120000000004</v>
      </c>
      <c r="D840" s="633">
        <f t="shared" si="28"/>
        <v>5608.2120000000004</v>
      </c>
      <c r="E840" s="608"/>
      <c r="F840" s="760">
        <f t="shared" si="27"/>
        <v>2366.0764046718627</v>
      </c>
      <c r="M840" s="443"/>
    </row>
    <row r="841" spans="1:13">
      <c r="A841" s="640">
        <v>20413</v>
      </c>
      <c r="B841" s="640">
        <v>2200</v>
      </c>
      <c r="C841" s="638">
        <v>5279.1840000000002</v>
      </c>
      <c r="D841" s="633">
        <f t="shared" si="28"/>
        <v>5279.1840000000002</v>
      </c>
      <c r="E841" s="608"/>
      <c r="F841" s="760">
        <f t="shared" si="27"/>
        <v>2227.2611481736467</v>
      </c>
      <c r="M841" s="443"/>
    </row>
    <row r="842" spans="1:13">
      <c r="A842" s="640">
        <v>20413</v>
      </c>
      <c r="B842" s="640">
        <v>2300</v>
      </c>
      <c r="C842" s="638">
        <v>4786.6790000000001</v>
      </c>
      <c r="D842" s="633">
        <f t="shared" si="28"/>
        <v>4786.6790000000001</v>
      </c>
      <c r="E842" s="608"/>
      <c r="F842" s="760">
        <f t="shared" si="27"/>
        <v>2019.475768504883</v>
      </c>
      <c r="M842" s="443"/>
    </row>
    <row r="843" spans="1:13">
      <c r="A843" s="640">
        <v>20413</v>
      </c>
      <c r="B843" s="640">
        <v>2400</v>
      </c>
      <c r="C843" s="638">
        <v>4268.2049999999999</v>
      </c>
      <c r="D843" s="633">
        <f t="shared" si="28"/>
        <v>4268.2049999999999</v>
      </c>
      <c r="E843" s="608"/>
      <c r="F843" s="760">
        <f t="shared" si="27"/>
        <v>1800.7341984936497</v>
      </c>
      <c r="M843" s="443"/>
    </row>
    <row r="844" spans="1:13">
      <c r="A844" s="640">
        <v>20513</v>
      </c>
      <c r="B844" s="640">
        <v>100</v>
      </c>
      <c r="C844" s="638">
        <v>4019.578</v>
      </c>
      <c r="D844" s="633">
        <f t="shared" si="28"/>
        <v>4019.578</v>
      </c>
      <c r="E844" s="608"/>
      <c r="F844" s="760">
        <f t="shared" si="27"/>
        <v>1695.8397190652058</v>
      </c>
      <c r="M844" s="443"/>
    </row>
    <row r="845" spans="1:13">
      <c r="A845" s="640">
        <v>20513</v>
      </c>
      <c r="B845" s="640">
        <v>200</v>
      </c>
      <c r="C845" s="638">
        <v>4083.511</v>
      </c>
      <c r="D845" s="633">
        <f t="shared" si="28"/>
        <v>4083.511</v>
      </c>
      <c r="E845" s="608"/>
      <c r="F845" s="760">
        <f t="shared" si="27"/>
        <v>1722.8127298536508</v>
      </c>
      <c r="M845" s="443"/>
    </row>
    <row r="846" spans="1:13">
      <c r="A846" s="640">
        <v>20513</v>
      </c>
      <c r="B846" s="640">
        <v>300</v>
      </c>
      <c r="C846" s="638">
        <v>4128.99</v>
      </c>
      <c r="D846" s="633">
        <f t="shared" si="28"/>
        <v>4128.99</v>
      </c>
      <c r="E846" s="608"/>
      <c r="F846" s="760">
        <f t="shared" si="27"/>
        <v>1742.0000909605546</v>
      </c>
      <c r="M846" s="443"/>
    </row>
    <row r="847" spans="1:13">
      <c r="A847" s="640">
        <v>20513</v>
      </c>
      <c r="B847" s="640">
        <v>400</v>
      </c>
      <c r="C847" s="638">
        <v>4069.9470000000001</v>
      </c>
      <c r="D847" s="633">
        <f t="shared" si="28"/>
        <v>4069.9470000000001</v>
      </c>
      <c r="E847" s="608"/>
      <c r="F847" s="760">
        <f t="shared" si="27"/>
        <v>1717.0901465502791</v>
      </c>
      <c r="M847" s="443"/>
    </row>
    <row r="848" spans="1:13">
      <c r="A848" s="640">
        <v>20513</v>
      </c>
      <c r="B848" s="640">
        <v>500</v>
      </c>
      <c r="C848" s="638">
        <v>4240.4589999999998</v>
      </c>
      <c r="D848" s="633">
        <f t="shared" si="28"/>
        <v>4240.4589999999998</v>
      </c>
      <c r="E848" s="608"/>
      <c r="F848" s="760">
        <f t="shared" si="27"/>
        <v>1789.028300798622</v>
      </c>
      <c r="M848" s="443"/>
    </row>
    <row r="849" spans="1:13">
      <c r="A849" s="640">
        <v>20513</v>
      </c>
      <c r="B849" s="640">
        <v>600</v>
      </c>
      <c r="C849" s="638">
        <v>4593.4549999999999</v>
      </c>
      <c r="D849" s="633">
        <f t="shared" si="28"/>
        <v>4593.4549999999999</v>
      </c>
      <c r="E849" s="608"/>
      <c r="F849" s="760">
        <f t="shared" si="27"/>
        <v>1937.9555358146217</v>
      </c>
      <c r="M849" s="443"/>
    </row>
    <row r="850" spans="1:13">
      <c r="A850" s="640">
        <v>20513</v>
      </c>
      <c r="B850" s="640">
        <v>700</v>
      </c>
      <c r="C850" s="638">
        <v>5140.018</v>
      </c>
      <c r="D850" s="633">
        <f t="shared" si="28"/>
        <v>5140.018</v>
      </c>
      <c r="E850" s="608"/>
      <c r="F850" s="760">
        <f t="shared" si="27"/>
        <v>2168.5477134938301</v>
      </c>
      <c r="M850" s="443"/>
    </row>
    <row r="851" spans="1:13">
      <c r="A851" s="640">
        <v>20513</v>
      </c>
      <c r="B851" s="640">
        <v>800</v>
      </c>
      <c r="C851" s="638">
        <v>5252.192</v>
      </c>
      <c r="D851" s="633">
        <f t="shared" si="28"/>
        <v>5252.192</v>
      </c>
      <c r="E851" s="608"/>
      <c r="F851" s="760">
        <f t="shared" si="27"/>
        <v>2215.8733592821245</v>
      </c>
      <c r="M851" s="443"/>
    </row>
    <row r="852" spans="1:13">
      <c r="A852" s="640">
        <v>20513</v>
      </c>
      <c r="B852" s="640">
        <v>900</v>
      </c>
      <c r="C852" s="638">
        <v>4919.68</v>
      </c>
      <c r="D852" s="633">
        <f t="shared" si="28"/>
        <v>4919.68</v>
      </c>
      <c r="E852" s="608"/>
      <c r="F852" s="760">
        <f t="shared" si="27"/>
        <v>2075.588220726333</v>
      </c>
      <c r="M852" s="443"/>
    </row>
    <row r="853" spans="1:13">
      <c r="A853" s="640">
        <v>20513</v>
      </c>
      <c r="B853" s="640">
        <v>1000</v>
      </c>
      <c r="C853" s="638">
        <v>4453.3429999999998</v>
      </c>
      <c r="D853" s="633">
        <f t="shared" si="28"/>
        <v>4453.3429999999998</v>
      </c>
      <c r="E853" s="608"/>
      <c r="F853" s="760">
        <f t="shared" si="27"/>
        <v>1878.8429884980467</v>
      </c>
      <c r="M853" s="443"/>
    </row>
    <row r="854" spans="1:13">
      <c r="A854" s="640">
        <v>20513</v>
      </c>
      <c r="B854" s="640">
        <v>1100</v>
      </c>
      <c r="C854" s="638">
        <v>4208.6499999999996</v>
      </c>
      <c r="D854" s="633">
        <f t="shared" si="28"/>
        <v>4208.6499999999996</v>
      </c>
      <c r="E854" s="608"/>
      <c r="F854" s="760">
        <f t="shared" si="27"/>
        <v>1775.6082438613651</v>
      </c>
      <c r="M854" s="443"/>
    </row>
    <row r="855" spans="1:13">
      <c r="A855" s="640">
        <v>20513</v>
      </c>
      <c r="B855" s="640">
        <v>1200</v>
      </c>
      <c r="C855" s="638">
        <v>4241.1180000000004</v>
      </c>
      <c r="D855" s="633">
        <f t="shared" si="28"/>
        <v>4241.1180000000004</v>
      </c>
      <c r="E855" s="608"/>
      <c r="F855" s="760">
        <f t="shared" si="27"/>
        <v>1789.3063295804657</v>
      </c>
      <c r="M855" s="443"/>
    </row>
    <row r="856" spans="1:13">
      <c r="A856" s="640">
        <v>20513</v>
      </c>
      <c r="B856" s="640">
        <v>1300</v>
      </c>
      <c r="C856" s="638">
        <v>4232.652</v>
      </c>
      <c r="D856" s="633">
        <f t="shared" si="28"/>
        <v>4232.652</v>
      </c>
      <c r="E856" s="608"/>
      <c r="F856" s="760">
        <f t="shared" si="27"/>
        <v>1785.734566807954</v>
      </c>
      <c r="M856" s="443"/>
    </row>
    <row r="857" spans="1:13">
      <c r="A857" s="640">
        <v>20513</v>
      </c>
      <c r="B857" s="640">
        <v>1400</v>
      </c>
      <c r="C857" s="638">
        <v>4219.3</v>
      </c>
      <c r="D857" s="633">
        <f t="shared" si="28"/>
        <v>4219.3</v>
      </c>
      <c r="E857" s="608"/>
      <c r="F857" s="760">
        <f t="shared" si="27"/>
        <v>1780.1014252371328</v>
      </c>
      <c r="M857" s="443"/>
    </row>
    <row r="858" spans="1:13">
      <c r="A858" s="640">
        <v>20513</v>
      </c>
      <c r="B858" s="640">
        <v>1500</v>
      </c>
      <c r="C858" s="638">
        <v>4166.6890000000003</v>
      </c>
      <c r="D858" s="633">
        <f t="shared" si="28"/>
        <v>4166.6890000000003</v>
      </c>
      <c r="E858" s="608"/>
      <c r="F858" s="760">
        <f t="shared" si="27"/>
        <v>1757.9051092408417</v>
      </c>
      <c r="M858" s="443"/>
    </row>
    <row r="859" spans="1:13">
      <c r="A859" s="640">
        <v>20513</v>
      </c>
      <c r="B859" s="640">
        <v>1600</v>
      </c>
      <c r="C859" s="638">
        <v>4321.0069999999996</v>
      </c>
      <c r="D859" s="633">
        <f t="shared" si="28"/>
        <v>4321.0069999999996</v>
      </c>
      <c r="E859" s="608"/>
      <c r="F859" s="760">
        <f t="shared" si="27"/>
        <v>1823.0110964282289</v>
      </c>
      <c r="M859" s="443"/>
    </row>
    <row r="860" spans="1:13">
      <c r="A860" s="640">
        <v>20513</v>
      </c>
      <c r="B860" s="640">
        <v>1700</v>
      </c>
      <c r="C860" s="638">
        <v>4856.2110000000002</v>
      </c>
      <c r="D860" s="633">
        <f t="shared" si="28"/>
        <v>4856.2110000000002</v>
      </c>
      <c r="E860" s="608"/>
      <c r="F860" s="760">
        <f t="shared" si="27"/>
        <v>2048.8109692015837</v>
      </c>
      <c r="M860" s="443"/>
    </row>
    <row r="861" spans="1:13">
      <c r="A861" s="640">
        <v>20513</v>
      </c>
      <c r="B861" s="640">
        <v>1800</v>
      </c>
      <c r="C861" s="638">
        <v>5187.2060000000001</v>
      </c>
      <c r="D861" s="633">
        <f t="shared" si="28"/>
        <v>5187.2060000000001</v>
      </c>
      <c r="E861" s="608"/>
      <c r="F861" s="760">
        <f t="shared" si="27"/>
        <v>2188.4560930956809</v>
      </c>
      <c r="M861" s="443"/>
    </row>
    <row r="862" spans="1:13">
      <c r="A862" s="640">
        <v>20513</v>
      </c>
      <c r="B862" s="640">
        <v>1900</v>
      </c>
      <c r="C862" s="638">
        <v>5509.5479999999998</v>
      </c>
      <c r="D862" s="633">
        <f t="shared" si="28"/>
        <v>5509.5479999999998</v>
      </c>
      <c r="E862" s="608"/>
      <c r="F862" s="760">
        <f t="shared" si="27"/>
        <v>2324.4505598588376</v>
      </c>
      <c r="M862" s="443"/>
    </row>
    <row r="863" spans="1:13">
      <c r="A863" s="640">
        <v>20513</v>
      </c>
      <c r="B863" s="640">
        <v>2000</v>
      </c>
      <c r="C863" s="638">
        <v>5551.1880000000001</v>
      </c>
      <c r="D863" s="633">
        <f t="shared" si="28"/>
        <v>5551.1880000000001</v>
      </c>
      <c r="E863" s="608"/>
      <c r="F863" s="760">
        <f t="shared" si="27"/>
        <v>2342.0182661956414</v>
      </c>
      <c r="M863" s="443"/>
    </row>
    <row r="864" spans="1:13">
      <c r="A864" s="640">
        <v>20513</v>
      </c>
      <c r="B864" s="640">
        <v>2100</v>
      </c>
      <c r="C864" s="638">
        <v>5448.076</v>
      </c>
      <c r="D864" s="633">
        <f t="shared" si="28"/>
        <v>5448.076</v>
      </c>
      <c r="E864" s="608"/>
      <c r="F864" s="760">
        <f t="shared" si="27"/>
        <v>2298.5158325789153</v>
      </c>
      <c r="M864" s="443"/>
    </row>
    <row r="865" spans="1:13">
      <c r="A865" s="640">
        <v>20513</v>
      </c>
      <c r="B865" s="640">
        <v>2200</v>
      </c>
      <c r="C865" s="638">
        <v>5130.1469999999999</v>
      </c>
      <c r="D865" s="633">
        <f t="shared" si="28"/>
        <v>5130.1469999999999</v>
      </c>
      <c r="E865" s="608"/>
      <c r="F865" s="760">
        <f t="shared" si="27"/>
        <v>2164.3831882956893</v>
      </c>
      <c r="M865" s="443"/>
    </row>
    <row r="866" spans="1:13">
      <c r="A866" s="640">
        <v>20513</v>
      </c>
      <c r="B866" s="640">
        <v>2300</v>
      </c>
      <c r="C866" s="638">
        <v>4652.9359999999997</v>
      </c>
      <c r="D866" s="633">
        <f t="shared" si="28"/>
        <v>4652.9359999999997</v>
      </c>
      <c r="E866" s="608"/>
      <c r="F866" s="760">
        <f t="shared" si="27"/>
        <v>1963.0502702195065</v>
      </c>
      <c r="M866" s="443"/>
    </row>
    <row r="867" spans="1:13">
      <c r="A867" s="640">
        <v>20513</v>
      </c>
      <c r="B867" s="640">
        <v>2400</v>
      </c>
      <c r="C867" s="638">
        <v>4100.9530000000004</v>
      </c>
      <c r="D867" s="633">
        <f t="shared" si="28"/>
        <v>4100.9530000000004</v>
      </c>
      <c r="E867" s="608"/>
      <c r="F867" s="760">
        <f t="shared" si="27"/>
        <v>1730.1714218307529</v>
      </c>
      <c r="M867" s="443"/>
    </row>
    <row r="868" spans="1:13">
      <c r="A868" s="640">
        <v>20613</v>
      </c>
      <c r="B868" s="640">
        <v>100</v>
      </c>
      <c r="C868" s="638">
        <v>3823.4319999999998</v>
      </c>
      <c r="D868" s="633">
        <f t="shared" si="28"/>
        <v>3823.4319999999998</v>
      </c>
      <c r="E868" s="608"/>
      <c r="F868" s="760">
        <f t="shared" si="27"/>
        <v>1613.0867092876215</v>
      </c>
      <c r="M868" s="443"/>
    </row>
    <row r="869" spans="1:13">
      <c r="A869" s="640">
        <v>20613</v>
      </c>
      <c r="B869" s="640">
        <v>200</v>
      </c>
      <c r="C869" s="638">
        <v>3919.0120000000002</v>
      </c>
      <c r="D869" s="633">
        <f t="shared" si="28"/>
        <v>3919.0120000000002</v>
      </c>
      <c r="E869" s="608"/>
      <c r="F869" s="760">
        <f t="shared" si="27"/>
        <v>1653.4114300290157</v>
      </c>
      <c r="M869" s="443"/>
    </row>
    <row r="870" spans="1:13">
      <c r="A870" s="640">
        <v>20613</v>
      </c>
      <c r="B870" s="640">
        <v>300</v>
      </c>
      <c r="C870" s="638">
        <v>3804.27</v>
      </c>
      <c r="D870" s="633">
        <f t="shared" si="28"/>
        <v>3804.27</v>
      </c>
      <c r="E870" s="608"/>
      <c r="F870" s="760">
        <f t="shared" si="27"/>
        <v>1605.0023579709589</v>
      </c>
      <c r="M870" s="443"/>
    </row>
    <row r="871" spans="1:13">
      <c r="A871" s="640">
        <v>20613</v>
      </c>
      <c r="B871" s="640">
        <v>400</v>
      </c>
      <c r="C871" s="638">
        <v>3824.6410000000001</v>
      </c>
      <c r="D871" s="633">
        <f t="shared" si="28"/>
        <v>3824.6410000000001</v>
      </c>
      <c r="E871" s="608"/>
      <c r="F871" s="760">
        <f t="shared" si="27"/>
        <v>1613.5967803001381</v>
      </c>
      <c r="M871" s="443"/>
    </row>
    <row r="872" spans="1:13">
      <c r="A872" s="640">
        <v>20613</v>
      </c>
      <c r="B872" s="640">
        <v>500</v>
      </c>
      <c r="C872" s="638">
        <v>3929.0839999999998</v>
      </c>
      <c r="D872" s="633">
        <f t="shared" si="28"/>
        <v>3929.0839999999998</v>
      </c>
      <c r="E872" s="608"/>
      <c r="F872" s="760">
        <f t="shared" si="27"/>
        <v>1657.6607561150936</v>
      </c>
      <c r="M872" s="443"/>
    </row>
    <row r="873" spans="1:13">
      <c r="A873" s="640">
        <v>20613</v>
      </c>
      <c r="B873" s="640">
        <v>600</v>
      </c>
      <c r="C873" s="638">
        <v>4261.8320000000003</v>
      </c>
      <c r="D873" s="633">
        <f t="shared" si="28"/>
        <v>4261.8320000000003</v>
      </c>
      <c r="E873" s="608"/>
      <c r="F873" s="760">
        <f t="shared" si="27"/>
        <v>1798.0454618825922</v>
      </c>
      <c r="M873" s="443"/>
    </row>
    <row r="874" spans="1:13">
      <c r="A874" s="640">
        <v>20613</v>
      </c>
      <c r="B874" s="640">
        <v>700</v>
      </c>
      <c r="C874" s="638">
        <v>4885.6310000000003</v>
      </c>
      <c r="D874" s="633">
        <f t="shared" si="28"/>
        <v>4885.6310000000003</v>
      </c>
      <c r="E874" s="608"/>
      <c r="F874" s="760">
        <f t="shared" si="27"/>
        <v>2061.223119067788</v>
      </c>
      <c r="M874" s="443"/>
    </row>
    <row r="875" spans="1:13">
      <c r="A875" s="640">
        <v>20613</v>
      </c>
      <c r="B875" s="640">
        <v>800</v>
      </c>
      <c r="C875" s="638">
        <v>5055.2060000000001</v>
      </c>
      <c r="D875" s="633">
        <f t="shared" si="28"/>
        <v>5055.2060000000001</v>
      </c>
      <c r="E875" s="608"/>
      <c r="F875" s="760">
        <f t="shared" si="27"/>
        <v>2132.7659577340569</v>
      </c>
      <c r="M875" s="443"/>
    </row>
    <row r="876" spans="1:13">
      <c r="A876" s="640">
        <v>20613</v>
      </c>
      <c r="B876" s="640">
        <v>900</v>
      </c>
      <c r="C876" s="638">
        <v>4830.6620000000003</v>
      </c>
      <c r="D876" s="633">
        <f t="shared" si="28"/>
        <v>4830.6620000000003</v>
      </c>
      <c r="E876" s="608"/>
      <c r="F876" s="760">
        <f t="shared" ref="F876:F939" si="29">(D876/(MAX($D$748:$D$1443)))*$M$5</f>
        <v>2038.0319747443555</v>
      </c>
      <c r="M876" s="443"/>
    </row>
    <row r="877" spans="1:13">
      <c r="A877" s="640">
        <v>20613</v>
      </c>
      <c r="B877" s="640">
        <v>1000</v>
      </c>
      <c r="C877" s="638">
        <v>4386.8450000000003</v>
      </c>
      <c r="D877" s="633">
        <f t="shared" si="28"/>
        <v>4386.8450000000003</v>
      </c>
      <c r="E877" s="608"/>
      <c r="F877" s="760">
        <f t="shared" si="29"/>
        <v>1850.7878171247339</v>
      </c>
      <c r="M877" s="443"/>
    </row>
    <row r="878" spans="1:13">
      <c r="A878" s="640">
        <v>20613</v>
      </c>
      <c r="B878" s="640">
        <v>1100</v>
      </c>
      <c r="C878" s="638">
        <v>4215.1530000000002</v>
      </c>
      <c r="D878" s="633">
        <f t="shared" si="28"/>
        <v>4215.1530000000002</v>
      </c>
      <c r="E878" s="608"/>
      <c r="F878" s="760">
        <f t="shared" si="29"/>
        <v>1778.3518268178552</v>
      </c>
      <c r="M878" s="443"/>
    </row>
    <row r="879" spans="1:13">
      <c r="A879" s="640">
        <v>20613</v>
      </c>
      <c r="B879" s="640">
        <v>1200</v>
      </c>
      <c r="C879" s="638">
        <v>4107.4409999999998</v>
      </c>
      <c r="D879" s="633">
        <f t="shared" si="28"/>
        <v>4107.4409999999998</v>
      </c>
      <c r="E879" s="608"/>
      <c r="F879" s="760">
        <f t="shared" si="29"/>
        <v>1732.9086763627695</v>
      </c>
      <c r="M879" s="443"/>
    </row>
    <row r="880" spans="1:13">
      <c r="A880" s="640">
        <v>20613</v>
      </c>
      <c r="B880" s="640">
        <v>1300</v>
      </c>
      <c r="C880" s="638">
        <v>3938.0720000000001</v>
      </c>
      <c r="D880" s="633">
        <f t="shared" si="28"/>
        <v>3938.0720000000001</v>
      </c>
      <c r="E880" s="608"/>
      <c r="F880" s="760">
        <f t="shared" si="29"/>
        <v>1661.4527480592624</v>
      </c>
      <c r="M880" s="443"/>
    </row>
    <row r="881" spans="1:13">
      <c r="A881" s="640">
        <v>20613</v>
      </c>
      <c r="B881" s="640">
        <v>1400</v>
      </c>
      <c r="C881" s="638">
        <v>3886.2460000000001</v>
      </c>
      <c r="D881" s="633">
        <f t="shared" si="28"/>
        <v>3886.2460000000001</v>
      </c>
      <c r="E881" s="608"/>
      <c r="F881" s="760">
        <f t="shared" si="29"/>
        <v>1639.587619610387</v>
      </c>
      <c r="M881" s="443"/>
    </row>
    <row r="882" spans="1:13">
      <c r="A882" s="640">
        <v>20613</v>
      </c>
      <c r="B882" s="640">
        <v>1500</v>
      </c>
      <c r="C882" s="638">
        <v>3843.0720000000001</v>
      </c>
      <c r="D882" s="633">
        <f t="shared" si="28"/>
        <v>3843.0720000000001</v>
      </c>
      <c r="E882" s="608"/>
      <c r="F882" s="760">
        <f t="shared" si="29"/>
        <v>1621.3727263974872</v>
      </c>
      <c r="M882" s="443"/>
    </row>
    <row r="883" spans="1:13">
      <c r="A883" s="640">
        <v>20613</v>
      </c>
      <c r="B883" s="640">
        <v>1600</v>
      </c>
      <c r="C883" s="638">
        <v>4044.7629999999999</v>
      </c>
      <c r="D883" s="633">
        <f t="shared" si="28"/>
        <v>4044.7629999999999</v>
      </c>
      <c r="E883" s="608"/>
      <c r="F883" s="760">
        <f t="shared" si="29"/>
        <v>1706.465143755225</v>
      </c>
      <c r="M883" s="443"/>
    </row>
    <row r="884" spans="1:13">
      <c r="A884" s="640">
        <v>20613</v>
      </c>
      <c r="B884" s="640">
        <v>1700</v>
      </c>
      <c r="C884" s="638">
        <v>4589.6840000000002</v>
      </c>
      <c r="D884" s="633">
        <f t="shared" si="28"/>
        <v>4589.6840000000002</v>
      </c>
      <c r="E884" s="608"/>
      <c r="F884" s="760">
        <f t="shared" si="29"/>
        <v>1936.364569902132</v>
      </c>
      <c r="M884" s="443"/>
    </row>
    <row r="885" spans="1:13">
      <c r="A885" s="640">
        <v>20613</v>
      </c>
      <c r="B885" s="640">
        <v>1800</v>
      </c>
      <c r="C885" s="638">
        <v>4918.5730000000003</v>
      </c>
      <c r="D885" s="633">
        <f t="shared" si="28"/>
        <v>4918.5730000000003</v>
      </c>
      <c r="E885" s="608"/>
      <c r="F885" s="760">
        <f t="shared" si="29"/>
        <v>2075.1211830002321</v>
      </c>
      <c r="M885" s="443"/>
    </row>
    <row r="886" spans="1:13">
      <c r="A886" s="640">
        <v>20613</v>
      </c>
      <c r="B886" s="640">
        <v>1900</v>
      </c>
      <c r="C886" s="638">
        <v>5454.5739999999996</v>
      </c>
      <c r="D886" s="633">
        <f t="shared" si="28"/>
        <v>5454.5739999999996</v>
      </c>
      <c r="E886" s="608"/>
      <c r="F886" s="760">
        <f t="shared" si="29"/>
        <v>2301.2573060605805</v>
      </c>
      <c r="M886" s="443"/>
    </row>
    <row r="887" spans="1:13">
      <c r="A887" s="640">
        <v>20613</v>
      </c>
      <c r="B887" s="640">
        <v>2000</v>
      </c>
      <c r="C887" s="638">
        <v>5591.5820000000003</v>
      </c>
      <c r="D887" s="633">
        <f t="shared" si="28"/>
        <v>5591.5820000000003</v>
      </c>
      <c r="E887" s="608"/>
      <c r="F887" s="760">
        <f t="shared" si="29"/>
        <v>2359.0602914062279</v>
      </c>
      <c r="M887" s="443"/>
    </row>
    <row r="888" spans="1:13">
      <c r="A888" s="640">
        <v>20613</v>
      </c>
      <c r="B888" s="640">
        <v>2100</v>
      </c>
      <c r="C888" s="638">
        <v>5463.2120000000004</v>
      </c>
      <c r="D888" s="633">
        <f t="shared" si="28"/>
        <v>5463.2120000000004</v>
      </c>
      <c r="E888" s="608"/>
      <c r="F888" s="760">
        <f t="shared" si="29"/>
        <v>2304.9016347670481</v>
      </c>
      <c r="M888" s="443"/>
    </row>
    <row r="889" spans="1:13">
      <c r="A889" s="640">
        <v>20613</v>
      </c>
      <c r="B889" s="640">
        <v>2200</v>
      </c>
      <c r="C889" s="638">
        <v>5209.4930000000004</v>
      </c>
      <c r="D889" s="633">
        <f t="shared" si="28"/>
        <v>5209.4930000000004</v>
      </c>
      <c r="E889" s="608"/>
      <c r="F889" s="760">
        <f t="shared" si="29"/>
        <v>2197.8588661775334</v>
      </c>
      <c r="M889" s="443"/>
    </row>
    <row r="890" spans="1:13">
      <c r="A890" s="640">
        <v>20613</v>
      </c>
      <c r="B890" s="640">
        <v>2300</v>
      </c>
      <c r="C890" s="638">
        <v>4652.107</v>
      </c>
      <c r="D890" s="633">
        <f t="shared" si="28"/>
        <v>4652.107</v>
      </c>
      <c r="E890" s="608"/>
      <c r="F890" s="760">
        <f t="shared" si="29"/>
        <v>1962.7005192936369</v>
      </c>
      <c r="M890" s="443"/>
    </row>
    <row r="891" spans="1:13">
      <c r="A891" s="640">
        <v>20613</v>
      </c>
      <c r="B891" s="640">
        <v>2400</v>
      </c>
      <c r="C891" s="638">
        <v>4177.43</v>
      </c>
      <c r="D891" s="633">
        <f t="shared" si="28"/>
        <v>4177.43</v>
      </c>
      <c r="E891" s="608"/>
      <c r="F891" s="760">
        <f t="shared" si="29"/>
        <v>1762.4366830584115</v>
      </c>
      <c r="M891" s="443"/>
    </row>
    <row r="892" spans="1:13">
      <c r="A892" s="640">
        <v>20713</v>
      </c>
      <c r="B892" s="640">
        <v>100</v>
      </c>
      <c r="C892" s="638">
        <v>3922.1210000000001</v>
      </c>
      <c r="D892" s="633">
        <f t="shared" si="28"/>
        <v>3922.1210000000001</v>
      </c>
      <c r="E892" s="608"/>
      <c r="F892" s="760">
        <f t="shared" si="29"/>
        <v>1654.7231014747679</v>
      </c>
      <c r="M892" s="443"/>
    </row>
    <row r="893" spans="1:13">
      <c r="A893" s="640">
        <v>20713</v>
      </c>
      <c r="B893" s="640">
        <v>200</v>
      </c>
      <c r="C893" s="638">
        <v>3993.5340000000001</v>
      </c>
      <c r="D893" s="633">
        <f t="shared" si="28"/>
        <v>3993.5340000000001</v>
      </c>
      <c r="E893" s="608"/>
      <c r="F893" s="760">
        <f t="shared" si="29"/>
        <v>1684.8518866003717</v>
      </c>
      <c r="M893" s="443"/>
    </row>
    <row r="894" spans="1:13">
      <c r="A894" s="640">
        <v>20713</v>
      </c>
      <c r="B894" s="640">
        <v>300</v>
      </c>
      <c r="C894" s="638">
        <v>3907.4250000000002</v>
      </c>
      <c r="D894" s="633">
        <f t="shared" si="28"/>
        <v>3907.4250000000002</v>
      </c>
      <c r="E894" s="608"/>
      <c r="F894" s="760">
        <f t="shared" si="29"/>
        <v>1648.5229330711741</v>
      </c>
      <c r="M894" s="443"/>
    </row>
    <row r="895" spans="1:13">
      <c r="A895" s="640">
        <v>20713</v>
      </c>
      <c r="B895" s="640">
        <v>400</v>
      </c>
      <c r="C895" s="638">
        <v>3951.5030000000002</v>
      </c>
      <c r="D895" s="633">
        <f t="shared" si="28"/>
        <v>3951.5030000000002</v>
      </c>
      <c r="E895" s="608"/>
      <c r="F895" s="760">
        <f t="shared" si="29"/>
        <v>1667.1192193323077</v>
      </c>
      <c r="M895" s="443"/>
    </row>
    <row r="896" spans="1:13">
      <c r="A896" s="640">
        <v>20713</v>
      </c>
      <c r="B896" s="640">
        <v>500</v>
      </c>
      <c r="C896" s="638">
        <v>4042.739</v>
      </c>
      <c r="D896" s="633">
        <f t="shared" si="28"/>
        <v>4042.739</v>
      </c>
      <c r="E896" s="608"/>
      <c r="F896" s="760">
        <f t="shared" si="29"/>
        <v>1705.6112283463467</v>
      </c>
      <c r="M896" s="443"/>
    </row>
    <row r="897" spans="1:13">
      <c r="A897" s="640">
        <v>20713</v>
      </c>
      <c r="B897" s="640">
        <v>600</v>
      </c>
      <c r="C897" s="638">
        <v>4396.3999999999996</v>
      </c>
      <c r="D897" s="633">
        <f t="shared" si="28"/>
        <v>4396.3999999999996</v>
      </c>
      <c r="E897" s="608"/>
      <c r="F897" s="760">
        <f t="shared" si="29"/>
        <v>1854.8190235139787</v>
      </c>
      <c r="M897" s="443"/>
    </row>
    <row r="898" spans="1:13">
      <c r="A898" s="640">
        <v>20713</v>
      </c>
      <c r="B898" s="640">
        <v>700</v>
      </c>
      <c r="C898" s="638">
        <v>4993.57</v>
      </c>
      <c r="D898" s="633">
        <f t="shared" si="28"/>
        <v>4993.57</v>
      </c>
      <c r="E898" s="608"/>
      <c r="F898" s="760">
        <f t="shared" si="29"/>
        <v>2106.7620396798966</v>
      </c>
      <c r="M898" s="443"/>
    </row>
    <row r="899" spans="1:13">
      <c r="A899" s="640">
        <v>20713</v>
      </c>
      <c r="B899" s="640">
        <v>800</v>
      </c>
      <c r="C899" s="638">
        <v>5182.4809999999998</v>
      </c>
      <c r="D899" s="633">
        <f t="shared" si="28"/>
        <v>5182.4809999999998</v>
      </c>
      <c r="E899" s="608"/>
      <c r="F899" s="760">
        <f t="shared" si="29"/>
        <v>2186.4626393867134</v>
      </c>
      <c r="M899" s="443"/>
    </row>
    <row r="900" spans="1:13">
      <c r="A900" s="640">
        <v>20713</v>
      </c>
      <c r="B900" s="640">
        <v>900</v>
      </c>
      <c r="C900" s="638">
        <v>5029.4679999999998</v>
      </c>
      <c r="D900" s="633">
        <f t="shared" si="28"/>
        <v>5029.4679999999998</v>
      </c>
      <c r="E900" s="608"/>
      <c r="F900" s="760">
        <f t="shared" si="29"/>
        <v>2121.9072251284692</v>
      </c>
      <c r="M900" s="443"/>
    </row>
    <row r="901" spans="1:13">
      <c r="A901" s="640">
        <v>20713</v>
      </c>
      <c r="B901" s="640">
        <v>1000</v>
      </c>
      <c r="C901" s="638">
        <v>4936.0060000000003</v>
      </c>
      <c r="D901" s="633">
        <f t="shared" ref="D901:D964" si="30">C901</f>
        <v>4936.0060000000003</v>
      </c>
      <c r="E901" s="608"/>
      <c r="F901" s="760">
        <f t="shared" si="29"/>
        <v>2082.4760779226503</v>
      </c>
      <c r="M901" s="443"/>
    </row>
    <row r="902" spans="1:13">
      <c r="A902" s="640">
        <v>20713</v>
      </c>
      <c r="B902" s="640">
        <v>1100</v>
      </c>
      <c r="C902" s="638">
        <v>4748.643</v>
      </c>
      <c r="D902" s="633">
        <f t="shared" si="30"/>
        <v>4748.643</v>
      </c>
      <c r="E902" s="608"/>
      <c r="F902" s="760">
        <f t="shared" si="29"/>
        <v>2003.4285716214381</v>
      </c>
      <c r="M902" s="443"/>
    </row>
    <row r="903" spans="1:13">
      <c r="A903" s="640">
        <v>20713</v>
      </c>
      <c r="B903" s="640">
        <v>1200</v>
      </c>
      <c r="C903" s="638">
        <v>4469.7719999999999</v>
      </c>
      <c r="D903" s="633">
        <f t="shared" si="30"/>
        <v>4469.7719999999999</v>
      </c>
      <c r="E903" s="608"/>
      <c r="F903" s="760">
        <f t="shared" si="29"/>
        <v>1885.7743008757445</v>
      </c>
      <c r="M903" s="443"/>
    </row>
    <row r="904" spans="1:13">
      <c r="A904" s="640">
        <v>20713</v>
      </c>
      <c r="B904" s="640">
        <v>1300</v>
      </c>
      <c r="C904" s="638">
        <v>4336.3850000000002</v>
      </c>
      <c r="D904" s="633">
        <f t="shared" si="30"/>
        <v>4336.3850000000002</v>
      </c>
      <c r="E904" s="608"/>
      <c r="F904" s="760">
        <f t="shared" si="29"/>
        <v>1829.4989971978584</v>
      </c>
      <c r="M904" s="443"/>
    </row>
    <row r="905" spans="1:13">
      <c r="A905" s="640">
        <v>20713</v>
      </c>
      <c r="B905" s="640">
        <v>1400</v>
      </c>
      <c r="C905" s="638">
        <v>4341.3109999999997</v>
      </c>
      <c r="D905" s="633">
        <f t="shared" si="30"/>
        <v>4341.3109999999997</v>
      </c>
      <c r="E905" s="608"/>
      <c r="F905" s="760">
        <f t="shared" si="29"/>
        <v>1831.5772517947623</v>
      </c>
      <c r="M905" s="443"/>
    </row>
    <row r="906" spans="1:13">
      <c r="A906" s="640">
        <v>20713</v>
      </c>
      <c r="B906" s="640">
        <v>1500</v>
      </c>
      <c r="C906" s="638">
        <v>4387.62</v>
      </c>
      <c r="D906" s="633">
        <f t="shared" si="30"/>
        <v>4387.62</v>
      </c>
      <c r="E906" s="608"/>
      <c r="F906" s="760">
        <f t="shared" si="29"/>
        <v>1851.114785722501</v>
      </c>
      <c r="M906" s="443"/>
    </row>
    <row r="907" spans="1:13">
      <c r="A907" s="640">
        <v>20713</v>
      </c>
      <c r="B907" s="640">
        <v>1600</v>
      </c>
      <c r="C907" s="638">
        <v>4609.732</v>
      </c>
      <c r="D907" s="633">
        <f t="shared" si="30"/>
        <v>4609.732</v>
      </c>
      <c r="E907" s="608"/>
      <c r="F907" s="760">
        <f t="shared" si="29"/>
        <v>1944.8227201576608</v>
      </c>
      <c r="M907" s="443"/>
    </row>
    <row r="908" spans="1:13">
      <c r="A908" s="640">
        <v>20713</v>
      </c>
      <c r="B908" s="640">
        <v>1700</v>
      </c>
      <c r="C908" s="638">
        <v>4946.5</v>
      </c>
      <c r="D908" s="633">
        <f t="shared" si="30"/>
        <v>4946.5</v>
      </c>
      <c r="E908" s="608"/>
      <c r="F908" s="760">
        <f t="shared" si="29"/>
        <v>2086.9034436838997</v>
      </c>
      <c r="M908" s="443"/>
    </row>
    <row r="909" spans="1:13">
      <c r="A909" s="640">
        <v>20713</v>
      </c>
      <c r="B909" s="640">
        <v>1800</v>
      </c>
      <c r="C909" s="638">
        <v>5187.8689999999997</v>
      </c>
      <c r="D909" s="633">
        <f t="shared" si="30"/>
        <v>5187.8689999999997</v>
      </c>
      <c r="E909" s="608"/>
      <c r="F909" s="760">
        <f t="shared" si="29"/>
        <v>2188.7358094573833</v>
      </c>
      <c r="M909" s="443"/>
    </row>
    <row r="910" spans="1:13">
      <c r="A910" s="640">
        <v>20713</v>
      </c>
      <c r="B910" s="640">
        <v>1900</v>
      </c>
      <c r="C910" s="638">
        <v>5564.6869999999999</v>
      </c>
      <c r="D910" s="633">
        <f t="shared" si="30"/>
        <v>5564.6869999999999</v>
      </c>
      <c r="E910" s="608"/>
      <c r="F910" s="760">
        <f t="shared" si="29"/>
        <v>2347.7134263262969</v>
      </c>
      <c r="M910" s="443"/>
    </row>
    <row r="911" spans="1:13">
      <c r="A911" s="640">
        <v>20713</v>
      </c>
      <c r="B911" s="640">
        <v>2000</v>
      </c>
      <c r="C911" s="638">
        <v>5573.5249999999996</v>
      </c>
      <c r="D911" s="633">
        <f t="shared" si="30"/>
        <v>5573.5249999999996</v>
      </c>
      <c r="E911" s="608"/>
      <c r="F911" s="760">
        <f t="shared" si="29"/>
        <v>2351.4421340257363</v>
      </c>
      <c r="M911" s="443"/>
    </row>
    <row r="912" spans="1:13">
      <c r="A912" s="640">
        <v>20713</v>
      </c>
      <c r="B912" s="640">
        <v>2100</v>
      </c>
      <c r="C912" s="638">
        <v>5492.0129999999999</v>
      </c>
      <c r="D912" s="633">
        <f t="shared" si="30"/>
        <v>5492.0129999999999</v>
      </c>
      <c r="E912" s="608"/>
      <c r="F912" s="760">
        <f t="shared" si="29"/>
        <v>2317.0526316500036</v>
      </c>
      <c r="M912" s="443"/>
    </row>
    <row r="913" spans="1:13">
      <c r="A913" s="640">
        <v>20713</v>
      </c>
      <c r="B913" s="640">
        <v>2200</v>
      </c>
      <c r="C913" s="638">
        <v>5252.3370000000004</v>
      </c>
      <c r="D913" s="633">
        <f t="shared" si="30"/>
        <v>5252.3370000000004</v>
      </c>
      <c r="E913" s="608"/>
      <c r="F913" s="760">
        <f t="shared" si="29"/>
        <v>2215.9345340520294</v>
      </c>
      <c r="M913" s="443"/>
    </row>
    <row r="914" spans="1:13">
      <c r="A914" s="640">
        <v>20713</v>
      </c>
      <c r="B914" s="640">
        <v>2300</v>
      </c>
      <c r="C914" s="638">
        <v>4616.6980000000003</v>
      </c>
      <c r="D914" s="633">
        <f t="shared" si="30"/>
        <v>4616.6980000000003</v>
      </c>
      <c r="E914" s="608"/>
      <c r="F914" s="760">
        <f t="shared" si="29"/>
        <v>1947.7616404828811</v>
      </c>
      <c r="M914" s="443"/>
    </row>
    <row r="915" spans="1:13">
      <c r="A915" s="640">
        <v>20713</v>
      </c>
      <c r="B915" s="640">
        <v>2400</v>
      </c>
      <c r="C915" s="638">
        <v>4071.0590000000002</v>
      </c>
      <c r="D915" s="633">
        <f t="shared" si="30"/>
        <v>4071.0590000000002</v>
      </c>
      <c r="E915" s="608"/>
      <c r="F915" s="760">
        <f t="shared" si="29"/>
        <v>1717.5592937512042</v>
      </c>
      <c r="M915" s="443"/>
    </row>
    <row r="916" spans="1:13">
      <c r="A916" s="640">
        <v>20813</v>
      </c>
      <c r="B916" s="640">
        <v>100</v>
      </c>
      <c r="C916" s="638">
        <v>3921.2849999999999</v>
      </c>
      <c r="D916" s="633">
        <f t="shared" si="30"/>
        <v>3921.2849999999999</v>
      </c>
      <c r="E916" s="608"/>
      <c r="F916" s="760">
        <f t="shared" si="29"/>
        <v>1654.3703972841442</v>
      </c>
      <c r="M916" s="443"/>
    </row>
    <row r="917" spans="1:13">
      <c r="A917" s="640">
        <v>20813</v>
      </c>
      <c r="B917" s="640">
        <v>200</v>
      </c>
      <c r="C917" s="638">
        <v>4004.6979999999999</v>
      </c>
      <c r="D917" s="633">
        <f t="shared" si="30"/>
        <v>4004.6979999999999</v>
      </c>
      <c r="E917" s="608"/>
      <c r="F917" s="760">
        <f t="shared" si="29"/>
        <v>1689.5619219880773</v>
      </c>
      <c r="M917" s="443"/>
    </row>
    <row r="918" spans="1:13">
      <c r="A918" s="640">
        <v>20813</v>
      </c>
      <c r="B918" s="640">
        <v>300</v>
      </c>
      <c r="C918" s="638">
        <v>3945.8980000000001</v>
      </c>
      <c r="D918" s="633">
        <f t="shared" si="30"/>
        <v>3945.8980000000001</v>
      </c>
      <c r="E918" s="608"/>
      <c r="F918" s="760">
        <f t="shared" si="29"/>
        <v>1664.754498054263</v>
      </c>
      <c r="M918" s="443"/>
    </row>
    <row r="919" spans="1:13">
      <c r="A919" s="640">
        <v>20813</v>
      </c>
      <c r="B919" s="640">
        <v>400</v>
      </c>
      <c r="C919" s="638">
        <v>3887.806</v>
      </c>
      <c r="D919" s="633">
        <f t="shared" si="30"/>
        <v>3887.806</v>
      </c>
      <c r="E919" s="608"/>
      <c r="F919" s="760">
        <f t="shared" si="29"/>
        <v>1640.2457757555699</v>
      </c>
      <c r="M919" s="443"/>
    </row>
    <row r="920" spans="1:13">
      <c r="A920" s="640">
        <v>20813</v>
      </c>
      <c r="B920" s="640">
        <v>500</v>
      </c>
      <c r="C920" s="638">
        <v>4022.3829999999998</v>
      </c>
      <c r="D920" s="633">
        <f t="shared" si="30"/>
        <v>4022.3829999999998</v>
      </c>
      <c r="E920" s="608"/>
      <c r="F920" s="760">
        <f t="shared" si="29"/>
        <v>1697.0231344416404</v>
      </c>
      <c r="M920" s="443"/>
    </row>
    <row r="921" spans="1:13">
      <c r="A921" s="640">
        <v>20813</v>
      </c>
      <c r="B921" s="640">
        <v>600</v>
      </c>
      <c r="C921" s="638">
        <v>4356.6729999999998</v>
      </c>
      <c r="D921" s="633">
        <f t="shared" si="30"/>
        <v>4356.6729999999998</v>
      </c>
      <c r="E921" s="608"/>
      <c r="F921" s="760">
        <f t="shared" si="29"/>
        <v>1838.0584022449541</v>
      </c>
      <c r="M921" s="443"/>
    </row>
    <row r="922" spans="1:13">
      <c r="A922" s="640">
        <v>20813</v>
      </c>
      <c r="B922" s="640">
        <v>700</v>
      </c>
      <c r="C922" s="638">
        <v>4741.973</v>
      </c>
      <c r="D922" s="633">
        <f t="shared" si="30"/>
        <v>4741.973</v>
      </c>
      <c r="E922" s="608"/>
      <c r="F922" s="760">
        <f t="shared" si="29"/>
        <v>2000.6145322058167</v>
      </c>
      <c r="M922" s="443"/>
    </row>
    <row r="923" spans="1:13">
      <c r="A923" s="640">
        <v>20813</v>
      </c>
      <c r="B923" s="640">
        <v>800</v>
      </c>
      <c r="C923" s="638">
        <v>4888.1419999999998</v>
      </c>
      <c r="D923" s="633">
        <f t="shared" si="30"/>
        <v>4888.1419999999998</v>
      </c>
      <c r="E923" s="608"/>
      <c r="F923" s="760">
        <f t="shared" si="29"/>
        <v>2062.2824973245533</v>
      </c>
      <c r="M923" s="443"/>
    </row>
    <row r="924" spans="1:13">
      <c r="A924" s="640">
        <v>20813</v>
      </c>
      <c r="B924" s="640">
        <v>900</v>
      </c>
      <c r="C924" s="638">
        <v>5000.7020000000002</v>
      </c>
      <c r="D924" s="633">
        <f t="shared" si="30"/>
        <v>5000.7020000000002</v>
      </c>
      <c r="E924" s="608"/>
      <c r="F924" s="760">
        <f t="shared" si="29"/>
        <v>2109.7709945692841</v>
      </c>
      <c r="M924" s="443"/>
    </row>
    <row r="925" spans="1:13">
      <c r="A925" s="640">
        <v>20813</v>
      </c>
      <c r="B925" s="640">
        <v>1000</v>
      </c>
      <c r="C925" s="638">
        <v>5164.4759999999997</v>
      </c>
      <c r="D925" s="633">
        <f t="shared" si="30"/>
        <v>5164.4759999999997</v>
      </c>
      <c r="E925" s="608"/>
      <c r="F925" s="760">
        <f t="shared" si="29"/>
        <v>2178.8664205443952</v>
      </c>
      <c r="M925" s="443"/>
    </row>
    <row r="926" spans="1:13">
      <c r="A926" s="640">
        <v>20813</v>
      </c>
      <c r="B926" s="640">
        <v>1100</v>
      </c>
      <c r="C926" s="638">
        <v>5246.2079999999996</v>
      </c>
      <c r="D926" s="633">
        <f t="shared" si="30"/>
        <v>5246.2079999999996</v>
      </c>
      <c r="E926" s="608"/>
      <c r="F926" s="760">
        <f t="shared" si="29"/>
        <v>2213.3487398123971</v>
      </c>
      <c r="M926" s="443"/>
    </row>
    <row r="927" spans="1:13">
      <c r="A927" s="640">
        <v>20813</v>
      </c>
      <c r="B927" s="640">
        <v>1200</v>
      </c>
      <c r="C927" s="638">
        <v>5127.6639999999998</v>
      </c>
      <c r="D927" s="633">
        <f t="shared" si="30"/>
        <v>5127.6639999999998</v>
      </c>
      <c r="E927" s="608"/>
      <c r="F927" s="760">
        <f t="shared" si="29"/>
        <v>2163.3356230979398</v>
      </c>
      <c r="M927" s="443"/>
    </row>
    <row r="928" spans="1:13">
      <c r="A928" s="640">
        <v>20813</v>
      </c>
      <c r="B928" s="640">
        <v>1300</v>
      </c>
      <c r="C928" s="638">
        <v>5048</v>
      </c>
      <c r="D928" s="633">
        <f t="shared" si="30"/>
        <v>5048</v>
      </c>
      <c r="E928" s="608"/>
      <c r="F928" s="760">
        <f t="shared" si="29"/>
        <v>2129.7257826172695</v>
      </c>
      <c r="M928" s="443"/>
    </row>
    <row r="929" spans="1:13">
      <c r="A929" s="640">
        <v>20813</v>
      </c>
      <c r="B929" s="640">
        <v>1400</v>
      </c>
      <c r="C929" s="638">
        <v>4996.3190000000004</v>
      </c>
      <c r="D929" s="633">
        <f t="shared" si="30"/>
        <v>4996.3190000000004</v>
      </c>
      <c r="E929" s="608"/>
      <c r="F929" s="760">
        <f t="shared" si="29"/>
        <v>2107.9218289382993</v>
      </c>
      <c r="M929" s="443"/>
    </row>
    <row r="930" spans="1:13">
      <c r="A930" s="640">
        <v>20813</v>
      </c>
      <c r="B930" s="640">
        <v>1500</v>
      </c>
      <c r="C930" s="638">
        <v>5011.41</v>
      </c>
      <c r="D930" s="633">
        <f t="shared" si="30"/>
        <v>5011.41</v>
      </c>
      <c r="E930" s="608"/>
      <c r="F930" s="760">
        <f t="shared" si="29"/>
        <v>2114.2886458530133</v>
      </c>
      <c r="M930" s="443"/>
    </row>
    <row r="931" spans="1:13">
      <c r="A931" s="640">
        <v>20813</v>
      </c>
      <c r="B931" s="640">
        <v>1600</v>
      </c>
      <c r="C931" s="638">
        <v>4999.2700000000004</v>
      </c>
      <c r="D931" s="633">
        <f t="shared" si="30"/>
        <v>4999.2700000000004</v>
      </c>
      <c r="E931" s="608"/>
      <c r="F931" s="760">
        <f t="shared" si="29"/>
        <v>2109.1668409796034</v>
      </c>
      <c r="M931" s="443"/>
    </row>
    <row r="932" spans="1:13">
      <c r="A932" s="640">
        <v>20813</v>
      </c>
      <c r="B932" s="640">
        <v>1700</v>
      </c>
      <c r="C932" s="638">
        <v>5095.4179999999997</v>
      </c>
      <c r="D932" s="633">
        <f t="shared" si="30"/>
        <v>5095.4179999999997</v>
      </c>
      <c r="E932" s="608"/>
      <c r="F932" s="760">
        <f t="shared" si="29"/>
        <v>2149.7311980610384</v>
      </c>
      <c r="M932" s="443"/>
    </row>
    <row r="933" spans="1:13">
      <c r="A933" s="640">
        <v>20813</v>
      </c>
      <c r="B933" s="640">
        <v>1800</v>
      </c>
      <c r="C933" s="638">
        <v>5477.3149999999996</v>
      </c>
      <c r="D933" s="633">
        <f t="shared" si="30"/>
        <v>5477.3149999999996</v>
      </c>
      <c r="E933" s="608"/>
      <c r="F933" s="760">
        <f t="shared" si="29"/>
        <v>2310.8516194564795</v>
      </c>
      <c r="M933" s="443"/>
    </row>
    <row r="934" spans="1:13">
      <c r="A934" s="640">
        <v>20813</v>
      </c>
      <c r="B934" s="640">
        <v>1900</v>
      </c>
      <c r="C934" s="638">
        <v>5944.2449999999999</v>
      </c>
      <c r="D934" s="633">
        <f t="shared" si="30"/>
        <v>5944.2449999999999</v>
      </c>
      <c r="E934" s="608"/>
      <c r="F934" s="760">
        <f t="shared" si="29"/>
        <v>2507.8470353989287</v>
      </c>
      <c r="M934" s="443"/>
    </row>
    <row r="935" spans="1:13">
      <c r="A935" s="640">
        <v>20813</v>
      </c>
      <c r="B935" s="640">
        <v>2000</v>
      </c>
      <c r="C935" s="638">
        <v>5930.1869999999999</v>
      </c>
      <c r="D935" s="633">
        <f t="shared" si="30"/>
        <v>5930.1869999999999</v>
      </c>
      <c r="E935" s="608"/>
      <c r="F935" s="760">
        <f t="shared" si="29"/>
        <v>2501.9160359829157</v>
      </c>
      <c r="M935" s="443"/>
    </row>
    <row r="936" spans="1:13">
      <c r="A936" s="640">
        <v>20813</v>
      </c>
      <c r="B936" s="640">
        <v>2100</v>
      </c>
      <c r="C936" s="638">
        <v>5692.4880000000003</v>
      </c>
      <c r="D936" s="633">
        <f t="shared" si="30"/>
        <v>5692.4880000000003</v>
      </c>
      <c r="E936" s="608"/>
      <c r="F936" s="760">
        <f t="shared" si="29"/>
        <v>2401.6320247304707</v>
      </c>
      <c r="M936" s="443"/>
    </row>
    <row r="937" spans="1:13">
      <c r="A937" s="640">
        <v>20813</v>
      </c>
      <c r="B937" s="640">
        <v>2200</v>
      </c>
      <c r="C937" s="638">
        <v>5429.9359999999997</v>
      </c>
      <c r="D937" s="633">
        <f t="shared" si="30"/>
        <v>5429.9359999999997</v>
      </c>
      <c r="E937" s="608"/>
      <c r="F937" s="760">
        <f t="shared" si="29"/>
        <v>2290.8626579163406</v>
      </c>
      <c r="M937" s="443"/>
    </row>
    <row r="938" spans="1:13">
      <c r="A938" s="640">
        <v>20813</v>
      </c>
      <c r="B938" s="640">
        <v>2300</v>
      </c>
      <c r="C938" s="638">
        <v>4951.8630000000003</v>
      </c>
      <c r="D938" s="633">
        <f t="shared" si="30"/>
        <v>4951.8630000000003</v>
      </c>
      <c r="E938" s="608"/>
      <c r="F938" s="760">
        <f t="shared" si="29"/>
        <v>2089.1660663804482</v>
      </c>
      <c r="M938" s="443"/>
    </row>
    <row r="939" spans="1:13">
      <c r="A939" s="640">
        <v>20813</v>
      </c>
      <c r="B939" s="640">
        <v>2400</v>
      </c>
      <c r="C939" s="638">
        <v>4497.835</v>
      </c>
      <c r="D939" s="633">
        <f t="shared" si="30"/>
        <v>4497.835</v>
      </c>
      <c r="E939" s="608"/>
      <c r="F939" s="760">
        <f t="shared" si="29"/>
        <v>1897.6139392746331</v>
      </c>
      <c r="M939" s="443"/>
    </row>
    <row r="940" spans="1:13">
      <c r="A940" s="640">
        <v>20913</v>
      </c>
      <c r="B940" s="640">
        <v>100</v>
      </c>
      <c r="C940" s="638">
        <v>4256.5379999999996</v>
      </c>
      <c r="D940" s="633">
        <f t="shared" si="30"/>
        <v>4256.5379999999996</v>
      </c>
      <c r="E940" s="608"/>
      <c r="F940" s="760">
        <f t="shared" ref="F940:F1003" si="31">(D940/(MAX($D$748:$D$1443)))*$M$5</f>
        <v>1795.8119499386187</v>
      </c>
      <c r="M940" s="443"/>
    </row>
    <row r="941" spans="1:13">
      <c r="A941" s="640">
        <v>20913</v>
      </c>
      <c r="B941" s="640">
        <v>200</v>
      </c>
      <c r="C941" s="638">
        <v>4247.4750000000004</v>
      </c>
      <c r="D941" s="633">
        <f t="shared" si="30"/>
        <v>4247.4750000000004</v>
      </c>
      <c r="E941" s="608"/>
      <c r="F941" s="760">
        <f t="shared" si="31"/>
        <v>1791.9883158720859</v>
      </c>
      <c r="M941" s="443"/>
    </row>
    <row r="942" spans="1:13">
      <c r="A942" s="640">
        <v>20913</v>
      </c>
      <c r="B942" s="640">
        <v>300</v>
      </c>
      <c r="C942" s="638">
        <v>4167.5439999999999</v>
      </c>
      <c r="D942" s="633">
        <f t="shared" si="30"/>
        <v>4167.5439999999999</v>
      </c>
      <c r="E942" s="608"/>
      <c r="F942" s="760">
        <f t="shared" si="31"/>
        <v>1758.2658294357977</v>
      </c>
      <c r="M942" s="443"/>
    </row>
    <row r="943" spans="1:13">
      <c r="A943" s="640">
        <v>20913</v>
      </c>
      <c r="B943" s="640">
        <v>400</v>
      </c>
      <c r="C943" s="638">
        <v>4171.6530000000002</v>
      </c>
      <c r="D943" s="633">
        <f t="shared" si="30"/>
        <v>4171.6530000000002</v>
      </c>
      <c r="E943" s="608"/>
      <c r="F943" s="760">
        <f t="shared" si="31"/>
        <v>1759.9993958464108</v>
      </c>
      <c r="M943" s="443"/>
    </row>
    <row r="944" spans="1:13">
      <c r="A944" s="640">
        <v>20913</v>
      </c>
      <c r="B944" s="640">
        <v>500</v>
      </c>
      <c r="C944" s="638">
        <v>4266.1459999999997</v>
      </c>
      <c r="D944" s="633">
        <f t="shared" si="30"/>
        <v>4266.1459999999997</v>
      </c>
      <c r="E944" s="608"/>
      <c r="F944" s="760">
        <f t="shared" si="31"/>
        <v>1799.8655167610011</v>
      </c>
      <c r="M944" s="443"/>
    </row>
    <row r="945" spans="1:13">
      <c r="A945" s="640">
        <v>20913</v>
      </c>
      <c r="B945" s="640">
        <v>600</v>
      </c>
      <c r="C945" s="638">
        <v>4388.049</v>
      </c>
      <c r="D945" s="633">
        <f t="shared" si="30"/>
        <v>4388.049</v>
      </c>
      <c r="E945" s="608"/>
      <c r="F945" s="760">
        <f t="shared" si="31"/>
        <v>1851.2957786624263</v>
      </c>
      <c r="M945" s="443"/>
    </row>
    <row r="946" spans="1:13">
      <c r="A946" s="640">
        <v>20913</v>
      </c>
      <c r="B946" s="640">
        <v>700</v>
      </c>
      <c r="C946" s="638">
        <v>4632.1210000000001</v>
      </c>
      <c r="D946" s="633">
        <f t="shared" si="30"/>
        <v>4632.1210000000001</v>
      </c>
      <c r="E946" s="608"/>
      <c r="F946" s="760">
        <f t="shared" si="31"/>
        <v>1954.2685265259292</v>
      </c>
      <c r="M946" s="443"/>
    </row>
    <row r="947" spans="1:13">
      <c r="A947" s="640">
        <v>20913</v>
      </c>
      <c r="B947" s="640">
        <v>800</v>
      </c>
      <c r="C947" s="638">
        <v>4825.4269999999997</v>
      </c>
      <c r="D947" s="633">
        <f t="shared" si="30"/>
        <v>4825.4269999999997</v>
      </c>
      <c r="E947" s="608"/>
      <c r="F947" s="760">
        <f t="shared" si="31"/>
        <v>2035.8233546033089</v>
      </c>
      <c r="M947" s="443"/>
    </row>
    <row r="948" spans="1:13">
      <c r="A948" s="640">
        <v>20913</v>
      </c>
      <c r="B948" s="640">
        <v>900</v>
      </c>
      <c r="C948" s="638">
        <v>4767.4809999999998</v>
      </c>
      <c r="D948" s="633">
        <f t="shared" si="30"/>
        <v>4767.4809999999998</v>
      </c>
      <c r="E948" s="608"/>
      <c r="F948" s="760">
        <f t="shared" si="31"/>
        <v>2011.3762289694855</v>
      </c>
      <c r="M948" s="443"/>
    </row>
    <row r="949" spans="1:13">
      <c r="A949" s="640">
        <v>20913</v>
      </c>
      <c r="B949" s="640">
        <v>1000</v>
      </c>
      <c r="C949" s="638">
        <v>4633.8909999999996</v>
      </c>
      <c r="D949" s="633">
        <f t="shared" si="30"/>
        <v>4633.8909999999996</v>
      </c>
      <c r="E949" s="608"/>
      <c r="F949" s="760">
        <f t="shared" si="31"/>
        <v>1955.0152806137326</v>
      </c>
      <c r="M949" s="443"/>
    </row>
    <row r="950" spans="1:13">
      <c r="A950" s="640">
        <v>20913</v>
      </c>
      <c r="B950" s="640">
        <v>1100</v>
      </c>
      <c r="C950" s="638">
        <v>4597.1790000000001</v>
      </c>
      <c r="D950" s="633">
        <f t="shared" si="30"/>
        <v>4597.1790000000001</v>
      </c>
      <c r="E950" s="608"/>
      <c r="F950" s="760">
        <f t="shared" si="31"/>
        <v>1939.5266726637633</v>
      </c>
      <c r="M950" s="443"/>
    </row>
    <row r="951" spans="1:13">
      <c r="A951" s="640">
        <v>20913</v>
      </c>
      <c r="B951" s="640">
        <v>1200</v>
      </c>
      <c r="C951" s="638">
        <v>4392.9120000000003</v>
      </c>
      <c r="D951" s="633">
        <f t="shared" si="30"/>
        <v>4392.9120000000003</v>
      </c>
      <c r="E951" s="608"/>
      <c r="F951" s="760">
        <f t="shared" si="31"/>
        <v>1853.3474538765445</v>
      </c>
      <c r="M951" s="443"/>
    </row>
    <row r="952" spans="1:13">
      <c r="A952" s="640">
        <v>20913</v>
      </c>
      <c r="B952" s="640">
        <v>1300</v>
      </c>
      <c r="C952" s="638">
        <v>4242.6080000000002</v>
      </c>
      <c r="D952" s="633">
        <f t="shared" si="30"/>
        <v>4242.6080000000002</v>
      </c>
      <c r="E952" s="608"/>
      <c r="F952" s="760">
        <f t="shared" si="31"/>
        <v>1789.9349530781083</v>
      </c>
      <c r="M952" s="443"/>
    </row>
    <row r="953" spans="1:13">
      <c r="A953" s="640">
        <v>20913</v>
      </c>
      <c r="B953" s="640">
        <v>1400</v>
      </c>
      <c r="C953" s="638">
        <v>4107.3720000000003</v>
      </c>
      <c r="D953" s="633">
        <f t="shared" si="30"/>
        <v>4107.3720000000003</v>
      </c>
      <c r="E953" s="608"/>
      <c r="F953" s="760">
        <f t="shared" si="31"/>
        <v>1732.8795656101943</v>
      </c>
      <c r="M953" s="443"/>
    </row>
    <row r="954" spans="1:13">
      <c r="A954" s="640">
        <v>20913</v>
      </c>
      <c r="B954" s="640">
        <v>1500</v>
      </c>
      <c r="C954" s="638">
        <v>3982.672</v>
      </c>
      <c r="D954" s="633">
        <f t="shared" si="30"/>
        <v>3982.672</v>
      </c>
      <c r="E954" s="608"/>
      <c r="F954" s="760">
        <f t="shared" si="31"/>
        <v>1680.2692634920538</v>
      </c>
      <c r="M954" s="443"/>
    </row>
    <row r="955" spans="1:13">
      <c r="A955" s="640">
        <v>20913</v>
      </c>
      <c r="B955" s="640">
        <v>1600</v>
      </c>
      <c r="C955" s="638">
        <v>4030.5459999999998</v>
      </c>
      <c r="D955" s="633">
        <f t="shared" si="30"/>
        <v>4030.5459999999998</v>
      </c>
      <c r="E955" s="608"/>
      <c r="F955" s="760">
        <f t="shared" si="31"/>
        <v>1700.4670630397989</v>
      </c>
      <c r="M955" s="443"/>
    </row>
    <row r="956" spans="1:13">
      <c r="A956" s="640">
        <v>20913</v>
      </c>
      <c r="B956" s="640">
        <v>1700</v>
      </c>
      <c r="C956" s="638">
        <v>4159.8649999999998</v>
      </c>
      <c r="D956" s="633">
        <f t="shared" si="30"/>
        <v>4159.8649999999998</v>
      </c>
      <c r="E956" s="608"/>
      <c r="F956" s="760">
        <f t="shared" si="31"/>
        <v>1755.0260980006315</v>
      </c>
      <c r="M956" s="443"/>
    </row>
    <row r="957" spans="1:13">
      <c r="A957" s="640">
        <v>20913</v>
      </c>
      <c r="B957" s="640">
        <v>1800</v>
      </c>
      <c r="C957" s="638">
        <v>4726.2920000000004</v>
      </c>
      <c r="D957" s="633">
        <f t="shared" si="30"/>
        <v>4726.2920000000004</v>
      </c>
      <c r="E957" s="608"/>
      <c r="F957" s="760">
        <f t="shared" si="31"/>
        <v>1993.9987972618349</v>
      </c>
      <c r="M957" s="443"/>
    </row>
    <row r="958" spans="1:13">
      <c r="A958" s="640">
        <v>20913</v>
      </c>
      <c r="B958" s="640">
        <v>1900</v>
      </c>
      <c r="C958" s="638">
        <v>5424.2780000000002</v>
      </c>
      <c r="D958" s="633">
        <f t="shared" si="30"/>
        <v>5424.2780000000002</v>
      </c>
      <c r="E958" s="608"/>
      <c r="F958" s="760">
        <f t="shared" si="31"/>
        <v>2288.4755762051582</v>
      </c>
      <c r="M958" s="443"/>
    </row>
    <row r="959" spans="1:13">
      <c r="A959" s="640">
        <v>20913</v>
      </c>
      <c r="B959" s="640">
        <v>2000</v>
      </c>
      <c r="C959" s="638">
        <v>5253.8450000000003</v>
      </c>
      <c r="D959" s="633">
        <f t="shared" si="30"/>
        <v>5253.8450000000003</v>
      </c>
      <c r="E959" s="608"/>
      <c r="F959" s="760">
        <f t="shared" si="31"/>
        <v>2216.5707516590392</v>
      </c>
      <c r="M959" s="443"/>
    </row>
    <row r="960" spans="1:13">
      <c r="A960" s="640">
        <v>20913</v>
      </c>
      <c r="B960" s="640">
        <v>2100</v>
      </c>
      <c r="C960" s="638">
        <v>5193.8630000000003</v>
      </c>
      <c r="D960" s="633">
        <f t="shared" si="30"/>
        <v>5193.8630000000003</v>
      </c>
      <c r="E960" s="608"/>
      <c r="F960" s="760">
        <f t="shared" si="31"/>
        <v>2191.2646478767592</v>
      </c>
      <c r="M960" s="443"/>
    </row>
    <row r="961" spans="1:13">
      <c r="A961" s="640">
        <v>20913</v>
      </c>
      <c r="B961" s="640">
        <v>2200</v>
      </c>
      <c r="C961" s="638">
        <v>5040.3810000000003</v>
      </c>
      <c r="D961" s="633">
        <f t="shared" si="30"/>
        <v>5040.3810000000003</v>
      </c>
      <c r="E961" s="608"/>
      <c r="F961" s="760">
        <f t="shared" si="31"/>
        <v>2126.5113648799952</v>
      </c>
      <c r="M961" s="443"/>
    </row>
    <row r="962" spans="1:13">
      <c r="A962" s="640">
        <v>20913</v>
      </c>
      <c r="B962" s="640">
        <v>2300</v>
      </c>
      <c r="C962" s="638">
        <v>4786.5559999999996</v>
      </c>
      <c r="D962" s="633">
        <f t="shared" si="30"/>
        <v>4786.5559999999996</v>
      </c>
      <c r="E962" s="608"/>
      <c r="F962" s="760">
        <f t="shared" si="31"/>
        <v>2019.4238754242049</v>
      </c>
      <c r="M962" s="443"/>
    </row>
    <row r="963" spans="1:13">
      <c r="A963" s="640">
        <v>20913</v>
      </c>
      <c r="B963" s="640">
        <v>2400</v>
      </c>
      <c r="C963" s="638">
        <v>4451.7290000000003</v>
      </c>
      <c r="D963" s="633">
        <f t="shared" si="30"/>
        <v>4451.7290000000003</v>
      </c>
      <c r="E963" s="608"/>
      <c r="F963" s="760">
        <f t="shared" si="31"/>
        <v>1878.1620500247614</v>
      </c>
      <c r="M963" s="443"/>
    </row>
    <row r="964" spans="1:13">
      <c r="A964" s="640">
        <v>21013</v>
      </c>
      <c r="B964" s="640">
        <v>100</v>
      </c>
      <c r="C964" s="638">
        <v>4249.1750000000002</v>
      </c>
      <c r="D964" s="633">
        <f t="shared" si="30"/>
        <v>4249.1750000000002</v>
      </c>
      <c r="E964" s="608"/>
      <c r="F964" s="760">
        <f t="shared" si="31"/>
        <v>1792.705537312349</v>
      </c>
      <c r="M964" s="443"/>
    </row>
    <row r="965" spans="1:13">
      <c r="A965" s="640">
        <v>21013</v>
      </c>
      <c r="B965" s="640">
        <v>200</v>
      </c>
      <c r="C965" s="638">
        <v>4285.41</v>
      </c>
      <c r="D965" s="633">
        <f t="shared" ref="D965:D1028" si="32">C965</f>
        <v>4285.41</v>
      </c>
      <c r="E965" s="608"/>
      <c r="F965" s="760">
        <f t="shared" si="31"/>
        <v>1807.9929013640794</v>
      </c>
      <c r="M965" s="443"/>
    </row>
    <row r="966" spans="1:13">
      <c r="A966" s="640">
        <v>21013</v>
      </c>
      <c r="B966" s="640">
        <v>300</v>
      </c>
      <c r="C966" s="638">
        <v>4281.3590000000004</v>
      </c>
      <c r="D966" s="633">
        <f t="shared" si="32"/>
        <v>4281.3590000000004</v>
      </c>
      <c r="E966" s="608"/>
      <c r="F966" s="760">
        <f t="shared" si="31"/>
        <v>1806.2838048614287</v>
      </c>
      <c r="M966" s="443"/>
    </row>
    <row r="967" spans="1:13">
      <c r="A967" s="640">
        <v>21013</v>
      </c>
      <c r="B967" s="640">
        <v>400</v>
      </c>
      <c r="C967" s="638">
        <v>4292.2939999999999</v>
      </c>
      <c r="D967" s="633">
        <f t="shared" si="32"/>
        <v>4292.2939999999999</v>
      </c>
      <c r="E967" s="608"/>
      <c r="F967" s="760">
        <f t="shared" si="31"/>
        <v>1810.8972263021813</v>
      </c>
      <c r="M967" s="443"/>
    </row>
    <row r="968" spans="1:13">
      <c r="A968" s="640">
        <v>21013</v>
      </c>
      <c r="B968" s="640">
        <v>500</v>
      </c>
      <c r="C968" s="638">
        <v>4304.4620000000004</v>
      </c>
      <c r="D968" s="633">
        <f t="shared" si="32"/>
        <v>4304.4620000000004</v>
      </c>
      <c r="E968" s="608"/>
      <c r="F968" s="760">
        <f t="shared" si="31"/>
        <v>1816.0308442346075</v>
      </c>
      <c r="M968" s="443"/>
    </row>
    <row r="969" spans="1:13">
      <c r="A969" s="640">
        <v>21013</v>
      </c>
      <c r="B969" s="640">
        <v>600</v>
      </c>
      <c r="C969" s="638">
        <v>4412.54</v>
      </c>
      <c r="D969" s="633">
        <f t="shared" si="32"/>
        <v>4412.54</v>
      </c>
      <c r="E969" s="608"/>
      <c r="F969" s="760">
        <f t="shared" si="31"/>
        <v>1861.6284082468319</v>
      </c>
      <c r="M969" s="443"/>
    </row>
    <row r="970" spans="1:13">
      <c r="A970" s="640">
        <v>21013</v>
      </c>
      <c r="B970" s="640">
        <v>700</v>
      </c>
      <c r="C970" s="638">
        <v>4632.3720000000003</v>
      </c>
      <c r="D970" s="633">
        <f t="shared" si="32"/>
        <v>4632.3720000000003</v>
      </c>
      <c r="E970" s="608"/>
      <c r="F970" s="760">
        <f t="shared" si="31"/>
        <v>1954.3744221621093</v>
      </c>
      <c r="M970" s="443"/>
    </row>
    <row r="971" spans="1:13">
      <c r="A971" s="640">
        <v>21013</v>
      </c>
      <c r="B971" s="640">
        <v>800</v>
      </c>
      <c r="C971" s="638">
        <v>4776.4979999999996</v>
      </c>
      <c r="D971" s="633">
        <f t="shared" si="32"/>
        <v>4776.4979999999996</v>
      </c>
      <c r="E971" s="608"/>
      <c r="F971" s="760">
        <f t="shared" si="31"/>
        <v>2015.1804558676351</v>
      </c>
      <c r="M971" s="443"/>
    </row>
    <row r="972" spans="1:13">
      <c r="A972" s="640">
        <v>21013</v>
      </c>
      <c r="B972" s="640">
        <v>900</v>
      </c>
      <c r="C972" s="638">
        <v>4875.8429999999998</v>
      </c>
      <c r="D972" s="633">
        <f t="shared" si="32"/>
        <v>4875.8429999999998</v>
      </c>
      <c r="E972" s="608"/>
      <c r="F972" s="760">
        <f t="shared" si="31"/>
        <v>2057.0936111517308</v>
      </c>
      <c r="M972" s="443"/>
    </row>
    <row r="973" spans="1:13">
      <c r="A973" s="640">
        <v>21013</v>
      </c>
      <c r="B973" s="640">
        <v>1000</v>
      </c>
      <c r="C973" s="638">
        <v>4825.5550000000003</v>
      </c>
      <c r="D973" s="633">
        <f t="shared" si="32"/>
        <v>4825.5550000000003</v>
      </c>
      <c r="E973" s="608"/>
      <c r="F973" s="760">
        <f t="shared" si="31"/>
        <v>2035.8773571588115</v>
      </c>
      <c r="M973" s="443"/>
    </row>
    <row r="974" spans="1:13">
      <c r="A974" s="640">
        <v>21013</v>
      </c>
      <c r="B974" s="640">
        <v>1100</v>
      </c>
      <c r="C974" s="638">
        <v>4554.4639999999999</v>
      </c>
      <c r="D974" s="633">
        <f t="shared" si="32"/>
        <v>4554.4639999999999</v>
      </c>
      <c r="E974" s="608"/>
      <c r="F974" s="760">
        <f t="shared" si="31"/>
        <v>1921.5054292397344</v>
      </c>
      <c r="M974" s="443"/>
    </row>
    <row r="975" spans="1:13">
      <c r="A975" s="640">
        <v>21013</v>
      </c>
      <c r="B975" s="640">
        <v>1200</v>
      </c>
      <c r="C975" s="638">
        <v>4462.3419999999996</v>
      </c>
      <c r="D975" s="633">
        <f t="shared" si="32"/>
        <v>4462.3419999999996</v>
      </c>
      <c r="E975" s="608"/>
      <c r="F975" s="760">
        <f t="shared" si="31"/>
        <v>1882.6396212868287</v>
      </c>
      <c r="M975" s="443"/>
    </row>
    <row r="976" spans="1:13">
      <c r="A976" s="640">
        <v>21013</v>
      </c>
      <c r="B976" s="640">
        <v>1300</v>
      </c>
      <c r="C976" s="638">
        <v>4357.3360000000002</v>
      </c>
      <c r="D976" s="633">
        <f t="shared" si="32"/>
        <v>4357.3360000000002</v>
      </c>
      <c r="E976" s="608"/>
      <c r="F976" s="760">
        <f t="shared" si="31"/>
        <v>1838.3381186066567</v>
      </c>
      <c r="M976" s="443"/>
    </row>
    <row r="977" spans="1:13">
      <c r="A977" s="640">
        <v>21013</v>
      </c>
      <c r="B977" s="640">
        <v>1400</v>
      </c>
      <c r="C977" s="638">
        <v>4221.6760000000004</v>
      </c>
      <c r="D977" s="633">
        <f t="shared" si="32"/>
        <v>4221.6760000000004</v>
      </c>
      <c r="E977" s="608"/>
      <c r="F977" s="760">
        <f t="shared" si="31"/>
        <v>1781.1038476736421</v>
      </c>
      <c r="M977" s="443"/>
    </row>
    <row r="978" spans="1:13">
      <c r="A978" s="640">
        <v>21013</v>
      </c>
      <c r="B978" s="640">
        <v>1500</v>
      </c>
      <c r="C978" s="638">
        <v>4244.9399999999996</v>
      </c>
      <c r="D978" s="633">
        <f t="shared" si="32"/>
        <v>4244.9399999999996</v>
      </c>
      <c r="E978" s="608"/>
      <c r="F978" s="760">
        <f t="shared" si="31"/>
        <v>1790.9188121361633</v>
      </c>
      <c r="M978" s="443"/>
    </row>
    <row r="979" spans="1:13">
      <c r="A979" s="640">
        <v>21013</v>
      </c>
      <c r="B979" s="640">
        <v>1600</v>
      </c>
      <c r="C979" s="638">
        <v>4294.3</v>
      </c>
      <c r="D979" s="633">
        <f t="shared" si="32"/>
        <v>4294.3</v>
      </c>
      <c r="E979" s="608"/>
      <c r="F979" s="760">
        <f t="shared" si="31"/>
        <v>1811.7435476016922</v>
      </c>
      <c r="M979" s="443"/>
    </row>
    <row r="980" spans="1:13">
      <c r="A980" s="640">
        <v>21013</v>
      </c>
      <c r="B980" s="640">
        <v>1700</v>
      </c>
      <c r="C980" s="638">
        <v>4527.5959999999995</v>
      </c>
      <c r="D980" s="633">
        <f t="shared" si="32"/>
        <v>4527.5959999999995</v>
      </c>
      <c r="E980" s="608"/>
      <c r="F980" s="760">
        <f t="shared" si="31"/>
        <v>1910.1699553238548</v>
      </c>
      <c r="M980" s="443"/>
    </row>
    <row r="981" spans="1:13">
      <c r="A981" s="640">
        <v>21013</v>
      </c>
      <c r="B981" s="640">
        <v>1800</v>
      </c>
      <c r="C981" s="638">
        <v>5093.424</v>
      </c>
      <c r="D981" s="633">
        <f t="shared" si="32"/>
        <v>5093.424</v>
      </c>
      <c r="E981" s="608"/>
      <c r="F981" s="760">
        <f t="shared" si="31"/>
        <v>2148.8899395011063</v>
      </c>
      <c r="M981" s="443"/>
    </row>
    <row r="982" spans="1:13">
      <c r="A982" s="640">
        <v>21013</v>
      </c>
      <c r="B982" s="640">
        <v>1900</v>
      </c>
      <c r="C982" s="638">
        <v>5526.9350000000004</v>
      </c>
      <c r="D982" s="633">
        <f t="shared" si="32"/>
        <v>5526.9350000000004</v>
      </c>
      <c r="E982" s="608"/>
      <c r="F982" s="760">
        <f t="shared" si="31"/>
        <v>2331.7860476128722</v>
      </c>
      <c r="M982" s="443"/>
    </row>
    <row r="983" spans="1:13">
      <c r="A983" s="640">
        <v>21013</v>
      </c>
      <c r="B983" s="640">
        <v>2000</v>
      </c>
      <c r="C983" s="638">
        <v>5504.1760000000004</v>
      </c>
      <c r="D983" s="633">
        <f t="shared" si="32"/>
        <v>5504.1760000000004</v>
      </c>
      <c r="E983" s="608"/>
      <c r="F983" s="760">
        <f t="shared" si="31"/>
        <v>2322.1841401076058</v>
      </c>
      <c r="M983" s="443"/>
    </row>
    <row r="984" spans="1:13">
      <c r="A984" s="640">
        <v>21013</v>
      </c>
      <c r="B984" s="640">
        <v>2100</v>
      </c>
      <c r="C984" s="638">
        <v>5246.7579999999998</v>
      </c>
      <c r="D984" s="633">
        <f t="shared" si="32"/>
        <v>5246.7579999999998</v>
      </c>
      <c r="E984" s="608"/>
      <c r="F984" s="760">
        <f t="shared" si="31"/>
        <v>2213.5807820430705</v>
      </c>
      <c r="M984" s="443"/>
    </row>
    <row r="985" spans="1:13">
      <c r="A985" s="640">
        <v>21013</v>
      </c>
      <c r="B985" s="640">
        <v>2200</v>
      </c>
      <c r="C985" s="638">
        <v>4826.7879999999996</v>
      </c>
      <c r="D985" s="633">
        <f t="shared" si="32"/>
        <v>4826.7879999999996</v>
      </c>
      <c r="E985" s="608"/>
      <c r="F985" s="760">
        <f t="shared" si="31"/>
        <v>2036.3975536504845</v>
      </c>
      <c r="M985" s="443"/>
    </row>
    <row r="986" spans="1:13">
      <c r="A986" s="640">
        <v>21013</v>
      </c>
      <c r="B986" s="640">
        <v>2300</v>
      </c>
      <c r="C986" s="638">
        <v>4306.0829999999996</v>
      </c>
      <c r="D986" s="633">
        <f t="shared" si="32"/>
        <v>4306.0829999999996</v>
      </c>
      <c r="E986" s="608"/>
      <c r="F986" s="760">
        <f t="shared" si="31"/>
        <v>1816.7147359726466</v>
      </c>
      <c r="M986" s="443"/>
    </row>
    <row r="987" spans="1:13">
      <c r="A987" s="640">
        <v>21013</v>
      </c>
      <c r="B987" s="640">
        <v>2400</v>
      </c>
      <c r="C987" s="638">
        <v>3834.56</v>
      </c>
      <c r="D987" s="633">
        <f t="shared" si="32"/>
        <v>3834.56</v>
      </c>
      <c r="E987" s="608"/>
      <c r="F987" s="760">
        <f t="shared" si="31"/>
        <v>1617.7815564565924</v>
      </c>
      <c r="M987" s="443"/>
    </row>
    <row r="988" spans="1:13">
      <c r="A988" s="640">
        <v>21113</v>
      </c>
      <c r="B988" s="640">
        <v>100</v>
      </c>
      <c r="C988" s="638">
        <v>3557.9679999999998</v>
      </c>
      <c r="D988" s="633">
        <f t="shared" si="32"/>
        <v>3557.9679999999998</v>
      </c>
      <c r="E988" s="608"/>
      <c r="F988" s="760">
        <f t="shared" si="31"/>
        <v>1501.0887843358164</v>
      </c>
      <c r="M988" s="443"/>
    </row>
    <row r="989" spans="1:13">
      <c r="A989" s="640">
        <v>21113</v>
      </c>
      <c r="B989" s="640">
        <v>200</v>
      </c>
      <c r="C989" s="638">
        <v>3613.9540000000002</v>
      </c>
      <c r="D989" s="633">
        <f t="shared" si="32"/>
        <v>3613.9540000000002</v>
      </c>
      <c r="E989" s="608"/>
      <c r="F989" s="760">
        <f t="shared" si="31"/>
        <v>1524.7089958385127</v>
      </c>
      <c r="M989" s="443"/>
    </row>
    <row r="990" spans="1:13">
      <c r="A990" s="640">
        <v>21113</v>
      </c>
      <c r="B990" s="640">
        <v>300</v>
      </c>
      <c r="C990" s="638">
        <v>3582.4259999999999</v>
      </c>
      <c r="D990" s="633">
        <f t="shared" si="32"/>
        <v>3582.4259999999999</v>
      </c>
      <c r="E990" s="608"/>
      <c r="F990" s="760">
        <f t="shared" si="31"/>
        <v>1511.4074913863817</v>
      </c>
      <c r="M990" s="443"/>
    </row>
    <row r="991" spans="1:13">
      <c r="A991" s="640">
        <v>21113</v>
      </c>
      <c r="B991" s="640">
        <v>400</v>
      </c>
      <c r="C991" s="638">
        <v>3578.5709999999999</v>
      </c>
      <c r="D991" s="633">
        <f t="shared" si="32"/>
        <v>3578.5709999999999</v>
      </c>
      <c r="E991" s="608"/>
      <c r="F991" s="760">
        <f t="shared" si="31"/>
        <v>1509.7810862968436</v>
      </c>
      <c r="M991" s="443"/>
    </row>
    <row r="992" spans="1:13">
      <c r="A992" s="640">
        <v>21113</v>
      </c>
      <c r="B992" s="640">
        <v>500</v>
      </c>
      <c r="C992" s="638">
        <v>3669.0010000000002</v>
      </c>
      <c r="D992" s="633">
        <f t="shared" si="32"/>
        <v>3669.0010000000002</v>
      </c>
      <c r="E992" s="608"/>
      <c r="F992" s="760">
        <f t="shared" si="31"/>
        <v>1547.9330479692048</v>
      </c>
      <c r="M992" s="443"/>
    </row>
    <row r="993" spans="1:13">
      <c r="A993" s="640">
        <v>21113</v>
      </c>
      <c r="B993" s="640">
        <v>600</v>
      </c>
      <c r="C993" s="638">
        <v>3979.48</v>
      </c>
      <c r="D993" s="633">
        <f t="shared" si="32"/>
        <v>3979.48</v>
      </c>
      <c r="E993" s="608"/>
      <c r="F993" s="760">
        <f t="shared" si="31"/>
        <v>1678.9225747642181</v>
      </c>
      <c r="M993" s="443"/>
    </row>
    <row r="994" spans="1:13">
      <c r="A994" s="640">
        <v>21113</v>
      </c>
      <c r="B994" s="640">
        <v>700</v>
      </c>
      <c r="C994" s="638">
        <v>4479.7960000000003</v>
      </c>
      <c r="D994" s="633">
        <f t="shared" si="32"/>
        <v>4479.7960000000003</v>
      </c>
      <c r="E994" s="608"/>
      <c r="F994" s="760">
        <f t="shared" si="31"/>
        <v>1890.0033760035094</v>
      </c>
      <c r="M994" s="443"/>
    </row>
    <row r="995" spans="1:13">
      <c r="A995" s="640">
        <v>21113</v>
      </c>
      <c r="B995" s="640">
        <v>800</v>
      </c>
      <c r="C995" s="638">
        <v>4699.866</v>
      </c>
      <c r="D995" s="633">
        <f t="shared" si="32"/>
        <v>4699.866</v>
      </c>
      <c r="E995" s="608"/>
      <c r="F995" s="760">
        <f t="shared" si="31"/>
        <v>1982.8498009204231</v>
      </c>
      <c r="M995" s="443"/>
    </row>
    <row r="996" spans="1:13">
      <c r="A996" s="640">
        <v>21113</v>
      </c>
      <c r="B996" s="640">
        <v>900</v>
      </c>
      <c r="C996" s="638">
        <v>4522.3239999999996</v>
      </c>
      <c r="D996" s="633">
        <f t="shared" si="32"/>
        <v>4522.3239999999996</v>
      </c>
      <c r="E996" s="608"/>
      <c r="F996" s="760">
        <f t="shared" si="31"/>
        <v>1907.9457250691087</v>
      </c>
      <c r="M996" s="443"/>
    </row>
    <row r="997" spans="1:13">
      <c r="A997" s="640">
        <v>21113</v>
      </c>
      <c r="B997" s="640">
        <v>1000</v>
      </c>
      <c r="C997" s="638">
        <v>4314.5029999999997</v>
      </c>
      <c r="D997" s="633">
        <f t="shared" si="32"/>
        <v>4314.5029999999997</v>
      </c>
      <c r="E997" s="608"/>
      <c r="F997" s="760">
        <f t="shared" si="31"/>
        <v>1820.2670915767744</v>
      </c>
      <c r="M997" s="443"/>
    </row>
    <row r="998" spans="1:13">
      <c r="A998" s="640">
        <v>21113</v>
      </c>
      <c r="B998" s="640">
        <v>1100</v>
      </c>
      <c r="C998" s="638">
        <v>4309.5919999999996</v>
      </c>
      <c r="D998" s="633">
        <f t="shared" si="32"/>
        <v>4309.5919999999996</v>
      </c>
      <c r="E998" s="608"/>
      <c r="F998" s="760">
        <f t="shared" si="31"/>
        <v>1818.195165404343</v>
      </c>
      <c r="M998" s="443"/>
    </row>
    <row r="999" spans="1:13">
      <c r="A999" s="640">
        <v>21113</v>
      </c>
      <c r="B999" s="640">
        <v>1200</v>
      </c>
      <c r="C999" s="638">
        <v>3914.578</v>
      </c>
      <c r="D999" s="633">
        <f t="shared" si="32"/>
        <v>3914.578</v>
      </c>
      <c r="E999" s="608"/>
      <c r="F999" s="760">
        <f t="shared" si="31"/>
        <v>1651.5407477548229</v>
      </c>
      <c r="M999" s="443"/>
    </row>
    <row r="1000" spans="1:13">
      <c r="A1000" s="640">
        <v>21113</v>
      </c>
      <c r="B1000" s="640">
        <v>1300</v>
      </c>
      <c r="C1000" s="638">
        <v>3962.4879999999998</v>
      </c>
      <c r="D1000" s="633">
        <f t="shared" si="32"/>
        <v>3962.4879999999998</v>
      </c>
      <c r="E1000" s="608"/>
      <c r="F1000" s="760">
        <f t="shared" si="31"/>
        <v>1671.7537355213035</v>
      </c>
      <c r="M1000" s="443"/>
    </row>
    <row r="1001" spans="1:13">
      <c r="A1001" s="640">
        <v>21113</v>
      </c>
      <c r="B1001" s="640">
        <v>1400</v>
      </c>
      <c r="C1001" s="638">
        <v>3777.5050000000001</v>
      </c>
      <c r="D1001" s="633">
        <f t="shared" si="32"/>
        <v>3777.5050000000001</v>
      </c>
      <c r="E1001" s="608"/>
      <c r="F1001" s="760">
        <f t="shared" si="31"/>
        <v>1593.71033923646</v>
      </c>
      <c r="M1001" s="443"/>
    </row>
    <row r="1002" spans="1:13">
      <c r="A1002" s="640">
        <v>21113</v>
      </c>
      <c r="B1002" s="640">
        <v>1500</v>
      </c>
      <c r="C1002" s="638">
        <v>4166.3670000000002</v>
      </c>
      <c r="D1002" s="633">
        <f t="shared" si="32"/>
        <v>4166.3670000000002</v>
      </c>
      <c r="E1002" s="608"/>
      <c r="F1002" s="760">
        <f t="shared" si="31"/>
        <v>1757.7692590621566</v>
      </c>
      <c r="M1002" s="443"/>
    </row>
    <row r="1003" spans="1:13">
      <c r="A1003" s="640">
        <v>21113</v>
      </c>
      <c r="B1003" s="640">
        <v>1600</v>
      </c>
      <c r="C1003" s="638">
        <v>4414.6260000000002</v>
      </c>
      <c r="D1003" s="633">
        <f t="shared" si="32"/>
        <v>4414.6260000000002</v>
      </c>
      <c r="E1003" s="608"/>
      <c r="F1003" s="760">
        <f t="shared" si="31"/>
        <v>1862.5084811435315</v>
      </c>
      <c r="M1003" s="443"/>
    </row>
    <row r="1004" spans="1:13">
      <c r="A1004" s="640">
        <v>21113</v>
      </c>
      <c r="B1004" s="640">
        <v>1700</v>
      </c>
      <c r="C1004" s="638">
        <v>4528.5720000000001</v>
      </c>
      <c r="D1004" s="633">
        <f t="shared" si="32"/>
        <v>4528.5720000000001</v>
      </c>
      <c r="E1004" s="608"/>
      <c r="F1004" s="760">
        <f t="shared" ref="F1004:F1067" si="33">(D1004/(MAX($D$748:$D$1443)))*$M$5</f>
        <v>1910.5817248095591</v>
      </c>
      <c r="M1004" s="443"/>
    </row>
    <row r="1005" spans="1:13">
      <c r="A1005" s="640">
        <v>21113</v>
      </c>
      <c r="B1005" s="640">
        <v>1800</v>
      </c>
      <c r="C1005" s="638">
        <v>4871.2820000000002</v>
      </c>
      <c r="D1005" s="633">
        <f t="shared" si="32"/>
        <v>4871.2820000000002</v>
      </c>
      <c r="E1005" s="608"/>
      <c r="F1005" s="760">
        <f t="shared" si="33"/>
        <v>2055.1693482170008</v>
      </c>
      <c r="M1005" s="443"/>
    </row>
    <row r="1006" spans="1:13">
      <c r="A1006" s="640">
        <v>21113</v>
      </c>
      <c r="B1006" s="640">
        <v>1900</v>
      </c>
      <c r="C1006" s="638">
        <v>5166.4229999999998</v>
      </c>
      <c r="D1006" s="633">
        <f t="shared" si="32"/>
        <v>5166.4229999999998</v>
      </c>
      <c r="E1006" s="608"/>
      <c r="F1006" s="760">
        <f t="shared" si="33"/>
        <v>2179.6878500409789</v>
      </c>
      <c r="M1006" s="443"/>
    </row>
    <row r="1007" spans="1:13">
      <c r="A1007" s="640">
        <v>21113</v>
      </c>
      <c r="B1007" s="640">
        <v>2000</v>
      </c>
      <c r="C1007" s="638">
        <v>5185.3500000000004</v>
      </c>
      <c r="D1007" s="633">
        <f t="shared" si="32"/>
        <v>5185.3500000000004</v>
      </c>
      <c r="E1007" s="608"/>
      <c r="F1007" s="760">
        <f t="shared" si="33"/>
        <v>2187.6730560408992</v>
      </c>
      <c r="M1007" s="443"/>
    </row>
    <row r="1008" spans="1:13">
      <c r="A1008" s="640">
        <v>21113</v>
      </c>
      <c r="B1008" s="640">
        <v>2100</v>
      </c>
      <c r="C1008" s="638">
        <v>5092.817</v>
      </c>
      <c r="D1008" s="633">
        <f t="shared" si="32"/>
        <v>5092.817</v>
      </c>
      <c r="E1008" s="608"/>
      <c r="F1008" s="760">
        <f t="shared" si="33"/>
        <v>2148.6338492574355</v>
      </c>
      <c r="M1008" s="443"/>
    </row>
    <row r="1009" spans="1:13">
      <c r="A1009" s="640">
        <v>21113</v>
      </c>
      <c r="B1009" s="640">
        <v>2200</v>
      </c>
      <c r="C1009" s="638">
        <v>4809.5680000000002</v>
      </c>
      <c r="D1009" s="633">
        <f t="shared" si="32"/>
        <v>4809.5680000000002</v>
      </c>
      <c r="E1009" s="608"/>
      <c r="F1009" s="760">
        <f t="shared" si="33"/>
        <v>2029.1325223555818</v>
      </c>
      <c r="M1009" s="443"/>
    </row>
    <row r="1010" spans="1:13">
      <c r="A1010" s="640">
        <v>21113</v>
      </c>
      <c r="B1010" s="640">
        <v>2300</v>
      </c>
      <c r="C1010" s="638">
        <v>4303.701</v>
      </c>
      <c r="D1010" s="633">
        <f t="shared" si="32"/>
        <v>4303.701</v>
      </c>
      <c r="E1010" s="608"/>
      <c r="F1010" s="760">
        <f t="shared" si="33"/>
        <v>1815.7097821663483</v>
      </c>
      <c r="M1010" s="443"/>
    </row>
    <row r="1011" spans="1:13">
      <c r="A1011" s="640">
        <v>21113</v>
      </c>
      <c r="B1011" s="640">
        <v>2400</v>
      </c>
      <c r="C1011" s="638">
        <v>3746.7559999999999</v>
      </c>
      <c r="D1011" s="633">
        <f t="shared" si="32"/>
        <v>3746.7559999999999</v>
      </c>
      <c r="E1011" s="608"/>
      <c r="F1011" s="760">
        <f t="shared" si="33"/>
        <v>1580.7374909619552</v>
      </c>
      <c r="M1011" s="443"/>
    </row>
    <row r="1012" spans="1:13">
      <c r="A1012" s="640">
        <v>21213</v>
      </c>
      <c r="B1012" s="640">
        <v>100</v>
      </c>
      <c r="C1012" s="638">
        <v>3570.4989999999998</v>
      </c>
      <c r="D1012" s="633">
        <f t="shared" si="32"/>
        <v>3570.4989999999998</v>
      </c>
      <c r="E1012" s="608"/>
      <c r="F1012" s="760">
        <f t="shared" si="33"/>
        <v>1506.3755501404871</v>
      </c>
      <c r="M1012" s="443"/>
    </row>
    <row r="1013" spans="1:13">
      <c r="A1013" s="640">
        <v>21213</v>
      </c>
      <c r="B1013" s="640">
        <v>200</v>
      </c>
      <c r="C1013" s="638">
        <v>3631.4580000000001</v>
      </c>
      <c r="D1013" s="633">
        <f t="shared" si="32"/>
        <v>3631.4580000000001</v>
      </c>
      <c r="E1013" s="608"/>
      <c r="F1013" s="760">
        <f t="shared" si="33"/>
        <v>1532.0938453034362</v>
      </c>
      <c r="M1013" s="443"/>
    </row>
    <row r="1014" spans="1:13">
      <c r="A1014" s="640">
        <v>21213</v>
      </c>
      <c r="B1014" s="640">
        <v>300</v>
      </c>
      <c r="C1014" s="638">
        <v>3542.395</v>
      </c>
      <c r="D1014" s="633">
        <f t="shared" si="32"/>
        <v>3542.395</v>
      </c>
      <c r="E1014" s="608"/>
      <c r="F1014" s="760">
        <f t="shared" si="33"/>
        <v>1494.5186140480396</v>
      </c>
      <c r="M1014" s="443"/>
    </row>
    <row r="1015" spans="1:13">
      <c r="A1015" s="640">
        <v>21213</v>
      </c>
      <c r="B1015" s="640">
        <v>400</v>
      </c>
      <c r="C1015" s="638">
        <v>3580.2020000000002</v>
      </c>
      <c r="D1015" s="633">
        <f t="shared" si="32"/>
        <v>3580.2020000000002</v>
      </c>
      <c r="E1015" s="608"/>
      <c r="F1015" s="760">
        <f t="shared" si="33"/>
        <v>1510.4691969845312</v>
      </c>
      <c r="M1015" s="443"/>
    </row>
    <row r="1016" spans="1:13">
      <c r="A1016" s="640">
        <v>21213</v>
      </c>
      <c r="B1016" s="640">
        <v>500</v>
      </c>
      <c r="C1016" s="638">
        <v>3703.0549999999998</v>
      </c>
      <c r="D1016" s="633">
        <f t="shared" si="32"/>
        <v>3703.0549999999998</v>
      </c>
      <c r="E1016" s="608"/>
      <c r="F1016" s="760">
        <f t="shared" si="33"/>
        <v>1562.300259102574</v>
      </c>
      <c r="M1016" s="443"/>
    </row>
    <row r="1017" spans="1:13">
      <c r="A1017" s="640">
        <v>21213</v>
      </c>
      <c r="B1017" s="640">
        <v>600</v>
      </c>
      <c r="C1017" s="638">
        <v>4012.4960000000001</v>
      </c>
      <c r="D1017" s="633">
        <f t="shared" si="32"/>
        <v>4012.4960000000001</v>
      </c>
      <c r="E1017" s="608"/>
      <c r="F1017" s="760">
        <f t="shared" si="33"/>
        <v>1692.8518589240618</v>
      </c>
      <c r="M1017" s="443"/>
    </row>
    <row r="1018" spans="1:13">
      <c r="A1018" s="640">
        <v>21213</v>
      </c>
      <c r="B1018" s="640">
        <v>700</v>
      </c>
      <c r="C1018" s="638">
        <v>4539.5879999999997</v>
      </c>
      <c r="D1018" s="633">
        <f t="shared" si="32"/>
        <v>4539.5879999999997</v>
      </c>
      <c r="E1018" s="608"/>
      <c r="F1018" s="760">
        <f t="shared" si="33"/>
        <v>1915.2293197424656</v>
      </c>
      <c r="M1018" s="443"/>
    </row>
    <row r="1019" spans="1:13">
      <c r="A1019" s="640">
        <v>21213</v>
      </c>
      <c r="B1019" s="640">
        <v>800</v>
      </c>
      <c r="C1019" s="638">
        <v>4765.8090000000002</v>
      </c>
      <c r="D1019" s="633">
        <f t="shared" si="32"/>
        <v>4765.8090000000002</v>
      </c>
      <c r="E1019" s="608"/>
      <c r="F1019" s="760">
        <f t="shared" si="33"/>
        <v>2010.6708205882385</v>
      </c>
      <c r="M1019" s="443"/>
    </row>
    <row r="1020" spans="1:13">
      <c r="A1020" s="640">
        <v>21213</v>
      </c>
      <c r="B1020" s="640">
        <v>900</v>
      </c>
      <c r="C1020" s="638">
        <v>4604.2529999999997</v>
      </c>
      <c r="D1020" s="633">
        <f t="shared" si="32"/>
        <v>4604.2529999999997</v>
      </c>
      <c r="E1020" s="608"/>
      <c r="F1020" s="760">
        <f t="shared" si="33"/>
        <v>1942.5111576451884</v>
      </c>
      <c r="M1020" s="443"/>
    </row>
    <row r="1021" spans="1:13">
      <c r="A1021" s="640">
        <v>21213</v>
      </c>
      <c r="B1021" s="640">
        <v>1000</v>
      </c>
      <c r="C1021" s="638">
        <v>4485.2790000000005</v>
      </c>
      <c r="D1021" s="633">
        <f t="shared" si="32"/>
        <v>4485.2790000000005</v>
      </c>
      <c r="E1021" s="608"/>
      <c r="F1021" s="760">
        <f t="shared" si="33"/>
        <v>1892.316626095841</v>
      </c>
      <c r="M1021" s="443"/>
    </row>
    <row r="1022" spans="1:13">
      <c r="A1022" s="640">
        <v>21213</v>
      </c>
      <c r="B1022" s="640">
        <v>1100</v>
      </c>
      <c r="C1022" s="638">
        <v>4142.21</v>
      </c>
      <c r="D1022" s="633">
        <f t="shared" si="32"/>
        <v>4142.21</v>
      </c>
      <c r="E1022" s="608"/>
      <c r="F1022" s="760">
        <f t="shared" si="33"/>
        <v>1747.5775423960145</v>
      </c>
      <c r="M1022" s="443"/>
    </row>
    <row r="1023" spans="1:13">
      <c r="A1023" s="640">
        <v>21213</v>
      </c>
      <c r="B1023" s="640">
        <v>1200</v>
      </c>
      <c r="C1023" s="638">
        <v>3859.422</v>
      </c>
      <c r="D1023" s="633">
        <f t="shared" si="32"/>
        <v>3859.422</v>
      </c>
      <c r="E1023" s="608"/>
      <c r="F1023" s="760">
        <f t="shared" si="33"/>
        <v>1628.2707090729612</v>
      </c>
      <c r="M1023" s="443"/>
    </row>
    <row r="1024" spans="1:13">
      <c r="A1024" s="640">
        <v>21213</v>
      </c>
      <c r="B1024" s="640">
        <v>1300</v>
      </c>
      <c r="C1024" s="638">
        <v>3795.5749999999998</v>
      </c>
      <c r="D1024" s="633">
        <f t="shared" si="32"/>
        <v>3795.5749999999998</v>
      </c>
      <c r="E1024" s="608"/>
      <c r="F1024" s="760">
        <f t="shared" si="33"/>
        <v>1601.3339812514944</v>
      </c>
      <c r="M1024" s="443"/>
    </row>
    <row r="1025" spans="1:13">
      <c r="A1025" s="640">
        <v>21213</v>
      </c>
      <c r="B1025" s="640">
        <v>1400</v>
      </c>
      <c r="C1025" s="638">
        <v>3890.587</v>
      </c>
      <c r="D1025" s="633">
        <f t="shared" si="32"/>
        <v>3890.587</v>
      </c>
      <c r="E1025" s="608"/>
      <c r="F1025" s="760">
        <f t="shared" si="33"/>
        <v>1641.4190656528476</v>
      </c>
      <c r="M1025" s="443"/>
    </row>
    <row r="1026" spans="1:13">
      <c r="A1026" s="640">
        <v>21213</v>
      </c>
      <c r="B1026" s="640">
        <v>1500</v>
      </c>
      <c r="C1026" s="638">
        <v>3935.9</v>
      </c>
      <c r="D1026" s="633">
        <f t="shared" si="32"/>
        <v>3935.9</v>
      </c>
      <c r="E1026" s="608"/>
      <c r="F1026" s="760">
        <f t="shared" si="33"/>
        <v>1660.5363921955848</v>
      </c>
      <c r="M1026" s="443"/>
    </row>
    <row r="1027" spans="1:13">
      <c r="A1027" s="640">
        <v>21213</v>
      </c>
      <c r="B1027" s="640">
        <v>1600</v>
      </c>
      <c r="C1027" s="638">
        <v>4359.5389999999998</v>
      </c>
      <c r="D1027" s="633">
        <f t="shared" si="32"/>
        <v>4359.5389999999998</v>
      </c>
      <c r="E1027" s="608"/>
      <c r="F1027" s="760">
        <f t="shared" si="33"/>
        <v>1839.267553214245</v>
      </c>
      <c r="M1027" s="443"/>
    </row>
    <row r="1028" spans="1:13">
      <c r="A1028" s="640">
        <v>21213</v>
      </c>
      <c r="B1028" s="640">
        <v>1700</v>
      </c>
      <c r="C1028" s="638">
        <v>4563.0230000000001</v>
      </c>
      <c r="D1028" s="633">
        <f t="shared" si="32"/>
        <v>4563.0230000000001</v>
      </c>
      <c r="E1028" s="608"/>
      <c r="F1028" s="760">
        <f t="shared" si="33"/>
        <v>1925.1164282439781</v>
      </c>
      <c r="M1028" s="443"/>
    </row>
    <row r="1029" spans="1:13">
      <c r="A1029" s="640">
        <v>21213</v>
      </c>
      <c r="B1029" s="640">
        <v>1800</v>
      </c>
      <c r="C1029" s="638">
        <v>4874.2439999999997</v>
      </c>
      <c r="D1029" s="633">
        <f t="shared" ref="D1029:D1092" si="34">C1029</f>
        <v>4874.2439999999997</v>
      </c>
      <c r="E1029" s="608"/>
      <c r="F1029" s="760">
        <f t="shared" si="33"/>
        <v>2056.4190011029182</v>
      </c>
      <c r="M1029" s="443"/>
    </row>
    <row r="1030" spans="1:13">
      <c r="A1030" s="640">
        <v>21213</v>
      </c>
      <c r="B1030" s="640">
        <v>1900</v>
      </c>
      <c r="C1030" s="638">
        <v>5168.2920000000004</v>
      </c>
      <c r="D1030" s="633">
        <f t="shared" si="34"/>
        <v>5168.2920000000004</v>
      </c>
      <c r="E1030" s="608"/>
      <c r="F1030" s="760">
        <f t="shared" si="33"/>
        <v>2180.476371730304</v>
      </c>
      <c r="M1030" s="443"/>
    </row>
    <row r="1031" spans="1:13">
      <c r="A1031" s="640">
        <v>21213</v>
      </c>
      <c r="B1031" s="640">
        <v>2000</v>
      </c>
      <c r="C1031" s="638">
        <v>5163.87</v>
      </c>
      <c r="D1031" s="633">
        <f t="shared" si="34"/>
        <v>5163.87</v>
      </c>
      <c r="E1031" s="608"/>
      <c r="F1031" s="760">
        <f t="shared" si="33"/>
        <v>2178.6107521956892</v>
      </c>
      <c r="M1031" s="443"/>
    </row>
    <row r="1032" spans="1:13">
      <c r="A1032" s="640">
        <v>21213</v>
      </c>
      <c r="B1032" s="640">
        <v>2100</v>
      </c>
      <c r="C1032" s="638">
        <v>5094.87</v>
      </c>
      <c r="D1032" s="633">
        <f t="shared" si="34"/>
        <v>5094.87</v>
      </c>
      <c r="E1032" s="608"/>
      <c r="F1032" s="760">
        <f t="shared" si="33"/>
        <v>2149.4999996202951</v>
      </c>
      <c r="M1032" s="443"/>
    </row>
    <row r="1033" spans="1:13">
      <c r="A1033" s="640">
        <v>21213</v>
      </c>
      <c r="B1033" s="640">
        <v>2200</v>
      </c>
      <c r="C1033" s="638">
        <v>4741.3040000000001</v>
      </c>
      <c r="D1033" s="633">
        <f t="shared" si="34"/>
        <v>4741.3040000000001</v>
      </c>
      <c r="E1033" s="608"/>
      <c r="F1033" s="760">
        <f t="shared" si="33"/>
        <v>2000.3322844743248</v>
      </c>
      <c r="M1033" s="443"/>
    </row>
    <row r="1034" spans="1:13">
      <c r="A1034" s="640">
        <v>21213</v>
      </c>
      <c r="B1034" s="640">
        <v>2300</v>
      </c>
      <c r="C1034" s="638">
        <v>4205.2960000000003</v>
      </c>
      <c r="D1034" s="633">
        <f t="shared" si="34"/>
        <v>4205.2960000000003</v>
      </c>
      <c r="E1034" s="608"/>
      <c r="F1034" s="760">
        <f t="shared" si="33"/>
        <v>1774.1932081492223</v>
      </c>
      <c r="M1034" s="443"/>
    </row>
    <row r="1035" spans="1:13">
      <c r="A1035" s="640">
        <v>21213</v>
      </c>
      <c r="B1035" s="640">
        <v>2400</v>
      </c>
      <c r="C1035" s="638">
        <v>3667.3159999999998</v>
      </c>
      <c r="D1035" s="633">
        <f t="shared" si="34"/>
        <v>3667.3159999999998</v>
      </c>
      <c r="E1035" s="608"/>
      <c r="F1035" s="760">
        <f t="shared" si="33"/>
        <v>1547.2221549534142</v>
      </c>
      <c r="M1035" s="443"/>
    </row>
    <row r="1036" spans="1:13">
      <c r="A1036" s="640">
        <v>21313</v>
      </c>
      <c r="B1036" s="640">
        <v>100</v>
      </c>
      <c r="C1036" s="638">
        <v>3482.9470000000001</v>
      </c>
      <c r="D1036" s="633">
        <f t="shared" si="34"/>
        <v>3482.9470000000001</v>
      </c>
      <c r="E1036" s="608"/>
      <c r="F1036" s="760">
        <f t="shared" si="33"/>
        <v>1469.4378021769953</v>
      </c>
      <c r="M1036" s="443"/>
    </row>
    <row r="1037" spans="1:13">
      <c r="A1037" s="640">
        <v>21313</v>
      </c>
      <c r="B1037" s="640">
        <v>200</v>
      </c>
      <c r="C1037" s="638">
        <v>3516.002</v>
      </c>
      <c r="D1037" s="633">
        <f t="shared" si="34"/>
        <v>3516.002</v>
      </c>
      <c r="E1037" s="608"/>
      <c r="F1037" s="760">
        <f t="shared" si="33"/>
        <v>1483.3835402404686</v>
      </c>
      <c r="M1037" s="443"/>
    </row>
    <row r="1038" spans="1:13">
      <c r="A1038" s="640">
        <v>21313</v>
      </c>
      <c r="B1038" s="640">
        <v>300</v>
      </c>
      <c r="C1038" s="638">
        <v>3491.91</v>
      </c>
      <c r="D1038" s="633">
        <f t="shared" si="34"/>
        <v>3491.91</v>
      </c>
      <c r="E1038" s="608"/>
      <c r="F1038" s="760">
        <f t="shared" si="33"/>
        <v>1473.2192467470425</v>
      </c>
      <c r="M1038" s="443"/>
    </row>
    <row r="1039" spans="1:13">
      <c r="A1039" s="640">
        <v>21313</v>
      </c>
      <c r="B1039" s="640">
        <v>400</v>
      </c>
      <c r="C1039" s="638">
        <v>3473.5259999999998</v>
      </c>
      <c r="D1039" s="633">
        <f t="shared" si="34"/>
        <v>3473.5259999999998</v>
      </c>
      <c r="E1039" s="608"/>
      <c r="F1039" s="760">
        <f t="shared" si="33"/>
        <v>1465.4631297130416</v>
      </c>
      <c r="M1039" s="443"/>
    </row>
    <row r="1040" spans="1:13">
      <c r="A1040" s="640">
        <v>21313</v>
      </c>
      <c r="B1040" s="640">
        <v>500</v>
      </c>
      <c r="C1040" s="638">
        <v>3611.2020000000002</v>
      </c>
      <c r="D1040" s="633">
        <f t="shared" si="34"/>
        <v>3611.2020000000002</v>
      </c>
      <c r="E1040" s="608"/>
      <c r="F1040" s="760">
        <f t="shared" si="33"/>
        <v>1523.547940895216</v>
      </c>
      <c r="M1040" s="443"/>
    </row>
    <row r="1041" spans="1:13">
      <c r="A1041" s="640">
        <v>21313</v>
      </c>
      <c r="B1041" s="640">
        <v>600</v>
      </c>
      <c r="C1041" s="638">
        <v>3913.6509999999998</v>
      </c>
      <c r="D1041" s="633">
        <f t="shared" si="34"/>
        <v>3913.6509999999998</v>
      </c>
      <c r="E1041" s="608"/>
      <c r="F1041" s="760">
        <f t="shared" si="33"/>
        <v>1651.149651122397</v>
      </c>
      <c r="M1041" s="443"/>
    </row>
    <row r="1042" spans="1:13">
      <c r="A1042" s="640">
        <v>21313</v>
      </c>
      <c r="B1042" s="640">
        <v>700</v>
      </c>
      <c r="C1042" s="638">
        <v>4540.6859999999997</v>
      </c>
      <c r="D1042" s="633">
        <f t="shared" si="34"/>
        <v>4540.6859999999997</v>
      </c>
      <c r="E1042" s="608"/>
      <c r="F1042" s="760">
        <f t="shared" si="33"/>
        <v>1915.6925604138826</v>
      </c>
      <c r="M1042" s="443"/>
    </row>
    <row r="1043" spans="1:13">
      <c r="A1043" s="640">
        <v>21313</v>
      </c>
      <c r="B1043" s="640">
        <v>800</v>
      </c>
      <c r="C1043" s="638">
        <v>4798.4639999999999</v>
      </c>
      <c r="D1043" s="633">
        <f t="shared" si="34"/>
        <v>4798.4639999999999</v>
      </c>
      <c r="E1043" s="608"/>
      <c r="F1043" s="760">
        <f t="shared" si="33"/>
        <v>2024.4478006657675</v>
      </c>
      <c r="M1043" s="443"/>
    </row>
    <row r="1044" spans="1:13">
      <c r="A1044" s="640">
        <v>21313</v>
      </c>
      <c r="B1044" s="640">
        <v>900</v>
      </c>
      <c r="C1044" s="638">
        <v>4587.0110000000004</v>
      </c>
      <c r="D1044" s="633">
        <f t="shared" si="34"/>
        <v>4587.0110000000004</v>
      </c>
      <c r="E1044" s="608"/>
      <c r="F1044" s="760">
        <f t="shared" si="33"/>
        <v>1935.2368446610592</v>
      </c>
      <c r="M1044" s="443"/>
    </row>
    <row r="1045" spans="1:13">
      <c r="A1045" s="640">
        <v>21313</v>
      </c>
      <c r="B1045" s="640">
        <v>1000</v>
      </c>
      <c r="C1045" s="638">
        <v>4325.3339999999998</v>
      </c>
      <c r="D1045" s="633">
        <f t="shared" si="34"/>
        <v>4325.3339999999998</v>
      </c>
      <c r="E1045" s="608"/>
      <c r="F1045" s="760">
        <f t="shared" si="33"/>
        <v>1824.8366359411818</v>
      </c>
      <c r="M1045" s="443"/>
    </row>
    <row r="1046" spans="1:13">
      <c r="A1046" s="640">
        <v>21313</v>
      </c>
      <c r="B1046" s="640">
        <v>1100</v>
      </c>
      <c r="C1046" s="638">
        <v>4016.951</v>
      </c>
      <c r="D1046" s="633">
        <f t="shared" si="34"/>
        <v>4016.951</v>
      </c>
      <c r="E1046" s="608"/>
      <c r="F1046" s="760">
        <f t="shared" si="33"/>
        <v>1694.7314009925165</v>
      </c>
      <c r="M1046" s="443"/>
    </row>
    <row r="1047" spans="1:13">
      <c r="A1047" s="640">
        <v>21313</v>
      </c>
      <c r="B1047" s="640">
        <v>1200</v>
      </c>
      <c r="C1047" s="638">
        <v>3831.46</v>
      </c>
      <c r="D1047" s="633">
        <f t="shared" si="34"/>
        <v>3831.46</v>
      </c>
      <c r="E1047" s="608"/>
      <c r="F1047" s="760">
        <f t="shared" si="33"/>
        <v>1616.4736820655237</v>
      </c>
      <c r="M1047" s="443"/>
    </row>
    <row r="1048" spans="1:13">
      <c r="A1048" s="640">
        <v>21313</v>
      </c>
      <c r="B1048" s="640">
        <v>1300</v>
      </c>
      <c r="C1048" s="638">
        <v>3552.1759999999999</v>
      </c>
      <c r="D1048" s="633">
        <f t="shared" si="34"/>
        <v>3552.1759999999999</v>
      </c>
      <c r="E1048" s="608"/>
      <c r="F1048" s="760">
        <f t="shared" si="33"/>
        <v>1498.6451686993428</v>
      </c>
      <c r="M1048" s="443"/>
    </row>
    <row r="1049" spans="1:13">
      <c r="A1049" s="640">
        <v>21313</v>
      </c>
      <c r="B1049" s="640">
        <v>1400</v>
      </c>
      <c r="C1049" s="638">
        <v>3459.328</v>
      </c>
      <c r="D1049" s="633">
        <f t="shared" si="34"/>
        <v>3459.328</v>
      </c>
      <c r="E1049" s="608"/>
      <c r="F1049" s="760">
        <f t="shared" si="33"/>
        <v>1459.4730650019483</v>
      </c>
      <c r="M1049" s="443"/>
    </row>
    <row r="1050" spans="1:13">
      <c r="A1050" s="640">
        <v>21313</v>
      </c>
      <c r="B1050" s="640">
        <v>1500</v>
      </c>
      <c r="C1050" s="638">
        <v>3457.0430000000001</v>
      </c>
      <c r="D1050" s="633">
        <f t="shared" si="34"/>
        <v>3457.0430000000001</v>
      </c>
      <c r="E1050" s="608"/>
      <c r="F1050" s="760">
        <f t="shared" si="33"/>
        <v>1458.5090350072412</v>
      </c>
      <c r="M1050" s="443"/>
    </row>
    <row r="1051" spans="1:13">
      <c r="A1051" s="640">
        <v>21313</v>
      </c>
      <c r="B1051" s="640">
        <v>1600</v>
      </c>
      <c r="C1051" s="638">
        <v>3585.096</v>
      </c>
      <c r="D1051" s="633">
        <f t="shared" si="34"/>
        <v>3585.096</v>
      </c>
      <c r="E1051" s="608"/>
      <c r="F1051" s="760">
        <f t="shared" si="33"/>
        <v>1512.5339509425603</v>
      </c>
      <c r="M1051" s="443"/>
    </row>
    <row r="1052" spans="1:13">
      <c r="A1052" s="640">
        <v>21313</v>
      </c>
      <c r="B1052" s="640">
        <v>1700</v>
      </c>
      <c r="C1052" s="638">
        <v>3822.607</v>
      </c>
      <c r="D1052" s="633">
        <f t="shared" si="34"/>
        <v>3822.607</v>
      </c>
      <c r="E1052" s="608"/>
      <c r="F1052" s="760">
        <f t="shared" si="33"/>
        <v>1612.7386459416114</v>
      </c>
      <c r="M1052" s="443"/>
    </row>
    <row r="1053" spans="1:13">
      <c r="A1053" s="640">
        <v>21313</v>
      </c>
      <c r="B1053" s="640">
        <v>1800</v>
      </c>
      <c r="C1053" s="638">
        <v>4333.4430000000002</v>
      </c>
      <c r="D1053" s="633">
        <f t="shared" si="34"/>
        <v>4333.4430000000002</v>
      </c>
      <c r="E1053" s="608"/>
      <c r="F1053" s="760">
        <f t="shared" si="33"/>
        <v>1828.257782211238</v>
      </c>
      <c r="M1053" s="443"/>
    </row>
    <row r="1054" spans="1:13">
      <c r="A1054" s="640">
        <v>21313</v>
      </c>
      <c r="B1054" s="640">
        <v>1900</v>
      </c>
      <c r="C1054" s="638">
        <v>4995.5110000000004</v>
      </c>
      <c r="D1054" s="633">
        <f t="shared" si="34"/>
        <v>4995.5110000000004</v>
      </c>
      <c r="E1054" s="608"/>
      <c r="F1054" s="760">
        <f t="shared" si="33"/>
        <v>2107.5809378066915</v>
      </c>
      <c r="M1054" s="443"/>
    </row>
    <row r="1055" spans="1:13">
      <c r="A1055" s="640">
        <v>21313</v>
      </c>
      <c r="B1055" s="640">
        <v>2000</v>
      </c>
      <c r="C1055" s="638">
        <v>5093.1040000000003</v>
      </c>
      <c r="D1055" s="633">
        <f t="shared" si="34"/>
        <v>5093.1040000000003</v>
      </c>
      <c r="E1055" s="608"/>
      <c r="F1055" s="760">
        <f t="shared" si="33"/>
        <v>2148.754933112351</v>
      </c>
      <c r="M1055" s="443"/>
    </row>
    <row r="1056" spans="1:13">
      <c r="A1056" s="640">
        <v>21313</v>
      </c>
      <c r="B1056" s="640">
        <v>2100</v>
      </c>
      <c r="C1056" s="638">
        <v>5055.143</v>
      </c>
      <c r="D1056" s="633">
        <f t="shared" si="34"/>
        <v>5055.143</v>
      </c>
      <c r="E1056" s="608"/>
      <c r="F1056" s="760">
        <f t="shared" si="33"/>
        <v>2132.7393783512703</v>
      </c>
      <c r="M1056" s="443"/>
    </row>
    <row r="1057" spans="1:13">
      <c r="A1057" s="640">
        <v>21313</v>
      </c>
      <c r="B1057" s="640">
        <v>2200</v>
      </c>
      <c r="C1057" s="638">
        <v>4912.4690000000001</v>
      </c>
      <c r="D1057" s="633">
        <f t="shared" si="34"/>
        <v>4912.4690000000001</v>
      </c>
      <c r="E1057" s="608"/>
      <c r="F1057" s="760">
        <f t="shared" si="33"/>
        <v>2072.5459361347221</v>
      </c>
      <c r="M1057" s="443"/>
    </row>
    <row r="1058" spans="1:13">
      <c r="A1058" s="640">
        <v>21313</v>
      </c>
      <c r="B1058" s="640">
        <v>2300</v>
      </c>
      <c r="C1058" s="638">
        <v>4364.1710000000003</v>
      </c>
      <c r="D1058" s="633">
        <f t="shared" si="34"/>
        <v>4364.1710000000003</v>
      </c>
      <c r="E1058" s="608"/>
      <c r="F1058" s="760">
        <f t="shared" si="33"/>
        <v>1841.2217706914805</v>
      </c>
      <c r="M1058" s="443"/>
    </row>
    <row r="1059" spans="1:13">
      <c r="A1059" s="640">
        <v>21313</v>
      </c>
      <c r="B1059" s="640">
        <v>2400</v>
      </c>
      <c r="C1059" s="638">
        <v>3845.6260000000002</v>
      </c>
      <c r="D1059" s="633">
        <f t="shared" si="34"/>
        <v>3845.6260000000002</v>
      </c>
      <c r="E1059" s="608"/>
      <c r="F1059" s="760">
        <f t="shared" si="33"/>
        <v>1622.4502461377417</v>
      </c>
      <c r="M1059" s="443"/>
    </row>
    <row r="1060" spans="1:13">
      <c r="A1060" s="640">
        <v>21413</v>
      </c>
      <c r="B1060" s="640">
        <v>100</v>
      </c>
      <c r="C1060" s="638">
        <v>3575.1489999999999</v>
      </c>
      <c r="D1060" s="633">
        <f t="shared" si="34"/>
        <v>3575.1489999999999</v>
      </c>
      <c r="E1060" s="608"/>
      <c r="F1060" s="760">
        <f t="shared" si="33"/>
        <v>1508.3373617270897</v>
      </c>
      <c r="M1060" s="443"/>
    </row>
    <row r="1061" spans="1:13">
      <c r="A1061" s="640">
        <v>21413</v>
      </c>
      <c r="B1061" s="640">
        <v>200</v>
      </c>
      <c r="C1061" s="638">
        <v>3633.4679999999998</v>
      </c>
      <c r="D1061" s="633">
        <f t="shared" si="34"/>
        <v>3633.4679999999998</v>
      </c>
      <c r="E1061" s="608"/>
      <c r="F1061" s="760">
        <f t="shared" si="33"/>
        <v>1532.9418541828063</v>
      </c>
      <c r="M1061" s="443"/>
    </row>
    <row r="1062" spans="1:13">
      <c r="A1062" s="640">
        <v>21413</v>
      </c>
      <c r="B1062" s="640">
        <v>300</v>
      </c>
      <c r="C1062" s="638">
        <v>3549.0610000000001</v>
      </c>
      <c r="D1062" s="633">
        <f t="shared" si="34"/>
        <v>3549.0610000000001</v>
      </c>
      <c r="E1062" s="608"/>
      <c r="F1062" s="760">
        <f t="shared" si="33"/>
        <v>1497.3309658838014</v>
      </c>
      <c r="M1062" s="443"/>
    </row>
    <row r="1063" spans="1:13">
      <c r="A1063" s="640">
        <v>21413</v>
      </c>
      <c r="B1063" s="640">
        <v>400</v>
      </c>
      <c r="C1063" s="638">
        <v>3567.6109999999999</v>
      </c>
      <c r="D1063" s="633">
        <f t="shared" si="34"/>
        <v>3567.6109999999999</v>
      </c>
      <c r="E1063" s="608"/>
      <c r="F1063" s="760">
        <f t="shared" si="33"/>
        <v>1505.1571174819692</v>
      </c>
      <c r="M1063" s="443"/>
    </row>
    <row r="1064" spans="1:13">
      <c r="A1064" s="640">
        <v>21413</v>
      </c>
      <c r="B1064" s="640">
        <v>500</v>
      </c>
      <c r="C1064" s="638">
        <v>3664.0210000000002</v>
      </c>
      <c r="D1064" s="633">
        <f t="shared" si="34"/>
        <v>3664.0210000000002</v>
      </c>
      <c r="E1064" s="608"/>
      <c r="F1064" s="760">
        <f t="shared" si="33"/>
        <v>1545.8320110441982</v>
      </c>
      <c r="M1064" s="443"/>
    </row>
    <row r="1065" spans="1:13">
      <c r="A1065" s="640">
        <v>21413</v>
      </c>
      <c r="B1065" s="640">
        <v>600</v>
      </c>
      <c r="C1065" s="638">
        <v>3986.7130000000002</v>
      </c>
      <c r="D1065" s="633">
        <f t="shared" si="34"/>
        <v>3986.7130000000002</v>
      </c>
      <c r="E1065" s="608"/>
      <c r="F1065" s="760">
        <f t="shared" si="33"/>
        <v>1681.9741410450563</v>
      </c>
      <c r="M1065" s="443"/>
    </row>
    <row r="1066" spans="1:13">
      <c r="A1066" s="640">
        <v>21413</v>
      </c>
      <c r="B1066" s="640">
        <v>700</v>
      </c>
      <c r="C1066" s="638">
        <v>4632.7209999999995</v>
      </c>
      <c r="D1066" s="633">
        <f t="shared" si="34"/>
        <v>4632.7209999999995</v>
      </c>
      <c r="E1066" s="608"/>
      <c r="F1066" s="760">
        <f t="shared" si="33"/>
        <v>1954.5216635048453</v>
      </c>
      <c r="M1066" s="443"/>
    </row>
    <row r="1067" spans="1:13">
      <c r="A1067" s="640">
        <v>21413</v>
      </c>
      <c r="B1067" s="640">
        <v>800</v>
      </c>
      <c r="C1067" s="638">
        <v>4823.8140000000003</v>
      </c>
      <c r="D1067" s="633">
        <f t="shared" si="34"/>
        <v>4823.8140000000003</v>
      </c>
      <c r="E1067" s="608"/>
      <c r="F1067" s="760">
        <f t="shared" si="33"/>
        <v>2035.1428380249888</v>
      </c>
      <c r="M1067" s="443"/>
    </row>
    <row r="1068" spans="1:13">
      <c r="A1068" s="640">
        <v>21413</v>
      </c>
      <c r="B1068" s="640">
        <v>900</v>
      </c>
      <c r="C1068" s="638">
        <v>4603.0140000000001</v>
      </c>
      <c r="D1068" s="633">
        <f t="shared" si="34"/>
        <v>4603.0140000000001</v>
      </c>
      <c r="E1068" s="608"/>
      <c r="F1068" s="760">
        <f t="shared" ref="F1068:F1131" si="35">(D1068/(MAX($D$748:$D$1443)))*$M$5</f>
        <v>1941.9884297837261</v>
      </c>
      <c r="M1068" s="443"/>
    </row>
    <row r="1069" spans="1:13">
      <c r="A1069" s="640">
        <v>21413</v>
      </c>
      <c r="B1069" s="640">
        <v>1000</v>
      </c>
      <c r="C1069" s="638">
        <v>4431.049</v>
      </c>
      <c r="D1069" s="633">
        <f t="shared" si="34"/>
        <v>4431.049</v>
      </c>
      <c r="E1069" s="608"/>
      <c r="F1069" s="760">
        <f t="shared" si="35"/>
        <v>1869.4372621514403</v>
      </c>
      <c r="M1069" s="443"/>
    </row>
    <row r="1070" spans="1:13">
      <c r="A1070" s="640">
        <v>21413</v>
      </c>
      <c r="B1070" s="640">
        <v>1100</v>
      </c>
      <c r="C1070" s="638">
        <v>3996.2150000000001</v>
      </c>
      <c r="D1070" s="633">
        <f t="shared" si="34"/>
        <v>3996.2150000000001</v>
      </c>
      <c r="E1070" s="608"/>
      <c r="F1070" s="760">
        <f t="shared" si="35"/>
        <v>1685.9829870011633</v>
      </c>
      <c r="M1070" s="443"/>
    </row>
    <row r="1071" spans="1:13">
      <c r="A1071" s="640">
        <v>21413</v>
      </c>
      <c r="B1071" s="640">
        <v>1200</v>
      </c>
      <c r="C1071" s="638">
        <v>3891.8119999999999</v>
      </c>
      <c r="D1071" s="633">
        <f t="shared" si="34"/>
        <v>3891.8119999999999</v>
      </c>
      <c r="E1071" s="608"/>
      <c r="F1071" s="760">
        <f t="shared" si="35"/>
        <v>1641.9358869848022</v>
      </c>
      <c r="M1071" s="443"/>
    </row>
    <row r="1072" spans="1:13">
      <c r="A1072" s="640">
        <v>21413</v>
      </c>
      <c r="B1072" s="640">
        <v>1300</v>
      </c>
      <c r="C1072" s="638">
        <v>3894.2159999999999</v>
      </c>
      <c r="D1072" s="633">
        <f t="shared" si="34"/>
        <v>3894.2159999999999</v>
      </c>
      <c r="E1072" s="608"/>
      <c r="F1072" s="760">
        <f t="shared" si="35"/>
        <v>1642.9501224803275</v>
      </c>
      <c r="M1072" s="443"/>
    </row>
    <row r="1073" spans="1:13">
      <c r="A1073" s="640">
        <v>21413</v>
      </c>
      <c r="B1073" s="640">
        <v>1400</v>
      </c>
      <c r="C1073" s="638">
        <v>3937.989</v>
      </c>
      <c r="D1073" s="633">
        <f t="shared" si="34"/>
        <v>3937.989</v>
      </c>
      <c r="E1073" s="608"/>
      <c r="F1073" s="760">
        <f t="shared" si="35"/>
        <v>1661.4177307771788</v>
      </c>
      <c r="M1073" s="443"/>
    </row>
    <row r="1074" spans="1:13">
      <c r="A1074" s="640">
        <v>21413</v>
      </c>
      <c r="B1074" s="640">
        <v>1500</v>
      </c>
      <c r="C1074" s="638">
        <v>3899.7440000000001</v>
      </c>
      <c r="D1074" s="633">
        <f t="shared" si="34"/>
        <v>3899.7440000000001</v>
      </c>
      <c r="E1074" s="608"/>
      <c r="F1074" s="760">
        <f t="shared" si="35"/>
        <v>1645.282357846078</v>
      </c>
      <c r="M1074" s="443"/>
    </row>
    <row r="1075" spans="1:13">
      <c r="A1075" s="640">
        <v>21413</v>
      </c>
      <c r="B1075" s="640">
        <v>1600</v>
      </c>
      <c r="C1075" s="638">
        <v>4069.165</v>
      </c>
      <c r="D1075" s="633">
        <f t="shared" si="34"/>
        <v>4069.165</v>
      </c>
      <c r="E1075" s="608"/>
      <c r="F1075" s="760">
        <f t="shared" si="35"/>
        <v>1716.760224687758</v>
      </c>
      <c r="M1075" s="443"/>
    </row>
    <row r="1076" spans="1:13">
      <c r="A1076" s="640">
        <v>21413</v>
      </c>
      <c r="B1076" s="640">
        <v>1700</v>
      </c>
      <c r="C1076" s="638">
        <v>4358.451</v>
      </c>
      <c r="D1076" s="633">
        <f t="shared" si="34"/>
        <v>4358.451</v>
      </c>
      <c r="E1076" s="608"/>
      <c r="F1076" s="760">
        <f t="shared" si="35"/>
        <v>1838.8085314924767</v>
      </c>
      <c r="M1076" s="443"/>
    </row>
    <row r="1077" spans="1:13">
      <c r="A1077" s="640">
        <v>21413</v>
      </c>
      <c r="B1077" s="640">
        <v>1800</v>
      </c>
      <c r="C1077" s="638">
        <v>4674.7870000000003</v>
      </c>
      <c r="D1077" s="633">
        <f t="shared" si="34"/>
        <v>4674.7870000000003</v>
      </c>
      <c r="E1077" s="608"/>
      <c r="F1077" s="760">
        <f t="shared" si="35"/>
        <v>1972.2690970966796</v>
      </c>
      <c r="M1077" s="443"/>
    </row>
    <row r="1078" spans="1:13">
      <c r="A1078" s="640">
        <v>21413</v>
      </c>
      <c r="B1078" s="640">
        <v>1900</v>
      </c>
      <c r="C1078" s="638">
        <v>5025.0590000000002</v>
      </c>
      <c r="D1078" s="633">
        <f t="shared" si="34"/>
        <v>5025.0590000000002</v>
      </c>
      <c r="E1078" s="608"/>
      <c r="F1078" s="760">
        <f t="shared" si="35"/>
        <v>2120.0470902283982</v>
      </c>
      <c r="M1078" s="443"/>
    </row>
    <row r="1079" spans="1:13">
      <c r="A1079" s="640">
        <v>21413</v>
      </c>
      <c r="B1079" s="640">
        <v>2000</v>
      </c>
      <c r="C1079" s="638">
        <v>5010.9949999999999</v>
      </c>
      <c r="D1079" s="633">
        <f t="shared" si="34"/>
        <v>5010.9949999999999</v>
      </c>
      <c r="E1079" s="608"/>
      <c r="F1079" s="760">
        <f t="shared" si="35"/>
        <v>2114.1135594425959</v>
      </c>
      <c r="M1079" s="443"/>
    </row>
    <row r="1080" spans="1:13">
      <c r="A1080" s="640">
        <v>21413</v>
      </c>
      <c r="B1080" s="640">
        <v>2100</v>
      </c>
      <c r="C1080" s="638">
        <v>4868.5420000000004</v>
      </c>
      <c r="D1080" s="633">
        <f t="shared" si="34"/>
        <v>4868.5420000000004</v>
      </c>
      <c r="E1080" s="608"/>
      <c r="F1080" s="760">
        <f t="shared" si="35"/>
        <v>2054.0133560132822</v>
      </c>
      <c r="M1080" s="443"/>
    </row>
    <row r="1081" spans="1:13">
      <c r="A1081" s="640">
        <v>21413</v>
      </c>
      <c r="B1081" s="640">
        <v>2200</v>
      </c>
      <c r="C1081" s="638">
        <v>4701.1139999999996</v>
      </c>
      <c r="D1081" s="633">
        <f t="shared" si="34"/>
        <v>4701.1139999999996</v>
      </c>
      <c r="E1081" s="608"/>
      <c r="F1081" s="760">
        <f t="shared" si="35"/>
        <v>1983.3763258365693</v>
      </c>
      <c r="M1081" s="443"/>
    </row>
    <row r="1082" spans="1:13">
      <c r="A1082" s="640">
        <v>21413</v>
      </c>
      <c r="B1082" s="640">
        <v>2300</v>
      </c>
      <c r="C1082" s="638">
        <v>4118.8940000000002</v>
      </c>
      <c r="D1082" s="633">
        <f t="shared" si="34"/>
        <v>4118.8940000000002</v>
      </c>
      <c r="E1082" s="608"/>
      <c r="F1082" s="760">
        <f t="shared" si="35"/>
        <v>1737.7406393953204</v>
      </c>
      <c r="M1082" s="443"/>
    </row>
    <row r="1083" spans="1:13">
      <c r="A1083" s="640">
        <v>21413</v>
      </c>
      <c r="B1083" s="640">
        <v>2400</v>
      </c>
      <c r="C1083" s="638">
        <v>3649.9560000000001</v>
      </c>
      <c r="D1083" s="633">
        <f t="shared" si="34"/>
        <v>3649.9560000000001</v>
      </c>
      <c r="E1083" s="608"/>
      <c r="F1083" s="760">
        <f t="shared" si="35"/>
        <v>1539.8980583634311</v>
      </c>
      <c r="M1083" s="443"/>
    </row>
    <row r="1084" spans="1:13">
      <c r="A1084" s="640">
        <v>21513</v>
      </c>
      <c r="B1084" s="640">
        <v>100</v>
      </c>
      <c r="C1084" s="638">
        <v>3384.7739999999999</v>
      </c>
      <c r="D1084" s="633">
        <f t="shared" si="34"/>
        <v>3384.7739999999999</v>
      </c>
      <c r="E1084" s="608"/>
      <c r="F1084" s="760">
        <f t="shared" si="35"/>
        <v>1428.0191077917168</v>
      </c>
      <c r="M1084" s="443"/>
    </row>
    <row r="1085" spans="1:13">
      <c r="A1085" s="640">
        <v>21513</v>
      </c>
      <c r="B1085" s="640">
        <v>200</v>
      </c>
      <c r="C1085" s="638">
        <v>3451.8359999999998</v>
      </c>
      <c r="D1085" s="633">
        <f t="shared" si="34"/>
        <v>3451.8359999999998</v>
      </c>
      <c r="E1085" s="608"/>
      <c r="F1085" s="760">
        <f t="shared" si="35"/>
        <v>1456.3122279252111</v>
      </c>
      <c r="M1085" s="443"/>
    </row>
    <row r="1086" spans="1:13">
      <c r="A1086" s="640">
        <v>21513</v>
      </c>
      <c r="B1086" s="640">
        <v>300</v>
      </c>
      <c r="C1086" s="638">
        <v>3435.0259999999998</v>
      </c>
      <c r="D1086" s="633">
        <f t="shared" si="34"/>
        <v>3435.0259999999998</v>
      </c>
      <c r="E1086" s="608"/>
      <c r="F1086" s="760">
        <f t="shared" si="35"/>
        <v>1449.2201735659012</v>
      </c>
      <c r="M1086" s="443"/>
    </row>
    <row r="1087" spans="1:13">
      <c r="A1087" s="640">
        <v>21513</v>
      </c>
      <c r="B1087" s="640">
        <v>400</v>
      </c>
      <c r="C1087" s="638">
        <v>3400.3220000000001</v>
      </c>
      <c r="D1087" s="633">
        <f t="shared" si="34"/>
        <v>3400.3220000000001</v>
      </c>
      <c r="E1087" s="608"/>
      <c r="F1087" s="760">
        <f t="shared" si="35"/>
        <v>1434.5787307053724</v>
      </c>
      <c r="M1087" s="443"/>
    </row>
    <row r="1088" spans="1:13">
      <c r="A1088" s="640">
        <v>21513</v>
      </c>
      <c r="B1088" s="640">
        <v>500</v>
      </c>
      <c r="C1088" s="638">
        <v>3559.78</v>
      </c>
      <c r="D1088" s="633">
        <f t="shared" si="34"/>
        <v>3559.78</v>
      </c>
      <c r="E1088" s="608"/>
      <c r="F1088" s="760">
        <f t="shared" si="35"/>
        <v>1501.8532580121444</v>
      </c>
      <c r="M1088" s="443"/>
    </row>
    <row r="1089" spans="1:13">
      <c r="A1089" s="640">
        <v>21513</v>
      </c>
      <c r="B1089" s="640">
        <v>600</v>
      </c>
      <c r="C1089" s="638">
        <v>3881.2179999999998</v>
      </c>
      <c r="D1089" s="633">
        <f t="shared" si="34"/>
        <v>3881.2179999999998</v>
      </c>
      <c r="E1089" s="608"/>
      <c r="F1089" s="760">
        <f t="shared" si="35"/>
        <v>1637.466331727067</v>
      </c>
      <c r="M1089" s="443"/>
    </row>
    <row r="1090" spans="1:13">
      <c r="A1090" s="640">
        <v>21513</v>
      </c>
      <c r="B1090" s="640">
        <v>700</v>
      </c>
      <c r="C1090" s="638">
        <v>4428.5929999999998</v>
      </c>
      <c r="D1090" s="633">
        <f t="shared" si="34"/>
        <v>4428.5929999999998</v>
      </c>
      <c r="E1090" s="608"/>
      <c r="F1090" s="760">
        <f t="shared" si="35"/>
        <v>1868.4010881177421</v>
      </c>
      <c r="M1090" s="443"/>
    </row>
    <row r="1091" spans="1:13">
      <c r="A1091" s="640">
        <v>21513</v>
      </c>
      <c r="B1091" s="640">
        <v>800</v>
      </c>
      <c r="C1091" s="638">
        <v>4706.7640000000001</v>
      </c>
      <c r="D1091" s="633">
        <f t="shared" si="34"/>
        <v>4706.7640000000001</v>
      </c>
      <c r="E1091" s="608"/>
      <c r="F1091" s="760">
        <f t="shared" si="35"/>
        <v>1985.7600323880331</v>
      </c>
      <c r="M1091" s="443"/>
    </row>
    <row r="1092" spans="1:13">
      <c r="A1092" s="640">
        <v>21513</v>
      </c>
      <c r="B1092" s="640">
        <v>900</v>
      </c>
      <c r="C1092" s="638">
        <v>4644.4849999999997</v>
      </c>
      <c r="D1092" s="633">
        <f t="shared" si="34"/>
        <v>4644.4849999999997</v>
      </c>
      <c r="E1092" s="608"/>
      <c r="F1092" s="760">
        <f t="shared" si="35"/>
        <v>1959.4848358714678</v>
      </c>
      <c r="M1092" s="443"/>
    </row>
    <row r="1093" spans="1:13">
      <c r="A1093" s="640">
        <v>21513</v>
      </c>
      <c r="B1093" s="640">
        <v>1000</v>
      </c>
      <c r="C1093" s="638">
        <v>4589.6880000000001</v>
      </c>
      <c r="D1093" s="633">
        <f t="shared" ref="D1093:D1156" si="36">C1093</f>
        <v>4589.6880000000001</v>
      </c>
      <c r="E1093" s="608"/>
      <c r="F1093" s="760">
        <f t="shared" si="35"/>
        <v>1936.3662574819912</v>
      </c>
      <c r="M1093" s="443"/>
    </row>
    <row r="1094" spans="1:13">
      <c r="A1094" s="640">
        <v>21513</v>
      </c>
      <c r="B1094" s="640">
        <v>1100</v>
      </c>
      <c r="C1094" s="638">
        <v>4243.3209999999999</v>
      </c>
      <c r="D1094" s="633">
        <f t="shared" si="36"/>
        <v>4243.3209999999999</v>
      </c>
      <c r="E1094" s="608"/>
      <c r="F1094" s="760">
        <f t="shared" si="35"/>
        <v>1790.2357641880537</v>
      </c>
      <c r="M1094" s="443"/>
    </row>
    <row r="1095" spans="1:13">
      <c r="A1095" s="640">
        <v>21513</v>
      </c>
      <c r="B1095" s="640">
        <v>1200</v>
      </c>
      <c r="C1095" s="638">
        <v>4128.05</v>
      </c>
      <c r="D1095" s="633">
        <f t="shared" si="36"/>
        <v>4128.05</v>
      </c>
      <c r="E1095" s="608"/>
      <c r="F1095" s="760">
        <f t="shared" si="35"/>
        <v>1741.6035096935857</v>
      </c>
      <c r="M1095" s="443"/>
    </row>
    <row r="1096" spans="1:13">
      <c r="A1096" s="640">
        <v>21513</v>
      </c>
      <c r="B1096" s="640">
        <v>1300</v>
      </c>
      <c r="C1096" s="638">
        <v>4071.681</v>
      </c>
      <c r="D1096" s="633">
        <f t="shared" si="36"/>
        <v>4071.681</v>
      </c>
      <c r="E1096" s="608"/>
      <c r="F1096" s="760">
        <f t="shared" si="35"/>
        <v>1717.8217124193477</v>
      </c>
      <c r="M1096" s="443"/>
    </row>
    <row r="1097" spans="1:13">
      <c r="A1097" s="640">
        <v>21513</v>
      </c>
      <c r="B1097" s="640">
        <v>1400</v>
      </c>
      <c r="C1097" s="638">
        <v>4010.3580000000002</v>
      </c>
      <c r="D1097" s="633">
        <f t="shared" si="36"/>
        <v>4010.3580000000002</v>
      </c>
      <c r="E1097" s="608"/>
      <c r="F1097" s="760">
        <f t="shared" si="35"/>
        <v>1691.9498474891898</v>
      </c>
      <c r="M1097" s="443"/>
    </row>
    <row r="1098" spans="1:13">
      <c r="A1098" s="640">
        <v>21513</v>
      </c>
      <c r="B1098" s="640">
        <v>1500</v>
      </c>
      <c r="C1098" s="638">
        <v>3915.4110000000001</v>
      </c>
      <c r="D1098" s="633">
        <f t="shared" si="36"/>
        <v>3915.4110000000001</v>
      </c>
      <c r="E1098" s="608"/>
      <c r="F1098" s="760">
        <f t="shared" si="35"/>
        <v>1651.8921862605519</v>
      </c>
      <c r="M1098" s="443"/>
    </row>
    <row r="1099" spans="1:13">
      <c r="A1099" s="640">
        <v>21513</v>
      </c>
      <c r="B1099" s="640">
        <v>1600</v>
      </c>
      <c r="C1099" s="638">
        <v>3912.7379999999998</v>
      </c>
      <c r="D1099" s="633">
        <f t="shared" si="36"/>
        <v>3912.7379999999998</v>
      </c>
      <c r="E1099" s="608"/>
      <c r="F1099" s="760">
        <f t="shared" si="35"/>
        <v>1650.7644610194791</v>
      </c>
      <c r="M1099" s="443"/>
    </row>
    <row r="1100" spans="1:13">
      <c r="A1100" s="640">
        <v>21513</v>
      </c>
      <c r="B1100" s="640">
        <v>1700</v>
      </c>
      <c r="C1100" s="638">
        <v>4089.576</v>
      </c>
      <c r="D1100" s="633">
        <f t="shared" si="36"/>
        <v>4089.576</v>
      </c>
      <c r="E1100" s="608"/>
      <c r="F1100" s="760">
        <f t="shared" si="35"/>
        <v>1725.3715228155315</v>
      </c>
      <c r="M1100" s="443"/>
    </row>
    <row r="1101" spans="1:13">
      <c r="A1101" s="640">
        <v>21513</v>
      </c>
      <c r="B1101" s="640">
        <v>1800</v>
      </c>
      <c r="C1101" s="638">
        <v>4583.8059999999996</v>
      </c>
      <c r="D1101" s="633">
        <f t="shared" si="36"/>
        <v>4583.8059999999996</v>
      </c>
      <c r="E1101" s="608"/>
      <c r="F1101" s="760">
        <f t="shared" si="35"/>
        <v>1933.8846712986797</v>
      </c>
      <c r="M1101" s="443"/>
    </row>
    <row r="1102" spans="1:13">
      <c r="A1102" s="640">
        <v>21513</v>
      </c>
      <c r="B1102" s="640">
        <v>1900</v>
      </c>
      <c r="C1102" s="638">
        <v>5147.0150000000003</v>
      </c>
      <c r="D1102" s="633">
        <f t="shared" si="36"/>
        <v>5147.0150000000003</v>
      </c>
      <c r="E1102" s="608"/>
      <c r="F1102" s="760">
        <f t="shared" si="35"/>
        <v>2171.4997125629611</v>
      </c>
      <c r="M1102" s="443"/>
    </row>
    <row r="1103" spans="1:13">
      <c r="A1103" s="640">
        <v>21513</v>
      </c>
      <c r="B1103" s="640">
        <v>2000</v>
      </c>
      <c r="C1103" s="638">
        <v>5171.7179999999998</v>
      </c>
      <c r="D1103" s="633">
        <f t="shared" si="36"/>
        <v>5171.7179999999998</v>
      </c>
      <c r="E1103" s="608"/>
      <c r="F1103" s="760">
        <f t="shared" si="35"/>
        <v>2181.9217838799168</v>
      </c>
      <c r="M1103" s="443"/>
    </row>
    <row r="1104" spans="1:13">
      <c r="A1104" s="640">
        <v>21513</v>
      </c>
      <c r="B1104" s="640">
        <v>2100</v>
      </c>
      <c r="C1104" s="638">
        <v>5065.7389999999996</v>
      </c>
      <c r="D1104" s="633">
        <f t="shared" si="36"/>
        <v>5065.7389999999996</v>
      </c>
      <c r="E1104" s="608"/>
      <c r="F1104" s="760">
        <f t="shared" si="35"/>
        <v>2137.2097773989349</v>
      </c>
      <c r="M1104" s="443"/>
    </row>
    <row r="1105" spans="1:13">
      <c r="A1105" s="640">
        <v>21513</v>
      </c>
      <c r="B1105" s="640">
        <v>2200</v>
      </c>
      <c r="C1105" s="638">
        <v>4833.6589999999997</v>
      </c>
      <c r="D1105" s="633">
        <f t="shared" si="36"/>
        <v>4833.6589999999997</v>
      </c>
      <c r="E1105" s="608"/>
      <c r="F1105" s="760">
        <f t="shared" si="35"/>
        <v>2039.2963939540427</v>
      </c>
      <c r="M1105" s="443"/>
    </row>
    <row r="1106" spans="1:13">
      <c r="A1106" s="640">
        <v>21513</v>
      </c>
      <c r="B1106" s="640">
        <v>2300</v>
      </c>
      <c r="C1106" s="638">
        <v>4535.7929999999997</v>
      </c>
      <c r="D1106" s="633">
        <f t="shared" si="36"/>
        <v>4535.7929999999997</v>
      </c>
      <c r="E1106" s="608"/>
      <c r="F1106" s="760">
        <f t="shared" si="35"/>
        <v>1913.6282283508187</v>
      </c>
      <c r="M1106" s="443"/>
    </row>
    <row r="1107" spans="1:13">
      <c r="A1107" s="640">
        <v>21513</v>
      </c>
      <c r="B1107" s="640">
        <v>2400</v>
      </c>
      <c r="C1107" s="638">
        <v>4136.1689999999999</v>
      </c>
      <c r="D1107" s="633">
        <f t="shared" si="36"/>
        <v>4136.1689999999999</v>
      </c>
      <c r="E1107" s="608"/>
      <c r="F1107" s="760">
        <f t="shared" si="35"/>
        <v>1745.0288749132903</v>
      </c>
      <c r="M1107" s="443"/>
    </row>
    <row r="1108" spans="1:13">
      <c r="A1108" s="640">
        <v>21613</v>
      </c>
      <c r="B1108" s="640">
        <v>100</v>
      </c>
      <c r="C1108" s="638">
        <v>3881.6790000000001</v>
      </c>
      <c r="D1108" s="633">
        <f t="shared" si="36"/>
        <v>3881.6790000000001</v>
      </c>
      <c r="E1108" s="608"/>
      <c r="F1108" s="760">
        <f t="shared" si="35"/>
        <v>1637.660825305868</v>
      </c>
      <c r="M1108" s="443"/>
    </row>
    <row r="1109" spans="1:13">
      <c r="A1109" s="640">
        <v>21613</v>
      </c>
      <c r="B1109" s="640">
        <v>200</v>
      </c>
      <c r="C1109" s="638">
        <v>3983.4180000000001</v>
      </c>
      <c r="D1109" s="633">
        <f t="shared" si="36"/>
        <v>3983.4180000000001</v>
      </c>
      <c r="E1109" s="608"/>
      <c r="F1109" s="760">
        <f t="shared" si="35"/>
        <v>1680.5839971358398</v>
      </c>
      <c r="M1109" s="443"/>
    </row>
    <row r="1110" spans="1:13">
      <c r="A1110" s="640">
        <v>21613</v>
      </c>
      <c r="B1110" s="640">
        <v>300</v>
      </c>
      <c r="C1110" s="638">
        <v>3862.4009999999998</v>
      </c>
      <c r="D1110" s="633">
        <f t="shared" si="36"/>
        <v>3862.4009999999998</v>
      </c>
      <c r="E1110" s="608"/>
      <c r="F1110" s="760">
        <f t="shared" si="35"/>
        <v>1629.5275341732813</v>
      </c>
      <c r="M1110" s="443"/>
    </row>
    <row r="1111" spans="1:13">
      <c r="A1111" s="640">
        <v>21613</v>
      </c>
      <c r="B1111" s="640">
        <v>400</v>
      </c>
      <c r="C1111" s="638">
        <v>3870.7420000000002</v>
      </c>
      <c r="D1111" s="633">
        <f t="shared" si="36"/>
        <v>3870.7420000000002</v>
      </c>
      <c r="E1111" s="608"/>
      <c r="F1111" s="760">
        <f t="shared" si="35"/>
        <v>1633.0465600751854</v>
      </c>
      <c r="M1111" s="443"/>
    </row>
    <row r="1112" spans="1:13">
      <c r="A1112" s="640">
        <v>21613</v>
      </c>
      <c r="B1112" s="640">
        <v>500</v>
      </c>
      <c r="C1112" s="638">
        <v>3899.14</v>
      </c>
      <c r="D1112" s="633">
        <f t="shared" si="36"/>
        <v>3899.14</v>
      </c>
      <c r="E1112" s="608"/>
      <c r="F1112" s="760">
        <f t="shared" si="35"/>
        <v>1645.027533287302</v>
      </c>
      <c r="M1112" s="443"/>
    </row>
    <row r="1113" spans="1:13">
      <c r="A1113" s="640">
        <v>21613</v>
      </c>
      <c r="B1113" s="640">
        <v>600</v>
      </c>
      <c r="C1113" s="638">
        <v>3959.375</v>
      </c>
      <c r="D1113" s="633">
        <f t="shared" si="36"/>
        <v>3959.375</v>
      </c>
      <c r="E1113" s="608"/>
      <c r="F1113" s="760">
        <f t="shared" si="35"/>
        <v>1670.4403764956917</v>
      </c>
      <c r="M1113" s="443"/>
    </row>
    <row r="1114" spans="1:13">
      <c r="A1114" s="640">
        <v>21613</v>
      </c>
      <c r="B1114" s="640">
        <v>700</v>
      </c>
      <c r="C1114" s="638">
        <v>4251.3860000000004</v>
      </c>
      <c r="D1114" s="633">
        <f t="shared" si="36"/>
        <v>4251.3860000000004</v>
      </c>
      <c r="E1114" s="608"/>
      <c r="F1114" s="760">
        <f t="shared" si="35"/>
        <v>1793.6383470796563</v>
      </c>
      <c r="M1114" s="443"/>
    </row>
    <row r="1115" spans="1:13">
      <c r="A1115" s="640">
        <v>21613</v>
      </c>
      <c r="B1115" s="640">
        <v>800</v>
      </c>
      <c r="C1115" s="638">
        <v>4412.1469999999999</v>
      </c>
      <c r="D1115" s="633">
        <f t="shared" si="36"/>
        <v>4412.1469999999999</v>
      </c>
      <c r="E1115" s="608"/>
      <c r="F1115" s="760">
        <f t="shared" si="35"/>
        <v>1861.4626035256415</v>
      </c>
      <c r="M1115" s="443"/>
    </row>
    <row r="1116" spans="1:13">
      <c r="A1116" s="640">
        <v>21613</v>
      </c>
      <c r="B1116" s="640">
        <v>900</v>
      </c>
      <c r="C1116" s="638">
        <v>4715.3980000000001</v>
      </c>
      <c r="D1116" s="633">
        <f t="shared" si="36"/>
        <v>4715.3980000000001</v>
      </c>
      <c r="E1116" s="608"/>
      <c r="F1116" s="760">
        <f t="shared" si="35"/>
        <v>1989.402673514641</v>
      </c>
      <c r="M1116" s="443"/>
    </row>
    <row r="1117" spans="1:13">
      <c r="A1117" s="640">
        <v>21613</v>
      </c>
      <c r="B1117" s="640">
        <v>1000</v>
      </c>
      <c r="C1117" s="638">
        <v>4519.558</v>
      </c>
      <c r="D1117" s="633">
        <f t="shared" si="36"/>
        <v>4519.558</v>
      </c>
      <c r="E1117" s="608"/>
      <c r="F1117" s="760">
        <f t="shared" si="35"/>
        <v>1906.7787635963039</v>
      </c>
      <c r="M1117" s="443"/>
    </row>
    <row r="1118" spans="1:13">
      <c r="A1118" s="640">
        <v>21613</v>
      </c>
      <c r="B1118" s="640">
        <v>1100</v>
      </c>
      <c r="C1118" s="638">
        <v>4391.2079999999996</v>
      </c>
      <c r="D1118" s="633">
        <f t="shared" si="36"/>
        <v>4391.2079999999996</v>
      </c>
      <c r="E1118" s="608"/>
      <c r="F1118" s="760">
        <f t="shared" si="35"/>
        <v>1852.6285448564213</v>
      </c>
      <c r="M1118" s="443"/>
    </row>
    <row r="1119" spans="1:13">
      <c r="A1119" s="640">
        <v>21613</v>
      </c>
      <c r="B1119" s="640">
        <v>1200</v>
      </c>
      <c r="C1119" s="638">
        <v>4371.5230000000001</v>
      </c>
      <c r="D1119" s="633">
        <f t="shared" si="36"/>
        <v>4371.5230000000001</v>
      </c>
      <c r="E1119" s="608"/>
      <c r="F1119" s="760">
        <f t="shared" si="35"/>
        <v>1844.323542473137</v>
      </c>
      <c r="M1119" s="443"/>
    </row>
    <row r="1120" spans="1:13">
      <c r="A1120" s="640">
        <v>21613</v>
      </c>
      <c r="B1120" s="640">
        <v>1300</v>
      </c>
      <c r="C1120" s="638">
        <v>4216.9639999999999</v>
      </c>
      <c r="D1120" s="633">
        <f t="shared" si="36"/>
        <v>4216.9639999999999</v>
      </c>
      <c r="E1120" s="608"/>
      <c r="F1120" s="760">
        <f t="shared" si="35"/>
        <v>1779.1158785992179</v>
      </c>
      <c r="M1120" s="443"/>
    </row>
    <row r="1121" spans="1:13">
      <c r="A1121" s="640">
        <v>21613</v>
      </c>
      <c r="B1121" s="640">
        <v>1400</v>
      </c>
      <c r="C1121" s="638">
        <v>4109.7179999999998</v>
      </c>
      <c r="D1121" s="633">
        <f t="shared" si="36"/>
        <v>4109.7179999999998</v>
      </c>
      <c r="E1121" s="608"/>
      <c r="F1121" s="760">
        <f t="shared" si="35"/>
        <v>1733.8693311977574</v>
      </c>
      <c r="M1121" s="443"/>
    </row>
    <row r="1122" spans="1:13">
      <c r="A1122" s="640">
        <v>21613</v>
      </c>
      <c r="B1122" s="640">
        <v>1500</v>
      </c>
      <c r="C1122" s="638">
        <v>4156.3829999999998</v>
      </c>
      <c r="D1122" s="633">
        <f t="shared" si="36"/>
        <v>4156.3829999999998</v>
      </c>
      <c r="E1122" s="608"/>
      <c r="F1122" s="760">
        <f t="shared" si="35"/>
        <v>1753.5570597329863</v>
      </c>
      <c r="M1122" s="443"/>
    </row>
    <row r="1123" spans="1:13">
      <c r="A1123" s="640">
        <v>21613</v>
      </c>
      <c r="B1123" s="640">
        <v>1600</v>
      </c>
      <c r="C1123" s="638">
        <v>4236.7910000000002</v>
      </c>
      <c r="D1123" s="633">
        <f t="shared" si="36"/>
        <v>4236.7910000000002</v>
      </c>
      <c r="E1123" s="608"/>
      <c r="F1123" s="760">
        <f t="shared" si="35"/>
        <v>1787.480790067513</v>
      </c>
      <c r="M1123" s="443"/>
    </row>
    <row r="1124" spans="1:13">
      <c r="A1124" s="640">
        <v>21613</v>
      </c>
      <c r="B1124" s="640">
        <v>1700</v>
      </c>
      <c r="C1124" s="638">
        <v>4584.2160000000003</v>
      </c>
      <c r="D1124" s="633">
        <f t="shared" si="36"/>
        <v>4584.2160000000003</v>
      </c>
      <c r="E1124" s="608"/>
      <c r="F1124" s="760">
        <f t="shared" si="35"/>
        <v>1934.0576482342731</v>
      </c>
      <c r="M1124" s="443"/>
    </row>
    <row r="1125" spans="1:13">
      <c r="A1125" s="640">
        <v>21613</v>
      </c>
      <c r="B1125" s="640">
        <v>1800</v>
      </c>
      <c r="C1125" s="638">
        <v>4919.7529999999997</v>
      </c>
      <c r="D1125" s="633">
        <f t="shared" si="36"/>
        <v>4919.7529999999997</v>
      </c>
      <c r="E1125" s="608"/>
      <c r="F1125" s="760">
        <f t="shared" si="35"/>
        <v>2075.6190190587677</v>
      </c>
      <c r="M1125" s="443"/>
    </row>
    <row r="1126" spans="1:13">
      <c r="A1126" s="640">
        <v>21613</v>
      </c>
      <c r="B1126" s="640">
        <v>1900</v>
      </c>
      <c r="C1126" s="638">
        <v>5272.31</v>
      </c>
      <c r="D1126" s="633">
        <f t="shared" si="36"/>
        <v>5272.31</v>
      </c>
      <c r="E1126" s="608"/>
      <c r="F1126" s="760">
        <f t="shared" si="35"/>
        <v>2224.3610421851936</v>
      </c>
      <c r="M1126" s="443"/>
    </row>
    <row r="1127" spans="1:13">
      <c r="A1127" s="640">
        <v>21613</v>
      </c>
      <c r="B1127" s="640">
        <v>2000</v>
      </c>
      <c r="C1127" s="638">
        <v>5117.9979999999996</v>
      </c>
      <c r="D1127" s="633">
        <f t="shared" si="36"/>
        <v>5117.9979999999996</v>
      </c>
      <c r="E1127" s="608"/>
      <c r="F1127" s="760">
        <f t="shared" si="35"/>
        <v>2159.2575863675952</v>
      </c>
      <c r="M1127" s="443"/>
    </row>
    <row r="1128" spans="1:13">
      <c r="A1128" s="640">
        <v>21613</v>
      </c>
      <c r="B1128" s="640">
        <v>2100</v>
      </c>
      <c r="C1128" s="638">
        <v>4993.241</v>
      </c>
      <c r="D1128" s="633">
        <f t="shared" si="36"/>
        <v>4993.241</v>
      </c>
      <c r="E1128" s="608"/>
      <c r="F1128" s="760">
        <f t="shared" si="35"/>
        <v>2106.6232362364576</v>
      </c>
      <c r="M1128" s="443"/>
    </row>
    <row r="1129" spans="1:13">
      <c r="A1129" s="640">
        <v>21613</v>
      </c>
      <c r="B1129" s="640">
        <v>2200</v>
      </c>
      <c r="C1129" s="638">
        <v>4783.3829999999998</v>
      </c>
      <c r="D1129" s="633">
        <f t="shared" si="36"/>
        <v>4783.3829999999998</v>
      </c>
      <c r="E1129" s="608"/>
      <c r="F1129" s="760">
        <f t="shared" si="35"/>
        <v>2018.0852027007018</v>
      </c>
      <c r="M1129" s="443"/>
    </row>
    <row r="1130" spans="1:13">
      <c r="A1130" s="640">
        <v>21613</v>
      </c>
      <c r="B1130" s="640">
        <v>2300</v>
      </c>
      <c r="C1130" s="638">
        <v>4517.2030000000004</v>
      </c>
      <c r="D1130" s="633">
        <f t="shared" si="36"/>
        <v>4517.2030000000004</v>
      </c>
      <c r="E1130" s="608"/>
      <c r="F1130" s="760">
        <f t="shared" si="35"/>
        <v>1905.7852009540568</v>
      </c>
      <c r="M1130" s="443"/>
    </row>
    <row r="1131" spans="1:13">
      <c r="A1131" s="640">
        <v>21613</v>
      </c>
      <c r="B1131" s="640">
        <v>2400</v>
      </c>
      <c r="C1131" s="638">
        <v>4233.4859999999999</v>
      </c>
      <c r="D1131" s="633">
        <f t="shared" si="36"/>
        <v>4233.4859999999999</v>
      </c>
      <c r="E1131" s="608"/>
      <c r="F1131" s="760">
        <f t="shared" si="35"/>
        <v>1786.0864272086478</v>
      </c>
      <c r="M1131" s="443"/>
    </row>
    <row r="1132" spans="1:13">
      <c r="A1132" s="640">
        <v>21713</v>
      </c>
      <c r="B1132" s="640">
        <v>100</v>
      </c>
      <c r="C1132" s="638">
        <v>4057.7469999999998</v>
      </c>
      <c r="D1132" s="633">
        <f t="shared" si="36"/>
        <v>4057.7469999999998</v>
      </c>
      <c r="E1132" s="608"/>
      <c r="F1132" s="760">
        <f t="shared" ref="F1132:F1195" si="37">(D1132/(MAX($D$748:$D$1443)))*$M$5</f>
        <v>1711.9430279789774</v>
      </c>
      <c r="M1132" s="443"/>
    </row>
    <row r="1133" spans="1:13">
      <c r="A1133" s="640">
        <v>21713</v>
      </c>
      <c r="B1133" s="640">
        <v>200</v>
      </c>
      <c r="C1133" s="638">
        <v>4153.9539999999997</v>
      </c>
      <c r="D1133" s="633">
        <f t="shared" si="36"/>
        <v>4153.9539999999997</v>
      </c>
      <c r="E1133" s="608"/>
      <c r="F1133" s="760">
        <f t="shared" si="37"/>
        <v>1752.5322768633393</v>
      </c>
      <c r="M1133" s="443"/>
    </row>
    <row r="1134" spans="1:13">
      <c r="A1134" s="640">
        <v>21713</v>
      </c>
      <c r="B1134" s="640">
        <v>300</v>
      </c>
      <c r="C1134" s="638">
        <v>4072.1179999999999</v>
      </c>
      <c r="D1134" s="633">
        <f t="shared" si="36"/>
        <v>4072.1179999999999</v>
      </c>
      <c r="E1134" s="608"/>
      <c r="F1134" s="760">
        <f t="shared" si="37"/>
        <v>1718.0060805189919</v>
      </c>
      <c r="M1134" s="443"/>
    </row>
    <row r="1135" spans="1:13">
      <c r="A1135" s="640">
        <v>21713</v>
      </c>
      <c r="B1135" s="640">
        <v>400</v>
      </c>
      <c r="C1135" s="638">
        <v>4022.8049999999998</v>
      </c>
      <c r="D1135" s="633">
        <f t="shared" si="36"/>
        <v>4022.8049999999998</v>
      </c>
      <c r="E1135" s="608"/>
      <c r="F1135" s="760">
        <f t="shared" si="37"/>
        <v>1697.2011741168117</v>
      </c>
      <c r="M1135" s="443"/>
    </row>
    <row r="1136" spans="1:13">
      <c r="A1136" s="640">
        <v>21713</v>
      </c>
      <c r="B1136" s="640">
        <v>500</v>
      </c>
      <c r="C1136" s="638">
        <v>4088.0450000000001</v>
      </c>
      <c r="D1136" s="633">
        <f t="shared" si="36"/>
        <v>4088.0450000000001</v>
      </c>
      <c r="E1136" s="608"/>
      <c r="F1136" s="760">
        <f t="shared" si="37"/>
        <v>1724.7256016243298</v>
      </c>
      <c r="M1136" s="443"/>
    </row>
    <row r="1137" spans="1:13">
      <c r="A1137" s="640">
        <v>21713</v>
      </c>
      <c r="B1137" s="640">
        <v>600</v>
      </c>
      <c r="C1137" s="638">
        <v>4219.4059999999999</v>
      </c>
      <c r="D1137" s="633">
        <f t="shared" si="36"/>
        <v>4219.4059999999999</v>
      </c>
      <c r="E1137" s="608"/>
      <c r="F1137" s="760">
        <f t="shared" si="37"/>
        <v>1780.1461461034078</v>
      </c>
      <c r="M1137" s="443"/>
    </row>
    <row r="1138" spans="1:13">
      <c r="A1138" s="640">
        <v>21713</v>
      </c>
      <c r="B1138" s="640">
        <v>700</v>
      </c>
      <c r="C1138" s="638">
        <v>4416.72</v>
      </c>
      <c r="D1138" s="633">
        <f t="shared" si="36"/>
        <v>4416.72</v>
      </c>
      <c r="E1138" s="608"/>
      <c r="F1138" s="760">
        <f t="shared" si="37"/>
        <v>1863.39192919995</v>
      </c>
      <c r="M1138" s="443"/>
    </row>
    <row r="1139" spans="1:13">
      <c r="A1139" s="640">
        <v>21713</v>
      </c>
      <c r="B1139" s="640">
        <v>800</v>
      </c>
      <c r="C1139" s="638">
        <v>4517.4989999999998</v>
      </c>
      <c r="D1139" s="633">
        <f t="shared" si="36"/>
        <v>4517.4989999999998</v>
      </c>
      <c r="E1139" s="608"/>
      <c r="F1139" s="760">
        <f t="shared" si="37"/>
        <v>1905.9100818636557</v>
      </c>
      <c r="M1139" s="443"/>
    </row>
    <row r="1140" spans="1:13">
      <c r="A1140" s="640">
        <v>21713</v>
      </c>
      <c r="B1140" s="640">
        <v>900</v>
      </c>
      <c r="C1140" s="638">
        <v>4548.7820000000002</v>
      </c>
      <c r="D1140" s="633">
        <f t="shared" si="36"/>
        <v>4548.7820000000002</v>
      </c>
      <c r="E1140" s="608"/>
      <c r="F1140" s="760">
        <f t="shared" si="37"/>
        <v>1919.1082220493959</v>
      </c>
      <c r="M1140" s="443"/>
    </row>
    <row r="1141" spans="1:13">
      <c r="A1141" s="640">
        <v>21713</v>
      </c>
      <c r="B1141" s="640">
        <v>1000</v>
      </c>
      <c r="C1141" s="638">
        <v>4547.6540000000005</v>
      </c>
      <c r="D1141" s="633">
        <f t="shared" si="36"/>
        <v>4547.6540000000005</v>
      </c>
      <c r="E1141" s="608"/>
      <c r="F1141" s="760">
        <f t="shared" si="37"/>
        <v>1918.632324529033</v>
      </c>
      <c r="M1141" s="443"/>
    </row>
    <row r="1142" spans="1:13">
      <c r="A1142" s="640">
        <v>21713</v>
      </c>
      <c r="B1142" s="640">
        <v>1100</v>
      </c>
      <c r="C1142" s="638">
        <v>4619.6750000000002</v>
      </c>
      <c r="D1142" s="633">
        <f t="shared" si="36"/>
        <v>4619.6750000000002</v>
      </c>
      <c r="E1142" s="608"/>
      <c r="F1142" s="760">
        <f t="shared" si="37"/>
        <v>1949.0176217932717</v>
      </c>
      <c r="M1142" s="443"/>
    </row>
    <row r="1143" spans="1:13">
      <c r="A1143" s="640">
        <v>21713</v>
      </c>
      <c r="B1143" s="640">
        <v>1200</v>
      </c>
      <c r="C1143" s="638">
        <v>4575.6450000000004</v>
      </c>
      <c r="D1143" s="633">
        <f t="shared" si="36"/>
        <v>4575.6450000000004</v>
      </c>
      <c r="E1143" s="608"/>
      <c r="F1143" s="760">
        <f t="shared" si="37"/>
        <v>1930.4415864904511</v>
      </c>
      <c r="M1143" s="443"/>
    </row>
    <row r="1144" spans="1:13">
      <c r="A1144" s="640">
        <v>21713</v>
      </c>
      <c r="B1144" s="640">
        <v>1300</v>
      </c>
      <c r="C1144" s="638">
        <v>4556.2179999999998</v>
      </c>
      <c r="D1144" s="633">
        <f t="shared" si="36"/>
        <v>4556.2179999999998</v>
      </c>
      <c r="E1144" s="608"/>
      <c r="F1144" s="760">
        <f t="shared" si="37"/>
        <v>1922.2454330081005</v>
      </c>
      <c r="M1144" s="443"/>
    </row>
    <row r="1145" spans="1:13">
      <c r="A1145" s="640">
        <v>21713</v>
      </c>
      <c r="B1145" s="640">
        <v>1400</v>
      </c>
      <c r="C1145" s="638">
        <v>4406.2449999999999</v>
      </c>
      <c r="D1145" s="633">
        <f t="shared" si="36"/>
        <v>4406.2449999999999</v>
      </c>
      <c r="E1145" s="608"/>
      <c r="F1145" s="760">
        <f t="shared" si="37"/>
        <v>1858.9725794430333</v>
      </c>
      <c r="M1145" s="443"/>
    </row>
    <row r="1146" spans="1:13">
      <c r="A1146" s="640">
        <v>21713</v>
      </c>
      <c r="B1146" s="640">
        <v>1500</v>
      </c>
      <c r="C1146" s="638">
        <v>4406.1390000000001</v>
      </c>
      <c r="D1146" s="633">
        <f t="shared" si="36"/>
        <v>4406.1390000000001</v>
      </c>
      <c r="E1146" s="608"/>
      <c r="F1146" s="760">
        <f t="shared" si="37"/>
        <v>1858.9278585767579</v>
      </c>
      <c r="M1146" s="443"/>
    </row>
    <row r="1147" spans="1:13">
      <c r="A1147" s="640">
        <v>21713</v>
      </c>
      <c r="B1147" s="640">
        <v>1600</v>
      </c>
      <c r="C1147" s="638">
        <v>4396.32</v>
      </c>
      <c r="D1147" s="633">
        <f t="shared" si="36"/>
        <v>4396.32</v>
      </c>
      <c r="E1147" s="608"/>
      <c r="F1147" s="760">
        <f t="shared" si="37"/>
        <v>1854.7852719167897</v>
      </c>
      <c r="M1147" s="443"/>
    </row>
    <row r="1148" spans="1:13">
      <c r="A1148" s="640">
        <v>21713</v>
      </c>
      <c r="B1148" s="640">
        <v>1700</v>
      </c>
      <c r="C1148" s="638">
        <v>4625.9679999999998</v>
      </c>
      <c r="D1148" s="633">
        <f t="shared" si="36"/>
        <v>4625.9679999999998</v>
      </c>
      <c r="E1148" s="608"/>
      <c r="F1148" s="760">
        <f t="shared" si="37"/>
        <v>1951.6726068071407</v>
      </c>
      <c r="M1148" s="443"/>
    </row>
    <row r="1149" spans="1:13">
      <c r="A1149" s="640">
        <v>21713</v>
      </c>
      <c r="B1149" s="640">
        <v>1800</v>
      </c>
      <c r="C1149" s="638">
        <v>5060.5020000000004</v>
      </c>
      <c r="D1149" s="633">
        <f t="shared" si="36"/>
        <v>5060.5020000000004</v>
      </c>
      <c r="E1149" s="608"/>
      <c r="F1149" s="760">
        <f t="shared" si="37"/>
        <v>2135.0003134679591</v>
      </c>
      <c r="M1149" s="443"/>
    </row>
    <row r="1150" spans="1:13">
      <c r="A1150" s="640">
        <v>21713</v>
      </c>
      <c r="B1150" s="640">
        <v>1900</v>
      </c>
      <c r="C1150" s="638">
        <v>5630.2669999999998</v>
      </c>
      <c r="D1150" s="633">
        <f t="shared" si="36"/>
        <v>5630.2669999999998</v>
      </c>
      <c r="E1150" s="608"/>
      <c r="F1150" s="760">
        <f t="shared" si="37"/>
        <v>2375.3812981218675</v>
      </c>
      <c r="M1150" s="443"/>
    </row>
    <row r="1151" spans="1:13">
      <c r="A1151" s="640">
        <v>21713</v>
      </c>
      <c r="B1151" s="640">
        <v>2000</v>
      </c>
      <c r="C1151" s="638">
        <v>5616.5730000000003</v>
      </c>
      <c r="D1151" s="633">
        <f t="shared" si="36"/>
        <v>5616.5730000000003</v>
      </c>
      <c r="E1151" s="608"/>
      <c r="F1151" s="760">
        <f t="shared" si="37"/>
        <v>2369.6038684730638</v>
      </c>
      <c r="M1151" s="443"/>
    </row>
    <row r="1152" spans="1:13">
      <c r="A1152" s="640">
        <v>21713</v>
      </c>
      <c r="B1152" s="640">
        <v>2100</v>
      </c>
      <c r="C1152" s="638">
        <v>5450.2569999999996</v>
      </c>
      <c r="D1152" s="633">
        <f t="shared" si="36"/>
        <v>5450.2569999999996</v>
      </c>
      <c r="E1152" s="608"/>
      <c r="F1152" s="760">
        <f t="shared" si="37"/>
        <v>2299.4359854972768</v>
      </c>
      <c r="M1152" s="443"/>
    </row>
    <row r="1153" spans="1:13">
      <c r="A1153" s="640">
        <v>21713</v>
      </c>
      <c r="B1153" s="640">
        <v>2200</v>
      </c>
      <c r="C1153" s="638">
        <v>5193.5870000000004</v>
      </c>
      <c r="D1153" s="633">
        <f t="shared" si="36"/>
        <v>5193.5870000000004</v>
      </c>
      <c r="E1153" s="608"/>
      <c r="F1153" s="760">
        <f t="shared" si="37"/>
        <v>2191.1482048664579</v>
      </c>
      <c r="M1153" s="443"/>
    </row>
    <row r="1154" spans="1:13">
      <c r="A1154" s="640">
        <v>21713</v>
      </c>
      <c r="B1154" s="640">
        <v>2300</v>
      </c>
      <c r="C1154" s="638">
        <v>4826.84</v>
      </c>
      <c r="D1154" s="633">
        <f t="shared" si="36"/>
        <v>4826.84</v>
      </c>
      <c r="E1154" s="608"/>
      <c r="F1154" s="760">
        <f t="shared" si="37"/>
        <v>2036.4194921886574</v>
      </c>
      <c r="M1154" s="443"/>
    </row>
    <row r="1155" spans="1:13">
      <c r="A1155" s="640">
        <v>21713</v>
      </c>
      <c r="B1155" s="640">
        <v>2400</v>
      </c>
      <c r="C1155" s="638">
        <v>4441.6469999999999</v>
      </c>
      <c r="D1155" s="633">
        <f t="shared" si="36"/>
        <v>4441.6469999999999</v>
      </c>
      <c r="E1155" s="608"/>
      <c r="F1155" s="760">
        <f t="shared" si="37"/>
        <v>1873.9085049890348</v>
      </c>
      <c r="M1155" s="443"/>
    </row>
    <row r="1156" spans="1:13">
      <c r="A1156" s="640">
        <v>21813</v>
      </c>
      <c r="B1156" s="640">
        <v>100</v>
      </c>
      <c r="C1156" s="638">
        <v>4281.3549999999996</v>
      </c>
      <c r="D1156" s="633">
        <f t="shared" si="36"/>
        <v>4281.3549999999996</v>
      </c>
      <c r="E1156" s="608"/>
      <c r="F1156" s="760">
        <f t="shared" si="37"/>
        <v>1806.2821172815688</v>
      </c>
      <c r="M1156" s="443"/>
    </row>
    <row r="1157" spans="1:13">
      <c r="A1157" s="640">
        <v>21813</v>
      </c>
      <c r="B1157" s="640">
        <v>200</v>
      </c>
      <c r="C1157" s="638">
        <v>4385.7960000000003</v>
      </c>
      <c r="D1157" s="633">
        <f t="shared" ref="D1157:D1220" si="38">C1157</f>
        <v>4385.7960000000003</v>
      </c>
      <c r="E1157" s="608"/>
      <c r="F1157" s="760">
        <f t="shared" si="37"/>
        <v>1850.345249306595</v>
      </c>
      <c r="M1157" s="443"/>
    </row>
    <row r="1158" spans="1:13">
      <c r="A1158" s="640">
        <v>21813</v>
      </c>
      <c r="B1158" s="640">
        <v>300</v>
      </c>
      <c r="C1158" s="638">
        <v>4272.384</v>
      </c>
      <c r="D1158" s="633">
        <f t="shared" si="38"/>
        <v>4272.384</v>
      </c>
      <c r="E1158" s="608"/>
      <c r="F1158" s="760">
        <f t="shared" si="37"/>
        <v>1802.4972975518031</v>
      </c>
      <c r="M1158" s="443"/>
    </row>
    <row r="1159" spans="1:13">
      <c r="A1159" s="640">
        <v>21813</v>
      </c>
      <c r="B1159" s="640">
        <v>400</v>
      </c>
      <c r="C1159" s="638">
        <v>4275.8209999999999</v>
      </c>
      <c r="D1159" s="633">
        <f t="shared" si="38"/>
        <v>4275.8209999999999</v>
      </c>
      <c r="E1159" s="608"/>
      <c r="F1159" s="760">
        <f t="shared" si="37"/>
        <v>1803.9473505460294</v>
      </c>
      <c r="M1159" s="443"/>
    </row>
    <row r="1160" spans="1:13">
      <c r="A1160" s="640">
        <v>21813</v>
      </c>
      <c r="B1160" s="640">
        <v>500</v>
      </c>
      <c r="C1160" s="638">
        <v>4379.9440000000004</v>
      </c>
      <c r="D1160" s="633">
        <f t="shared" si="38"/>
        <v>4379.9440000000004</v>
      </c>
      <c r="E1160" s="608"/>
      <c r="F1160" s="760">
        <f t="shared" si="37"/>
        <v>1847.8763199722296</v>
      </c>
      <c r="M1160" s="443"/>
    </row>
    <row r="1161" spans="1:13">
      <c r="A1161" s="640">
        <v>21813</v>
      </c>
      <c r="B1161" s="640">
        <v>600</v>
      </c>
      <c r="C1161" s="638">
        <v>4524.2830000000004</v>
      </c>
      <c r="D1161" s="633">
        <f t="shared" si="38"/>
        <v>4524.2830000000004</v>
      </c>
      <c r="E1161" s="608"/>
      <c r="F1161" s="760">
        <f t="shared" si="37"/>
        <v>1908.7722173052714</v>
      </c>
      <c r="M1161" s="443"/>
    </row>
    <row r="1162" spans="1:13">
      <c r="A1162" s="640">
        <v>21813</v>
      </c>
      <c r="B1162" s="640">
        <v>700</v>
      </c>
      <c r="C1162" s="638">
        <v>4743.4560000000001</v>
      </c>
      <c r="D1162" s="633">
        <f t="shared" si="38"/>
        <v>4743.4560000000001</v>
      </c>
      <c r="E1162" s="608"/>
      <c r="F1162" s="760">
        <f t="shared" si="37"/>
        <v>2001.2402024387052</v>
      </c>
      <c r="M1162" s="443"/>
    </row>
    <row r="1163" spans="1:13">
      <c r="A1163" s="640">
        <v>21813</v>
      </c>
      <c r="B1163" s="640">
        <v>800</v>
      </c>
      <c r="C1163" s="638">
        <v>4765.415</v>
      </c>
      <c r="D1163" s="633">
        <f t="shared" si="38"/>
        <v>4765.415</v>
      </c>
      <c r="E1163" s="608"/>
      <c r="F1163" s="760">
        <f t="shared" si="37"/>
        <v>2010.5045939720831</v>
      </c>
      <c r="M1163" s="443"/>
    </row>
    <row r="1164" spans="1:13">
      <c r="A1164" s="640">
        <v>21813</v>
      </c>
      <c r="B1164" s="640">
        <v>900</v>
      </c>
      <c r="C1164" s="638">
        <v>4674.116</v>
      </c>
      <c r="D1164" s="633">
        <f t="shared" si="38"/>
        <v>4674.116</v>
      </c>
      <c r="E1164" s="608"/>
      <c r="F1164" s="760">
        <f t="shared" si="37"/>
        <v>1971.9860055752579</v>
      </c>
      <c r="M1164" s="443"/>
    </row>
    <row r="1165" spans="1:13">
      <c r="A1165" s="640">
        <v>21813</v>
      </c>
      <c r="B1165" s="640">
        <v>1000</v>
      </c>
      <c r="C1165" s="638">
        <v>4642.2969999999996</v>
      </c>
      <c r="D1165" s="633">
        <f t="shared" si="38"/>
        <v>4642.2969999999996</v>
      </c>
      <c r="E1165" s="608"/>
      <c r="F1165" s="760">
        <f t="shared" si="37"/>
        <v>1958.5617296883522</v>
      </c>
      <c r="M1165" s="443"/>
    </row>
    <row r="1166" spans="1:13">
      <c r="A1166" s="640">
        <v>21813</v>
      </c>
      <c r="B1166" s="640">
        <v>1100</v>
      </c>
      <c r="C1166" s="638">
        <v>4640.6629999999996</v>
      </c>
      <c r="D1166" s="633">
        <f t="shared" si="38"/>
        <v>4640.6629999999996</v>
      </c>
      <c r="E1166" s="608"/>
      <c r="F1166" s="760">
        <f t="shared" si="37"/>
        <v>1957.8723533157697</v>
      </c>
      <c r="M1166" s="443"/>
    </row>
    <row r="1167" spans="1:13">
      <c r="A1167" s="640">
        <v>21813</v>
      </c>
      <c r="B1167" s="640">
        <v>1200</v>
      </c>
      <c r="C1167" s="638">
        <v>4532.16</v>
      </c>
      <c r="D1167" s="633">
        <f t="shared" si="38"/>
        <v>4532.16</v>
      </c>
      <c r="E1167" s="608"/>
      <c r="F1167" s="760">
        <f t="shared" si="37"/>
        <v>1912.0954839434796</v>
      </c>
      <c r="M1167" s="443"/>
    </row>
    <row r="1168" spans="1:13">
      <c r="A1168" s="640">
        <v>21813</v>
      </c>
      <c r="B1168" s="640">
        <v>1300</v>
      </c>
      <c r="C1168" s="638">
        <v>4446.6480000000001</v>
      </c>
      <c r="D1168" s="633">
        <f t="shared" si="38"/>
        <v>4446.6480000000001</v>
      </c>
      <c r="E1168" s="608"/>
      <c r="F1168" s="760">
        <f t="shared" si="37"/>
        <v>1876.0184017083038</v>
      </c>
      <c r="M1168" s="443"/>
    </row>
    <row r="1169" spans="1:13">
      <c r="A1169" s="640">
        <v>21813</v>
      </c>
      <c r="B1169" s="640">
        <v>1400</v>
      </c>
      <c r="C1169" s="638">
        <v>4317.8109999999997</v>
      </c>
      <c r="D1169" s="633">
        <f t="shared" si="38"/>
        <v>4317.8109999999997</v>
      </c>
      <c r="E1169" s="608"/>
      <c r="F1169" s="760">
        <f t="shared" si="37"/>
        <v>1821.662720120534</v>
      </c>
      <c r="M1169" s="443"/>
    </row>
    <row r="1170" spans="1:13">
      <c r="A1170" s="640">
        <v>21813</v>
      </c>
      <c r="B1170" s="640">
        <v>1500</v>
      </c>
      <c r="C1170" s="638">
        <v>4259.9179999999997</v>
      </c>
      <c r="D1170" s="633">
        <f t="shared" si="38"/>
        <v>4259.9179999999997</v>
      </c>
      <c r="E1170" s="608"/>
      <c r="F1170" s="760">
        <f t="shared" si="37"/>
        <v>1797.2379549198481</v>
      </c>
      <c r="M1170" s="443"/>
    </row>
    <row r="1171" spans="1:13">
      <c r="A1171" s="640">
        <v>21813</v>
      </c>
      <c r="B1171" s="640">
        <v>1600</v>
      </c>
      <c r="C1171" s="638">
        <v>4467.2879999999996</v>
      </c>
      <c r="D1171" s="633">
        <f t="shared" si="38"/>
        <v>4467.2879999999996</v>
      </c>
      <c r="E1171" s="608"/>
      <c r="F1171" s="760">
        <f t="shared" si="37"/>
        <v>1884.7263137830303</v>
      </c>
      <c r="M1171" s="443"/>
    </row>
    <row r="1172" spans="1:13">
      <c r="A1172" s="640">
        <v>21813</v>
      </c>
      <c r="B1172" s="640">
        <v>1700</v>
      </c>
      <c r="C1172" s="638">
        <v>4640.1210000000001</v>
      </c>
      <c r="D1172" s="633">
        <f t="shared" si="38"/>
        <v>4640.1210000000001</v>
      </c>
      <c r="E1172" s="608"/>
      <c r="F1172" s="760">
        <f t="shared" si="37"/>
        <v>1957.6436862448154</v>
      </c>
      <c r="M1172" s="443"/>
    </row>
    <row r="1173" spans="1:13">
      <c r="A1173" s="640">
        <v>21813</v>
      </c>
      <c r="B1173" s="640">
        <v>1800</v>
      </c>
      <c r="C1173" s="638">
        <v>5021.7349999999997</v>
      </c>
      <c r="D1173" s="633">
        <f t="shared" si="38"/>
        <v>5021.7349999999997</v>
      </c>
      <c r="E1173" s="608"/>
      <c r="F1173" s="760">
        <f t="shared" si="37"/>
        <v>2118.6447113652011</v>
      </c>
      <c r="M1173" s="443"/>
    </row>
    <row r="1174" spans="1:13">
      <c r="A1174" s="640">
        <v>21813</v>
      </c>
      <c r="B1174" s="640">
        <v>1900</v>
      </c>
      <c r="C1174" s="638">
        <v>5504.6329999999998</v>
      </c>
      <c r="D1174" s="633">
        <f t="shared" si="38"/>
        <v>5504.6329999999998</v>
      </c>
      <c r="E1174" s="608"/>
      <c r="F1174" s="760">
        <f t="shared" si="37"/>
        <v>2322.3769461065472</v>
      </c>
      <c r="M1174" s="443"/>
    </row>
    <row r="1175" spans="1:13">
      <c r="A1175" s="640">
        <v>21813</v>
      </c>
      <c r="B1175" s="640">
        <v>2000</v>
      </c>
      <c r="C1175" s="638">
        <v>5437.8729999999996</v>
      </c>
      <c r="D1175" s="633">
        <f t="shared" si="38"/>
        <v>5437.8729999999996</v>
      </c>
      <c r="E1175" s="608"/>
      <c r="F1175" s="760">
        <f t="shared" si="37"/>
        <v>2294.2112382524401</v>
      </c>
      <c r="M1175" s="443"/>
    </row>
    <row r="1176" spans="1:13">
      <c r="A1176" s="640">
        <v>21813</v>
      </c>
      <c r="B1176" s="640">
        <v>2100</v>
      </c>
      <c r="C1176" s="638">
        <v>5286.9120000000003</v>
      </c>
      <c r="D1176" s="633">
        <f t="shared" si="38"/>
        <v>5286.9120000000003</v>
      </c>
      <c r="E1176" s="608"/>
      <c r="F1176" s="760">
        <f t="shared" si="37"/>
        <v>2230.5215524620908</v>
      </c>
      <c r="M1176" s="443"/>
    </row>
    <row r="1177" spans="1:13">
      <c r="A1177" s="640">
        <v>21813</v>
      </c>
      <c r="B1177" s="640">
        <v>2200</v>
      </c>
      <c r="C1177" s="638">
        <v>4906.1809999999996</v>
      </c>
      <c r="D1177" s="633">
        <f t="shared" si="38"/>
        <v>4906.1809999999996</v>
      </c>
      <c r="E1177" s="608"/>
      <c r="F1177" s="760">
        <f t="shared" si="37"/>
        <v>2069.8930605956771</v>
      </c>
      <c r="M1177" s="443"/>
    </row>
    <row r="1178" spans="1:13">
      <c r="A1178" s="640">
        <v>21813</v>
      </c>
      <c r="B1178" s="640">
        <v>2300</v>
      </c>
      <c r="C1178" s="638">
        <v>4379.835</v>
      </c>
      <c r="D1178" s="633">
        <f t="shared" si="38"/>
        <v>4379.835</v>
      </c>
      <c r="E1178" s="608"/>
      <c r="F1178" s="760">
        <f t="shared" si="37"/>
        <v>1847.8303334210598</v>
      </c>
      <c r="M1178" s="443"/>
    </row>
    <row r="1179" spans="1:13">
      <c r="A1179" s="640">
        <v>21813</v>
      </c>
      <c r="B1179" s="640">
        <v>2400</v>
      </c>
      <c r="C1179" s="638">
        <v>3795.5059999999999</v>
      </c>
      <c r="D1179" s="633">
        <f t="shared" si="38"/>
        <v>3795.5059999999999</v>
      </c>
      <c r="E1179" s="608"/>
      <c r="F1179" s="760">
        <f t="shared" si="37"/>
        <v>1601.3048704989189</v>
      </c>
      <c r="M1179" s="443"/>
    </row>
    <row r="1180" spans="1:13">
      <c r="A1180" s="640">
        <v>21913</v>
      </c>
      <c r="B1180" s="640">
        <v>100</v>
      </c>
      <c r="C1180" s="638">
        <v>3581.6309999999999</v>
      </c>
      <c r="D1180" s="633">
        <f t="shared" si="38"/>
        <v>3581.6309999999999</v>
      </c>
      <c r="E1180" s="608"/>
      <c r="F1180" s="760">
        <f t="shared" si="37"/>
        <v>1511.0720848893172</v>
      </c>
      <c r="M1180" s="443"/>
    </row>
    <row r="1181" spans="1:13">
      <c r="A1181" s="640">
        <v>21913</v>
      </c>
      <c r="B1181" s="640">
        <v>200</v>
      </c>
      <c r="C1181" s="638">
        <v>3639.694</v>
      </c>
      <c r="D1181" s="633">
        <f t="shared" si="38"/>
        <v>3639.694</v>
      </c>
      <c r="E1181" s="608"/>
      <c r="F1181" s="760">
        <f t="shared" si="37"/>
        <v>1535.5685722340295</v>
      </c>
      <c r="M1181" s="443"/>
    </row>
    <row r="1182" spans="1:13">
      <c r="A1182" s="640">
        <v>21913</v>
      </c>
      <c r="B1182" s="640">
        <v>300</v>
      </c>
      <c r="C1182" s="638">
        <v>3566.942</v>
      </c>
      <c r="D1182" s="633">
        <f t="shared" si="38"/>
        <v>3566.942</v>
      </c>
      <c r="E1182" s="608"/>
      <c r="F1182" s="760">
        <f t="shared" si="37"/>
        <v>1504.8748697504773</v>
      </c>
      <c r="M1182" s="443"/>
    </row>
    <row r="1183" spans="1:13">
      <c r="A1183" s="640">
        <v>21913</v>
      </c>
      <c r="B1183" s="640">
        <v>400</v>
      </c>
      <c r="C1183" s="638">
        <v>3590.4780000000001</v>
      </c>
      <c r="D1183" s="633">
        <f t="shared" si="38"/>
        <v>3590.4780000000001</v>
      </c>
      <c r="E1183" s="608"/>
      <c r="F1183" s="760">
        <f t="shared" si="37"/>
        <v>1514.804589643441</v>
      </c>
      <c r="M1183" s="443"/>
    </row>
    <row r="1184" spans="1:13">
      <c r="A1184" s="640">
        <v>21913</v>
      </c>
      <c r="B1184" s="640">
        <v>500</v>
      </c>
      <c r="C1184" s="638">
        <v>3655.973</v>
      </c>
      <c r="D1184" s="633">
        <f t="shared" si="38"/>
        <v>3655.973</v>
      </c>
      <c r="E1184" s="608"/>
      <c r="F1184" s="760">
        <f t="shared" si="37"/>
        <v>1542.4366003669984</v>
      </c>
      <c r="M1184" s="443"/>
    </row>
    <row r="1185" spans="1:13">
      <c r="A1185" s="640">
        <v>21913</v>
      </c>
      <c r="B1185" s="640">
        <v>600</v>
      </c>
      <c r="C1185" s="638">
        <v>4002.0920000000001</v>
      </c>
      <c r="D1185" s="633">
        <f t="shared" si="38"/>
        <v>4002.0920000000001</v>
      </c>
      <c r="E1185" s="608"/>
      <c r="F1185" s="760">
        <f t="shared" si="37"/>
        <v>1688.4624637096501</v>
      </c>
      <c r="M1185" s="443"/>
    </row>
    <row r="1186" spans="1:13">
      <c r="A1186" s="640">
        <v>21913</v>
      </c>
      <c r="B1186" s="640">
        <v>700</v>
      </c>
      <c r="C1186" s="638">
        <v>4559.7830000000004</v>
      </c>
      <c r="D1186" s="633">
        <f t="shared" si="38"/>
        <v>4559.7830000000004</v>
      </c>
      <c r="E1186" s="608"/>
      <c r="F1186" s="760">
        <f t="shared" si="37"/>
        <v>1923.7494885578294</v>
      </c>
      <c r="M1186" s="443"/>
    </row>
    <row r="1187" spans="1:13">
      <c r="A1187" s="640">
        <v>21913</v>
      </c>
      <c r="B1187" s="640">
        <v>800</v>
      </c>
      <c r="C1187" s="638">
        <v>4773.7190000000001</v>
      </c>
      <c r="D1187" s="633">
        <f t="shared" si="38"/>
        <v>4773.7190000000001</v>
      </c>
      <c r="E1187" s="608"/>
      <c r="F1187" s="760">
        <f t="shared" si="37"/>
        <v>2014.0080097602872</v>
      </c>
      <c r="M1187" s="443"/>
    </row>
    <row r="1188" spans="1:13">
      <c r="A1188" s="640">
        <v>21913</v>
      </c>
      <c r="B1188" s="640">
        <v>900</v>
      </c>
      <c r="C1188" s="638">
        <v>4548.3860000000004</v>
      </c>
      <c r="D1188" s="633">
        <f t="shared" si="38"/>
        <v>4548.3860000000004</v>
      </c>
      <c r="E1188" s="608"/>
      <c r="F1188" s="760">
        <f t="shared" si="37"/>
        <v>1918.9411516433111</v>
      </c>
      <c r="M1188" s="443"/>
    </row>
    <row r="1189" spans="1:13">
      <c r="A1189" s="640">
        <v>21913</v>
      </c>
      <c r="B1189" s="640">
        <v>1000</v>
      </c>
      <c r="C1189" s="638">
        <v>4429.9309999999996</v>
      </c>
      <c r="D1189" s="633">
        <f t="shared" si="38"/>
        <v>4429.9309999999996</v>
      </c>
      <c r="E1189" s="608"/>
      <c r="F1189" s="760">
        <f t="shared" si="37"/>
        <v>1868.9655835807255</v>
      </c>
      <c r="M1189" s="443"/>
    </row>
    <row r="1190" spans="1:13">
      <c r="A1190" s="640">
        <v>21913</v>
      </c>
      <c r="B1190" s="640">
        <v>1100</v>
      </c>
      <c r="C1190" s="638">
        <v>4386.6099999999997</v>
      </c>
      <c r="D1190" s="633">
        <f t="shared" si="38"/>
        <v>4386.6099999999997</v>
      </c>
      <c r="E1190" s="608"/>
      <c r="F1190" s="760">
        <f t="shared" si="37"/>
        <v>1850.6886718079913</v>
      </c>
      <c r="M1190" s="443"/>
    </row>
    <row r="1191" spans="1:13">
      <c r="A1191" s="640">
        <v>21913</v>
      </c>
      <c r="B1191" s="640">
        <v>1200</v>
      </c>
      <c r="C1191" s="638">
        <v>4064.616</v>
      </c>
      <c r="D1191" s="633">
        <f t="shared" si="38"/>
        <v>4064.616</v>
      </c>
      <c r="E1191" s="608"/>
      <c r="F1191" s="760">
        <f t="shared" si="37"/>
        <v>1714.8410244926063</v>
      </c>
      <c r="M1191" s="443"/>
    </row>
    <row r="1192" spans="1:13">
      <c r="A1192" s="640">
        <v>21913</v>
      </c>
      <c r="B1192" s="640">
        <v>1300</v>
      </c>
      <c r="C1192" s="638">
        <v>3956.7240000000002</v>
      </c>
      <c r="D1192" s="633">
        <f t="shared" si="38"/>
        <v>3956.7240000000002</v>
      </c>
      <c r="E1192" s="608"/>
      <c r="F1192" s="760">
        <f t="shared" si="37"/>
        <v>1669.3219329438459</v>
      </c>
      <c r="M1192" s="443"/>
    </row>
    <row r="1193" spans="1:13">
      <c r="A1193" s="640">
        <v>21913</v>
      </c>
      <c r="B1193" s="640">
        <v>1400</v>
      </c>
      <c r="C1193" s="638">
        <v>4033.913</v>
      </c>
      <c r="D1193" s="633">
        <f t="shared" si="38"/>
        <v>4033.913</v>
      </c>
      <c r="E1193" s="608"/>
      <c r="F1193" s="760">
        <f t="shared" si="37"/>
        <v>1701.8875833864852</v>
      </c>
      <c r="M1193" s="443"/>
    </row>
    <row r="1194" spans="1:13">
      <c r="A1194" s="640">
        <v>21913</v>
      </c>
      <c r="B1194" s="640">
        <v>1500</v>
      </c>
      <c r="C1194" s="638">
        <v>4268.0379999999996</v>
      </c>
      <c r="D1194" s="633">
        <f t="shared" si="38"/>
        <v>4268.0379999999996</v>
      </c>
      <c r="E1194" s="608"/>
      <c r="F1194" s="760">
        <f t="shared" si="37"/>
        <v>1800.6637420345178</v>
      </c>
      <c r="M1194" s="443"/>
    </row>
    <row r="1195" spans="1:13">
      <c r="A1195" s="640">
        <v>21913</v>
      </c>
      <c r="B1195" s="640">
        <v>1600</v>
      </c>
      <c r="C1195" s="638">
        <v>4541.9769999999999</v>
      </c>
      <c r="D1195" s="633">
        <f t="shared" si="38"/>
        <v>4541.9769999999999</v>
      </c>
      <c r="E1195" s="608"/>
      <c r="F1195" s="760">
        <f t="shared" si="37"/>
        <v>1916.2372268135177</v>
      </c>
      <c r="M1195" s="443"/>
    </row>
    <row r="1196" spans="1:13">
      <c r="A1196" s="640">
        <v>21913</v>
      </c>
      <c r="B1196" s="640">
        <v>1700</v>
      </c>
      <c r="C1196" s="638">
        <v>4644.9669999999996</v>
      </c>
      <c r="D1196" s="633">
        <f t="shared" si="38"/>
        <v>4644.9669999999996</v>
      </c>
      <c r="E1196" s="608"/>
      <c r="F1196" s="760">
        <f t="shared" ref="F1196:F1259" si="39">(D1196/(MAX($D$748:$D$1443)))*$M$5</f>
        <v>1959.6881892445308</v>
      </c>
      <c r="M1196" s="443"/>
    </row>
    <row r="1197" spans="1:13">
      <c r="A1197" s="640">
        <v>21913</v>
      </c>
      <c r="B1197" s="640">
        <v>1800</v>
      </c>
      <c r="C1197" s="638">
        <v>4931.8389999999999</v>
      </c>
      <c r="D1197" s="633">
        <f t="shared" si="38"/>
        <v>4931.8389999999999</v>
      </c>
      <c r="E1197" s="608"/>
      <c r="F1197" s="760">
        <f t="shared" si="39"/>
        <v>2080.7180416040756</v>
      </c>
      <c r="M1197" s="443"/>
    </row>
    <row r="1198" spans="1:13">
      <c r="A1198" s="640">
        <v>21913</v>
      </c>
      <c r="B1198" s="640">
        <v>1900</v>
      </c>
      <c r="C1198" s="638">
        <v>5337.35</v>
      </c>
      <c r="D1198" s="633">
        <f t="shared" si="38"/>
        <v>5337.35</v>
      </c>
      <c r="E1198" s="608"/>
      <c r="F1198" s="760">
        <f t="shared" si="39"/>
        <v>2251.8010906997392</v>
      </c>
      <c r="M1198" s="443"/>
    </row>
    <row r="1199" spans="1:13">
      <c r="A1199" s="640">
        <v>21913</v>
      </c>
      <c r="B1199" s="640">
        <v>2000</v>
      </c>
      <c r="C1199" s="638">
        <v>5472.2650000000003</v>
      </c>
      <c r="D1199" s="633">
        <f t="shared" si="38"/>
        <v>5472.2650000000003</v>
      </c>
      <c r="E1199" s="608"/>
      <c r="F1199" s="760">
        <f t="shared" si="39"/>
        <v>2308.7210498839331</v>
      </c>
      <c r="M1199" s="443"/>
    </row>
    <row r="1200" spans="1:13">
      <c r="A1200" s="640">
        <v>21913</v>
      </c>
      <c r="B1200" s="640">
        <v>2100</v>
      </c>
      <c r="C1200" s="638">
        <v>5254.8019999999997</v>
      </c>
      <c r="D1200" s="633">
        <f t="shared" si="38"/>
        <v>5254.8019999999997</v>
      </c>
      <c r="E1200" s="608"/>
      <c r="F1200" s="760">
        <f t="shared" si="39"/>
        <v>2216.9745051404107</v>
      </c>
      <c r="M1200" s="443"/>
    </row>
    <row r="1201" spans="1:13">
      <c r="A1201" s="640">
        <v>21913</v>
      </c>
      <c r="B1201" s="640">
        <v>2200</v>
      </c>
      <c r="C1201" s="638">
        <v>5006.3249999999998</v>
      </c>
      <c r="D1201" s="633">
        <f t="shared" si="38"/>
        <v>5006.3249999999998</v>
      </c>
      <c r="E1201" s="608"/>
      <c r="F1201" s="760">
        <f t="shared" si="39"/>
        <v>2112.1433099566962</v>
      </c>
      <c r="M1201" s="443"/>
    </row>
    <row r="1202" spans="1:13">
      <c r="A1202" s="640">
        <v>21913</v>
      </c>
      <c r="B1202" s="640">
        <v>2300</v>
      </c>
      <c r="C1202" s="638">
        <v>4459.47</v>
      </c>
      <c r="D1202" s="633">
        <f t="shared" si="38"/>
        <v>4459.47</v>
      </c>
      <c r="E1202" s="608"/>
      <c r="F1202" s="760">
        <f t="shared" si="39"/>
        <v>1881.427938947749</v>
      </c>
      <c r="M1202" s="443"/>
    </row>
    <row r="1203" spans="1:13">
      <c r="A1203" s="640">
        <v>21913</v>
      </c>
      <c r="B1203" s="640">
        <v>2400</v>
      </c>
      <c r="C1203" s="638">
        <v>3929.0259999999998</v>
      </c>
      <c r="D1203" s="633">
        <f t="shared" si="38"/>
        <v>3929.0259999999998</v>
      </c>
      <c r="E1203" s="608"/>
      <c r="F1203" s="760">
        <f t="shared" si="39"/>
        <v>1657.6362862071314</v>
      </c>
      <c r="M1203" s="443"/>
    </row>
    <row r="1204" spans="1:13">
      <c r="A1204" s="640">
        <v>22013</v>
      </c>
      <c r="B1204" s="640">
        <v>100</v>
      </c>
      <c r="C1204" s="638">
        <v>3796.0920000000001</v>
      </c>
      <c r="D1204" s="633">
        <f t="shared" si="38"/>
        <v>3796.0920000000001</v>
      </c>
      <c r="E1204" s="608"/>
      <c r="F1204" s="760">
        <f t="shared" si="39"/>
        <v>1601.5521009483275</v>
      </c>
      <c r="M1204" s="443"/>
    </row>
    <row r="1205" spans="1:13">
      <c r="A1205" s="640">
        <v>22013</v>
      </c>
      <c r="B1205" s="640">
        <v>200</v>
      </c>
      <c r="C1205" s="638">
        <v>3891.116</v>
      </c>
      <c r="D1205" s="633">
        <f t="shared" si="38"/>
        <v>3891.116</v>
      </c>
      <c r="E1205" s="608"/>
      <c r="F1205" s="760">
        <f t="shared" si="39"/>
        <v>1641.6422480892591</v>
      </c>
      <c r="M1205" s="443"/>
    </row>
    <row r="1206" spans="1:13">
      <c r="A1206" s="640">
        <v>22013</v>
      </c>
      <c r="B1206" s="640">
        <v>300</v>
      </c>
      <c r="C1206" s="638">
        <v>3812.4780000000001</v>
      </c>
      <c r="D1206" s="633">
        <f t="shared" si="38"/>
        <v>3812.4780000000001</v>
      </c>
      <c r="E1206" s="608"/>
      <c r="F1206" s="760">
        <f t="shared" si="39"/>
        <v>1608.4652718425361</v>
      </c>
      <c r="M1206" s="443"/>
    </row>
    <row r="1207" spans="1:13">
      <c r="A1207" s="640">
        <v>22013</v>
      </c>
      <c r="B1207" s="640">
        <v>400</v>
      </c>
      <c r="C1207" s="638">
        <v>3873.61</v>
      </c>
      <c r="D1207" s="633">
        <f t="shared" si="38"/>
        <v>3873.61</v>
      </c>
      <c r="E1207" s="608"/>
      <c r="F1207" s="760">
        <f t="shared" si="39"/>
        <v>1634.2565548344062</v>
      </c>
      <c r="M1207" s="443"/>
    </row>
    <row r="1208" spans="1:13">
      <c r="A1208" s="640">
        <v>22013</v>
      </c>
      <c r="B1208" s="640">
        <v>500</v>
      </c>
      <c r="C1208" s="638">
        <v>3977.951</v>
      </c>
      <c r="D1208" s="633">
        <f t="shared" si="38"/>
        <v>3977.951</v>
      </c>
      <c r="E1208" s="608"/>
      <c r="F1208" s="760">
        <f t="shared" si="39"/>
        <v>1678.2774973629457</v>
      </c>
      <c r="M1208" s="443"/>
    </row>
    <row r="1209" spans="1:13">
      <c r="A1209" s="640">
        <v>22013</v>
      </c>
      <c r="B1209" s="640">
        <v>600</v>
      </c>
      <c r="C1209" s="638">
        <v>4344.509</v>
      </c>
      <c r="D1209" s="633">
        <f t="shared" si="38"/>
        <v>4344.509</v>
      </c>
      <c r="E1209" s="608"/>
      <c r="F1209" s="760">
        <f t="shared" si="39"/>
        <v>1832.9264718923873</v>
      </c>
      <c r="M1209" s="443"/>
    </row>
    <row r="1210" spans="1:13">
      <c r="A1210" s="640">
        <v>22013</v>
      </c>
      <c r="B1210" s="640">
        <v>700</v>
      </c>
      <c r="C1210" s="638">
        <v>4937.723</v>
      </c>
      <c r="D1210" s="633">
        <f t="shared" si="38"/>
        <v>4937.723</v>
      </c>
      <c r="E1210" s="608"/>
      <c r="F1210" s="760">
        <f t="shared" si="39"/>
        <v>2083.2004715773164</v>
      </c>
      <c r="M1210" s="443"/>
    </row>
    <row r="1211" spans="1:13">
      <c r="A1211" s="640">
        <v>22013</v>
      </c>
      <c r="B1211" s="640">
        <v>800</v>
      </c>
      <c r="C1211" s="638">
        <v>5013.2929999999997</v>
      </c>
      <c r="D1211" s="633">
        <f t="shared" si="38"/>
        <v>5013.2929999999997</v>
      </c>
      <c r="E1211" s="608"/>
      <c r="F1211" s="760">
        <f t="shared" si="39"/>
        <v>2115.0830740718461</v>
      </c>
      <c r="M1211" s="443"/>
    </row>
    <row r="1212" spans="1:13">
      <c r="A1212" s="640">
        <v>22013</v>
      </c>
      <c r="B1212" s="640">
        <v>900</v>
      </c>
      <c r="C1212" s="638">
        <v>4871.8890000000001</v>
      </c>
      <c r="D1212" s="633">
        <f t="shared" si="38"/>
        <v>4871.8890000000001</v>
      </c>
      <c r="E1212" s="608"/>
      <c r="F1212" s="760">
        <f t="shared" si="39"/>
        <v>2055.4254384606711</v>
      </c>
      <c r="M1212" s="443"/>
    </row>
    <row r="1213" spans="1:13">
      <c r="A1213" s="640">
        <v>22013</v>
      </c>
      <c r="B1213" s="640">
        <v>1000</v>
      </c>
      <c r="C1213" s="638">
        <v>4618.7020000000002</v>
      </c>
      <c r="D1213" s="633">
        <f t="shared" si="38"/>
        <v>4618.7020000000002</v>
      </c>
      <c r="E1213" s="608"/>
      <c r="F1213" s="760">
        <f t="shared" si="39"/>
        <v>1948.6071179924622</v>
      </c>
      <c r="M1213" s="443"/>
    </row>
    <row r="1214" spans="1:13">
      <c r="A1214" s="640">
        <v>22013</v>
      </c>
      <c r="B1214" s="640">
        <v>1100</v>
      </c>
      <c r="C1214" s="638">
        <v>4384.857</v>
      </c>
      <c r="D1214" s="633">
        <f t="shared" si="38"/>
        <v>4384.857</v>
      </c>
      <c r="E1214" s="608"/>
      <c r="F1214" s="760">
        <f t="shared" si="39"/>
        <v>1849.9490899345906</v>
      </c>
      <c r="M1214" s="443"/>
    </row>
    <row r="1215" spans="1:13">
      <c r="A1215" s="640">
        <v>22013</v>
      </c>
      <c r="B1215" s="640">
        <v>1200</v>
      </c>
      <c r="C1215" s="638">
        <v>4308.3990000000003</v>
      </c>
      <c r="D1215" s="633">
        <f t="shared" si="38"/>
        <v>4308.3990000000003</v>
      </c>
      <c r="E1215" s="608"/>
      <c r="F1215" s="760">
        <f t="shared" si="39"/>
        <v>1817.6918447112644</v>
      </c>
      <c r="M1215" s="443"/>
    </row>
    <row r="1216" spans="1:13">
      <c r="A1216" s="640">
        <v>22013</v>
      </c>
      <c r="B1216" s="640">
        <v>1300</v>
      </c>
      <c r="C1216" s="638">
        <v>4128.4679999999998</v>
      </c>
      <c r="D1216" s="633">
        <f t="shared" si="38"/>
        <v>4128.4679999999998</v>
      </c>
      <c r="E1216" s="608"/>
      <c r="F1216" s="760">
        <f t="shared" si="39"/>
        <v>1741.7798617888975</v>
      </c>
      <c r="M1216" s="443"/>
    </row>
    <row r="1217" spans="1:13">
      <c r="A1217" s="640">
        <v>22013</v>
      </c>
      <c r="B1217" s="640">
        <v>1400</v>
      </c>
      <c r="C1217" s="638">
        <v>4136.2640000000001</v>
      </c>
      <c r="D1217" s="633">
        <f t="shared" si="38"/>
        <v>4136.2640000000001</v>
      </c>
      <c r="E1217" s="608"/>
      <c r="F1217" s="760">
        <f t="shared" si="39"/>
        <v>1745.0689549349522</v>
      </c>
      <c r="M1217" s="443"/>
    </row>
    <row r="1218" spans="1:13">
      <c r="A1218" s="640">
        <v>22013</v>
      </c>
      <c r="B1218" s="640">
        <v>1500</v>
      </c>
      <c r="C1218" s="638">
        <v>4218.6760000000004</v>
      </c>
      <c r="D1218" s="633">
        <f t="shared" si="38"/>
        <v>4218.6760000000004</v>
      </c>
      <c r="E1218" s="608"/>
      <c r="F1218" s="760">
        <f t="shared" si="39"/>
        <v>1779.8381627790598</v>
      </c>
      <c r="M1218" s="443"/>
    </row>
    <row r="1219" spans="1:13">
      <c r="A1219" s="640">
        <v>22013</v>
      </c>
      <c r="B1219" s="640">
        <v>1600</v>
      </c>
      <c r="C1219" s="638">
        <v>4516.817</v>
      </c>
      <c r="D1219" s="633">
        <f t="shared" si="38"/>
        <v>4516.817</v>
      </c>
      <c r="E1219" s="608"/>
      <c r="F1219" s="760">
        <f t="shared" si="39"/>
        <v>1905.6223494976205</v>
      </c>
      <c r="M1219" s="443"/>
    </row>
    <row r="1220" spans="1:13">
      <c r="A1220" s="640">
        <v>22013</v>
      </c>
      <c r="B1220" s="640">
        <v>1700</v>
      </c>
      <c r="C1220" s="638">
        <v>4675.2520000000004</v>
      </c>
      <c r="D1220" s="633">
        <f t="shared" si="38"/>
        <v>4675.2520000000004</v>
      </c>
      <c r="E1220" s="608"/>
      <c r="F1220" s="760">
        <f t="shared" si="39"/>
        <v>1972.4652782553401</v>
      </c>
      <c r="M1220" s="443"/>
    </row>
    <row r="1221" spans="1:13">
      <c r="A1221" s="640">
        <v>22013</v>
      </c>
      <c r="B1221" s="640">
        <v>1800</v>
      </c>
      <c r="C1221" s="638">
        <v>4991.7640000000001</v>
      </c>
      <c r="D1221" s="633">
        <f t="shared" ref="D1221:D1284" si="40">C1221</f>
        <v>4991.7640000000001</v>
      </c>
      <c r="E1221" s="608"/>
      <c r="F1221" s="760">
        <f t="shared" si="39"/>
        <v>2106.0000973733581</v>
      </c>
      <c r="M1221" s="443"/>
    </row>
    <row r="1222" spans="1:13">
      <c r="A1222" s="640">
        <v>22013</v>
      </c>
      <c r="B1222" s="640">
        <v>1900</v>
      </c>
      <c r="C1222" s="638">
        <v>5573.36</v>
      </c>
      <c r="D1222" s="633">
        <f t="shared" si="40"/>
        <v>5573.36</v>
      </c>
      <c r="E1222" s="608"/>
      <c r="F1222" s="760">
        <f t="shared" si="39"/>
        <v>2351.3725213565344</v>
      </c>
      <c r="M1222" s="443"/>
    </row>
    <row r="1223" spans="1:13">
      <c r="A1223" s="640">
        <v>22013</v>
      </c>
      <c r="B1223" s="640">
        <v>2000</v>
      </c>
      <c r="C1223" s="638">
        <v>5726.7079999999996</v>
      </c>
      <c r="D1223" s="633">
        <f t="shared" si="40"/>
        <v>5726.7079999999996</v>
      </c>
      <c r="E1223" s="608"/>
      <c r="F1223" s="760">
        <f t="shared" si="39"/>
        <v>2416.0692704280068</v>
      </c>
      <c r="M1223" s="443"/>
    </row>
    <row r="1224" spans="1:13">
      <c r="A1224" s="640">
        <v>22013</v>
      </c>
      <c r="B1224" s="640">
        <v>2100</v>
      </c>
      <c r="C1224" s="638">
        <v>5676.7910000000002</v>
      </c>
      <c r="D1224" s="633">
        <f t="shared" si="40"/>
        <v>5676.7910000000002</v>
      </c>
      <c r="E1224" s="608"/>
      <c r="F1224" s="760">
        <f t="shared" si="39"/>
        <v>2395.0095394670511</v>
      </c>
      <c r="M1224" s="443"/>
    </row>
    <row r="1225" spans="1:13">
      <c r="A1225" s="640">
        <v>22013</v>
      </c>
      <c r="B1225" s="640">
        <v>2200</v>
      </c>
      <c r="C1225" s="638">
        <v>5250.6480000000001</v>
      </c>
      <c r="D1225" s="633">
        <f t="shared" si="40"/>
        <v>5250.6480000000001</v>
      </c>
      <c r="E1225" s="608"/>
      <c r="F1225" s="760">
        <f t="shared" si="39"/>
        <v>2215.2219534563792</v>
      </c>
      <c r="M1225" s="443"/>
    </row>
    <row r="1226" spans="1:13">
      <c r="A1226" s="640">
        <v>22013</v>
      </c>
      <c r="B1226" s="640">
        <v>2300</v>
      </c>
      <c r="C1226" s="638">
        <v>4599.82</v>
      </c>
      <c r="D1226" s="633">
        <f t="shared" si="40"/>
        <v>4599.82</v>
      </c>
      <c r="E1226" s="608"/>
      <c r="F1226" s="760">
        <f t="shared" si="39"/>
        <v>1940.6408972659606</v>
      </c>
      <c r="M1226" s="443"/>
    </row>
    <row r="1227" spans="1:13">
      <c r="A1227" s="640">
        <v>22013</v>
      </c>
      <c r="B1227" s="640">
        <v>2400</v>
      </c>
      <c r="C1227" s="638">
        <v>4176.8729999999996</v>
      </c>
      <c r="D1227" s="633">
        <f t="shared" si="40"/>
        <v>4176.8729999999996</v>
      </c>
      <c r="E1227" s="608"/>
      <c r="F1227" s="760">
        <f t="shared" si="39"/>
        <v>1762.2016875629838</v>
      </c>
      <c r="M1227" s="443"/>
    </row>
    <row r="1228" spans="1:13">
      <c r="A1228" s="640">
        <v>22113</v>
      </c>
      <c r="B1228" s="640">
        <v>100</v>
      </c>
      <c r="C1228" s="638">
        <v>3985.4450000000002</v>
      </c>
      <c r="D1228" s="633">
        <f t="shared" si="40"/>
        <v>3985.4450000000002</v>
      </c>
      <c r="E1228" s="608"/>
      <c r="F1228" s="760">
        <f t="shared" si="39"/>
        <v>1681.4391782296127</v>
      </c>
      <c r="M1228" s="443"/>
    </row>
    <row r="1229" spans="1:13">
      <c r="A1229" s="640">
        <v>22113</v>
      </c>
      <c r="B1229" s="640">
        <v>200</v>
      </c>
      <c r="C1229" s="638">
        <v>4065.1109999999999</v>
      </c>
      <c r="D1229" s="633">
        <f t="shared" si="40"/>
        <v>4065.1109999999999</v>
      </c>
      <c r="E1229" s="608"/>
      <c r="F1229" s="760">
        <f t="shared" si="39"/>
        <v>1715.0498625002124</v>
      </c>
      <c r="M1229" s="443"/>
    </row>
    <row r="1230" spans="1:13">
      <c r="A1230" s="640">
        <v>22113</v>
      </c>
      <c r="B1230" s="640">
        <v>300</v>
      </c>
      <c r="C1230" s="638">
        <v>4061.2109999999998</v>
      </c>
      <c r="D1230" s="633">
        <f t="shared" si="40"/>
        <v>4061.2109999999998</v>
      </c>
      <c r="E1230" s="608"/>
      <c r="F1230" s="760">
        <f t="shared" si="39"/>
        <v>1713.4044721372552</v>
      </c>
      <c r="M1230" s="443"/>
    </row>
    <row r="1231" spans="1:13">
      <c r="A1231" s="640">
        <v>22113</v>
      </c>
      <c r="B1231" s="640">
        <v>400</v>
      </c>
      <c r="C1231" s="638">
        <v>4061.259</v>
      </c>
      <c r="D1231" s="633">
        <f t="shared" si="40"/>
        <v>4061.259</v>
      </c>
      <c r="E1231" s="608"/>
      <c r="F1231" s="760">
        <f t="shared" si="39"/>
        <v>1713.4247230955687</v>
      </c>
      <c r="M1231" s="443"/>
    </row>
    <row r="1232" spans="1:13">
      <c r="A1232" s="640">
        <v>22113</v>
      </c>
      <c r="B1232" s="640">
        <v>500</v>
      </c>
      <c r="C1232" s="638">
        <v>4211.2730000000001</v>
      </c>
      <c r="D1232" s="633">
        <f t="shared" si="40"/>
        <v>4211.2730000000001</v>
      </c>
      <c r="E1232" s="608"/>
      <c r="F1232" s="760">
        <f t="shared" si="39"/>
        <v>1776.7148743541952</v>
      </c>
      <c r="M1232" s="443"/>
    </row>
    <row r="1233" spans="1:13">
      <c r="A1233" s="640">
        <v>22113</v>
      </c>
      <c r="B1233" s="640">
        <v>600</v>
      </c>
      <c r="C1233" s="638">
        <v>4543.6589999999997</v>
      </c>
      <c r="D1233" s="633">
        <f t="shared" si="40"/>
        <v>4543.6589999999997</v>
      </c>
      <c r="E1233" s="608"/>
      <c r="F1233" s="760">
        <f t="shared" si="39"/>
        <v>1916.9468541444135</v>
      </c>
      <c r="M1233" s="443"/>
    </row>
    <row r="1234" spans="1:13">
      <c r="A1234" s="640">
        <v>22113</v>
      </c>
      <c r="B1234" s="640">
        <v>700</v>
      </c>
      <c r="C1234" s="638">
        <v>5176.7349999999997</v>
      </c>
      <c r="D1234" s="633">
        <f t="shared" si="40"/>
        <v>5176.7349999999997</v>
      </c>
      <c r="E1234" s="608"/>
      <c r="F1234" s="760">
        <f t="shared" si="39"/>
        <v>2184.0384309186234</v>
      </c>
      <c r="M1234" s="443"/>
    </row>
    <row r="1235" spans="1:13">
      <c r="A1235" s="640">
        <v>22113</v>
      </c>
      <c r="B1235" s="640">
        <v>800</v>
      </c>
      <c r="C1235" s="638">
        <v>5248.9549999999999</v>
      </c>
      <c r="D1235" s="633">
        <f t="shared" si="40"/>
        <v>5248.9549999999999</v>
      </c>
      <c r="E1235" s="608"/>
      <c r="F1235" s="760">
        <f t="shared" si="39"/>
        <v>2214.5076852808697</v>
      </c>
      <c r="M1235" s="443"/>
    </row>
    <row r="1236" spans="1:13">
      <c r="A1236" s="640">
        <v>22113</v>
      </c>
      <c r="B1236" s="640">
        <v>900</v>
      </c>
      <c r="C1236" s="638">
        <v>4770.2160000000003</v>
      </c>
      <c r="D1236" s="633">
        <f t="shared" si="40"/>
        <v>4770.2160000000003</v>
      </c>
      <c r="E1236" s="608"/>
      <c r="F1236" s="760">
        <f t="shared" si="39"/>
        <v>2012.5301116983801</v>
      </c>
      <c r="M1236" s="443"/>
    </row>
    <row r="1237" spans="1:13">
      <c r="A1237" s="640">
        <v>22113</v>
      </c>
      <c r="B1237" s="640">
        <v>1000</v>
      </c>
      <c r="C1237" s="638">
        <v>4485.8429999999998</v>
      </c>
      <c r="D1237" s="633">
        <f t="shared" si="40"/>
        <v>4485.8429999999998</v>
      </c>
      <c r="E1237" s="608"/>
      <c r="F1237" s="760">
        <f t="shared" si="39"/>
        <v>1892.5545748560223</v>
      </c>
      <c r="M1237" s="443"/>
    </row>
    <row r="1238" spans="1:13">
      <c r="A1238" s="640">
        <v>22113</v>
      </c>
      <c r="B1238" s="640">
        <v>1100</v>
      </c>
      <c r="C1238" s="638">
        <v>4240.2690000000002</v>
      </c>
      <c r="D1238" s="633">
        <f t="shared" si="40"/>
        <v>4240.2690000000002</v>
      </c>
      <c r="E1238" s="608"/>
      <c r="F1238" s="760">
        <f t="shared" si="39"/>
        <v>1788.9481407552987</v>
      </c>
      <c r="M1238" s="443"/>
    </row>
    <row r="1239" spans="1:13">
      <c r="A1239" s="640">
        <v>22113</v>
      </c>
      <c r="B1239" s="640">
        <v>1200</v>
      </c>
      <c r="C1239" s="638">
        <v>4099.1499999999996</v>
      </c>
      <c r="D1239" s="633">
        <f t="shared" si="40"/>
        <v>4099.1499999999996</v>
      </c>
      <c r="E1239" s="608"/>
      <c r="F1239" s="760">
        <f t="shared" si="39"/>
        <v>1729.4107452091087</v>
      </c>
      <c r="M1239" s="443"/>
    </row>
    <row r="1240" spans="1:13">
      <c r="A1240" s="640">
        <v>22113</v>
      </c>
      <c r="B1240" s="640">
        <v>1300</v>
      </c>
      <c r="C1240" s="638">
        <v>3952.489</v>
      </c>
      <c r="D1240" s="633">
        <f t="shared" si="40"/>
        <v>3952.489</v>
      </c>
      <c r="E1240" s="608"/>
      <c r="F1240" s="760">
        <f t="shared" si="39"/>
        <v>1667.5352077676605</v>
      </c>
      <c r="M1240" s="443"/>
    </row>
    <row r="1241" spans="1:13">
      <c r="A1241" s="640">
        <v>22113</v>
      </c>
      <c r="B1241" s="640">
        <v>1400</v>
      </c>
      <c r="C1241" s="638">
        <v>3735.0129999999999</v>
      </c>
      <c r="D1241" s="633">
        <f t="shared" si="40"/>
        <v>3735.0129999999999</v>
      </c>
      <c r="E1241" s="608"/>
      <c r="F1241" s="760">
        <f t="shared" si="39"/>
        <v>1575.7831783895952</v>
      </c>
      <c r="M1241" s="443"/>
    </row>
    <row r="1242" spans="1:13">
      <c r="A1242" s="640">
        <v>22113</v>
      </c>
      <c r="B1242" s="640">
        <v>1500</v>
      </c>
      <c r="C1242" s="638">
        <v>3675.1370000000002</v>
      </c>
      <c r="D1242" s="633">
        <f t="shared" si="40"/>
        <v>3675.1370000000002</v>
      </c>
      <c r="E1242" s="608"/>
      <c r="F1242" s="760">
        <f t="shared" si="39"/>
        <v>1550.5217954735906</v>
      </c>
      <c r="M1242" s="443"/>
    </row>
    <row r="1243" spans="1:13">
      <c r="A1243" s="640">
        <v>22113</v>
      </c>
      <c r="B1243" s="640">
        <v>1600</v>
      </c>
      <c r="C1243" s="638">
        <v>3803.5309999999999</v>
      </c>
      <c r="D1243" s="633">
        <f t="shared" si="40"/>
        <v>3803.5309999999999</v>
      </c>
      <c r="E1243" s="608"/>
      <c r="F1243" s="760">
        <f t="shared" si="39"/>
        <v>1604.6905775919267</v>
      </c>
      <c r="M1243" s="443"/>
    </row>
    <row r="1244" spans="1:13">
      <c r="A1244" s="640">
        <v>22113</v>
      </c>
      <c r="B1244" s="640">
        <v>1700</v>
      </c>
      <c r="C1244" s="638">
        <v>4031.2020000000002</v>
      </c>
      <c r="D1244" s="633">
        <f t="shared" si="40"/>
        <v>4031.2020000000002</v>
      </c>
      <c r="E1244" s="608"/>
      <c r="F1244" s="760">
        <f t="shared" si="39"/>
        <v>1700.7438261367479</v>
      </c>
      <c r="M1244" s="443"/>
    </row>
    <row r="1245" spans="1:13">
      <c r="A1245" s="640">
        <v>22113</v>
      </c>
      <c r="B1245" s="640">
        <v>1800</v>
      </c>
      <c r="C1245" s="638">
        <v>4514.9440000000004</v>
      </c>
      <c r="D1245" s="633">
        <f t="shared" si="40"/>
        <v>4514.9440000000004</v>
      </c>
      <c r="E1245" s="608"/>
      <c r="F1245" s="760">
        <f t="shared" si="39"/>
        <v>1904.8321402284366</v>
      </c>
      <c r="M1245" s="443"/>
    </row>
    <row r="1246" spans="1:13">
      <c r="A1246" s="640">
        <v>22113</v>
      </c>
      <c r="B1246" s="640">
        <v>1900</v>
      </c>
      <c r="C1246" s="638">
        <v>5106.7569999999996</v>
      </c>
      <c r="D1246" s="633">
        <f t="shared" si="40"/>
        <v>5106.7569999999996</v>
      </c>
      <c r="E1246" s="608"/>
      <c r="F1246" s="760">
        <f t="shared" si="39"/>
        <v>2154.5150650675951</v>
      </c>
      <c r="M1246" s="443"/>
    </row>
    <row r="1247" spans="1:13">
      <c r="A1247" s="640">
        <v>22113</v>
      </c>
      <c r="B1247" s="640">
        <v>2000</v>
      </c>
      <c r="C1247" s="638">
        <v>5341.5690000000004</v>
      </c>
      <c r="D1247" s="633">
        <f t="shared" si="40"/>
        <v>5341.5690000000004</v>
      </c>
      <c r="E1247" s="608"/>
      <c r="F1247" s="760">
        <f t="shared" si="39"/>
        <v>2253.5810655564874</v>
      </c>
      <c r="M1247" s="443"/>
    </row>
    <row r="1248" spans="1:13">
      <c r="A1248" s="640">
        <v>22113</v>
      </c>
      <c r="B1248" s="640">
        <v>2100</v>
      </c>
      <c r="C1248" s="638">
        <v>5260.1760000000004</v>
      </c>
      <c r="D1248" s="633">
        <f t="shared" si="40"/>
        <v>5260.1760000000004</v>
      </c>
      <c r="E1248" s="608"/>
      <c r="F1248" s="760">
        <f t="shared" si="39"/>
        <v>2219.2417686815729</v>
      </c>
      <c r="M1248" s="443"/>
    </row>
    <row r="1249" spans="1:13">
      <c r="A1249" s="640">
        <v>22113</v>
      </c>
      <c r="B1249" s="640">
        <v>2200</v>
      </c>
      <c r="C1249" s="638">
        <v>5096.951</v>
      </c>
      <c r="D1249" s="633">
        <f t="shared" si="40"/>
        <v>5096.951</v>
      </c>
      <c r="E1249" s="608"/>
      <c r="F1249" s="760">
        <f t="shared" si="39"/>
        <v>2150.3779630421704</v>
      </c>
      <c r="M1249" s="443"/>
    </row>
    <row r="1250" spans="1:13">
      <c r="A1250" s="640">
        <v>22113</v>
      </c>
      <c r="B1250" s="640">
        <v>2300</v>
      </c>
      <c r="C1250" s="638">
        <v>4610.2349999999997</v>
      </c>
      <c r="D1250" s="633">
        <f t="shared" si="40"/>
        <v>4610.2349999999997</v>
      </c>
      <c r="E1250" s="608"/>
      <c r="F1250" s="760">
        <f t="shared" si="39"/>
        <v>1945.0349333249858</v>
      </c>
      <c r="M1250" s="443"/>
    </row>
    <row r="1251" spans="1:13">
      <c r="A1251" s="640">
        <v>22113</v>
      </c>
      <c r="B1251" s="640">
        <v>2400</v>
      </c>
      <c r="C1251" s="638">
        <v>4076.982</v>
      </c>
      <c r="D1251" s="633">
        <f t="shared" si="40"/>
        <v>4076.982</v>
      </c>
      <c r="E1251" s="608"/>
      <c r="F1251" s="760">
        <f t="shared" si="39"/>
        <v>1720.0581776280749</v>
      </c>
      <c r="M1251" s="443"/>
    </row>
    <row r="1252" spans="1:13">
      <c r="A1252" s="640">
        <v>22213</v>
      </c>
      <c r="B1252" s="640">
        <v>100</v>
      </c>
      <c r="C1252" s="638">
        <v>3917.6669999999999</v>
      </c>
      <c r="D1252" s="633">
        <f t="shared" si="40"/>
        <v>3917.6669999999999</v>
      </c>
      <c r="E1252" s="608"/>
      <c r="F1252" s="760">
        <f t="shared" si="39"/>
        <v>1652.8439813012778</v>
      </c>
      <c r="M1252" s="443"/>
    </row>
    <row r="1253" spans="1:13">
      <c r="A1253" s="640">
        <v>22213</v>
      </c>
      <c r="B1253" s="640">
        <v>200</v>
      </c>
      <c r="C1253" s="638">
        <v>3999.7919999999999</v>
      </c>
      <c r="D1253" s="633">
        <f t="shared" si="40"/>
        <v>3999.7919999999999</v>
      </c>
      <c r="E1253" s="608"/>
      <c r="F1253" s="760">
        <f t="shared" si="39"/>
        <v>1687.4921052904704</v>
      </c>
      <c r="M1253" s="443"/>
    </row>
    <row r="1254" spans="1:13">
      <c r="A1254" s="640">
        <v>22213</v>
      </c>
      <c r="B1254" s="640">
        <v>300</v>
      </c>
      <c r="C1254" s="638">
        <v>3951.2660000000001</v>
      </c>
      <c r="D1254" s="633">
        <f t="shared" si="40"/>
        <v>3951.2660000000001</v>
      </c>
      <c r="E1254" s="608"/>
      <c r="F1254" s="760">
        <f t="shared" si="39"/>
        <v>1667.0192302256357</v>
      </c>
      <c r="M1254" s="443"/>
    </row>
    <row r="1255" spans="1:13">
      <c r="A1255" s="640">
        <v>22213</v>
      </c>
      <c r="B1255" s="640">
        <v>400</v>
      </c>
      <c r="C1255" s="638">
        <v>3982.8829999999998</v>
      </c>
      <c r="D1255" s="633">
        <f t="shared" si="40"/>
        <v>3982.8829999999998</v>
      </c>
      <c r="E1255" s="608"/>
      <c r="F1255" s="760">
        <f t="shared" si="39"/>
        <v>1680.3582833296393</v>
      </c>
      <c r="M1255" s="443"/>
    </row>
    <row r="1256" spans="1:13">
      <c r="A1256" s="640">
        <v>22213</v>
      </c>
      <c r="B1256" s="640">
        <v>500</v>
      </c>
      <c r="C1256" s="638">
        <v>4092.23</v>
      </c>
      <c r="D1256" s="633">
        <f t="shared" si="40"/>
        <v>4092.23</v>
      </c>
      <c r="E1256" s="608"/>
      <c r="F1256" s="760">
        <f t="shared" si="39"/>
        <v>1726.4912320522719</v>
      </c>
      <c r="M1256" s="443"/>
    </row>
    <row r="1257" spans="1:13">
      <c r="A1257" s="640">
        <v>22213</v>
      </c>
      <c r="B1257" s="640">
        <v>600</v>
      </c>
      <c r="C1257" s="638">
        <v>4351.0159999999996</v>
      </c>
      <c r="D1257" s="633">
        <f t="shared" si="40"/>
        <v>4351.0159999999996</v>
      </c>
      <c r="E1257" s="608"/>
      <c r="F1257" s="760">
        <f t="shared" si="39"/>
        <v>1835.6717424287363</v>
      </c>
      <c r="M1257" s="443"/>
    </row>
    <row r="1258" spans="1:13">
      <c r="A1258" s="640">
        <v>22213</v>
      </c>
      <c r="B1258" s="640">
        <v>700</v>
      </c>
      <c r="C1258" s="638">
        <v>4912.7110000000002</v>
      </c>
      <c r="D1258" s="633">
        <f t="shared" si="40"/>
        <v>4912.7110000000002</v>
      </c>
      <c r="E1258" s="608"/>
      <c r="F1258" s="760">
        <f t="shared" si="39"/>
        <v>2072.6480347162183</v>
      </c>
      <c r="M1258" s="443"/>
    </row>
    <row r="1259" spans="1:13">
      <c r="A1259" s="640">
        <v>22213</v>
      </c>
      <c r="B1259" s="640">
        <v>800</v>
      </c>
      <c r="C1259" s="638">
        <v>5105.1239999999998</v>
      </c>
      <c r="D1259" s="633">
        <f t="shared" si="40"/>
        <v>5105.1239999999998</v>
      </c>
      <c r="E1259" s="608"/>
      <c r="F1259" s="760">
        <f t="shared" si="39"/>
        <v>2153.8261105899774</v>
      </c>
      <c r="M1259" s="443"/>
    </row>
    <row r="1260" spans="1:13">
      <c r="A1260" s="640">
        <v>22213</v>
      </c>
      <c r="B1260" s="640">
        <v>900</v>
      </c>
      <c r="C1260" s="638">
        <v>4971.0079999999998</v>
      </c>
      <c r="D1260" s="633">
        <f t="shared" si="40"/>
        <v>4971.0079999999998</v>
      </c>
      <c r="E1260" s="608"/>
      <c r="F1260" s="760">
        <f t="shared" ref="F1260:F1323" si="41">(D1260/(MAX($D$748:$D$1443)))*$M$5</f>
        <v>2097.2432454827076</v>
      </c>
      <c r="M1260" s="443"/>
    </row>
    <row r="1261" spans="1:13">
      <c r="A1261" s="640">
        <v>22213</v>
      </c>
      <c r="B1261" s="640">
        <v>1000</v>
      </c>
      <c r="C1261" s="638">
        <v>4908.9210000000003</v>
      </c>
      <c r="D1261" s="633">
        <f t="shared" si="40"/>
        <v>4908.9210000000003</v>
      </c>
      <c r="E1261" s="608"/>
      <c r="F1261" s="760">
        <f t="shared" si="41"/>
        <v>2071.0490527993961</v>
      </c>
      <c r="M1261" s="443"/>
    </row>
    <row r="1262" spans="1:13">
      <c r="A1262" s="640">
        <v>22213</v>
      </c>
      <c r="B1262" s="640">
        <v>1100</v>
      </c>
      <c r="C1262" s="638">
        <v>4833.6170000000002</v>
      </c>
      <c r="D1262" s="633">
        <f t="shared" si="40"/>
        <v>4833.6170000000002</v>
      </c>
      <c r="E1262" s="608"/>
      <c r="F1262" s="760">
        <f t="shared" si="41"/>
        <v>2039.278674365519</v>
      </c>
      <c r="M1262" s="443"/>
    </row>
    <row r="1263" spans="1:13">
      <c r="A1263" s="640">
        <v>22213</v>
      </c>
      <c r="B1263" s="640">
        <v>1200</v>
      </c>
      <c r="C1263" s="638">
        <v>4410.0749999999998</v>
      </c>
      <c r="D1263" s="633">
        <f t="shared" si="40"/>
        <v>4410.0749999999998</v>
      </c>
      <c r="E1263" s="608"/>
      <c r="F1263" s="760">
        <f t="shared" si="41"/>
        <v>1860.5884371584498</v>
      </c>
      <c r="M1263" s="443"/>
    </row>
    <row r="1264" spans="1:13">
      <c r="A1264" s="640">
        <v>22213</v>
      </c>
      <c r="B1264" s="640">
        <v>1300</v>
      </c>
      <c r="C1264" s="638">
        <v>4415.1909999999998</v>
      </c>
      <c r="D1264" s="633">
        <f t="shared" si="40"/>
        <v>4415.1909999999998</v>
      </c>
      <c r="E1264" s="608"/>
      <c r="F1264" s="760">
        <f t="shared" si="41"/>
        <v>1862.7468517986779</v>
      </c>
      <c r="M1264" s="443"/>
    </row>
    <row r="1265" spans="1:13">
      <c r="A1265" s="640">
        <v>22213</v>
      </c>
      <c r="B1265" s="640">
        <v>1400</v>
      </c>
      <c r="C1265" s="638">
        <v>4420.491</v>
      </c>
      <c r="D1265" s="633">
        <f t="shared" si="40"/>
        <v>4420.491</v>
      </c>
      <c r="E1265" s="608"/>
      <c r="F1265" s="760">
        <f t="shared" si="41"/>
        <v>1864.9828951124398</v>
      </c>
      <c r="M1265" s="443"/>
    </row>
    <row r="1266" spans="1:13">
      <c r="A1266" s="640">
        <v>22213</v>
      </c>
      <c r="B1266" s="640">
        <v>1500</v>
      </c>
      <c r="C1266" s="638">
        <v>4353.732</v>
      </c>
      <c r="D1266" s="633">
        <f t="shared" si="40"/>
        <v>4353.732</v>
      </c>
      <c r="E1266" s="608"/>
      <c r="F1266" s="760">
        <f t="shared" si="41"/>
        <v>1836.8176091532985</v>
      </c>
      <c r="M1266" s="443"/>
    </row>
    <row r="1267" spans="1:13">
      <c r="A1267" s="640">
        <v>22213</v>
      </c>
      <c r="B1267" s="640">
        <v>1600</v>
      </c>
      <c r="C1267" s="638">
        <v>4601.3710000000001</v>
      </c>
      <c r="D1267" s="633">
        <f t="shared" si="40"/>
        <v>4601.3710000000001</v>
      </c>
      <c r="E1267" s="608"/>
      <c r="F1267" s="760">
        <f t="shared" si="41"/>
        <v>1941.2952563564597</v>
      </c>
      <c r="M1267" s="443"/>
    </row>
    <row r="1268" spans="1:13">
      <c r="A1268" s="640">
        <v>22213</v>
      </c>
      <c r="B1268" s="640">
        <v>1700</v>
      </c>
      <c r="C1268" s="638">
        <v>4814.5339999999997</v>
      </c>
      <c r="D1268" s="633">
        <f t="shared" si="40"/>
        <v>4814.5339999999997</v>
      </c>
      <c r="E1268" s="608"/>
      <c r="F1268" s="760">
        <f t="shared" si="41"/>
        <v>2031.2276527510803</v>
      </c>
      <c r="M1268" s="443"/>
    </row>
    <row r="1269" spans="1:13">
      <c r="A1269" s="640">
        <v>22213</v>
      </c>
      <c r="B1269" s="640">
        <v>1800</v>
      </c>
      <c r="C1269" s="638">
        <v>4902.4489999999996</v>
      </c>
      <c r="D1269" s="633">
        <f t="shared" si="40"/>
        <v>4902.4489999999996</v>
      </c>
      <c r="E1269" s="608"/>
      <c r="F1269" s="760">
        <f t="shared" si="41"/>
        <v>2068.3185485868166</v>
      </c>
      <c r="M1269" s="443"/>
    </row>
    <row r="1270" spans="1:13">
      <c r="A1270" s="640">
        <v>22213</v>
      </c>
      <c r="B1270" s="640">
        <v>1900</v>
      </c>
      <c r="C1270" s="638">
        <v>5212.8310000000001</v>
      </c>
      <c r="D1270" s="633">
        <f t="shared" si="40"/>
        <v>5212.8310000000001</v>
      </c>
      <c r="E1270" s="608"/>
      <c r="F1270" s="760">
        <f t="shared" si="41"/>
        <v>2199.2671515702386</v>
      </c>
      <c r="M1270" s="443"/>
    </row>
    <row r="1271" spans="1:13">
      <c r="A1271" s="640">
        <v>22213</v>
      </c>
      <c r="B1271" s="640">
        <v>2000</v>
      </c>
      <c r="C1271" s="638">
        <v>5153.0690000000004</v>
      </c>
      <c r="D1271" s="633">
        <f t="shared" si="40"/>
        <v>5153.0690000000004</v>
      </c>
      <c r="E1271" s="608"/>
      <c r="F1271" s="760">
        <f t="shared" si="41"/>
        <v>2174.0538646802283</v>
      </c>
      <c r="M1271" s="443"/>
    </row>
    <row r="1272" spans="1:13">
      <c r="A1272" s="640">
        <v>22213</v>
      </c>
      <c r="B1272" s="640">
        <v>2100</v>
      </c>
      <c r="C1272" s="638">
        <v>5052.6509999999998</v>
      </c>
      <c r="D1272" s="633">
        <f t="shared" si="40"/>
        <v>5052.6509999999998</v>
      </c>
      <c r="E1272" s="608"/>
      <c r="F1272" s="760">
        <f t="shared" si="41"/>
        <v>2131.6880160988371</v>
      </c>
      <c r="M1272" s="443"/>
    </row>
    <row r="1273" spans="1:13">
      <c r="A1273" s="640">
        <v>22213</v>
      </c>
      <c r="B1273" s="640">
        <v>2200</v>
      </c>
      <c r="C1273" s="638">
        <v>4805.1970000000001</v>
      </c>
      <c r="D1273" s="633">
        <f t="shared" si="40"/>
        <v>4805.1970000000001</v>
      </c>
      <c r="E1273" s="608"/>
      <c r="F1273" s="760">
        <f t="shared" si="41"/>
        <v>2027.2884194641754</v>
      </c>
      <c r="M1273" s="443"/>
    </row>
    <row r="1274" spans="1:13">
      <c r="A1274" s="640">
        <v>22213</v>
      </c>
      <c r="B1274" s="640">
        <v>2300</v>
      </c>
      <c r="C1274" s="638">
        <v>4368.4269999999997</v>
      </c>
      <c r="D1274" s="633">
        <f t="shared" si="40"/>
        <v>4368.4269999999997</v>
      </c>
      <c r="E1274" s="608"/>
      <c r="F1274" s="760">
        <f t="shared" si="41"/>
        <v>1843.0173556619277</v>
      </c>
      <c r="M1274" s="443"/>
    </row>
    <row r="1275" spans="1:13">
      <c r="A1275" s="640">
        <v>22213</v>
      </c>
      <c r="B1275" s="640">
        <v>2400</v>
      </c>
      <c r="C1275" s="638">
        <v>3873.1210000000001</v>
      </c>
      <c r="D1275" s="633">
        <f t="shared" si="40"/>
        <v>3873.1210000000001</v>
      </c>
      <c r="E1275" s="608"/>
      <c r="F1275" s="760">
        <f t="shared" si="41"/>
        <v>1634.0502481965891</v>
      </c>
      <c r="M1275" s="443"/>
    </row>
    <row r="1276" spans="1:13">
      <c r="A1276" s="640">
        <v>22313</v>
      </c>
      <c r="B1276" s="640">
        <v>100</v>
      </c>
      <c r="C1276" s="638">
        <v>3628.7809999999999</v>
      </c>
      <c r="D1276" s="633">
        <f t="shared" si="40"/>
        <v>3628.7809999999999</v>
      </c>
      <c r="E1276" s="608"/>
      <c r="F1276" s="760">
        <f t="shared" si="41"/>
        <v>1530.9644324825035</v>
      </c>
      <c r="M1276" s="443"/>
    </row>
    <row r="1277" spans="1:13">
      <c r="A1277" s="640">
        <v>22313</v>
      </c>
      <c r="B1277" s="640">
        <v>200</v>
      </c>
      <c r="C1277" s="638">
        <v>3669.9360000000001</v>
      </c>
      <c r="D1277" s="633">
        <f t="shared" si="40"/>
        <v>3669.9360000000001</v>
      </c>
      <c r="E1277" s="608"/>
      <c r="F1277" s="760">
        <f t="shared" si="41"/>
        <v>1548.3275197613495</v>
      </c>
      <c r="M1277" s="443"/>
    </row>
    <row r="1278" spans="1:13">
      <c r="A1278" s="640">
        <v>22313</v>
      </c>
      <c r="B1278" s="640">
        <v>300</v>
      </c>
      <c r="C1278" s="638">
        <v>3588.105</v>
      </c>
      <c r="D1278" s="633">
        <f t="shared" si="40"/>
        <v>3588.105</v>
      </c>
      <c r="E1278" s="608"/>
      <c r="F1278" s="760">
        <f t="shared" si="41"/>
        <v>1513.8034328918261</v>
      </c>
      <c r="M1278" s="443"/>
    </row>
    <row r="1279" spans="1:13">
      <c r="A1279" s="640">
        <v>22313</v>
      </c>
      <c r="B1279" s="640">
        <v>400</v>
      </c>
      <c r="C1279" s="638">
        <v>3536.9070000000002</v>
      </c>
      <c r="D1279" s="633">
        <f t="shared" si="40"/>
        <v>3536.9070000000002</v>
      </c>
      <c r="E1279" s="608"/>
      <c r="F1279" s="760">
        <f t="shared" si="41"/>
        <v>1492.2032544808835</v>
      </c>
      <c r="M1279" s="443"/>
    </row>
    <row r="1280" spans="1:13">
      <c r="A1280" s="640">
        <v>22313</v>
      </c>
      <c r="B1280" s="640">
        <v>500</v>
      </c>
      <c r="C1280" s="638">
        <v>3560.94</v>
      </c>
      <c r="D1280" s="633">
        <f t="shared" si="40"/>
        <v>3560.94</v>
      </c>
      <c r="E1280" s="608"/>
      <c r="F1280" s="760">
        <f t="shared" si="41"/>
        <v>1502.3426561713827</v>
      </c>
      <c r="M1280" s="443"/>
    </row>
    <row r="1281" spans="1:13">
      <c r="A1281" s="640">
        <v>22313</v>
      </c>
      <c r="B1281" s="640">
        <v>600</v>
      </c>
      <c r="C1281" s="638">
        <v>3672.326</v>
      </c>
      <c r="D1281" s="633">
        <f t="shared" si="40"/>
        <v>3672.326</v>
      </c>
      <c r="E1281" s="608"/>
      <c r="F1281" s="760">
        <f t="shared" si="41"/>
        <v>1549.335848727367</v>
      </c>
      <c r="M1281" s="443"/>
    </row>
    <row r="1282" spans="1:13">
      <c r="A1282" s="640">
        <v>22313</v>
      </c>
      <c r="B1282" s="640">
        <v>700</v>
      </c>
      <c r="C1282" s="638">
        <v>3953.721</v>
      </c>
      <c r="D1282" s="633">
        <f t="shared" si="40"/>
        <v>3953.721</v>
      </c>
      <c r="E1282" s="608"/>
      <c r="F1282" s="760">
        <f t="shared" si="41"/>
        <v>1668.0549823643689</v>
      </c>
      <c r="M1282" s="443"/>
    </row>
    <row r="1283" spans="1:13">
      <c r="A1283" s="640">
        <v>22313</v>
      </c>
      <c r="B1283" s="640">
        <v>800</v>
      </c>
      <c r="C1283" s="638">
        <v>4148.0910000000003</v>
      </c>
      <c r="D1283" s="633">
        <f t="shared" si="40"/>
        <v>4148.0910000000003</v>
      </c>
      <c r="E1283" s="608"/>
      <c r="F1283" s="760">
        <f t="shared" si="41"/>
        <v>1750.0587066843609</v>
      </c>
      <c r="M1283" s="443"/>
    </row>
    <row r="1284" spans="1:13">
      <c r="A1284" s="640">
        <v>22313</v>
      </c>
      <c r="B1284" s="640">
        <v>900</v>
      </c>
      <c r="C1284" s="638">
        <v>4454.7439999999997</v>
      </c>
      <c r="D1284" s="633">
        <f t="shared" si="40"/>
        <v>4454.7439999999997</v>
      </c>
      <c r="E1284" s="608"/>
      <c r="F1284" s="760">
        <f t="shared" si="41"/>
        <v>1879.4340633438164</v>
      </c>
      <c r="M1284" s="443"/>
    </row>
    <row r="1285" spans="1:13">
      <c r="A1285" s="640">
        <v>22313</v>
      </c>
      <c r="B1285" s="640">
        <v>1000</v>
      </c>
      <c r="C1285" s="638">
        <v>4603.3010000000004</v>
      </c>
      <c r="D1285" s="633">
        <f t="shared" ref="D1285:D1348" si="42">C1285</f>
        <v>4603.3010000000004</v>
      </c>
      <c r="E1285" s="608"/>
      <c r="F1285" s="760">
        <f t="shared" si="41"/>
        <v>1942.1095136386411</v>
      </c>
      <c r="M1285" s="443"/>
    </row>
    <row r="1286" spans="1:13">
      <c r="A1286" s="640">
        <v>22313</v>
      </c>
      <c r="B1286" s="640">
        <v>1100</v>
      </c>
      <c r="C1286" s="638">
        <v>4473.9210000000003</v>
      </c>
      <c r="D1286" s="633">
        <f t="shared" si="42"/>
        <v>4473.9210000000003</v>
      </c>
      <c r="E1286" s="608"/>
      <c r="F1286" s="760">
        <f t="shared" si="41"/>
        <v>1887.5247430849522</v>
      </c>
      <c r="M1286" s="443"/>
    </row>
    <row r="1287" spans="1:13">
      <c r="A1287" s="640">
        <v>22313</v>
      </c>
      <c r="B1287" s="640">
        <v>1200</v>
      </c>
      <c r="C1287" s="638">
        <v>4475.7460000000001</v>
      </c>
      <c r="D1287" s="633">
        <f t="shared" si="42"/>
        <v>4475.7460000000001</v>
      </c>
      <c r="E1287" s="608"/>
      <c r="F1287" s="760">
        <f t="shared" si="41"/>
        <v>1888.294701395823</v>
      </c>
      <c r="M1287" s="443"/>
    </row>
    <row r="1288" spans="1:13">
      <c r="A1288" s="640">
        <v>22313</v>
      </c>
      <c r="B1288" s="640">
        <v>1300</v>
      </c>
      <c r="C1288" s="638">
        <v>4421.085</v>
      </c>
      <c r="D1288" s="633">
        <f t="shared" si="42"/>
        <v>4421.085</v>
      </c>
      <c r="E1288" s="608"/>
      <c r="F1288" s="760">
        <f t="shared" si="41"/>
        <v>1865.2335007215672</v>
      </c>
      <c r="M1288" s="443"/>
    </row>
    <row r="1289" spans="1:13">
      <c r="A1289" s="640">
        <v>22313</v>
      </c>
      <c r="B1289" s="640">
        <v>1400</v>
      </c>
      <c r="C1289" s="638">
        <v>4251.433</v>
      </c>
      <c r="D1289" s="633">
        <f t="shared" si="42"/>
        <v>4251.433</v>
      </c>
      <c r="E1289" s="608"/>
      <c r="F1289" s="760">
        <f t="shared" si="41"/>
        <v>1793.6581761430043</v>
      </c>
      <c r="M1289" s="443"/>
    </row>
    <row r="1290" spans="1:13">
      <c r="A1290" s="640">
        <v>22313</v>
      </c>
      <c r="B1290" s="640">
        <v>1500</v>
      </c>
      <c r="C1290" s="638">
        <v>4328.5230000000001</v>
      </c>
      <c r="D1290" s="633">
        <f t="shared" si="42"/>
        <v>4328.5230000000001</v>
      </c>
      <c r="E1290" s="608"/>
      <c r="F1290" s="760">
        <f t="shared" si="41"/>
        <v>1826.1820589841229</v>
      </c>
      <c r="M1290" s="443"/>
    </row>
    <row r="1291" spans="1:13">
      <c r="A1291" s="640">
        <v>22313</v>
      </c>
      <c r="B1291" s="640">
        <v>1600</v>
      </c>
      <c r="C1291" s="638">
        <v>4181.3959999999997</v>
      </c>
      <c r="D1291" s="633">
        <f t="shared" si="42"/>
        <v>4181.3959999999997</v>
      </c>
      <c r="E1291" s="608"/>
      <c r="F1291" s="760">
        <f t="shared" si="41"/>
        <v>1764.1099184890493</v>
      </c>
      <c r="M1291" s="443"/>
    </row>
    <row r="1292" spans="1:13">
      <c r="A1292" s="640">
        <v>22313</v>
      </c>
      <c r="B1292" s="640">
        <v>1700</v>
      </c>
      <c r="C1292" s="638">
        <v>4359.5619999999999</v>
      </c>
      <c r="D1292" s="633">
        <f t="shared" si="42"/>
        <v>4359.5619999999999</v>
      </c>
      <c r="E1292" s="608"/>
      <c r="F1292" s="760">
        <f t="shared" si="41"/>
        <v>1839.2772567984371</v>
      </c>
      <c r="M1292" s="443"/>
    </row>
    <row r="1293" spans="1:13">
      <c r="A1293" s="640">
        <v>22313</v>
      </c>
      <c r="B1293" s="640">
        <v>1800</v>
      </c>
      <c r="C1293" s="638">
        <v>4532.6139999999996</v>
      </c>
      <c r="D1293" s="633">
        <f t="shared" si="42"/>
        <v>4532.6139999999996</v>
      </c>
      <c r="E1293" s="608"/>
      <c r="F1293" s="760">
        <f t="shared" si="41"/>
        <v>1912.2870242575261</v>
      </c>
      <c r="M1293" s="443"/>
    </row>
    <row r="1294" spans="1:13">
      <c r="A1294" s="640">
        <v>22313</v>
      </c>
      <c r="B1294" s="640">
        <v>1900</v>
      </c>
      <c r="C1294" s="638">
        <v>5033</v>
      </c>
      <c r="D1294" s="633">
        <f t="shared" si="42"/>
        <v>5033</v>
      </c>
      <c r="E1294" s="608"/>
      <c r="F1294" s="760">
        <f t="shared" si="41"/>
        <v>2123.3973581443579</v>
      </c>
      <c r="M1294" s="443"/>
    </row>
    <row r="1295" spans="1:13">
      <c r="A1295" s="640">
        <v>22313</v>
      </c>
      <c r="B1295" s="640">
        <v>2000</v>
      </c>
      <c r="C1295" s="638">
        <v>4899.1390000000001</v>
      </c>
      <c r="D1295" s="633">
        <f t="shared" si="42"/>
        <v>4899.1390000000001</v>
      </c>
      <c r="E1295" s="608"/>
      <c r="F1295" s="760">
        <f t="shared" si="41"/>
        <v>2066.9220762531277</v>
      </c>
      <c r="M1295" s="443"/>
    </row>
    <row r="1296" spans="1:13">
      <c r="A1296" s="640">
        <v>22313</v>
      </c>
      <c r="B1296" s="640">
        <v>2100</v>
      </c>
      <c r="C1296" s="638">
        <v>4784.7420000000002</v>
      </c>
      <c r="D1296" s="633">
        <f t="shared" si="42"/>
        <v>4784.7420000000002</v>
      </c>
      <c r="E1296" s="608"/>
      <c r="F1296" s="760">
        <f t="shared" si="41"/>
        <v>2018.6585579579478</v>
      </c>
      <c r="M1296" s="443"/>
    </row>
    <row r="1297" spans="1:13">
      <c r="A1297" s="640">
        <v>22313</v>
      </c>
      <c r="B1297" s="640">
        <v>2200</v>
      </c>
      <c r="C1297" s="638">
        <v>4549.5770000000002</v>
      </c>
      <c r="D1297" s="633">
        <f t="shared" si="42"/>
        <v>4549.5770000000002</v>
      </c>
      <c r="E1297" s="608"/>
      <c r="F1297" s="760">
        <f t="shared" si="41"/>
        <v>1919.4436285464601</v>
      </c>
      <c r="M1297" s="443"/>
    </row>
    <row r="1298" spans="1:13">
      <c r="A1298" s="640">
        <v>22313</v>
      </c>
      <c r="B1298" s="640">
        <v>2300</v>
      </c>
      <c r="C1298" s="638">
        <v>4272.7190000000001</v>
      </c>
      <c r="D1298" s="633">
        <f t="shared" si="42"/>
        <v>4272.7190000000001</v>
      </c>
      <c r="E1298" s="608"/>
      <c r="F1298" s="760">
        <f t="shared" si="41"/>
        <v>1802.6386323650313</v>
      </c>
      <c r="M1298" s="443"/>
    </row>
    <row r="1299" spans="1:13">
      <c r="A1299" s="640">
        <v>22313</v>
      </c>
      <c r="B1299" s="640">
        <v>2400</v>
      </c>
      <c r="C1299" s="638">
        <v>3910.17</v>
      </c>
      <c r="D1299" s="633">
        <f t="shared" si="42"/>
        <v>3910.17</v>
      </c>
      <c r="E1299" s="608"/>
      <c r="F1299" s="760">
        <f t="shared" si="41"/>
        <v>1649.6810347497167</v>
      </c>
      <c r="M1299" s="443"/>
    </row>
    <row r="1300" spans="1:13">
      <c r="A1300" s="640">
        <v>22413</v>
      </c>
      <c r="B1300" s="640">
        <v>100</v>
      </c>
      <c r="C1300" s="638">
        <v>3710.4250000000002</v>
      </c>
      <c r="D1300" s="633">
        <f t="shared" si="42"/>
        <v>3710.4250000000002</v>
      </c>
      <c r="E1300" s="608"/>
      <c r="F1300" s="760">
        <f t="shared" si="41"/>
        <v>1565.4096249935981</v>
      </c>
      <c r="M1300" s="443"/>
    </row>
    <row r="1301" spans="1:13">
      <c r="A1301" s="640">
        <v>22413</v>
      </c>
      <c r="B1301" s="640">
        <v>200</v>
      </c>
      <c r="C1301" s="638">
        <v>3725.4659999999999</v>
      </c>
      <c r="D1301" s="633">
        <f t="shared" si="42"/>
        <v>3725.4659999999999</v>
      </c>
      <c r="E1301" s="608"/>
      <c r="F1301" s="760">
        <f t="shared" si="41"/>
        <v>1571.7553471600691</v>
      </c>
      <c r="M1301" s="443"/>
    </row>
    <row r="1302" spans="1:13">
      <c r="A1302" s="640">
        <v>22413</v>
      </c>
      <c r="B1302" s="640">
        <v>300</v>
      </c>
      <c r="C1302" s="638">
        <v>3646.1390000000001</v>
      </c>
      <c r="D1302" s="633">
        <f t="shared" si="42"/>
        <v>3646.1390000000001</v>
      </c>
      <c r="E1302" s="608"/>
      <c r="F1302" s="760">
        <f t="shared" si="41"/>
        <v>1538.2876852825573</v>
      </c>
      <c r="M1302" s="443"/>
    </row>
    <row r="1303" spans="1:13">
      <c r="A1303" s="640">
        <v>22413</v>
      </c>
      <c r="B1303" s="640">
        <v>400</v>
      </c>
      <c r="C1303" s="638">
        <v>3590.886</v>
      </c>
      <c r="D1303" s="633">
        <f t="shared" si="42"/>
        <v>3590.886</v>
      </c>
      <c r="E1303" s="608"/>
      <c r="F1303" s="760">
        <f t="shared" si="41"/>
        <v>1514.9767227891039</v>
      </c>
      <c r="M1303" s="443"/>
    </row>
    <row r="1304" spans="1:13">
      <c r="A1304" s="640">
        <v>22413</v>
      </c>
      <c r="B1304" s="640">
        <v>500</v>
      </c>
      <c r="C1304" s="638">
        <v>3645.3180000000002</v>
      </c>
      <c r="D1304" s="633">
        <f t="shared" si="42"/>
        <v>3645.3180000000002</v>
      </c>
      <c r="E1304" s="608"/>
      <c r="F1304" s="760">
        <f t="shared" si="41"/>
        <v>1537.9413095164066</v>
      </c>
      <c r="M1304" s="443"/>
    </row>
    <row r="1305" spans="1:13">
      <c r="A1305" s="640">
        <v>22413</v>
      </c>
      <c r="B1305" s="640">
        <v>600</v>
      </c>
      <c r="C1305" s="638">
        <v>3713.616</v>
      </c>
      <c r="D1305" s="633">
        <f t="shared" si="42"/>
        <v>3713.616</v>
      </c>
      <c r="E1305" s="608"/>
      <c r="F1305" s="760">
        <f t="shared" si="41"/>
        <v>1566.7558918264688</v>
      </c>
      <c r="M1305" s="443"/>
    </row>
    <row r="1306" spans="1:13">
      <c r="A1306" s="640">
        <v>22413</v>
      </c>
      <c r="B1306" s="640">
        <v>700</v>
      </c>
      <c r="C1306" s="638">
        <v>3936.0630000000001</v>
      </c>
      <c r="D1306" s="633">
        <f t="shared" si="42"/>
        <v>3936.0630000000001</v>
      </c>
      <c r="E1306" s="608"/>
      <c r="F1306" s="760">
        <f t="shared" si="41"/>
        <v>1660.6051610748571</v>
      </c>
      <c r="M1306" s="443"/>
    </row>
    <row r="1307" spans="1:13">
      <c r="A1307" s="640">
        <v>22413</v>
      </c>
      <c r="B1307" s="640">
        <v>800</v>
      </c>
      <c r="C1307" s="638">
        <v>4093.6320000000001</v>
      </c>
      <c r="D1307" s="633">
        <f t="shared" si="42"/>
        <v>4093.6320000000001</v>
      </c>
      <c r="E1307" s="608"/>
      <c r="F1307" s="760">
        <f t="shared" si="41"/>
        <v>1727.0827287930069</v>
      </c>
      <c r="M1307" s="443"/>
    </row>
    <row r="1308" spans="1:13">
      <c r="A1308" s="640">
        <v>22413</v>
      </c>
      <c r="B1308" s="640">
        <v>900</v>
      </c>
      <c r="C1308" s="638">
        <v>4215.82</v>
      </c>
      <c r="D1308" s="633">
        <f t="shared" si="42"/>
        <v>4215.82</v>
      </c>
      <c r="E1308" s="608"/>
      <c r="F1308" s="760">
        <f t="shared" si="41"/>
        <v>1778.6332307594171</v>
      </c>
      <c r="M1308" s="443"/>
    </row>
    <row r="1309" spans="1:13">
      <c r="A1309" s="640">
        <v>22413</v>
      </c>
      <c r="B1309" s="640">
        <v>1000</v>
      </c>
      <c r="C1309" s="638">
        <v>4251.5479999999998</v>
      </c>
      <c r="D1309" s="633">
        <f t="shared" si="42"/>
        <v>4251.5479999999998</v>
      </c>
      <c r="E1309" s="608"/>
      <c r="F1309" s="760">
        <f t="shared" si="41"/>
        <v>1793.7066940639634</v>
      </c>
      <c r="M1309" s="443"/>
    </row>
    <row r="1310" spans="1:13">
      <c r="A1310" s="640">
        <v>22413</v>
      </c>
      <c r="B1310" s="640">
        <v>1100</v>
      </c>
      <c r="C1310" s="638">
        <v>4241.1509999999998</v>
      </c>
      <c r="D1310" s="633">
        <f t="shared" si="42"/>
        <v>4241.1509999999998</v>
      </c>
      <c r="E1310" s="608"/>
      <c r="F1310" s="760">
        <f t="shared" si="41"/>
        <v>1789.3202521143057</v>
      </c>
      <c r="M1310" s="443"/>
    </row>
    <row r="1311" spans="1:13">
      <c r="A1311" s="640">
        <v>22413</v>
      </c>
      <c r="B1311" s="640">
        <v>1200</v>
      </c>
      <c r="C1311" s="638">
        <v>4308.1530000000002</v>
      </c>
      <c r="D1311" s="633">
        <f t="shared" si="42"/>
        <v>4308.1530000000002</v>
      </c>
      <c r="E1311" s="608"/>
      <c r="F1311" s="760">
        <f t="shared" si="41"/>
        <v>1817.5880585499087</v>
      </c>
      <c r="M1311" s="443"/>
    </row>
    <row r="1312" spans="1:13">
      <c r="A1312" s="640">
        <v>22413</v>
      </c>
      <c r="B1312" s="640">
        <v>1300</v>
      </c>
      <c r="C1312" s="638">
        <v>4226.7039999999997</v>
      </c>
      <c r="D1312" s="633">
        <f t="shared" si="42"/>
        <v>4226.7039999999997</v>
      </c>
      <c r="E1312" s="608"/>
      <c r="F1312" s="760">
        <f t="shared" si="41"/>
        <v>1783.225135556962</v>
      </c>
      <c r="M1312" s="443"/>
    </row>
    <row r="1313" spans="1:13">
      <c r="A1313" s="640">
        <v>22413</v>
      </c>
      <c r="B1313" s="640">
        <v>1400</v>
      </c>
      <c r="C1313" s="638">
        <v>4125.6769999999997</v>
      </c>
      <c r="D1313" s="633">
        <f t="shared" si="42"/>
        <v>4125.6769999999997</v>
      </c>
      <c r="E1313" s="608"/>
      <c r="F1313" s="760">
        <f t="shared" si="41"/>
        <v>1740.6023529419708</v>
      </c>
      <c r="M1313" s="443"/>
    </row>
    <row r="1314" spans="1:13">
      <c r="A1314" s="640">
        <v>22413</v>
      </c>
      <c r="B1314" s="640">
        <v>1500</v>
      </c>
      <c r="C1314" s="638">
        <v>4152.5649999999996</v>
      </c>
      <c r="D1314" s="633">
        <f t="shared" si="42"/>
        <v>4152.5649999999996</v>
      </c>
      <c r="E1314" s="608"/>
      <c r="F1314" s="760">
        <f t="shared" si="41"/>
        <v>1751.9462647571477</v>
      </c>
      <c r="M1314" s="443"/>
    </row>
    <row r="1315" spans="1:13">
      <c r="A1315" s="640">
        <v>22413</v>
      </c>
      <c r="B1315" s="640">
        <v>1600</v>
      </c>
      <c r="C1315" s="638">
        <v>4111.7809999999999</v>
      </c>
      <c r="D1315" s="633">
        <f t="shared" si="42"/>
        <v>4111.7809999999999</v>
      </c>
      <c r="E1315" s="608"/>
      <c r="F1315" s="760">
        <f t="shared" si="41"/>
        <v>1734.7397005102655</v>
      </c>
      <c r="M1315" s="443"/>
    </row>
    <row r="1316" spans="1:13">
      <c r="A1316" s="640">
        <v>22413</v>
      </c>
      <c r="B1316" s="640">
        <v>1700</v>
      </c>
      <c r="C1316" s="638">
        <v>4447.9589999999998</v>
      </c>
      <c r="D1316" s="633">
        <f t="shared" si="42"/>
        <v>4447.9589999999998</v>
      </c>
      <c r="E1316" s="608"/>
      <c r="F1316" s="760">
        <f t="shared" si="41"/>
        <v>1876.5715060072362</v>
      </c>
      <c r="M1316" s="443"/>
    </row>
    <row r="1317" spans="1:13">
      <c r="A1317" s="640">
        <v>22413</v>
      </c>
      <c r="B1317" s="640">
        <v>1800</v>
      </c>
      <c r="C1317" s="638">
        <v>4877.4740000000002</v>
      </c>
      <c r="D1317" s="633">
        <f t="shared" si="42"/>
        <v>4877.4740000000002</v>
      </c>
      <c r="E1317" s="608"/>
      <c r="F1317" s="760">
        <f t="shared" si="41"/>
        <v>2057.7817218394189</v>
      </c>
      <c r="M1317" s="443"/>
    </row>
    <row r="1318" spans="1:13">
      <c r="A1318" s="640">
        <v>22413</v>
      </c>
      <c r="B1318" s="640">
        <v>1900</v>
      </c>
      <c r="C1318" s="638">
        <v>5228.1660000000002</v>
      </c>
      <c r="D1318" s="633">
        <f t="shared" si="42"/>
        <v>5228.1660000000002</v>
      </c>
      <c r="E1318" s="608"/>
      <c r="F1318" s="760">
        <f t="shared" si="41"/>
        <v>2205.7369108563789</v>
      </c>
      <c r="M1318" s="443"/>
    </row>
    <row r="1319" spans="1:13">
      <c r="A1319" s="640">
        <v>22413</v>
      </c>
      <c r="B1319" s="640">
        <v>2000</v>
      </c>
      <c r="C1319" s="638">
        <v>5228.9030000000002</v>
      </c>
      <c r="D1319" s="633">
        <f t="shared" si="42"/>
        <v>5228.9030000000002</v>
      </c>
      <c r="E1319" s="608"/>
      <c r="F1319" s="760">
        <f t="shared" si="41"/>
        <v>2206.0478474454812</v>
      </c>
      <c r="M1319" s="443"/>
    </row>
    <row r="1320" spans="1:13">
      <c r="A1320" s="640">
        <v>22413</v>
      </c>
      <c r="B1320" s="640">
        <v>2100</v>
      </c>
      <c r="C1320" s="638">
        <v>5003.848</v>
      </c>
      <c r="D1320" s="633">
        <f t="shared" si="42"/>
        <v>5003.848</v>
      </c>
      <c r="E1320" s="608"/>
      <c r="F1320" s="760">
        <f t="shared" si="41"/>
        <v>2111.098276128736</v>
      </c>
      <c r="M1320" s="443"/>
    </row>
    <row r="1321" spans="1:13">
      <c r="A1321" s="640">
        <v>22413</v>
      </c>
      <c r="B1321" s="640">
        <v>2200</v>
      </c>
      <c r="C1321" s="638">
        <v>4648.9750000000004</v>
      </c>
      <c r="D1321" s="633">
        <f t="shared" si="42"/>
        <v>4648.9750000000004</v>
      </c>
      <c r="E1321" s="608"/>
      <c r="F1321" s="760">
        <f t="shared" si="41"/>
        <v>1961.379144263693</v>
      </c>
      <c r="M1321" s="443"/>
    </row>
    <row r="1322" spans="1:13">
      <c r="A1322" s="640">
        <v>22413</v>
      </c>
      <c r="B1322" s="640">
        <v>2300</v>
      </c>
      <c r="C1322" s="638">
        <v>4197.1620000000003</v>
      </c>
      <c r="D1322" s="633">
        <f t="shared" si="42"/>
        <v>4197.1620000000003</v>
      </c>
      <c r="E1322" s="608"/>
      <c r="F1322" s="760">
        <f t="shared" si="41"/>
        <v>1770.7615145050447</v>
      </c>
      <c r="M1322" s="443"/>
    </row>
    <row r="1323" spans="1:13">
      <c r="A1323" s="640">
        <v>22413</v>
      </c>
      <c r="B1323" s="640">
        <v>2400</v>
      </c>
      <c r="C1323" s="638">
        <v>3657.5509999999999</v>
      </c>
      <c r="D1323" s="633">
        <f t="shared" si="42"/>
        <v>3657.5509999999999</v>
      </c>
      <c r="E1323" s="608"/>
      <c r="F1323" s="760">
        <f t="shared" si="41"/>
        <v>1543.1023506215486</v>
      </c>
      <c r="M1323" s="443"/>
    </row>
    <row r="1324" spans="1:13">
      <c r="A1324" s="640">
        <v>22513</v>
      </c>
      <c r="B1324" s="640">
        <v>100</v>
      </c>
      <c r="C1324" s="638">
        <v>3491.6419999999998</v>
      </c>
      <c r="D1324" s="633">
        <f t="shared" si="42"/>
        <v>3491.6419999999998</v>
      </c>
      <c r="E1324" s="608"/>
      <c r="F1324" s="760">
        <f t="shared" ref="F1324:F1387" si="43">(D1324/(MAX($D$748:$D$1443)))*$M$5</f>
        <v>1473.1061788964596</v>
      </c>
      <c r="M1324" s="443"/>
    </row>
    <row r="1325" spans="1:13">
      <c r="A1325" s="640">
        <v>22513</v>
      </c>
      <c r="B1325" s="640">
        <v>200</v>
      </c>
      <c r="C1325" s="638">
        <v>3545.4720000000002</v>
      </c>
      <c r="D1325" s="633">
        <f t="shared" si="42"/>
        <v>3545.4720000000002</v>
      </c>
      <c r="E1325" s="608"/>
      <c r="F1325" s="760">
        <f t="shared" si="43"/>
        <v>1495.816784854916</v>
      </c>
      <c r="M1325" s="443"/>
    </row>
    <row r="1326" spans="1:13">
      <c r="A1326" s="640">
        <v>22513</v>
      </c>
      <c r="B1326" s="640">
        <v>300</v>
      </c>
      <c r="C1326" s="638">
        <v>3498.4960000000001</v>
      </c>
      <c r="D1326" s="633">
        <f t="shared" si="42"/>
        <v>3498.4960000000001</v>
      </c>
      <c r="E1326" s="608"/>
      <c r="F1326" s="760">
        <f t="shared" si="43"/>
        <v>1475.9978469856158</v>
      </c>
      <c r="M1326" s="443"/>
    </row>
    <row r="1327" spans="1:13">
      <c r="A1327" s="640">
        <v>22513</v>
      </c>
      <c r="B1327" s="640">
        <v>400</v>
      </c>
      <c r="C1327" s="638">
        <v>3493.5749999999998</v>
      </c>
      <c r="D1327" s="633">
        <f t="shared" si="42"/>
        <v>3493.5749999999998</v>
      </c>
      <c r="E1327" s="608"/>
      <c r="F1327" s="760">
        <f t="shared" si="43"/>
        <v>1473.9217018635356</v>
      </c>
      <c r="M1327" s="443"/>
    </row>
    <row r="1328" spans="1:13">
      <c r="A1328" s="640">
        <v>22513</v>
      </c>
      <c r="B1328" s="640">
        <v>500</v>
      </c>
      <c r="C1328" s="638">
        <v>3588.2689999999998</v>
      </c>
      <c r="D1328" s="633">
        <f t="shared" si="42"/>
        <v>3588.2689999999998</v>
      </c>
      <c r="E1328" s="608"/>
      <c r="F1328" s="760">
        <f t="shared" si="43"/>
        <v>1513.8726236660634</v>
      </c>
      <c r="M1328" s="443"/>
    </row>
    <row r="1329" spans="1:13">
      <c r="A1329" s="640">
        <v>22513</v>
      </c>
      <c r="B1329" s="640">
        <v>600</v>
      </c>
      <c r="C1329" s="638">
        <v>3930.5650000000001</v>
      </c>
      <c r="D1329" s="633">
        <f t="shared" si="42"/>
        <v>3930.5650000000001</v>
      </c>
      <c r="E1329" s="608"/>
      <c r="F1329" s="760">
        <f t="shared" si="43"/>
        <v>1658.2855825580525</v>
      </c>
      <c r="M1329" s="443"/>
    </row>
    <row r="1330" spans="1:13">
      <c r="A1330" s="640">
        <v>22513</v>
      </c>
      <c r="B1330" s="640">
        <v>700</v>
      </c>
      <c r="C1330" s="638">
        <v>4473.0219999999999</v>
      </c>
      <c r="D1330" s="633">
        <f t="shared" si="42"/>
        <v>4473.0219999999999</v>
      </c>
      <c r="E1330" s="608"/>
      <c r="F1330" s="760">
        <f t="shared" si="43"/>
        <v>1887.1454595115422</v>
      </c>
      <c r="M1330" s="443"/>
    </row>
    <row r="1331" spans="1:13">
      <c r="A1331" s="640">
        <v>22513</v>
      </c>
      <c r="B1331" s="640">
        <v>800</v>
      </c>
      <c r="C1331" s="638">
        <v>4651.125</v>
      </c>
      <c r="D1331" s="633">
        <f t="shared" si="42"/>
        <v>4651.125</v>
      </c>
      <c r="E1331" s="608"/>
      <c r="F1331" s="760">
        <f t="shared" si="43"/>
        <v>1962.2862184381436</v>
      </c>
      <c r="M1331" s="443"/>
    </row>
    <row r="1332" spans="1:13">
      <c r="A1332" s="640">
        <v>22513</v>
      </c>
      <c r="B1332" s="640">
        <v>900</v>
      </c>
      <c r="C1332" s="638">
        <v>4501.3680000000004</v>
      </c>
      <c r="D1332" s="633">
        <f t="shared" si="42"/>
        <v>4501.3680000000004</v>
      </c>
      <c r="E1332" s="608"/>
      <c r="F1332" s="760">
        <f t="shared" si="43"/>
        <v>1899.1044941854864</v>
      </c>
      <c r="M1332" s="443"/>
    </row>
    <row r="1333" spans="1:13">
      <c r="A1333" s="640">
        <v>22513</v>
      </c>
      <c r="B1333" s="640">
        <v>1000</v>
      </c>
      <c r="C1333" s="638">
        <v>4375.1279999999997</v>
      </c>
      <c r="D1333" s="633">
        <f t="shared" si="42"/>
        <v>4375.1279999999997</v>
      </c>
      <c r="E1333" s="608"/>
      <c r="F1333" s="760">
        <f t="shared" si="43"/>
        <v>1845.84447382146</v>
      </c>
      <c r="M1333" s="443"/>
    </row>
    <row r="1334" spans="1:13">
      <c r="A1334" s="640">
        <v>22513</v>
      </c>
      <c r="B1334" s="640">
        <v>1100</v>
      </c>
      <c r="C1334" s="638">
        <v>3977.0940000000001</v>
      </c>
      <c r="D1334" s="633">
        <f t="shared" si="42"/>
        <v>3977.0940000000001</v>
      </c>
      <c r="E1334" s="608"/>
      <c r="F1334" s="760">
        <f t="shared" si="43"/>
        <v>1677.9159333780601</v>
      </c>
      <c r="M1334" s="443"/>
    </row>
    <row r="1335" spans="1:13">
      <c r="A1335" s="640">
        <v>22513</v>
      </c>
      <c r="B1335" s="640">
        <v>1200</v>
      </c>
      <c r="C1335" s="638">
        <v>3881.2820000000002</v>
      </c>
      <c r="D1335" s="633">
        <f t="shared" si="42"/>
        <v>3881.2820000000002</v>
      </c>
      <c r="E1335" s="608"/>
      <c r="F1335" s="760">
        <f t="shared" si="43"/>
        <v>1637.4933330048182</v>
      </c>
      <c r="M1335" s="443"/>
    </row>
    <row r="1336" spans="1:13">
      <c r="A1336" s="640">
        <v>22513</v>
      </c>
      <c r="B1336" s="640">
        <v>1300</v>
      </c>
      <c r="C1336" s="638">
        <v>3825.3620000000001</v>
      </c>
      <c r="D1336" s="633">
        <f t="shared" si="42"/>
        <v>3825.3620000000001</v>
      </c>
      <c r="E1336" s="608"/>
      <c r="F1336" s="760">
        <f t="shared" si="43"/>
        <v>1613.9009665698029</v>
      </c>
      <c r="M1336" s="443"/>
    </row>
    <row r="1337" spans="1:13">
      <c r="A1337" s="640">
        <v>22513</v>
      </c>
      <c r="B1337" s="640">
        <v>1400</v>
      </c>
      <c r="C1337" s="638">
        <v>3692.8890000000001</v>
      </c>
      <c r="D1337" s="633">
        <f t="shared" si="42"/>
        <v>3692.8890000000001</v>
      </c>
      <c r="E1337" s="608"/>
      <c r="F1337" s="760">
        <f t="shared" si="43"/>
        <v>1558.0112748897991</v>
      </c>
      <c r="M1337" s="443"/>
    </row>
    <row r="1338" spans="1:13">
      <c r="A1338" s="640">
        <v>22513</v>
      </c>
      <c r="B1338" s="640">
        <v>1500</v>
      </c>
      <c r="C1338" s="638">
        <v>3781.9369999999999</v>
      </c>
      <c r="D1338" s="633">
        <f t="shared" si="42"/>
        <v>3781.9369999999999</v>
      </c>
      <c r="E1338" s="608"/>
      <c r="F1338" s="760">
        <f t="shared" si="43"/>
        <v>1595.5801777207228</v>
      </c>
      <c r="M1338" s="443"/>
    </row>
    <row r="1339" spans="1:13">
      <c r="A1339" s="640">
        <v>22513</v>
      </c>
      <c r="B1339" s="640">
        <v>1600</v>
      </c>
      <c r="C1339" s="638">
        <v>3918.6260000000002</v>
      </c>
      <c r="D1339" s="633">
        <f t="shared" si="42"/>
        <v>3918.6260000000002</v>
      </c>
      <c r="E1339" s="608"/>
      <c r="F1339" s="760">
        <f t="shared" si="43"/>
        <v>1653.2485785725794</v>
      </c>
      <c r="M1339" s="443"/>
    </row>
    <row r="1340" spans="1:13">
      <c r="A1340" s="640">
        <v>22513</v>
      </c>
      <c r="B1340" s="640">
        <v>1700</v>
      </c>
      <c r="C1340" s="638">
        <v>4191.8959999999997</v>
      </c>
      <c r="D1340" s="633">
        <f t="shared" si="42"/>
        <v>4191.8959999999997</v>
      </c>
      <c r="E1340" s="608"/>
      <c r="F1340" s="760">
        <f t="shared" si="43"/>
        <v>1768.5398156200874</v>
      </c>
      <c r="M1340" s="443"/>
    </row>
    <row r="1341" spans="1:13">
      <c r="A1341" s="640">
        <v>22513</v>
      </c>
      <c r="B1341" s="640">
        <v>1800</v>
      </c>
      <c r="C1341" s="638">
        <v>4558.9399999999996</v>
      </c>
      <c r="D1341" s="633">
        <f t="shared" si="42"/>
        <v>4558.9399999999996</v>
      </c>
      <c r="E1341" s="608"/>
      <c r="F1341" s="760">
        <f t="shared" si="43"/>
        <v>1923.3938311024515</v>
      </c>
      <c r="M1341" s="443"/>
    </row>
    <row r="1342" spans="1:13">
      <c r="A1342" s="640">
        <v>22513</v>
      </c>
      <c r="B1342" s="640">
        <v>1900</v>
      </c>
      <c r="C1342" s="638">
        <v>4944.7790000000005</v>
      </c>
      <c r="D1342" s="633">
        <f t="shared" si="42"/>
        <v>4944.7790000000005</v>
      </c>
      <c r="E1342" s="608"/>
      <c r="F1342" s="760">
        <f t="shared" si="43"/>
        <v>2086.177362449374</v>
      </c>
      <c r="M1342" s="443"/>
    </row>
    <row r="1343" spans="1:13">
      <c r="A1343" s="640">
        <v>22513</v>
      </c>
      <c r="B1343" s="640">
        <v>2000</v>
      </c>
      <c r="C1343" s="638">
        <v>5036.8609999999999</v>
      </c>
      <c r="D1343" s="633">
        <f t="shared" si="42"/>
        <v>5036.8609999999999</v>
      </c>
      <c r="E1343" s="608"/>
      <c r="F1343" s="760">
        <f t="shared" si="43"/>
        <v>2125.0262946036855</v>
      </c>
      <c r="M1343" s="443"/>
    </row>
    <row r="1344" spans="1:13">
      <c r="A1344" s="640">
        <v>22513</v>
      </c>
      <c r="B1344" s="640">
        <v>2100</v>
      </c>
      <c r="C1344" s="638">
        <v>4911.8190000000004</v>
      </c>
      <c r="D1344" s="633">
        <f t="shared" si="42"/>
        <v>4911.8190000000004</v>
      </c>
      <c r="E1344" s="608"/>
      <c r="F1344" s="760">
        <f t="shared" si="43"/>
        <v>2072.2717044075625</v>
      </c>
      <c r="M1344" s="443"/>
    </row>
    <row r="1345" spans="1:13">
      <c r="A1345" s="640">
        <v>22513</v>
      </c>
      <c r="B1345" s="640">
        <v>2200</v>
      </c>
      <c r="C1345" s="638">
        <v>4576.8440000000001</v>
      </c>
      <c r="D1345" s="633">
        <f t="shared" si="42"/>
        <v>4576.8440000000001</v>
      </c>
      <c r="E1345" s="608"/>
      <c r="F1345" s="760">
        <f t="shared" si="43"/>
        <v>1930.9474385533192</v>
      </c>
      <c r="M1345" s="443"/>
    </row>
    <row r="1346" spans="1:13">
      <c r="A1346" s="640">
        <v>22513</v>
      </c>
      <c r="B1346" s="640">
        <v>2300</v>
      </c>
      <c r="C1346" s="638">
        <v>4069.232</v>
      </c>
      <c r="D1346" s="633">
        <f t="shared" si="42"/>
        <v>4069.232</v>
      </c>
      <c r="E1346" s="608"/>
      <c r="F1346" s="760">
        <f t="shared" si="43"/>
        <v>1716.7884916504036</v>
      </c>
      <c r="M1346" s="443"/>
    </row>
    <row r="1347" spans="1:13">
      <c r="A1347" s="640">
        <v>22513</v>
      </c>
      <c r="B1347" s="640">
        <v>2400</v>
      </c>
      <c r="C1347" s="638">
        <v>3534.8119999999999</v>
      </c>
      <c r="D1347" s="633">
        <f t="shared" si="42"/>
        <v>3534.8119999999999</v>
      </c>
      <c r="E1347" s="608"/>
      <c r="F1347" s="760">
        <f t="shared" si="43"/>
        <v>1491.3193845295002</v>
      </c>
      <c r="M1347" s="443"/>
    </row>
    <row r="1348" spans="1:13">
      <c r="A1348" s="640">
        <v>22613</v>
      </c>
      <c r="B1348" s="640">
        <v>100</v>
      </c>
      <c r="C1348" s="638">
        <v>3306.7660000000001</v>
      </c>
      <c r="D1348" s="633">
        <f t="shared" si="42"/>
        <v>3306.7660000000001</v>
      </c>
      <c r="E1348" s="608"/>
      <c r="F1348" s="760">
        <f t="shared" si="43"/>
        <v>1395.1079253728562</v>
      </c>
      <c r="M1348" s="443"/>
    </row>
    <row r="1349" spans="1:13">
      <c r="A1349" s="640">
        <v>22613</v>
      </c>
      <c r="B1349" s="640">
        <v>200</v>
      </c>
      <c r="C1349" s="638">
        <v>3416.145</v>
      </c>
      <c r="D1349" s="633">
        <f t="shared" ref="D1349:D1412" si="44">C1349</f>
        <v>3416.145</v>
      </c>
      <c r="E1349" s="608"/>
      <c r="F1349" s="760">
        <f t="shared" si="43"/>
        <v>1441.2543747343645</v>
      </c>
      <c r="M1349" s="443"/>
    </row>
    <row r="1350" spans="1:13">
      <c r="A1350" s="640">
        <v>22613</v>
      </c>
      <c r="B1350" s="640">
        <v>300</v>
      </c>
      <c r="C1350" s="638">
        <v>3401.32</v>
      </c>
      <c r="D1350" s="633">
        <f t="shared" si="44"/>
        <v>3401.32</v>
      </c>
      <c r="E1350" s="608"/>
      <c r="F1350" s="760">
        <f t="shared" si="43"/>
        <v>1434.9997818803035</v>
      </c>
      <c r="M1350" s="443"/>
    </row>
    <row r="1351" spans="1:13">
      <c r="A1351" s="640">
        <v>22613</v>
      </c>
      <c r="B1351" s="640">
        <v>400</v>
      </c>
      <c r="C1351" s="638">
        <v>3418.5419999999999</v>
      </c>
      <c r="D1351" s="633">
        <f t="shared" si="44"/>
        <v>3418.5419999999999</v>
      </c>
      <c r="E1351" s="608"/>
      <c r="F1351" s="760">
        <f t="shared" si="43"/>
        <v>1442.2656569651358</v>
      </c>
      <c r="M1351" s="443"/>
    </row>
    <row r="1352" spans="1:13">
      <c r="A1352" s="640">
        <v>22613</v>
      </c>
      <c r="B1352" s="640">
        <v>500</v>
      </c>
      <c r="C1352" s="638">
        <v>3565.4259999999999</v>
      </c>
      <c r="D1352" s="633">
        <f t="shared" si="44"/>
        <v>3565.4259999999999</v>
      </c>
      <c r="E1352" s="608"/>
      <c r="F1352" s="760">
        <f t="shared" si="43"/>
        <v>1504.2352769837485</v>
      </c>
      <c r="M1352" s="443"/>
    </row>
    <row r="1353" spans="1:13">
      <c r="A1353" s="640">
        <v>22613</v>
      </c>
      <c r="B1353" s="640">
        <v>600</v>
      </c>
      <c r="C1353" s="638">
        <v>3948.4279999999999</v>
      </c>
      <c r="D1353" s="633">
        <f t="shared" si="44"/>
        <v>3948.4279999999999</v>
      </c>
      <c r="E1353" s="608"/>
      <c r="F1353" s="760">
        <f t="shared" si="43"/>
        <v>1665.8218923153606</v>
      </c>
      <c r="M1353" s="443"/>
    </row>
    <row r="1354" spans="1:13">
      <c r="A1354" s="640">
        <v>22613</v>
      </c>
      <c r="B1354" s="640">
        <v>700</v>
      </c>
      <c r="C1354" s="638">
        <v>4492.24</v>
      </c>
      <c r="D1354" s="633">
        <f t="shared" si="44"/>
        <v>4492.24</v>
      </c>
      <c r="E1354" s="608"/>
      <c r="F1354" s="760">
        <f t="shared" si="43"/>
        <v>1895.2534369462369</v>
      </c>
      <c r="M1354" s="443"/>
    </row>
    <row r="1355" spans="1:13">
      <c r="A1355" s="640">
        <v>22613</v>
      </c>
      <c r="B1355" s="640">
        <v>800</v>
      </c>
      <c r="C1355" s="638">
        <v>4529.1120000000001</v>
      </c>
      <c r="D1355" s="633">
        <f t="shared" si="44"/>
        <v>4529.1120000000001</v>
      </c>
      <c r="E1355" s="608"/>
      <c r="F1355" s="760">
        <f t="shared" si="43"/>
        <v>1910.809548090584</v>
      </c>
      <c r="M1355" s="443"/>
    </row>
    <row r="1356" spans="1:13">
      <c r="A1356" s="640">
        <v>22613</v>
      </c>
      <c r="B1356" s="640">
        <v>900</v>
      </c>
      <c r="C1356" s="638">
        <v>4106.8050000000003</v>
      </c>
      <c r="D1356" s="633">
        <f t="shared" si="44"/>
        <v>4106.8050000000003</v>
      </c>
      <c r="E1356" s="608"/>
      <c r="F1356" s="760">
        <f t="shared" si="43"/>
        <v>1732.6403511651181</v>
      </c>
      <c r="M1356" s="443"/>
    </row>
    <row r="1357" spans="1:13">
      <c r="A1357" s="640">
        <v>22613</v>
      </c>
      <c r="B1357" s="640">
        <v>1000</v>
      </c>
      <c r="C1357" s="638">
        <v>3895.3989999999999</v>
      </c>
      <c r="D1357" s="633">
        <f t="shared" si="44"/>
        <v>3895.3989999999999</v>
      </c>
      <c r="E1357" s="608"/>
      <c r="F1357" s="760">
        <f t="shared" si="43"/>
        <v>1643.4492242237579</v>
      </c>
      <c r="M1357" s="443"/>
    </row>
    <row r="1358" spans="1:13">
      <c r="A1358" s="640">
        <v>22613</v>
      </c>
      <c r="B1358" s="640">
        <v>1100</v>
      </c>
      <c r="C1358" s="638">
        <v>3694.4650000000001</v>
      </c>
      <c r="D1358" s="633">
        <f t="shared" si="44"/>
        <v>3694.4650000000001</v>
      </c>
      <c r="E1358" s="608"/>
      <c r="F1358" s="760">
        <f t="shared" si="43"/>
        <v>1558.6761813544199</v>
      </c>
      <c r="M1358" s="443"/>
    </row>
    <row r="1359" spans="1:13">
      <c r="A1359" s="640">
        <v>22613</v>
      </c>
      <c r="B1359" s="640">
        <v>1200</v>
      </c>
      <c r="C1359" s="638">
        <v>3605.3829999999998</v>
      </c>
      <c r="D1359" s="633">
        <f t="shared" si="44"/>
        <v>3605.3829999999998</v>
      </c>
      <c r="E1359" s="608"/>
      <c r="F1359" s="760">
        <f t="shared" si="43"/>
        <v>1521.0929340946909</v>
      </c>
      <c r="M1359" s="443"/>
    </row>
    <row r="1360" spans="1:13">
      <c r="A1360" s="640">
        <v>22613</v>
      </c>
      <c r="B1360" s="640">
        <v>1300</v>
      </c>
      <c r="C1360" s="638">
        <v>3538.6880000000001</v>
      </c>
      <c r="D1360" s="633">
        <f t="shared" si="44"/>
        <v>3538.6880000000001</v>
      </c>
      <c r="E1360" s="608"/>
      <c r="F1360" s="760">
        <f t="shared" si="43"/>
        <v>1492.9546494133006</v>
      </c>
      <c r="M1360" s="443"/>
    </row>
    <row r="1361" spans="1:13">
      <c r="A1361" s="640">
        <v>22613</v>
      </c>
      <c r="B1361" s="640">
        <v>1400</v>
      </c>
      <c r="C1361" s="638">
        <v>3559.0390000000002</v>
      </c>
      <c r="D1361" s="633">
        <f t="shared" si="44"/>
        <v>3559.0390000000002</v>
      </c>
      <c r="E1361" s="608"/>
      <c r="F1361" s="760">
        <f t="shared" si="43"/>
        <v>1501.5406338431826</v>
      </c>
      <c r="M1361" s="443"/>
    </row>
    <row r="1362" spans="1:13">
      <c r="A1362" s="640">
        <v>22613</v>
      </c>
      <c r="B1362" s="640">
        <v>1500</v>
      </c>
      <c r="C1362" s="638">
        <v>3573.989</v>
      </c>
      <c r="D1362" s="633">
        <f t="shared" si="44"/>
        <v>3573.989</v>
      </c>
      <c r="E1362" s="608"/>
      <c r="F1362" s="760">
        <f t="shared" si="43"/>
        <v>1507.8479635678514</v>
      </c>
      <c r="M1362" s="443"/>
    </row>
    <row r="1363" spans="1:13">
      <c r="A1363" s="640">
        <v>22613</v>
      </c>
      <c r="B1363" s="640">
        <v>1600</v>
      </c>
      <c r="C1363" s="638">
        <v>3865.047</v>
      </c>
      <c r="D1363" s="633">
        <f t="shared" si="44"/>
        <v>3865.047</v>
      </c>
      <c r="E1363" s="608"/>
      <c r="F1363" s="760">
        <f t="shared" si="43"/>
        <v>1630.6438682503033</v>
      </c>
      <c r="M1363" s="443"/>
    </row>
    <row r="1364" spans="1:13">
      <c r="A1364" s="640">
        <v>22613</v>
      </c>
      <c r="B1364" s="640">
        <v>1700</v>
      </c>
      <c r="C1364" s="638">
        <v>4298.4549999999999</v>
      </c>
      <c r="D1364" s="633">
        <f t="shared" si="44"/>
        <v>4298.4549999999999</v>
      </c>
      <c r="E1364" s="608"/>
      <c r="F1364" s="760">
        <f t="shared" si="43"/>
        <v>1813.4965211806884</v>
      </c>
      <c r="M1364" s="443"/>
    </row>
    <row r="1365" spans="1:13">
      <c r="A1365" s="640">
        <v>22613</v>
      </c>
      <c r="B1365" s="640">
        <v>1800</v>
      </c>
      <c r="C1365" s="638">
        <v>4639.9290000000001</v>
      </c>
      <c r="D1365" s="633">
        <f t="shared" si="44"/>
        <v>4639.9290000000001</v>
      </c>
      <c r="E1365" s="608"/>
      <c r="F1365" s="760">
        <f t="shared" si="43"/>
        <v>1957.5626824115623</v>
      </c>
      <c r="M1365" s="443"/>
    </row>
    <row r="1366" spans="1:13">
      <c r="A1366" s="640">
        <v>22613</v>
      </c>
      <c r="B1366" s="640">
        <v>1900</v>
      </c>
      <c r="C1366" s="638">
        <v>5161.2979999999998</v>
      </c>
      <c r="D1366" s="633">
        <f t="shared" si="44"/>
        <v>5161.2979999999998</v>
      </c>
      <c r="E1366" s="608"/>
      <c r="F1366" s="760">
        <f t="shared" si="43"/>
        <v>2177.5256383460674</v>
      </c>
      <c r="M1366" s="443"/>
    </row>
    <row r="1367" spans="1:13">
      <c r="A1367" s="640">
        <v>22613</v>
      </c>
      <c r="B1367" s="640">
        <v>2000</v>
      </c>
      <c r="C1367" s="638">
        <v>5157.6310000000003</v>
      </c>
      <c r="D1367" s="633">
        <f t="shared" si="44"/>
        <v>5157.6310000000003</v>
      </c>
      <c r="E1367" s="608"/>
      <c r="F1367" s="760">
        <f t="shared" si="43"/>
        <v>2175.9785495099231</v>
      </c>
      <c r="M1367" s="443"/>
    </row>
    <row r="1368" spans="1:13">
      <c r="A1368" s="640">
        <v>22613</v>
      </c>
      <c r="B1368" s="640">
        <v>2100</v>
      </c>
      <c r="C1368" s="638">
        <v>4971.9359999999997</v>
      </c>
      <c r="D1368" s="633">
        <f t="shared" si="44"/>
        <v>4971.9359999999997</v>
      </c>
      <c r="E1368" s="608"/>
      <c r="F1368" s="760">
        <f t="shared" si="43"/>
        <v>2097.6347640100985</v>
      </c>
      <c r="M1368" s="443"/>
    </row>
    <row r="1369" spans="1:13">
      <c r="A1369" s="640">
        <v>22613</v>
      </c>
      <c r="B1369" s="640">
        <v>2200</v>
      </c>
      <c r="C1369" s="638">
        <v>4706.473</v>
      </c>
      <c r="D1369" s="633">
        <f t="shared" si="44"/>
        <v>4706.473</v>
      </c>
      <c r="E1369" s="608"/>
      <c r="F1369" s="760">
        <f t="shared" si="43"/>
        <v>1985.6372609532584</v>
      </c>
      <c r="M1369" s="443"/>
    </row>
    <row r="1370" spans="1:13">
      <c r="A1370" s="640">
        <v>22613</v>
      </c>
      <c r="B1370" s="640">
        <v>2300</v>
      </c>
      <c r="C1370" s="638">
        <v>4212.5879999999997</v>
      </c>
      <c r="D1370" s="633">
        <f t="shared" si="44"/>
        <v>4212.5879999999997</v>
      </c>
      <c r="E1370" s="608"/>
      <c r="F1370" s="760">
        <f t="shared" si="43"/>
        <v>1777.269666232987</v>
      </c>
      <c r="M1370" s="443"/>
    </row>
    <row r="1371" spans="1:13">
      <c r="A1371" s="640">
        <v>22613</v>
      </c>
      <c r="B1371" s="640">
        <v>2400</v>
      </c>
      <c r="C1371" s="638">
        <v>3711.7669999999998</v>
      </c>
      <c r="D1371" s="633">
        <f t="shared" si="44"/>
        <v>3711.7669999999998</v>
      </c>
      <c r="E1371" s="608"/>
      <c r="F1371" s="760">
        <f t="shared" si="43"/>
        <v>1565.9758080364411</v>
      </c>
      <c r="M1371" s="443"/>
    </row>
    <row r="1372" spans="1:13">
      <c r="A1372" s="640">
        <v>22713</v>
      </c>
      <c r="B1372" s="640">
        <v>100</v>
      </c>
      <c r="C1372" s="638">
        <v>3371.0079999999998</v>
      </c>
      <c r="D1372" s="633">
        <f t="shared" si="44"/>
        <v>3371.0079999999998</v>
      </c>
      <c r="E1372" s="608"/>
      <c r="F1372" s="760">
        <f t="shared" si="43"/>
        <v>1422.211301705443</v>
      </c>
      <c r="M1372" s="443"/>
    </row>
    <row r="1373" spans="1:13">
      <c r="A1373" s="640">
        <v>22713</v>
      </c>
      <c r="B1373" s="640">
        <v>200</v>
      </c>
      <c r="C1373" s="638">
        <v>3382.8609999999999</v>
      </c>
      <c r="D1373" s="633">
        <f t="shared" si="44"/>
        <v>3382.8609999999999</v>
      </c>
      <c r="E1373" s="608"/>
      <c r="F1373" s="760">
        <f t="shared" si="43"/>
        <v>1427.2120227239382</v>
      </c>
      <c r="M1373" s="443"/>
    </row>
    <row r="1374" spans="1:13">
      <c r="A1374" s="640">
        <v>22713</v>
      </c>
      <c r="B1374" s="640">
        <v>300</v>
      </c>
      <c r="C1374" s="638">
        <v>3320.5149999999999</v>
      </c>
      <c r="D1374" s="633">
        <f t="shared" si="44"/>
        <v>3320.5149999999999</v>
      </c>
      <c r="E1374" s="608"/>
      <c r="F1374" s="760">
        <f t="shared" si="43"/>
        <v>1400.9085592447273</v>
      </c>
      <c r="M1374" s="443"/>
    </row>
    <row r="1375" spans="1:13">
      <c r="A1375" s="640">
        <v>22713</v>
      </c>
      <c r="B1375" s="640">
        <v>400</v>
      </c>
      <c r="C1375" s="638">
        <v>3386.1170000000002</v>
      </c>
      <c r="D1375" s="633">
        <f t="shared" si="44"/>
        <v>3386.1170000000002</v>
      </c>
      <c r="E1375" s="608"/>
      <c r="F1375" s="760">
        <f t="shared" si="43"/>
        <v>1428.5857127295249</v>
      </c>
      <c r="M1375" s="443"/>
    </row>
    <row r="1376" spans="1:13">
      <c r="A1376" s="640">
        <v>22713</v>
      </c>
      <c r="B1376" s="640">
        <v>500</v>
      </c>
      <c r="C1376" s="638">
        <v>3766.6439999999998</v>
      </c>
      <c r="D1376" s="633">
        <f t="shared" si="44"/>
        <v>3766.6439999999998</v>
      </c>
      <c r="E1376" s="608"/>
      <c r="F1376" s="760">
        <f t="shared" si="43"/>
        <v>1589.1281380231067</v>
      </c>
      <c r="M1376" s="443"/>
    </row>
    <row r="1377" spans="1:13">
      <c r="A1377" s="640">
        <v>22713</v>
      </c>
      <c r="B1377" s="640">
        <v>600</v>
      </c>
      <c r="C1377" s="638">
        <v>3997.3</v>
      </c>
      <c r="D1377" s="633">
        <f t="shared" si="44"/>
        <v>3997.3</v>
      </c>
      <c r="E1377" s="608"/>
      <c r="F1377" s="760">
        <f t="shared" si="43"/>
        <v>1686.4407430380372</v>
      </c>
      <c r="M1377" s="443"/>
    </row>
    <row r="1378" spans="1:13">
      <c r="A1378" s="640">
        <v>22713</v>
      </c>
      <c r="B1378" s="640">
        <v>700</v>
      </c>
      <c r="C1378" s="638">
        <v>4384.96</v>
      </c>
      <c r="D1378" s="633">
        <f t="shared" si="44"/>
        <v>4384.96</v>
      </c>
      <c r="E1378" s="608"/>
      <c r="F1378" s="760">
        <f t="shared" si="43"/>
        <v>1849.9925451159713</v>
      </c>
      <c r="M1378" s="443"/>
    </row>
    <row r="1379" spans="1:13">
      <c r="A1379" s="640">
        <v>22713</v>
      </c>
      <c r="B1379" s="640">
        <v>800</v>
      </c>
      <c r="C1379" s="638">
        <v>4406.51</v>
      </c>
      <c r="D1379" s="633">
        <f t="shared" si="44"/>
        <v>4406.51</v>
      </c>
      <c r="E1379" s="608"/>
      <c r="F1379" s="760">
        <f t="shared" si="43"/>
        <v>1859.0843816087215</v>
      </c>
      <c r="M1379" s="443"/>
    </row>
    <row r="1380" spans="1:13">
      <c r="A1380" s="640">
        <v>22713</v>
      </c>
      <c r="B1380" s="640">
        <v>900</v>
      </c>
      <c r="C1380" s="638">
        <v>4386.41</v>
      </c>
      <c r="D1380" s="633">
        <f t="shared" si="44"/>
        <v>4386.41</v>
      </c>
      <c r="E1380" s="608"/>
      <c r="F1380" s="760">
        <f t="shared" si="43"/>
        <v>1850.6042928150196</v>
      </c>
      <c r="M1380" s="443"/>
    </row>
    <row r="1381" spans="1:13">
      <c r="A1381" s="640">
        <v>22713</v>
      </c>
      <c r="B1381" s="640">
        <v>1000</v>
      </c>
      <c r="C1381" s="638">
        <v>4386.8100000000004</v>
      </c>
      <c r="D1381" s="633">
        <f t="shared" si="44"/>
        <v>4386.8100000000004</v>
      </c>
      <c r="E1381" s="608"/>
      <c r="F1381" s="760">
        <f t="shared" si="43"/>
        <v>1850.773050800964</v>
      </c>
      <c r="M1381" s="443"/>
    </row>
    <row r="1382" spans="1:13">
      <c r="A1382" s="640">
        <v>22713</v>
      </c>
      <c r="B1382" s="640">
        <v>1100</v>
      </c>
      <c r="C1382" s="638">
        <v>4127.6540000000005</v>
      </c>
      <c r="D1382" s="633">
        <f t="shared" si="44"/>
        <v>4127.6540000000005</v>
      </c>
      <c r="E1382" s="608"/>
      <c r="F1382" s="760">
        <f t="shared" si="43"/>
        <v>1741.4364392875011</v>
      </c>
      <c r="M1382" s="443"/>
    </row>
    <row r="1383" spans="1:13">
      <c r="A1383" s="640">
        <v>22713</v>
      </c>
      <c r="B1383" s="640">
        <v>1200</v>
      </c>
      <c r="C1383" s="638">
        <v>4183.7780000000002</v>
      </c>
      <c r="D1383" s="633">
        <f t="shared" si="44"/>
        <v>4183.7780000000002</v>
      </c>
      <c r="E1383" s="608"/>
      <c r="F1383" s="760">
        <f t="shared" si="43"/>
        <v>1765.1148722953478</v>
      </c>
      <c r="M1383" s="443"/>
    </row>
    <row r="1384" spans="1:13">
      <c r="A1384" s="640">
        <v>22713</v>
      </c>
      <c r="B1384" s="640">
        <v>1300</v>
      </c>
      <c r="C1384" s="638">
        <v>4178.2449999999999</v>
      </c>
      <c r="D1384" s="633">
        <f t="shared" si="44"/>
        <v>4178.2449999999999</v>
      </c>
      <c r="E1384" s="608"/>
      <c r="F1384" s="760">
        <f t="shared" si="43"/>
        <v>1762.7805274547732</v>
      </c>
      <c r="M1384" s="443"/>
    </row>
    <row r="1385" spans="1:13">
      <c r="A1385" s="640">
        <v>22713</v>
      </c>
      <c r="B1385" s="640">
        <v>1400</v>
      </c>
      <c r="C1385" s="638">
        <v>4018.3510000000001</v>
      </c>
      <c r="D1385" s="633">
        <f t="shared" si="44"/>
        <v>4018.3510000000001</v>
      </c>
      <c r="E1385" s="608"/>
      <c r="F1385" s="760">
        <f t="shared" si="43"/>
        <v>1695.3220539433219</v>
      </c>
      <c r="M1385" s="443"/>
    </row>
    <row r="1386" spans="1:13">
      <c r="A1386" s="640">
        <v>22713</v>
      </c>
      <c r="B1386" s="640">
        <v>1500</v>
      </c>
      <c r="C1386" s="638">
        <v>3978.66</v>
      </c>
      <c r="D1386" s="633">
        <f t="shared" si="44"/>
        <v>3978.66</v>
      </c>
      <c r="E1386" s="608"/>
      <c r="F1386" s="760">
        <f t="shared" si="43"/>
        <v>1678.576620893032</v>
      </c>
      <c r="M1386" s="443"/>
    </row>
    <row r="1387" spans="1:13">
      <c r="A1387" s="640">
        <v>22713</v>
      </c>
      <c r="B1387" s="640">
        <v>1600</v>
      </c>
      <c r="C1387" s="638">
        <v>4121.9040000000005</v>
      </c>
      <c r="D1387" s="633">
        <f t="shared" si="44"/>
        <v>4121.9040000000005</v>
      </c>
      <c r="E1387" s="608"/>
      <c r="F1387" s="760">
        <f t="shared" si="43"/>
        <v>1739.0105432395512</v>
      </c>
      <c r="M1387" s="443"/>
    </row>
    <row r="1388" spans="1:13">
      <c r="A1388" s="640">
        <v>22713</v>
      </c>
      <c r="B1388" s="640">
        <v>1700</v>
      </c>
      <c r="C1388" s="638">
        <v>4422.6459999999997</v>
      </c>
      <c r="D1388" s="633">
        <f t="shared" si="44"/>
        <v>4422.6459999999997</v>
      </c>
      <c r="E1388" s="608"/>
      <c r="F1388" s="760">
        <f t="shared" ref="F1388:F1443" si="45">(D1388/(MAX($D$748:$D$1443)))*$M$5</f>
        <v>1865.8920787617149</v>
      </c>
      <c r="M1388" s="443"/>
    </row>
    <row r="1389" spans="1:13">
      <c r="A1389" s="640">
        <v>22713</v>
      </c>
      <c r="B1389" s="640">
        <v>1800</v>
      </c>
      <c r="C1389" s="638">
        <v>4594.232</v>
      </c>
      <c r="D1389" s="633">
        <f t="shared" si="44"/>
        <v>4594.232</v>
      </c>
      <c r="E1389" s="608"/>
      <c r="F1389" s="760">
        <f t="shared" si="45"/>
        <v>1938.2833482023184</v>
      </c>
      <c r="M1389" s="443"/>
    </row>
    <row r="1390" spans="1:13">
      <c r="A1390" s="640">
        <v>22713</v>
      </c>
      <c r="B1390" s="640">
        <v>1900</v>
      </c>
      <c r="C1390" s="638">
        <v>4973.5730000000003</v>
      </c>
      <c r="D1390" s="633">
        <f t="shared" si="44"/>
        <v>4973.5730000000003</v>
      </c>
      <c r="E1390" s="608"/>
      <c r="F1390" s="760">
        <f t="shared" si="45"/>
        <v>2098.3254060675758</v>
      </c>
      <c r="M1390" s="443"/>
    </row>
    <row r="1391" spans="1:13">
      <c r="A1391" s="640">
        <v>22713</v>
      </c>
      <c r="B1391" s="640">
        <v>2000</v>
      </c>
      <c r="C1391" s="638">
        <v>5044.7079999999996</v>
      </c>
      <c r="D1391" s="633">
        <f t="shared" si="44"/>
        <v>5044.7079999999996</v>
      </c>
      <c r="E1391" s="608"/>
      <c r="F1391" s="760">
        <f t="shared" si="45"/>
        <v>2128.3369043929479</v>
      </c>
      <c r="M1391" s="443"/>
    </row>
    <row r="1392" spans="1:13">
      <c r="A1392" s="640">
        <v>22713</v>
      </c>
      <c r="B1392" s="640">
        <v>2100</v>
      </c>
      <c r="C1392" s="638">
        <v>4906.6779999999999</v>
      </c>
      <c r="D1392" s="633">
        <f t="shared" si="44"/>
        <v>4906.6779999999999</v>
      </c>
      <c r="E1392" s="608"/>
      <c r="F1392" s="760">
        <f t="shared" si="45"/>
        <v>2070.1027423932132</v>
      </c>
      <c r="M1392" s="443"/>
    </row>
    <row r="1393" spans="1:13">
      <c r="A1393" s="640">
        <v>22713</v>
      </c>
      <c r="B1393" s="640">
        <v>2200</v>
      </c>
      <c r="C1393" s="638">
        <v>4525.9030000000002</v>
      </c>
      <c r="D1393" s="633">
        <f t="shared" si="44"/>
        <v>4525.9030000000002</v>
      </c>
      <c r="E1393" s="608"/>
      <c r="F1393" s="760">
        <f t="shared" si="45"/>
        <v>1909.4556871483458</v>
      </c>
      <c r="M1393" s="443"/>
    </row>
    <row r="1394" spans="1:13">
      <c r="A1394" s="640">
        <v>22713</v>
      </c>
      <c r="B1394" s="640">
        <v>2300</v>
      </c>
      <c r="C1394" s="638">
        <v>3987.4169999999999</v>
      </c>
      <c r="D1394" s="633">
        <f t="shared" si="44"/>
        <v>3987.4169999999999</v>
      </c>
      <c r="E1394" s="608"/>
      <c r="F1394" s="760">
        <f t="shared" si="45"/>
        <v>1682.2711551003181</v>
      </c>
      <c r="M1394" s="443"/>
    </row>
    <row r="1395" spans="1:13">
      <c r="A1395" s="640">
        <v>22713</v>
      </c>
      <c r="B1395" s="640">
        <v>2400</v>
      </c>
      <c r="C1395" s="638">
        <v>3547.1669999999999</v>
      </c>
      <c r="D1395" s="633">
        <f t="shared" si="44"/>
        <v>3547.1669999999999</v>
      </c>
      <c r="E1395" s="608"/>
      <c r="F1395" s="760">
        <f t="shared" si="45"/>
        <v>1496.5318968203551</v>
      </c>
      <c r="M1395" s="443"/>
    </row>
    <row r="1396" spans="1:13">
      <c r="A1396" s="640">
        <v>22813</v>
      </c>
      <c r="B1396" s="640">
        <v>100</v>
      </c>
      <c r="C1396" s="638">
        <v>3376.9830000000002</v>
      </c>
      <c r="D1396" s="633">
        <f t="shared" si="44"/>
        <v>3376.9830000000002</v>
      </c>
      <c r="E1396" s="608"/>
      <c r="F1396" s="760">
        <f t="shared" si="45"/>
        <v>1424.7321241204866</v>
      </c>
      <c r="M1396" s="443"/>
    </row>
    <row r="1397" spans="1:13">
      <c r="A1397" s="640">
        <v>22813</v>
      </c>
      <c r="B1397" s="640">
        <v>200</v>
      </c>
      <c r="C1397" s="638">
        <v>3455.529</v>
      </c>
      <c r="D1397" s="633">
        <f t="shared" si="44"/>
        <v>3455.529</v>
      </c>
      <c r="E1397" s="608"/>
      <c r="F1397" s="760">
        <f t="shared" si="45"/>
        <v>1457.870286030442</v>
      </c>
      <c r="M1397" s="443"/>
    </row>
    <row r="1398" spans="1:13">
      <c r="A1398" s="640">
        <v>22813</v>
      </c>
      <c r="B1398" s="640">
        <v>300</v>
      </c>
      <c r="C1398" s="638">
        <v>3339.0729999999999</v>
      </c>
      <c r="D1398" s="633">
        <f t="shared" si="44"/>
        <v>3339.0729999999999</v>
      </c>
      <c r="E1398" s="608"/>
      <c r="F1398" s="760">
        <f t="shared" si="45"/>
        <v>1408.7380860026137</v>
      </c>
      <c r="M1398" s="443"/>
    </row>
    <row r="1399" spans="1:13">
      <c r="A1399" s="640">
        <v>22813</v>
      </c>
      <c r="B1399" s="640">
        <v>400</v>
      </c>
      <c r="C1399" s="638">
        <v>3321.308</v>
      </c>
      <c r="D1399" s="633">
        <f t="shared" si="44"/>
        <v>3321.308</v>
      </c>
      <c r="E1399" s="608"/>
      <c r="F1399" s="760">
        <f t="shared" si="45"/>
        <v>1401.2431219518619</v>
      </c>
      <c r="M1399" s="443"/>
    </row>
    <row r="1400" spans="1:13">
      <c r="A1400" s="640">
        <v>22813</v>
      </c>
      <c r="B1400" s="640">
        <v>500</v>
      </c>
      <c r="C1400" s="638">
        <v>3419.2820000000002</v>
      </c>
      <c r="D1400" s="633">
        <f t="shared" si="44"/>
        <v>3419.2820000000002</v>
      </c>
      <c r="E1400" s="608"/>
      <c r="F1400" s="760">
        <f t="shared" si="45"/>
        <v>1442.577859239133</v>
      </c>
      <c r="M1400" s="443"/>
    </row>
    <row r="1401" spans="1:13">
      <c r="A1401" s="640">
        <v>22813</v>
      </c>
      <c r="B1401" s="640">
        <v>600</v>
      </c>
      <c r="C1401" s="638">
        <v>3757.3040000000001</v>
      </c>
      <c r="D1401" s="633">
        <f t="shared" si="44"/>
        <v>3757.3040000000001</v>
      </c>
      <c r="E1401" s="608"/>
      <c r="F1401" s="760">
        <f t="shared" si="45"/>
        <v>1585.1876390513071</v>
      </c>
      <c r="M1401" s="443"/>
    </row>
    <row r="1402" spans="1:13">
      <c r="A1402" s="640">
        <v>22813</v>
      </c>
      <c r="B1402" s="640">
        <v>700</v>
      </c>
      <c r="C1402" s="638">
        <v>4332.9859999999999</v>
      </c>
      <c r="D1402" s="633">
        <f t="shared" si="44"/>
        <v>4332.9859999999999</v>
      </c>
      <c r="E1402" s="608"/>
      <c r="F1402" s="760">
        <f t="shared" si="45"/>
        <v>1828.0649762122964</v>
      </c>
      <c r="M1402" s="443"/>
    </row>
    <row r="1403" spans="1:13">
      <c r="A1403" s="640">
        <v>22813</v>
      </c>
      <c r="B1403" s="640">
        <v>800</v>
      </c>
      <c r="C1403" s="638">
        <v>4415.491</v>
      </c>
      <c r="D1403" s="633">
        <f t="shared" si="44"/>
        <v>4415.491</v>
      </c>
      <c r="E1403" s="608"/>
      <c r="F1403" s="760">
        <f t="shared" si="45"/>
        <v>1862.873420288136</v>
      </c>
      <c r="M1403" s="443"/>
    </row>
    <row r="1404" spans="1:13">
      <c r="A1404" s="640">
        <v>22813</v>
      </c>
      <c r="B1404" s="640">
        <v>900</v>
      </c>
      <c r="C1404" s="638">
        <v>4186.3010000000004</v>
      </c>
      <c r="D1404" s="633">
        <f t="shared" si="44"/>
        <v>4186.3010000000004</v>
      </c>
      <c r="E1404" s="608"/>
      <c r="F1404" s="760">
        <f t="shared" si="45"/>
        <v>1766.1793132916919</v>
      </c>
      <c r="M1404" s="443"/>
    </row>
    <row r="1405" spans="1:13">
      <c r="A1405" s="640">
        <v>22813</v>
      </c>
      <c r="B1405" s="640">
        <v>1000</v>
      </c>
      <c r="C1405" s="638">
        <v>3863.0650000000001</v>
      </c>
      <c r="D1405" s="633">
        <f t="shared" si="44"/>
        <v>3863.0650000000001</v>
      </c>
      <c r="E1405" s="608"/>
      <c r="F1405" s="760">
        <f t="shared" si="45"/>
        <v>1629.807672429949</v>
      </c>
      <c r="M1405" s="443"/>
    </row>
    <row r="1406" spans="1:13">
      <c r="A1406" s="640">
        <v>22813</v>
      </c>
      <c r="B1406" s="640">
        <v>1100</v>
      </c>
      <c r="C1406" s="638">
        <v>3780.1239999999998</v>
      </c>
      <c r="D1406" s="633">
        <f t="shared" si="44"/>
        <v>3780.1239999999998</v>
      </c>
      <c r="E1406" s="608"/>
      <c r="F1406" s="760">
        <f t="shared" si="45"/>
        <v>1594.8152821494302</v>
      </c>
      <c r="M1406" s="443"/>
    </row>
    <row r="1407" spans="1:13">
      <c r="A1407" s="640">
        <v>22813</v>
      </c>
      <c r="B1407" s="640">
        <v>1200</v>
      </c>
      <c r="C1407" s="638">
        <v>3718.578</v>
      </c>
      <c r="D1407" s="633">
        <f t="shared" si="44"/>
        <v>3718.578</v>
      </c>
      <c r="E1407" s="608"/>
      <c r="F1407" s="760">
        <f t="shared" si="45"/>
        <v>1568.849334642108</v>
      </c>
      <c r="M1407" s="443"/>
    </row>
    <row r="1408" spans="1:13">
      <c r="A1408" s="640">
        <v>22813</v>
      </c>
      <c r="B1408" s="640">
        <v>1300</v>
      </c>
      <c r="C1408" s="638">
        <v>3569.6570000000002</v>
      </c>
      <c r="D1408" s="633">
        <f t="shared" si="44"/>
        <v>3569.6570000000002</v>
      </c>
      <c r="E1408" s="608"/>
      <c r="F1408" s="760">
        <f t="shared" si="45"/>
        <v>1506.0203145800742</v>
      </c>
      <c r="M1408" s="443"/>
    </row>
    <row r="1409" spans="1:13">
      <c r="A1409" s="640">
        <v>22813</v>
      </c>
      <c r="B1409" s="640">
        <v>1400</v>
      </c>
      <c r="C1409" s="638">
        <v>3461.2689999999998</v>
      </c>
      <c r="D1409" s="633">
        <f t="shared" si="44"/>
        <v>3461.2689999999998</v>
      </c>
      <c r="E1409" s="608"/>
      <c r="F1409" s="760">
        <f t="shared" si="45"/>
        <v>1460.291963128743</v>
      </c>
      <c r="M1409" s="443"/>
    </row>
    <row r="1410" spans="1:13">
      <c r="A1410" s="640">
        <v>22813</v>
      </c>
      <c r="B1410" s="640">
        <v>1500</v>
      </c>
      <c r="C1410" s="638">
        <v>3531.6959999999999</v>
      </c>
      <c r="D1410" s="633">
        <f t="shared" si="44"/>
        <v>3531.6959999999999</v>
      </c>
      <c r="E1410" s="608"/>
      <c r="F1410" s="760">
        <f t="shared" si="45"/>
        <v>1490.0047598189938</v>
      </c>
      <c r="M1410" s="443"/>
    </row>
    <row r="1411" spans="1:13">
      <c r="A1411" s="640">
        <v>22813</v>
      </c>
      <c r="B1411" s="640">
        <v>1600</v>
      </c>
      <c r="C1411" s="638">
        <v>3726.8249999999998</v>
      </c>
      <c r="D1411" s="633">
        <f t="shared" si="44"/>
        <v>3726.8249999999998</v>
      </c>
      <c r="E1411" s="608"/>
      <c r="F1411" s="760">
        <f t="shared" si="45"/>
        <v>1572.3287024173148</v>
      </c>
      <c r="M1411" s="443"/>
    </row>
    <row r="1412" spans="1:13">
      <c r="A1412" s="640">
        <v>22813</v>
      </c>
      <c r="B1412" s="640">
        <v>1700</v>
      </c>
      <c r="C1412" s="638">
        <v>3932.99</v>
      </c>
      <c r="D1412" s="633">
        <f t="shared" si="44"/>
        <v>3932.99</v>
      </c>
      <c r="E1412" s="608"/>
      <c r="F1412" s="760">
        <f t="shared" si="45"/>
        <v>1659.3086778478398</v>
      </c>
      <c r="M1412" s="443"/>
    </row>
    <row r="1413" spans="1:13">
      <c r="A1413" s="640">
        <v>22813</v>
      </c>
      <c r="B1413" s="640">
        <v>1800</v>
      </c>
      <c r="C1413" s="638">
        <v>4315.759</v>
      </c>
      <c r="D1413" s="633">
        <f t="shared" ref="D1413:D1476" si="46">C1413</f>
        <v>4315.759</v>
      </c>
      <c r="E1413" s="608"/>
      <c r="F1413" s="760">
        <f t="shared" si="45"/>
        <v>1820.7969916526399</v>
      </c>
      <c r="M1413" s="443"/>
    </row>
    <row r="1414" spans="1:13">
      <c r="A1414" s="640">
        <v>22813</v>
      </c>
      <c r="B1414" s="640">
        <v>1900</v>
      </c>
      <c r="C1414" s="638">
        <v>4840.7139999999999</v>
      </c>
      <c r="D1414" s="633">
        <f t="shared" si="46"/>
        <v>4840.7139999999999</v>
      </c>
      <c r="E1414" s="608"/>
      <c r="F1414" s="760">
        <f t="shared" si="45"/>
        <v>2042.2728629311357</v>
      </c>
      <c r="M1414" s="443"/>
    </row>
    <row r="1415" spans="1:13">
      <c r="A1415" s="640">
        <v>22813</v>
      </c>
      <c r="B1415" s="640">
        <v>2000</v>
      </c>
      <c r="C1415" s="638">
        <v>4984.5690000000004</v>
      </c>
      <c r="D1415" s="633">
        <f t="shared" si="46"/>
        <v>4984.5690000000004</v>
      </c>
      <c r="E1415" s="608"/>
      <c r="F1415" s="760">
        <f t="shared" si="45"/>
        <v>2102.9645631011849</v>
      </c>
      <c r="M1415" s="443"/>
    </row>
    <row r="1416" spans="1:13">
      <c r="A1416" s="640">
        <v>22813</v>
      </c>
      <c r="B1416" s="640">
        <v>2100</v>
      </c>
      <c r="C1416" s="638">
        <v>4881.0649999999996</v>
      </c>
      <c r="D1416" s="633">
        <f t="shared" si="46"/>
        <v>4881.0649999999996</v>
      </c>
      <c r="E1416" s="608"/>
      <c r="F1416" s="760">
        <f t="shared" si="45"/>
        <v>2059.2967466582336</v>
      </c>
      <c r="M1416" s="443"/>
    </row>
    <row r="1417" spans="1:13">
      <c r="A1417" s="640">
        <v>22813</v>
      </c>
      <c r="B1417" s="640">
        <v>2200</v>
      </c>
      <c r="C1417" s="638">
        <v>4666.1819999999998</v>
      </c>
      <c r="D1417" s="633">
        <f t="shared" si="46"/>
        <v>4666.1819999999998</v>
      </c>
      <c r="E1417" s="608"/>
      <c r="F1417" s="760">
        <f t="shared" si="45"/>
        <v>1968.6386909240525</v>
      </c>
      <c r="M1417" s="443"/>
    </row>
    <row r="1418" spans="1:13">
      <c r="A1418" s="640">
        <v>22813</v>
      </c>
      <c r="B1418" s="640">
        <v>2300</v>
      </c>
      <c r="C1418" s="638">
        <v>4197.3050000000003</v>
      </c>
      <c r="D1418" s="633">
        <f t="shared" si="46"/>
        <v>4197.3050000000003</v>
      </c>
      <c r="E1418" s="608"/>
      <c r="F1418" s="760">
        <f t="shared" si="45"/>
        <v>1770.8218454850198</v>
      </c>
      <c r="M1418" s="443"/>
    </row>
    <row r="1419" spans="1:13">
      <c r="A1419" s="640">
        <v>22813</v>
      </c>
      <c r="B1419" s="640">
        <v>2400</v>
      </c>
      <c r="C1419" s="638">
        <v>3687.6280000000002</v>
      </c>
      <c r="D1419" s="633">
        <f t="shared" si="46"/>
        <v>3687.6280000000002</v>
      </c>
      <c r="E1419" s="608"/>
      <c r="F1419" s="760">
        <f t="shared" si="45"/>
        <v>1555.7916854796667</v>
      </c>
      <c r="M1419" s="443"/>
    </row>
    <row r="1420" spans="1:13">
      <c r="A1420" s="642"/>
      <c r="B1420" s="642"/>
      <c r="C1420" s="642"/>
      <c r="D1420" s="633">
        <f t="shared" si="46"/>
        <v>0</v>
      </c>
      <c r="E1420" s="608"/>
      <c r="F1420" s="760">
        <f t="shared" si="45"/>
        <v>0</v>
      </c>
      <c r="M1420" s="443"/>
    </row>
    <row r="1421" spans="1:13">
      <c r="A1421" s="642"/>
      <c r="B1421" s="642"/>
      <c r="C1421" s="642"/>
      <c r="D1421" s="633">
        <f t="shared" si="46"/>
        <v>0</v>
      </c>
      <c r="E1421" s="608"/>
      <c r="F1421" s="760">
        <f t="shared" si="45"/>
        <v>0</v>
      </c>
      <c r="M1421" s="443"/>
    </row>
    <row r="1422" spans="1:13">
      <c r="A1422" s="642"/>
      <c r="B1422" s="642"/>
      <c r="C1422" s="642"/>
      <c r="D1422" s="633">
        <f t="shared" si="46"/>
        <v>0</v>
      </c>
      <c r="E1422" s="608"/>
      <c r="F1422" s="760">
        <f t="shared" si="45"/>
        <v>0</v>
      </c>
      <c r="M1422" s="443"/>
    </row>
    <row r="1423" spans="1:13">
      <c r="A1423" s="642"/>
      <c r="B1423" s="642"/>
      <c r="C1423" s="642"/>
      <c r="D1423" s="633">
        <f t="shared" si="46"/>
        <v>0</v>
      </c>
      <c r="E1423" s="608"/>
      <c r="F1423" s="760">
        <f t="shared" si="45"/>
        <v>0</v>
      </c>
      <c r="M1423" s="443"/>
    </row>
    <row r="1424" spans="1:13">
      <c r="A1424" s="642"/>
      <c r="B1424" s="642"/>
      <c r="C1424" s="642"/>
      <c r="D1424" s="633">
        <f t="shared" si="46"/>
        <v>0</v>
      </c>
      <c r="E1424" s="608"/>
      <c r="F1424" s="760">
        <f t="shared" si="45"/>
        <v>0</v>
      </c>
      <c r="M1424" s="443"/>
    </row>
    <row r="1425" spans="1:13">
      <c r="A1425" s="642"/>
      <c r="B1425" s="642"/>
      <c r="C1425" s="642"/>
      <c r="D1425" s="633">
        <f t="shared" si="46"/>
        <v>0</v>
      </c>
      <c r="E1425" s="608"/>
      <c r="F1425" s="760">
        <f t="shared" si="45"/>
        <v>0</v>
      </c>
      <c r="M1425" s="443"/>
    </row>
    <row r="1426" spans="1:13">
      <c r="A1426" s="642"/>
      <c r="B1426" s="642"/>
      <c r="C1426" s="642"/>
      <c r="D1426" s="633">
        <f t="shared" si="46"/>
        <v>0</v>
      </c>
      <c r="E1426" s="608"/>
      <c r="F1426" s="760">
        <f t="shared" si="45"/>
        <v>0</v>
      </c>
      <c r="M1426" s="443"/>
    </row>
    <row r="1427" spans="1:13">
      <c r="A1427" s="642"/>
      <c r="B1427" s="642"/>
      <c r="C1427" s="642"/>
      <c r="D1427" s="633">
        <f t="shared" si="46"/>
        <v>0</v>
      </c>
      <c r="E1427" s="608"/>
      <c r="F1427" s="760">
        <f t="shared" si="45"/>
        <v>0</v>
      </c>
      <c r="M1427" s="443"/>
    </row>
    <row r="1428" spans="1:13">
      <c r="A1428" s="642"/>
      <c r="B1428" s="642"/>
      <c r="C1428" s="642"/>
      <c r="D1428" s="633">
        <f t="shared" si="46"/>
        <v>0</v>
      </c>
      <c r="E1428" s="608"/>
      <c r="F1428" s="760">
        <f t="shared" si="45"/>
        <v>0</v>
      </c>
      <c r="M1428" s="443"/>
    </row>
    <row r="1429" spans="1:13">
      <c r="A1429" s="642"/>
      <c r="B1429" s="642"/>
      <c r="C1429" s="642"/>
      <c r="D1429" s="633">
        <f t="shared" si="46"/>
        <v>0</v>
      </c>
      <c r="E1429" s="608"/>
      <c r="F1429" s="760">
        <f t="shared" si="45"/>
        <v>0</v>
      </c>
      <c r="M1429" s="443"/>
    </row>
    <row r="1430" spans="1:13">
      <c r="A1430" s="642"/>
      <c r="B1430" s="642"/>
      <c r="C1430" s="642"/>
      <c r="D1430" s="633">
        <f t="shared" si="46"/>
        <v>0</v>
      </c>
      <c r="E1430" s="608"/>
      <c r="F1430" s="760">
        <f t="shared" si="45"/>
        <v>0</v>
      </c>
      <c r="M1430" s="443"/>
    </row>
    <row r="1431" spans="1:13">
      <c r="A1431" s="642"/>
      <c r="B1431" s="642"/>
      <c r="C1431" s="642"/>
      <c r="D1431" s="633">
        <f t="shared" si="46"/>
        <v>0</v>
      </c>
      <c r="E1431" s="608"/>
      <c r="F1431" s="760">
        <f t="shared" si="45"/>
        <v>0</v>
      </c>
      <c r="M1431" s="443"/>
    </row>
    <row r="1432" spans="1:13">
      <c r="A1432" s="642"/>
      <c r="B1432" s="642"/>
      <c r="C1432" s="642"/>
      <c r="D1432" s="633">
        <f t="shared" si="46"/>
        <v>0</v>
      </c>
      <c r="E1432" s="608"/>
      <c r="F1432" s="760">
        <f t="shared" si="45"/>
        <v>0</v>
      </c>
      <c r="M1432" s="443"/>
    </row>
    <row r="1433" spans="1:13">
      <c r="A1433" s="642"/>
      <c r="B1433" s="642"/>
      <c r="C1433" s="642"/>
      <c r="D1433" s="633">
        <f t="shared" si="46"/>
        <v>0</v>
      </c>
      <c r="E1433" s="608"/>
      <c r="F1433" s="760">
        <f t="shared" si="45"/>
        <v>0</v>
      </c>
      <c r="M1433" s="443"/>
    </row>
    <row r="1434" spans="1:13">
      <c r="A1434" s="642"/>
      <c r="B1434" s="642"/>
      <c r="C1434" s="642"/>
      <c r="D1434" s="633">
        <f t="shared" si="46"/>
        <v>0</v>
      </c>
      <c r="E1434" s="608"/>
      <c r="F1434" s="760">
        <f t="shared" si="45"/>
        <v>0</v>
      </c>
      <c r="M1434" s="443"/>
    </row>
    <row r="1435" spans="1:13">
      <c r="A1435" s="642"/>
      <c r="B1435" s="642"/>
      <c r="C1435" s="642"/>
      <c r="D1435" s="633">
        <f t="shared" si="46"/>
        <v>0</v>
      </c>
      <c r="E1435" s="608"/>
      <c r="F1435" s="760">
        <f t="shared" si="45"/>
        <v>0</v>
      </c>
      <c r="M1435" s="443"/>
    </row>
    <row r="1436" spans="1:13">
      <c r="A1436" s="642"/>
      <c r="B1436" s="642"/>
      <c r="C1436" s="642"/>
      <c r="D1436" s="633">
        <f t="shared" si="46"/>
        <v>0</v>
      </c>
      <c r="E1436" s="608"/>
      <c r="F1436" s="760">
        <f t="shared" si="45"/>
        <v>0</v>
      </c>
      <c r="M1436" s="443"/>
    </row>
    <row r="1437" spans="1:13">
      <c r="A1437" s="642"/>
      <c r="B1437" s="642"/>
      <c r="C1437" s="642"/>
      <c r="D1437" s="633">
        <f t="shared" si="46"/>
        <v>0</v>
      </c>
      <c r="E1437" s="608"/>
      <c r="F1437" s="760">
        <f t="shared" si="45"/>
        <v>0</v>
      </c>
      <c r="M1437" s="443"/>
    </row>
    <row r="1438" spans="1:13">
      <c r="A1438" s="642"/>
      <c r="B1438" s="642"/>
      <c r="C1438" s="642"/>
      <c r="D1438" s="633">
        <f t="shared" si="46"/>
        <v>0</v>
      </c>
      <c r="E1438" s="608"/>
      <c r="F1438" s="760">
        <f t="shared" si="45"/>
        <v>0</v>
      </c>
      <c r="M1438" s="443"/>
    </row>
    <row r="1439" spans="1:13">
      <c r="A1439" s="642"/>
      <c r="B1439" s="642"/>
      <c r="C1439" s="642"/>
      <c r="D1439" s="633">
        <f t="shared" si="46"/>
        <v>0</v>
      </c>
      <c r="E1439" s="608"/>
      <c r="F1439" s="760">
        <f t="shared" si="45"/>
        <v>0</v>
      </c>
      <c r="M1439" s="443"/>
    </row>
    <row r="1440" spans="1:13">
      <c r="A1440" s="642"/>
      <c r="B1440" s="642"/>
      <c r="C1440" s="642"/>
      <c r="D1440" s="633">
        <f t="shared" si="46"/>
        <v>0</v>
      </c>
      <c r="E1440" s="608"/>
      <c r="F1440" s="760">
        <f t="shared" si="45"/>
        <v>0</v>
      </c>
      <c r="M1440" s="443"/>
    </row>
    <row r="1441" spans="1:13">
      <c r="A1441" s="642"/>
      <c r="B1441" s="642"/>
      <c r="C1441" s="642"/>
      <c r="D1441" s="633">
        <f t="shared" si="46"/>
        <v>0</v>
      </c>
      <c r="E1441" s="608"/>
      <c r="F1441" s="760">
        <f t="shared" si="45"/>
        <v>0</v>
      </c>
      <c r="M1441" s="443"/>
    </row>
    <row r="1442" spans="1:13">
      <c r="A1442" s="642"/>
      <c r="B1442" s="642"/>
      <c r="C1442" s="642"/>
      <c r="D1442" s="633">
        <f t="shared" si="46"/>
        <v>0</v>
      </c>
      <c r="E1442" s="608"/>
      <c r="F1442" s="760">
        <f t="shared" si="45"/>
        <v>0</v>
      </c>
      <c r="M1442" s="443"/>
    </row>
    <row r="1443" spans="1:13">
      <c r="A1443" s="641"/>
      <c r="B1443" s="641"/>
      <c r="C1443" s="641"/>
      <c r="D1443" s="633">
        <f t="shared" si="46"/>
        <v>0</v>
      </c>
      <c r="E1443" s="608"/>
      <c r="F1443" s="760">
        <f t="shared" si="45"/>
        <v>0</v>
      </c>
      <c r="M1443" s="443"/>
    </row>
    <row r="1444" spans="1:13">
      <c r="A1444" s="639">
        <v>30113</v>
      </c>
      <c r="B1444" s="639">
        <v>100</v>
      </c>
      <c r="C1444" s="638">
        <v>3516.223</v>
      </c>
      <c r="D1444" s="633">
        <f t="shared" si="46"/>
        <v>3516.223</v>
      </c>
      <c r="E1444" s="608"/>
      <c r="F1444" s="760">
        <f t="shared" ref="F1444:F1507" si="47">(D1444/(MAX($D$1444:$D$2187)))*$M$6</f>
        <v>1483.4767790277026</v>
      </c>
      <c r="M1444" s="443"/>
    </row>
    <row r="1445" spans="1:13">
      <c r="A1445" s="639">
        <v>30113</v>
      </c>
      <c r="B1445" s="639">
        <v>200</v>
      </c>
      <c r="C1445" s="638">
        <v>3576.21</v>
      </c>
      <c r="D1445" s="633">
        <f t="shared" si="46"/>
        <v>3576.21</v>
      </c>
      <c r="E1445" s="608"/>
      <c r="F1445" s="760">
        <f t="shared" si="47"/>
        <v>1508.784992284807</v>
      </c>
      <c r="M1445" s="443"/>
    </row>
    <row r="1446" spans="1:13">
      <c r="A1446" s="639">
        <v>30113</v>
      </c>
      <c r="B1446" s="639">
        <v>300</v>
      </c>
      <c r="C1446" s="638">
        <v>3527.73</v>
      </c>
      <c r="D1446" s="633">
        <f t="shared" si="46"/>
        <v>3527.73</v>
      </c>
      <c r="E1446" s="608"/>
      <c r="F1446" s="760">
        <f t="shared" si="47"/>
        <v>1488.331524388356</v>
      </c>
      <c r="M1446" s="443"/>
    </row>
    <row r="1447" spans="1:13">
      <c r="A1447" s="639">
        <v>30113</v>
      </c>
      <c r="B1447" s="639">
        <v>400</v>
      </c>
      <c r="C1447" s="638">
        <v>3498.5520000000001</v>
      </c>
      <c r="D1447" s="633">
        <f t="shared" si="46"/>
        <v>3498.5520000000001</v>
      </c>
      <c r="E1447" s="608"/>
      <c r="F1447" s="760">
        <f t="shared" si="47"/>
        <v>1476.0214731036476</v>
      </c>
      <c r="M1447" s="443"/>
    </row>
    <row r="1448" spans="1:13">
      <c r="A1448" s="639">
        <v>30113</v>
      </c>
      <c r="B1448" s="639">
        <v>500</v>
      </c>
      <c r="C1448" s="638">
        <v>3667.808</v>
      </c>
      <c r="D1448" s="633">
        <f t="shared" si="46"/>
        <v>3667.808</v>
      </c>
      <c r="E1448" s="608"/>
      <c r="F1448" s="760">
        <f t="shared" si="47"/>
        <v>1547.4297272761255</v>
      </c>
      <c r="M1448" s="443"/>
    </row>
    <row r="1449" spans="1:13">
      <c r="A1449" s="639">
        <v>30113</v>
      </c>
      <c r="B1449" s="639">
        <v>600</v>
      </c>
      <c r="C1449" s="638">
        <v>3958.413</v>
      </c>
      <c r="D1449" s="633">
        <f t="shared" si="46"/>
        <v>3958.413</v>
      </c>
      <c r="E1449" s="608"/>
      <c r="F1449" s="760">
        <f t="shared" si="47"/>
        <v>1670.0345135394955</v>
      </c>
      <c r="M1449" s="443"/>
    </row>
    <row r="1450" spans="1:13">
      <c r="A1450" s="639">
        <v>30113</v>
      </c>
      <c r="B1450" s="639">
        <v>700</v>
      </c>
      <c r="C1450" s="638">
        <v>4597.8249999999998</v>
      </c>
      <c r="D1450" s="633">
        <f t="shared" si="46"/>
        <v>4597.8249999999998</v>
      </c>
      <c r="E1450" s="608"/>
      <c r="F1450" s="760">
        <f t="shared" si="47"/>
        <v>1939.7992168110632</v>
      </c>
      <c r="M1450" s="443"/>
    </row>
    <row r="1451" spans="1:13">
      <c r="A1451" s="639">
        <v>30113</v>
      </c>
      <c r="B1451" s="639">
        <v>800</v>
      </c>
      <c r="C1451" s="638">
        <v>4756.0919999999996</v>
      </c>
      <c r="D1451" s="633">
        <f t="shared" si="46"/>
        <v>4756.0919999999996</v>
      </c>
      <c r="E1451" s="608"/>
      <c r="F1451" s="760">
        <f t="shared" si="47"/>
        <v>2006.5712672146858</v>
      </c>
      <c r="M1451" s="443"/>
    </row>
    <row r="1452" spans="1:13">
      <c r="A1452" s="639">
        <v>30113</v>
      </c>
      <c r="B1452" s="639">
        <v>900</v>
      </c>
      <c r="C1452" s="638">
        <v>4499.9430000000002</v>
      </c>
      <c r="D1452" s="633">
        <f t="shared" si="46"/>
        <v>4499.9430000000002</v>
      </c>
      <c r="E1452" s="608"/>
      <c r="F1452" s="760">
        <f t="shared" si="47"/>
        <v>1898.5032938605596</v>
      </c>
      <c r="M1452" s="443"/>
    </row>
    <row r="1453" spans="1:13">
      <c r="A1453" s="639">
        <v>30113</v>
      </c>
      <c r="B1453" s="639">
        <v>1000</v>
      </c>
      <c r="C1453" s="638">
        <v>4159.9179999999997</v>
      </c>
      <c r="D1453" s="633">
        <f t="shared" si="46"/>
        <v>4159.9179999999997</v>
      </c>
      <c r="E1453" s="608"/>
      <c r="F1453" s="760">
        <f t="shared" si="47"/>
        <v>1755.0484584337689</v>
      </c>
      <c r="M1453" s="443"/>
    </row>
    <row r="1454" spans="1:13">
      <c r="A1454" s="639">
        <v>30113</v>
      </c>
      <c r="B1454" s="639">
        <v>1100</v>
      </c>
      <c r="C1454" s="638">
        <v>4030.239</v>
      </c>
      <c r="D1454" s="633">
        <f t="shared" si="46"/>
        <v>4030.239</v>
      </c>
      <c r="E1454" s="608"/>
      <c r="F1454" s="760">
        <f t="shared" si="47"/>
        <v>1700.3375412855867</v>
      </c>
      <c r="M1454" s="443"/>
    </row>
    <row r="1455" spans="1:13">
      <c r="A1455" s="639">
        <v>30113</v>
      </c>
      <c r="B1455" s="639">
        <v>1200</v>
      </c>
      <c r="C1455" s="638">
        <v>3946.873</v>
      </c>
      <c r="D1455" s="633">
        <f t="shared" si="46"/>
        <v>3946.873</v>
      </c>
      <c r="E1455" s="608"/>
      <c r="F1455" s="760">
        <f t="shared" si="47"/>
        <v>1665.165845645002</v>
      </c>
      <c r="M1455" s="443"/>
    </row>
    <row r="1456" spans="1:13">
      <c r="A1456" s="639">
        <v>30113</v>
      </c>
      <c r="B1456" s="639">
        <v>1300</v>
      </c>
      <c r="C1456" s="638">
        <v>3747.654</v>
      </c>
      <c r="D1456" s="633">
        <f t="shared" si="46"/>
        <v>3747.654</v>
      </c>
      <c r="E1456" s="608"/>
      <c r="F1456" s="760">
        <f t="shared" si="47"/>
        <v>1581.1163526404002</v>
      </c>
      <c r="M1456" s="443"/>
    </row>
    <row r="1457" spans="1:13">
      <c r="A1457" s="639">
        <v>30113</v>
      </c>
      <c r="B1457" s="639">
        <v>1400</v>
      </c>
      <c r="C1457" s="638">
        <v>3728.6680000000001</v>
      </c>
      <c r="D1457" s="633">
        <f t="shared" si="46"/>
        <v>3728.6680000000001</v>
      </c>
      <c r="E1457" s="608"/>
      <c r="F1457" s="760">
        <f t="shared" si="47"/>
        <v>1573.1062548375533</v>
      </c>
      <c r="M1457" s="443"/>
    </row>
    <row r="1458" spans="1:13">
      <c r="A1458" s="639">
        <v>30113</v>
      </c>
      <c r="B1458" s="639">
        <v>1500</v>
      </c>
      <c r="C1458" s="638">
        <v>3646.442</v>
      </c>
      <c r="D1458" s="633">
        <f t="shared" si="46"/>
        <v>3646.442</v>
      </c>
      <c r="E1458" s="608"/>
      <c r="F1458" s="760">
        <f t="shared" si="47"/>
        <v>1538.4155194569098</v>
      </c>
      <c r="M1458" s="443"/>
    </row>
    <row r="1459" spans="1:13">
      <c r="A1459" s="639">
        <v>30113</v>
      </c>
      <c r="B1459" s="639">
        <v>1600</v>
      </c>
      <c r="C1459" s="638">
        <v>3778.232</v>
      </c>
      <c r="D1459" s="633">
        <f t="shared" si="46"/>
        <v>3778.232</v>
      </c>
      <c r="E1459" s="608"/>
      <c r="F1459" s="760">
        <f t="shared" si="47"/>
        <v>1594.0170568759136</v>
      </c>
      <c r="M1459" s="443"/>
    </row>
    <row r="1460" spans="1:13">
      <c r="A1460" s="639">
        <v>30113</v>
      </c>
      <c r="B1460" s="639">
        <v>1700</v>
      </c>
      <c r="C1460" s="638">
        <v>3979.4670000000001</v>
      </c>
      <c r="D1460" s="633">
        <f t="shared" si="46"/>
        <v>3979.4670000000001</v>
      </c>
      <c r="E1460" s="608"/>
      <c r="F1460" s="760">
        <f t="shared" si="47"/>
        <v>1678.9170901296748</v>
      </c>
      <c r="M1460" s="443"/>
    </row>
    <row r="1461" spans="1:13">
      <c r="A1461" s="639">
        <v>30113</v>
      </c>
      <c r="B1461" s="639">
        <v>1800</v>
      </c>
      <c r="C1461" s="638">
        <v>4300.3130000000001</v>
      </c>
      <c r="D1461" s="633">
        <f t="shared" si="46"/>
        <v>4300.3130000000001</v>
      </c>
      <c r="E1461" s="608"/>
      <c r="F1461" s="760">
        <f t="shared" si="47"/>
        <v>1814.2804020253998</v>
      </c>
      <c r="M1461" s="443"/>
    </row>
    <row r="1462" spans="1:13">
      <c r="A1462" s="639">
        <v>30113</v>
      </c>
      <c r="B1462" s="639">
        <v>1900</v>
      </c>
      <c r="C1462" s="638">
        <v>4893.0309999999999</v>
      </c>
      <c r="D1462" s="633">
        <f t="shared" si="46"/>
        <v>4893.0309999999999</v>
      </c>
      <c r="E1462" s="608"/>
      <c r="F1462" s="760">
        <f t="shared" si="47"/>
        <v>2064.3451418077575</v>
      </c>
      <c r="M1462" s="443"/>
    </row>
    <row r="1463" spans="1:13">
      <c r="A1463" s="639">
        <v>30113</v>
      </c>
      <c r="B1463" s="639">
        <v>2000</v>
      </c>
      <c r="C1463" s="638">
        <v>5118.1350000000002</v>
      </c>
      <c r="D1463" s="633">
        <f t="shared" si="46"/>
        <v>5118.1350000000002</v>
      </c>
      <c r="E1463" s="608"/>
      <c r="F1463" s="760">
        <f t="shared" si="47"/>
        <v>2159.3153859777813</v>
      </c>
      <c r="M1463" s="443"/>
    </row>
    <row r="1464" spans="1:13">
      <c r="A1464" s="639">
        <v>30113</v>
      </c>
      <c r="B1464" s="639">
        <v>2100</v>
      </c>
      <c r="C1464" s="638">
        <v>5037.0870000000004</v>
      </c>
      <c r="D1464" s="633">
        <f t="shared" si="46"/>
        <v>5037.0870000000004</v>
      </c>
      <c r="E1464" s="608"/>
      <c r="F1464" s="760">
        <f t="shared" si="47"/>
        <v>2125.121642865744</v>
      </c>
      <c r="M1464" s="443"/>
    </row>
    <row r="1465" spans="1:13">
      <c r="A1465" s="639">
        <v>30113</v>
      </c>
      <c r="B1465" s="639">
        <v>2200</v>
      </c>
      <c r="C1465" s="638">
        <v>4847.4930000000004</v>
      </c>
      <c r="D1465" s="633">
        <f t="shared" si="46"/>
        <v>4847.4930000000004</v>
      </c>
      <c r="E1465" s="608"/>
      <c r="F1465" s="760">
        <f t="shared" si="47"/>
        <v>2045.1328888979272</v>
      </c>
      <c r="M1465" s="443"/>
    </row>
    <row r="1466" spans="1:13">
      <c r="A1466" s="639">
        <v>30113</v>
      </c>
      <c r="B1466" s="639">
        <v>2300</v>
      </c>
      <c r="C1466" s="638">
        <v>4495.4160000000002</v>
      </c>
      <c r="D1466" s="633">
        <f t="shared" si="46"/>
        <v>4495.4160000000002</v>
      </c>
      <c r="E1466" s="608"/>
      <c r="F1466" s="760">
        <f t="shared" si="47"/>
        <v>1896.5933753546346</v>
      </c>
      <c r="M1466" s="443"/>
    </row>
    <row r="1467" spans="1:13">
      <c r="A1467" s="639">
        <v>30113</v>
      </c>
      <c r="B1467" s="639">
        <v>2400</v>
      </c>
      <c r="C1467" s="638">
        <v>4065.4340000000002</v>
      </c>
      <c r="D1467" s="633">
        <f t="shared" si="46"/>
        <v>4065.4340000000002</v>
      </c>
      <c r="E1467" s="608"/>
      <c r="F1467" s="760">
        <f t="shared" si="47"/>
        <v>1715.1861345738623</v>
      </c>
      <c r="M1467" s="443"/>
    </row>
    <row r="1468" spans="1:13">
      <c r="A1468" s="639">
        <v>30213</v>
      </c>
      <c r="B1468" s="639">
        <v>100</v>
      </c>
      <c r="C1468" s="638">
        <v>3844.7260000000001</v>
      </c>
      <c r="D1468" s="633">
        <f t="shared" si="46"/>
        <v>3844.7260000000001</v>
      </c>
      <c r="E1468" s="608"/>
      <c r="F1468" s="760">
        <f t="shared" si="47"/>
        <v>1622.0705406693671</v>
      </c>
      <c r="M1468" s="443"/>
    </row>
    <row r="1469" spans="1:13">
      <c r="A1469" s="639">
        <v>30213</v>
      </c>
      <c r="B1469" s="639">
        <v>200</v>
      </c>
      <c r="C1469" s="638">
        <v>3903.681</v>
      </c>
      <c r="D1469" s="633">
        <f t="shared" si="46"/>
        <v>3903.681</v>
      </c>
      <c r="E1469" s="608"/>
      <c r="F1469" s="760">
        <f t="shared" si="47"/>
        <v>1646.9433583227349</v>
      </c>
      <c r="M1469" s="443"/>
    </row>
    <row r="1470" spans="1:13">
      <c r="A1470" s="639">
        <v>30213</v>
      </c>
      <c r="B1470" s="639">
        <v>300</v>
      </c>
      <c r="C1470" s="638">
        <v>3800.1770000000001</v>
      </c>
      <c r="D1470" s="633">
        <f t="shared" si="46"/>
        <v>3800.1770000000001</v>
      </c>
      <c r="E1470" s="608"/>
      <c r="F1470" s="760">
        <f t="shared" si="47"/>
        <v>1603.2755418797835</v>
      </c>
      <c r="M1470" s="443"/>
    </row>
    <row r="1471" spans="1:13">
      <c r="A1471" s="639">
        <v>30213</v>
      </c>
      <c r="B1471" s="639">
        <v>400</v>
      </c>
      <c r="C1471" s="638">
        <v>3800.7289999999998</v>
      </c>
      <c r="D1471" s="633">
        <f t="shared" si="46"/>
        <v>3800.7289999999998</v>
      </c>
      <c r="E1471" s="608"/>
      <c r="F1471" s="760">
        <f t="shared" si="47"/>
        <v>1603.5084279003868</v>
      </c>
      <c r="M1471" s="443"/>
    </row>
    <row r="1472" spans="1:13">
      <c r="A1472" s="639">
        <v>30213</v>
      </c>
      <c r="B1472" s="639">
        <v>500</v>
      </c>
      <c r="C1472" s="638">
        <v>3881.739</v>
      </c>
      <c r="D1472" s="633">
        <f t="shared" si="46"/>
        <v>3881.739</v>
      </c>
      <c r="E1472" s="608"/>
      <c r="F1472" s="760">
        <f t="shared" si="47"/>
        <v>1637.6861390037593</v>
      </c>
      <c r="M1472" s="443"/>
    </row>
    <row r="1473" spans="1:13">
      <c r="A1473" s="639">
        <v>30213</v>
      </c>
      <c r="B1473" s="639">
        <v>600</v>
      </c>
      <c r="C1473" s="638">
        <v>4002.0509999999999</v>
      </c>
      <c r="D1473" s="633">
        <f t="shared" si="46"/>
        <v>4002.0509999999999</v>
      </c>
      <c r="E1473" s="608"/>
      <c r="F1473" s="760">
        <f t="shared" si="47"/>
        <v>1688.4451660160908</v>
      </c>
      <c r="M1473" s="443"/>
    </row>
    <row r="1474" spans="1:13">
      <c r="A1474" s="639">
        <v>30213</v>
      </c>
      <c r="B1474" s="639">
        <v>700</v>
      </c>
      <c r="C1474" s="638">
        <v>4236.0810000000001</v>
      </c>
      <c r="D1474" s="633">
        <f t="shared" si="46"/>
        <v>4236.0810000000001</v>
      </c>
      <c r="E1474" s="608"/>
      <c r="F1474" s="760">
        <f t="shared" si="47"/>
        <v>1787.1812446424615</v>
      </c>
      <c r="M1474" s="443"/>
    </row>
    <row r="1475" spans="1:13">
      <c r="A1475" s="639">
        <v>30213</v>
      </c>
      <c r="B1475" s="639">
        <v>800</v>
      </c>
      <c r="C1475" s="638">
        <v>4455.1270000000004</v>
      </c>
      <c r="D1475" s="633">
        <f t="shared" si="46"/>
        <v>4455.1270000000004</v>
      </c>
      <c r="E1475" s="608"/>
      <c r="F1475" s="760">
        <f t="shared" si="47"/>
        <v>1879.5956491153584</v>
      </c>
      <c r="M1475" s="443"/>
    </row>
    <row r="1476" spans="1:13">
      <c r="A1476" s="639">
        <v>30213</v>
      </c>
      <c r="B1476" s="639">
        <v>900</v>
      </c>
      <c r="C1476" s="638">
        <v>4780.4539999999997</v>
      </c>
      <c r="D1476" s="633">
        <f t="shared" si="46"/>
        <v>4780.4539999999997</v>
      </c>
      <c r="E1476" s="608"/>
      <c r="F1476" s="760">
        <f t="shared" si="47"/>
        <v>2016.8494723486244</v>
      </c>
      <c r="M1476" s="443"/>
    </row>
    <row r="1477" spans="1:13">
      <c r="A1477" s="639">
        <v>30213</v>
      </c>
      <c r="B1477" s="639">
        <v>1000</v>
      </c>
      <c r="C1477" s="638">
        <v>4572.7879999999996</v>
      </c>
      <c r="D1477" s="633">
        <f t="shared" ref="D1477:D1540" si="48">C1477</f>
        <v>4572.7879999999996</v>
      </c>
      <c r="E1477" s="608"/>
      <c r="F1477" s="760">
        <f t="shared" si="47"/>
        <v>1929.2362325758434</v>
      </c>
      <c r="M1477" s="443"/>
    </row>
    <row r="1478" spans="1:13">
      <c r="A1478" s="639">
        <v>30213</v>
      </c>
      <c r="B1478" s="639">
        <v>1100</v>
      </c>
      <c r="C1478" s="638">
        <v>4620.0349999999999</v>
      </c>
      <c r="D1478" s="633">
        <f t="shared" si="48"/>
        <v>4620.0349999999999</v>
      </c>
      <c r="E1478" s="608"/>
      <c r="F1478" s="760">
        <f t="shared" si="47"/>
        <v>1949.1695039806214</v>
      </c>
      <c r="M1478" s="443"/>
    </row>
    <row r="1479" spans="1:13">
      <c r="A1479" s="639">
        <v>30213</v>
      </c>
      <c r="B1479" s="639">
        <v>1200</v>
      </c>
      <c r="C1479" s="638">
        <v>4586.0320000000002</v>
      </c>
      <c r="D1479" s="633">
        <f t="shared" si="48"/>
        <v>4586.0320000000002</v>
      </c>
      <c r="E1479" s="608"/>
      <c r="F1479" s="760">
        <f t="shared" si="47"/>
        <v>1934.82380949046</v>
      </c>
      <c r="M1479" s="443"/>
    </row>
    <row r="1480" spans="1:13">
      <c r="A1480" s="639">
        <v>30213</v>
      </c>
      <c r="B1480" s="639">
        <v>1300</v>
      </c>
      <c r="C1480" s="638">
        <v>4522.6570000000002</v>
      </c>
      <c r="D1480" s="633">
        <f t="shared" si="48"/>
        <v>4522.6570000000002</v>
      </c>
      <c r="E1480" s="608"/>
      <c r="F1480" s="760">
        <f t="shared" si="47"/>
        <v>1908.0862160924073</v>
      </c>
      <c r="M1480" s="443"/>
    </row>
    <row r="1481" spans="1:13">
      <c r="A1481" s="639">
        <v>30213</v>
      </c>
      <c r="B1481" s="639">
        <v>1400</v>
      </c>
      <c r="C1481" s="638">
        <v>4257.5150000000003</v>
      </c>
      <c r="D1481" s="633">
        <f t="shared" si="48"/>
        <v>4257.5150000000003</v>
      </c>
      <c r="E1481" s="608"/>
      <c r="F1481" s="760">
        <f t="shared" si="47"/>
        <v>1796.2241413192878</v>
      </c>
      <c r="M1481" s="443"/>
    </row>
    <row r="1482" spans="1:13">
      <c r="A1482" s="639">
        <v>30213</v>
      </c>
      <c r="B1482" s="639">
        <v>1500</v>
      </c>
      <c r="C1482" s="638">
        <v>4133.4650000000001</v>
      </c>
      <c r="D1482" s="633">
        <f t="shared" si="48"/>
        <v>4133.4650000000001</v>
      </c>
      <c r="E1482" s="608"/>
      <c r="F1482" s="760">
        <f t="shared" si="47"/>
        <v>1743.8880709283067</v>
      </c>
      <c r="M1482" s="443"/>
    </row>
    <row r="1483" spans="1:13">
      <c r="A1483" s="639">
        <v>30213</v>
      </c>
      <c r="B1483" s="639">
        <v>1600</v>
      </c>
      <c r="C1483" s="638">
        <v>4240.8190000000004</v>
      </c>
      <c r="D1483" s="633">
        <f t="shared" si="48"/>
        <v>4240.8190000000004</v>
      </c>
      <c r="E1483" s="608"/>
      <c r="F1483" s="760">
        <f t="shared" si="47"/>
        <v>1789.1801829859721</v>
      </c>
      <c r="M1483" s="443"/>
    </row>
    <row r="1484" spans="1:13">
      <c r="A1484" s="639">
        <v>30213</v>
      </c>
      <c r="B1484" s="639">
        <v>1700</v>
      </c>
      <c r="C1484" s="638">
        <v>4463.0780000000004</v>
      </c>
      <c r="D1484" s="633">
        <f t="shared" si="48"/>
        <v>4463.0780000000004</v>
      </c>
      <c r="E1484" s="608"/>
      <c r="F1484" s="760">
        <f t="shared" si="47"/>
        <v>1882.9501359809665</v>
      </c>
      <c r="M1484" s="443"/>
    </row>
    <row r="1485" spans="1:13">
      <c r="A1485" s="639">
        <v>30213</v>
      </c>
      <c r="B1485" s="639">
        <v>1800</v>
      </c>
      <c r="C1485" s="638">
        <v>4769.4790000000003</v>
      </c>
      <c r="D1485" s="633">
        <f t="shared" si="48"/>
        <v>4769.4790000000003</v>
      </c>
      <c r="E1485" s="608"/>
      <c r="F1485" s="760">
        <f t="shared" si="47"/>
        <v>2012.2191751092773</v>
      </c>
      <c r="M1485" s="443"/>
    </row>
    <row r="1486" spans="1:13">
      <c r="A1486" s="639">
        <v>30213</v>
      </c>
      <c r="B1486" s="639">
        <v>1900</v>
      </c>
      <c r="C1486" s="638">
        <v>5190.232</v>
      </c>
      <c r="D1486" s="633">
        <f t="shared" si="48"/>
        <v>5190.232</v>
      </c>
      <c r="E1486" s="608"/>
      <c r="F1486" s="760">
        <f t="shared" si="47"/>
        <v>2189.7327472593497</v>
      </c>
      <c r="M1486" s="443"/>
    </row>
    <row r="1487" spans="1:13">
      <c r="A1487" s="639">
        <v>30213</v>
      </c>
      <c r="B1487" s="639">
        <v>2000</v>
      </c>
      <c r="C1487" s="638">
        <v>5129.9750000000004</v>
      </c>
      <c r="D1487" s="633">
        <f t="shared" si="48"/>
        <v>5129.9750000000004</v>
      </c>
      <c r="E1487" s="608"/>
      <c r="F1487" s="760">
        <f t="shared" si="47"/>
        <v>2164.3106223617328</v>
      </c>
      <c r="M1487" s="443"/>
    </row>
    <row r="1488" spans="1:13">
      <c r="A1488" s="639">
        <v>30213</v>
      </c>
      <c r="B1488" s="639">
        <v>2100</v>
      </c>
      <c r="C1488" s="638">
        <v>5025.4399999999996</v>
      </c>
      <c r="D1488" s="633">
        <f t="shared" si="48"/>
        <v>5025.4399999999996</v>
      </c>
      <c r="E1488" s="608"/>
      <c r="F1488" s="760">
        <f t="shared" si="47"/>
        <v>2120.2078322100097</v>
      </c>
      <c r="M1488" s="443"/>
    </row>
    <row r="1489" spans="1:13">
      <c r="A1489" s="639">
        <v>30213</v>
      </c>
      <c r="B1489" s="639">
        <v>2200</v>
      </c>
      <c r="C1489" s="638">
        <v>4819.1490000000003</v>
      </c>
      <c r="D1489" s="633">
        <f t="shared" si="48"/>
        <v>4819.1490000000003</v>
      </c>
      <c r="E1489" s="608"/>
      <c r="F1489" s="760">
        <f t="shared" si="47"/>
        <v>2033.1746980139128</v>
      </c>
      <c r="M1489" s="443"/>
    </row>
    <row r="1490" spans="1:13">
      <c r="A1490" s="639">
        <v>30213</v>
      </c>
      <c r="B1490" s="639">
        <v>2300</v>
      </c>
      <c r="C1490" s="638">
        <v>4528.2179999999998</v>
      </c>
      <c r="D1490" s="633">
        <f t="shared" si="48"/>
        <v>4528.2179999999998</v>
      </c>
      <c r="E1490" s="608"/>
      <c r="F1490" s="760">
        <f t="shared" si="47"/>
        <v>1910.4323739919982</v>
      </c>
      <c r="M1490" s="443"/>
    </row>
    <row r="1491" spans="1:13">
      <c r="A1491" s="639">
        <v>30213</v>
      </c>
      <c r="B1491" s="639">
        <v>2400</v>
      </c>
      <c r="C1491" s="638">
        <v>4138.9960000000001</v>
      </c>
      <c r="D1491" s="633">
        <f t="shared" si="48"/>
        <v>4138.9960000000001</v>
      </c>
      <c r="E1491" s="608"/>
      <c r="F1491" s="760">
        <f t="shared" si="47"/>
        <v>1746.2215719789517</v>
      </c>
      <c r="M1491" s="443"/>
    </row>
    <row r="1492" spans="1:13">
      <c r="A1492" s="639">
        <v>30313</v>
      </c>
      <c r="B1492" s="639">
        <v>100</v>
      </c>
      <c r="C1492" s="638">
        <v>3902.05</v>
      </c>
      <c r="D1492" s="633">
        <f t="shared" si="48"/>
        <v>3902.05</v>
      </c>
      <c r="E1492" s="608"/>
      <c r="F1492" s="760">
        <f t="shared" si="47"/>
        <v>1646.255247635047</v>
      </c>
      <c r="M1492" s="443"/>
    </row>
    <row r="1493" spans="1:13">
      <c r="A1493" s="639">
        <v>30313</v>
      </c>
      <c r="B1493" s="639">
        <v>200</v>
      </c>
      <c r="C1493" s="638">
        <v>3936.1970000000001</v>
      </c>
      <c r="D1493" s="633">
        <f t="shared" si="48"/>
        <v>3936.1970000000001</v>
      </c>
      <c r="E1493" s="608"/>
      <c r="F1493" s="760">
        <f t="shared" si="47"/>
        <v>1660.6616950001483</v>
      </c>
      <c r="M1493" s="443"/>
    </row>
    <row r="1494" spans="1:13">
      <c r="A1494" s="639">
        <v>30313</v>
      </c>
      <c r="B1494" s="639">
        <v>300</v>
      </c>
      <c r="C1494" s="638">
        <v>3835.9090000000001</v>
      </c>
      <c r="D1494" s="633">
        <f t="shared" si="48"/>
        <v>3835.9090000000001</v>
      </c>
      <c r="E1494" s="608"/>
      <c r="F1494" s="760">
        <f t="shared" si="47"/>
        <v>1618.3506927641893</v>
      </c>
      <c r="M1494" s="443"/>
    </row>
    <row r="1495" spans="1:13">
      <c r="A1495" s="639">
        <v>30313</v>
      </c>
      <c r="B1495" s="639">
        <v>400</v>
      </c>
      <c r="C1495" s="638">
        <v>3791.451</v>
      </c>
      <c r="D1495" s="633">
        <f t="shared" si="48"/>
        <v>3791.451</v>
      </c>
      <c r="E1495" s="608"/>
      <c r="F1495" s="760">
        <f t="shared" si="47"/>
        <v>1599.5940864164083</v>
      </c>
      <c r="M1495" s="443"/>
    </row>
    <row r="1496" spans="1:13">
      <c r="A1496" s="639">
        <v>30313</v>
      </c>
      <c r="B1496" s="639">
        <v>500</v>
      </c>
      <c r="C1496" s="638">
        <v>3826.3020000000001</v>
      </c>
      <c r="D1496" s="633">
        <f t="shared" si="48"/>
        <v>3826.3020000000001</v>
      </c>
      <c r="E1496" s="608"/>
      <c r="F1496" s="760">
        <f t="shared" si="47"/>
        <v>1614.2975478367719</v>
      </c>
      <c r="M1496" s="443"/>
    </row>
    <row r="1497" spans="1:13">
      <c r="A1497" s="639">
        <v>30313</v>
      </c>
      <c r="B1497" s="639">
        <v>600</v>
      </c>
      <c r="C1497" s="638">
        <v>3966.337</v>
      </c>
      <c r="D1497" s="633">
        <f t="shared" si="48"/>
        <v>3966.337</v>
      </c>
      <c r="E1497" s="608"/>
      <c r="F1497" s="760">
        <f t="shared" si="47"/>
        <v>1673.3776092410526</v>
      </c>
      <c r="M1497" s="443"/>
    </row>
    <row r="1498" spans="1:13">
      <c r="A1498" s="639">
        <v>30313</v>
      </c>
      <c r="B1498" s="639">
        <v>700</v>
      </c>
      <c r="C1498" s="638">
        <v>4158.1629999999996</v>
      </c>
      <c r="D1498" s="633">
        <f t="shared" si="48"/>
        <v>4158.1629999999996</v>
      </c>
      <c r="E1498" s="608"/>
      <c r="F1498" s="760">
        <f t="shared" si="47"/>
        <v>1754.3080327704383</v>
      </c>
      <c r="M1498" s="443"/>
    </row>
    <row r="1499" spans="1:13">
      <c r="A1499" s="639">
        <v>30313</v>
      </c>
      <c r="B1499" s="639">
        <v>800</v>
      </c>
      <c r="C1499" s="638">
        <v>4304.2349999999997</v>
      </c>
      <c r="D1499" s="633">
        <f t="shared" si="48"/>
        <v>4304.2349999999997</v>
      </c>
      <c r="E1499" s="608"/>
      <c r="F1499" s="760">
        <f t="shared" si="47"/>
        <v>1815.9350740775835</v>
      </c>
      <c r="M1499" s="443"/>
    </row>
    <row r="1500" spans="1:13">
      <c r="A1500" s="639">
        <v>30313</v>
      </c>
      <c r="B1500" s="639">
        <v>900</v>
      </c>
      <c r="C1500" s="638">
        <v>4569.0789999999997</v>
      </c>
      <c r="D1500" s="633">
        <f t="shared" si="48"/>
        <v>4569.0789999999997</v>
      </c>
      <c r="E1500" s="608"/>
      <c r="F1500" s="760">
        <f t="shared" si="47"/>
        <v>1927.671424151175</v>
      </c>
      <c r="M1500" s="443"/>
    </row>
    <row r="1501" spans="1:13">
      <c r="A1501" s="639">
        <v>30313</v>
      </c>
      <c r="B1501" s="639">
        <v>1000</v>
      </c>
      <c r="C1501" s="638">
        <v>4518.7659999999996</v>
      </c>
      <c r="D1501" s="633">
        <f t="shared" si="48"/>
        <v>4518.7659999999996</v>
      </c>
      <c r="E1501" s="608"/>
      <c r="F1501" s="760">
        <f t="shared" si="47"/>
        <v>1906.444622784134</v>
      </c>
      <c r="M1501" s="443"/>
    </row>
    <row r="1502" spans="1:13">
      <c r="A1502" s="639">
        <v>30313</v>
      </c>
      <c r="B1502" s="639">
        <v>1100</v>
      </c>
      <c r="C1502" s="638">
        <v>4463.6109999999999</v>
      </c>
      <c r="D1502" s="633">
        <f t="shared" si="48"/>
        <v>4463.6109999999999</v>
      </c>
      <c r="E1502" s="608"/>
      <c r="F1502" s="760">
        <f t="shared" si="47"/>
        <v>1883.1750059972371</v>
      </c>
      <c r="M1502" s="443"/>
    </row>
    <row r="1503" spans="1:13">
      <c r="A1503" s="639">
        <v>30313</v>
      </c>
      <c r="B1503" s="639">
        <v>1200</v>
      </c>
      <c r="C1503" s="638">
        <v>4290.6329999999998</v>
      </c>
      <c r="D1503" s="633">
        <f t="shared" si="48"/>
        <v>4290.6329999999998</v>
      </c>
      <c r="E1503" s="608"/>
      <c r="F1503" s="760">
        <f t="shared" si="47"/>
        <v>1810.1964587655473</v>
      </c>
      <c r="M1503" s="443"/>
    </row>
    <row r="1504" spans="1:13">
      <c r="A1504" s="639">
        <v>30313</v>
      </c>
      <c r="B1504" s="639">
        <v>1300</v>
      </c>
      <c r="C1504" s="638">
        <v>4167.8720000000003</v>
      </c>
      <c r="D1504" s="633">
        <f t="shared" si="48"/>
        <v>4167.8720000000003</v>
      </c>
      <c r="E1504" s="608"/>
      <c r="F1504" s="760">
        <f t="shared" si="47"/>
        <v>1758.4042109842719</v>
      </c>
      <c r="M1504" s="443"/>
    </row>
    <row r="1505" spans="1:13">
      <c r="A1505" s="639">
        <v>30313</v>
      </c>
      <c r="B1505" s="639">
        <v>1400</v>
      </c>
      <c r="C1505" s="638">
        <v>4135.84</v>
      </c>
      <c r="D1505" s="633">
        <f t="shared" si="48"/>
        <v>4135.84</v>
      </c>
      <c r="E1505" s="608"/>
      <c r="F1505" s="760">
        <f t="shared" si="47"/>
        <v>1744.8900714698511</v>
      </c>
      <c r="M1505" s="443"/>
    </row>
    <row r="1506" spans="1:13">
      <c r="A1506" s="639">
        <v>30313</v>
      </c>
      <c r="B1506" s="639">
        <v>1500</v>
      </c>
      <c r="C1506" s="638">
        <v>4067.3670000000002</v>
      </c>
      <c r="D1506" s="633">
        <f t="shared" si="48"/>
        <v>4067.3670000000002</v>
      </c>
      <c r="E1506" s="608"/>
      <c r="F1506" s="760">
        <f t="shared" si="47"/>
        <v>1716.0016575409381</v>
      </c>
      <c r="M1506" s="443"/>
    </row>
    <row r="1507" spans="1:13">
      <c r="A1507" s="639">
        <v>30313</v>
      </c>
      <c r="B1507" s="639">
        <v>1600</v>
      </c>
      <c r="C1507" s="638">
        <v>4340.0609999999997</v>
      </c>
      <c r="D1507" s="633">
        <f t="shared" si="48"/>
        <v>4340.0609999999997</v>
      </c>
      <c r="E1507" s="608"/>
      <c r="F1507" s="760">
        <f t="shared" si="47"/>
        <v>1831.0498830886863</v>
      </c>
      <c r="M1507" s="443"/>
    </row>
    <row r="1508" spans="1:13">
      <c r="A1508" s="639">
        <v>30313</v>
      </c>
      <c r="B1508" s="639">
        <v>1700</v>
      </c>
      <c r="C1508" s="638">
        <v>4646.3590000000004</v>
      </c>
      <c r="D1508" s="633">
        <f t="shared" si="48"/>
        <v>4646.3590000000004</v>
      </c>
      <c r="E1508" s="608"/>
      <c r="F1508" s="760">
        <f t="shared" ref="F1508:F1571" si="49">(D1508/(MAX($D$1444:$D$2187)))*$M$6</f>
        <v>1960.2754670356169</v>
      </c>
      <c r="M1508" s="443"/>
    </row>
    <row r="1509" spans="1:13">
      <c r="A1509" s="639">
        <v>30313</v>
      </c>
      <c r="B1509" s="639">
        <v>1800</v>
      </c>
      <c r="C1509" s="638">
        <v>5052.0709999999999</v>
      </c>
      <c r="D1509" s="633">
        <f t="shared" si="48"/>
        <v>5052.0709999999999</v>
      </c>
      <c r="E1509" s="608"/>
      <c r="F1509" s="760">
        <f t="shared" si="49"/>
        <v>2131.4433170192178</v>
      </c>
      <c r="M1509" s="443"/>
    </row>
    <row r="1510" spans="1:13">
      <c r="A1510" s="639">
        <v>30313</v>
      </c>
      <c r="B1510" s="639">
        <v>1900</v>
      </c>
      <c r="C1510" s="638">
        <v>5408.6289999999999</v>
      </c>
      <c r="D1510" s="633">
        <f t="shared" si="48"/>
        <v>5408.6289999999999</v>
      </c>
      <c r="E1510" s="608"/>
      <c r="F1510" s="760">
        <f t="shared" si="49"/>
        <v>2281.8733419000514</v>
      </c>
      <c r="M1510" s="443"/>
    </row>
    <row r="1511" spans="1:13">
      <c r="A1511" s="639">
        <v>30313</v>
      </c>
      <c r="B1511" s="639">
        <v>2000</v>
      </c>
      <c r="C1511" s="638">
        <v>5426.96</v>
      </c>
      <c r="D1511" s="633">
        <f t="shared" si="48"/>
        <v>5426.96</v>
      </c>
      <c r="E1511" s="608"/>
      <c r="F1511" s="760">
        <f t="shared" si="49"/>
        <v>2289.6070985009146</v>
      </c>
      <c r="M1511" s="443"/>
    </row>
    <row r="1512" spans="1:13">
      <c r="A1512" s="639">
        <v>30313</v>
      </c>
      <c r="B1512" s="639">
        <v>2100</v>
      </c>
      <c r="C1512" s="638">
        <v>5272.0559999999996</v>
      </c>
      <c r="D1512" s="633">
        <f t="shared" si="48"/>
        <v>5272.0559999999996</v>
      </c>
      <c r="E1512" s="608"/>
      <c r="F1512" s="760">
        <f t="shared" si="49"/>
        <v>2224.2538808641184</v>
      </c>
      <c r="M1512" s="443"/>
    </row>
    <row r="1513" spans="1:13">
      <c r="A1513" s="639">
        <v>30313</v>
      </c>
      <c r="B1513" s="639">
        <v>2200</v>
      </c>
      <c r="C1513" s="638">
        <v>4869.7110000000002</v>
      </c>
      <c r="D1513" s="633">
        <f t="shared" si="48"/>
        <v>4869.7110000000002</v>
      </c>
      <c r="E1513" s="608"/>
      <c r="F1513" s="760">
        <f t="shared" si="49"/>
        <v>2054.506551227204</v>
      </c>
      <c r="M1513" s="443"/>
    </row>
    <row r="1514" spans="1:13">
      <c r="A1514" s="639">
        <v>30313</v>
      </c>
      <c r="B1514" s="639">
        <v>2300</v>
      </c>
      <c r="C1514" s="638">
        <v>4365.4229999999998</v>
      </c>
      <c r="D1514" s="633">
        <f t="shared" si="48"/>
        <v>4365.4229999999998</v>
      </c>
      <c r="E1514" s="608"/>
      <c r="F1514" s="760">
        <f t="shared" si="49"/>
        <v>1841.7499831874857</v>
      </c>
      <c r="M1514" s="443"/>
    </row>
    <row r="1515" spans="1:13">
      <c r="A1515" s="639">
        <v>30313</v>
      </c>
      <c r="B1515" s="639">
        <v>2400</v>
      </c>
      <c r="C1515" s="638">
        <v>3896.576</v>
      </c>
      <c r="D1515" s="633">
        <f t="shared" si="48"/>
        <v>3896.576</v>
      </c>
      <c r="E1515" s="608"/>
      <c r="F1515" s="760">
        <f t="shared" si="49"/>
        <v>1643.9457945973988</v>
      </c>
      <c r="M1515" s="443"/>
    </row>
    <row r="1516" spans="1:13">
      <c r="A1516" s="639">
        <v>30413</v>
      </c>
      <c r="B1516" s="639">
        <v>100</v>
      </c>
      <c r="C1516" s="638">
        <v>3663.9769999999999</v>
      </c>
      <c r="D1516" s="633">
        <f t="shared" si="48"/>
        <v>3663.9769999999999</v>
      </c>
      <c r="E1516" s="608"/>
      <c r="F1516" s="760">
        <f t="shared" si="49"/>
        <v>1545.813447665744</v>
      </c>
      <c r="M1516" s="443"/>
    </row>
    <row r="1517" spans="1:13">
      <c r="A1517" s="639">
        <v>30413</v>
      </c>
      <c r="B1517" s="639">
        <v>200</v>
      </c>
      <c r="C1517" s="638">
        <v>3757.83</v>
      </c>
      <c r="D1517" s="633">
        <f t="shared" si="48"/>
        <v>3757.83</v>
      </c>
      <c r="E1517" s="608"/>
      <c r="F1517" s="760">
        <f t="shared" si="49"/>
        <v>1585.4095558028237</v>
      </c>
      <c r="M1517" s="443"/>
    </row>
    <row r="1518" spans="1:13">
      <c r="A1518" s="639">
        <v>30413</v>
      </c>
      <c r="B1518" s="639">
        <v>300</v>
      </c>
      <c r="C1518" s="638">
        <v>3758.877</v>
      </c>
      <c r="D1518" s="633">
        <f t="shared" si="48"/>
        <v>3758.877</v>
      </c>
      <c r="E1518" s="608"/>
      <c r="F1518" s="760">
        <f t="shared" si="49"/>
        <v>1585.851279831033</v>
      </c>
      <c r="M1518" s="443"/>
    </row>
    <row r="1519" spans="1:13">
      <c r="A1519" s="639">
        <v>30413</v>
      </c>
      <c r="B1519" s="639">
        <v>400</v>
      </c>
      <c r="C1519" s="638">
        <v>3789.788</v>
      </c>
      <c r="D1519" s="633">
        <f t="shared" si="48"/>
        <v>3789.788</v>
      </c>
      <c r="E1519" s="608"/>
      <c r="F1519" s="760">
        <f t="shared" si="49"/>
        <v>1598.8924750898448</v>
      </c>
      <c r="M1519" s="443"/>
    </row>
    <row r="1520" spans="1:13">
      <c r="A1520" s="639">
        <v>30413</v>
      </c>
      <c r="B1520" s="639">
        <v>500</v>
      </c>
      <c r="C1520" s="638">
        <v>3915.5219999999999</v>
      </c>
      <c r="D1520" s="633">
        <f t="shared" si="48"/>
        <v>3915.5219999999999</v>
      </c>
      <c r="E1520" s="608"/>
      <c r="F1520" s="760">
        <f t="shared" si="49"/>
        <v>1651.9390166016515</v>
      </c>
      <c r="M1520" s="443"/>
    </row>
    <row r="1521" spans="1:13">
      <c r="A1521" s="639">
        <v>30413</v>
      </c>
      <c r="B1521" s="639">
        <v>600</v>
      </c>
      <c r="C1521" s="638">
        <v>4280.07</v>
      </c>
      <c r="D1521" s="633">
        <f t="shared" si="48"/>
        <v>4280.07</v>
      </c>
      <c r="E1521" s="608"/>
      <c r="F1521" s="760">
        <f t="shared" si="49"/>
        <v>1805.7399822517225</v>
      </c>
      <c r="M1521" s="443"/>
    </row>
    <row r="1522" spans="1:13">
      <c r="A1522" s="639">
        <v>30413</v>
      </c>
      <c r="B1522" s="639">
        <v>700</v>
      </c>
      <c r="C1522" s="638">
        <v>4842.8909999999996</v>
      </c>
      <c r="D1522" s="633">
        <f t="shared" si="48"/>
        <v>4842.8909999999996</v>
      </c>
      <c r="E1522" s="608"/>
      <c r="F1522" s="760">
        <f t="shared" si="49"/>
        <v>2043.1913282696376</v>
      </c>
      <c r="M1522" s="443"/>
    </row>
    <row r="1523" spans="1:13">
      <c r="A1523" s="639">
        <v>30413</v>
      </c>
      <c r="B1523" s="639">
        <v>800</v>
      </c>
      <c r="C1523" s="638">
        <v>4851.2879999999996</v>
      </c>
      <c r="D1523" s="633">
        <f t="shared" si="48"/>
        <v>4851.2879999999996</v>
      </c>
      <c r="E1523" s="608"/>
      <c r="F1523" s="760">
        <f t="shared" si="49"/>
        <v>2046.7339802895735</v>
      </c>
      <c r="M1523" s="443"/>
    </row>
    <row r="1524" spans="1:13">
      <c r="A1524" s="639">
        <v>30413</v>
      </c>
      <c r="B1524" s="639">
        <v>900</v>
      </c>
      <c r="C1524" s="638">
        <v>4416.1030000000001</v>
      </c>
      <c r="D1524" s="633">
        <f t="shared" si="48"/>
        <v>4416.1030000000001</v>
      </c>
      <c r="E1524" s="608"/>
      <c r="F1524" s="760">
        <f t="shared" si="49"/>
        <v>1863.1316200066308</v>
      </c>
      <c r="M1524" s="443"/>
    </row>
    <row r="1525" spans="1:13">
      <c r="A1525" s="639">
        <v>30413</v>
      </c>
      <c r="B1525" s="639">
        <v>1000</v>
      </c>
      <c r="C1525" s="638">
        <v>4249.9669999999996</v>
      </c>
      <c r="D1525" s="633">
        <f t="shared" si="48"/>
        <v>4249.9669999999996</v>
      </c>
      <c r="E1525" s="608"/>
      <c r="F1525" s="760">
        <f t="shared" si="49"/>
        <v>1793.0396781245183</v>
      </c>
      <c r="M1525" s="443"/>
    </row>
    <row r="1526" spans="1:13">
      <c r="A1526" s="639">
        <v>30413</v>
      </c>
      <c r="B1526" s="639">
        <v>1100</v>
      </c>
      <c r="C1526" s="638">
        <v>3968.8919999999998</v>
      </c>
      <c r="D1526" s="633">
        <f t="shared" si="48"/>
        <v>3968.8919999999998</v>
      </c>
      <c r="E1526" s="608"/>
      <c r="F1526" s="760">
        <f t="shared" si="49"/>
        <v>1674.4555508762717</v>
      </c>
      <c r="M1526" s="443"/>
    </row>
    <row r="1527" spans="1:13">
      <c r="A1527" s="639">
        <v>30413</v>
      </c>
      <c r="B1527" s="639">
        <v>1200</v>
      </c>
      <c r="C1527" s="638">
        <v>3798.384</v>
      </c>
      <c r="D1527" s="633">
        <f t="shared" si="48"/>
        <v>3798.384</v>
      </c>
      <c r="E1527" s="608"/>
      <c r="F1527" s="760">
        <f t="shared" si="49"/>
        <v>1602.5190842077882</v>
      </c>
      <c r="M1527" s="443"/>
    </row>
    <row r="1528" spans="1:13">
      <c r="A1528" s="639">
        <v>30413</v>
      </c>
      <c r="B1528" s="639">
        <v>1300</v>
      </c>
      <c r="C1528" s="638">
        <v>3711.6509999999998</v>
      </c>
      <c r="D1528" s="633">
        <f t="shared" si="48"/>
        <v>3711.6509999999998</v>
      </c>
      <c r="E1528" s="608"/>
      <c r="F1528" s="760">
        <f t="shared" si="49"/>
        <v>1565.9268682205172</v>
      </c>
      <c r="M1528" s="443"/>
    </row>
    <row r="1529" spans="1:13">
      <c r="A1529" s="639">
        <v>30413</v>
      </c>
      <c r="B1529" s="639">
        <v>1400</v>
      </c>
      <c r="C1529" s="638">
        <v>3673.7109999999998</v>
      </c>
      <c r="D1529" s="633">
        <f t="shared" si="48"/>
        <v>3673.7109999999998</v>
      </c>
      <c r="E1529" s="608"/>
      <c r="F1529" s="760">
        <f t="shared" si="49"/>
        <v>1549.9201732536987</v>
      </c>
      <c r="M1529" s="443"/>
    </row>
    <row r="1530" spans="1:13">
      <c r="A1530" s="639">
        <v>30413</v>
      </c>
      <c r="B1530" s="639">
        <v>1500</v>
      </c>
      <c r="C1530" s="638">
        <v>3754.7040000000002</v>
      </c>
      <c r="D1530" s="633">
        <f t="shared" si="48"/>
        <v>3754.7040000000002</v>
      </c>
      <c r="E1530" s="608"/>
      <c r="F1530" s="760">
        <f t="shared" si="49"/>
        <v>1584.090712142669</v>
      </c>
      <c r="M1530" s="443"/>
    </row>
    <row r="1531" spans="1:13">
      <c r="A1531" s="639">
        <v>30413</v>
      </c>
      <c r="B1531" s="639">
        <v>1600</v>
      </c>
      <c r="C1531" s="638">
        <v>3939.9580000000001</v>
      </c>
      <c r="D1531" s="633">
        <f t="shared" si="48"/>
        <v>3939.9580000000001</v>
      </c>
      <c r="E1531" s="608"/>
      <c r="F1531" s="760">
        <f t="shared" si="49"/>
        <v>1662.2484419629895</v>
      </c>
      <c r="M1531" s="443"/>
    </row>
    <row r="1532" spans="1:13">
      <c r="A1532" s="639">
        <v>30413</v>
      </c>
      <c r="B1532" s="639">
        <v>1700</v>
      </c>
      <c r="C1532" s="638">
        <v>4253.8469999999998</v>
      </c>
      <c r="D1532" s="633">
        <f t="shared" si="48"/>
        <v>4253.8469999999998</v>
      </c>
      <c r="E1532" s="608"/>
      <c r="F1532" s="760">
        <f t="shared" si="49"/>
        <v>1794.6766305881783</v>
      </c>
      <c r="M1532" s="443"/>
    </row>
    <row r="1533" spans="1:13">
      <c r="A1533" s="639">
        <v>30413</v>
      </c>
      <c r="B1533" s="639">
        <v>1800</v>
      </c>
      <c r="C1533" s="638">
        <v>4620.3109999999997</v>
      </c>
      <c r="D1533" s="633">
        <f t="shared" si="48"/>
        <v>4620.3109999999997</v>
      </c>
      <c r="E1533" s="608"/>
      <c r="F1533" s="760">
        <f t="shared" si="49"/>
        <v>1949.2859469909226</v>
      </c>
      <c r="M1533" s="443"/>
    </row>
    <row r="1534" spans="1:13">
      <c r="A1534" s="639">
        <v>30413</v>
      </c>
      <c r="B1534" s="639">
        <v>1900</v>
      </c>
      <c r="C1534" s="638">
        <v>5088.0429999999997</v>
      </c>
      <c r="D1534" s="633">
        <f t="shared" si="48"/>
        <v>5088.0429999999997</v>
      </c>
      <c r="E1534" s="608"/>
      <c r="F1534" s="760">
        <f t="shared" si="49"/>
        <v>2146.6197226951899</v>
      </c>
      <c r="M1534" s="443"/>
    </row>
    <row r="1535" spans="1:13">
      <c r="A1535" s="639">
        <v>30413</v>
      </c>
      <c r="B1535" s="639">
        <v>2000</v>
      </c>
      <c r="C1535" s="638">
        <v>5272.2380000000003</v>
      </c>
      <c r="D1535" s="633">
        <f t="shared" si="48"/>
        <v>5272.2380000000003</v>
      </c>
      <c r="E1535" s="608"/>
      <c r="F1535" s="760">
        <f t="shared" si="49"/>
        <v>2224.3306657477237</v>
      </c>
      <c r="M1535" s="443"/>
    </row>
    <row r="1536" spans="1:13">
      <c r="A1536" s="639">
        <v>30413</v>
      </c>
      <c r="B1536" s="639">
        <v>2100</v>
      </c>
      <c r="C1536" s="638">
        <v>5172.5749999999998</v>
      </c>
      <c r="D1536" s="633">
        <f t="shared" si="48"/>
        <v>5172.5749999999998</v>
      </c>
      <c r="E1536" s="608"/>
      <c r="F1536" s="760">
        <f t="shared" si="49"/>
        <v>2182.2833478648022</v>
      </c>
      <c r="M1536" s="443"/>
    </row>
    <row r="1537" spans="1:13">
      <c r="A1537" s="639">
        <v>30413</v>
      </c>
      <c r="B1537" s="639">
        <v>2200</v>
      </c>
      <c r="C1537" s="638">
        <v>4849.692</v>
      </c>
      <c r="D1537" s="633">
        <f t="shared" si="48"/>
        <v>4849.692</v>
      </c>
      <c r="E1537" s="608"/>
      <c r="F1537" s="760">
        <f t="shared" si="49"/>
        <v>2046.0606359256558</v>
      </c>
      <c r="M1537" s="443"/>
    </row>
    <row r="1538" spans="1:13">
      <c r="A1538" s="639">
        <v>30413</v>
      </c>
      <c r="B1538" s="639">
        <v>2300</v>
      </c>
      <c r="C1538" s="638">
        <v>4381.8540000000003</v>
      </c>
      <c r="D1538" s="633">
        <f t="shared" si="48"/>
        <v>4381.8540000000003</v>
      </c>
      <c r="E1538" s="608"/>
      <c r="F1538" s="760">
        <f t="shared" si="49"/>
        <v>1848.6821393551136</v>
      </c>
      <c r="M1538" s="443"/>
    </row>
    <row r="1539" spans="1:13">
      <c r="A1539" s="639">
        <v>30413</v>
      </c>
      <c r="B1539" s="639">
        <v>2400</v>
      </c>
      <c r="C1539" s="638">
        <v>3840.24</v>
      </c>
      <c r="D1539" s="633">
        <f t="shared" si="48"/>
        <v>3840.24</v>
      </c>
      <c r="E1539" s="608"/>
      <c r="F1539" s="760">
        <f t="shared" si="49"/>
        <v>1620.1779198570014</v>
      </c>
      <c r="M1539" s="443"/>
    </row>
    <row r="1540" spans="1:13">
      <c r="A1540" s="639">
        <v>30513</v>
      </c>
      <c r="B1540" s="639">
        <v>100</v>
      </c>
      <c r="C1540" s="638">
        <v>3658.134</v>
      </c>
      <c r="D1540" s="633">
        <f t="shared" si="48"/>
        <v>3658.134</v>
      </c>
      <c r="E1540" s="608"/>
      <c r="F1540" s="760">
        <f t="shared" si="49"/>
        <v>1543.3483153860623</v>
      </c>
      <c r="M1540" s="443"/>
    </row>
    <row r="1541" spans="1:13">
      <c r="A1541" s="639">
        <v>30513</v>
      </c>
      <c r="B1541" s="639">
        <v>200</v>
      </c>
      <c r="C1541" s="638">
        <v>3711.3609999999999</v>
      </c>
      <c r="D1541" s="633">
        <f t="shared" ref="D1541:D1604" si="50">C1541</f>
        <v>3711.3609999999999</v>
      </c>
      <c r="E1541" s="608"/>
      <c r="F1541" s="760">
        <f t="shared" si="49"/>
        <v>1565.8045186807076</v>
      </c>
      <c r="M1541" s="443"/>
    </row>
    <row r="1542" spans="1:13">
      <c r="A1542" s="639">
        <v>30513</v>
      </c>
      <c r="B1542" s="639">
        <v>300</v>
      </c>
      <c r="C1542" s="638">
        <v>3706.2750000000001</v>
      </c>
      <c r="D1542" s="633">
        <f t="shared" si="50"/>
        <v>3706.2750000000001</v>
      </c>
      <c r="E1542" s="608"/>
      <c r="F1542" s="760">
        <f t="shared" si="49"/>
        <v>1563.6587608894256</v>
      </c>
      <c r="M1542" s="443"/>
    </row>
    <row r="1543" spans="1:13">
      <c r="A1543" s="639">
        <v>30513</v>
      </c>
      <c r="B1543" s="639">
        <v>400</v>
      </c>
      <c r="C1543" s="638">
        <v>3765.587</v>
      </c>
      <c r="D1543" s="633">
        <f t="shared" si="50"/>
        <v>3765.587</v>
      </c>
      <c r="E1543" s="608"/>
      <c r="F1543" s="760">
        <f t="shared" si="49"/>
        <v>1588.6821950452488</v>
      </c>
      <c r="M1543" s="443"/>
    </row>
    <row r="1544" spans="1:13">
      <c r="A1544" s="639">
        <v>30513</v>
      </c>
      <c r="B1544" s="639">
        <v>500</v>
      </c>
      <c r="C1544" s="638">
        <v>3917.78</v>
      </c>
      <c r="D1544" s="633">
        <f t="shared" si="50"/>
        <v>3917.78</v>
      </c>
      <c r="E1544" s="608"/>
      <c r="F1544" s="760">
        <f t="shared" si="49"/>
        <v>1652.8916554323073</v>
      </c>
      <c r="M1544" s="443"/>
    </row>
    <row r="1545" spans="1:13">
      <c r="A1545" s="639">
        <v>30513</v>
      </c>
      <c r="B1545" s="639">
        <v>600</v>
      </c>
      <c r="C1545" s="638">
        <v>4264.3620000000001</v>
      </c>
      <c r="D1545" s="633">
        <f t="shared" si="50"/>
        <v>4264.3620000000001</v>
      </c>
      <c r="E1545" s="608"/>
      <c r="F1545" s="760">
        <f t="shared" si="49"/>
        <v>1799.1128561436894</v>
      </c>
      <c r="M1545" s="443"/>
    </row>
    <row r="1546" spans="1:13">
      <c r="A1546" s="639">
        <v>30513</v>
      </c>
      <c r="B1546" s="639">
        <v>700</v>
      </c>
      <c r="C1546" s="638">
        <v>4810.625</v>
      </c>
      <c r="D1546" s="633">
        <f t="shared" si="50"/>
        <v>4810.625</v>
      </c>
      <c r="E1546" s="608"/>
      <c r="F1546" s="760">
        <f t="shared" si="49"/>
        <v>2029.5784653334392</v>
      </c>
      <c r="M1546" s="443"/>
    </row>
    <row r="1547" spans="1:13">
      <c r="A1547" s="639">
        <v>30513</v>
      </c>
      <c r="B1547" s="639">
        <v>800</v>
      </c>
      <c r="C1547" s="638">
        <v>4858.1899999999996</v>
      </c>
      <c r="D1547" s="633">
        <f t="shared" si="50"/>
        <v>4858.1899999999996</v>
      </c>
      <c r="E1547" s="608"/>
      <c r="F1547" s="760">
        <f t="shared" si="49"/>
        <v>2049.6458993370429</v>
      </c>
      <c r="M1547" s="443"/>
    </row>
    <row r="1548" spans="1:13">
      <c r="A1548" s="639">
        <v>30513</v>
      </c>
      <c r="B1548" s="639">
        <v>900</v>
      </c>
      <c r="C1548" s="638">
        <v>4623.915</v>
      </c>
      <c r="D1548" s="633">
        <f t="shared" si="50"/>
        <v>4623.915</v>
      </c>
      <c r="E1548" s="608"/>
      <c r="F1548" s="760">
        <f t="shared" si="49"/>
        <v>1950.8064564442811</v>
      </c>
      <c r="M1548" s="443"/>
    </row>
    <row r="1549" spans="1:13">
      <c r="A1549" s="639">
        <v>30513</v>
      </c>
      <c r="B1549" s="639">
        <v>1000</v>
      </c>
      <c r="C1549" s="638">
        <v>4213.1390000000001</v>
      </c>
      <c r="D1549" s="633">
        <f t="shared" si="50"/>
        <v>4213.1390000000001</v>
      </c>
      <c r="E1549" s="608"/>
      <c r="F1549" s="760">
        <f t="shared" si="49"/>
        <v>1777.5021303586252</v>
      </c>
      <c r="M1549" s="443"/>
    </row>
    <row r="1550" spans="1:13">
      <c r="A1550" s="639">
        <v>30513</v>
      </c>
      <c r="B1550" s="639">
        <v>1100</v>
      </c>
      <c r="C1550" s="638">
        <v>3934.3</v>
      </c>
      <c r="D1550" s="633">
        <f t="shared" si="50"/>
        <v>3934.3</v>
      </c>
      <c r="E1550" s="608"/>
      <c r="F1550" s="760">
        <f t="shared" si="49"/>
        <v>1659.8613602518076</v>
      </c>
      <c r="M1550" s="443"/>
    </row>
    <row r="1551" spans="1:13">
      <c r="A1551" s="639">
        <v>30513</v>
      </c>
      <c r="B1551" s="639">
        <v>1200</v>
      </c>
      <c r="C1551" s="638">
        <v>3665.6419999999998</v>
      </c>
      <c r="D1551" s="633">
        <f t="shared" si="50"/>
        <v>3665.6419999999998</v>
      </c>
      <c r="E1551" s="608"/>
      <c r="F1551" s="760">
        <f t="shared" si="49"/>
        <v>1546.5159027822372</v>
      </c>
      <c r="M1551" s="443"/>
    </row>
    <row r="1552" spans="1:13">
      <c r="A1552" s="639">
        <v>30513</v>
      </c>
      <c r="B1552" s="639">
        <v>1300</v>
      </c>
      <c r="C1552" s="638">
        <v>3564.1109999999999</v>
      </c>
      <c r="D1552" s="633">
        <f t="shared" si="50"/>
        <v>3564.1109999999999</v>
      </c>
      <c r="E1552" s="608"/>
      <c r="F1552" s="760">
        <f t="shared" si="49"/>
        <v>1503.6804851049562</v>
      </c>
      <c r="M1552" s="443"/>
    </row>
    <row r="1553" spans="1:13">
      <c r="A1553" s="639">
        <v>30513</v>
      </c>
      <c r="B1553" s="639">
        <v>1400</v>
      </c>
      <c r="C1553" s="638">
        <v>3432.79</v>
      </c>
      <c r="D1553" s="633">
        <f t="shared" si="50"/>
        <v>3432.79</v>
      </c>
      <c r="E1553" s="608"/>
      <c r="F1553" s="760">
        <f t="shared" si="49"/>
        <v>1448.2768164244724</v>
      </c>
      <c r="M1553" s="443"/>
    </row>
    <row r="1554" spans="1:13">
      <c r="A1554" s="639">
        <v>30513</v>
      </c>
      <c r="B1554" s="639">
        <v>1500</v>
      </c>
      <c r="C1554" s="638">
        <v>3414.7260000000001</v>
      </c>
      <c r="D1554" s="633">
        <f t="shared" si="50"/>
        <v>3414.7260000000001</v>
      </c>
      <c r="E1554" s="608"/>
      <c r="F1554" s="760">
        <f t="shared" si="49"/>
        <v>1440.655705779227</v>
      </c>
      <c r="M1554" s="443"/>
    </row>
    <row r="1555" spans="1:13">
      <c r="A1555" s="639">
        <v>30513</v>
      </c>
      <c r="B1555" s="639">
        <v>1600</v>
      </c>
      <c r="C1555" s="638">
        <v>3520.6610000000001</v>
      </c>
      <c r="D1555" s="633">
        <f t="shared" si="50"/>
        <v>3520.6610000000001</v>
      </c>
      <c r="E1555" s="608"/>
      <c r="F1555" s="760">
        <f t="shared" si="49"/>
        <v>1485.3491488817551</v>
      </c>
      <c r="M1555" s="443"/>
    </row>
    <row r="1556" spans="1:13">
      <c r="A1556" s="639">
        <v>30513</v>
      </c>
      <c r="B1556" s="639">
        <v>1700</v>
      </c>
      <c r="C1556" s="638">
        <v>3862.7489999999998</v>
      </c>
      <c r="D1556" s="633">
        <f t="shared" si="50"/>
        <v>3862.7489999999998</v>
      </c>
      <c r="E1556" s="608"/>
      <c r="F1556" s="760">
        <f t="shared" si="49"/>
        <v>1629.6743536210529</v>
      </c>
      <c r="M1556" s="443"/>
    </row>
    <row r="1557" spans="1:13">
      <c r="A1557" s="639">
        <v>30513</v>
      </c>
      <c r="B1557" s="639">
        <v>1800</v>
      </c>
      <c r="C1557" s="638">
        <v>4309.3410000000003</v>
      </c>
      <c r="D1557" s="633">
        <f t="shared" si="50"/>
        <v>4309.3410000000003</v>
      </c>
      <c r="E1557" s="608"/>
      <c r="F1557" s="760">
        <f t="shared" si="49"/>
        <v>1818.0892697681631</v>
      </c>
      <c r="M1557" s="443"/>
    </row>
    <row r="1558" spans="1:13">
      <c r="A1558" s="639">
        <v>30513</v>
      </c>
      <c r="B1558" s="639">
        <v>1900</v>
      </c>
      <c r="C1558" s="638">
        <v>4857.7550000000001</v>
      </c>
      <c r="D1558" s="633">
        <f t="shared" si="50"/>
        <v>4857.7550000000001</v>
      </c>
      <c r="E1558" s="608"/>
      <c r="F1558" s="760">
        <f t="shared" si="49"/>
        <v>2049.4623750273286</v>
      </c>
      <c r="M1558" s="443"/>
    </row>
    <row r="1559" spans="1:13">
      <c r="A1559" s="639">
        <v>30513</v>
      </c>
      <c r="B1559" s="639">
        <v>2000</v>
      </c>
      <c r="C1559" s="638">
        <v>5143.2939999999999</v>
      </c>
      <c r="D1559" s="633">
        <f t="shared" si="50"/>
        <v>5143.2939999999999</v>
      </c>
      <c r="E1559" s="608"/>
      <c r="F1559" s="760">
        <f t="shared" si="49"/>
        <v>2169.9298413987135</v>
      </c>
      <c r="M1559" s="443"/>
    </row>
    <row r="1560" spans="1:13">
      <c r="A1560" s="639">
        <v>30513</v>
      </c>
      <c r="B1560" s="639">
        <v>2100</v>
      </c>
      <c r="C1560" s="638">
        <v>5056.0950000000003</v>
      </c>
      <c r="D1560" s="633">
        <f t="shared" si="50"/>
        <v>5056.0950000000003</v>
      </c>
      <c r="E1560" s="608"/>
      <c r="F1560" s="760">
        <f t="shared" si="49"/>
        <v>2133.1410223578177</v>
      </c>
      <c r="M1560" s="443"/>
    </row>
    <row r="1561" spans="1:13">
      <c r="A1561" s="639">
        <v>30513</v>
      </c>
      <c r="B1561" s="639">
        <v>2200</v>
      </c>
      <c r="C1561" s="638">
        <v>4800.9520000000002</v>
      </c>
      <c r="D1561" s="633">
        <f t="shared" si="50"/>
        <v>4800.9520000000002</v>
      </c>
      <c r="E1561" s="608"/>
      <c r="F1561" s="760">
        <f t="shared" si="49"/>
        <v>2025.4974753383412</v>
      </c>
      <c r="M1561" s="443"/>
    </row>
    <row r="1562" spans="1:13">
      <c r="A1562" s="639">
        <v>30513</v>
      </c>
      <c r="B1562" s="639">
        <v>2300</v>
      </c>
      <c r="C1562" s="638">
        <v>4345.7370000000001</v>
      </c>
      <c r="D1562" s="633">
        <f t="shared" si="50"/>
        <v>4345.7370000000001</v>
      </c>
      <c r="E1562" s="608"/>
      <c r="F1562" s="760">
        <f t="shared" si="49"/>
        <v>1833.4445589092363</v>
      </c>
      <c r="M1562" s="443"/>
    </row>
    <row r="1563" spans="1:13">
      <c r="A1563" s="639">
        <v>30513</v>
      </c>
      <c r="B1563" s="639">
        <v>2400</v>
      </c>
      <c r="C1563" s="638">
        <v>3770.7510000000002</v>
      </c>
      <c r="D1563" s="633">
        <f t="shared" si="50"/>
        <v>3770.7510000000002</v>
      </c>
      <c r="E1563" s="608"/>
      <c r="F1563" s="760">
        <f t="shared" si="49"/>
        <v>1590.8608606437901</v>
      </c>
      <c r="M1563" s="443"/>
    </row>
    <row r="1564" spans="1:13">
      <c r="A1564" s="639">
        <v>30613</v>
      </c>
      <c r="B1564" s="639">
        <v>100</v>
      </c>
      <c r="C1564" s="638">
        <v>3599.75</v>
      </c>
      <c r="D1564" s="633">
        <f t="shared" si="50"/>
        <v>3599.75</v>
      </c>
      <c r="E1564" s="608"/>
      <c r="F1564" s="760">
        <f t="shared" si="49"/>
        <v>1518.7163997576301</v>
      </c>
      <c r="M1564" s="443"/>
    </row>
    <row r="1565" spans="1:13">
      <c r="A1565" s="639">
        <v>30613</v>
      </c>
      <c r="B1565" s="639">
        <v>200</v>
      </c>
      <c r="C1565" s="638">
        <v>3656.5039999999999</v>
      </c>
      <c r="D1565" s="633">
        <f t="shared" si="50"/>
        <v>3656.5039999999999</v>
      </c>
      <c r="E1565" s="608"/>
      <c r="F1565" s="760">
        <f t="shared" si="49"/>
        <v>1542.6606265933392</v>
      </c>
      <c r="M1565" s="443"/>
    </row>
    <row r="1566" spans="1:13">
      <c r="A1566" s="639">
        <v>30613</v>
      </c>
      <c r="B1566" s="639">
        <v>300</v>
      </c>
      <c r="C1566" s="638">
        <v>3621.2620000000002</v>
      </c>
      <c r="D1566" s="633">
        <f t="shared" si="50"/>
        <v>3621.2620000000002</v>
      </c>
      <c r="E1566" s="608"/>
      <c r="F1566" s="760">
        <f t="shared" si="49"/>
        <v>1527.7922042417154</v>
      </c>
      <c r="M1566" s="443"/>
    </row>
    <row r="1567" spans="1:13">
      <c r="A1567" s="639">
        <v>30613</v>
      </c>
      <c r="B1567" s="639">
        <v>400</v>
      </c>
      <c r="C1567" s="638">
        <v>3629.3670000000002</v>
      </c>
      <c r="D1567" s="633">
        <f t="shared" si="50"/>
        <v>3629.3670000000002</v>
      </c>
      <c r="E1567" s="608"/>
      <c r="F1567" s="760">
        <f t="shared" si="49"/>
        <v>1531.2116629319121</v>
      </c>
      <c r="M1567" s="443"/>
    </row>
    <row r="1568" spans="1:13">
      <c r="A1568" s="639">
        <v>30613</v>
      </c>
      <c r="B1568" s="639">
        <v>500</v>
      </c>
      <c r="C1568" s="638">
        <v>3726.893</v>
      </c>
      <c r="D1568" s="633">
        <f t="shared" si="50"/>
        <v>3726.893</v>
      </c>
      <c r="E1568" s="608"/>
      <c r="F1568" s="760">
        <f t="shared" si="49"/>
        <v>1572.3573912749255</v>
      </c>
      <c r="M1568" s="443"/>
    </row>
    <row r="1569" spans="1:13">
      <c r="A1569" s="639">
        <v>30613</v>
      </c>
      <c r="B1569" s="639">
        <v>600</v>
      </c>
      <c r="C1569" s="638">
        <v>4092.837</v>
      </c>
      <c r="D1569" s="633">
        <f t="shared" si="50"/>
        <v>4092.837</v>
      </c>
      <c r="E1569" s="608"/>
      <c r="F1569" s="760">
        <f t="shared" si="49"/>
        <v>1726.7473222959422</v>
      </c>
      <c r="M1569" s="443"/>
    </row>
    <row r="1570" spans="1:13">
      <c r="A1570" s="639">
        <v>30613</v>
      </c>
      <c r="B1570" s="639">
        <v>700</v>
      </c>
      <c r="C1570" s="638">
        <v>4692.8919999999998</v>
      </c>
      <c r="D1570" s="633">
        <f t="shared" si="50"/>
        <v>4692.8919999999998</v>
      </c>
      <c r="E1570" s="608"/>
      <c r="F1570" s="760">
        <f t="shared" si="49"/>
        <v>1979.9075054354837</v>
      </c>
      <c r="M1570" s="443"/>
    </row>
    <row r="1571" spans="1:13">
      <c r="A1571" s="639">
        <v>30613</v>
      </c>
      <c r="B1571" s="639">
        <v>800</v>
      </c>
      <c r="C1571" s="638">
        <v>4768.9740000000002</v>
      </c>
      <c r="D1571" s="633">
        <f t="shared" si="50"/>
        <v>4768.9740000000002</v>
      </c>
      <c r="E1571" s="608"/>
      <c r="F1571" s="760">
        <f t="shared" si="49"/>
        <v>2012.0061181520225</v>
      </c>
      <c r="M1571" s="443"/>
    </row>
    <row r="1572" spans="1:13">
      <c r="A1572" s="639">
        <v>30613</v>
      </c>
      <c r="B1572" s="639">
        <v>900</v>
      </c>
      <c r="C1572" s="638">
        <v>4578.616</v>
      </c>
      <c r="D1572" s="633">
        <f t="shared" si="50"/>
        <v>4578.616</v>
      </c>
      <c r="E1572" s="608"/>
      <c r="F1572" s="760">
        <f t="shared" ref="F1572:F1635" si="51">(D1572/(MAX($D$1444:$D$2187)))*$M$6</f>
        <v>1931.6950364310524</v>
      </c>
      <c r="M1572" s="443"/>
    </row>
    <row r="1573" spans="1:13">
      <c r="A1573" s="639">
        <v>30613</v>
      </c>
      <c r="B1573" s="639">
        <v>1000</v>
      </c>
      <c r="C1573" s="638">
        <v>4222.1580000000004</v>
      </c>
      <c r="D1573" s="633">
        <f t="shared" si="50"/>
        <v>4222.1580000000004</v>
      </c>
      <c r="E1573" s="608"/>
      <c r="F1573" s="760">
        <f t="shared" si="51"/>
        <v>1781.3072010467049</v>
      </c>
      <c r="M1573" s="443"/>
    </row>
    <row r="1574" spans="1:13">
      <c r="A1574" s="639">
        <v>30613</v>
      </c>
      <c r="B1574" s="639">
        <v>1100</v>
      </c>
      <c r="C1574" s="638">
        <v>4008.5819999999999</v>
      </c>
      <c r="D1574" s="633">
        <f t="shared" si="50"/>
        <v>4008.5819999999999</v>
      </c>
      <c r="E1574" s="608"/>
      <c r="F1574" s="760">
        <f t="shared" si="51"/>
        <v>1691.2005620315965</v>
      </c>
      <c r="M1574" s="443"/>
    </row>
    <row r="1575" spans="1:13">
      <c r="A1575" s="639">
        <v>30613</v>
      </c>
      <c r="B1575" s="639">
        <v>1200</v>
      </c>
      <c r="C1575" s="638">
        <v>3719.4560000000001</v>
      </c>
      <c r="D1575" s="633">
        <f t="shared" si="50"/>
        <v>3719.4560000000001</v>
      </c>
      <c r="E1575" s="608"/>
      <c r="F1575" s="760">
        <f t="shared" si="51"/>
        <v>1569.2197584212558</v>
      </c>
      <c r="M1575" s="443"/>
    </row>
    <row r="1576" spans="1:13">
      <c r="A1576" s="639">
        <v>30613</v>
      </c>
      <c r="B1576" s="639">
        <v>1300</v>
      </c>
      <c r="C1576" s="638">
        <v>3505.788</v>
      </c>
      <c r="D1576" s="633">
        <f t="shared" si="50"/>
        <v>3505.788</v>
      </c>
      <c r="E1576" s="608"/>
      <c r="F1576" s="760">
        <f t="shared" si="51"/>
        <v>1479.0743050693802</v>
      </c>
      <c r="M1576" s="443"/>
    </row>
    <row r="1577" spans="1:13">
      <c r="A1577" s="639">
        <v>30613</v>
      </c>
      <c r="B1577" s="639">
        <v>1400</v>
      </c>
      <c r="C1577" s="638">
        <v>3423.5450000000001</v>
      </c>
      <c r="D1577" s="633">
        <f t="shared" si="50"/>
        <v>3423.5450000000001</v>
      </c>
      <c r="E1577" s="608"/>
      <c r="F1577" s="760">
        <f t="shared" si="51"/>
        <v>1444.3763974743345</v>
      </c>
      <c r="M1577" s="443"/>
    </row>
    <row r="1578" spans="1:13">
      <c r="A1578" s="639">
        <v>30613</v>
      </c>
      <c r="B1578" s="639">
        <v>1500</v>
      </c>
      <c r="C1578" s="638">
        <v>3506.9659999999999</v>
      </c>
      <c r="D1578" s="633">
        <f t="shared" si="50"/>
        <v>3506.9659999999999</v>
      </c>
      <c r="E1578" s="608"/>
      <c r="F1578" s="760">
        <f t="shared" si="51"/>
        <v>1479.5712973379864</v>
      </c>
      <c r="M1578" s="443"/>
    </row>
    <row r="1579" spans="1:13">
      <c r="A1579" s="639">
        <v>30613</v>
      </c>
      <c r="B1579" s="639">
        <v>1600</v>
      </c>
      <c r="C1579" s="638">
        <v>3722.7849999999999</v>
      </c>
      <c r="D1579" s="633">
        <f t="shared" si="50"/>
        <v>3722.7849999999999</v>
      </c>
      <c r="E1579" s="608"/>
      <c r="F1579" s="760">
        <f t="shared" si="51"/>
        <v>1570.6242467592774</v>
      </c>
      <c r="M1579" s="443"/>
    </row>
    <row r="1580" spans="1:13">
      <c r="A1580" s="639">
        <v>30613</v>
      </c>
      <c r="B1580" s="639">
        <v>1700</v>
      </c>
      <c r="C1580" s="638">
        <v>3980.6509999999998</v>
      </c>
      <c r="D1580" s="633">
        <f t="shared" si="50"/>
        <v>3980.6509999999998</v>
      </c>
      <c r="E1580" s="608"/>
      <c r="F1580" s="760">
        <f t="shared" si="51"/>
        <v>1679.4166137680697</v>
      </c>
      <c r="M1580" s="443"/>
    </row>
    <row r="1581" spans="1:13">
      <c r="A1581" s="639">
        <v>30613</v>
      </c>
      <c r="B1581" s="639">
        <v>1800</v>
      </c>
      <c r="C1581" s="638">
        <v>4389.174</v>
      </c>
      <c r="D1581" s="633">
        <f t="shared" si="50"/>
        <v>4389.174</v>
      </c>
      <c r="E1581" s="608"/>
      <c r="F1581" s="760">
        <f t="shared" si="51"/>
        <v>1851.7704104978945</v>
      </c>
      <c r="M1581" s="443"/>
    </row>
    <row r="1582" spans="1:13">
      <c r="A1582" s="639">
        <v>30613</v>
      </c>
      <c r="B1582" s="639">
        <v>1900</v>
      </c>
      <c r="C1582" s="638">
        <v>4839.9399999999996</v>
      </c>
      <c r="D1582" s="633">
        <f t="shared" si="50"/>
        <v>4839.9399999999996</v>
      </c>
      <c r="E1582" s="608"/>
      <c r="F1582" s="760">
        <f t="shared" si="51"/>
        <v>2041.9463162283334</v>
      </c>
      <c r="M1582" s="443"/>
    </row>
    <row r="1583" spans="1:13">
      <c r="A1583" s="639">
        <v>30613</v>
      </c>
      <c r="B1583" s="639">
        <v>2000</v>
      </c>
      <c r="C1583" s="638">
        <v>4965.3249999999998</v>
      </c>
      <c r="D1583" s="633">
        <f t="shared" si="50"/>
        <v>4965.3249999999998</v>
      </c>
      <c r="E1583" s="608"/>
      <c r="F1583" s="760">
        <f t="shared" si="51"/>
        <v>2094.8456163974038</v>
      </c>
      <c r="M1583" s="443"/>
    </row>
    <row r="1584" spans="1:13">
      <c r="A1584" s="639">
        <v>30613</v>
      </c>
      <c r="B1584" s="639">
        <v>2100</v>
      </c>
      <c r="C1584" s="638">
        <v>4899.6989999999996</v>
      </c>
      <c r="D1584" s="633">
        <f t="shared" si="50"/>
        <v>4899.6989999999996</v>
      </c>
      <c r="E1584" s="608"/>
      <c r="F1584" s="760">
        <f t="shared" si="51"/>
        <v>2067.1583374334491</v>
      </c>
      <c r="M1584" s="443"/>
    </row>
    <row r="1585" spans="1:13">
      <c r="A1585" s="639">
        <v>30613</v>
      </c>
      <c r="B1585" s="639">
        <v>2200</v>
      </c>
      <c r="C1585" s="638">
        <v>4581.9840000000004</v>
      </c>
      <c r="D1585" s="633">
        <f t="shared" si="50"/>
        <v>4581.9840000000004</v>
      </c>
      <c r="E1585" s="608"/>
      <c r="F1585" s="760">
        <f t="shared" si="51"/>
        <v>1933.1159786727037</v>
      </c>
      <c r="M1585" s="443"/>
    </row>
    <row r="1586" spans="1:13">
      <c r="A1586" s="639">
        <v>30613</v>
      </c>
      <c r="B1586" s="639">
        <v>2300</v>
      </c>
      <c r="C1586" s="638">
        <v>4055.107</v>
      </c>
      <c r="D1586" s="633">
        <f t="shared" si="50"/>
        <v>4055.107</v>
      </c>
      <c r="E1586" s="608"/>
      <c r="F1586" s="760">
        <f t="shared" si="51"/>
        <v>1710.8292252717447</v>
      </c>
      <c r="M1586" s="443"/>
    </row>
    <row r="1587" spans="1:13">
      <c r="A1587" s="639">
        <v>30613</v>
      </c>
      <c r="B1587" s="639">
        <v>2400</v>
      </c>
      <c r="C1587" s="638">
        <v>3607.05</v>
      </c>
      <c r="D1587" s="633">
        <f t="shared" si="50"/>
        <v>3607.05</v>
      </c>
      <c r="E1587" s="608"/>
      <c r="F1587" s="760">
        <f t="shared" si="51"/>
        <v>1521.7962330011137</v>
      </c>
      <c r="M1587" s="443"/>
    </row>
    <row r="1588" spans="1:13">
      <c r="A1588" s="639">
        <v>30713</v>
      </c>
      <c r="B1588" s="639">
        <v>100</v>
      </c>
      <c r="C1588" s="638">
        <v>3329.94</v>
      </c>
      <c r="D1588" s="633">
        <f t="shared" si="50"/>
        <v>3329.94</v>
      </c>
      <c r="E1588" s="608"/>
      <c r="F1588" s="760">
        <f t="shared" si="51"/>
        <v>1404.8849192885402</v>
      </c>
      <c r="M1588" s="443"/>
    </row>
    <row r="1589" spans="1:13">
      <c r="A1589" s="639">
        <v>30713</v>
      </c>
      <c r="B1589" s="639">
        <v>200</v>
      </c>
      <c r="C1589" s="638">
        <v>3361.7530000000002</v>
      </c>
      <c r="D1589" s="633">
        <f t="shared" si="50"/>
        <v>3361.7530000000002</v>
      </c>
      <c r="E1589" s="608"/>
      <c r="F1589" s="760">
        <f t="shared" si="51"/>
        <v>1418.3066638056564</v>
      </c>
      <c r="M1589" s="443"/>
    </row>
    <row r="1590" spans="1:13">
      <c r="A1590" s="639">
        <v>30713</v>
      </c>
      <c r="B1590" s="639">
        <v>300</v>
      </c>
      <c r="C1590" s="638">
        <v>3325.0990000000002</v>
      </c>
      <c r="D1590" s="633">
        <f t="shared" si="50"/>
        <v>3325.0990000000002</v>
      </c>
      <c r="E1590" s="608"/>
      <c r="F1590" s="760">
        <f t="shared" si="51"/>
        <v>1402.8425257636491</v>
      </c>
      <c r="M1590" s="443"/>
    </row>
    <row r="1591" spans="1:13">
      <c r="A1591" s="639">
        <v>30713</v>
      </c>
      <c r="B1591" s="639">
        <v>400</v>
      </c>
      <c r="C1591" s="638">
        <v>3301.5659999999998</v>
      </c>
      <c r="D1591" s="633">
        <f t="shared" si="50"/>
        <v>3301.5659999999998</v>
      </c>
      <c r="E1591" s="608"/>
      <c r="F1591" s="760">
        <f t="shared" si="51"/>
        <v>1392.91407155558</v>
      </c>
      <c r="M1591" s="443"/>
    </row>
    <row r="1592" spans="1:13">
      <c r="A1592" s="639">
        <v>30713</v>
      </c>
      <c r="B1592" s="639">
        <v>500</v>
      </c>
      <c r="C1592" s="638">
        <v>3428.6660000000002</v>
      </c>
      <c r="D1592" s="633">
        <f t="shared" si="50"/>
        <v>3428.6660000000002</v>
      </c>
      <c r="E1592" s="608"/>
      <c r="F1592" s="760">
        <f t="shared" si="51"/>
        <v>1446.5369215893866</v>
      </c>
      <c r="M1592" s="443"/>
    </row>
    <row r="1593" spans="1:13">
      <c r="A1593" s="639">
        <v>30713</v>
      </c>
      <c r="B1593" s="639">
        <v>600</v>
      </c>
      <c r="C1593" s="638">
        <v>3741.86</v>
      </c>
      <c r="D1593" s="633">
        <f t="shared" si="50"/>
        <v>3741.86</v>
      </c>
      <c r="E1593" s="608"/>
      <c r="F1593" s="760">
        <f t="shared" si="51"/>
        <v>1578.671893213997</v>
      </c>
      <c r="M1593" s="443"/>
    </row>
    <row r="1594" spans="1:13">
      <c r="A1594" s="639">
        <v>30713</v>
      </c>
      <c r="B1594" s="639">
        <v>700</v>
      </c>
      <c r="C1594" s="638">
        <v>4322.0370000000003</v>
      </c>
      <c r="D1594" s="633">
        <f t="shared" si="50"/>
        <v>4322.0370000000003</v>
      </c>
      <c r="E1594" s="608"/>
      <c r="F1594" s="760">
        <f t="shared" si="51"/>
        <v>1823.4456482420358</v>
      </c>
      <c r="M1594" s="443"/>
    </row>
    <row r="1595" spans="1:13">
      <c r="A1595" s="639">
        <v>30713</v>
      </c>
      <c r="B1595" s="639">
        <v>800</v>
      </c>
      <c r="C1595" s="638">
        <v>4499.7520000000004</v>
      </c>
      <c r="D1595" s="633">
        <f t="shared" si="50"/>
        <v>4499.7520000000004</v>
      </c>
      <c r="E1595" s="608"/>
      <c r="F1595" s="760">
        <f t="shared" si="51"/>
        <v>1898.4227119222712</v>
      </c>
      <c r="M1595" s="443"/>
    </row>
    <row r="1596" spans="1:13">
      <c r="A1596" s="639">
        <v>30713</v>
      </c>
      <c r="B1596" s="639">
        <v>900</v>
      </c>
      <c r="C1596" s="638">
        <v>4293.4939999999997</v>
      </c>
      <c r="D1596" s="633">
        <f t="shared" si="50"/>
        <v>4293.4939999999997</v>
      </c>
      <c r="E1596" s="608"/>
      <c r="F1596" s="760">
        <f t="shared" si="51"/>
        <v>1811.403500260014</v>
      </c>
      <c r="M1596" s="443"/>
    </row>
    <row r="1597" spans="1:13">
      <c r="A1597" s="639">
        <v>30713</v>
      </c>
      <c r="B1597" s="639">
        <v>1000</v>
      </c>
      <c r="C1597" s="638">
        <v>3901.0039999999999</v>
      </c>
      <c r="D1597" s="633">
        <f t="shared" si="50"/>
        <v>3901.0039999999999</v>
      </c>
      <c r="E1597" s="608"/>
      <c r="F1597" s="760">
        <f t="shared" si="51"/>
        <v>1645.8139455018024</v>
      </c>
      <c r="M1597" s="443"/>
    </row>
    <row r="1598" spans="1:13">
      <c r="A1598" s="639">
        <v>30713</v>
      </c>
      <c r="B1598" s="639">
        <v>1100</v>
      </c>
      <c r="C1598" s="638">
        <v>3662.7550000000001</v>
      </c>
      <c r="D1598" s="633">
        <f t="shared" si="50"/>
        <v>3662.7550000000001</v>
      </c>
      <c r="E1598" s="608"/>
      <c r="F1598" s="760">
        <f t="shared" si="51"/>
        <v>1545.297892018684</v>
      </c>
      <c r="M1598" s="443"/>
    </row>
    <row r="1599" spans="1:13">
      <c r="A1599" s="639">
        <v>30713</v>
      </c>
      <c r="B1599" s="639">
        <v>1200</v>
      </c>
      <c r="C1599" s="638">
        <v>3626.1</v>
      </c>
      <c r="D1599" s="633">
        <f t="shared" si="50"/>
        <v>3626.1</v>
      </c>
      <c r="E1599" s="608"/>
      <c r="F1599" s="760">
        <f t="shared" si="51"/>
        <v>1529.8333320817117</v>
      </c>
      <c r="M1599" s="443"/>
    </row>
    <row r="1600" spans="1:13">
      <c r="A1600" s="639">
        <v>30713</v>
      </c>
      <c r="B1600" s="639">
        <v>1300</v>
      </c>
      <c r="C1600" s="638">
        <v>3516.3290000000002</v>
      </c>
      <c r="D1600" s="633">
        <f t="shared" si="50"/>
        <v>3516.3290000000002</v>
      </c>
      <c r="E1600" s="608"/>
      <c r="F1600" s="760">
        <f t="shared" si="51"/>
        <v>1483.521499893978</v>
      </c>
      <c r="M1600" s="443"/>
    </row>
    <row r="1601" spans="1:13">
      <c r="A1601" s="639">
        <v>30713</v>
      </c>
      <c r="B1601" s="639">
        <v>1400</v>
      </c>
      <c r="C1601" s="638">
        <v>3374.2640000000001</v>
      </c>
      <c r="D1601" s="633">
        <f t="shared" si="50"/>
        <v>3374.2640000000001</v>
      </c>
      <c r="E1601" s="608"/>
      <c r="F1601" s="760">
        <f t="shared" si="51"/>
        <v>1423.5849917110297</v>
      </c>
      <c r="M1601" s="443"/>
    </row>
    <row r="1602" spans="1:13">
      <c r="A1602" s="639">
        <v>30713</v>
      </c>
      <c r="B1602" s="639">
        <v>1500</v>
      </c>
      <c r="C1602" s="638">
        <v>3500.9009999999998</v>
      </c>
      <c r="D1602" s="633">
        <f t="shared" si="50"/>
        <v>3500.9009999999998</v>
      </c>
      <c r="E1602" s="608"/>
      <c r="F1602" s="760">
        <f t="shared" si="51"/>
        <v>1477.0125043761057</v>
      </c>
      <c r="M1602" s="443"/>
    </row>
    <row r="1603" spans="1:13">
      <c r="A1603" s="639">
        <v>30713</v>
      </c>
      <c r="B1603" s="639">
        <v>1600</v>
      </c>
      <c r="C1603" s="638">
        <v>3578.6039999999998</v>
      </c>
      <c r="D1603" s="633">
        <f t="shared" si="50"/>
        <v>3578.6039999999998</v>
      </c>
      <c r="E1603" s="608"/>
      <c r="F1603" s="760">
        <f t="shared" si="51"/>
        <v>1509.7950088306834</v>
      </c>
      <c r="M1603" s="443"/>
    </row>
    <row r="1604" spans="1:13">
      <c r="A1604" s="639">
        <v>30713</v>
      </c>
      <c r="B1604" s="639">
        <v>1700</v>
      </c>
      <c r="C1604" s="638">
        <v>3979.0749999999998</v>
      </c>
      <c r="D1604" s="633">
        <f t="shared" si="50"/>
        <v>3979.0749999999998</v>
      </c>
      <c r="E1604" s="608"/>
      <c r="F1604" s="760">
        <f t="shared" si="51"/>
        <v>1678.7517073034492</v>
      </c>
      <c r="M1604" s="443"/>
    </row>
    <row r="1605" spans="1:13">
      <c r="A1605" s="639">
        <v>30713</v>
      </c>
      <c r="B1605" s="639">
        <v>1800</v>
      </c>
      <c r="C1605" s="638">
        <v>4152.7030000000004</v>
      </c>
      <c r="D1605" s="633">
        <f t="shared" ref="D1605:D1668" si="52">C1605</f>
        <v>4152.7030000000004</v>
      </c>
      <c r="E1605" s="608"/>
      <c r="F1605" s="760">
        <f t="shared" si="51"/>
        <v>1752.0044862622988</v>
      </c>
      <c r="M1605" s="443"/>
    </row>
    <row r="1606" spans="1:13">
      <c r="A1606" s="639">
        <v>30713</v>
      </c>
      <c r="B1606" s="639">
        <v>1900</v>
      </c>
      <c r="C1606" s="638">
        <v>4649.3280000000004</v>
      </c>
      <c r="D1606" s="633">
        <f t="shared" si="52"/>
        <v>4649.3280000000004</v>
      </c>
      <c r="E1606" s="608"/>
      <c r="F1606" s="760">
        <f t="shared" si="51"/>
        <v>1961.5280731862886</v>
      </c>
      <c r="M1606" s="443"/>
    </row>
    <row r="1607" spans="1:13">
      <c r="A1607" s="639">
        <v>30713</v>
      </c>
      <c r="B1607" s="639">
        <v>2000</v>
      </c>
      <c r="C1607" s="638">
        <v>4803.9690000000001</v>
      </c>
      <c r="D1607" s="633">
        <f t="shared" si="52"/>
        <v>4803.9690000000001</v>
      </c>
      <c r="E1607" s="608"/>
      <c r="F1607" s="760">
        <f t="shared" si="51"/>
        <v>2026.7703324473259</v>
      </c>
      <c r="M1607" s="443"/>
    </row>
    <row r="1608" spans="1:13">
      <c r="A1608" s="639">
        <v>30713</v>
      </c>
      <c r="B1608" s="639">
        <v>2100</v>
      </c>
      <c r="C1608" s="638">
        <v>4804.9610000000002</v>
      </c>
      <c r="D1608" s="633">
        <f t="shared" si="52"/>
        <v>4804.9610000000002</v>
      </c>
      <c r="E1608" s="608"/>
      <c r="F1608" s="760">
        <f t="shared" si="51"/>
        <v>2027.188852252468</v>
      </c>
      <c r="M1608" s="443"/>
    </row>
    <row r="1609" spans="1:13">
      <c r="A1609" s="639">
        <v>30713</v>
      </c>
      <c r="B1609" s="639">
        <v>2200</v>
      </c>
      <c r="C1609" s="638">
        <v>4460.3649999999998</v>
      </c>
      <c r="D1609" s="633">
        <f t="shared" si="52"/>
        <v>4460.3649999999998</v>
      </c>
      <c r="E1609" s="608"/>
      <c r="F1609" s="760">
        <f t="shared" si="51"/>
        <v>1881.8055349412989</v>
      </c>
      <c r="M1609" s="443"/>
    </row>
    <row r="1610" spans="1:13">
      <c r="A1610" s="639">
        <v>30713</v>
      </c>
      <c r="B1610" s="639">
        <v>2300</v>
      </c>
      <c r="C1610" s="638">
        <v>3983.7849999999999</v>
      </c>
      <c r="D1610" s="633">
        <f t="shared" si="52"/>
        <v>3983.7849999999999</v>
      </c>
      <c r="E1610" s="608"/>
      <c r="F1610" s="760">
        <f t="shared" si="51"/>
        <v>1680.7388325879435</v>
      </c>
      <c r="M1610" s="443"/>
    </row>
    <row r="1611" spans="1:13">
      <c r="A1611" s="639">
        <v>30713</v>
      </c>
      <c r="B1611" s="639">
        <v>2400</v>
      </c>
      <c r="C1611" s="638">
        <v>3556.5129999999999</v>
      </c>
      <c r="D1611" s="633">
        <f t="shared" si="52"/>
        <v>3556.5129999999999</v>
      </c>
      <c r="E1611" s="608"/>
      <c r="F1611" s="760">
        <f t="shared" si="51"/>
        <v>1500.4749271619439</v>
      </c>
      <c r="M1611" s="443"/>
    </row>
    <row r="1612" spans="1:13">
      <c r="A1612" s="639">
        <v>30813</v>
      </c>
      <c r="B1612" s="639">
        <v>100</v>
      </c>
      <c r="C1612" s="638">
        <v>3343.0720000000001</v>
      </c>
      <c r="D1612" s="633">
        <f t="shared" si="52"/>
        <v>3343.0720000000001</v>
      </c>
      <c r="E1612" s="608"/>
      <c r="F1612" s="760">
        <f t="shared" si="51"/>
        <v>1410.425243967092</v>
      </c>
      <c r="M1612" s="443"/>
    </row>
    <row r="1613" spans="1:13">
      <c r="A1613" s="639">
        <v>30813</v>
      </c>
      <c r="B1613" s="639">
        <v>200</v>
      </c>
      <c r="C1613" s="638">
        <v>3384.1619999999998</v>
      </c>
      <c r="D1613" s="633">
        <f t="shared" si="52"/>
        <v>3384.1619999999998</v>
      </c>
      <c r="E1613" s="608"/>
      <c r="F1613" s="760">
        <f t="shared" si="51"/>
        <v>1427.7609080732218</v>
      </c>
      <c r="M1613" s="443"/>
    </row>
    <row r="1614" spans="1:13">
      <c r="A1614" s="639">
        <v>30813</v>
      </c>
      <c r="B1614" s="639">
        <v>300</v>
      </c>
      <c r="C1614" s="638">
        <v>3282.663</v>
      </c>
      <c r="D1614" s="633">
        <f t="shared" si="52"/>
        <v>3282.663</v>
      </c>
      <c r="E1614" s="608"/>
      <c r="F1614" s="760">
        <f t="shared" si="51"/>
        <v>1384.9389910348164</v>
      </c>
      <c r="M1614" s="443"/>
    </row>
    <row r="1615" spans="1:13">
      <c r="A1615" s="639">
        <v>30813</v>
      </c>
      <c r="B1615" s="639">
        <v>400</v>
      </c>
      <c r="C1615" s="638">
        <v>3279.0940000000001</v>
      </c>
      <c r="D1615" s="633">
        <f t="shared" si="52"/>
        <v>3279.0940000000001</v>
      </c>
      <c r="E1615" s="608"/>
      <c r="F1615" s="760">
        <f t="shared" si="51"/>
        <v>1383.4332479052284</v>
      </c>
      <c r="M1615" s="443"/>
    </row>
    <row r="1616" spans="1:13">
      <c r="A1616" s="639">
        <v>30813</v>
      </c>
      <c r="B1616" s="639">
        <v>500</v>
      </c>
      <c r="C1616" s="638">
        <v>3404.1089999999999</v>
      </c>
      <c r="D1616" s="633">
        <f t="shared" si="52"/>
        <v>3404.1089999999999</v>
      </c>
      <c r="E1616" s="608"/>
      <c r="F1616" s="760">
        <f t="shared" si="51"/>
        <v>1436.1764469373002</v>
      </c>
      <c r="M1616" s="443"/>
    </row>
    <row r="1617" spans="1:13">
      <c r="A1617" s="639">
        <v>30813</v>
      </c>
      <c r="B1617" s="639">
        <v>600</v>
      </c>
      <c r="C1617" s="638">
        <v>3753.364</v>
      </c>
      <c r="D1617" s="633">
        <f t="shared" si="52"/>
        <v>3753.364</v>
      </c>
      <c r="E1617" s="608"/>
      <c r="F1617" s="760">
        <f t="shared" si="51"/>
        <v>1583.5253728897553</v>
      </c>
      <c r="M1617" s="443"/>
    </row>
    <row r="1618" spans="1:13">
      <c r="A1618" s="639">
        <v>30813</v>
      </c>
      <c r="B1618" s="639">
        <v>700</v>
      </c>
      <c r="C1618" s="638">
        <v>4189.0460000000003</v>
      </c>
      <c r="D1618" s="633">
        <f t="shared" si="52"/>
        <v>4189.0460000000003</v>
      </c>
      <c r="E1618" s="608"/>
      <c r="F1618" s="760">
        <f t="shared" si="51"/>
        <v>1767.3374149702342</v>
      </c>
      <c r="M1618" s="443"/>
    </row>
    <row r="1619" spans="1:13">
      <c r="A1619" s="639">
        <v>30813</v>
      </c>
      <c r="B1619" s="639">
        <v>800</v>
      </c>
      <c r="C1619" s="638">
        <v>4373.5280000000002</v>
      </c>
      <c r="D1619" s="633">
        <f t="shared" si="52"/>
        <v>4373.5280000000002</v>
      </c>
      <c r="E1619" s="608"/>
      <c r="F1619" s="760">
        <f t="shared" si="51"/>
        <v>1845.1694418776826</v>
      </c>
      <c r="M1619" s="443"/>
    </row>
    <row r="1620" spans="1:13">
      <c r="A1620" s="639">
        <v>30813</v>
      </c>
      <c r="B1620" s="639">
        <v>900</v>
      </c>
      <c r="C1620" s="638">
        <v>4117.2659999999996</v>
      </c>
      <c r="D1620" s="633">
        <f t="shared" si="52"/>
        <v>4117.2659999999996</v>
      </c>
      <c r="E1620" s="608"/>
      <c r="F1620" s="760">
        <f t="shared" si="51"/>
        <v>1737.0537943925265</v>
      </c>
      <c r="M1620" s="443"/>
    </row>
    <row r="1621" spans="1:13">
      <c r="A1621" s="639">
        <v>30813</v>
      </c>
      <c r="B1621" s="639">
        <v>1000</v>
      </c>
      <c r="C1621" s="638">
        <v>3802.7</v>
      </c>
      <c r="D1621" s="633">
        <f t="shared" si="52"/>
        <v>3802.7</v>
      </c>
      <c r="E1621" s="608"/>
      <c r="F1621" s="760">
        <f t="shared" si="51"/>
        <v>1604.3399828761274</v>
      </c>
      <c r="M1621" s="443"/>
    </row>
    <row r="1622" spans="1:13">
      <c r="A1622" s="639">
        <v>30813</v>
      </c>
      <c r="B1622" s="639">
        <v>1100</v>
      </c>
      <c r="C1622" s="638">
        <v>3482.8009999999999</v>
      </c>
      <c r="D1622" s="633">
        <f t="shared" si="52"/>
        <v>3482.8009999999999</v>
      </c>
      <c r="E1622" s="608"/>
      <c r="F1622" s="760">
        <f t="shared" si="51"/>
        <v>1469.3762055121251</v>
      </c>
      <c r="M1622" s="443"/>
    </row>
    <row r="1623" spans="1:13">
      <c r="A1623" s="639">
        <v>30813</v>
      </c>
      <c r="B1623" s="639">
        <v>1200</v>
      </c>
      <c r="C1623" s="638">
        <v>3394.7559999999999</v>
      </c>
      <c r="D1623" s="633">
        <f t="shared" si="52"/>
        <v>3394.7559999999999</v>
      </c>
      <c r="E1623" s="608"/>
      <c r="F1623" s="760">
        <f t="shared" si="51"/>
        <v>1432.230463330957</v>
      </c>
      <c r="M1623" s="443"/>
    </row>
    <row r="1624" spans="1:13">
      <c r="A1624" s="639">
        <v>30813</v>
      </c>
      <c r="B1624" s="639">
        <v>1300</v>
      </c>
      <c r="C1624" s="638">
        <v>3299.9949999999999</v>
      </c>
      <c r="D1624" s="633">
        <f t="shared" si="52"/>
        <v>3299.9949999999999</v>
      </c>
      <c r="E1624" s="608"/>
      <c r="F1624" s="760">
        <f t="shared" si="51"/>
        <v>1392.2512745657837</v>
      </c>
      <c r="M1624" s="443"/>
    </row>
    <row r="1625" spans="1:13">
      <c r="A1625" s="639">
        <v>30813</v>
      </c>
      <c r="B1625" s="639">
        <v>1400</v>
      </c>
      <c r="C1625" s="638">
        <v>3223.39</v>
      </c>
      <c r="D1625" s="633">
        <f t="shared" si="52"/>
        <v>3223.39</v>
      </c>
      <c r="E1625" s="608"/>
      <c r="F1625" s="760">
        <f t="shared" si="51"/>
        <v>1359.9320107826229</v>
      </c>
      <c r="M1625" s="443"/>
    </row>
    <row r="1626" spans="1:13">
      <c r="A1626" s="639">
        <v>30813</v>
      </c>
      <c r="B1626" s="639">
        <v>1500</v>
      </c>
      <c r="C1626" s="638">
        <v>3255.8510000000001</v>
      </c>
      <c r="D1626" s="633">
        <f t="shared" si="52"/>
        <v>3255.8510000000001</v>
      </c>
      <c r="E1626" s="608"/>
      <c r="F1626" s="760">
        <f t="shared" si="51"/>
        <v>1373.627143236969</v>
      </c>
      <c r="M1626" s="443"/>
    </row>
    <row r="1627" spans="1:13">
      <c r="A1627" s="639">
        <v>30813</v>
      </c>
      <c r="B1627" s="639">
        <v>1600</v>
      </c>
      <c r="C1627" s="638">
        <v>3313.9810000000002</v>
      </c>
      <c r="D1627" s="633">
        <f t="shared" si="52"/>
        <v>3313.9810000000002</v>
      </c>
      <c r="E1627" s="608"/>
      <c r="F1627" s="760">
        <f t="shared" si="51"/>
        <v>1398.1518975443269</v>
      </c>
      <c r="M1627" s="443"/>
    </row>
    <row r="1628" spans="1:13">
      <c r="A1628" s="639">
        <v>30813</v>
      </c>
      <c r="B1628" s="639">
        <v>1700</v>
      </c>
      <c r="C1628" s="638">
        <v>3470.759</v>
      </c>
      <c r="D1628" s="633">
        <f t="shared" si="52"/>
        <v>3470.759</v>
      </c>
      <c r="E1628" s="608"/>
      <c r="F1628" s="760">
        <f t="shared" si="51"/>
        <v>1464.2957463452717</v>
      </c>
      <c r="M1628" s="443"/>
    </row>
    <row r="1629" spans="1:13">
      <c r="A1629" s="639">
        <v>30813</v>
      </c>
      <c r="B1629" s="639">
        <v>1800</v>
      </c>
      <c r="C1629" s="638">
        <v>3769.8090000000002</v>
      </c>
      <c r="D1629" s="633">
        <f t="shared" si="52"/>
        <v>3769.8090000000002</v>
      </c>
      <c r="E1629" s="608"/>
      <c r="F1629" s="760">
        <f t="shared" si="51"/>
        <v>1590.4634355868911</v>
      </c>
      <c r="M1629" s="443"/>
    </row>
    <row r="1630" spans="1:13">
      <c r="A1630" s="639">
        <v>30813</v>
      </c>
      <c r="B1630" s="639">
        <v>1900</v>
      </c>
      <c r="C1630" s="638">
        <v>4221.7830000000004</v>
      </c>
      <c r="D1630" s="633">
        <f t="shared" si="52"/>
        <v>4221.7830000000004</v>
      </c>
      <c r="E1630" s="608"/>
      <c r="F1630" s="760">
        <f t="shared" si="51"/>
        <v>1781.1489904348821</v>
      </c>
      <c r="M1630" s="443"/>
    </row>
    <row r="1631" spans="1:13">
      <c r="A1631" s="639">
        <v>30813</v>
      </c>
      <c r="B1631" s="639">
        <v>2000</v>
      </c>
      <c r="C1631" s="638">
        <v>4568.2359999999999</v>
      </c>
      <c r="D1631" s="633">
        <f t="shared" si="52"/>
        <v>4568.2359999999999</v>
      </c>
      <c r="E1631" s="608"/>
      <c r="F1631" s="760">
        <f t="shared" si="51"/>
        <v>1927.3157666957973</v>
      </c>
      <c r="M1631" s="443"/>
    </row>
    <row r="1632" spans="1:13">
      <c r="A1632" s="639">
        <v>30813</v>
      </c>
      <c r="B1632" s="639">
        <v>2100</v>
      </c>
      <c r="C1632" s="638">
        <v>4487.6019999999999</v>
      </c>
      <c r="D1632" s="633">
        <f t="shared" si="52"/>
        <v>4487.6019999999999</v>
      </c>
      <c r="E1632" s="608"/>
      <c r="F1632" s="760">
        <f t="shared" si="51"/>
        <v>1893.2966880992121</v>
      </c>
      <c r="M1632" s="443"/>
    </row>
    <row r="1633" spans="1:13">
      <c r="A1633" s="639">
        <v>30813</v>
      </c>
      <c r="B1633" s="639">
        <v>2200</v>
      </c>
      <c r="C1633" s="638">
        <v>4381.9480000000003</v>
      </c>
      <c r="D1633" s="633">
        <f t="shared" si="52"/>
        <v>4381.9480000000003</v>
      </c>
      <c r="E1633" s="608"/>
      <c r="F1633" s="760">
        <f t="shared" si="51"/>
        <v>1848.7217974818104</v>
      </c>
      <c r="M1633" s="443"/>
    </row>
    <row r="1634" spans="1:13">
      <c r="A1634" s="639">
        <v>30813</v>
      </c>
      <c r="B1634" s="639">
        <v>2300</v>
      </c>
      <c r="C1634" s="638">
        <v>3974.9029999999998</v>
      </c>
      <c r="D1634" s="633">
        <f t="shared" si="52"/>
        <v>3974.9029999999998</v>
      </c>
      <c r="E1634" s="608"/>
      <c r="F1634" s="760">
        <f t="shared" si="51"/>
        <v>1676.9915615100499</v>
      </c>
      <c r="M1634" s="443"/>
    </row>
    <row r="1635" spans="1:13">
      <c r="A1635" s="639">
        <v>30813</v>
      </c>
      <c r="B1635" s="639">
        <v>2400</v>
      </c>
      <c r="C1635" s="638">
        <v>3635.4380000000001</v>
      </c>
      <c r="D1635" s="633">
        <f t="shared" si="52"/>
        <v>3635.4380000000001</v>
      </c>
      <c r="E1635" s="608"/>
      <c r="F1635" s="760">
        <f t="shared" si="51"/>
        <v>1533.7729872635819</v>
      </c>
      <c r="M1635" s="443"/>
    </row>
    <row r="1636" spans="1:13">
      <c r="A1636" s="639">
        <v>30913</v>
      </c>
      <c r="B1636" s="639">
        <v>100</v>
      </c>
      <c r="C1636" s="638">
        <v>3410.95</v>
      </c>
      <c r="D1636" s="633">
        <f t="shared" si="52"/>
        <v>3410.95</v>
      </c>
      <c r="E1636" s="608"/>
      <c r="F1636" s="760">
        <f t="shared" ref="F1636:F1699" si="53">(D1636/(MAX($D$1444:$D$2187)))*$M$6</f>
        <v>1439.0626303919128</v>
      </c>
      <c r="M1636" s="443"/>
    </row>
    <row r="1637" spans="1:13">
      <c r="A1637" s="639">
        <v>30913</v>
      </c>
      <c r="B1637" s="639">
        <v>200</v>
      </c>
      <c r="C1637" s="638">
        <v>3430.29</v>
      </c>
      <c r="D1637" s="633">
        <f t="shared" si="52"/>
        <v>3430.29</v>
      </c>
      <c r="E1637" s="608"/>
      <c r="F1637" s="760">
        <f t="shared" si="53"/>
        <v>1447.2220790123204</v>
      </c>
      <c r="M1637" s="443"/>
    </row>
    <row r="1638" spans="1:13">
      <c r="A1638" s="639">
        <v>30913</v>
      </c>
      <c r="B1638" s="639">
        <v>300</v>
      </c>
      <c r="C1638" s="638">
        <v>3357.5709999999999</v>
      </c>
      <c r="D1638" s="633">
        <f t="shared" si="52"/>
        <v>3357.5709999999999</v>
      </c>
      <c r="E1638" s="608"/>
      <c r="F1638" s="760">
        <f t="shared" si="53"/>
        <v>1416.5422990626084</v>
      </c>
      <c r="M1638" s="443"/>
    </row>
    <row r="1639" spans="1:13">
      <c r="A1639" s="639">
        <v>30913</v>
      </c>
      <c r="B1639" s="639">
        <v>400</v>
      </c>
      <c r="C1639" s="638">
        <v>3387.5569999999998</v>
      </c>
      <c r="D1639" s="633">
        <f t="shared" si="52"/>
        <v>3387.5569999999998</v>
      </c>
      <c r="E1639" s="608"/>
      <c r="F1639" s="760">
        <f t="shared" si="53"/>
        <v>1429.1932414789242</v>
      </c>
      <c r="M1639" s="443"/>
    </row>
    <row r="1640" spans="1:13">
      <c r="A1640" s="639">
        <v>30913</v>
      </c>
      <c r="B1640" s="639">
        <v>500</v>
      </c>
      <c r="C1640" s="638">
        <v>3486.7730000000001</v>
      </c>
      <c r="D1640" s="633">
        <f t="shared" si="52"/>
        <v>3486.7730000000001</v>
      </c>
      <c r="E1640" s="608"/>
      <c r="F1640" s="760">
        <f t="shared" si="53"/>
        <v>1471.0519723125524</v>
      </c>
      <c r="M1640" s="443"/>
    </row>
    <row r="1641" spans="1:13">
      <c r="A1641" s="639">
        <v>30913</v>
      </c>
      <c r="B1641" s="639">
        <v>600</v>
      </c>
      <c r="C1641" s="638">
        <v>3638.6880000000001</v>
      </c>
      <c r="D1641" s="633">
        <f t="shared" si="52"/>
        <v>3638.6880000000001</v>
      </c>
      <c r="E1641" s="608"/>
      <c r="F1641" s="760">
        <f t="shared" si="53"/>
        <v>1535.1441458993795</v>
      </c>
      <c r="M1641" s="443"/>
    </row>
    <row r="1642" spans="1:13">
      <c r="A1642" s="639">
        <v>30913</v>
      </c>
      <c r="B1642" s="639">
        <v>700</v>
      </c>
      <c r="C1642" s="638">
        <v>3842.498</v>
      </c>
      <c r="D1642" s="633">
        <f t="shared" si="52"/>
        <v>3842.498</v>
      </c>
      <c r="E1642" s="608"/>
      <c r="F1642" s="760">
        <f t="shared" si="53"/>
        <v>1621.130558687657</v>
      </c>
      <c r="M1642" s="443"/>
    </row>
    <row r="1643" spans="1:13">
      <c r="A1643" s="639">
        <v>30913</v>
      </c>
      <c r="B1643" s="639">
        <v>800</v>
      </c>
      <c r="C1643" s="638">
        <v>3928.6060000000002</v>
      </c>
      <c r="D1643" s="633">
        <f t="shared" si="52"/>
        <v>3928.6060000000002</v>
      </c>
      <c r="E1643" s="608"/>
      <c r="F1643" s="760">
        <f t="shared" si="53"/>
        <v>1657.4590903218902</v>
      </c>
      <c r="M1643" s="443"/>
    </row>
    <row r="1644" spans="1:13">
      <c r="A1644" s="639">
        <v>30913</v>
      </c>
      <c r="B1644" s="639">
        <v>900</v>
      </c>
      <c r="C1644" s="638">
        <v>3803.145</v>
      </c>
      <c r="D1644" s="633">
        <f t="shared" si="52"/>
        <v>3803.145</v>
      </c>
      <c r="E1644" s="608"/>
      <c r="F1644" s="760">
        <f t="shared" si="53"/>
        <v>1604.5277261354904</v>
      </c>
      <c r="M1644" s="443"/>
    </row>
    <row r="1645" spans="1:13">
      <c r="A1645" s="639">
        <v>30913</v>
      </c>
      <c r="B1645" s="639">
        <v>1000</v>
      </c>
      <c r="C1645" s="638">
        <v>3811.4110000000001</v>
      </c>
      <c r="D1645" s="633">
        <f t="shared" si="52"/>
        <v>3811.4110000000001</v>
      </c>
      <c r="E1645" s="608"/>
      <c r="F1645" s="760">
        <f t="shared" si="53"/>
        <v>1608.0151099150298</v>
      </c>
      <c r="M1645" s="443"/>
    </row>
    <row r="1646" spans="1:13">
      <c r="A1646" s="639">
        <v>30913</v>
      </c>
      <c r="B1646" s="639">
        <v>1100</v>
      </c>
      <c r="C1646" s="638">
        <v>3767.451</v>
      </c>
      <c r="D1646" s="633">
        <f t="shared" si="52"/>
        <v>3767.451</v>
      </c>
      <c r="E1646" s="608"/>
      <c r="F1646" s="760">
        <f t="shared" si="53"/>
        <v>1589.4686072597492</v>
      </c>
      <c r="M1646" s="443"/>
    </row>
    <row r="1647" spans="1:13">
      <c r="A1647" s="639">
        <v>30913</v>
      </c>
      <c r="B1647" s="639">
        <v>1200</v>
      </c>
      <c r="C1647" s="638">
        <v>3788.2359999999999</v>
      </c>
      <c r="D1647" s="633">
        <f t="shared" si="52"/>
        <v>3788.2359999999999</v>
      </c>
      <c r="E1647" s="608"/>
      <c r="F1647" s="760">
        <f t="shared" si="53"/>
        <v>1598.2376941043808</v>
      </c>
      <c r="M1647" s="443"/>
    </row>
    <row r="1648" spans="1:13">
      <c r="A1648" s="639">
        <v>30913</v>
      </c>
      <c r="B1648" s="639">
        <v>1300</v>
      </c>
      <c r="C1648" s="638">
        <v>3610.3519999999999</v>
      </c>
      <c r="D1648" s="633">
        <f t="shared" si="52"/>
        <v>3610.3519999999999</v>
      </c>
      <c r="E1648" s="608"/>
      <c r="F1648" s="760">
        <f t="shared" si="53"/>
        <v>1523.189330175084</v>
      </c>
      <c r="M1648" s="443"/>
    </row>
    <row r="1649" spans="1:13">
      <c r="A1649" s="639">
        <v>30913</v>
      </c>
      <c r="B1649" s="639">
        <v>1400</v>
      </c>
      <c r="C1649" s="638">
        <v>3495.5360000000001</v>
      </c>
      <c r="D1649" s="633">
        <f t="shared" si="52"/>
        <v>3495.5360000000001</v>
      </c>
      <c r="E1649" s="608"/>
      <c r="F1649" s="760">
        <f t="shared" si="53"/>
        <v>1474.7490378896277</v>
      </c>
      <c r="M1649" s="443"/>
    </row>
    <row r="1650" spans="1:13">
      <c r="A1650" s="639">
        <v>30913</v>
      </c>
      <c r="B1650" s="639">
        <v>1500</v>
      </c>
      <c r="C1650" s="638">
        <v>3394.0889999999999</v>
      </c>
      <c r="D1650" s="633">
        <f t="shared" si="52"/>
        <v>3394.0889999999999</v>
      </c>
      <c r="E1650" s="608"/>
      <c r="F1650" s="760">
        <f t="shared" si="53"/>
        <v>1431.9490593893947</v>
      </c>
      <c r="M1650" s="443"/>
    </row>
    <row r="1651" spans="1:13">
      <c r="A1651" s="639">
        <v>30913</v>
      </c>
      <c r="B1651" s="639">
        <v>1600</v>
      </c>
      <c r="C1651" s="638">
        <v>3383.989</v>
      </c>
      <c r="D1651" s="633">
        <f t="shared" si="52"/>
        <v>3383.989</v>
      </c>
      <c r="E1651" s="608"/>
      <c r="F1651" s="760">
        <f t="shared" si="53"/>
        <v>1427.6879202443008</v>
      </c>
      <c r="M1651" s="443"/>
    </row>
    <row r="1652" spans="1:13">
      <c r="A1652" s="639">
        <v>30913</v>
      </c>
      <c r="B1652" s="639">
        <v>1700</v>
      </c>
      <c r="C1652" s="638">
        <v>3514.817</v>
      </c>
      <c r="D1652" s="633">
        <f t="shared" si="52"/>
        <v>3514.817</v>
      </c>
      <c r="E1652" s="608"/>
      <c r="F1652" s="760">
        <f t="shared" si="53"/>
        <v>1482.8835947071084</v>
      </c>
      <c r="M1652" s="443"/>
    </row>
    <row r="1653" spans="1:13">
      <c r="A1653" s="639">
        <v>30913</v>
      </c>
      <c r="B1653" s="639">
        <v>1800</v>
      </c>
      <c r="C1653" s="638">
        <v>3824.24</v>
      </c>
      <c r="D1653" s="633">
        <f t="shared" si="52"/>
        <v>3824.24</v>
      </c>
      <c r="E1653" s="608"/>
      <c r="F1653" s="760">
        <f t="shared" si="53"/>
        <v>1613.4276004192286</v>
      </c>
      <c r="M1653" s="443"/>
    </row>
    <row r="1654" spans="1:13">
      <c r="A1654" s="639">
        <v>30913</v>
      </c>
      <c r="B1654" s="639">
        <v>1900</v>
      </c>
      <c r="C1654" s="638">
        <v>4281.9459999999999</v>
      </c>
      <c r="D1654" s="633">
        <f t="shared" si="52"/>
        <v>4281.9459999999999</v>
      </c>
      <c r="E1654" s="608"/>
      <c r="F1654" s="760">
        <f t="shared" si="53"/>
        <v>1806.5314572058014</v>
      </c>
      <c r="M1654" s="443"/>
    </row>
    <row r="1655" spans="1:13">
      <c r="A1655" s="639">
        <v>30913</v>
      </c>
      <c r="B1655" s="639">
        <v>2000</v>
      </c>
      <c r="C1655" s="638">
        <v>4450.1660000000002</v>
      </c>
      <c r="D1655" s="633">
        <f t="shared" si="52"/>
        <v>4450.1660000000002</v>
      </c>
      <c r="E1655" s="608"/>
      <c r="F1655" s="760">
        <f t="shared" si="53"/>
        <v>1877.5026281946839</v>
      </c>
      <c r="M1655" s="443"/>
    </row>
    <row r="1656" spans="1:13">
      <c r="A1656" s="639">
        <v>30913</v>
      </c>
      <c r="B1656" s="639">
        <v>2100</v>
      </c>
      <c r="C1656" s="638">
        <v>4293.0749999999998</v>
      </c>
      <c r="D1656" s="633">
        <f t="shared" si="52"/>
        <v>4293.0749999999998</v>
      </c>
      <c r="E1656" s="608"/>
      <c r="F1656" s="760">
        <f t="shared" si="53"/>
        <v>1811.2267262697374</v>
      </c>
      <c r="M1656" s="443"/>
    </row>
    <row r="1657" spans="1:13">
      <c r="A1657" s="639">
        <v>30913</v>
      </c>
      <c r="B1657" s="639">
        <v>2200</v>
      </c>
      <c r="C1657" s="638">
        <v>4138.6670000000004</v>
      </c>
      <c r="D1657" s="633">
        <f t="shared" si="52"/>
        <v>4138.6670000000004</v>
      </c>
      <c r="E1657" s="608"/>
      <c r="F1657" s="760">
        <f t="shared" si="53"/>
        <v>1746.0827685355127</v>
      </c>
      <c r="M1657" s="443"/>
    </row>
    <row r="1658" spans="1:13">
      <c r="A1658" s="639">
        <v>30913</v>
      </c>
      <c r="B1658" s="639">
        <v>2300</v>
      </c>
      <c r="C1658" s="638">
        <v>3846.6190000000001</v>
      </c>
      <c r="D1658" s="633">
        <f t="shared" si="52"/>
        <v>3846.6190000000001</v>
      </c>
      <c r="E1658" s="608"/>
      <c r="F1658" s="760">
        <f t="shared" si="53"/>
        <v>1622.8691878378484</v>
      </c>
      <c r="M1658" s="443"/>
    </row>
    <row r="1659" spans="1:13">
      <c r="A1659" s="639">
        <v>30913</v>
      </c>
      <c r="B1659" s="639">
        <v>2400</v>
      </c>
      <c r="C1659" s="638">
        <v>3439.5320000000002</v>
      </c>
      <c r="D1659" s="633">
        <f t="shared" si="52"/>
        <v>3439.5320000000002</v>
      </c>
      <c r="E1659" s="608"/>
      <c r="F1659" s="760">
        <f t="shared" si="53"/>
        <v>1451.1212322775639</v>
      </c>
      <c r="M1659" s="443"/>
    </row>
    <row r="1660" spans="1:13">
      <c r="A1660" s="639">
        <v>31013</v>
      </c>
      <c r="B1660" s="639">
        <v>100</v>
      </c>
      <c r="C1660" s="638">
        <v>3298.85</v>
      </c>
      <c r="D1660" s="633">
        <f t="shared" si="52"/>
        <v>3298.85</v>
      </c>
      <c r="E1660" s="608"/>
      <c r="F1660" s="760">
        <f t="shared" si="53"/>
        <v>1391.768204831018</v>
      </c>
      <c r="M1660" s="443"/>
    </row>
    <row r="1661" spans="1:13">
      <c r="A1661" s="639">
        <v>31013</v>
      </c>
      <c r="B1661" s="639">
        <v>200</v>
      </c>
      <c r="C1661" s="638">
        <v>3344.9319999999998</v>
      </c>
      <c r="D1661" s="633">
        <f t="shared" si="52"/>
        <v>3344.9319999999998</v>
      </c>
      <c r="E1661" s="608"/>
      <c r="F1661" s="760">
        <f t="shared" si="53"/>
        <v>1411.2099686017332</v>
      </c>
      <c r="M1661" s="443"/>
    </row>
    <row r="1662" spans="1:13">
      <c r="A1662" s="639">
        <v>31013</v>
      </c>
      <c r="B1662" s="639">
        <v>300</v>
      </c>
      <c r="C1662" s="638">
        <v>3235.212</v>
      </c>
      <c r="D1662" s="633">
        <f t="shared" si="52"/>
        <v>3235.212</v>
      </c>
      <c r="E1662" s="608"/>
      <c r="F1662" s="760">
        <f t="shared" si="53"/>
        <v>1364.9196530572071</v>
      </c>
      <c r="M1662" s="443"/>
    </row>
    <row r="1663" spans="1:13">
      <c r="A1663" s="639">
        <v>31013</v>
      </c>
      <c r="B1663" s="639">
        <v>400</v>
      </c>
      <c r="C1663" s="638">
        <v>3197.4470000000001</v>
      </c>
      <c r="D1663" s="633">
        <f t="shared" si="52"/>
        <v>3197.4470000000001</v>
      </c>
      <c r="E1663" s="608"/>
      <c r="F1663" s="760">
        <f t="shared" si="53"/>
        <v>1348.9867897092395</v>
      </c>
      <c r="M1663" s="443"/>
    </row>
    <row r="1664" spans="1:13">
      <c r="A1664" s="639">
        <v>31013</v>
      </c>
      <c r="B1664" s="639">
        <v>500</v>
      </c>
      <c r="C1664" s="638">
        <v>3253.8690000000001</v>
      </c>
      <c r="D1664" s="633">
        <f t="shared" si="52"/>
        <v>3253.8690000000001</v>
      </c>
      <c r="E1664" s="608"/>
      <c r="F1664" s="760">
        <f t="shared" si="53"/>
        <v>1372.7909474166152</v>
      </c>
      <c r="M1664" s="443"/>
    </row>
    <row r="1665" spans="1:13">
      <c r="A1665" s="639">
        <v>31013</v>
      </c>
      <c r="B1665" s="639">
        <v>600</v>
      </c>
      <c r="C1665" s="638">
        <v>3363.1709999999998</v>
      </c>
      <c r="D1665" s="633">
        <f t="shared" si="52"/>
        <v>3363.1709999999998</v>
      </c>
      <c r="E1665" s="608"/>
      <c r="F1665" s="760">
        <f t="shared" si="53"/>
        <v>1418.9049108658289</v>
      </c>
      <c r="M1665" s="443"/>
    </row>
    <row r="1666" spans="1:13">
      <c r="A1666" s="639">
        <v>31013</v>
      </c>
      <c r="B1666" s="639">
        <v>700</v>
      </c>
      <c r="C1666" s="638">
        <v>3617.3380000000002</v>
      </c>
      <c r="D1666" s="633">
        <f t="shared" si="52"/>
        <v>3617.3380000000002</v>
      </c>
      <c r="E1666" s="608"/>
      <c r="F1666" s="760">
        <f t="shared" si="53"/>
        <v>1526.1366883996016</v>
      </c>
      <c r="M1666" s="443"/>
    </row>
    <row r="1667" spans="1:13">
      <c r="A1667" s="639">
        <v>31013</v>
      </c>
      <c r="B1667" s="639">
        <v>800</v>
      </c>
      <c r="C1667" s="638">
        <v>3819.029</v>
      </c>
      <c r="D1667" s="633">
        <f t="shared" si="52"/>
        <v>3819.029</v>
      </c>
      <c r="E1667" s="608"/>
      <c r="F1667" s="760">
        <f t="shared" si="53"/>
        <v>1611.2291057573391</v>
      </c>
      <c r="M1667" s="443"/>
    </row>
    <row r="1668" spans="1:13">
      <c r="A1668" s="639">
        <v>31013</v>
      </c>
      <c r="B1668" s="639">
        <v>900</v>
      </c>
      <c r="C1668" s="638">
        <v>3859.2849999999999</v>
      </c>
      <c r="D1668" s="633">
        <f t="shared" si="52"/>
        <v>3859.2849999999999</v>
      </c>
      <c r="E1668" s="608"/>
      <c r="F1668" s="760">
        <f t="shared" si="53"/>
        <v>1628.2129094627751</v>
      </c>
      <c r="M1668" s="443"/>
    </row>
    <row r="1669" spans="1:13">
      <c r="A1669" s="639">
        <v>31013</v>
      </c>
      <c r="B1669" s="639">
        <v>1000</v>
      </c>
      <c r="C1669" s="638">
        <v>3710.4160000000002</v>
      </c>
      <c r="D1669" s="633">
        <f t="shared" ref="D1669:D1732" si="54">C1669</f>
        <v>3710.4160000000002</v>
      </c>
      <c r="E1669" s="608"/>
      <c r="F1669" s="760">
        <f t="shared" si="53"/>
        <v>1565.4058279389144</v>
      </c>
      <c r="M1669" s="443"/>
    </row>
    <row r="1670" spans="1:13">
      <c r="A1670" s="639">
        <v>31013</v>
      </c>
      <c r="B1670" s="639">
        <v>1100</v>
      </c>
      <c r="C1670" s="638">
        <v>3918.59</v>
      </c>
      <c r="D1670" s="633">
        <f t="shared" si="54"/>
        <v>3918.59</v>
      </c>
      <c r="E1670" s="608"/>
      <c r="F1670" s="760">
        <f t="shared" si="53"/>
        <v>1653.2333903538442</v>
      </c>
      <c r="M1670" s="443"/>
    </row>
    <row r="1671" spans="1:13">
      <c r="A1671" s="639">
        <v>31013</v>
      </c>
      <c r="B1671" s="639">
        <v>1200</v>
      </c>
      <c r="C1671" s="638">
        <v>3698.3389999999999</v>
      </c>
      <c r="D1671" s="633">
        <f t="shared" si="54"/>
        <v>3698.3389999999999</v>
      </c>
      <c r="E1671" s="608"/>
      <c r="F1671" s="760">
        <f t="shared" si="53"/>
        <v>1560.3106024482904</v>
      </c>
      <c r="M1671" s="443"/>
    </row>
    <row r="1672" spans="1:13">
      <c r="A1672" s="639">
        <v>31013</v>
      </c>
      <c r="B1672" s="639">
        <v>1300</v>
      </c>
      <c r="C1672" s="638">
        <v>3398.8130000000001</v>
      </c>
      <c r="D1672" s="633">
        <f t="shared" si="54"/>
        <v>3398.8130000000001</v>
      </c>
      <c r="E1672" s="608"/>
      <c r="F1672" s="760">
        <f t="shared" si="53"/>
        <v>1433.9420912033975</v>
      </c>
      <c r="M1672" s="443"/>
    </row>
    <row r="1673" spans="1:13">
      <c r="A1673" s="639">
        <v>31013</v>
      </c>
      <c r="B1673" s="639">
        <v>1400</v>
      </c>
      <c r="C1673" s="638">
        <v>3333.498</v>
      </c>
      <c r="D1673" s="633">
        <f t="shared" si="54"/>
        <v>3333.498</v>
      </c>
      <c r="E1673" s="608"/>
      <c r="F1673" s="760">
        <f t="shared" si="53"/>
        <v>1406.3860215735149</v>
      </c>
      <c r="M1673" s="443"/>
    </row>
    <row r="1674" spans="1:13">
      <c r="A1674" s="639">
        <v>31013</v>
      </c>
      <c r="B1674" s="639">
        <v>1500</v>
      </c>
      <c r="C1674" s="638">
        <v>3356.7559999999999</v>
      </c>
      <c r="D1674" s="633">
        <f t="shared" si="54"/>
        <v>3356.7559999999999</v>
      </c>
      <c r="E1674" s="608"/>
      <c r="F1674" s="760">
        <f t="shared" si="53"/>
        <v>1416.198454666247</v>
      </c>
      <c r="M1674" s="443"/>
    </row>
    <row r="1675" spans="1:13">
      <c r="A1675" s="639">
        <v>31013</v>
      </c>
      <c r="B1675" s="639">
        <v>1600</v>
      </c>
      <c r="C1675" s="638">
        <v>3570.7370000000001</v>
      </c>
      <c r="D1675" s="633">
        <f t="shared" si="54"/>
        <v>3570.7370000000001</v>
      </c>
      <c r="E1675" s="608"/>
      <c r="F1675" s="760">
        <f t="shared" si="53"/>
        <v>1506.4759611421239</v>
      </c>
      <c r="M1675" s="443"/>
    </row>
    <row r="1676" spans="1:13">
      <c r="A1676" s="639">
        <v>31013</v>
      </c>
      <c r="B1676" s="639">
        <v>1700</v>
      </c>
      <c r="C1676" s="638">
        <v>3740.4969999999998</v>
      </c>
      <c r="D1676" s="633">
        <f t="shared" si="54"/>
        <v>3740.4969999999998</v>
      </c>
      <c r="E1676" s="608"/>
      <c r="F1676" s="760">
        <f t="shared" si="53"/>
        <v>1578.0968503768916</v>
      </c>
      <c r="M1676" s="443"/>
    </row>
    <row r="1677" spans="1:13">
      <c r="A1677" s="639">
        <v>31013</v>
      </c>
      <c r="B1677" s="639">
        <v>1800</v>
      </c>
      <c r="C1677" s="638">
        <v>3839.0410000000002</v>
      </c>
      <c r="D1677" s="633">
        <f t="shared" si="54"/>
        <v>3839.0410000000002</v>
      </c>
      <c r="E1677" s="608"/>
      <c r="F1677" s="760">
        <f t="shared" si="53"/>
        <v>1619.6720677941335</v>
      </c>
      <c r="M1677" s="443"/>
    </row>
    <row r="1678" spans="1:13">
      <c r="A1678" s="639">
        <v>31013</v>
      </c>
      <c r="B1678" s="639">
        <v>1900</v>
      </c>
      <c r="C1678" s="638">
        <v>4132.1859999999997</v>
      </c>
      <c r="D1678" s="633">
        <f t="shared" si="54"/>
        <v>4132.1859999999997</v>
      </c>
      <c r="E1678" s="608"/>
      <c r="F1678" s="760">
        <f t="shared" si="53"/>
        <v>1743.3484672682494</v>
      </c>
      <c r="M1678" s="443"/>
    </row>
    <row r="1679" spans="1:13">
      <c r="A1679" s="639">
        <v>31013</v>
      </c>
      <c r="B1679" s="639">
        <v>2000</v>
      </c>
      <c r="C1679" s="638">
        <v>4226.5889999999999</v>
      </c>
      <c r="D1679" s="633">
        <f t="shared" si="54"/>
        <v>4226.5889999999999</v>
      </c>
      <c r="E1679" s="608"/>
      <c r="F1679" s="760">
        <f t="shared" si="53"/>
        <v>1783.1766176360029</v>
      </c>
      <c r="M1679" s="443"/>
    </row>
    <row r="1680" spans="1:13">
      <c r="A1680" s="639">
        <v>31013</v>
      </c>
      <c r="B1680" s="639">
        <v>2100</v>
      </c>
      <c r="C1680" s="638">
        <v>4045.97</v>
      </c>
      <c r="D1680" s="633">
        <f t="shared" si="54"/>
        <v>4045.97</v>
      </c>
      <c r="E1680" s="608"/>
      <c r="F1680" s="760">
        <f t="shared" si="53"/>
        <v>1706.9743709778115</v>
      </c>
      <c r="M1680" s="443"/>
    </row>
    <row r="1681" spans="1:13">
      <c r="A1681" s="639">
        <v>31013</v>
      </c>
      <c r="B1681" s="639">
        <v>2200</v>
      </c>
      <c r="C1681" s="638">
        <v>3684.2130000000002</v>
      </c>
      <c r="D1681" s="633">
        <f t="shared" si="54"/>
        <v>3684.2130000000002</v>
      </c>
      <c r="E1681" s="608"/>
      <c r="F1681" s="760">
        <f t="shared" si="53"/>
        <v>1554.350914174667</v>
      </c>
      <c r="M1681" s="443"/>
    </row>
    <row r="1682" spans="1:13">
      <c r="A1682" s="639">
        <v>31013</v>
      </c>
      <c r="B1682" s="639">
        <v>2300</v>
      </c>
      <c r="C1682" s="638">
        <v>3207.7890000000002</v>
      </c>
      <c r="D1682" s="633">
        <f t="shared" si="54"/>
        <v>3207.7890000000002</v>
      </c>
      <c r="E1682" s="608"/>
      <c r="F1682" s="760">
        <f t="shared" si="53"/>
        <v>1353.3500274358296</v>
      </c>
      <c r="M1682" s="443"/>
    </row>
    <row r="1683" spans="1:13">
      <c r="A1683" s="639">
        <v>31013</v>
      </c>
      <c r="B1683" s="639">
        <v>2400</v>
      </c>
      <c r="C1683" s="638">
        <v>3036.0340000000001</v>
      </c>
      <c r="D1683" s="633">
        <f t="shared" si="54"/>
        <v>3036.0340000000001</v>
      </c>
      <c r="E1683" s="608"/>
      <c r="F1683" s="760">
        <f t="shared" si="53"/>
        <v>1280.8874577461647</v>
      </c>
      <c r="M1683" s="443"/>
    </row>
    <row r="1684" spans="1:13">
      <c r="A1684" s="639">
        <v>31113</v>
      </c>
      <c r="B1684" s="639">
        <v>100</v>
      </c>
      <c r="C1684" s="638">
        <v>3040.761</v>
      </c>
      <c r="D1684" s="633">
        <f t="shared" si="54"/>
        <v>3040.761</v>
      </c>
      <c r="E1684" s="608"/>
      <c r="F1684" s="760">
        <f t="shared" si="53"/>
        <v>1282.8817552450616</v>
      </c>
      <c r="M1684" s="443"/>
    </row>
    <row r="1685" spans="1:13">
      <c r="A1685" s="639">
        <v>31113</v>
      </c>
      <c r="B1685" s="639">
        <v>200</v>
      </c>
      <c r="C1685" s="638">
        <v>2986.9059999999999</v>
      </c>
      <c r="D1685" s="633">
        <f t="shared" si="54"/>
        <v>2986.9059999999999</v>
      </c>
      <c r="E1685" s="608"/>
      <c r="F1685" s="760">
        <f t="shared" si="53"/>
        <v>1260.1606019124836</v>
      </c>
      <c r="M1685" s="443"/>
    </row>
    <row r="1686" spans="1:13">
      <c r="A1686" s="639">
        <v>31113</v>
      </c>
      <c r="B1686" s="639">
        <v>300</v>
      </c>
      <c r="C1686" s="638">
        <v>2982.442</v>
      </c>
      <c r="D1686" s="633">
        <f t="shared" si="54"/>
        <v>2982.442</v>
      </c>
      <c r="E1686" s="608"/>
      <c r="F1686" s="760">
        <f t="shared" si="53"/>
        <v>1258.2772627893451</v>
      </c>
      <c r="M1686" s="443"/>
    </row>
    <row r="1687" spans="1:13">
      <c r="A1687" s="639">
        <v>31113</v>
      </c>
      <c r="B1687" s="639">
        <v>400</v>
      </c>
      <c r="C1687" s="638">
        <v>3040.884</v>
      </c>
      <c r="D1687" s="633">
        <f t="shared" si="54"/>
        <v>3040.884</v>
      </c>
      <c r="E1687" s="608"/>
      <c r="F1687" s="760">
        <f t="shared" si="53"/>
        <v>1282.9336483257396</v>
      </c>
      <c r="M1687" s="443"/>
    </row>
    <row r="1688" spans="1:13">
      <c r="A1688" s="639">
        <v>31113</v>
      </c>
      <c r="B1688" s="639">
        <v>500</v>
      </c>
      <c r="C1688" s="638">
        <v>3264.6010000000001</v>
      </c>
      <c r="D1688" s="633">
        <f t="shared" si="54"/>
        <v>3264.6010000000001</v>
      </c>
      <c r="E1688" s="608"/>
      <c r="F1688" s="760">
        <f t="shared" si="53"/>
        <v>1377.3187241795008</v>
      </c>
      <c r="M1688" s="443"/>
    </row>
    <row r="1689" spans="1:13">
      <c r="A1689" s="639">
        <v>31113</v>
      </c>
      <c r="B1689" s="639">
        <v>600</v>
      </c>
      <c r="C1689" s="638">
        <v>3681.9520000000002</v>
      </c>
      <c r="D1689" s="633">
        <f t="shared" si="54"/>
        <v>3681.9520000000002</v>
      </c>
      <c r="E1689" s="608"/>
      <c r="F1689" s="760">
        <f t="shared" si="53"/>
        <v>1553.3970096591167</v>
      </c>
      <c r="M1689" s="443"/>
    </row>
    <row r="1690" spans="1:13">
      <c r="A1690" s="639">
        <v>31113</v>
      </c>
      <c r="B1690" s="639">
        <v>700</v>
      </c>
      <c r="C1690" s="638">
        <v>3953.1819999999998</v>
      </c>
      <c r="D1690" s="633">
        <f t="shared" si="54"/>
        <v>3953.1819999999998</v>
      </c>
      <c r="E1690" s="608"/>
      <c r="F1690" s="760">
        <f t="shared" si="53"/>
        <v>1667.8275809783088</v>
      </c>
      <c r="M1690" s="443"/>
    </row>
    <row r="1691" spans="1:13">
      <c r="A1691" s="639">
        <v>31113</v>
      </c>
      <c r="B1691" s="639">
        <v>800</v>
      </c>
      <c r="C1691" s="638">
        <v>4021.57</v>
      </c>
      <c r="D1691" s="633">
        <f t="shared" si="54"/>
        <v>4021.57</v>
      </c>
      <c r="E1691" s="608"/>
      <c r="F1691" s="760">
        <f t="shared" si="53"/>
        <v>1696.6801338352086</v>
      </c>
      <c r="M1691" s="443"/>
    </row>
    <row r="1692" spans="1:13">
      <c r="A1692" s="639">
        <v>31113</v>
      </c>
      <c r="B1692" s="639">
        <v>900</v>
      </c>
      <c r="C1692" s="638">
        <v>4007.8710000000001</v>
      </c>
      <c r="D1692" s="633">
        <f t="shared" si="54"/>
        <v>4007.8710000000001</v>
      </c>
      <c r="E1692" s="608"/>
      <c r="F1692" s="760">
        <f t="shared" si="53"/>
        <v>1690.9005947115807</v>
      </c>
      <c r="M1692" s="443"/>
    </row>
    <row r="1693" spans="1:13">
      <c r="A1693" s="639">
        <v>31113</v>
      </c>
      <c r="B1693" s="639">
        <v>1000</v>
      </c>
      <c r="C1693" s="638">
        <v>4137.5240000000003</v>
      </c>
      <c r="D1693" s="633">
        <f t="shared" si="54"/>
        <v>4137.5240000000003</v>
      </c>
      <c r="E1693" s="608"/>
      <c r="F1693" s="760">
        <f t="shared" si="53"/>
        <v>1745.6005425906767</v>
      </c>
      <c r="M1693" s="443"/>
    </row>
    <row r="1694" spans="1:13">
      <c r="A1694" s="639">
        <v>31113</v>
      </c>
      <c r="B1694" s="639">
        <v>1100</v>
      </c>
      <c r="C1694" s="638">
        <v>4127.5370000000003</v>
      </c>
      <c r="D1694" s="633">
        <f t="shared" si="54"/>
        <v>4127.5370000000003</v>
      </c>
      <c r="E1694" s="608"/>
      <c r="F1694" s="760">
        <f t="shared" si="53"/>
        <v>1741.387077576612</v>
      </c>
      <c r="M1694" s="443"/>
    </row>
    <row r="1695" spans="1:13">
      <c r="A1695" s="639">
        <v>31113</v>
      </c>
      <c r="B1695" s="639">
        <v>1200</v>
      </c>
      <c r="C1695" s="638">
        <v>3682.0320000000002</v>
      </c>
      <c r="D1695" s="633">
        <f t="shared" si="54"/>
        <v>3682.0320000000002</v>
      </c>
      <c r="E1695" s="608"/>
      <c r="F1695" s="760">
        <f t="shared" si="53"/>
        <v>1553.4307612563055</v>
      </c>
      <c r="M1695" s="443"/>
    </row>
    <row r="1696" spans="1:13">
      <c r="A1696" s="639">
        <v>31113</v>
      </c>
      <c r="B1696" s="639">
        <v>1300</v>
      </c>
      <c r="C1696" s="638">
        <v>3609.9769999999999</v>
      </c>
      <c r="D1696" s="633">
        <f t="shared" si="54"/>
        <v>3609.9769999999999</v>
      </c>
      <c r="E1696" s="608"/>
      <c r="F1696" s="760">
        <f t="shared" si="53"/>
        <v>1523.0311195632612</v>
      </c>
      <c r="M1696" s="443"/>
    </row>
    <row r="1697" spans="1:13">
      <c r="A1697" s="639">
        <v>31113</v>
      </c>
      <c r="B1697" s="639">
        <v>1400</v>
      </c>
      <c r="C1697" s="638">
        <v>3702.8009999999999</v>
      </c>
      <c r="D1697" s="633">
        <f t="shared" si="54"/>
        <v>3702.8009999999999</v>
      </c>
      <c r="E1697" s="608"/>
      <c r="F1697" s="760">
        <f t="shared" si="53"/>
        <v>1562.1930977814993</v>
      </c>
      <c r="M1697" s="443"/>
    </row>
    <row r="1698" spans="1:13">
      <c r="A1698" s="639">
        <v>31113</v>
      </c>
      <c r="B1698" s="639">
        <v>1500</v>
      </c>
      <c r="C1698" s="638">
        <v>3855.232</v>
      </c>
      <c r="D1698" s="633">
        <f t="shared" si="54"/>
        <v>3855.232</v>
      </c>
      <c r="E1698" s="608"/>
      <c r="F1698" s="760">
        <f t="shared" si="53"/>
        <v>1626.5029691701943</v>
      </c>
      <c r="M1698" s="443"/>
    </row>
    <row r="1699" spans="1:13">
      <c r="A1699" s="639">
        <v>31113</v>
      </c>
      <c r="B1699" s="639">
        <v>1600</v>
      </c>
      <c r="C1699" s="638">
        <v>4044.2910000000002</v>
      </c>
      <c r="D1699" s="633">
        <f t="shared" si="54"/>
        <v>4044.2910000000002</v>
      </c>
      <c r="E1699" s="608"/>
      <c r="F1699" s="760">
        <f t="shared" si="53"/>
        <v>1706.2660093318104</v>
      </c>
      <c r="M1699" s="443"/>
    </row>
    <row r="1700" spans="1:13">
      <c r="A1700" s="639">
        <v>31113</v>
      </c>
      <c r="B1700" s="639">
        <v>1700</v>
      </c>
      <c r="C1700" s="638">
        <v>4178.8209999999999</v>
      </c>
      <c r="D1700" s="633">
        <f t="shared" si="54"/>
        <v>4178.8209999999999</v>
      </c>
      <c r="E1700" s="608"/>
      <c r="F1700" s="760">
        <f t="shared" ref="F1700:F1763" si="55">(D1700/(MAX($D$1444:$D$2187)))*$M$6</f>
        <v>1763.0235389545326</v>
      </c>
      <c r="M1700" s="443"/>
    </row>
    <row r="1701" spans="1:13">
      <c r="A1701" s="639">
        <v>31113</v>
      </c>
      <c r="B1701" s="639">
        <v>1800</v>
      </c>
      <c r="C1701" s="638">
        <v>4313.6480000000001</v>
      </c>
      <c r="D1701" s="633">
        <f t="shared" si="54"/>
        <v>4313.6480000000001</v>
      </c>
      <c r="E1701" s="608"/>
      <c r="F1701" s="760">
        <f t="shared" si="55"/>
        <v>1819.9063713818184</v>
      </c>
      <c r="M1701" s="443"/>
    </row>
    <row r="1702" spans="1:13">
      <c r="A1702" s="639">
        <v>31113</v>
      </c>
      <c r="B1702" s="639">
        <v>1900</v>
      </c>
      <c r="C1702" s="638">
        <v>4551.0159999999996</v>
      </c>
      <c r="D1702" s="633">
        <f t="shared" si="54"/>
        <v>4551.0159999999996</v>
      </c>
      <c r="E1702" s="608"/>
      <c r="F1702" s="760">
        <f t="shared" si="55"/>
        <v>1920.0507354008944</v>
      </c>
      <c r="M1702" s="443"/>
    </row>
    <row r="1703" spans="1:13">
      <c r="A1703" s="639">
        <v>31113</v>
      </c>
      <c r="B1703" s="639">
        <v>2000</v>
      </c>
      <c r="C1703" s="638">
        <v>4502.7290000000003</v>
      </c>
      <c r="D1703" s="633">
        <f t="shared" si="54"/>
        <v>4502.7290000000003</v>
      </c>
      <c r="E1703" s="608"/>
      <c r="F1703" s="760">
        <f t="shared" si="55"/>
        <v>1899.6786932326615</v>
      </c>
      <c r="M1703" s="443"/>
    </row>
    <row r="1704" spans="1:13">
      <c r="A1704" s="639">
        <v>31113</v>
      </c>
      <c r="B1704" s="639">
        <v>2100</v>
      </c>
      <c r="C1704" s="638">
        <v>4300.6639999999998</v>
      </c>
      <c r="D1704" s="633">
        <f t="shared" si="54"/>
        <v>4300.6639999999998</v>
      </c>
      <c r="E1704" s="608"/>
      <c r="F1704" s="760">
        <f t="shared" si="55"/>
        <v>1814.4284871580658</v>
      </c>
      <c r="M1704" s="443"/>
    </row>
    <row r="1705" spans="1:13">
      <c r="A1705" s="639">
        <v>31113</v>
      </c>
      <c r="B1705" s="639">
        <v>2200</v>
      </c>
      <c r="C1705" s="638">
        <v>3967.56</v>
      </c>
      <c r="D1705" s="633">
        <f t="shared" si="54"/>
        <v>3967.56</v>
      </c>
      <c r="E1705" s="608"/>
      <c r="F1705" s="760">
        <f t="shared" si="55"/>
        <v>1673.8935867830771</v>
      </c>
      <c r="M1705" s="443"/>
    </row>
    <row r="1706" spans="1:13">
      <c r="A1706" s="639">
        <v>31113</v>
      </c>
      <c r="B1706" s="639">
        <v>2300</v>
      </c>
      <c r="C1706" s="638">
        <v>3502.26</v>
      </c>
      <c r="D1706" s="633">
        <f t="shared" si="54"/>
        <v>3502.26</v>
      </c>
      <c r="E1706" s="608"/>
      <c r="F1706" s="760">
        <f t="shared" si="55"/>
        <v>1477.5858596333514</v>
      </c>
      <c r="M1706" s="443"/>
    </row>
    <row r="1707" spans="1:13">
      <c r="A1707" s="639">
        <v>31113</v>
      </c>
      <c r="B1707" s="639">
        <v>2400</v>
      </c>
      <c r="C1707" s="638">
        <v>3255.9839999999999</v>
      </c>
      <c r="D1707" s="633">
        <f t="shared" si="54"/>
        <v>3255.9839999999999</v>
      </c>
      <c r="E1707" s="608"/>
      <c r="F1707" s="760">
        <f t="shared" si="55"/>
        <v>1373.6832552672954</v>
      </c>
      <c r="M1707" s="443"/>
    </row>
    <row r="1708" spans="1:13">
      <c r="A1708" s="639">
        <v>31213</v>
      </c>
      <c r="B1708" s="639">
        <v>100</v>
      </c>
      <c r="C1708" s="638">
        <v>3267.623</v>
      </c>
      <c r="D1708" s="633">
        <f t="shared" si="54"/>
        <v>3267.623</v>
      </c>
      <c r="E1708" s="608"/>
      <c r="F1708" s="760">
        <f t="shared" si="55"/>
        <v>1378.5936907633102</v>
      </c>
      <c r="M1708" s="443"/>
    </row>
    <row r="1709" spans="1:13">
      <c r="A1709" s="639">
        <v>31213</v>
      </c>
      <c r="B1709" s="639">
        <v>200</v>
      </c>
      <c r="C1709" s="638">
        <v>3241.6460000000002</v>
      </c>
      <c r="D1709" s="633">
        <f t="shared" si="54"/>
        <v>3241.6460000000002</v>
      </c>
      <c r="E1709" s="608"/>
      <c r="F1709" s="760">
        <f t="shared" si="55"/>
        <v>1367.6341252611217</v>
      </c>
      <c r="M1709" s="443"/>
    </row>
    <row r="1710" spans="1:13">
      <c r="A1710" s="639">
        <v>31213</v>
      </c>
      <c r="B1710" s="639">
        <v>300</v>
      </c>
      <c r="C1710" s="638">
        <v>3224.5859999999998</v>
      </c>
      <c r="D1710" s="633">
        <f t="shared" si="54"/>
        <v>3224.5859999999998</v>
      </c>
      <c r="E1710" s="608"/>
      <c r="F1710" s="760">
        <f t="shared" si="55"/>
        <v>1360.4365971605962</v>
      </c>
      <c r="M1710" s="443"/>
    </row>
    <row r="1711" spans="1:13">
      <c r="A1711" s="639">
        <v>31213</v>
      </c>
      <c r="B1711" s="639">
        <v>400</v>
      </c>
      <c r="C1711" s="638">
        <v>3293.2289999999998</v>
      </c>
      <c r="D1711" s="633">
        <f t="shared" si="54"/>
        <v>3293.2289999999998</v>
      </c>
      <c r="E1711" s="608"/>
      <c r="F1711" s="760">
        <f t="shared" si="55"/>
        <v>1389.3967332335355</v>
      </c>
      <c r="M1711" s="443"/>
    </row>
    <row r="1712" spans="1:13">
      <c r="A1712" s="639">
        <v>31213</v>
      </c>
      <c r="B1712" s="639">
        <v>500</v>
      </c>
      <c r="C1712" s="638">
        <v>3580.6289999999999</v>
      </c>
      <c r="D1712" s="633">
        <f t="shared" si="54"/>
        <v>3580.6289999999999</v>
      </c>
      <c r="E1712" s="608"/>
      <c r="F1712" s="760">
        <f t="shared" si="55"/>
        <v>1510.6493461345267</v>
      </c>
      <c r="M1712" s="443"/>
    </row>
    <row r="1713" spans="1:13">
      <c r="A1713" s="639">
        <v>31213</v>
      </c>
      <c r="B1713" s="639">
        <v>600</v>
      </c>
      <c r="C1713" s="638">
        <v>3914.098</v>
      </c>
      <c r="D1713" s="633">
        <f t="shared" si="54"/>
        <v>3914.098</v>
      </c>
      <c r="E1713" s="608"/>
      <c r="F1713" s="760">
        <f t="shared" si="55"/>
        <v>1651.3382381716897</v>
      </c>
      <c r="M1713" s="443"/>
    </row>
    <row r="1714" spans="1:13">
      <c r="A1714" s="639">
        <v>31213</v>
      </c>
      <c r="B1714" s="639">
        <v>700</v>
      </c>
      <c r="C1714" s="638">
        <v>4194.1580000000004</v>
      </c>
      <c r="D1714" s="633">
        <f t="shared" si="54"/>
        <v>4194.1580000000004</v>
      </c>
      <c r="E1714" s="608"/>
      <c r="F1714" s="760">
        <f t="shared" si="55"/>
        <v>1769.4941420306027</v>
      </c>
      <c r="M1714" s="443"/>
    </row>
    <row r="1715" spans="1:13">
      <c r="A1715" s="639">
        <v>31213</v>
      </c>
      <c r="B1715" s="639">
        <v>800</v>
      </c>
      <c r="C1715" s="638">
        <v>4298.9629999999997</v>
      </c>
      <c r="D1715" s="633">
        <f t="shared" si="54"/>
        <v>4298.9629999999997</v>
      </c>
      <c r="E1715" s="608"/>
      <c r="F1715" s="760">
        <f t="shared" si="55"/>
        <v>1813.7108438228377</v>
      </c>
      <c r="M1715" s="443"/>
    </row>
    <row r="1716" spans="1:13">
      <c r="A1716" s="639">
        <v>31213</v>
      </c>
      <c r="B1716" s="639">
        <v>900</v>
      </c>
      <c r="C1716" s="638">
        <v>4174.1409999999996</v>
      </c>
      <c r="D1716" s="633">
        <f t="shared" si="54"/>
        <v>4174.1409999999996</v>
      </c>
      <c r="E1716" s="608"/>
      <c r="F1716" s="760">
        <f t="shared" si="55"/>
        <v>1761.0490705189839</v>
      </c>
      <c r="M1716" s="443"/>
    </row>
    <row r="1717" spans="1:13">
      <c r="A1717" s="639">
        <v>31213</v>
      </c>
      <c r="B1717" s="639">
        <v>1000</v>
      </c>
      <c r="C1717" s="638">
        <v>4133.5879999999997</v>
      </c>
      <c r="D1717" s="633">
        <f t="shared" si="54"/>
        <v>4133.5879999999997</v>
      </c>
      <c r="E1717" s="608"/>
      <c r="F1717" s="760">
        <f t="shared" si="55"/>
        <v>1743.9399640089844</v>
      </c>
      <c r="M1717" s="443"/>
    </row>
    <row r="1718" spans="1:13">
      <c r="A1718" s="639">
        <v>31213</v>
      </c>
      <c r="B1718" s="639">
        <v>1100</v>
      </c>
      <c r="C1718" s="638">
        <v>3977.377</v>
      </c>
      <c r="D1718" s="633">
        <f t="shared" si="54"/>
        <v>3977.377</v>
      </c>
      <c r="E1718" s="608"/>
      <c r="F1718" s="760">
        <f t="shared" si="55"/>
        <v>1678.0353296531157</v>
      </c>
      <c r="M1718" s="443"/>
    </row>
    <row r="1719" spans="1:13">
      <c r="A1719" s="639">
        <v>31213</v>
      </c>
      <c r="B1719" s="639">
        <v>1200</v>
      </c>
      <c r="C1719" s="638">
        <v>3861.7339999999999</v>
      </c>
      <c r="D1719" s="633">
        <f t="shared" si="54"/>
        <v>3861.7339999999999</v>
      </c>
      <c r="E1719" s="608"/>
      <c r="F1719" s="760">
        <f t="shared" si="55"/>
        <v>1629.2461302317192</v>
      </c>
      <c r="M1719" s="443"/>
    </row>
    <row r="1720" spans="1:13">
      <c r="A1720" s="639">
        <v>31213</v>
      </c>
      <c r="B1720" s="639">
        <v>1300</v>
      </c>
      <c r="C1720" s="638">
        <v>3933.4580000000001</v>
      </c>
      <c r="D1720" s="633">
        <f t="shared" si="54"/>
        <v>3933.4580000000001</v>
      </c>
      <c r="E1720" s="608"/>
      <c r="F1720" s="760">
        <f t="shared" si="55"/>
        <v>1659.5061246913947</v>
      </c>
      <c r="M1720" s="443"/>
    </row>
    <row r="1721" spans="1:13">
      <c r="A1721" s="639">
        <v>31213</v>
      </c>
      <c r="B1721" s="639">
        <v>1400</v>
      </c>
      <c r="C1721" s="638">
        <v>3755.1909999999998</v>
      </c>
      <c r="D1721" s="633">
        <f t="shared" si="54"/>
        <v>3755.1909999999998</v>
      </c>
      <c r="E1721" s="608"/>
      <c r="F1721" s="760">
        <f t="shared" si="55"/>
        <v>1584.296174990556</v>
      </c>
      <c r="M1721" s="443"/>
    </row>
    <row r="1722" spans="1:13">
      <c r="A1722" s="639">
        <v>31213</v>
      </c>
      <c r="B1722" s="639">
        <v>1500</v>
      </c>
      <c r="C1722" s="638">
        <v>4126.4430000000002</v>
      </c>
      <c r="D1722" s="633">
        <f t="shared" si="54"/>
        <v>4126.4430000000002</v>
      </c>
      <c r="E1722" s="608"/>
      <c r="F1722" s="760">
        <f t="shared" si="55"/>
        <v>1740.9255244850542</v>
      </c>
      <c r="M1722" s="443"/>
    </row>
    <row r="1723" spans="1:13">
      <c r="A1723" s="639">
        <v>31213</v>
      </c>
      <c r="B1723" s="639">
        <v>1600</v>
      </c>
      <c r="C1723" s="638">
        <v>4206.5870000000004</v>
      </c>
      <c r="D1723" s="633">
        <f t="shared" si="54"/>
        <v>4206.5870000000004</v>
      </c>
      <c r="E1723" s="608"/>
      <c r="F1723" s="760">
        <f t="shared" si="55"/>
        <v>1774.7378745488577</v>
      </c>
      <c r="M1723" s="443"/>
    </row>
    <row r="1724" spans="1:13">
      <c r="A1724" s="639">
        <v>31213</v>
      </c>
      <c r="B1724" s="639">
        <v>1700</v>
      </c>
      <c r="C1724" s="638">
        <v>4145.9359999999997</v>
      </c>
      <c r="D1724" s="633">
        <f t="shared" si="54"/>
        <v>4145.9359999999997</v>
      </c>
      <c r="E1724" s="608"/>
      <c r="F1724" s="760">
        <f t="shared" si="55"/>
        <v>1749.1495230350854</v>
      </c>
      <c r="M1724" s="443"/>
    </row>
    <row r="1725" spans="1:13">
      <c r="A1725" s="639">
        <v>31213</v>
      </c>
      <c r="B1725" s="639">
        <v>1800</v>
      </c>
      <c r="C1725" s="638">
        <v>4309.8230000000003</v>
      </c>
      <c r="D1725" s="633">
        <f t="shared" si="54"/>
        <v>4309.8230000000003</v>
      </c>
      <c r="E1725" s="608"/>
      <c r="F1725" s="760">
        <f t="shared" si="55"/>
        <v>1818.2926231412262</v>
      </c>
      <c r="M1725" s="443"/>
    </row>
    <row r="1726" spans="1:13">
      <c r="A1726" s="639">
        <v>31213</v>
      </c>
      <c r="B1726" s="639">
        <v>1900</v>
      </c>
      <c r="C1726" s="638">
        <v>4667.2889999999998</v>
      </c>
      <c r="D1726" s="633">
        <f t="shared" si="54"/>
        <v>4667.2889999999998</v>
      </c>
      <c r="E1726" s="608"/>
      <c r="F1726" s="760">
        <f t="shared" si="55"/>
        <v>1969.1057286501532</v>
      </c>
      <c r="M1726" s="443"/>
    </row>
    <row r="1727" spans="1:13">
      <c r="A1727" s="639">
        <v>31213</v>
      </c>
      <c r="B1727" s="639">
        <v>2000</v>
      </c>
      <c r="C1727" s="638">
        <v>4781.5829999999996</v>
      </c>
      <c r="D1727" s="633">
        <f t="shared" si="54"/>
        <v>4781.5829999999996</v>
      </c>
      <c r="E1727" s="608"/>
      <c r="F1727" s="760">
        <f t="shared" si="55"/>
        <v>2017.3257917639521</v>
      </c>
      <c r="M1727" s="443"/>
    </row>
    <row r="1728" spans="1:13">
      <c r="A1728" s="639">
        <v>31213</v>
      </c>
      <c r="B1728" s="639">
        <v>2100</v>
      </c>
      <c r="C1728" s="638">
        <v>4590.1329999999998</v>
      </c>
      <c r="D1728" s="633">
        <f t="shared" si="54"/>
        <v>4590.1329999999998</v>
      </c>
      <c r="E1728" s="608"/>
      <c r="F1728" s="760">
        <f t="shared" si="55"/>
        <v>1936.5540007413538</v>
      </c>
      <c r="M1728" s="443"/>
    </row>
    <row r="1729" spans="1:13">
      <c r="A1729" s="639">
        <v>31213</v>
      </c>
      <c r="B1729" s="639">
        <v>2200</v>
      </c>
      <c r="C1729" s="638">
        <v>4205.1469999999999</v>
      </c>
      <c r="D1729" s="633">
        <f t="shared" si="54"/>
        <v>4205.1469999999999</v>
      </c>
      <c r="E1729" s="608"/>
      <c r="F1729" s="760">
        <f t="shared" si="55"/>
        <v>1774.1303457994577</v>
      </c>
      <c r="M1729" s="443"/>
    </row>
    <row r="1730" spans="1:13">
      <c r="A1730" s="639">
        <v>31213</v>
      </c>
      <c r="B1730" s="639">
        <v>2300</v>
      </c>
      <c r="C1730" s="638">
        <v>3691.11</v>
      </c>
      <c r="D1730" s="633">
        <f t="shared" si="54"/>
        <v>3691.11</v>
      </c>
      <c r="E1730" s="608"/>
      <c r="F1730" s="760">
        <f t="shared" si="55"/>
        <v>1557.2607237473117</v>
      </c>
      <c r="M1730" s="443"/>
    </row>
    <row r="1731" spans="1:13">
      <c r="A1731" s="639">
        <v>31213</v>
      </c>
      <c r="B1731" s="639">
        <v>2400</v>
      </c>
      <c r="C1731" s="638">
        <v>3428.393</v>
      </c>
      <c r="D1731" s="633">
        <f t="shared" si="54"/>
        <v>3428.393</v>
      </c>
      <c r="E1731" s="608"/>
      <c r="F1731" s="760">
        <f t="shared" si="55"/>
        <v>1446.4217442639797</v>
      </c>
      <c r="M1731" s="443"/>
    </row>
    <row r="1732" spans="1:13">
      <c r="A1732" s="639">
        <v>31313</v>
      </c>
      <c r="B1732" s="639">
        <v>100</v>
      </c>
      <c r="C1732" s="638">
        <v>3468.3049999999998</v>
      </c>
      <c r="D1732" s="633">
        <f t="shared" si="54"/>
        <v>3468.3049999999998</v>
      </c>
      <c r="E1732" s="608"/>
      <c r="F1732" s="760">
        <f t="shared" si="55"/>
        <v>1463.2604161015033</v>
      </c>
      <c r="M1732" s="443"/>
    </row>
    <row r="1733" spans="1:13">
      <c r="A1733" s="639">
        <v>31313</v>
      </c>
      <c r="B1733" s="639">
        <v>200</v>
      </c>
      <c r="C1733" s="638">
        <v>3434.23</v>
      </c>
      <c r="D1733" s="633">
        <f t="shared" ref="D1733:D1796" si="56">C1733</f>
        <v>3434.23</v>
      </c>
      <c r="E1733" s="608"/>
      <c r="F1733" s="760">
        <f t="shared" si="55"/>
        <v>1448.8843451738719</v>
      </c>
      <c r="M1733" s="443"/>
    </row>
    <row r="1734" spans="1:13">
      <c r="A1734" s="639">
        <v>31313</v>
      </c>
      <c r="B1734" s="639">
        <v>300</v>
      </c>
      <c r="C1734" s="638">
        <v>3411.0819999999999</v>
      </c>
      <c r="D1734" s="633">
        <f t="shared" si="56"/>
        <v>3411.0819999999999</v>
      </c>
      <c r="E1734" s="608"/>
      <c r="F1734" s="760">
        <f t="shared" si="55"/>
        <v>1439.1183205272741</v>
      </c>
      <c r="M1734" s="443"/>
    </row>
    <row r="1735" spans="1:13">
      <c r="A1735" s="639">
        <v>31313</v>
      </c>
      <c r="B1735" s="639">
        <v>400</v>
      </c>
      <c r="C1735" s="638">
        <v>3485.7959999999998</v>
      </c>
      <c r="D1735" s="633">
        <f t="shared" si="56"/>
        <v>3485.7959999999998</v>
      </c>
      <c r="E1735" s="608"/>
      <c r="F1735" s="760">
        <f t="shared" si="55"/>
        <v>1470.6397809318833</v>
      </c>
      <c r="M1735" s="443"/>
    </row>
    <row r="1736" spans="1:13">
      <c r="A1736" s="639">
        <v>31313</v>
      </c>
      <c r="B1736" s="639">
        <v>500</v>
      </c>
      <c r="C1736" s="638">
        <v>3773.0830000000001</v>
      </c>
      <c r="D1736" s="633">
        <f t="shared" si="56"/>
        <v>3773.0830000000001</v>
      </c>
      <c r="E1736" s="608"/>
      <c r="F1736" s="760">
        <f t="shared" si="55"/>
        <v>1591.8447197018454</v>
      </c>
      <c r="M1736" s="443"/>
    </row>
    <row r="1737" spans="1:13">
      <c r="A1737" s="639">
        <v>31313</v>
      </c>
      <c r="B1737" s="639">
        <v>600</v>
      </c>
      <c r="C1737" s="638">
        <v>4233.0479999999998</v>
      </c>
      <c r="D1737" s="633">
        <f t="shared" si="56"/>
        <v>4233.0479999999998</v>
      </c>
      <c r="E1737" s="608"/>
      <c r="F1737" s="760">
        <f t="shared" si="55"/>
        <v>1785.9016372140386</v>
      </c>
      <c r="M1737" s="443"/>
    </row>
    <row r="1738" spans="1:13">
      <c r="A1738" s="639">
        <v>31313</v>
      </c>
      <c r="B1738" s="639">
        <v>700</v>
      </c>
      <c r="C1738" s="638">
        <v>4413.6660000000002</v>
      </c>
      <c r="D1738" s="633">
        <f t="shared" si="56"/>
        <v>4413.6660000000002</v>
      </c>
      <c r="E1738" s="608"/>
      <c r="F1738" s="760">
        <f t="shared" si="55"/>
        <v>1862.1034619772649</v>
      </c>
      <c r="M1738" s="443"/>
    </row>
    <row r="1739" spans="1:13">
      <c r="A1739" s="639">
        <v>31313</v>
      </c>
      <c r="B1739" s="639">
        <v>800</v>
      </c>
      <c r="C1739" s="638">
        <v>4476.152</v>
      </c>
      <c r="D1739" s="633">
        <f t="shared" si="56"/>
        <v>4476.152</v>
      </c>
      <c r="E1739" s="608"/>
      <c r="F1739" s="760">
        <f t="shared" si="55"/>
        <v>1888.4659907515563</v>
      </c>
      <c r="M1739" s="443"/>
    </row>
    <row r="1740" spans="1:13">
      <c r="A1740" s="639">
        <v>31313</v>
      </c>
      <c r="B1740" s="639">
        <v>900</v>
      </c>
      <c r="C1740" s="638">
        <v>4084.4639999999999</v>
      </c>
      <c r="D1740" s="633">
        <f t="shared" si="56"/>
        <v>4084.4639999999999</v>
      </c>
      <c r="E1740" s="608"/>
      <c r="F1740" s="760">
        <f t="shared" si="55"/>
        <v>1723.2147957551631</v>
      </c>
      <c r="M1740" s="443"/>
    </row>
    <row r="1741" spans="1:13">
      <c r="A1741" s="639">
        <v>31313</v>
      </c>
      <c r="B1741" s="639">
        <v>1000</v>
      </c>
      <c r="C1741" s="638">
        <v>3847.1570000000002</v>
      </c>
      <c r="D1741" s="633">
        <f t="shared" si="56"/>
        <v>3847.1570000000002</v>
      </c>
      <c r="E1741" s="608"/>
      <c r="F1741" s="760">
        <f t="shared" si="55"/>
        <v>1623.0961673289435</v>
      </c>
      <c r="M1741" s="443"/>
    </row>
    <row r="1742" spans="1:13">
      <c r="A1742" s="639">
        <v>31313</v>
      </c>
      <c r="B1742" s="639">
        <v>1100</v>
      </c>
      <c r="C1742" s="638">
        <v>3878.203</v>
      </c>
      <c r="D1742" s="633">
        <f t="shared" si="56"/>
        <v>3878.203</v>
      </c>
      <c r="E1742" s="608"/>
      <c r="F1742" s="760">
        <f t="shared" si="55"/>
        <v>1636.1943184080114</v>
      </c>
      <c r="M1742" s="443"/>
    </row>
    <row r="1743" spans="1:13">
      <c r="A1743" s="639">
        <v>31313</v>
      </c>
      <c r="B1743" s="639">
        <v>1200</v>
      </c>
      <c r="C1743" s="638">
        <v>3664.87</v>
      </c>
      <c r="D1743" s="633">
        <f t="shared" si="56"/>
        <v>3664.87</v>
      </c>
      <c r="E1743" s="608"/>
      <c r="F1743" s="760">
        <f t="shared" si="55"/>
        <v>1546.1901998693647</v>
      </c>
      <c r="M1743" s="443"/>
    </row>
    <row r="1744" spans="1:13">
      <c r="A1744" s="639">
        <v>31313</v>
      </c>
      <c r="B1744" s="639">
        <v>1300</v>
      </c>
      <c r="C1744" s="638">
        <v>3632.2080000000001</v>
      </c>
      <c r="D1744" s="633">
        <f t="shared" si="56"/>
        <v>3632.2080000000001</v>
      </c>
      <c r="E1744" s="608"/>
      <c r="F1744" s="760">
        <f t="shared" si="55"/>
        <v>1532.4102665270816</v>
      </c>
      <c r="M1744" s="443"/>
    </row>
    <row r="1745" spans="1:13">
      <c r="A1745" s="639">
        <v>31313</v>
      </c>
      <c r="B1745" s="639">
        <v>1400</v>
      </c>
      <c r="C1745" s="638">
        <v>3647.9650000000001</v>
      </c>
      <c r="D1745" s="633">
        <f t="shared" si="56"/>
        <v>3647.9650000000001</v>
      </c>
      <c r="E1745" s="608"/>
      <c r="F1745" s="760">
        <f t="shared" si="55"/>
        <v>1539.0580654883931</v>
      </c>
      <c r="M1745" s="443"/>
    </row>
    <row r="1746" spans="1:13">
      <c r="A1746" s="639">
        <v>31313</v>
      </c>
      <c r="B1746" s="639">
        <v>1500</v>
      </c>
      <c r="C1746" s="638">
        <v>3786.4229999999998</v>
      </c>
      <c r="D1746" s="633">
        <f t="shared" si="56"/>
        <v>3786.4229999999998</v>
      </c>
      <c r="E1746" s="608"/>
      <c r="F1746" s="760">
        <f t="shared" si="55"/>
        <v>1597.4727985330883</v>
      </c>
      <c r="M1746" s="443"/>
    </row>
    <row r="1747" spans="1:13">
      <c r="A1747" s="639">
        <v>31313</v>
      </c>
      <c r="B1747" s="639">
        <v>1600</v>
      </c>
      <c r="C1747" s="638">
        <v>3976.933</v>
      </c>
      <c r="D1747" s="633">
        <f t="shared" si="56"/>
        <v>3976.933</v>
      </c>
      <c r="E1747" s="608"/>
      <c r="F1747" s="760">
        <f t="shared" si="55"/>
        <v>1677.8480082887174</v>
      </c>
      <c r="M1747" s="443"/>
    </row>
    <row r="1748" spans="1:13">
      <c r="A1748" s="639">
        <v>31313</v>
      </c>
      <c r="B1748" s="639">
        <v>1700</v>
      </c>
      <c r="C1748" s="638">
        <v>4209.0519999999997</v>
      </c>
      <c r="D1748" s="633">
        <f t="shared" si="56"/>
        <v>4209.0519999999997</v>
      </c>
      <c r="E1748" s="608"/>
      <c r="F1748" s="760">
        <f t="shared" si="55"/>
        <v>1775.7778456372389</v>
      </c>
      <c r="M1748" s="443"/>
    </row>
    <row r="1749" spans="1:13">
      <c r="A1749" s="639">
        <v>31313</v>
      </c>
      <c r="B1749" s="639">
        <v>1800</v>
      </c>
      <c r="C1749" s="638">
        <v>4452.1840000000002</v>
      </c>
      <c r="D1749" s="633">
        <f t="shared" si="56"/>
        <v>4452.1840000000002</v>
      </c>
      <c r="E1749" s="608"/>
      <c r="F1749" s="760">
        <f t="shared" si="55"/>
        <v>1878.3540122337731</v>
      </c>
      <c r="M1749" s="443"/>
    </row>
    <row r="1750" spans="1:13">
      <c r="A1750" s="639">
        <v>31313</v>
      </c>
      <c r="B1750" s="639">
        <v>1900</v>
      </c>
      <c r="C1750" s="638">
        <v>4862.9740000000002</v>
      </c>
      <c r="D1750" s="633">
        <f t="shared" si="56"/>
        <v>4862.9740000000002</v>
      </c>
      <c r="E1750" s="608"/>
      <c r="F1750" s="760">
        <f t="shared" si="55"/>
        <v>2051.664244848937</v>
      </c>
      <c r="M1750" s="443"/>
    </row>
    <row r="1751" spans="1:13">
      <c r="A1751" s="639">
        <v>31313</v>
      </c>
      <c r="B1751" s="639">
        <v>2000</v>
      </c>
      <c r="C1751" s="638">
        <v>5084.3760000000002</v>
      </c>
      <c r="D1751" s="633">
        <f t="shared" si="56"/>
        <v>5084.3760000000002</v>
      </c>
      <c r="E1751" s="608"/>
      <c r="F1751" s="760">
        <f t="shared" si="55"/>
        <v>2145.0726338590457</v>
      </c>
      <c r="M1751" s="443"/>
    </row>
    <row r="1752" spans="1:13">
      <c r="A1752" s="639">
        <v>31313</v>
      </c>
      <c r="B1752" s="639">
        <v>2100</v>
      </c>
      <c r="C1752" s="638">
        <v>4948.3459999999995</v>
      </c>
      <c r="D1752" s="633">
        <f t="shared" si="56"/>
        <v>4948.3459999999995</v>
      </c>
      <c r="E1752" s="608"/>
      <c r="F1752" s="760">
        <f t="shared" si="55"/>
        <v>2087.6822617890321</v>
      </c>
      <c r="M1752" s="443"/>
    </row>
    <row r="1753" spans="1:13">
      <c r="A1753" s="639">
        <v>31313</v>
      </c>
      <c r="B1753" s="639">
        <v>2200</v>
      </c>
      <c r="C1753" s="638">
        <v>4627.4350000000004</v>
      </c>
      <c r="D1753" s="633">
        <f t="shared" si="56"/>
        <v>4627.4350000000004</v>
      </c>
      <c r="E1753" s="608"/>
      <c r="F1753" s="760">
        <f t="shared" si="55"/>
        <v>1952.2915267205915</v>
      </c>
      <c r="M1753" s="443"/>
    </row>
    <row r="1754" spans="1:13">
      <c r="A1754" s="639">
        <v>31313</v>
      </c>
      <c r="B1754" s="639">
        <v>2300</v>
      </c>
      <c r="C1754" s="638">
        <v>4155.7529999999997</v>
      </c>
      <c r="D1754" s="633">
        <f t="shared" si="56"/>
        <v>4155.7529999999997</v>
      </c>
      <c r="E1754" s="608"/>
      <c r="F1754" s="760">
        <f t="shared" si="55"/>
        <v>1753.291265905124</v>
      </c>
      <c r="M1754" s="443"/>
    </row>
    <row r="1755" spans="1:13">
      <c r="A1755" s="639">
        <v>31313</v>
      </c>
      <c r="B1755" s="639">
        <v>2400</v>
      </c>
      <c r="C1755" s="638">
        <v>3923.944</v>
      </c>
      <c r="D1755" s="633">
        <f t="shared" si="56"/>
        <v>3923.944</v>
      </c>
      <c r="E1755" s="608"/>
      <c r="F1755" s="760">
        <f t="shared" si="55"/>
        <v>1655.4922159957089</v>
      </c>
      <c r="M1755" s="443"/>
    </row>
    <row r="1756" spans="1:13">
      <c r="A1756" s="639">
        <v>31413</v>
      </c>
      <c r="B1756" s="639">
        <v>100</v>
      </c>
      <c r="C1756" s="638">
        <v>3908.8989999999999</v>
      </c>
      <c r="D1756" s="633">
        <f t="shared" si="56"/>
        <v>3908.8989999999999</v>
      </c>
      <c r="E1756" s="608"/>
      <c r="F1756" s="760">
        <f t="shared" si="55"/>
        <v>1649.1448062493785</v>
      </c>
      <c r="M1756" s="443"/>
    </row>
    <row r="1757" spans="1:13">
      <c r="A1757" s="639">
        <v>31413</v>
      </c>
      <c r="B1757" s="639">
        <v>200</v>
      </c>
      <c r="C1757" s="638">
        <v>3834.1550000000002</v>
      </c>
      <c r="D1757" s="633">
        <f t="shared" si="56"/>
        <v>3834.1550000000002</v>
      </c>
      <c r="E1757" s="608"/>
      <c r="F1757" s="760">
        <f t="shared" si="55"/>
        <v>1617.6106889958237</v>
      </c>
      <c r="M1757" s="443"/>
    </row>
    <row r="1758" spans="1:13">
      <c r="A1758" s="639">
        <v>31413</v>
      </c>
      <c r="B1758" s="639">
        <v>300</v>
      </c>
      <c r="C1758" s="638">
        <v>3803.1840000000002</v>
      </c>
      <c r="D1758" s="633">
        <f t="shared" si="56"/>
        <v>3803.1840000000002</v>
      </c>
      <c r="E1758" s="608"/>
      <c r="F1758" s="760">
        <f t="shared" si="55"/>
        <v>1604.54418003912</v>
      </c>
      <c r="M1758" s="443"/>
    </row>
    <row r="1759" spans="1:13">
      <c r="A1759" s="639">
        <v>31413</v>
      </c>
      <c r="B1759" s="639">
        <v>400</v>
      </c>
      <c r="C1759" s="638">
        <v>3869.0349999999999</v>
      </c>
      <c r="D1759" s="633">
        <f t="shared" si="56"/>
        <v>3869.0349999999999</v>
      </c>
      <c r="E1759" s="608"/>
      <c r="F1759" s="760">
        <f t="shared" si="55"/>
        <v>1632.3263853701676</v>
      </c>
      <c r="M1759" s="443"/>
    </row>
    <row r="1760" spans="1:13">
      <c r="A1760" s="639">
        <v>31413</v>
      </c>
      <c r="B1760" s="639">
        <v>500</v>
      </c>
      <c r="C1760" s="638">
        <v>4165.4799999999996</v>
      </c>
      <c r="D1760" s="633">
        <f t="shared" si="56"/>
        <v>4165.4799999999996</v>
      </c>
      <c r="E1760" s="608"/>
      <c r="F1760" s="760">
        <f t="shared" si="55"/>
        <v>1757.3950382283247</v>
      </c>
      <c r="M1760" s="443"/>
    </row>
    <row r="1761" spans="1:13">
      <c r="A1761" s="639">
        <v>31413</v>
      </c>
      <c r="B1761" s="639">
        <v>600</v>
      </c>
      <c r="C1761" s="638">
        <v>4543.2079999999996</v>
      </c>
      <c r="D1761" s="633">
        <f t="shared" si="56"/>
        <v>4543.2079999999996</v>
      </c>
      <c r="E1761" s="608"/>
      <c r="F1761" s="760">
        <f t="shared" si="55"/>
        <v>1916.7565795152611</v>
      </c>
      <c r="M1761" s="443"/>
    </row>
    <row r="1762" spans="1:13">
      <c r="A1762" s="639">
        <v>31413</v>
      </c>
      <c r="B1762" s="639">
        <v>700</v>
      </c>
      <c r="C1762" s="638">
        <v>4745.1719999999996</v>
      </c>
      <c r="D1762" s="633">
        <f t="shared" si="56"/>
        <v>4745.1719999999996</v>
      </c>
      <c r="E1762" s="608"/>
      <c r="F1762" s="760">
        <f t="shared" si="55"/>
        <v>2001.964174198406</v>
      </c>
      <c r="M1762" s="443"/>
    </row>
    <row r="1763" spans="1:13">
      <c r="A1763" s="639">
        <v>31413</v>
      </c>
      <c r="B1763" s="639">
        <v>800</v>
      </c>
      <c r="C1763" s="638">
        <v>4612.47</v>
      </c>
      <c r="D1763" s="633">
        <f t="shared" si="56"/>
        <v>4612.47</v>
      </c>
      <c r="E1763" s="608"/>
      <c r="F1763" s="760">
        <f t="shared" si="55"/>
        <v>1945.9778685714496</v>
      </c>
      <c r="M1763" s="443"/>
    </row>
    <row r="1764" spans="1:13">
      <c r="A1764" s="639">
        <v>31413</v>
      </c>
      <c r="B1764" s="639">
        <v>900</v>
      </c>
      <c r="C1764" s="638">
        <v>4204.384</v>
      </c>
      <c r="D1764" s="633">
        <f t="shared" si="56"/>
        <v>4204.384</v>
      </c>
      <c r="E1764" s="608"/>
      <c r="F1764" s="760">
        <f t="shared" ref="F1764:F1827" si="57">(D1764/(MAX($D$1444:$D$2187)))*$M$6</f>
        <v>1773.8084399412692</v>
      </c>
      <c r="M1764" s="443"/>
    </row>
    <row r="1765" spans="1:13">
      <c r="A1765" s="639">
        <v>31413</v>
      </c>
      <c r="B1765" s="639">
        <v>1000</v>
      </c>
      <c r="C1765" s="638">
        <v>4068.0250000000001</v>
      </c>
      <c r="D1765" s="633">
        <f t="shared" si="56"/>
        <v>4068.0250000000001</v>
      </c>
      <c r="E1765" s="608"/>
      <c r="F1765" s="760">
        <f t="shared" si="57"/>
        <v>1716.2792644278165</v>
      </c>
      <c r="M1765" s="443"/>
    </row>
    <row r="1766" spans="1:13">
      <c r="A1766" s="639">
        <v>31413</v>
      </c>
      <c r="B1766" s="639">
        <v>1100</v>
      </c>
      <c r="C1766" s="638">
        <v>3882.2689999999998</v>
      </c>
      <c r="D1766" s="633">
        <f t="shared" si="56"/>
        <v>3882.2689999999998</v>
      </c>
      <c r="E1766" s="608"/>
      <c r="F1766" s="760">
        <f t="shared" si="57"/>
        <v>1637.9097433351353</v>
      </c>
      <c r="M1766" s="443"/>
    </row>
    <row r="1767" spans="1:13">
      <c r="A1767" s="639">
        <v>31413</v>
      </c>
      <c r="B1767" s="639">
        <v>1200</v>
      </c>
      <c r="C1767" s="638">
        <v>3798.3490000000002</v>
      </c>
      <c r="D1767" s="633">
        <f t="shared" si="56"/>
        <v>3798.3490000000002</v>
      </c>
      <c r="E1767" s="608"/>
      <c r="F1767" s="760">
        <f t="shared" si="57"/>
        <v>1602.5043178840181</v>
      </c>
      <c r="M1767" s="443"/>
    </row>
    <row r="1768" spans="1:13">
      <c r="A1768" s="639">
        <v>31413</v>
      </c>
      <c r="B1768" s="639">
        <v>1300</v>
      </c>
      <c r="C1768" s="638">
        <v>3651.5990000000002</v>
      </c>
      <c r="D1768" s="633">
        <f t="shared" si="56"/>
        <v>3651.5990000000002</v>
      </c>
      <c r="E1768" s="608"/>
      <c r="F1768" s="760">
        <f t="shared" si="57"/>
        <v>1540.5912317906971</v>
      </c>
      <c r="M1768" s="443"/>
    </row>
    <row r="1769" spans="1:13">
      <c r="A1769" s="639">
        <v>31413</v>
      </c>
      <c r="B1769" s="639">
        <v>1400</v>
      </c>
      <c r="C1769" s="638">
        <v>3645.1219999999998</v>
      </c>
      <c r="D1769" s="633">
        <f t="shared" si="56"/>
        <v>3645.1219999999998</v>
      </c>
      <c r="E1769" s="608"/>
      <c r="F1769" s="760">
        <f t="shared" si="57"/>
        <v>1537.8586181032936</v>
      </c>
      <c r="M1769" s="443"/>
    </row>
    <row r="1770" spans="1:13">
      <c r="A1770" s="639">
        <v>31413</v>
      </c>
      <c r="B1770" s="639">
        <v>1500</v>
      </c>
      <c r="C1770" s="638">
        <v>3632.2040000000002</v>
      </c>
      <c r="D1770" s="633">
        <f t="shared" si="56"/>
        <v>3632.2040000000002</v>
      </c>
      <c r="E1770" s="608"/>
      <c r="F1770" s="760">
        <f t="shared" si="57"/>
        <v>1532.4085789472222</v>
      </c>
      <c r="M1770" s="443"/>
    </row>
    <row r="1771" spans="1:13">
      <c r="A1771" s="639">
        <v>31413</v>
      </c>
      <c r="B1771" s="639">
        <v>1600</v>
      </c>
      <c r="C1771" s="638">
        <v>3751.03</v>
      </c>
      <c r="D1771" s="633">
        <f t="shared" si="56"/>
        <v>3751.03</v>
      </c>
      <c r="E1771" s="608"/>
      <c r="F1771" s="760">
        <f t="shared" si="57"/>
        <v>1582.5406700417705</v>
      </c>
      <c r="M1771" s="443"/>
    </row>
    <row r="1772" spans="1:13">
      <c r="A1772" s="639">
        <v>31413</v>
      </c>
      <c r="B1772" s="639">
        <v>1700</v>
      </c>
      <c r="C1772" s="638">
        <v>3972.7550000000001</v>
      </c>
      <c r="D1772" s="633">
        <f t="shared" si="56"/>
        <v>3972.7550000000001</v>
      </c>
      <c r="E1772" s="608"/>
      <c r="F1772" s="760">
        <f t="shared" si="57"/>
        <v>1676.0853311255291</v>
      </c>
      <c r="M1772" s="443"/>
    </row>
    <row r="1773" spans="1:13">
      <c r="A1773" s="639">
        <v>31413</v>
      </c>
      <c r="B1773" s="639">
        <v>1800</v>
      </c>
      <c r="C1773" s="638">
        <v>4238.7709999999997</v>
      </c>
      <c r="D1773" s="633">
        <f t="shared" si="56"/>
        <v>4238.7709999999997</v>
      </c>
      <c r="E1773" s="608"/>
      <c r="F1773" s="760">
        <f t="shared" si="57"/>
        <v>1788.316142097937</v>
      </c>
      <c r="M1773" s="443"/>
    </row>
    <row r="1774" spans="1:13">
      <c r="A1774" s="639">
        <v>31413</v>
      </c>
      <c r="B1774" s="639">
        <v>1900</v>
      </c>
      <c r="C1774" s="638">
        <v>4666.5140000000001</v>
      </c>
      <c r="D1774" s="633">
        <f t="shared" si="56"/>
        <v>4666.5140000000001</v>
      </c>
      <c r="E1774" s="608"/>
      <c r="F1774" s="760">
        <f t="shared" si="57"/>
        <v>1968.7787600523861</v>
      </c>
      <c r="M1774" s="443"/>
    </row>
    <row r="1775" spans="1:13">
      <c r="A1775" s="639">
        <v>31413</v>
      </c>
      <c r="B1775" s="639">
        <v>2000</v>
      </c>
      <c r="C1775" s="638">
        <v>4998.9160000000002</v>
      </c>
      <c r="D1775" s="633">
        <f t="shared" si="56"/>
        <v>4998.9160000000002</v>
      </c>
      <c r="E1775" s="608"/>
      <c r="F1775" s="760">
        <f t="shared" si="57"/>
        <v>2109.0174901620426</v>
      </c>
      <c r="M1775" s="443"/>
    </row>
    <row r="1776" spans="1:13">
      <c r="A1776" s="639">
        <v>31413</v>
      </c>
      <c r="B1776" s="639">
        <v>2100</v>
      </c>
      <c r="C1776" s="638">
        <v>4840.973</v>
      </c>
      <c r="D1776" s="633">
        <f t="shared" si="56"/>
        <v>4840.973</v>
      </c>
      <c r="E1776" s="608"/>
      <c r="F1776" s="760">
        <f t="shared" si="57"/>
        <v>2042.3821337270347</v>
      </c>
      <c r="M1776" s="443"/>
    </row>
    <row r="1777" spans="1:13">
      <c r="A1777" s="639">
        <v>31413</v>
      </c>
      <c r="B1777" s="639">
        <v>2200</v>
      </c>
      <c r="C1777" s="638">
        <v>4448.2250000000004</v>
      </c>
      <c r="D1777" s="633">
        <f t="shared" si="56"/>
        <v>4448.2250000000004</v>
      </c>
      <c r="E1777" s="608"/>
      <c r="F1777" s="760">
        <f t="shared" si="57"/>
        <v>1876.683730067889</v>
      </c>
      <c r="M1777" s="443"/>
    </row>
    <row r="1778" spans="1:13">
      <c r="A1778" s="639">
        <v>31413</v>
      </c>
      <c r="B1778" s="639">
        <v>2300</v>
      </c>
      <c r="C1778" s="638">
        <v>4014.5639999999999</v>
      </c>
      <c r="D1778" s="633">
        <f t="shared" si="56"/>
        <v>4014.5639999999999</v>
      </c>
      <c r="E1778" s="608"/>
      <c r="F1778" s="760">
        <f t="shared" si="57"/>
        <v>1693.7243377113937</v>
      </c>
      <c r="M1778" s="443"/>
    </row>
    <row r="1779" spans="1:13">
      <c r="A1779" s="639">
        <v>31413</v>
      </c>
      <c r="B1779" s="639">
        <v>2400</v>
      </c>
      <c r="C1779" s="638">
        <v>3759.0039999999999</v>
      </c>
      <c r="D1779" s="633">
        <f t="shared" si="56"/>
        <v>3759.0039999999999</v>
      </c>
      <c r="E1779" s="608"/>
      <c r="F1779" s="760">
        <f t="shared" si="57"/>
        <v>1585.9048604915702</v>
      </c>
      <c r="M1779" s="443"/>
    </row>
    <row r="1780" spans="1:13">
      <c r="A1780" s="639">
        <v>31513</v>
      </c>
      <c r="B1780" s="639">
        <v>100</v>
      </c>
      <c r="C1780" s="638">
        <v>3752.6889999999999</v>
      </c>
      <c r="D1780" s="633">
        <f t="shared" si="56"/>
        <v>3752.6889999999999</v>
      </c>
      <c r="E1780" s="608"/>
      <c r="F1780" s="760">
        <f t="shared" si="57"/>
        <v>1583.2405937884744</v>
      </c>
      <c r="M1780" s="443"/>
    </row>
    <row r="1781" spans="1:13">
      <c r="A1781" s="639">
        <v>31513</v>
      </c>
      <c r="B1781" s="639">
        <v>200</v>
      </c>
      <c r="C1781" s="638">
        <v>3686.1</v>
      </c>
      <c r="D1781" s="633">
        <f t="shared" si="56"/>
        <v>3686.1</v>
      </c>
      <c r="E1781" s="608"/>
      <c r="F1781" s="760">
        <f t="shared" si="57"/>
        <v>1555.1470299733589</v>
      </c>
      <c r="M1781" s="443"/>
    </row>
    <row r="1782" spans="1:13">
      <c r="A1782" s="639">
        <v>31513</v>
      </c>
      <c r="B1782" s="639">
        <v>300</v>
      </c>
      <c r="C1782" s="638">
        <v>3692.402</v>
      </c>
      <c r="D1782" s="633">
        <f t="shared" si="56"/>
        <v>3692.402</v>
      </c>
      <c r="E1782" s="608"/>
      <c r="F1782" s="760">
        <f t="shared" si="57"/>
        <v>1557.8058120419118</v>
      </c>
      <c r="M1782" s="443"/>
    </row>
    <row r="1783" spans="1:13">
      <c r="A1783" s="639">
        <v>31513</v>
      </c>
      <c r="B1783" s="639">
        <v>400</v>
      </c>
      <c r="C1783" s="638">
        <v>3768.4969999999998</v>
      </c>
      <c r="D1783" s="633">
        <f t="shared" si="56"/>
        <v>3768.4969999999998</v>
      </c>
      <c r="E1783" s="608"/>
      <c r="F1783" s="760">
        <f t="shared" si="57"/>
        <v>1589.9099093929935</v>
      </c>
      <c r="M1783" s="443"/>
    </row>
    <row r="1784" spans="1:13">
      <c r="A1784" s="639">
        <v>31513</v>
      </c>
      <c r="B1784" s="639">
        <v>500</v>
      </c>
      <c r="C1784" s="638">
        <v>3980.0819999999999</v>
      </c>
      <c r="D1784" s="633">
        <f t="shared" si="56"/>
        <v>3980.0819999999999</v>
      </c>
      <c r="E1784" s="608"/>
      <c r="F1784" s="760">
        <f t="shared" si="57"/>
        <v>1679.1765555330639</v>
      </c>
      <c r="M1784" s="443"/>
    </row>
    <row r="1785" spans="1:13">
      <c r="A1785" s="639">
        <v>31513</v>
      </c>
      <c r="B1785" s="639">
        <v>600</v>
      </c>
      <c r="C1785" s="638">
        <v>4352.3639999999996</v>
      </c>
      <c r="D1785" s="633">
        <f t="shared" si="56"/>
        <v>4352.3639999999996</v>
      </c>
      <c r="E1785" s="608"/>
      <c r="F1785" s="760">
        <f t="shared" si="57"/>
        <v>1836.2404568413685</v>
      </c>
      <c r="M1785" s="443"/>
    </row>
    <row r="1786" spans="1:13">
      <c r="A1786" s="639">
        <v>31513</v>
      </c>
      <c r="B1786" s="639">
        <v>700</v>
      </c>
      <c r="C1786" s="638">
        <v>4592.2709999999997</v>
      </c>
      <c r="D1786" s="633">
        <f t="shared" si="56"/>
        <v>4592.2709999999997</v>
      </c>
      <c r="E1786" s="608"/>
      <c r="F1786" s="760">
        <f t="shared" si="57"/>
        <v>1937.4560121762263</v>
      </c>
      <c r="M1786" s="443"/>
    </row>
    <row r="1787" spans="1:13">
      <c r="A1787" s="639">
        <v>31513</v>
      </c>
      <c r="B1787" s="639">
        <v>800</v>
      </c>
      <c r="C1787" s="638">
        <v>4624.7889999999998</v>
      </c>
      <c r="D1787" s="633">
        <f t="shared" si="56"/>
        <v>4624.7889999999998</v>
      </c>
      <c r="E1787" s="608"/>
      <c r="F1787" s="760">
        <f t="shared" si="57"/>
        <v>1951.1751926435695</v>
      </c>
      <c r="M1787" s="443"/>
    </row>
    <row r="1788" spans="1:13">
      <c r="A1788" s="639">
        <v>31513</v>
      </c>
      <c r="B1788" s="639">
        <v>900</v>
      </c>
      <c r="C1788" s="638">
        <v>4563.518</v>
      </c>
      <c r="D1788" s="633">
        <f t="shared" si="56"/>
        <v>4563.518</v>
      </c>
      <c r="E1788" s="608"/>
      <c r="F1788" s="760">
        <f t="shared" si="57"/>
        <v>1925.325266251584</v>
      </c>
      <c r="M1788" s="443"/>
    </row>
    <row r="1789" spans="1:13">
      <c r="A1789" s="639">
        <v>31513</v>
      </c>
      <c r="B1789" s="639">
        <v>1000</v>
      </c>
      <c r="C1789" s="638">
        <v>4413.3720000000003</v>
      </c>
      <c r="D1789" s="633">
        <f t="shared" si="56"/>
        <v>4413.3720000000003</v>
      </c>
      <c r="E1789" s="608"/>
      <c r="F1789" s="760">
        <f t="shared" si="57"/>
        <v>1861.9794248575961</v>
      </c>
      <c r="M1789" s="443"/>
    </row>
    <row r="1790" spans="1:13">
      <c r="A1790" s="639">
        <v>31513</v>
      </c>
      <c r="B1790" s="639">
        <v>1100</v>
      </c>
      <c r="C1790" s="638">
        <v>4247.1440000000002</v>
      </c>
      <c r="D1790" s="633">
        <f t="shared" si="56"/>
        <v>4247.1440000000002</v>
      </c>
      <c r="E1790" s="608"/>
      <c r="F1790" s="760">
        <f t="shared" si="57"/>
        <v>1791.8486686387166</v>
      </c>
      <c r="M1790" s="443"/>
    </row>
    <row r="1791" spans="1:13">
      <c r="A1791" s="639">
        <v>31513</v>
      </c>
      <c r="B1791" s="639">
        <v>1200</v>
      </c>
      <c r="C1791" s="638">
        <v>4064.942</v>
      </c>
      <c r="D1791" s="633">
        <f t="shared" si="56"/>
        <v>4064.942</v>
      </c>
      <c r="E1791" s="608"/>
      <c r="F1791" s="760">
        <f t="shared" si="57"/>
        <v>1714.9785622511508</v>
      </c>
      <c r="M1791" s="443"/>
    </row>
    <row r="1792" spans="1:13">
      <c r="A1792" s="639">
        <v>31513</v>
      </c>
      <c r="B1792" s="639">
        <v>1300</v>
      </c>
      <c r="C1792" s="638">
        <v>3740.1190000000001</v>
      </c>
      <c r="D1792" s="633">
        <f t="shared" si="56"/>
        <v>3740.1190000000001</v>
      </c>
      <c r="E1792" s="608"/>
      <c r="F1792" s="760">
        <f t="shared" si="57"/>
        <v>1577.9373740801743</v>
      </c>
      <c r="M1792" s="443"/>
    </row>
    <row r="1793" spans="1:13">
      <c r="A1793" s="639">
        <v>31513</v>
      </c>
      <c r="B1793" s="639">
        <v>1400</v>
      </c>
      <c r="C1793" s="638">
        <v>3648.7220000000002</v>
      </c>
      <c r="D1793" s="633">
        <f t="shared" si="56"/>
        <v>3648.7220000000002</v>
      </c>
      <c r="E1793" s="608"/>
      <c r="F1793" s="760">
        <f t="shared" si="57"/>
        <v>1539.3774399767926</v>
      </c>
      <c r="M1793" s="443"/>
    </row>
    <row r="1794" spans="1:13">
      <c r="A1794" s="639">
        <v>31513</v>
      </c>
      <c r="B1794" s="639">
        <v>1500</v>
      </c>
      <c r="C1794" s="638">
        <v>3671.9009999999998</v>
      </c>
      <c r="D1794" s="633">
        <f t="shared" si="56"/>
        <v>3671.9009999999998</v>
      </c>
      <c r="E1794" s="608"/>
      <c r="F1794" s="760">
        <f t="shared" si="57"/>
        <v>1549.1565433673006</v>
      </c>
      <c r="M1794" s="443"/>
    </row>
    <row r="1795" spans="1:13">
      <c r="A1795" s="639">
        <v>31513</v>
      </c>
      <c r="B1795" s="639">
        <v>1600</v>
      </c>
      <c r="C1795" s="638">
        <v>3706.8719999999998</v>
      </c>
      <c r="D1795" s="633">
        <f t="shared" si="56"/>
        <v>3706.8719999999998</v>
      </c>
      <c r="E1795" s="608"/>
      <c r="F1795" s="760">
        <f t="shared" si="57"/>
        <v>1563.9106321834474</v>
      </c>
      <c r="M1795" s="443"/>
    </row>
    <row r="1796" spans="1:13">
      <c r="A1796" s="639">
        <v>31513</v>
      </c>
      <c r="B1796" s="639">
        <v>1700</v>
      </c>
      <c r="C1796" s="638">
        <v>3865.2289999999998</v>
      </c>
      <c r="D1796" s="633">
        <f t="shared" si="56"/>
        <v>3865.2289999999998</v>
      </c>
      <c r="E1796" s="608"/>
      <c r="F1796" s="760">
        <f t="shared" si="57"/>
        <v>1630.7206531339077</v>
      </c>
      <c r="M1796" s="443"/>
    </row>
    <row r="1797" spans="1:13">
      <c r="A1797" s="639">
        <v>31513</v>
      </c>
      <c r="B1797" s="639">
        <v>1800</v>
      </c>
      <c r="C1797" s="638">
        <v>4041.7280000000001</v>
      </c>
      <c r="D1797" s="633">
        <f t="shared" ref="D1797:D1860" si="58">C1797</f>
        <v>4041.7280000000001</v>
      </c>
      <c r="E1797" s="608"/>
      <c r="F1797" s="760">
        <f t="shared" si="57"/>
        <v>1705.1846925368723</v>
      </c>
      <c r="M1797" s="443"/>
    </row>
    <row r="1798" spans="1:13">
      <c r="A1798" s="639">
        <v>31513</v>
      </c>
      <c r="B1798" s="639">
        <v>1900</v>
      </c>
      <c r="C1798" s="638">
        <v>4489.9189999999999</v>
      </c>
      <c r="D1798" s="633">
        <f t="shared" si="58"/>
        <v>4489.9189999999999</v>
      </c>
      <c r="E1798" s="608"/>
      <c r="F1798" s="760">
        <f t="shared" si="57"/>
        <v>1894.2742187327947</v>
      </c>
      <c r="M1798" s="443"/>
    </row>
    <row r="1799" spans="1:13">
      <c r="A1799" s="639">
        <v>31513</v>
      </c>
      <c r="B1799" s="639">
        <v>2000</v>
      </c>
      <c r="C1799" s="638">
        <v>4783.4920000000002</v>
      </c>
      <c r="D1799" s="633">
        <f t="shared" si="58"/>
        <v>4783.4920000000002</v>
      </c>
      <c r="E1799" s="608"/>
      <c r="F1799" s="760">
        <f t="shared" si="57"/>
        <v>2018.1311892518715</v>
      </c>
      <c r="M1799" s="443"/>
    </row>
    <row r="1800" spans="1:13">
      <c r="A1800" s="639">
        <v>31513</v>
      </c>
      <c r="B1800" s="639">
        <v>2100</v>
      </c>
      <c r="C1800" s="638">
        <v>4709.393</v>
      </c>
      <c r="D1800" s="633">
        <f t="shared" si="58"/>
        <v>4709.393</v>
      </c>
      <c r="E1800" s="608"/>
      <c r="F1800" s="760">
        <f t="shared" si="57"/>
        <v>1986.8691942506518</v>
      </c>
      <c r="M1800" s="443"/>
    </row>
    <row r="1801" spans="1:13">
      <c r="A1801" s="639">
        <v>31513</v>
      </c>
      <c r="B1801" s="639">
        <v>2200</v>
      </c>
      <c r="C1801" s="638">
        <v>4452.0370000000003</v>
      </c>
      <c r="D1801" s="633">
        <f t="shared" si="58"/>
        <v>4452.0370000000003</v>
      </c>
      <c r="E1801" s="608"/>
      <c r="F1801" s="760">
        <f t="shared" si="57"/>
        <v>1878.2919936739384</v>
      </c>
      <c r="M1801" s="443"/>
    </row>
    <row r="1802" spans="1:13">
      <c r="A1802" s="639">
        <v>31513</v>
      </c>
      <c r="B1802" s="639">
        <v>2300</v>
      </c>
      <c r="C1802" s="638">
        <v>4003.0830000000001</v>
      </c>
      <c r="D1802" s="633">
        <f t="shared" si="58"/>
        <v>4003.0830000000001</v>
      </c>
      <c r="E1802" s="608"/>
      <c r="F1802" s="760">
        <f t="shared" si="57"/>
        <v>1688.8805616198272</v>
      </c>
      <c r="M1802" s="443"/>
    </row>
    <row r="1803" spans="1:13">
      <c r="A1803" s="639">
        <v>31513</v>
      </c>
      <c r="B1803" s="639">
        <v>2400</v>
      </c>
      <c r="C1803" s="638">
        <v>3650.2730000000001</v>
      </c>
      <c r="D1803" s="633">
        <f t="shared" si="58"/>
        <v>3650.2730000000001</v>
      </c>
      <c r="E1803" s="608"/>
      <c r="F1803" s="760">
        <f t="shared" si="57"/>
        <v>1540.0317990672918</v>
      </c>
      <c r="M1803" s="443"/>
    </row>
    <row r="1804" spans="1:13">
      <c r="A1804" s="639">
        <v>31613</v>
      </c>
      <c r="B1804" s="639">
        <v>100</v>
      </c>
      <c r="C1804" s="638">
        <v>3653.462</v>
      </c>
      <c r="D1804" s="633">
        <f t="shared" si="58"/>
        <v>3653.462</v>
      </c>
      <c r="E1804" s="608"/>
      <c r="F1804" s="760">
        <f t="shared" si="57"/>
        <v>1541.3772221102327</v>
      </c>
      <c r="M1804" s="443"/>
    </row>
    <row r="1805" spans="1:13">
      <c r="A1805" s="639">
        <v>31613</v>
      </c>
      <c r="B1805" s="639">
        <v>200</v>
      </c>
      <c r="C1805" s="638">
        <v>3599.69</v>
      </c>
      <c r="D1805" s="633">
        <f t="shared" si="58"/>
        <v>3599.69</v>
      </c>
      <c r="E1805" s="608"/>
      <c r="F1805" s="760">
        <f t="shared" si="57"/>
        <v>1518.6910860597382</v>
      </c>
      <c r="M1805" s="443"/>
    </row>
    <row r="1806" spans="1:13">
      <c r="A1806" s="639">
        <v>31613</v>
      </c>
      <c r="B1806" s="639">
        <v>300</v>
      </c>
      <c r="C1806" s="638">
        <v>3590.806</v>
      </c>
      <c r="D1806" s="633">
        <f t="shared" si="58"/>
        <v>3590.806</v>
      </c>
      <c r="E1806" s="608"/>
      <c r="F1806" s="760">
        <f t="shared" si="57"/>
        <v>1514.9429711919151</v>
      </c>
      <c r="M1806" s="443"/>
    </row>
    <row r="1807" spans="1:13">
      <c r="A1807" s="639">
        <v>31613</v>
      </c>
      <c r="B1807" s="639">
        <v>400</v>
      </c>
      <c r="C1807" s="638">
        <v>3652.5630000000001</v>
      </c>
      <c r="D1807" s="633">
        <f t="shared" si="58"/>
        <v>3652.5630000000001</v>
      </c>
      <c r="E1807" s="608"/>
      <c r="F1807" s="760">
        <f t="shared" si="57"/>
        <v>1540.9979385368229</v>
      </c>
      <c r="M1807" s="443"/>
    </row>
    <row r="1808" spans="1:13">
      <c r="A1808" s="639">
        <v>31613</v>
      </c>
      <c r="B1808" s="639">
        <v>500</v>
      </c>
      <c r="C1808" s="638">
        <v>3795.1309999999999</v>
      </c>
      <c r="D1808" s="633">
        <f t="shared" si="58"/>
        <v>3795.1309999999999</v>
      </c>
      <c r="E1808" s="608"/>
      <c r="F1808" s="760">
        <f t="shared" si="57"/>
        <v>1601.1466598870959</v>
      </c>
      <c r="M1808" s="443"/>
    </row>
    <row r="1809" spans="1:13">
      <c r="A1809" s="639">
        <v>31613</v>
      </c>
      <c r="B1809" s="639">
        <v>600</v>
      </c>
      <c r="C1809" s="638">
        <v>4111.0290000000005</v>
      </c>
      <c r="D1809" s="633">
        <f t="shared" si="58"/>
        <v>4111.0290000000005</v>
      </c>
      <c r="E1809" s="608"/>
      <c r="F1809" s="760">
        <f t="shared" si="57"/>
        <v>1734.42243549669</v>
      </c>
      <c r="M1809" s="443"/>
    </row>
    <row r="1810" spans="1:13">
      <c r="A1810" s="639">
        <v>31613</v>
      </c>
      <c r="B1810" s="639">
        <v>700</v>
      </c>
      <c r="C1810" s="638">
        <v>4327.6899999999996</v>
      </c>
      <c r="D1810" s="633">
        <f t="shared" si="58"/>
        <v>4327.6899999999996</v>
      </c>
      <c r="E1810" s="608"/>
      <c r="F1810" s="760">
        <f t="shared" si="57"/>
        <v>1825.8306204783933</v>
      </c>
      <c r="M1810" s="443"/>
    </row>
    <row r="1811" spans="1:13">
      <c r="A1811" s="639">
        <v>31613</v>
      </c>
      <c r="B1811" s="639">
        <v>800</v>
      </c>
      <c r="C1811" s="638">
        <v>4679.7349999999997</v>
      </c>
      <c r="D1811" s="633">
        <f t="shared" si="58"/>
        <v>4679.7349999999997</v>
      </c>
      <c r="E1811" s="608"/>
      <c r="F1811" s="760">
        <f t="shared" si="57"/>
        <v>1974.3566333828103</v>
      </c>
      <c r="M1811" s="443"/>
    </row>
    <row r="1812" spans="1:13">
      <c r="A1812" s="639">
        <v>31613</v>
      </c>
      <c r="B1812" s="639">
        <v>900</v>
      </c>
      <c r="C1812" s="638">
        <v>4827.5940000000001</v>
      </c>
      <c r="D1812" s="633">
        <f t="shared" si="58"/>
        <v>4827.5940000000001</v>
      </c>
      <c r="E1812" s="608"/>
      <c r="F1812" s="760">
        <f t="shared" si="57"/>
        <v>2036.7376009921622</v>
      </c>
      <c r="M1812" s="443"/>
    </row>
    <row r="1813" spans="1:13">
      <c r="A1813" s="639">
        <v>31613</v>
      </c>
      <c r="B1813" s="639">
        <v>1000</v>
      </c>
      <c r="C1813" s="638">
        <v>4596.933</v>
      </c>
      <c r="D1813" s="633">
        <f t="shared" si="58"/>
        <v>4596.933</v>
      </c>
      <c r="E1813" s="608"/>
      <c r="F1813" s="760">
        <f t="shared" si="57"/>
        <v>1939.4228865024074</v>
      </c>
      <c r="M1813" s="443"/>
    </row>
    <row r="1814" spans="1:13">
      <c r="A1814" s="639">
        <v>31613</v>
      </c>
      <c r="B1814" s="639">
        <v>1100</v>
      </c>
      <c r="C1814" s="638">
        <v>4519.3379999999997</v>
      </c>
      <c r="D1814" s="633">
        <f t="shared" si="58"/>
        <v>4519.3379999999997</v>
      </c>
      <c r="E1814" s="608"/>
      <c r="F1814" s="760">
        <f t="shared" si="57"/>
        <v>1906.6859467040342</v>
      </c>
      <c r="M1814" s="443"/>
    </row>
    <row r="1815" spans="1:13">
      <c r="A1815" s="639">
        <v>31613</v>
      </c>
      <c r="B1815" s="639">
        <v>1200</v>
      </c>
      <c r="C1815" s="638">
        <v>4506.68</v>
      </c>
      <c r="D1815" s="633">
        <f t="shared" si="58"/>
        <v>4506.68</v>
      </c>
      <c r="E1815" s="608"/>
      <c r="F1815" s="760">
        <f t="shared" si="57"/>
        <v>1901.3456002388266</v>
      </c>
      <c r="M1815" s="443"/>
    </row>
    <row r="1816" spans="1:13">
      <c r="A1816" s="639">
        <v>31613</v>
      </c>
      <c r="B1816" s="639">
        <v>1300</v>
      </c>
      <c r="C1816" s="638">
        <v>4418.68</v>
      </c>
      <c r="D1816" s="633">
        <f t="shared" si="58"/>
        <v>4418.68</v>
      </c>
      <c r="E1816" s="608"/>
      <c r="F1816" s="760">
        <f t="shared" si="57"/>
        <v>1864.2188433310771</v>
      </c>
      <c r="M1816" s="443"/>
    </row>
    <row r="1817" spans="1:13">
      <c r="A1817" s="639">
        <v>31613</v>
      </c>
      <c r="B1817" s="639">
        <v>1400</v>
      </c>
      <c r="C1817" s="638">
        <v>4246.9369999999999</v>
      </c>
      <c r="D1817" s="633">
        <f t="shared" si="58"/>
        <v>4246.9369999999999</v>
      </c>
      <c r="E1817" s="608"/>
      <c r="F1817" s="760">
        <f t="shared" si="57"/>
        <v>1791.7613363809901</v>
      </c>
      <c r="M1817" s="443"/>
    </row>
    <row r="1818" spans="1:13">
      <c r="A1818" s="639">
        <v>31613</v>
      </c>
      <c r="B1818" s="639">
        <v>1500</v>
      </c>
      <c r="C1818" s="638">
        <v>4187.9120000000003</v>
      </c>
      <c r="D1818" s="633">
        <f t="shared" si="58"/>
        <v>4187.9120000000003</v>
      </c>
      <c r="E1818" s="608"/>
      <c r="F1818" s="760">
        <f t="shared" si="57"/>
        <v>1766.8589860800823</v>
      </c>
      <c r="M1818" s="443"/>
    </row>
    <row r="1819" spans="1:13">
      <c r="A1819" s="639">
        <v>31613</v>
      </c>
      <c r="B1819" s="639">
        <v>1600</v>
      </c>
      <c r="C1819" s="638">
        <v>4118.2659999999996</v>
      </c>
      <c r="D1819" s="633">
        <f t="shared" si="58"/>
        <v>4118.2659999999996</v>
      </c>
      <c r="E1819" s="608"/>
      <c r="F1819" s="760">
        <f t="shared" si="57"/>
        <v>1737.4756893573874</v>
      </c>
      <c r="M1819" s="443"/>
    </row>
    <row r="1820" spans="1:13">
      <c r="A1820" s="639">
        <v>31613</v>
      </c>
      <c r="B1820" s="639">
        <v>1700</v>
      </c>
      <c r="C1820" s="638">
        <v>4202.1059999999998</v>
      </c>
      <c r="D1820" s="633">
        <f t="shared" si="58"/>
        <v>4202.1059999999998</v>
      </c>
      <c r="E1820" s="608"/>
      <c r="F1820" s="760">
        <f t="shared" si="57"/>
        <v>1772.8473632113162</v>
      </c>
      <c r="M1820" s="443"/>
    </row>
    <row r="1821" spans="1:13">
      <c r="A1821" s="639">
        <v>31613</v>
      </c>
      <c r="B1821" s="639">
        <v>1800</v>
      </c>
      <c r="C1821" s="638">
        <v>4363.3689999999997</v>
      </c>
      <c r="D1821" s="633">
        <f t="shared" si="58"/>
        <v>4363.3689999999997</v>
      </c>
      <c r="E1821" s="608"/>
      <c r="F1821" s="760">
        <f t="shared" si="57"/>
        <v>1840.8834109296617</v>
      </c>
      <c r="M1821" s="443"/>
    </row>
    <row r="1822" spans="1:13">
      <c r="A1822" s="639">
        <v>31613</v>
      </c>
      <c r="B1822" s="639">
        <v>1900</v>
      </c>
      <c r="C1822" s="638">
        <v>4607.6689999999999</v>
      </c>
      <c r="D1822" s="633">
        <f t="shared" si="58"/>
        <v>4607.6689999999999</v>
      </c>
      <c r="E1822" s="608"/>
      <c r="F1822" s="760">
        <f t="shared" si="57"/>
        <v>1943.9523508451528</v>
      </c>
      <c r="M1822" s="443"/>
    </row>
    <row r="1823" spans="1:13">
      <c r="A1823" s="639">
        <v>31613</v>
      </c>
      <c r="B1823" s="639">
        <v>2000</v>
      </c>
      <c r="C1823" s="638">
        <v>4911.1580000000004</v>
      </c>
      <c r="D1823" s="633">
        <f t="shared" si="58"/>
        <v>4911.1580000000004</v>
      </c>
      <c r="E1823" s="608"/>
      <c r="F1823" s="760">
        <f t="shared" si="57"/>
        <v>2071.9928318357893</v>
      </c>
      <c r="M1823" s="443"/>
    </row>
    <row r="1824" spans="1:13">
      <c r="A1824" s="639">
        <v>31613</v>
      </c>
      <c r="B1824" s="639">
        <v>2100</v>
      </c>
      <c r="C1824" s="638">
        <v>4790.7550000000001</v>
      </c>
      <c r="D1824" s="633">
        <f t="shared" si="58"/>
        <v>4790.7550000000001</v>
      </c>
      <c r="E1824" s="608"/>
      <c r="F1824" s="760">
        <f t="shared" si="57"/>
        <v>2021.1954123816556</v>
      </c>
      <c r="M1824" s="443"/>
    </row>
    <row r="1825" spans="1:13">
      <c r="A1825" s="639">
        <v>31613</v>
      </c>
      <c r="B1825" s="639">
        <v>2200</v>
      </c>
      <c r="C1825" s="638">
        <v>4522.5209999999997</v>
      </c>
      <c r="D1825" s="633">
        <f t="shared" si="58"/>
        <v>4522.5209999999997</v>
      </c>
      <c r="E1825" s="608"/>
      <c r="F1825" s="760">
        <f t="shared" si="57"/>
        <v>1908.0288383771863</v>
      </c>
      <c r="M1825" s="443"/>
    </row>
    <row r="1826" spans="1:13">
      <c r="A1826" s="639">
        <v>31613</v>
      </c>
      <c r="B1826" s="639">
        <v>2300</v>
      </c>
      <c r="C1826" s="638">
        <v>4130.6769999999997</v>
      </c>
      <c r="D1826" s="633">
        <f t="shared" si="58"/>
        <v>4130.6769999999997</v>
      </c>
      <c r="E1826" s="608"/>
      <c r="F1826" s="760">
        <f t="shared" si="57"/>
        <v>1742.7118277662746</v>
      </c>
      <c r="M1826" s="443"/>
    </row>
    <row r="1827" spans="1:13">
      <c r="A1827" s="639">
        <v>31613</v>
      </c>
      <c r="B1827" s="639">
        <v>2400</v>
      </c>
      <c r="C1827" s="638">
        <v>3981.9639999999999</v>
      </c>
      <c r="D1827" s="633">
        <f t="shared" si="58"/>
        <v>3981.9639999999999</v>
      </c>
      <c r="E1827" s="608"/>
      <c r="F1827" s="760">
        <f t="shared" si="57"/>
        <v>1679.9705618569319</v>
      </c>
      <c r="M1827" s="443"/>
    </row>
    <row r="1828" spans="1:13">
      <c r="A1828" s="639">
        <v>31713</v>
      </c>
      <c r="B1828" s="639">
        <v>100</v>
      </c>
      <c r="C1828" s="638">
        <v>3966.614</v>
      </c>
      <c r="D1828" s="633">
        <f t="shared" si="58"/>
        <v>3966.614</v>
      </c>
      <c r="E1828" s="608"/>
      <c r="F1828" s="760">
        <f t="shared" ref="F1828:F1891" si="59">(D1828/(MAX($D$1444:$D$2187)))*$M$6</f>
        <v>1673.4944741463189</v>
      </c>
      <c r="M1828" s="443"/>
    </row>
    <row r="1829" spans="1:13">
      <c r="A1829" s="639">
        <v>31713</v>
      </c>
      <c r="B1829" s="639">
        <v>200</v>
      </c>
      <c r="C1829" s="638">
        <v>3878.2869999999998</v>
      </c>
      <c r="D1829" s="633">
        <f t="shared" si="58"/>
        <v>3878.2869999999998</v>
      </c>
      <c r="E1829" s="608"/>
      <c r="F1829" s="760">
        <f t="shared" si="59"/>
        <v>1636.2297575850598</v>
      </c>
      <c r="M1829" s="443"/>
    </row>
    <row r="1830" spans="1:13">
      <c r="A1830" s="639">
        <v>31713</v>
      </c>
      <c r="B1830" s="639">
        <v>300</v>
      </c>
      <c r="C1830" s="638">
        <v>3848.6880000000001</v>
      </c>
      <c r="D1830" s="633">
        <f t="shared" si="58"/>
        <v>3848.6880000000001</v>
      </c>
      <c r="E1830" s="608"/>
      <c r="F1830" s="760">
        <f t="shared" si="59"/>
        <v>1623.7420885201454</v>
      </c>
      <c r="M1830" s="443"/>
    </row>
    <row r="1831" spans="1:13">
      <c r="A1831" s="639">
        <v>31713</v>
      </c>
      <c r="B1831" s="639">
        <v>400</v>
      </c>
      <c r="C1831" s="638">
        <v>3838.1610000000001</v>
      </c>
      <c r="D1831" s="633">
        <f t="shared" si="58"/>
        <v>3838.1610000000001</v>
      </c>
      <c r="E1831" s="608"/>
      <c r="F1831" s="760">
        <f t="shared" si="59"/>
        <v>1619.300800225056</v>
      </c>
      <c r="M1831" s="443"/>
    </row>
    <row r="1832" spans="1:13">
      <c r="A1832" s="639">
        <v>31713</v>
      </c>
      <c r="B1832" s="639">
        <v>500</v>
      </c>
      <c r="C1832" s="638">
        <v>3957.0129999999999</v>
      </c>
      <c r="D1832" s="633">
        <f t="shared" si="58"/>
        <v>3957.0129999999999</v>
      </c>
      <c r="E1832" s="608"/>
      <c r="F1832" s="760">
        <f t="shared" si="59"/>
        <v>1669.4438605886903</v>
      </c>
      <c r="M1832" s="443"/>
    </row>
    <row r="1833" spans="1:13">
      <c r="A1833" s="639">
        <v>31713</v>
      </c>
      <c r="B1833" s="639">
        <v>600</v>
      </c>
      <c r="C1833" s="638">
        <v>4226.4620000000004</v>
      </c>
      <c r="D1833" s="633">
        <f t="shared" si="58"/>
        <v>4226.4620000000004</v>
      </c>
      <c r="E1833" s="608"/>
      <c r="F1833" s="760">
        <f t="shared" si="59"/>
        <v>1783.1230369754658</v>
      </c>
      <c r="M1833" s="443"/>
    </row>
    <row r="1834" spans="1:13">
      <c r="A1834" s="639">
        <v>31713</v>
      </c>
      <c r="B1834" s="639">
        <v>700</v>
      </c>
      <c r="C1834" s="638">
        <v>4437.6019999999999</v>
      </c>
      <c r="D1834" s="633">
        <f t="shared" si="58"/>
        <v>4437.6019999999999</v>
      </c>
      <c r="E1834" s="608"/>
      <c r="F1834" s="760">
        <f t="shared" si="59"/>
        <v>1872.2019398561729</v>
      </c>
      <c r="M1834" s="443"/>
    </row>
    <row r="1835" spans="1:13">
      <c r="A1835" s="639">
        <v>31713</v>
      </c>
      <c r="B1835" s="639">
        <v>800</v>
      </c>
      <c r="C1835" s="638">
        <v>4350.4930000000004</v>
      </c>
      <c r="D1835" s="633">
        <f t="shared" si="58"/>
        <v>4350.4930000000004</v>
      </c>
      <c r="E1835" s="608"/>
      <c r="F1835" s="760">
        <f t="shared" si="59"/>
        <v>1835.4510913621145</v>
      </c>
      <c r="M1835" s="443"/>
    </row>
    <row r="1836" spans="1:13">
      <c r="A1836" s="639">
        <v>31713</v>
      </c>
      <c r="B1836" s="639">
        <v>900</v>
      </c>
      <c r="C1836" s="638">
        <v>4499.7879999999996</v>
      </c>
      <c r="D1836" s="633">
        <f t="shared" si="58"/>
        <v>4499.7879999999996</v>
      </c>
      <c r="E1836" s="608"/>
      <c r="F1836" s="760">
        <f t="shared" si="59"/>
        <v>1898.4379001410057</v>
      </c>
      <c r="M1836" s="443"/>
    </row>
    <row r="1837" spans="1:13">
      <c r="A1837" s="639">
        <v>31713</v>
      </c>
      <c r="B1837" s="639">
        <v>1000</v>
      </c>
      <c r="C1837" s="638">
        <v>4506.3419999999996</v>
      </c>
      <c r="D1837" s="633">
        <f t="shared" si="58"/>
        <v>4506.3419999999996</v>
      </c>
      <c r="E1837" s="608"/>
      <c r="F1837" s="760">
        <f t="shared" si="59"/>
        <v>1901.2029997407035</v>
      </c>
      <c r="M1837" s="443"/>
    </row>
    <row r="1838" spans="1:13">
      <c r="A1838" s="639">
        <v>31713</v>
      </c>
      <c r="B1838" s="639">
        <v>1100</v>
      </c>
      <c r="C1838" s="638">
        <v>4432.674</v>
      </c>
      <c r="D1838" s="633">
        <f t="shared" si="58"/>
        <v>4432.674</v>
      </c>
      <c r="E1838" s="608"/>
      <c r="F1838" s="760">
        <f t="shared" si="59"/>
        <v>1870.1228414693389</v>
      </c>
      <c r="M1838" s="443"/>
    </row>
    <row r="1839" spans="1:13">
      <c r="A1839" s="639">
        <v>31713</v>
      </c>
      <c r="B1839" s="639">
        <v>1200</v>
      </c>
      <c r="C1839" s="638">
        <v>4311.1809999999996</v>
      </c>
      <c r="D1839" s="633">
        <f t="shared" si="58"/>
        <v>4311.1809999999996</v>
      </c>
      <c r="E1839" s="608"/>
      <c r="F1839" s="760">
        <f t="shared" si="59"/>
        <v>1818.8655565035067</v>
      </c>
      <c r="M1839" s="443"/>
    </row>
    <row r="1840" spans="1:13">
      <c r="A1840" s="639">
        <v>31713</v>
      </c>
      <c r="B1840" s="639">
        <v>1300</v>
      </c>
      <c r="C1840" s="638">
        <v>4113.5039999999999</v>
      </c>
      <c r="D1840" s="633">
        <f t="shared" si="58"/>
        <v>4113.5039999999999</v>
      </c>
      <c r="E1840" s="608"/>
      <c r="F1840" s="760">
        <f t="shared" si="59"/>
        <v>1735.4666255347204</v>
      </c>
      <c r="M1840" s="443"/>
    </row>
    <row r="1841" spans="1:13">
      <c r="A1841" s="639">
        <v>31713</v>
      </c>
      <c r="B1841" s="639">
        <v>1400</v>
      </c>
      <c r="C1841" s="638">
        <v>3963.509</v>
      </c>
      <c r="D1841" s="633">
        <f t="shared" si="58"/>
        <v>3963.509</v>
      </c>
      <c r="E1841" s="608"/>
      <c r="F1841" s="760">
        <f t="shared" si="59"/>
        <v>1672.1844902804262</v>
      </c>
      <c r="M1841" s="443"/>
    </row>
    <row r="1842" spans="1:13">
      <c r="A1842" s="639">
        <v>31713</v>
      </c>
      <c r="B1842" s="639">
        <v>1500</v>
      </c>
      <c r="C1842" s="638">
        <v>3866.6039999999998</v>
      </c>
      <c r="D1842" s="633">
        <f t="shared" si="58"/>
        <v>3866.6039999999998</v>
      </c>
      <c r="E1842" s="608"/>
      <c r="F1842" s="760">
        <f t="shared" si="59"/>
        <v>1631.3007587105913</v>
      </c>
      <c r="M1842" s="443"/>
    </row>
    <row r="1843" spans="1:13">
      <c r="A1843" s="639">
        <v>31713</v>
      </c>
      <c r="B1843" s="639">
        <v>1600</v>
      </c>
      <c r="C1843" s="638">
        <v>4100.0460000000003</v>
      </c>
      <c r="D1843" s="633">
        <f t="shared" si="58"/>
        <v>4100.0460000000003</v>
      </c>
      <c r="E1843" s="608"/>
      <c r="F1843" s="760">
        <f t="shared" si="59"/>
        <v>1729.788763097624</v>
      </c>
      <c r="M1843" s="443"/>
    </row>
    <row r="1844" spans="1:13">
      <c r="A1844" s="639">
        <v>31713</v>
      </c>
      <c r="B1844" s="639">
        <v>1700</v>
      </c>
      <c r="C1844" s="638">
        <v>4261.3630000000003</v>
      </c>
      <c r="D1844" s="633">
        <f t="shared" si="58"/>
        <v>4261.3630000000003</v>
      </c>
      <c r="E1844" s="608"/>
      <c r="F1844" s="760">
        <f t="shared" si="59"/>
        <v>1797.8475931440721</v>
      </c>
      <c r="M1844" s="443"/>
    </row>
    <row r="1845" spans="1:13">
      <c r="A1845" s="639">
        <v>31713</v>
      </c>
      <c r="B1845" s="639">
        <v>1800</v>
      </c>
      <c r="C1845" s="638">
        <v>4365.1019999999999</v>
      </c>
      <c r="D1845" s="633">
        <f t="shared" si="58"/>
        <v>4365.1019999999999</v>
      </c>
      <c r="E1845" s="608"/>
      <c r="F1845" s="760">
        <f t="shared" si="59"/>
        <v>1841.6145549037656</v>
      </c>
      <c r="M1845" s="443"/>
    </row>
    <row r="1846" spans="1:13">
      <c r="A1846" s="639">
        <v>31713</v>
      </c>
      <c r="B1846" s="639">
        <v>1900</v>
      </c>
      <c r="C1846" s="638">
        <v>4752.7839999999997</v>
      </c>
      <c r="D1846" s="633">
        <f t="shared" si="58"/>
        <v>4752.7839999999997</v>
      </c>
      <c r="E1846" s="608"/>
      <c r="F1846" s="760">
        <f t="shared" si="59"/>
        <v>2005.1756386709262</v>
      </c>
      <c r="M1846" s="443"/>
    </row>
    <row r="1847" spans="1:13">
      <c r="A1847" s="639">
        <v>31713</v>
      </c>
      <c r="B1847" s="639">
        <v>2000</v>
      </c>
      <c r="C1847" s="638">
        <v>5196.6949999999997</v>
      </c>
      <c r="D1847" s="633">
        <f t="shared" si="58"/>
        <v>5196.6949999999997</v>
      </c>
      <c r="E1847" s="608"/>
      <c r="F1847" s="760">
        <f t="shared" si="59"/>
        <v>2192.4594544172446</v>
      </c>
      <c r="M1847" s="443"/>
    </row>
    <row r="1848" spans="1:13">
      <c r="A1848" s="639">
        <v>31713</v>
      </c>
      <c r="B1848" s="639">
        <v>2100</v>
      </c>
      <c r="C1848" s="638">
        <v>5000.6530000000002</v>
      </c>
      <c r="D1848" s="633">
        <f t="shared" si="58"/>
        <v>5000.6530000000002</v>
      </c>
      <c r="E1848" s="608"/>
      <c r="F1848" s="760">
        <f t="shared" si="59"/>
        <v>2109.7503217160056</v>
      </c>
      <c r="M1848" s="443"/>
    </row>
    <row r="1849" spans="1:13">
      <c r="A1849" s="639">
        <v>31713</v>
      </c>
      <c r="B1849" s="639">
        <v>2200</v>
      </c>
      <c r="C1849" s="638">
        <v>4514.3</v>
      </c>
      <c r="D1849" s="633">
        <f t="shared" si="58"/>
        <v>4514.3</v>
      </c>
      <c r="E1849" s="608"/>
      <c r="F1849" s="760">
        <f t="shared" si="59"/>
        <v>1904.5604398710659</v>
      </c>
      <c r="M1849" s="443"/>
    </row>
    <row r="1850" spans="1:13">
      <c r="A1850" s="639">
        <v>31713</v>
      </c>
      <c r="B1850" s="639">
        <v>2300</v>
      </c>
      <c r="C1850" s="638">
        <v>3979.5909999999999</v>
      </c>
      <c r="D1850" s="633">
        <f t="shared" si="58"/>
        <v>3979.5909999999999</v>
      </c>
      <c r="E1850" s="608"/>
      <c r="F1850" s="760">
        <f t="shared" si="59"/>
        <v>1678.9694051053173</v>
      </c>
      <c r="M1850" s="443"/>
    </row>
    <row r="1851" spans="1:13">
      <c r="A1851" s="639">
        <v>31713</v>
      </c>
      <c r="B1851" s="639">
        <v>2400</v>
      </c>
      <c r="C1851" s="638">
        <v>3754.98</v>
      </c>
      <c r="D1851" s="633">
        <f t="shared" si="58"/>
        <v>3754.98</v>
      </c>
      <c r="E1851" s="608"/>
      <c r="F1851" s="760">
        <f t="shared" si="59"/>
        <v>1584.2071551529705</v>
      </c>
      <c r="M1851" s="443"/>
    </row>
    <row r="1852" spans="1:13">
      <c r="A1852" s="639">
        <v>31813</v>
      </c>
      <c r="B1852" s="639">
        <v>100</v>
      </c>
      <c r="C1852" s="638">
        <v>3867.1370000000002</v>
      </c>
      <c r="D1852" s="633">
        <f t="shared" si="58"/>
        <v>3867.1370000000002</v>
      </c>
      <c r="E1852" s="608"/>
      <c r="F1852" s="760">
        <f t="shared" si="59"/>
        <v>1631.5256287268621</v>
      </c>
      <c r="M1852" s="443"/>
    </row>
    <row r="1853" spans="1:13">
      <c r="A1853" s="639">
        <v>31813</v>
      </c>
      <c r="B1853" s="639">
        <v>200</v>
      </c>
      <c r="C1853" s="638">
        <v>3810.1120000000001</v>
      </c>
      <c r="D1853" s="633">
        <f t="shared" si="58"/>
        <v>3810.1120000000001</v>
      </c>
      <c r="E1853" s="608"/>
      <c r="F1853" s="760">
        <f t="shared" si="59"/>
        <v>1607.4670683556753</v>
      </c>
      <c r="M1853" s="443"/>
    </row>
    <row r="1854" spans="1:13">
      <c r="A1854" s="639">
        <v>31813</v>
      </c>
      <c r="B1854" s="639">
        <v>300</v>
      </c>
      <c r="C1854" s="638">
        <v>3885.5610000000001</v>
      </c>
      <c r="D1854" s="633">
        <f t="shared" si="58"/>
        <v>3885.5610000000001</v>
      </c>
      <c r="E1854" s="608"/>
      <c r="F1854" s="760">
        <f t="shared" si="59"/>
        <v>1639.2986215594574</v>
      </c>
      <c r="M1854" s="443"/>
    </row>
    <row r="1855" spans="1:13">
      <c r="A1855" s="639">
        <v>31813</v>
      </c>
      <c r="B1855" s="639">
        <v>400</v>
      </c>
      <c r="C1855" s="638">
        <v>3980.4830000000002</v>
      </c>
      <c r="D1855" s="633">
        <f t="shared" si="58"/>
        <v>3980.4830000000002</v>
      </c>
      <c r="E1855" s="608"/>
      <c r="F1855" s="760">
        <f t="shared" si="59"/>
        <v>1679.3457354139732</v>
      </c>
      <c r="M1855" s="443"/>
    </row>
    <row r="1856" spans="1:13">
      <c r="A1856" s="639">
        <v>31813</v>
      </c>
      <c r="B1856" s="639">
        <v>500</v>
      </c>
      <c r="C1856" s="638">
        <v>4285.8459999999995</v>
      </c>
      <c r="D1856" s="633">
        <f t="shared" si="58"/>
        <v>4285.8459999999995</v>
      </c>
      <c r="E1856" s="608"/>
      <c r="F1856" s="760">
        <f t="shared" si="59"/>
        <v>1808.1768475687584</v>
      </c>
      <c r="M1856" s="443"/>
    </row>
    <row r="1857" spans="1:13">
      <c r="A1857" s="639">
        <v>31813</v>
      </c>
      <c r="B1857" s="639">
        <v>600</v>
      </c>
      <c r="C1857" s="638">
        <v>4818.232</v>
      </c>
      <c r="D1857" s="633">
        <f t="shared" si="58"/>
        <v>4818.232</v>
      </c>
      <c r="E1857" s="608"/>
      <c r="F1857" s="760">
        <f t="shared" si="59"/>
        <v>2032.7878203311354</v>
      </c>
      <c r="M1857" s="443"/>
    </row>
    <row r="1858" spans="1:13">
      <c r="A1858" s="639">
        <v>31813</v>
      </c>
      <c r="B1858" s="639">
        <v>700</v>
      </c>
      <c r="C1858" s="638">
        <v>5157.4589999999998</v>
      </c>
      <c r="D1858" s="633">
        <f t="shared" si="58"/>
        <v>5157.4589999999998</v>
      </c>
      <c r="E1858" s="608"/>
      <c r="F1858" s="760">
        <f t="shared" si="59"/>
        <v>2175.9059835759667</v>
      </c>
      <c r="M1858" s="443"/>
    </row>
    <row r="1859" spans="1:13">
      <c r="A1859" s="639">
        <v>31813</v>
      </c>
      <c r="B1859" s="639">
        <v>800</v>
      </c>
      <c r="C1859" s="638">
        <v>5032.3429999999998</v>
      </c>
      <c r="D1859" s="633">
        <f t="shared" si="58"/>
        <v>5032.3429999999998</v>
      </c>
      <c r="E1859" s="608"/>
      <c r="F1859" s="760">
        <f t="shared" si="59"/>
        <v>2123.1201731524443</v>
      </c>
      <c r="M1859" s="443"/>
    </row>
    <row r="1860" spans="1:13">
      <c r="A1860" s="639">
        <v>31813</v>
      </c>
      <c r="B1860" s="639">
        <v>900</v>
      </c>
      <c r="C1860" s="638">
        <v>4484.2420000000002</v>
      </c>
      <c r="D1860" s="633">
        <f t="shared" si="58"/>
        <v>4484.2420000000002</v>
      </c>
      <c r="E1860" s="608"/>
      <c r="F1860" s="760">
        <f t="shared" si="59"/>
        <v>1891.8791210172801</v>
      </c>
      <c r="M1860" s="443"/>
    </row>
    <row r="1861" spans="1:13">
      <c r="A1861" s="639">
        <v>31813</v>
      </c>
      <c r="B1861" s="639">
        <v>1000</v>
      </c>
      <c r="C1861" s="638">
        <v>4323.1629999999996</v>
      </c>
      <c r="D1861" s="633">
        <f t="shared" ref="D1861:D1924" si="60">C1861</f>
        <v>4323.1629999999996</v>
      </c>
      <c r="E1861" s="608"/>
      <c r="F1861" s="760">
        <f t="shared" si="59"/>
        <v>1823.9207019724686</v>
      </c>
      <c r="M1861" s="443"/>
    </row>
    <row r="1862" spans="1:13">
      <c r="A1862" s="639">
        <v>31813</v>
      </c>
      <c r="B1862" s="639">
        <v>1100</v>
      </c>
      <c r="C1862" s="638">
        <v>4215.33</v>
      </c>
      <c r="D1862" s="633">
        <f t="shared" si="60"/>
        <v>4215.33</v>
      </c>
      <c r="E1862" s="608"/>
      <c r="F1862" s="760">
        <f t="shared" si="59"/>
        <v>1778.4265022266352</v>
      </c>
      <c r="M1862" s="443"/>
    </row>
    <row r="1863" spans="1:13">
      <c r="A1863" s="639">
        <v>31813</v>
      </c>
      <c r="B1863" s="639">
        <v>1200</v>
      </c>
      <c r="C1863" s="638">
        <v>4223.7349999999997</v>
      </c>
      <c r="D1863" s="633">
        <f t="shared" si="60"/>
        <v>4223.7349999999997</v>
      </c>
      <c r="E1863" s="608"/>
      <c r="F1863" s="760">
        <f t="shared" si="59"/>
        <v>1781.9725294062901</v>
      </c>
      <c r="M1863" s="443"/>
    </row>
    <row r="1864" spans="1:13">
      <c r="A1864" s="639">
        <v>31813</v>
      </c>
      <c r="B1864" s="639">
        <v>1300</v>
      </c>
      <c r="C1864" s="638">
        <v>4201.6210000000001</v>
      </c>
      <c r="D1864" s="633">
        <f t="shared" si="60"/>
        <v>4201.6210000000001</v>
      </c>
      <c r="E1864" s="608"/>
      <c r="F1864" s="760">
        <f t="shared" si="59"/>
        <v>1772.6427441533585</v>
      </c>
      <c r="M1864" s="443"/>
    </row>
    <row r="1865" spans="1:13">
      <c r="A1865" s="639">
        <v>31813</v>
      </c>
      <c r="B1865" s="639">
        <v>1400</v>
      </c>
      <c r="C1865" s="638">
        <v>4327.8909999999996</v>
      </c>
      <c r="D1865" s="633">
        <f t="shared" si="60"/>
        <v>4327.8909999999996</v>
      </c>
      <c r="E1865" s="608"/>
      <c r="F1865" s="760">
        <f t="shared" si="59"/>
        <v>1825.9154213663305</v>
      </c>
      <c r="M1865" s="443"/>
    </row>
    <row r="1866" spans="1:13">
      <c r="A1866" s="639">
        <v>31813</v>
      </c>
      <c r="B1866" s="639">
        <v>1500</v>
      </c>
      <c r="C1866" s="638">
        <v>4504.7359999999999</v>
      </c>
      <c r="D1866" s="633">
        <f t="shared" si="60"/>
        <v>4504.7359999999999</v>
      </c>
      <c r="E1866" s="608"/>
      <c r="F1866" s="760">
        <f t="shared" si="59"/>
        <v>1900.525436427137</v>
      </c>
      <c r="M1866" s="443"/>
    </row>
    <row r="1867" spans="1:13">
      <c r="A1867" s="639">
        <v>31813</v>
      </c>
      <c r="B1867" s="639">
        <v>1600</v>
      </c>
      <c r="C1867" s="638">
        <v>4692.9459999999999</v>
      </c>
      <c r="D1867" s="633">
        <f t="shared" si="60"/>
        <v>4692.9459999999999</v>
      </c>
      <c r="E1867" s="608"/>
      <c r="F1867" s="760">
        <f t="shared" si="59"/>
        <v>1979.9302877635864</v>
      </c>
      <c r="M1867" s="443"/>
    </row>
    <row r="1868" spans="1:13">
      <c r="A1868" s="639">
        <v>31813</v>
      </c>
      <c r="B1868" s="639">
        <v>1700</v>
      </c>
      <c r="C1868" s="638">
        <v>5000.9809999999998</v>
      </c>
      <c r="D1868" s="633">
        <f t="shared" si="60"/>
        <v>5000.9809999999998</v>
      </c>
      <c r="E1868" s="608"/>
      <c r="F1868" s="760">
        <f t="shared" si="59"/>
        <v>2109.8887032644798</v>
      </c>
      <c r="M1868" s="443"/>
    </row>
    <row r="1869" spans="1:13">
      <c r="A1869" s="639">
        <v>31813</v>
      </c>
      <c r="B1869" s="639">
        <v>1800</v>
      </c>
      <c r="C1869" s="638">
        <v>5049.0839999999998</v>
      </c>
      <c r="D1869" s="633">
        <f t="shared" si="60"/>
        <v>5049.0839999999998</v>
      </c>
      <c r="E1869" s="608"/>
      <c r="F1869" s="760">
        <f t="shared" si="59"/>
        <v>2130.1831167591786</v>
      </c>
      <c r="M1869" s="443"/>
    </row>
    <row r="1870" spans="1:13">
      <c r="A1870" s="639">
        <v>31813</v>
      </c>
      <c r="B1870" s="639">
        <v>1900</v>
      </c>
      <c r="C1870" s="638">
        <v>5201.402</v>
      </c>
      <c r="D1870" s="633">
        <f t="shared" si="60"/>
        <v>5201.402</v>
      </c>
      <c r="E1870" s="608"/>
      <c r="F1870" s="760">
        <f t="shared" si="59"/>
        <v>2194.4453140168443</v>
      </c>
      <c r="M1870" s="443"/>
    </row>
    <row r="1871" spans="1:13">
      <c r="A1871" s="639">
        <v>31813</v>
      </c>
      <c r="B1871" s="639">
        <v>2000</v>
      </c>
      <c r="C1871" s="638">
        <v>5309.0680000000002</v>
      </c>
      <c r="D1871" s="633">
        <f t="shared" si="60"/>
        <v>5309.0680000000002</v>
      </c>
      <c r="E1871" s="608"/>
      <c r="F1871" s="760">
        <f t="shared" si="59"/>
        <v>2239.8690573035465</v>
      </c>
      <c r="M1871" s="443"/>
    </row>
    <row r="1872" spans="1:13">
      <c r="A1872" s="639">
        <v>31813</v>
      </c>
      <c r="B1872" s="639">
        <v>2100</v>
      </c>
      <c r="C1872" s="638">
        <v>4935.88</v>
      </c>
      <c r="D1872" s="633">
        <f t="shared" si="60"/>
        <v>4935.88</v>
      </c>
      <c r="E1872" s="608"/>
      <c r="F1872" s="760">
        <f t="shared" si="59"/>
        <v>2082.4229191570776</v>
      </c>
      <c r="M1872" s="443"/>
    </row>
    <row r="1873" spans="1:13">
      <c r="A1873" s="639">
        <v>31813</v>
      </c>
      <c r="B1873" s="639">
        <v>2200</v>
      </c>
      <c r="C1873" s="638">
        <v>4388.232</v>
      </c>
      <c r="D1873" s="633">
        <f t="shared" si="60"/>
        <v>4388.232</v>
      </c>
      <c r="E1873" s="608"/>
      <c r="F1873" s="760">
        <f t="shared" si="59"/>
        <v>1851.3729854409955</v>
      </c>
      <c r="M1873" s="443"/>
    </row>
    <row r="1874" spans="1:13">
      <c r="A1874" s="639">
        <v>31813</v>
      </c>
      <c r="B1874" s="639">
        <v>2300</v>
      </c>
      <c r="C1874" s="638">
        <v>3874.72</v>
      </c>
      <c r="D1874" s="633">
        <f t="shared" si="60"/>
        <v>3874.72</v>
      </c>
      <c r="E1874" s="608"/>
      <c r="F1874" s="760">
        <f t="shared" si="59"/>
        <v>1634.7248582454013</v>
      </c>
      <c r="M1874" s="443"/>
    </row>
    <row r="1875" spans="1:13">
      <c r="A1875" s="639">
        <v>31813</v>
      </c>
      <c r="B1875" s="639">
        <v>2400</v>
      </c>
      <c r="C1875" s="638">
        <v>3612.1770000000001</v>
      </c>
      <c r="D1875" s="633">
        <f t="shared" si="60"/>
        <v>3612.1770000000001</v>
      </c>
      <c r="E1875" s="608"/>
      <c r="F1875" s="760">
        <f t="shared" si="59"/>
        <v>1523.9592884859551</v>
      </c>
      <c r="M1875" s="443"/>
    </row>
    <row r="1876" spans="1:13">
      <c r="A1876" s="639">
        <v>31913</v>
      </c>
      <c r="B1876" s="639">
        <v>100</v>
      </c>
      <c r="C1876" s="638">
        <v>3632.0390000000002</v>
      </c>
      <c r="D1876" s="633">
        <f t="shared" si="60"/>
        <v>3632.0390000000002</v>
      </c>
      <c r="E1876" s="608"/>
      <c r="F1876" s="760">
        <f t="shared" si="59"/>
        <v>1532.3389662780201</v>
      </c>
      <c r="M1876" s="443"/>
    </row>
    <row r="1877" spans="1:13">
      <c r="A1877" s="639">
        <v>31913</v>
      </c>
      <c r="B1877" s="639">
        <v>200</v>
      </c>
      <c r="C1877" s="638">
        <v>3556.9690000000001</v>
      </c>
      <c r="D1877" s="633">
        <f t="shared" si="60"/>
        <v>3556.9690000000001</v>
      </c>
      <c r="E1877" s="608"/>
      <c r="F1877" s="760">
        <f t="shared" si="59"/>
        <v>1500.6673112659205</v>
      </c>
      <c r="M1877" s="443"/>
    </row>
    <row r="1878" spans="1:13">
      <c r="A1878" s="639">
        <v>31913</v>
      </c>
      <c r="B1878" s="639">
        <v>300</v>
      </c>
      <c r="C1878" s="638">
        <v>3561.4029999999998</v>
      </c>
      <c r="D1878" s="633">
        <f t="shared" si="60"/>
        <v>3561.4029999999998</v>
      </c>
      <c r="E1878" s="608"/>
      <c r="F1878" s="760">
        <f t="shared" si="59"/>
        <v>1502.5379935401131</v>
      </c>
      <c r="M1878" s="443"/>
    </row>
    <row r="1879" spans="1:13">
      <c r="A1879" s="639">
        <v>31913</v>
      </c>
      <c r="B1879" s="639">
        <v>400</v>
      </c>
      <c r="C1879" s="638">
        <v>3623.7890000000002</v>
      </c>
      <c r="D1879" s="633">
        <f t="shared" si="60"/>
        <v>3623.7890000000002</v>
      </c>
      <c r="E1879" s="608"/>
      <c r="F1879" s="760">
        <f t="shared" si="59"/>
        <v>1528.8583328179186</v>
      </c>
      <c r="M1879" s="443"/>
    </row>
    <row r="1880" spans="1:13">
      <c r="A1880" s="639">
        <v>31913</v>
      </c>
      <c r="B1880" s="639">
        <v>500</v>
      </c>
      <c r="C1880" s="638">
        <v>3940.5650000000001</v>
      </c>
      <c r="D1880" s="633">
        <f t="shared" si="60"/>
        <v>3940.5650000000001</v>
      </c>
      <c r="E1880" s="608"/>
      <c r="F1880" s="760">
        <f t="shared" si="59"/>
        <v>1662.5045322066603</v>
      </c>
      <c r="M1880" s="443"/>
    </row>
    <row r="1881" spans="1:13">
      <c r="A1881" s="639">
        <v>31913</v>
      </c>
      <c r="B1881" s="639">
        <v>600</v>
      </c>
      <c r="C1881" s="638">
        <v>4479.232</v>
      </c>
      <c r="D1881" s="633">
        <f t="shared" si="60"/>
        <v>4479.232</v>
      </c>
      <c r="E1881" s="608"/>
      <c r="F1881" s="760">
        <f t="shared" si="59"/>
        <v>1889.7654272433274</v>
      </c>
      <c r="M1881" s="443"/>
    </row>
    <row r="1882" spans="1:13">
      <c r="A1882" s="639">
        <v>31913</v>
      </c>
      <c r="B1882" s="639">
        <v>700</v>
      </c>
      <c r="C1882" s="638">
        <v>4722.9870000000001</v>
      </c>
      <c r="D1882" s="633">
        <f t="shared" si="60"/>
        <v>4722.9870000000001</v>
      </c>
      <c r="E1882" s="608"/>
      <c r="F1882" s="760">
        <f t="shared" si="59"/>
        <v>1992.6044344029697</v>
      </c>
      <c r="M1882" s="443"/>
    </row>
    <row r="1883" spans="1:13">
      <c r="A1883" s="639">
        <v>31913</v>
      </c>
      <c r="B1883" s="639">
        <v>800</v>
      </c>
      <c r="C1883" s="638">
        <v>4622.085</v>
      </c>
      <c r="D1883" s="633">
        <f t="shared" si="60"/>
        <v>4622.085</v>
      </c>
      <c r="E1883" s="608"/>
      <c r="F1883" s="760">
        <f t="shared" si="59"/>
        <v>1950.0343886585861</v>
      </c>
      <c r="M1883" s="443"/>
    </row>
    <row r="1884" spans="1:13">
      <c r="A1884" s="639">
        <v>31913</v>
      </c>
      <c r="B1884" s="639">
        <v>900</v>
      </c>
      <c r="C1884" s="638">
        <v>4487.9889999999996</v>
      </c>
      <c r="D1884" s="633">
        <f t="shared" si="60"/>
        <v>4487.9889999999996</v>
      </c>
      <c r="E1884" s="608"/>
      <c r="F1884" s="760">
        <f t="shared" si="59"/>
        <v>1893.4599614506133</v>
      </c>
      <c r="M1884" s="443"/>
    </row>
    <row r="1885" spans="1:13">
      <c r="A1885" s="639">
        <v>31913</v>
      </c>
      <c r="B1885" s="639">
        <v>1000</v>
      </c>
      <c r="C1885" s="638">
        <v>4427.8900000000003</v>
      </c>
      <c r="D1885" s="633">
        <f t="shared" si="60"/>
        <v>4427.8900000000003</v>
      </c>
      <c r="E1885" s="608"/>
      <c r="F1885" s="760">
        <f t="shared" si="59"/>
        <v>1868.1044959574449</v>
      </c>
      <c r="M1885" s="443"/>
    </row>
    <row r="1886" spans="1:13">
      <c r="A1886" s="639">
        <v>31913</v>
      </c>
      <c r="B1886" s="639">
        <v>1100</v>
      </c>
      <c r="C1886" s="638">
        <v>4111.3429999999998</v>
      </c>
      <c r="D1886" s="633">
        <f t="shared" si="60"/>
        <v>4111.3429999999998</v>
      </c>
      <c r="E1886" s="608"/>
      <c r="F1886" s="760">
        <f t="shared" si="59"/>
        <v>1734.554910515656</v>
      </c>
      <c r="M1886" s="443"/>
    </row>
    <row r="1887" spans="1:13">
      <c r="A1887" s="639">
        <v>31913</v>
      </c>
      <c r="B1887" s="639">
        <v>1200</v>
      </c>
      <c r="C1887" s="638">
        <v>3975.904</v>
      </c>
      <c r="D1887" s="633">
        <f t="shared" si="60"/>
        <v>3975.904</v>
      </c>
      <c r="E1887" s="608"/>
      <c r="F1887" s="760">
        <f t="shared" si="59"/>
        <v>1677.4138783698756</v>
      </c>
      <c r="M1887" s="443"/>
    </row>
    <row r="1888" spans="1:13">
      <c r="A1888" s="639">
        <v>31913</v>
      </c>
      <c r="B1888" s="639">
        <v>1300</v>
      </c>
      <c r="C1888" s="638">
        <v>3873.0479999999998</v>
      </c>
      <c r="D1888" s="633">
        <f t="shared" si="60"/>
        <v>3873.0479999999998</v>
      </c>
      <c r="E1888" s="608"/>
      <c r="F1888" s="760">
        <f t="shared" si="59"/>
        <v>1634.019449864154</v>
      </c>
      <c r="M1888" s="443"/>
    </row>
    <row r="1889" spans="1:13">
      <c r="A1889" s="639">
        <v>31913</v>
      </c>
      <c r="B1889" s="639">
        <v>1400</v>
      </c>
      <c r="C1889" s="638">
        <v>3866.056</v>
      </c>
      <c r="D1889" s="633">
        <f t="shared" si="60"/>
        <v>3866.056</v>
      </c>
      <c r="E1889" s="608"/>
      <c r="F1889" s="760">
        <f t="shared" si="59"/>
        <v>1631.0695602698474</v>
      </c>
      <c r="M1889" s="443"/>
    </row>
    <row r="1890" spans="1:13">
      <c r="A1890" s="639">
        <v>31913</v>
      </c>
      <c r="B1890" s="639">
        <v>1500</v>
      </c>
      <c r="C1890" s="638">
        <v>4026.5129999999999</v>
      </c>
      <c r="D1890" s="633">
        <f t="shared" si="60"/>
        <v>4026.5129999999999</v>
      </c>
      <c r="E1890" s="608"/>
      <c r="F1890" s="760">
        <f t="shared" si="59"/>
        <v>1698.7655606465155</v>
      </c>
      <c r="M1890" s="443"/>
    </row>
    <row r="1891" spans="1:13">
      <c r="A1891" s="639">
        <v>31913</v>
      </c>
      <c r="B1891" s="639">
        <v>1600</v>
      </c>
      <c r="C1891" s="638">
        <v>4288.2129999999997</v>
      </c>
      <c r="D1891" s="633">
        <f t="shared" si="60"/>
        <v>4288.2129999999997</v>
      </c>
      <c r="E1891" s="608"/>
      <c r="F1891" s="760">
        <f t="shared" si="59"/>
        <v>1809.1754729505842</v>
      </c>
      <c r="M1891" s="443"/>
    </row>
    <row r="1892" spans="1:13">
      <c r="A1892" s="639">
        <v>31913</v>
      </c>
      <c r="B1892" s="639">
        <v>1700</v>
      </c>
      <c r="C1892" s="638">
        <v>4407.6220000000003</v>
      </c>
      <c r="D1892" s="633">
        <f t="shared" si="60"/>
        <v>4407.6220000000003</v>
      </c>
      <c r="E1892" s="608"/>
      <c r="F1892" s="760">
        <f t="shared" ref="F1892:F1955" si="61">(D1892/(MAX($D$1444:$D$2187)))*$M$6</f>
        <v>1859.5535288096464</v>
      </c>
      <c r="M1892" s="443"/>
    </row>
    <row r="1893" spans="1:13">
      <c r="A1893" s="639">
        <v>31913</v>
      </c>
      <c r="B1893" s="639">
        <v>1800</v>
      </c>
      <c r="C1893" s="638">
        <v>4532.6319999999996</v>
      </c>
      <c r="D1893" s="633">
        <f t="shared" si="60"/>
        <v>4532.6319999999996</v>
      </c>
      <c r="E1893" s="608"/>
      <c r="F1893" s="760">
        <f t="shared" si="61"/>
        <v>1912.2946183668935</v>
      </c>
      <c r="M1893" s="443"/>
    </row>
    <row r="1894" spans="1:13">
      <c r="A1894" s="639">
        <v>31913</v>
      </c>
      <c r="B1894" s="639">
        <v>1900</v>
      </c>
      <c r="C1894" s="638">
        <v>4966.9170000000004</v>
      </c>
      <c r="D1894" s="633">
        <f t="shared" si="60"/>
        <v>4966.9170000000004</v>
      </c>
      <c r="E1894" s="608"/>
      <c r="F1894" s="760">
        <f t="shared" si="61"/>
        <v>2095.5172731814623</v>
      </c>
      <c r="M1894" s="443"/>
    </row>
    <row r="1895" spans="1:13">
      <c r="A1895" s="639">
        <v>31913</v>
      </c>
      <c r="B1895" s="639">
        <v>2000</v>
      </c>
      <c r="C1895" s="638">
        <v>5292.1980000000003</v>
      </c>
      <c r="D1895" s="633">
        <f t="shared" si="60"/>
        <v>5292.1980000000003</v>
      </c>
      <c r="E1895" s="608"/>
      <c r="F1895" s="760">
        <f t="shared" si="61"/>
        <v>2232.751689246345</v>
      </c>
      <c r="M1895" s="443"/>
    </row>
    <row r="1896" spans="1:13">
      <c r="A1896" s="639">
        <v>31913</v>
      </c>
      <c r="B1896" s="639">
        <v>2100</v>
      </c>
      <c r="C1896" s="638">
        <v>4979.7359999999999</v>
      </c>
      <c r="D1896" s="633">
        <f t="shared" si="60"/>
        <v>4979.7359999999999</v>
      </c>
      <c r="E1896" s="608"/>
      <c r="F1896" s="760">
        <f t="shared" si="61"/>
        <v>2100.9255447360124</v>
      </c>
      <c r="M1896" s="443"/>
    </row>
    <row r="1897" spans="1:13">
      <c r="A1897" s="639">
        <v>31913</v>
      </c>
      <c r="B1897" s="639">
        <v>2200</v>
      </c>
      <c r="C1897" s="638">
        <v>4494.991</v>
      </c>
      <c r="D1897" s="633">
        <f t="shared" si="60"/>
        <v>4494.991</v>
      </c>
      <c r="E1897" s="608"/>
      <c r="F1897" s="760">
        <f t="shared" si="61"/>
        <v>1896.4140699945688</v>
      </c>
      <c r="M1897" s="443"/>
    </row>
    <row r="1898" spans="1:13">
      <c r="A1898" s="639">
        <v>31913</v>
      </c>
      <c r="B1898" s="639">
        <v>2300</v>
      </c>
      <c r="C1898" s="638">
        <v>3963.9090000000001</v>
      </c>
      <c r="D1898" s="633">
        <f t="shared" si="60"/>
        <v>3963.9090000000001</v>
      </c>
      <c r="E1898" s="608"/>
      <c r="F1898" s="760">
        <f t="shared" si="61"/>
        <v>1672.3532482663704</v>
      </c>
      <c r="M1898" s="443"/>
    </row>
    <row r="1899" spans="1:13">
      <c r="A1899" s="639">
        <v>31913</v>
      </c>
      <c r="B1899" s="639">
        <v>2400</v>
      </c>
      <c r="C1899" s="638">
        <v>3722.0540000000001</v>
      </c>
      <c r="D1899" s="633">
        <f t="shared" si="60"/>
        <v>3722.0540000000001</v>
      </c>
      <c r="E1899" s="608"/>
      <c r="F1899" s="760">
        <f t="shared" si="61"/>
        <v>1570.3158415399641</v>
      </c>
      <c r="M1899" s="443"/>
    </row>
    <row r="1900" spans="1:13">
      <c r="A1900" s="639">
        <v>32013</v>
      </c>
      <c r="B1900" s="639">
        <v>100</v>
      </c>
      <c r="C1900" s="638">
        <v>3767.6970000000001</v>
      </c>
      <c r="D1900" s="633">
        <f t="shared" si="60"/>
        <v>3767.6970000000001</v>
      </c>
      <c r="E1900" s="608"/>
      <c r="F1900" s="760">
        <f t="shared" si="61"/>
        <v>1589.5723934211051</v>
      </c>
      <c r="M1900" s="443"/>
    </row>
    <row r="1901" spans="1:13">
      <c r="A1901" s="639">
        <v>32013</v>
      </c>
      <c r="B1901" s="639">
        <v>200</v>
      </c>
      <c r="C1901" s="638">
        <v>3771.4319999999998</v>
      </c>
      <c r="D1901" s="633">
        <f t="shared" si="60"/>
        <v>3771.4319999999998</v>
      </c>
      <c r="E1901" s="608"/>
      <c r="F1901" s="760">
        <f t="shared" si="61"/>
        <v>1591.1481711148599</v>
      </c>
      <c r="M1901" s="443"/>
    </row>
    <row r="1902" spans="1:13">
      <c r="A1902" s="639">
        <v>32013</v>
      </c>
      <c r="B1902" s="639">
        <v>300</v>
      </c>
      <c r="C1902" s="638">
        <v>3745.9090000000001</v>
      </c>
      <c r="D1902" s="633">
        <f t="shared" si="60"/>
        <v>3745.9090000000001</v>
      </c>
      <c r="E1902" s="608"/>
      <c r="F1902" s="760">
        <f t="shared" si="61"/>
        <v>1580.3801459267181</v>
      </c>
      <c r="M1902" s="443"/>
    </row>
    <row r="1903" spans="1:13">
      <c r="A1903" s="639">
        <v>32013</v>
      </c>
      <c r="B1903" s="639">
        <v>400</v>
      </c>
      <c r="C1903" s="638">
        <v>3810.4740000000002</v>
      </c>
      <c r="D1903" s="633">
        <f t="shared" si="60"/>
        <v>3810.4740000000002</v>
      </c>
      <c r="E1903" s="608"/>
      <c r="F1903" s="760">
        <f t="shared" si="61"/>
        <v>1607.6197943329551</v>
      </c>
      <c r="M1903" s="443"/>
    </row>
    <row r="1904" spans="1:13">
      <c r="A1904" s="639">
        <v>32013</v>
      </c>
      <c r="B1904" s="639">
        <v>500</v>
      </c>
      <c r="C1904" s="638">
        <v>4177.3280000000004</v>
      </c>
      <c r="D1904" s="633">
        <f t="shared" si="60"/>
        <v>4177.3280000000004</v>
      </c>
      <c r="E1904" s="608"/>
      <c r="F1904" s="760">
        <f t="shared" si="61"/>
        <v>1762.3936497719956</v>
      </c>
      <c r="M1904" s="443"/>
    </row>
    <row r="1905" spans="1:13">
      <c r="A1905" s="639">
        <v>32013</v>
      </c>
      <c r="B1905" s="639">
        <v>600</v>
      </c>
      <c r="C1905" s="638">
        <v>4710.375</v>
      </c>
      <c r="D1905" s="633">
        <f t="shared" si="60"/>
        <v>4710.375</v>
      </c>
      <c r="E1905" s="608"/>
      <c r="F1905" s="760">
        <f t="shared" si="61"/>
        <v>1987.2834951061452</v>
      </c>
      <c r="M1905" s="443"/>
    </row>
    <row r="1906" spans="1:13">
      <c r="A1906" s="639">
        <v>32013</v>
      </c>
      <c r="B1906" s="639">
        <v>700</v>
      </c>
      <c r="C1906" s="638">
        <v>4959.4610000000002</v>
      </c>
      <c r="D1906" s="633">
        <f t="shared" si="60"/>
        <v>4959.4610000000002</v>
      </c>
      <c r="E1906" s="608"/>
      <c r="F1906" s="760">
        <f t="shared" si="61"/>
        <v>2092.3716243234603</v>
      </c>
      <c r="M1906" s="443"/>
    </row>
    <row r="1907" spans="1:13">
      <c r="A1907" s="639">
        <v>32013</v>
      </c>
      <c r="B1907" s="639">
        <v>800</v>
      </c>
      <c r="C1907" s="638">
        <v>4568.924</v>
      </c>
      <c r="D1907" s="633">
        <f t="shared" si="60"/>
        <v>4568.924</v>
      </c>
      <c r="E1907" s="608"/>
      <c r="F1907" s="760">
        <f t="shared" si="61"/>
        <v>1927.6060304316215</v>
      </c>
      <c r="M1907" s="443"/>
    </row>
    <row r="1908" spans="1:13">
      <c r="A1908" s="639">
        <v>32013</v>
      </c>
      <c r="B1908" s="639">
        <v>900</v>
      </c>
      <c r="C1908" s="638">
        <v>4124.8</v>
      </c>
      <c r="D1908" s="633">
        <f t="shared" si="60"/>
        <v>4124.8</v>
      </c>
      <c r="E1908" s="608"/>
      <c r="F1908" s="760">
        <f t="shared" si="61"/>
        <v>1740.2323510577878</v>
      </c>
      <c r="M1908" s="443"/>
    </row>
    <row r="1909" spans="1:13">
      <c r="A1909" s="639">
        <v>32013</v>
      </c>
      <c r="B1909" s="639">
        <v>1000</v>
      </c>
      <c r="C1909" s="638">
        <v>4118.8190000000004</v>
      </c>
      <c r="D1909" s="633">
        <f t="shared" si="60"/>
        <v>4118.8190000000004</v>
      </c>
      <c r="E1909" s="608"/>
      <c r="F1909" s="760">
        <f t="shared" si="61"/>
        <v>1737.7089972729557</v>
      </c>
      <c r="M1909" s="443"/>
    </row>
    <row r="1910" spans="1:13">
      <c r="A1910" s="639">
        <v>32013</v>
      </c>
      <c r="B1910" s="639">
        <v>1100</v>
      </c>
      <c r="C1910" s="638">
        <v>4131.1750000000002</v>
      </c>
      <c r="D1910" s="633">
        <f t="shared" si="60"/>
        <v>4131.1750000000002</v>
      </c>
      <c r="E1910" s="608"/>
      <c r="F1910" s="760">
        <f t="shared" si="61"/>
        <v>1742.9219314587754</v>
      </c>
      <c r="M1910" s="443"/>
    </row>
    <row r="1911" spans="1:13">
      <c r="A1911" s="639">
        <v>32013</v>
      </c>
      <c r="B1911" s="639">
        <v>1200</v>
      </c>
      <c r="C1911" s="638">
        <v>4075.4969999999998</v>
      </c>
      <c r="D1911" s="633">
        <f t="shared" si="60"/>
        <v>4075.4969999999998</v>
      </c>
      <c r="E1911" s="608"/>
      <c r="F1911" s="760">
        <f t="shared" si="61"/>
        <v>1719.4316636052563</v>
      </c>
      <c r="M1911" s="443"/>
    </row>
    <row r="1912" spans="1:13">
      <c r="A1912" s="639">
        <v>32013</v>
      </c>
      <c r="B1912" s="639">
        <v>1300</v>
      </c>
      <c r="C1912" s="638">
        <v>3939.607</v>
      </c>
      <c r="D1912" s="633">
        <f t="shared" si="60"/>
        <v>3939.607</v>
      </c>
      <c r="E1912" s="608"/>
      <c r="F1912" s="760">
        <f t="shared" si="61"/>
        <v>1662.1003568303236</v>
      </c>
      <c r="M1912" s="443"/>
    </row>
    <row r="1913" spans="1:13">
      <c r="A1913" s="639">
        <v>32013</v>
      </c>
      <c r="B1913" s="639">
        <v>1400</v>
      </c>
      <c r="C1913" s="638">
        <v>3898.9839999999999</v>
      </c>
      <c r="D1913" s="633">
        <f t="shared" si="60"/>
        <v>3898.9839999999999</v>
      </c>
      <c r="E1913" s="608"/>
      <c r="F1913" s="760">
        <f t="shared" si="61"/>
        <v>1644.9617176727836</v>
      </c>
      <c r="M1913" s="443"/>
    </row>
    <row r="1914" spans="1:13">
      <c r="A1914" s="639">
        <v>32013</v>
      </c>
      <c r="B1914" s="639">
        <v>1500</v>
      </c>
      <c r="C1914" s="638">
        <v>3894.0639999999999</v>
      </c>
      <c r="D1914" s="633">
        <f t="shared" si="60"/>
        <v>3894.0639999999999</v>
      </c>
      <c r="E1914" s="608"/>
      <c r="F1914" s="760">
        <f t="shared" si="61"/>
        <v>1642.8859944456685</v>
      </c>
      <c r="M1914" s="443"/>
    </row>
    <row r="1915" spans="1:13">
      <c r="A1915" s="639">
        <v>32013</v>
      </c>
      <c r="B1915" s="639">
        <v>1600</v>
      </c>
      <c r="C1915" s="638">
        <v>4173.8490000000002</v>
      </c>
      <c r="D1915" s="633">
        <f t="shared" si="60"/>
        <v>4173.8490000000002</v>
      </c>
      <c r="E1915" s="608"/>
      <c r="F1915" s="760">
        <f t="shared" si="61"/>
        <v>1760.9258771892448</v>
      </c>
      <c r="M1915" s="443"/>
    </row>
    <row r="1916" spans="1:13">
      <c r="A1916" s="639">
        <v>32013</v>
      </c>
      <c r="B1916" s="639">
        <v>1700</v>
      </c>
      <c r="C1916" s="638">
        <v>4209.7219999999998</v>
      </c>
      <c r="D1916" s="633">
        <f t="shared" si="60"/>
        <v>4209.7219999999998</v>
      </c>
      <c r="E1916" s="608"/>
      <c r="F1916" s="760">
        <f t="shared" si="61"/>
        <v>1776.0605152636958</v>
      </c>
      <c r="M1916" s="443"/>
    </row>
    <row r="1917" spans="1:13">
      <c r="A1917" s="639">
        <v>32013</v>
      </c>
      <c r="B1917" s="639">
        <v>1800</v>
      </c>
      <c r="C1917" s="638">
        <v>4496.74</v>
      </c>
      <c r="D1917" s="633">
        <f t="shared" si="60"/>
        <v>4496.74</v>
      </c>
      <c r="E1917" s="608"/>
      <c r="F1917" s="760">
        <f t="shared" si="61"/>
        <v>1897.1519642881101</v>
      </c>
      <c r="M1917" s="443"/>
    </row>
    <row r="1918" spans="1:13">
      <c r="A1918" s="639">
        <v>32013</v>
      </c>
      <c r="B1918" s="639">
        <v>1900</v>
      </c>
      <c r="C1918" s="638">
        <v>4869.8879999999999</v>
      </c>
      <c r="D1918" s="633">
        <f t="shared" si="60"/>
        <v>4869.8879999999999</v>
      </c>
      <c r="E1918" s="608"/>
      <c r="F1918" s="760">
        <f t="shared" si="61"/>
        <v>2054.5812266359844</v>
      </c>
      <c r="M1918" s="443"/>
    </row>
    <row r="1919" spans="1:13">
      <c r="A1919" s="639">
        <v>32013</v>
      </c>
      <c r="B1919" s="639">
        <v>2000</v>
      </c>
      <c r="C1919" s="638">
        <v>5276.7690000000002</v>
      </c>
      <c r="D1919" s="633">
        <f t="shared" si="60"/>
        <v>5276.7690000000002</v>
      </c>
      <c r="E1919" s="608"/>
      <c r="F1919" s="760">
        <f t="shared" si="61"/>
        <v>2226.2422718335079</v>
      </c>
      <c r="M1919" s="443"/>
    </row>
    <row r="1920" spans="1:13">
      <c r="A1920" s="639">
        <v>32013</v>
      </c>
      <c r="B1920" s="639">
        <v>2100</v>
      </c>
      <c r="C1920" s="638">
        <v>5075.1890000000003</v>
      </c>
      <c r="D1920" s="633">
        <f t="shared" si="60"/>
        <v>5075.1890000000003</v>
      </c>
      <c r="E1920" s="608"/>
      <c r="F1920" s="760">
        <f t="shared" si="61"/>
        <v>2141.1966848168699</v>
      </c>
      <c r="M1920" s="443"/>
    </row>
    <row r="1921" spans="1:13">
      <c r="A1921" s="639">
        <v>32013</v>
      </c>
      <c r="B1921" s="639">
        <v>2200</v>
      </c>
      <c r="C1921" s="638">
        <v>4649.6019999999999</v>
      </c>
      <c r="D1921" s="633">
        <f t="shared" si="60"/>
        <v>4649.6019999999999</v>
      </c>
      <c r="E1921" s="608"/>
      <c r="F1921" s="760">
        <f t="shared" si="61"/>
        <v>1961.6436724066602</v>
      </c>
      <c r="M1921" s="443"/>
    </row>
    <row r="1922" spans="1:13">
      <c r="A1922" s="639">
        <v>32013</v>
      </c>
      <c r="B1922" s="639">
        <v>2300</v>
      </c>
      <c r="C1922" s="638">
        <v>4023.1060000000002</v>
      </c>
      <c r="D1922" s="633">
        <f t="shared" si="60"/>
        <v>4023.1060000000002</v>
      </c>
      <c r="E1922" s="608"/>
      <c r="F1922" s="760">
        <f t="shared" si="61"/>
        <v>1697.3281645012348</v>
      </c>
      <c r="M1922" s="443"/>
    </row>
    <row r="1923" spans="1:13">
      <c r="A1923" s="639">
        <v>32013</v>
      </c>
      <c r="B1923" s="639">
        <v>2400</v>
      </c>
      <c r="C1923" s="638">
        <v>3890.0830000000001</v>
      </c>
      <c r="D1923" s="633">
        <f t="shared" si="60"/>
        <v>3890.0830000000001</v>
      </c>
      <c r="E1923" s="608"/>
      <c r="F1923" s="760">
        <f t="shared" si="61"/>
        <v>1641.2064305905578</v>
      </c>
      <c r="M1923" s="443"/>
    </row>
    <row r="1924" spans="1:13">
      <c r="A1924" s="639">
        <v>32113</v>
      </c>
      <c r="B1924" s="639">
        <v>100</v>
      </c>
      <c r="C1924" s="638">
        <v>3940.0369999999998</v>
      </c>
      <c r="D1924" s="633">
        <f t="shared" si="60"/>
        <v>3940.0369999999998</v>
      </c>
      <c r="E1924" s="608"/>
      <c r="F1924" s="760">
        <f t="shared" si="61"/>
        <v>1662.2817716652137</v>
      </c>
      <c r="M1924" s="443"/>
    </row>
    <row r="1925" spans="1:13">
      <c r="A1925" s="639">
        <v>32113</v>
      </c>
      <c r="B1925" s="639">
        <v>200</v>
      </c>
      <c r="C1925" s="638">
        <v>3908.402</v>
      </c>
      <c r="D1925" s="633">
        <f t="shared" ref="D1925:D1988" si="62">C1925</f>
        <v>3908.402</v>
      </c>
      <c r="E1925" s="608"/>
      <c r="F1925" s="760">
        <f t="shared" si="61"/>
        <v>1648.9351244518425</v>
      </c>
      <c r="M1925" s="443"/>
    </row>
    <row r="1926" spans="1:13">
      <c r="A1926" s="639">
        <v>32113</v>
      </c>
      <c r="B1926" s="639">
        <v>300</v>
      </c>
      <c r="C1926" s="638">
        <v>3926.7339999999999</v>
      </c>
      <c r="D1926" s="633">
        <f t="shared" si="62"/>
        <v>3926.7339999999999</v>
      </c>
      <c r="E1926" s="608"/>
      <c r="F1926" s="760">
        <f t="shared" si="61"/>
        <v>1656.6693029476705</v>
      </c>
      <c r="M1926" s="443"/>
    </row>
    <row r="1927" spans="1:13">
      <c r="A1927" s="639">
        <v>32113</v>
      </c>
      <c r="B1927" s="639">
        <v>400</v>
      </c>
      <c r="C1927" s="638">
        <v>4017.6779999999999</v>
      </c>
      <c r="D1927" s="633">
        <f t="shared" si="62"/>
        <v>4017.6779999999999</v>
      </c>
      <c r="E1927" s="608"/>
      <c r="F1927" s="760">
        <f t="shared" si="61"/>
        <v>1695.0381186319701</v>
      </c>
      <c r="M1927" s="443"/>
    </row>
    <row r="1928" spans="1:13">
      <c r="A1928" s="639">
        <v>32113</v>
      </c>
      <c r="B1928" s="639">
        <v>500</v>
      </c>
      <c r="C1928" s="638">
        <v>4329.47</v>
      </c>
      <c r="D1928" s="633">
        <f t="shared" si="62"/>
        <v>4329.47</v>
      </c>
      <c r="E1928" s="608"/>
      <c r="F1928" s="760">
        <f t="shared" si="61"/>
        <v>1826.581593515846</v>
      </c>
      <c r="M1928" s="443"/>
    </row>
    <row r="1929" spans="1:13">
      <c r="A1929" s="639">
        <v>32113</v>
      </c>
      <c r="B1929" s="639">
        <v>600</v>
      </c>
      <c r="C1929" s="638">
        <v>4954.4560000000001</v>
      </c>
      <c r="D1929" s="633">
        <f t="shared" si="62"/>
        <v>4954.4560000000001</v>
      </c>
      <c r="E1929" s="608"/>
      <c r="F1929" s="760">
        <f t="shared" si="61"/>
        <v>2090.2600400243318</v>
      </c>
      <c r="M1929" s="443"/>
    </row>
    <row r="1930" spans="1:13">
      <c r="A1930" s="639">
        <v>32113</v>
      </c>
      <c r="B1930" s="639">
        <v>700</v>
      </c>
      <c r="C1930" s="638">
        <v>5100.0820000000003</v>
      </c>
      <c r="D1930" s="633">
        <f t="shared" si="62"/>
        <v>5100.0820000000003</v>
      </c>
      <c r="E1930" s="608"/>
      <c r="F1930" s="760">
        <f t="shared" si="61"/>
        <v>2151.6989161771494</v>
      </c>
      <c r="M1930" s="443"/>
    </row>
    <row r="1931" spans="1:13">
      <c r="A1931" s="639">
        <v>32113</v>
      </c>
      <c r="B1931" s="639">
        <v>800</v>
      </c>
      <c r="C1931" s="638">
        <v>4630.9110000000001</v>
      </c>
      <c r="D1931" s="633">
        <f t="shared" si="62"/>
        <v>4630.9110000000001</v>
      </c>
      <c r="E1931" s="608"/>
      <c r="F1931" s="760">
        <f t="shared" si="61"/>
        <v>1953.7580336184471</v>
      </c>
      <c r="M1931" s="443"/>
    </row>
    <row r="1932" spans="1:13">
      <c r="A1932" s="639">
        <v>32113</v>
      </c>
      <c r="B1932" s="639">
        <v>900</v>
      </c>
      <c r="C1932" s="638">
        <v>4292.8789999999999</v>
      </c>
      <c r="D1932" s="633">
        <f t="shared" si="62"/>
        <v>4292.8789999999999</v>
      </c>
      <c r="E1932" s="608"/>
      <c r="F1932" s="760">
        <f t="shared" si="61"/>
        <v>1811.1440348566246</v>
      </c>
      <c r="M1932" s="443"/>
    </row>
    <row r="1933" spans="1:13">
      <c r="A1933" s="639">
        <v>32113</v>
      </c>
      <c r="B1933" s="639">
        <v>1000</v>
      </c>
      <c r="C1933" s="638">
        <v>4227.1980000000003</v>
      </c>
      <c r="D1933" s="633">
        <f t="shared" si="62"/>
        <v>4227.1980000000003</v>
      </c>
      <c r="E1933" s="608"/>
      <c r="F1933" s="760">
        <f t="shared" si="61"/>
        <v>1783.433551669603</v>
      </c>
      <c r="M1933" s="443"/>
    </row>
    <row r="1934" spans="1:13">
      <c r="A1934" s="639">
        <v>32113</v>
      </c>
      <c r="B1934" s="639">
        <v>1100</v>
      </c>
      <c r="C1934" s="638">
        <v>4184.268</v>
      </c>
      <c r="D1934" s="633">
        <f t="shared" si="62"/>
        <v>4184.268</v>
      </c>
      <c r="E1934" s="608"/>
      <c r="F1934" s="760">
        <f t="shared" si="61"/>
        <v>1765.3216008281295</v>
      </c>
      <c r="M1934" s="443"/>
    </row>
    <row r="1935" spans="1:13">
      <c r="A1935" s="639">
        <v>32113</v>
      </c>
      <c r="B1935" s="639">
        <v>1200</v>
      </c>
      <c r="C1935" s="638">
        <v>3975.6370000000002</v>
      </c>
      <c r="D1935" s="633">
        <f t="shared" si="62"/>
        <v>3975.6370000000002</v>
      </c>
      <c r="E1935" s="608"/>
      <c r="F1935" s="760">
        <f t="shared" si="61"/>
        <v>1677.301232414258</v>
      </c>
      <c r="M1935" s="443"/>
    </row>
    <row r="1936" spans="1:13">
      <c r="A1936" s="639">
        <v>32113</v>
      </c>
      <c r="B1936" s="639">
        <v>1300</v>
      </c>
      <c r="C1936" s="638">
        <v>3794.41</v>
      </c>
      <c r="D1936" s="633">
        <f t="shared" si="62"/>
        <v>3794.41</v>
      </c>
      <c r="E1936" s="608"/>
      <c r="F1936" s="760">
        <f t="shared" si="61"/>
        <v>1600.8424736174311</v>
      </c>
      <c r="M1936" s="443"/>
    </row>
    <row r="1937" spans="1:13">
      <c r="A1937" s="639">
        <v>32113</v>
      </c>
      <c r="B1937" s="639">
        <v>1400</v>
      </c>
      <c r="C1937" s="638">
        <v>3729.837</v>
      </c>
      <c r="D1937" s="633">
        <f t="shared" si="62"/>
        <v>3729.837</v>
      </c>
      <c r="E1937" s="608"/>
      <c r="F1937" s="760">
        <f t="shared" si="61"/>
        <v>1573.5994500514755</v>
      </c>
      <c r="M1937" s="443"/>
    </row>
    <row r="1938" spans="1:13">
      <c r="A1938" s="639">
        <v>32113</v>
      </c>
      <c r="B1938" s="639">
        <v>1500</v>
      </c>
      <c r="C1938" s="638">
        <v>3827.7689999999998</v>
      </c>
      <c r="D1938" s="633">
        <f t="shared" si="62"/>
        <v>3827.7689999999998</v>
      </c>
      <c r="E1938" s="608"/>
      <c r="F1938" s="760">
        <f t="shared" si="61"/>
        <v>1614.9164677502224</v>
      </c>
      <c r="M1938" s="443"/>
    </row>
    <row r="1939" spans="1:13">
      <c r="A1939" s="639">
        <v>32113</v>
      </c>
      <c r="B1939" s="639">
        <v>1600</v>
      </c>
      <c r="C1939" s="638">
        <v>4031.288</v>
      </c>
      <c r="D1939" s="633">
        <f t="shared" si="62"/>
        <v>4031.288</v>
      </c>
      <c r="E1939" s="608"/>
      <c r="F1939" s="760">
        <f t="shared" si="61"/>
        <v>1700.7801091037256</v>
      </c>
      <c r="M1939" s="443"/>
    </row>
    <row r="1940" spans="1:13">
      <c r="A1940" s="639">
        <v>32113</v>
      </c>
      <c r="B1940" s="639">
        <v>1700</v>
      </c>
      <c r="C1940" s="638">
        <v>4304.0860000000002</v>
      </c>
      <c r="D1940" s="633">
        <f t="shared" si="62"/>
        <v>4304.0860000000002</v>
      </c>
      <c r="E1940" s="608"/>
      <c r="F1940" s="760">
        <f t="shared" si="61"/>
        <v>1815.8722117278196</v>
      </c>
      <c r="M1940" s="443"/>
    </row>
    <row r="1941" spans="1:13">
      <c r="A1941" s="639">
        <v>32113</v>
      </c>
      <c r="B1941" s="639">
        <v>1800</v>
      </c>
      <c r="C1941" s="638">
        <v>4553.9870000000001</v>
      </c>
      <c r="D1941" s="633">
        <f t="shared" si="62"/>
        <v>4553.9870000000001</v>
      </c>
      <c r="E1941" s="608"/>
      <c r="F1941" s="760">
        <f t="shared" si="61"/>
        <v>1921.3041853414961</v>
      </c>
      <c r="M1941" s="443"/>
    </row>
    <row r="1942" spans="1:13">
      <c r="A1942" s="639">
        <v>32113</v>
      </c>
      <c r="B1942" s="639">
        <v>1900</v>
      </c>
      <c r="C1942" s="638">
        <v>4790.5429999999997</v>
      </c>
      <c r="D1942" s="633">
        <f t="shared" si="62"/>
        <v>4790.5429999999997</v>
      </c>
      <c r="E1942" s="608"/>
      <c r="F1942" s="760">
        <f t="shared" si="61"/>
        <v>2021.1059706491048</v>
      </c>
      <c r="M1942" s="443"/>
    </row>
    <row r="1943" spans="1:13">
      <c r="A1943" s="639">
        <v>32113</v>
      </c>
      <c r="B1943" s="639">
        <v>2000</v>
      </c>
      <c r="C1943" s="638">
        <v>5190.902</v>
      </c>
      <c r="D1943" s="633">
        <f t="shared" si="62"/>
        <v>5190.902</v>
      </c>
      <c r="E1943" s="608"/>
      <c r="F1943" s="760">
        <f t="shared" si="61"/>
        <v>2190.0154168858062</v>
      </c>
      <c r="M1943" s="443"/>
    </row>
    <row r="1944" spans="1:13">
      <c r="A1944" s="639">
        <v>32113</v>
      </c>
      <c r="B1944" s="639">
        <v>2100</v>
      </c>
      <c r="C1944" s="638">
        <v>5009.1310000000003</v>
      </c>
      <c r="D1944" s="633">
        <f t="shared" si="62"/>
        <v>5009.1310000000003</v>
      </c>
      <c r="E1944" s="608"/>
      <c r="F1944" s="760">
        <f t="shared" si="61"/>
        <v>2113.3271472280953</v>
      </c>
      <c r="M1944" s="443"/>
    </row>
    <row r="1945" spans="1:13">
      <c r="A1945" s="639">
        <v>32113</v>
      </c>
      <c r="B1945" s="639">
        <v>2200</v>
      </c>
      <c r="C1945" s="638">
        <v>4569.5169999999998</v>
      </c>
      <c r="D1945" s="633">
        <f t="shared" si="62"/>
        <v>4569.5169999999998</v>
      </c>
      <c r="E1945" s="608"/>
      <c r="F1945" s="760">
        <f t="shared" si="61"/>
        <v>1927.8562141457837</v>
      </c>
      <c r="M1945" s="443"/>
    </row>
    <row r="1946" spans="1:13">
      <c r="A1946" s="639">
        <v>32113</v>
      </c>
      <c r="B1946" s="639">
        <v>2300</v>
      </c>
      <c r="C1946" s="638">
        <v>4000.07</v>
      </c>
      <c r="D1946" s="633">
        <f t="shared" si="62"/>
        <v>4000.07</v>
      </c>
      <c r="E1946" s="608"/>
      <c r="F1946" s="760">
        <f t="shared" si="61"/>
        <v>1687.6093920907017</v>
      </c>
      <c r="M1946" s="443"/>
    </row>
    <row r="1947" spans="1:13">
      <c r="A1947" s="639">
        <v>32113</v>
      </c>
      <c r="B1947" s="639">
        <v>2400</v>
      </c>
      <c r="C1947" s="638">
        <v>3678.2730000000001</v>
      </c>
      <c r="D1947" s="633">
        <f t="shared" si="62"/>
        <v>3678.2730000000001</v>
      </c>
      <c r="E1947" s="608"/>
      <c r="F1947" s="760">
        <f t="shared" si="61"/>
        <v>1551.8448580833938</v>
      </c>
      <c r="M1947" s="443"/>
    </row>
    <row r="1948" spans="1:13">
      <c r="A1948" s="639">
        <v>32213</v>
      </c>
      <c r="B1948" s="639">
        <v>100</v>
      </c>
      <c r="C1948" s="638">
        <v>3699.866</v>
      </c>
      <c r="D1948" s="633">
        <f t="shared" si="62"/>
        <v>3699.866</v>
      </c>
      <c r="E1948" s="608"/>
      <c r="F1948" s="760">
        <f t="shared" si="61"/>
        <v>1560.9548360596327</v>
      </c>
      <c r="M1948" s="443"/>
    </row>
    <row r="1949" spans="1:13">
      <c r="A1949" s="639">
        <v>32213</v>
      </c>
      <c r="B1949" s="639">
        <v>200</v>
      </c>
      <c r="C1949" s="638">
        <v>3653.2429999999999</v>
      </c>
      <c r="D1949" s="633">
        <f t="shared" si="62"/>
        <v>3653.2429999999999</v>
      </c>
      <c r="E1949" s="608"/>
      <c r="F1949" s="760">
        <f t="shared" si="61"/>
        <v>1541.2848271129283</v>
      </c>
      <c r="M1949" s="443"/>
    </row>
    <row r="1950" spans="1:13">
      <c r="A1950" s="639">
        <v>32213</v>
      </c>
      <c r="B1950" s="639">
        <v>300</v>
      </c>
      <c r="C1950" s="638">
        <v>3656.7640000000001</v>
      </c>
      <c r="D1950" s="633">
        <f t="shared" si="62"/>
        <v>3656.7640000000001</v>
      </c>
      <c r="E1950" s="608"/>
      <c r="F1950" s="760">
        <f t="shared" si="61"/>
        <v>1542.7703192842032</v>
      </c>
      <c r="M1950" s="443"/>
    </row>
    <row r="1951" spans="1:13">
      <c r="A1951" s="639">
        <v>32213</v>
      </c>
      <c r="B1951" s="639">
        <v>400</v>
      </c>
      <c r="C1951" s="638">
        <v>3737.7269999999999</v>
      </c>
      <c r="D1951" s="633">
        <f t="shared" si="62"/>
        <v>3737.7269999999999</v>
      </c>
      <c r="E1951" s="608"/>
      <c r="F1951" s="760">
        <f t="shared" si="61"/>
        <v>1576.9282013242271</v>
      </c>
      <c r="M1951" s="443"/>
    </row>
    <row r="1952" spans="1:13">
      <c r="A1952" s="639">
        <v>32213</v>
      </c>
      <c r="B1952" s="639">
        <v>500</v>
      </c>
      <c r="C1952" s="638">
        <v>4076.5569999999998</v>
      </c>
      <c r="D1952" s="633">
        <f t="shared" si="62"/>
        <v>4076.5569999999998</v>
      </c>
      <c r="E1952" s="608"/>
      <c r="F1952" s="760">
        <f t="shared" si="61"/>
        <v>1719.8788722680088</v>
      </c>
      <c r="M1952" s="443"/>
    </row>
    <row r="1953" spans="1:13">
      <c r="A1953" s="639">
        <v>32213</v>
      </c>
      <c r="B1953" s="639">
        <v>600</v>
      </c>
      <c r="C1953" s="638">
        <v>4596.9279999999999</v>
      </c>
      <c r="D1953" s="633">
        <f t="shared" si="62"/>
        <v>4596.9279999999999</v>
      </c>
      <c r="E1953" s="608"/>
      <c r="F1953" s="760">
        <f t="shared" si="61"/>
        <v>1939.4207770275832</v>
      </c>
      <c r="M1953" s="443"/>
    </row>
    <row r="1954" spans="1:13">
      <c r="A1954" s="639">
        <v>32213</v>
      </c>
      <c r="B1954" s="639">
        <v>700</v>
      </c>
      <c r="C1954" s="638">
        <v>4871.7860000000001</v>
      </c>
      <c r="D1954" s="633">
        <f t="shared" si="62"/>
        <v>4871.7860000000001</v>
      </c>
      <c r="E1954" s="608"/>
      <c r="F1954" s="760">
        <f t="shared" si="61"/>
        <v>2055.3819832792901</v>
      </c>
      <c r="M1954" s="443"/>
    </row>
    <row r="1955" spans="1:13">
      <c r="A1955" s="639">
        <v>32213</v>
      </c>
      <c r="B1955" s="639">
        <v>800</v>
      </c>
      <c r="C1955" s="638">
        <v>4645.8069999999998</v>
      </c>
      <c r="D1955" s="633">
        <f t="shared" si="62"/>
        <v>4645.8069999999998</v>
      </c>
      <c r="E1955" s="608"/>
      <c r="F1955" s="760">
        <f t="shared" si="61"/>
        <v>1960.0425810150136</v>
      </c>
      <c r="M1955" s="443"/>
    </row>
    <row r="1956" spans="1:13">
      <c r="A1956" s="639">
        <v>32213</v>
      </c>
      <c r="B1956" s="639">
        <v>900</v>
      </c>
      <c r="C1956" s="638">
        <v>4375.5039999999999</v>
      </c>
      <c r="D1956" s="633">
        <f t="shared" si="62"/>
        <v>4375.5039999999999</v>
      </c>
      <c r="E1956" s="608"/>
      <c r="F1956" s="760">
        <f t="shared" ref="F1956:F2019" si="63">(D1956/(MAX($D$1444:$D$2187)))*$M$6</f>
        <v>1846.0031063282472</v>
      </c>
      <c r="M1956" s="443"/>
    </row>
    <row r="1957" spans="1:13">
      <c r="A1957" s="639">
        <v>32213</v>
      </c>
      <c r="B1957" s="639">
        <v>1000</v>
      </c>
      <c r="C1957" s="638">
        <v>4099.5309999999999</v>
      </c>
      <c r="D1957" s="633">
        <f t="shared" si="62"/>
        <v>4099.5309999999999</v>
      </c>
      <c r="E1957" s="608"/>
      <c r="F1957" s="760">
        <f t="shared" si="63"/>
        <v>1729.5714871907205</v>
      </c>
      <c r="M1957" s="443"/>
    </row>
    <row r="1958" spans="1:13">
      <c r="A1958" s="639">
        <v>32213</v>
      </c>
      <c r="B1958" s="639">
        <v>1100</v>
      </c>
      <c r="C1958" s="638">
        <v>3926.373</v>
      </c>
      <c r="D1958" s="633">
        <f t="shared" si="62"/>
        <v>3926.373</v>
      </c>
      <c r="E1958" s="608"/>
      <c r="F1958" s="760">
        <f t="shared" si="63"/>
        <v>1656.5169988653558</v>
      </c>
      <c r="M1958" s="443"/>
    </row>
    <row r="1959" spans="1:13">
      <c r="A1959" s="639">
        <v>32213</v>
      </c>
      <c r="B1959" s="639">
        <v>1200</v>
      </c>
      <c r="C1959" s="638">
        <v>3718.127</v>
      </c>
      <c r="D1959" s="633">
        <f t="shared" si="62"/>
        <v>3718.127</v>
      </c>
      <c r="E1959" s="608"/>
      <c r="F1959" s="760">
        <f t="shared" si="63"/>
        <v>1568.6590600129555</v>
      </c>
      <c r="M1959" s="443"/>
    </row>
    <row r="1960" spans="1:13">
      <c r="A1960" s="639">
        <v>32213</v>
      </c>
      <c r="B1960" s="639">
        <v>1300</v>
      </c>
      <c r="C1960" s="638">
        <v>3644.7289999999998</v>
      </c>
      <c r="D1960" s="633">
        <f t="shared" si="62"/>
        <v>3644.7289999999998</v>
      </c>
      <c r="E1960" s="608"/>
      <c r="F1960" s="760">
        <f t="shared" si="63"/>
        <v>1537.6928133821032</v>
      </c>
      <c r="M1960" s="443"/>
    </row>
    <row r="1961" spans="1:13">
      <c r="A1961" s="639">
        <v>32213</v>
      </c>
      <c r="B1961" s="639">
        <v>1400</v>
      </c>
      <c r="C1961" s="638">
        <v>3580.8969999999999</v>
      </c>
      <c r="D1961" s="633">
        <f t="shared" si="62"/>
        <v>3580.8969999999999</v>
      </c>
      <c r="E1961" s="608"/>
      <c r="F1961" s="760">
        <f t="shared" si="63"/>
        <v>1510.7624139851093</v>
      </c>
      <c r="M1961" s="443"/>
    </row>
    <row r="1962" spans="1:13">
      <c r="A1962" s="639">
        <v>32213</v>
      </c>
      <c r="B1962" s="639">
        <v>1500</v>
      </c>
      <c r="C1962" s="638">
        <v>3644.8359999999998</v>
      </c>
      <c r="D1962" s="633">
        <f t="shared" si="62"/>
        <v>3644.8359999999998</v>
      </c>
      <c r="E1962" s="608"/>
      <c r="F1962" s="760">
        <f t="shared" si="63"/>
        <v>1537.7379561433434</v>
      </c>
      <c r="M1962" s="443"/>
    </row>
    <row r="1963" spans="1:13">
      <c r="A1963" s="639">
        <v>32213</v>
      </c>
      <c r="B1963" s="639">
        <v>1600</v>
      </c>
      <c r="C1963" s="638">
        <v>3871.7779999999998</v>
      </c>
      <c r="D1963" s="633">
        <f t="shared" si="62"/>
        <v>3871.7779999999998</v>
      </c>
      <c r="E1963" s="608"/>
      <c r="F1963" s="760">
        <f t="shared" si="63"/>
        <v>1633.4836432587808</v>
      </c>
      <c r="M1963" s="443"/>
    </row>
    <row r="1964" spans="1:13">
      <c r="A1964" s="639">
        <v>32213</v>
      </c>
      <c r="B1964" s="639">
        <v>1700</v>
      </c>
      <c r="C1964" s="638">
        <v>4108.085</v>
      </c>
      <c r="D1964" s="633">
        <f t="shared" si="62"/>
        <v>4108.085</v>
      </c>
      <c r="E1964" s="608"/>
      <c r="F1964" s="760">
        <f t="shared" si="63"/>
        <v>1733.1803767201397</v>
      </c>
      <c r="M1964" s="443"/>
    </row>
    <row r="1965" spans="1:13">
      <c r="A1965" s="639">
        <v>32213</v>
      </c>
      <c r="B1965" s="639">
        <v>1800</v>
      </c>
      <c r="C1965" s="638">
        <v>4342.0389999999998</v>
      </c>
      <c r="D1965" s="633">
        <f t="shared" si="62"/>
        <v>4342.0389999999998</v>
      </c>
      <c r="E1965" s="608"/>
      <c r="F1965" s="760">
        <f t="shared" si="63"/>
        <v>1831.884391329181</v>
      </c>
      <c r="M1965" s="443"/>
    </row>
    <row r="1966" spans="1:13">
      <c r="A1966" s="639">
        <v>32213</v>
      </c>
      <c r="B1966" s="639">
        <v>1900</v>
      </c>
      <c r="C1966" s="638">
        <v>4717.7870000000003</v>
      </c>
      <c r="D1966" s="633">
        <f t="shared" si="62"/>
        <v>4717.7870000000003</v>
      </c>
      <c r="E1966" s="608"/>
      <c r="F1966" s="760">
        <f t="shared" si="63"/>
        <v>1990.4105805856934</v>
      </c>
      <c r="M1966" s="443"/>
    </row>
    <row r="1967" spans="1:13">
      <c r="A1967" s="639">
        <v>32213</v>
      </c>
      <c r="B1967" s="639">
        <v>2000</v>
      </c>
      <c r="C1967" s="638">
        <v>4999.7950000000001</v>
      </c>
      <c r="D1967" s="633">
        <f t="shared" si="62"/>
        <v>4999.7950000000001</v>
      </c>
      <c r="E1967" s="608"/>
      <c r="F1967" s="760">
        <f t="shared" si="63"/>
        <v>2109.388335836155</v>
      </c>
      <c r="M1967" s="443"/>
    </row>
    <row r="1968" spans="1:13">
      <c r="A1968" s="639">
        <v>32213</v>
      </c>
      <c r="B1968" s="639">
        <v>2100</v>
      </c>
      <c r="C1968" s="638">
        <v>4826.6769999999997</v>
      </c>
      <c r="D1968" s="633">
        <f t="shared" si="62"/>
        <v>4826.6769999999997</v>
      </c>
      <c r="E1968" s="608"/>
      <c r="F1968" s="760">
        <f t="shared" si="63"/>
        <v>2036.3507233093846</v>
      </c>
      <c r="M1968" s="443"/>
    </row>
    <row r="1969" spans="1:13">
      <c r="A1969" s="639">
        <v>32213</v>
      </c>
      <c r="B1969" s="639">
        <v>2200</v>
      </c>
      <c r="C1969" s="638">
        <v>4479.9840000000004</v>
      </c>
      <c r="D1969" s="633">
        <f t="shared" si="62"/>
        <v>4479.9840000000004</v>
      </c>
      <c r="E1969" s="608"/>
      <c r="F1969" s="760">
        <f t="shared" si="63"/>
        <v>1890.0826922569031</v>
      </c>
      <c r="M1969" s="443"/>
    </row>
    <row r="1970" spans="1:13">
      <c r="A1970" s="639">
        <v>32213</v>
      </c>
      <c r="B1970" s="639">
        <v>2300</v>
      </c>
      <c r="C1970" s="638">
        <v>4053.5160000000001</v>
      </c>
      <c r="D1970" s="633">
        <f t="shared" si="62"/>
        <v>4053.5160000000001</v>
      </c>
      <c r="E1970" s="608"/>
      <c r="F1970" s="760">
        <f t="shared" si="63"/>
        <v>1710.1579903826512</v>
      </c>
      <c r="M1970" s="443"/>
    </row>
    <row r="1971" spans="1:13">
      <c r="A1971" s="639">
        <v>32213</v>
      </c>
      <c r="B1971" s="639">
        <v>2400</v>
      </c>
      <c r="C1971" s="638">
        <v>3742.2649999999999</v>
      </c>
      <c r="D1971" s="633">
        <f t="shared" si="62"/>
        <v>3742.2649999999999</v>
      </c>
      <c r="E1971" s="608"/>
      <c r="F1971" s="760">
        <f t="shared" si="63"/>
        <v>1578.8427606747655</v>
      </c>
      <c r="M1971" s="443"/>
    </row>
    <row r="1972" spans="1:13">
      <c r="A1972" s="639">
        <v>32313</v>
      </c>
      <c r="B1972" s="639">
        <v>100</v>
      </c>
      <c r="C1972" s="638">
        <v>3725.8910000000001</v>
      </c>
      <c r="D1972" s="633">
        <f t="shared" si="62"/>
        <v>3725.8910000000001</v>
      </c>
      <c r="E1972" s="608"/>
      <c r="F1972" s="760">
        <f t="shared" si="63"/>
        <v>1571.9346525201349</v>
      </c>
      <c r="M1972" s="443"/>
    </row>
    <row r="1973" spans="1:13">
      <c r="A1973" s="639">
        <v>32313</v>
      </c>
      <c r="B1973" s="639">
        <v>200</v>
      </c>
      <c r="C1973" s="638">
        <v>3676.123</v>
      </c>
      <c r="D1973" s="633">
        <f t="shared" si="62"/>
        <v>3676.123</v>
      </c>
      <c r="E1973" s="608"/>
      <c r="F1973" s="760">
        <f t="shared" si="63"/>
        <v>1550.9377839089432</v>
      </c>
      <c r="M1973" s="443"/>
    </row>
    <row r="1974" spans="1:13">
      <c r="A1974" s="639">
        <v>32313</v>
      </c>
      <c r="B1974" s="639">
        <v>300</v>
      </c>
      <c r="C1974" s="638">
        <v>3647.9369999999999</v>
      </c>
      <c r="D1974" s="633">
        <f t="shared" si="62"/>
        <v>3647.9369999999999</v>
      </c>
      <c r="E1974" s="608"/>
      <c r="F1974" s="760">
        <f t="shared" si="63"/>
        <v>1539.0462524293769</v>
      </c>
      <c r="M1974" s="443"/>
    </row>
    <row r="1975" spans="1:13">
      <c r="A1975" s="639">
        <v>32313</v>
      </c>
      <c r="B1975" s="639">
        <v>400</v>
      </c>
      <c r="C1975" s="638">
        <v>3636.3510000000001</v>
      </c>
      <c r="D1975" s="633">
        <f t="shared" si="62"/>
        <v>3636.3510000000001</v>
      </c>
      <c r="E1975" s="608"/>
      <c r="F1975" s="760">
        <f t="shared" si="63"/>
        <v>1534.1581773664998</v>
      </c>
      <c r="M1975" s="443"/>
    </row>
    <row r="1976" spans="1:13">
      <c r="A1976" s="639">
        <v>32313</v>
      </c>
      <c r="B1976" s="639">
        <v>500</v>
      </c>
      <c r="C1976" s="638">
        <v>3787.7040000000002</v>
      </c>
      <c r="D1976" s="633">
        <f t="shared" si="62"/>
        <v>3787.7040000000002</v>
      </c>
      <c r="E1976" s="608"/>
      <c r="F1976" s="760">
        <f t="shared" si="63"/>
        <v>1598.013245983075</v>
      </c>
      <c r="M1976" s="443"/>
    </row>
    <row r="1977" spans="1:13">
      <c r="A1977" s="639">
        <v>32313</v>
      </c>
      <c r="B1977" s="639">
        <v>600</v>
      </c>
      <c r="C1977" s="638">
        <v>4025.6280000000002</v>
      </c>
      <c r="D1977" s="633">
        <f t="shared" si="62"/>
        <v>4025.6280000000002</v>
      </c>
      <c r="E1977" s="608"/>
      <c r="F1977" s="760">
        <f t="shared" si="63"/>
        <v>1698.3921836026136</v>
      </c>
      <c r="M1977" s="443"/>
    </row>
    <row r="1978" spans="1:13">
      <c r="A1978" s="639">
        <v>32313</v>
      </c>
      <c r="B1978" s="639">
        <v>700</v>
      </c>
      <c r="C1978" s="638">
        <v>4230.2790000000005</v>
      </c>
      <c r="D1978" s="633">
        <f t="shared" si="62"/>
        <v>4230.2790000000005</v>
      </c>
      <c r="E1978" s="608"/>
      <c r="F1978" s="760">
        <f t="shared" si="63"/>
        <v>1784.7334100563394</v>
      </c>
      <c r="M1978" s="443"/>
    </row>
    <row r="1979" spans="1:13">
      <c r="A1979" s="639">
        <v>32313</v>
      </c>
      <c r="B1979" s="639">
        <v>800</v>
      </c>
      <c r="C1979" s="638">
        <v>4515.4030000000002</v>
      </c>
      <c r="D1979" s="633">
        <f t="shared" si="62"/>
        <v>4515.4030000000002</v>
      </c>
      <c r="E1979" s="608"/>
      <c r="F1979" s="760">
        <f t="shared" si="63"/>
        <v>1905.0257900173074</v>
      </c>
      <c r="M1979" s="443"/>
    </row>
    <row r="1980" spans="1:13">
      <c r="A1980" s="639">
        <v>32313</v>
      </c>
      <c r="B1980" s="639">
        <v>900</v>
      </c>
      <c r="C1980" s="638">
        <v>4213.1360000000004</v>
      </c>
      <c r="D1980" s="633">
        <f t="shared" si="62"/>
        <v>4213.1360000000004</v>
      </c>
      <c r="E1980" s="608"/>
      <c r="F1980" s="760">
        <f t="shared" si="63"/>
        <v>1777.5008646737308</v>
      </c>
      <c r="M1980" s="443"/>
    </row>
    <row r="1981" spans="1:13">
      <c r="A1981" s="639">
        <v>32313</v>
      </c>
      <c r="B1981" s="639">
        <v>1000</v>
      </c>
      <c r="C1981" s="638">
        <v>4193.1909999999998</v>
      </c>
      <c r="D1981" s="633">
        <f t="shared" si="62"/>
        <v>4193.1909999999998</v>
      </c>
      <c r="E1981" s="608"/>
      <c r="F1981" s="760">
        <f t="shared" si="63"/>
        <v>1769.0861695995823</v>
      </c>
      <c r="M1981" s="443"/>
    </row>
    <row r="1982" spans="1:13">
      <c r="A1982" s="639">
        <v>32313</v>
      </c>
      <c r="B1982" s="639">
        <v>1100</v>
      </c>
      <c r="C1982" s="638">
        <v>4127.2809999999999</v>
      </c>
      <c r="D1982" s="633">
        <f t="shared" si="62"/>
        <v>4127.2809999999999</v>
      </c>
      <c r="E1982" s="608"/>
      <c r="F1982" s="760">
        <f t="shared" si="63"/>
        <v>1741.2790724656077</v>
      </c>
      <c r="M1982" s="443"/>
    </row>
    <row r="1983" spans="1:13">
      <c r="A1983" s="639">
        <v>32313</v>
      </c>
      <c r="B1983" s="639">
        <v>1200</v>
      </c>
      <c r="C1983" s="638">
        <v>3987.6010000000001</v>
      </c>
      <c r="D1983" s="633">
        <f t="shared" si="62"/>
        <v>3987.6010000000001</v>
      </c>
      <c r="E1983" s="608"/>
      <c r="F1983" s="760">
        <f t="shared" si="63"/>
        <v>1682.3487837738523</v>
      </c>
      <c r="M1983" s="443"/>
    </row>
    <row r="1984" spans="1:13">
      <c r="A1984" s="639">
        <v>32313</v>
      </c>
      <c r="B1984" s="639">
        <v>1300</v>
      </c>
      <c r="C1984" s="638">
        <v>3825.9989999999998</v>
      </c>
      <c r="D1984" s="633">
        <f t="shared" si="62"/>
        <v>3825.9989999999998</v>
      </c>
      <c r="E1984" s="608"/>
      <c r="F1984" s="760">
        <f t="shared" si="63"/>
        <v>1614.1697136624189</v>
      </c>
      <c r="M1984" s="443"/>
    </row>
    <row r="1985" spans="1:13">
      <c r="A1985" s="639">
        <v>32313</v>
      </c>
      <c r="B1985" s="639">
        <v>1400</v>
      </c>
      <c r="C1985" s="638">
        <v>3770.366</v>
      </c>
      <c r="D1985" s="633">
        <f t="shared" si="62"/>
        <v>3770.366</v>
      </c>
      <c r="E1985" s="608"/>
      <c r="F1985" s="760">
        <f t="shared" si="63"/>
        <v>1590.6984310823184</v>
      </c>
      <c r="M1985" s="443"/>
    </row>
    <row r="1986" spans="1:13">
      <c r="A1986" s="639">
        <v>32313</v>
      </c>
      <c r="B1986" s="639">
        <v>1500</v>
      </c>
      <c r="C1986" s="638">
        <v>3692.6770000000001</v>
      </c>
      <c r="D1986" s="633">
        <f t="shared" si="62"/>
        <v>3692.6770000000001</v>
      </c>
      <c r="E1986" s="608"/>
      <c r="F1986" s="760">
        <f t="shared" si="63"/>
        <v>1557.9218331572486</v>
      </c>
      <c r="M1986" s="443"/>
    </row>
    <row r="1987" spans="1:13">
      <c r="A1987" s="639">
        <v>32313</v>
      </c>
      <c r="B1987" s="639">
        <v>1600</v>
      </c>
      <c r="C1987" s="638">
        <v>3828.54</v>
      </c>
      <c r="D1987" s="633">
        <f t="shared" si="62"/>
        <v>3828.54</v>
      </c>
      <c r="E1987" s="608"/>
      <c r="F1987" s="760">
        <f t="shared" si="63"/>
        <v>1615.24174876813</v>
      </c>
      <c r="M1987" s="443"/>
    </row>
    <row r="1988" spans="1:13">
      <c r="A1988" s="639">
        <v>32313</v>
      </c>
      <c r="B1988" s="639">
        <v>1700</v>
      </c>
      <c r="C1988" s="638">
        <v>4009.5030000000002</v>
      </c>
      <c r="D1988" s="633">
        <f t="shared" si="62"/>
        <v>4009.5030000000002</v>
      </c>
      <c r="E1988" s="608"/>
      <c r="F1988" s="760">
        <f t="shared" si="63"/>
        <v>1691.5891272942333</v>
      </c>
      <c r="M1988" s="443"/>
    </row>
    <row r="1989" spans="1:13">
      <c r="A1989" s="639">
        <v>32313</v>
      </c>
      <c r="B1989" s="639">
        <v>1800</v>
      </c>
      <c r="C1989" s="638">
        <v>4169.0559999999996</v>
      </c>
      <c r="D1989" s="633">
        <f t="shared" ref="D1989:D2052" si="64">C1989</f>
        <v>4169.0559999999996</v>
      </c>
      <c r="E1989" s="608"/>
      <c r="F1989" s="760">
        <f t="shared" si="63"/>
        <v>1758.9037346226669</v>
      </c>
      <c r="M1989" s="443"/>
    </row>
    <row r="1990" spans="1:13">
      <c r="A1990" s="639">
        <v>32313</v>
      </c>
      <c r="B1990" s="639">
        <v>1900</v>
      </c>
      <c r="C1990" s="638">
        <v>4320.4179999999997</v>
      </c>
      <c r="D1990" s="633">
        <f t="shared" si="64"/>
        <v>4320.4179999999997</v>
      </c>
      <c r="E1990" s="608"/>
      <c r="F1990" s="760">
        <f t="shared" si="63"/>
        <v>1822.7626002939257</v>
      </c>
      <c r="M1990" s="443"/>
    </row>
    <row r="1991" spans="1:13">
      <c r="A1991" s="639">
        <v>32313</v>
      </c>
      <c r="B1991" s="639">
        <v>2000</v>
      </c>
      <c r="C1991" s="638">
        <v>4612.9250000000002</v>
      </c>
      <c r="D1991" s="633">
        <f t="shared" si="64"/>
        <v>4612.9250000000002</v>
      </c>
      <c r="E1991" s="608"/>
      <c r="F1991" s="760">
        <f t="shared" si="63"/>
        <v>1946.1698307804611</v>
      </c>
      <c r="M1991" s="443"/>
    </row>
    <row r="1992" spans="1:13">
      <c r="A1992" s="639">
        <v>32313</v>
      </c>
      <c r="B1992" s="639">
        <v>2100</v>
      </c>
      <c r="C1992" s="638">
        <v>4367.1629999999996</v>
      </c>
      <c r="D1992" s="633">
        <f t="shared" si="64"/>
        <v>4367.1629999999996</v>
      </c>
      <c r="E1992" s="608"/>
      <c r="F1992" s="760">
        <f t="shared" si="63"/>
        <v>1842.4840804263433</v>
      </c>
      <c r="M1992" s="443"/>
    </row>
    <row r="1993" spans="1:13">
      <c r="A1993" s="639">
        <v>32313</v>
      </c>
      <c r="B1993" s="639">
        <v>2200</v>
      </c>
      <c r="C1993" s="638">
        <v>4278.9780000000001</v>
      </c>
      <c r="D1993" s="633">
        <f t="shared" si="64"/>
        <v>4278.9780000000001</v>
      </c>
      <c r="E1993" s="608"/>
      <c r="F1993" s="760">
        <f t="shared" si="63"/>
        <v>1805.279272950095</v>
      </c>
      <c r="M1993" s="443"/>
    </row>
    <row r="1994" spans="1:13">
      <c r="A1994" s="639">
        <v>32313</v>
      </c>
      <c r="B1994" s="639">
        <v>2300</v>
      </c>
      <c r="C1994" s="638">
        <v>3943.212</v>
      </c>
      <c r="D1994" s="633">
        <f t="shared" si="64"/>
        <v>3943.212</v>
      </c>
      <c r="E1994" s="608"/>
      <c r="F1994" s="760">
        <f t="shared" si="63"/>
        <v>1663.6212881786466</v>
      </c>
      <c r="M1994" s="443"/>
    </row>
    <row r="1995" spans="1:13">
      <c r="A1995" s="639">
        <v>32313</v>
      </c>
      <c r="B1995" s="639">
        <v>2400</v>
      </c>
      <c r="C1995" s="638">
        <v>3793.7510000000002</v>
      </c>
      <c r="D1995" s="633">
        <f t="shared" si="64"/>
        <v>3793.7510000000002</v>
      </c>
      <c r="E1995" s="608"/>
      <c r="F1995" s="760">
        <f t="shared" si="63"/>
        <v>1600.5644448355881</v>
      </c>
      <c r="M1995" s="443"/>
    </row>
    <row r="1996" spans="1:13">
      <c r="A1996" s="639">
        <v>32413</v>
      </c>
      <c r="B1996" s="639">
        <v>100</v>
      </c>
      <c r="C1996" s="638">
        <v>3761.2730000000001</v>
      </c>
      <c r="D1996" s="633">
        <f t="shared" si="64"/>
        <v>3761.2730000000001</v>
      </c>
      <c r="E1996" s="608"/>
      <c r="F1996" s="760">
        <f t="shared" si="63"/>
        <v>1586.8621401668395</v>
      </c>
      <c r="M1996" s="443"/>
    </row>
    <row r="1997" spans="1:13">
      <c r="A1997" s="639">
        <v>32413</v>
      </c>
      <c r="B1997" s="639">
        <v>200</v>
      </c>
      <c r="C1997" s="638">
        <v>3605.451</v>
      </c>
      <c r="D1997" s="633">
        <f t="shared" si="64"/>
        <v>3605.451</v>
      </c>
      <c r="E1997" s="608"/>
      <c r="F1997" s="760">
        <f t="shared" si="63"/>
        <v>1521.1216229523013</v>
      </c>
      <c r="M1997" s="443"/>
    </row>
    <row r="1998" spans="1:13">
      <c r="A1998" s="639">
        <v>32413</v>
      </c>
      <c r="B1998" s="639">
        <v>300</v>
      </c>
      <c r="C1998" s="638">
        <v>3610.5520000000001</v>
      </c>
      <c r="D1998" s="633">
        <f t="shared" si="64"/>
        <v>3610.5520000000001</v>
      </c>
      <c r="E1998" s="608"/>
      <c r="F1998" s="760">
        <f t="shared" si="63"/>
        <v>1523.2737091680563</v>
      </c>
      <c r="M1998" s="443"/>
    </row>
    <row r="1999" spans="1:13">
      <c r="A1999" s="639">
        <v>32413</v>
      </c>
      <c r="B1999" s="639">
        <v>400</v>
      </c>
      <c r="C1999" s="638">
        <v>3658.567</v>
      </c>
      <c r="D1999" s="633">
        <f t="shared" si="64"/>
        <v>3658.567</v>
      </c>
      <c r="E1999" s="608"/>
      <c r="F1999" s="760">
        <f t="shared" si="63"/>
        <v>1543.530995905847</v>
      </c>
      <c r="M1999" s="443"/>
    </row>
    <row r="2000" spans="1:13">
      <c r="A2000" s="639">
        <v>32413</v>
      </c>
      <c r="B2000" s="639">
        <v>500</v>
      </c>
      <c r="C2000" s="638">
        <v>3817.4169999999999</v>
      </c>
      <c r="D2000" s="633">
        <f t="shared" si="64"/>
        <v>3817.4169999999999</v>
      </c>
      <c r="E2000" s="608"/>
      <c r="F2000" s="760">
        <f t="shared" si="63"/>
        <v>1610.5490110739836</v>
      </c>
      <c r="M2000" s="443"/>
    </row>
    <row r="2001" spans="1:13">
      <c r="A2001" s="639">
        <v>32413</v>
      </c>
      <c r="B2001" s="639">
        <v>600</v>
      </c>
      <c r="C2001" s="638">
        <v>3998.92</v>
      </c>
      <c r="D2001" s="633">
        <f t="shared" si="64"/>
        <v>3998.92</v>
      </c>
      <c r="E2001" s="608"/>
      <c r="F2001" s="760">
        <f t="shared" si="63"/>
        <v>1687.1242128811118</v>
      </c>
      <c r="M2001" s="443"/>
    </row>
    <row r="2002" spans="1:13">
      <c r="A2002" s="639">
        <v>32413</v>
      </c>
      <c r="B2002" s="639">
        <v>700</v>
      </c>
      <c r="C2002" s="638">
        <v>4166.1030000000001</v>
      </c>
      <c r="D2002" s="633">
        <f t="shared" si="64"/>
        <v>4166.1030000000001</v>
      </c>
      <c r="E2002" s="608"/>
      <c r="F2002" s="760">
        <f t="shared" si="63"/>
        <v>1757.6578787914332</v>
      </c>
      <c r="M2002" s="443"/>
    </row>
    <row r="2003" spans="1:13">
      <c r="A2003" s="639">
        <v>32413</v>
      </c>
      <c r="B2003" s="639">
        <v>800</v>
      </c>
      <c r="C2003" s="638">
        <v>4186.4319999999998</v>
      </c>
      <c r="D2003" s="633">
        <f t="shared" si="64"/>
        <v>4186.4319999999998</v>
      </c>
      <c r="E2003" s="608"/>
      <c r="F2003" s="760">
        <f t="shared" si="63"/>
        <v>1766.234581532088</v>
      </c>
      <c r="M2003" s="443"/>
    </row>
    <row r="2004" spans="1:13">
      <c r="A2004" s="639">
        <v>32413</v>
      </c>
      <c r="B2004" s="639">
        <v>900</v>
      </c>
      <c r="C2004" s="638">
        <v>4192.9480000000003</v>
      </c>
      <c r="D2004" s="633">
        <f t="shared" si="64"/>
        <v>4192.9480000000003</v>
      </c>
      <c r="E2004" s="608"/>
      <c r="F2004" s="760">
        <f t="shared" si="63"/>
        <v>1768.983649123121</v>
      </c>
      <c r="M2004" s="443"/>
    </row>
    <row r="2005" spans="1:13">
      <c r="A2005" s="639">
        <v>32413</v>
      </c>
      <c r="B2005" s="639">
        <v>1000</v>
      </c>
      <c r="C2005" s="638">
        <v>4188.0510000000004</v>
      </c>
      <c r="D2005" s="633">
        <f t="shared" si="64"/>
        <v>4188.0510000000004</v>
      </c>
      <c r="E2005" s="608"/>
      <c r="F2005" s="760">
        <f t="shared" si="63"/>
        <v>1766.917629480198</v>
      </c>
      <c r="M2005" s="443"/>
    </row>
    <row r="2006" spans="1:13">
      <c r="A2006" s="639">
        <v>32413</v>
      </c>
      <c r="B2006" s="639">
        <v>1100</v>
      </c>
      <c r="C2006" s="638">
        <v>4169.5379999999996</v>
      </c>
      <c r="D2006" s="633">
        <f t="shared" si="64"/>
        <v>4169.5379999999996</v>
      </c>
      <c r="E2006" s="608"/>
      <c r="F2006" s="760">
        <f t="shared" si="63"/>
        <v>1759.1070879957297</v>
      </c>
      <c r="M2006" s="443"/>
    </row>
    <row r="2007" spans="1:13">
      <c r="A2007" s="639">
        <v>32413</v>
      </c>
      <c r="B2007" s="639">
        <v>1200</v>
      </c>
      <c r="C2007" s="638">
        <v>4017.2089999999998</v>
      </c>
      <c r="D2007" s="633">
        <f t="shared" si="64"/>
        <v>4017.2089999999998</v>
      </c>
      <c r="E2007" s="608"/>
      <c r="F2007" s="760">
        <f t="shared" si="63"/>
        <v>1694.8402498934506</v>
      </c>
      <c r="M2007" s="443"/>
    </row>
    <row r="2008" spans="1:13">
      <c r="A2008" s="639">
        <v>32413</v>
      </c>
      <c r="B2008" s="639">
        <v>1300</v>
      </c>
      <c r="C2008" s="638">
        <v>3892.491</v>
      </c>
      <c r="D2008" s="633">
        <f t="shared" si="64"/>
        <v>3892.491</v>
      </c>
      <c r="E2008" s="608"/>
      <c r="F2008" s="760">
        <f t="shared" si="63"/>
        <v>1642.2223536659426</v>
      </c>
      <c r="M2008" s="443"/>
    </row>
    <row r="2009" spans="1:13">
      <c r="A2009" s="639">
        <v>32413</v>
      </c>
      <c r="B2009" s="639">
        <v>1400</v>
      </c>
      <c r="C2009" s="638">
        <v>3864.759</v>
      </c>
      <c r="D2009" s="633">
        <f t="shared" si="64"/>
        <v>3864.759</v>
      </c>
      <c r="E2009" s="608"/>
      <c r="F2009" s="760">
        <f t="shared" si="63"/>
        <v>1630.5223625004232</v>
      </c>
      <c r="M2009" s="443"/>
    </row>
    <row r="2010" spans="1:13">
      <c r="A2010" s="639">
        <v>32413</v>
      </c>
      <c r="B2010" s="639">
        <v>1500</v>
      </c>
      <c r="C2010" s="638">
        <v>3945.7959999999998</v>
      </c>
      <c r="D2010" s="633">
        <f t="shared" si="64"/>
        <v>3945.7959999999998</v>
      </c>
      <c r="E2010" s="608"/>
      <c r="F2010" s="760">
        <f t="shared" si="63"/>
        <v>1664.7114647678468</v>
      </c>
      <c r="M2010" s="443"/>
    </row>
    <row r="2011" spans="1:13">
      <c r="A2011" s="639">
        <v>32413</v>
      </c>
      <c r="B2011" s="639">
        <v>1600</v>
      </c>
      <c r="C2011" s="638">
        <v>4211.5360000000001</v>
      </c>
      <c r="D2011" s="633">
        <f t="shared" si="64"/>
        <v>4211.5360000000001</v>
      </c>
      <c r="E2011" s="608"/>
      <c r="F2011" s="760">
        <f t="shared" si="63"/>
        <v>1776.8258327299534</v>
      </c>
      <c r="M2011" s="443"/>
    </row>
    <row r="2012" spans="1:13">
      <c r="A2012" s="639">
        <v>32413</v>
      </c>
      <c r="B2012" s="639">
        <v>1700</v>
      </c>
      <c r="C2012" s="638">
        <v>4446.8689999999997</v>
      </c>
      <c r="D2012" s="633">
        <f t="shared" si="64"/>
        <v>4446.8689999999997</v>
      </c>
      <c r="E2012" s="608"/>
      <c r="F2012" s="760">
        <f t="shared" si="63"/>
        <v>1876.1116404955376</v>
      </c>
      <c r="M2012" s="443"/>
    </row>
    <row r="2013" spans="1:13">
      <c r="A2013" s="639">
        <v>32413</v>
      </c>
      <c r="B2013" s="639">
        <v>1800</v>
      </c>
      <c r="C2013" s="638">
        <v>4569.3670000000002</v>
      </c>
      <c r="D2013" s="633">
        <f t="shared" si="64"/>
        <v>4569.3670000000002</v>
      </c>
      <c r="E2013" s="608"/>
      <c r="F2013" s="760">
        <f t="shared" si="63"/>
        <v>1927.792929901055</v>
      </c>
      <c r="M2013" s="443"/>
    </row>
    <row r="2014" spans="1:13">
      <c r="A2014" s="639">
        <v>32413</v>
      </c>
      <c r="B2014" s="639">
        <v>1900</v>
      </c>
      <c r="C2014" s="638">
        <v>4723.4849999999997</v>
      </c>
      <c r="D2014" s="633">
        <f t="shared" si="64"/>
        <v>4723.4849999999997</v>
      </c>
      <c r="E2014" s="608"/>
      <c r="F2014" s="760">
        <f t="shared" si="63"/>
        <v>1992.81453809547</v>
      </c>
      <c r="M2014" s="443"/>
    </row>
    <row r="2015" spans="1:13">
      <c r="A2015" s="639">
        <v>32413</v>
      </c>
      <c r="B2015" s="639">
        <v>2000</v>
      </c>
      <c r="C2015" s="638">
        <v>4933.152</v>
      </c>
      <c r="D2015" s="633">
        <f t="shared" si="64"/>
        <v>4933.152</v>
      </c>
      <c r="E2015" s="608"/>
      <c r="F2015" s="760">
        <f t="shared" si="63"/>
        <v>2081.2719896929375</v>
      </c>
      <c r="M2015" s="443"/>
    </row>
    <row r="2016" spans="1:13">
      <c r="A2016" s="639">
        <v>32413</v>
      </c>
      <c r="B2016" s="639">
        <v>2100</v>
      </c>
      <c r="C2016" s="638">
        <v>4702.665</v>
      </c>
      <c r="D2016" s="633">
        <f t="shared" si="64"/>
        <v>4702.665</v>
      </c>
      <c r="E2016" s="608"/>
      <c r="F2016" s="760">
        <f t="shared" si="63"/>
        <v>1984.0306849270685</v>
      </c>
      <c r="M2016" s="443"/>
    </row>
    <row r="2017" spans="1:13">
      <c r="A2017" s="639">
        <v>32413</v>
      </c>
      <c r="B2017" s="639">
        <v>2200</v>
      </c>
      <c r="C2017" s="638">
        <v>4247.741</v>
      </c>
      <c r="D2017" s="633">
        <f t="shared" si="64"/>
        <v>4247.741</v>
      </c>
      <c r="E2017" s="608"/>
      <c r="F2017" s="760">
        <f t="shared" si="63"/>
        <v>1792.1005399327385</v>
      </c>
      <c r="M2017" s="443"/>
    </row>
    <row r="2018" spans="1:13">
      <c r="A2018" s="639">
        <v>32413</v>
      </c>
      <c r="B2018" s="639">
        <v>2300</v>
      </c>
      <c r="C2018" s="638">
        <v>3688.4029999999998</v>
      </c>
      <c r="D2018" s="633">
        <f t="shared" si="64"/>
        <v>3688.4029999999998</v>
      </c>
      <c r="E2018" s="608"/>
      <c r="F2018" s="760">
        <f t="shared" si="63"/>
        <v>1556.1186540774336</v>
      </c>
      <c r="M2018" s="443"/>
    </row>
    <row r="2019" spans="1:13">
      <c r="A2019" s="639">
        <v>32413</v>
      </c>
      <c r="B2019" s="639">
        <v>2400</v>
      </c>
      <c r="C2019" s="638">
        <v>3451.0450000000001</v>
      </c>
      <c r="D2019" s="633">
        <f t="shared" si="64"/>
        <v>3451.0450000000001</v>
      </c>
      <c r="E2019" s="608"/>
      <c r="F2019" s="760">
        <f t="shared" si="63"/>
        <v>1455.9785090080061</v>
      </c>
      <c r="M2019" s="443"/>
    </row>
    <row r="2020" spans="1:13">
      <c r="A2020" s="639">
        <v>32513</v>
      </c>
      <c r="B2020" s="639">
        <v>100</v>
      </c>
      <c r="C2020" s="638">
        <v>3498.38</v>
      </c>
      <c r="D2020" s="633">
        <f t="shared" si="64"/>
        <v>3498.38</v>
      </c>
      <c r="E2020" s="608"/>
      <c r="F2020" s="760">
        <f t="shared" ref="F2020:F2083" si="65">(D2020/(MAX($D$1444:$D$2187)))*$M$6</f>
        <v>1475.9489071696917</v>
      </c>
      <c r="M2020" s="443"/>
    </row>
    <row r="2021" spans="1:13">
      <c r="A2021" s="639">
        <v>32513</v>
      </c>
      <c r="B2021" s="639">
        <v>200</v>
      </c>
      <c r="C2021" s="638">
        <v>3469.06</v>
      </c>
      <c r="D2021" s="633">
        <f t="shared" si="64"/>
        <v>3469.06</v>
      </c>
      <c r="E2021" s="608"/>
      <c r="F2021" s="760">
        <f t="shared" si="65"/>
        <v>1463.5789467999734</v>
      </c>
      <c r="M2021" s="443"/>
    </row>
    <row r="2022" spans="1:13">
      <c r="A2022" s="639">
        <v>32513</v>
      </c>
      <c r="B2022" s="639">
        <v>300</v>
      </c>
      <c r="C2022" s="638">
        <v>3461.7069999999999</v>
      </c>
      <c r="D2022" s="633">
        <f t="shared" si="64"/>
        <v>3461.7069999999999</v>
      </c>
      <c r="E2022" s="608"/>
      <c r="F2022" s="760">
        <f t="shared" si="65"/>
        <v>1460.4767531233517</v>
      </c>
      <c r="M2022" s="443"/>
    </row>
    <row r="2023" spans="1:13">
      <c r="A2023" s="639">
        <v>32513</v>
      </c>
      <c r="B2023" s="639">
        <v>400</v>
      </c>
      <c r="C2023" s="638">
        <v>3570.05</v>
      </c>
      <c r="D2023" s="633">
        <f t="shared" si="64"/>
        <v>3570.05</v>
      </c>
      <c r="E2023" s="608"/>
      <c r="F2023" s="760">
        <f t="shared" si="65"/>
        <v>1506.1861193012646</v>
      </c>
      <c r="M2023" s="443"/>
    </row>
    <row r="2024" spans="1:13">
      <c r="A2024" s="639">
        <v>32513</v>
      </c>
      <c r="B2024" s="639">
        <v>500</v>
      </c>
      <c r="C2024" s="638">
        <v>3894.0160000000001</v>
      </c>
      <c r="D2024" s="633">
        <f t="shared" si="64"/>
        <v>3894.0160000000001</v>
      </c>
      <c r="E2024" s="608"/>
      <c r="F2024" s="760">
        <f t="shared" si="65"/>
        <v>1642.8657434873553</v>
      </c>
      <c r="M2024" s="443"/>
    </row>
    <row r="2025" spans="1:13">
      <c r="A2025" s="639">
        <v>32513</v>
      </c>
      <c r="B2025" s="639">
        <v>600</v>
      </c>
      <c r="C2025" s="638">
        <v>4470.5240000000003</v>
      </c>
      <c r="D2025" s="633">
        <f t="shared" si="64"/>
        <v>4470.5240000000003</v>
      </c>
      <c r="E2025" s="608"/>
      <c r="F2025" s="760">
        <f t="shared" si="65"/>
        <v>1886.09156588932</v>
      </c>
      <c r="M2025" s="443"/>
    </row>
    <row r="2026" spans="1:13">
      <c r="A2026" s="639">
        <v>32513</v>
      </c>
      <c r="B2026" s="639">
        <v>700</v>
      </c>
      <c r="C2026" s="638">
        <v>4677.5969999999998</v>
      </c>
      <c r="D2026" s="633">
        <f t="shared" si="64"/>
        <v>4677.5969999999998</v>
      </c>
      <c r="E2026" s="608"/>
      <c r="F2026" s="760">
        <f t="shared" si="65"/>
        <v>1973.454621947938</v>
      </c>
      <c r="M2026" s="443"/>
    </row>
    <row r="2027" spans="1:13">
      <c r="A2027" s="639">
        <v>32513</v>
      </c>
      <c r="B2027" s="639">
        <v>800</v>
      </c>
      <c r="C2027" s="638">
        <v>4213.576</v>
      </c>
      <c r="D2027" s="633">
        <f t="shared" si="64"/>
        <v>4213.576</v>
      </c>
      <c r="E2027" s="608"/>
      <c r="F2027" s="760">
        <f t="shared" si="65"/>
        <v>1777.6864984582694</v>
      </c>
      <c r="M2027" s="443"/>
    </row>
    <row r="2028" spans="1:13">
      <c r="A2028" s="639">
        <v>32513</v>
      </c>
      <c r="B2028" s="639">
        <v>900</v>
      </c>
      <c r="C2028" s="638">
        <v>3906.8339999999998</v>
      </c>
      <c r="D2028" s="633">
        <f t="shared" si="64"/>
        <v>3906.8339999999998</v>
      </c>
      <c r="E2028" s="608"/>
      <c r="F2028" s="760">
        <f t="shared" si="65"/>
        <v>1648.2735931469408</v>
      </c>
      <c r="M2028" s="443"/>
    </row>
    <row r="2029" spans="1:13">
      <c r="A2029" s="639">
        <v>32513</v>
      </c>
      <c r="B2029" s="639">
        <v>1000</v>
      </c>
      <c r="C2029" s="638">
        <v>3742.2060000000001</v>
      </c>
      <c r="D2029" s="633">
        <f t="shared" si="64"/>
        <v>3742.2060000000001</v>
      </c>
      <c r="E2029" s="608"/>
      <c r="F2029" s="760">
        <f t="shared" si="65"/>
        <v>1578.8178688718388</v>
      </c>
      <c r="M2029" s="443"/>
    </row>
    <row r="2030" spans="1:13">
      <c r="A2030" s="639">
        <v>32513</v>
      </c>
      <c r="B2030" s="639">
        <v>1100</v>
      </c>
      <c r="C2030" s="638">
        <v>3539.5540000000001</v>
      </c>
      <c r="D2030" s="633">
        <f t="shared" si="64"/>
        <v>3539.5540000000001</v>
      </c>
      <c r="E2030" s="608"/>
      <c r="F2030" s="760">
        <f t="shared" si="65"/>
        <v>1493.3200104528698</v>
      </c>
      <c r="M2030" s="443"/>
    </row>
    <row r="2031" spans="1:13">
      <c r="A2031" s="639">
        <v>32513</v>
      </c>
      <c r="B2031" s="639">
        <v>1200</v>
      </c>
      <c r="C2031" s="638">
        <v>3452.2829999999999</v>
      </c>
      <c r="D2031" s="633">
        <f t="shared" si="64"/>
        <v>3452.2829999999999</v>
      </c>
      <c r="E2031" s="608"/>
      <c r="F2031" s="760">
        <f t="shared" si="65"/>
        <v>1456.5008149745036</v>
      </c>
      <c r="M2031" s="443"/>
    </row>
    <row r="2032" spans="1:13">
      <c r="A2032" s="639">
        <v>32513</v>
      </c>
      <c r="B2032" s="639">
        <v>1300</v>
      </c>
      <c r="C2032" s="638">
        <v>3423.4560000000001</v>
      </c>
      <c r="D2032" s="633">
        <f t="shared" si="64"/>
        <v>3423.4560000000001</v>
      </c>
      <c r="E2032" s="608"/>
      <c r="F2032" s="760">
        <f t="shared" si="65"/>
        <v>1444.3388488224616</v>
      </c>
      <c r="M2032" s="443"/>
    </row>
    <row r="2033" spans="1:13">
      <c r="A2033" s="639">
        <v>32513</v>
      </c>
      <c r="B2033" s="639">
        <v>1400</v>
      </c>
      <c r="C2033" s="638">
        <v>3353.5859999999998</v>
      </c>
      <c r="D2033" s="633">
        <f t="shared" si="64"/>
        <v>3353.5859999999998</v>
      </c>
      <c r="E2033" s="608"/>
      <c r="F2033" s="760">
        <f t="shared" si="65"/>
        <v>1414.8610476276383</v>
      </c>
      <c r="M2033" s="443"/>
    </row>
    <row r="2034" spans="1:13">
      <c r="A2034" s="639">
        <v>32513</v>
      </c>
      <c r="B2034" s="639">
        <v>1500</v>
      </c>
      <c r="C2034" s="638">
        <v>3566.3220000000001</v>
      </c>
      <c r="D2034" s="633">
        <f t="shared" si="64"/>
        <v>3566.3220000000001</v>
      </c>
      <c r="E2034" s="608"/>
      <c r="F2034" s="760">
        <f t="shared" si="65"/>
        <v>1504.6132948722636</v>
      </c>
      <c r="M2034" s="443"/>
    </row>
    <row r="2035" spans="1:13">
      <c r="A2035" s="639">
        <v>32513</v>
      </c>
      <c r="B2035" s="639">
        <v>1600</v>
      </c>
      <c r="C2035" s="638">
        <v>3892.7249999999999</v>
      </c>
      <c r="D2035" s="633">
        <f t="shared" si="64"/>
        <v>3892.7249999999999</v>
      </c>
      <c r="E2035" s="608"/>
      <c r="F2035" s="760">
        <f t="shared" si="65"/>
        <v>1642.3210770877199</v>
      </c>
      <c r="M2035" s="443"/>
    </row>
    <row r="2036" spans="1:13">
      <c r="A2036" s="639">
        <v>32513</v>
      </c>
      <c r="B2036" s="639">
        <v>1700</v>
      </c>
      <c r="C2036" s="638">
        <v>4103.7969999999996</v>
      </c>
      <c r="D2036" s="633">
        <f t="shared" si="64"/>
        <v>4103.7969999999996</v>
      </c>
      <c r="E2036" s="608"/>
      <c r="F2036" s="760">
        <f t="shared" si="65"/>
        <v>1731.3712911108164</v>
      </c>
      <c r="M2036" s="443"/>
    </row>
    <row r="2037" spans="1:13">
      <c r="A2037" s="639">
        <v>32513</v>
      </c>
      <c r="B2037" s="639">
        <v>1800</v>
      </c>
      <c r="C2037" s="638">
        <v>4259.3270000000002</v>
      </c>
      <c r="D2037" s="633">
        <f t="shared" si="64"/>
        <v>4259.3270000000002</v>
      </c>
      <c r="E2037" s="608"/>
      <c r="F2037" s="760">
        <f t="shared" si="65"/>
        <v>1796.9886149956155</v>
      </c>
      <c r="M2037" s="443"/>
    </row>
    <row r="2038" spans="1:13">
      <c r="A2038" s="639">
        <v>32513</v>
      </c>
      <c r="B2038" s="639">
        <v>1900</v>
      </c>
      <c r="C2038" s="638">
        <v>4487.4269999999997</v>
      </c>
      <c r="D2038" s="633">
        <f t="shared" si="64"/>
        <v>4487.4269999999997</v>
      </c>
      <c r="E2038" s="608"/>
      <c r="F2038" s="760">
        <f t="shared" si="65"/>
        <v>1893.2228564803615</v>
      </c>
      <c r="M2038" s="443"/>
    </row>
    <row r="2039" spans="1:13">
      <c r="A2039" s="639">
        <v>32513</v>
      </c>
      <c r="B2039" s="639">
        <v>2000</v>
      </c>
      <c r="C2039" s="638">
        <v>4730.4949999999999</v>
      </c>
      <c r="D2039" s="633">
        <f t="shared" si="64"/>
        <v>4730.4949999999999</v>
      </c>
      <c r="E2039" s="608"/>
      <c r="F2039" s="760">
        <f t="shared" si="65"/>
        <v>1995.7720217991441</v>
      </c>
      <c r="M2039" s="443"/>
    </row>
    <row r="2040" spans="1:13">
      <c r="A2040" s="639">
        <v>32513</v>
      </c>
      <c r="B2040" s="639">
        <v>2100</v>
      </c>
      <c r="C2040" s="638">
        <v>4487.0770000000002</v>
      </c>
      <c r="D2040" s="633">
        <f t="shared" si="64"/>
        <v>4487.0770000000002</v>
      </c>
      <c r="E2040" s="608"/>
      <c r="F2040" s="760">
        <f t="shared" si="65"/>
        <v>1893.0751932426606</v>
      </c>
      <c r="M2040" s="443"/>
    </row>
    <row r="2041" spans="1:13">
      <c r="A2041" s="639">
        <v>32513</v>
      </c>
      <c r="B2041" s="639">
        <v>2200</v>
      </c>
      <c r="C2041" s="638">
        <v>4020.7289999999998</v>
      </c>
      <c r="D2041" s="633">
        <f t="shared" si="64"/>
        <v>4020.7289999999998</v>
      </c>
      <c r="E2041" s="608"/>
      <c r="F2041" s="760">
        <f t="shared" si="65"/>
        <v>1696.3253201697605</v>
      </c>
      <c r="M2041" s="443"/>
    </row>
    <row r="2042" spans="1:13">
      <c r="A2042" s="639">
        <v>32513</v>
      </c>
      <c r="B2042" s="639">
        <v>2300</v>
      </c>
      <c r="C2042" s="638">
        <v>3492.56</v>
      </c>
      <c r="D2042" s="633">
        <f t="shared" si="64"/>
        <v>3492.56</v>
      </c>
      <c r="E2042" s="608"/>
      <c r="F2042" s="760">
        <f t="shared" si="65"/>
        <v>1473.493478474202</v>
      </c>
      <c r="M2042" s="443"/>
    </row>
    <row r="2043" spans="1:13">
      <c r="A2043" s="639">
        <v>32513</v>
      </c>
      <c r="B2043" s="639">
        <v>2400</v>
      </c>
      <c r="C2043" s="638">
        <v>3360.4079999999999</v>
      </c>
      <c r="D2043" s="633">
        <f t="shared" si="64"/>
        <v>3360.4079999999999</v>
      </c>
      <c r="E2043" s="608"/>
      <c r="F2043" s="760">
        <f t="shared" si="65"/>
        <v>1417.7392150779185</v>
      </c>
      <c r="M2043" s="443"/>
    </row>
    <row r="2044" spans="1:13">
      <c r="A2044" s="639">
        <v>32613</v>
      </c>
      <c r="B2044" s="639">
        <v>100</v>
      </c>
      <c r="C2044" s="638">
        <v>3401.8939999999998</v>
      </c>
      <c r="D2044" s="633">
        <f t="shared" si="64"/>
        <v>3401.8939999999998</v>
      </c>
      <c r="E2044" s="608"/>
      <c r="F2044" s="760">
        <f t="shared" si="65"/>
        <v>1435.2419495901333</v>
      </c>
      <c r="M2044" s="443"/>
    </row>
    <row r="2045" spans="1:13">
      <c r="A2045" s="639">
        <v>32613</v>
      </c>
      <c r="B2045" s="639">
        <v>200</v>
      </c>
      <c r="C2045" s="638">
        <v>3258.9360000000001</v>
      </c>
      <c r="D2045" s="633">
        <f t="shared" si="64"/>
        <v>3258.9360000000001</v>
      </c>
      <c r="E2045" s="608"/>
      <c r="F2045" s="760">
        <f t="shared" si="65"/>
        <v>1374.9286892035645</v>
      </c>
      <c r="M2045" s="443"/>
    </row>
    <row r="2046" spans="1:13">
      <c r="A2046" s="639">
        <v>32613</v>
      </c>
      <c r="B2046" s="639">
        <v>300</v>
      </c>
      <c r="C2046" s="638">
        <v>3301.9349999999999</v>
      </c>
      <c r="D2046" s="633">
        <f t="shared" si="64"/>
        <v>3301.9349999999999</v>
      </c>
      <c r="E2046" s="608"/>
      <c r="F2046" s="760">
        <f t="shared" si="65"/>
        <v>1393.0697507976136</v>
      </c>
      <c r="M2046" s="443"/>
    </row>
    <row r="2047" spans="1:13">
      <c r="A2047" s="639">
        <v>32613</v>
      </c>
      <c r="B2047" s="639">
        <v>400</v>
      </c>
      <c r="C2047" s="638">
        <v>3365.386</v>
      </c>
      <c r="D2047" s="633">
        <f t="shared" si="64"/>
        <v>3365.386</v>
      </c>
      <c r="E2047" s="608"/>
      <c r="F2047" s="760">
        <f t="shared" si="65"/>
        <v>1419.8394082129957</v>
      </c>
      <c r="M2047" s="443"/>
    </row>
    <row r="2048" spans="1:13">
      <c r="A2048" s="639">
        <v>32613</v>
      </c>
      <c r="B2048" s="639">
        <v>500</v>
      </c>
      <c r="C2048" s="638">
        <v>3670.6880000000001</v>
      </c>
      <c r="D2048" s="633">
        <f t="shared" si="64"/>
        <v>3670.6880000000001</v>
      </c>
      <c r="E2048" s="608"/>
      <c r="F2048" s="760">
        <f t="shared" si="65"/>
        <v>1548.6447847749248</v>
      </c>
      <c r="M2048" s="443"/>
    </row>
    <row r="2049" spans="1:13">
      <c r="A2049" s="639">
        <v>32613</v>
      </c>
      <c r="B2049" s="639">
        <v>600</v>
      </c>
      <c r="C2049" s="638">
        <v>4238.2370000000001</v>
      </c>
      <c r="D2049" s="633">
        <f t="shared" si="64"/>
        <v>4238.2370000000001</v>
      </c>
      <c r="E2049" s="608"/>
      <c r="F2049" s="760">
        <f t="shared" si="65"/>
        <v>1788.0908501867013</v>
      </c>
      <c r="M2049" s="443"/>
    </row>
    <row r="2050" spans="1:13">
      <c r="A2050" s="639">
        <v>32613</v>
      </c>
      <c r="B2050" s="639">
        <v>700</v>
      </c>
      <c r="C2050" s="638">
        <v>4522.2070000000003</v>
      </c>
      <c r="D2050" s="633">
        <f t="shared" si="64"/>
        <v>4522.2070000000003</v>
      </c>
      <c r="E2050" s="608"/>
      <c r="F2050" s="760">
        <f t="shared" si="65"/>
        <v>1907.89636335822</v>
      </c>
      <c r="M2050" s="443"/>
    </row>
    <row r="2051" spans="1:13">
      <c r="A2051" s="639">
        <v>32613</v>
      </c>
      <c r="B2051" s="639">
        <v>800</v>
      </c>
      <c r="C2051" s="638">
        <v>4379.348</v>
      </c>
      <c r="D2051" s="633">
        <f t="shared" si="64"/>
        <v>4379.348</v>
      </c>
      <c r="E2051" s="608"/>
      <c r="F2051" s="760">
        <f t="shared" si="65"/>
        <v>1847.6248705731725</v>
      </c>
      <c r="M2051" s="443"/>
    </row>
    <row r="2052" spans="1:13">
      <c r="A2052" s="639">
        <v>32613</v>
      </c>
      <c r="B2052" s="639">
        <v>900</v>
      </c>
      <c r="C2052" s="638">
        <v>4043.8389999999999</v>
      </c>
      <c r="D2052" s="633">
        <f t="shared" si="64"/>
        <v>4043.8389999999999</v>
      </c>
      <c r="E2052" s="608"/>
      <c r="F2052" s="760">
        <f t="shared" si="65"/>
        <v>1706.0753128076933</v>
      </c>
      <c r="M2052" s="443"/>
    </row>
    <row r="2053" spans="1:13">
      <c r="A2053" s="639">
        <v>32613</v>
      </c>
      <c r="B2053" s="639">
        <v>1000</v>
      </c>
      <c r="C2053" s="638">
        <v>3698.558</v>
      </c>
      <c r="D2053" s="633">
        <f t="shared" ref="D2053:D2116" si="66">C2053</f>
        <v>3698.558</v>
      </c>
      <c r="E2053" s="608"/>
      <c r="F2053" s="760">
        <f t="shared" si="65"/>
        <v>1560.402997445595</v>
      </c>
      <c r="M2053" s="443"/>
    </row>
    <row r="2054" spans="1:13">
      <c r="A2054" s="639">
        <v>32613</v>
      </c>
      <c r="B2054" s="639">
        <v>1100</v>
      </c>
      <c r="C2054" s="638">
        <v>3439.7710000000002</v>
      </c>
      <c r="D2054" s="633">
        <f t="shared" si="66"/>
        <v>3439.7710000000002</v>
      </c>
      <c r="E2054" s="608"/>
      <c r="F2054" s="760">
        <f t="shared" si="65"/>
        <v>1451.2220651741657</v>
      </c>
      <c r="M2054" s="443"/>
    </row>
    <row r="2055" spans="1:13">
      <c r="A2055" s="639">
        <v>32613</v>
      </c>
      <c r="B2055" s="639">
        <v>1200</v>
      </c>
      <c r="C2055" s="638">
        <v>3342.4760000000001</v>
      </c>
      <c r="D2055" s="633">
        <f t="shared" si="66"/>
        <v>3342.4760000000001</v>
      </c>
      <c r="E2055" s="608"/>
      <c r="F2055" s="760">
        <f t="shared" si="65"/>
        <v>1410.173794568035</v>
      </c>
      <c r="M2055" s="443"/>
    </row>
    <row r="2056" spans="1:13">
      <c r="A2056" s="639">
        <v>32613</v>
      </c>
      <c r="B2056" s="639">
        <v>1300</v>
      </c>
      <c r="C2056" s="638">
        <v>3301.636</v>
      </c>
      <c r="D2056" s="633">
        <f t="shared" si="66"/>
        <v>3301.636</v>
      </c>
      <c r="E2056" s="608"/>
      <c r="F2056" s="760">
        <f t="shared" si="65"/>
        <v>1392.9436042031202</v>
      </c>
      <c r="M2056" s="443"/>
    </row>
    <row r="2057" spans="1:13">
      <c r="A2057" s="639">
        <v>32613</v>
      </c>
      <c r="B2057" s="639">
        <v>1400</v>
      </c>
      <c r="C2057" s="638">
        <v>3245.5259999999998</v>
      </c>
      <c r="D2057" s="633">
        <f t="shared" si="66"/>
        <v>3245.5259999999998</v>
      </c>
      <c r="E2057" s="608"/>
      <c r="F2057" s="760">
        <f t="shared" si="65"/>
        <v>1369.2710777247812</v>
      </c>
      <c r="M2057" s="443"/>
    </row>
    <row r="2058" spans="1:13">
      <c r="A2058" s="639">
        <v>32613</v>
      </c>
      <c r="B2058" s="639">
        <v>1500</v>
      </c>
      <c r="C2058" s="638">
        <v>3284.9110000000001</v>
      </c>
      <c r="D2058" s="633">
        <f t="shared" si="66"/>
        <v>3284.9110000000001</v>
      </c>
      <c r="E2058" s="608"/>
      <c r="F2058" s="760">
        <f t="shared" si="65"/>
        <v>1385.8874109158235</v>
      </c>
      <c r="M2058" s="443"/>
    </row>
    <row r="2059" spans="1:13">
      <c r="A2059" s="639">
        <v>32613</v>
      </c>
      <c r="B2059" s="639">
        <v>1600</v>
      </c>
      <c r="C2059" s="638">
        <v>3432.7040000000002</v>
      </c>
      <c r="D2059" s="633">
        <f t="shared" si="66"/>
        <v>3432.7040000000002</v>
      </c>
      <c r="E2059" s="608"/>
      <c r="F2059" s="760">
        <f t="shared" si="65"/>
        <v>1448.2405334574944</v>
      </c>
      <c r="M2059" s="443"/>
    </row>
    <row r="2060" spans="1:13">
      <c r="A2060" s="639">
        <v>32613</v>
      </c>
      <c r="B2060" s="639">
        <v>1700</v>
      </c>
      <c r="C2060" s="638">
        <v>3604.7310000000002</v>
      </c>
      <c r="D2060" s="633">
        <f t="shared" si="66"/>
        <v>3604.7310000000002</v>
      </c>
      <c r="E2060" s="608"/>
      <c r="F2060" s="760">
        <f t="shared" si="65"/>
        <v>1520.8178585776016</v>
      </c>
      <c r="M2060" s="443"/>
    </row>
    <row r="2061" spans="1:13">
      <c r="A2061" s="639">
        <v>32613</v>
      </c>
      <c r="B2061" s="639">
        <v>1800</v>
      </c>
      <c r="C2061" s="638">
        <v>3748.384</v>
      </c>
      <c r="D2061" s="633">
        <f t="shared" si="66"/>
        <v>3748.384</v>
      </c>
      <c r="E2061" s="608"/>
      <c r="F2061" s="760">
        <f t="shared" si="65"/>
        <v>1581.4243359647485</v>
      </c>
      <c r="M2061" s="443"/>
    </row>
    <row r="2062" spans="1:13">
      <c r="A2062" s="639">
        <v>32613</v>
      </c>
      <c r="B2062" s="639">
        <v>1900</v>
      </c>
      <c r="C2062" s="638">
        <v>4074.3910000000001</v>
      </c>
      <c r="D2062" s="633">
        <f t="shared" si="66"/>
        <v>4074.3910000000001</v>
      </c>
      <c r="E2062" s="608"/>
      <c r="F2062" s="760">
        <f t="shared" si="65"/>
        <v>1718.9650477741204</v>
      </c>
      <c r="M2062" s="443"/>
    </row>
    <row r="2063" spans="1:13">
      <c r="A2063" s="639">
        <v>32613</v>
      </c>
      <c r="B2063" s="639">
        <v>2000</v>
      </c>
      <c r="C2063" s="638">
        <v>4518.9589999999998</v>
      </c>
      <c r="D2063" s="633">
        <f t="shared" si="66"/>
        <v>4518.9589999999998</v>
      </c>
      <c r="E2063" s="608"/>
      <c r="F2063" s="760">
        <f t="shared" si="65"/>
        <v>1906.5260485123522</v>
      </c>
      <c r="M2063" s="443"/>
    </row>
    <row r="2064" spans="1:13">
      <c r="A2064" s="639">
        <v>32613</v>
      </c>
      <c r="B2064" s="639">
        <v>2100</v>
      </c>
      <c r="C2064" s="638">
        <v>4394.4809999999998</v>
      </c>
      <c r="D2064" s="633">
        <f t="shared" si="66"/>
        <v>4394.4809999999998</v>
      </c>
      <c r="E2064" s="608"/>
      <c r="F2064" s="760">
        <f t="shared" si="65"/>
        <v>1854.0094070764105</v>
      </c>
      <c r="M2064" s="443"/>
    </row>
    <row r="2065" spans="1:13">
      <c r="A2065" s="639">
        <v>32613</v>
      </c>
      <c r="B2065" s="639">
        <v>2200</v>
      </c>
      <c r="C2065" s="638">
        <v>3999.4430000000002</v>
      </c>
      <c r="D2065" s="633">
        <f t="shared" si="66"/>
        <v>3999.4430000000002</v>
      </c>
      <c r="E2065" s="608"/>
      <c r="F2065" s="760">
        <f t="shared" si="65"/>
        <v>1687.3448639477338</v>
      </c>
      <c r="M2065" s="443"/>
    </row>
    <row r="2066" spans="1:13">
      <c r="A2066" s="639">
        <v>32613</v>
      </c>
      <c r="B2066" s="639">
        <v>2300</v>
      </c>
      <c r="C2066" s="638">
        <v>3512.0160000000001</v>
      </c>
      <c r="D2066" s="633">
        <f t="shared" si="66"/>
        <v>3512.0160000000001</v>
      </c>
      <c r="E2066" s="608"/>
      <c r="F2066" s="760">
        <f t="shared" si="65"/>
        <v>1481.7018669105332</v>
      </c>
      <c r="M2066" s="443"/>
    </row>
    <row r="2067" spans="1:13">
      <c r="A2067" s="639">
        <v>32613</v>
      </c>
      <c r="B2067" s="639">
        <v>2400</v>
      </c>
      <c r="C2067" s="638">
        <v>3291.8530000000001</v>
      </c>
      <c r="D2067" s="633">
        <f t="shared" si="66"/>
        <v>3291.8530000000001</v>
      </c>
      <c r="E2067" s="608"/>
      <c r="F2067" s="760">
        <f t="shared" si="65"/>
        <v>1388.8162057618872</v>
      </c>
      <c r="M2067" s="443"/>
    </row>
    <row r="2068" spans="1:13">
      <c r="A2068" s="639">
        <v>32713</v>
      </c>
      <c r="B2068" s="639">
        <v>100</v>
      </c>
      <c r="C2068" s="638">
        <v>3310.8249999999998</v>
      </c>
      <c r="D2068" s="633">
        <f t="shared" si="66"/>
        <v>3310.8249999999998</v>
      </c>
      <c r="E2068" s="608"/>
      <c r="F2068" s="760">
        <f t="shared" si="65"/>
        <v>1396.8203970352258</v>
      </c>
      <c r="M2068" s="443"/>
    </row>
    <row r="2069" spans="1:13">
      <c r="A2069" s="639">
        <v>32713</v>
      </c>
      <c r="B2069" s="639">
        <v>200</v>
      </c>
      <c r="C2069" s="638">
        <v>3287.1840000000002</v>
      </c>
      <c r="D2069" s="633">
        <f t="shared" si="66"/>
        <v>3287.1840000000002</v>
      </c>
      <c r="E2069" s="608"/>
      <c r="F2069" s="760">
        <f t="shared" si="65"/>
        <v>1386.8463781709524</v>
      </c>
      <c r="M2069" s="443"/>
    </row>
    <row r="2070" spans="1:13">
      <c r="A2070" s="639">
        <v>32713</v>
      </c>
      <c r="B2070" s="639">
        <v>300</v>
      </c>
      <c r="C2070" s="638">
        <v>3305.3519999999999</v>
      </c>
      <c r="D2070" s="633">
        <f t="shared" si="66"/>
        <v>3305.3519999999999</v>
      </c>
      <c r="E2070" s="608"/>
      <c r="F2070" s="760">
        <f t="shared" si="65"/>
        <v>1394.5113658925429</v>
      </c>
      <c r="M2070" s="443"/>
    </row>
    <row r="2071" spans="1:13">
      <c r="A2071" s="639">
        <v>32713</v>
      </c>
      <c r="B2071" s="639">
        <v>400</v>
      </c>
      <c r="C2071" s="638">
        <v>3357.5650000000001</v>
      </c>
      <c r="D2071" s="633">
        <f t="shared" si="66"/>
        <v>3357.5650000000001</v>
      </c>
      <c r="E2071" s="608"/>
      <c r="F2071" s="760">
        <f t="shared" si="65"/>
        <v>1416.5397676928194</v>
      </c>
      <c r="M2071" s="443"/>
    </row>
    <row r="2072" spans="1:13">
      <c r="A2072" s="639">
        <v>32713</v>
      </c>
      <c r="B2072" s="639">
        <v>500</v>
      </c>
      <c r="C2072" s="638">
        <v>3734.3229999999999</v>
      </c>
      <c r="D2072" s="633">
        <f t="shared" si="66"/>
        <v>3734.3229999999999</v>
      </c>
      <c r="E2072" s="608"/>
      <c r="F2072" s="760">
        <f t="shared" si="65"/>
        <v>1575.492070863841</v>
      </c>
      <c r="M2072" s="443"/>
    </row>
    <row r="2073" spans="1:13">
      <c r="A2073" s="639">
        <v>32713</v>
      </c>
      <c r="B2073" s="639">
        <v>600</v>
      </c>
      <c r="C2073" s="638">
        <v>4295.88</v>
      </c>
      <c r="D2073" s="633">
        <f t="shared" si="66"/>
        <v>4295.88</v>
      </c>
      <c r="E2073" s="608"/>
      <c r="F2073" s="760">
        <f t="shared" si="65"/>
        <v>1812.410141646172</v>
      </c>
      <c r="M2073" s="443"/>
    </row>
    <row r="2074" spans="1:13">
      <c r="A2074" s="639">
        <v>32713</v>
      </c>
      <c r="B2074" s="639">
        <v>700</v>
      </c>
      <c r="C2074" s="638">
        <v>4502.8950000000004</v>
      </c>
      <c r="D2074" s="633">
        <f t="shared" si="66"/>
        <v>4502.8950000000004</v>
      </c>
      <c r="E2074" s="608"/>
      <c r="F2074" s="760">
        <f t="shared" si="65"/>
        <v>1899.7487277968287</v>
      </c>
      <c r="M2074" s="443"/>
    </row>
    <row r="2075" spans="1:13">
      <c r="A2075" s="639">
        <v>32713</v>
      </c>
      <c r="B2075" s="639">
        <v>800</v>
      </c>
      <c r="C2075" s="638">
        <v>4314.21</v>
      </c>
      <c r="D2075" s="633">
        <f t="shared" si="66"/>
        <v>4314.21</v>
      </c>
      <c r="E2075" s="608"/>
      <c r="F2075" s="760">
        <f t="shared" si="65"/>
        <v>1820.1434763520701</v>
      </c>
      <c r="M2075" s="443"/>
    </row>
    <row r="2076" spans="1:13">
      <c r="A2076" s="639">
        <v>32713</v>
      </c>
      <c r="B2076" s="639">
        <v>900</v>
      </c>
      <c r="C2076" s="638">
        <v>3824.8490000000002</v>
      </c>
      <c r="D2076" s="633">
        <f t="shared" si="66"/>
        <v>3824.8490000000002</v>
      </c>
      <c r="E2076" s="608"/>
      <c r="F2076" s="760">
        <f t="shared" si="65"/>
        <v>1613.684534452829</v>
      </c>
      <c r="M2076" s="443"/>
    </row>
    <row r="2077" spans="1:13">
      <c r="A2077" s="639">
        <v>32713</v>
      </c>
      <c r="B2077" s="639">
        <v>1000</v>
      </c>
      <c r="C2077" s="638">
        <v>3726.547</v>
      </c>
      <c r="D2077" s="633">
        <f t="shared" si="66"/>
        <v>3726.547</v>
      </c>
      <c r="E2077" s="608"/>
      <c r="F2077" s="760">
        <f t="shared" si="65"/>
        <v>1572.2114156170837</v>
      </c>
      <c r="M2077" s="443"/>
    </row>
    <row r="2078" spans="1:13">
      <c r="A2078" s="639">
        <v>32713</v>
      </c>
      <c r="B2078" s="639">
        <v>1100</v>
      </c>
      <c r="C2078" s="638">
        <v>3655.7750000000001</v>
      </c>
      <c r="D2078" s="633">
        <f t="shared" si="66"/>
        <v>3655.7750000000001</v>
      </c>
      <c r="E2078" s="608"/>
      <c r="F2078" s="760">
        <f t="shared" si="65"/>
        <v>1542.3530651639558</v>
      </c>
      <c r="M2078" s="443"/>
    </row>
    <row r="2079" spans="1:13">
      <c r="A2079" s="639">
        <v>32713</v>
      </c>
      <c r="B2079" s="639">
        <v>1200</v>
      </c>
      <c r="C2079" s="638">
        <v>3529.377</v>
      </c>
      <c r="D2079" s="633">
        <f t="shared" si="66"/>
        <v>3529.377</v>
      </c>
      <c r="E2079" s="608"/>
      <c r="F2079" s="760">
        <f t="shared" si="65"/>
        <v>1489.0263853954814</v>
      </c>
      <c r="M2079" s="443"/>
    </row>
    <row r="2080" spans="1:13">
      <c r="A2080" s="639">
        <v>32713</v>
      </c>
      <c r="B2080" s="639">
        <v>1300</v>
      </c>
      <c r="C2080" s="638">
        <v>3488.4</v>
      </c>
      <c r="D2080" s="633">
        <f t="shared" si="66"/>
        <v>3488.4</v>
      </c>
      <c r="E2080" s="608"/>
      <c r="F2080" s="760">
        <f t="shared" si="65"/>
        <v>1471.738395420381</v>
      </c>
      <c r="M2080" s="443"/>
    </row>
    <row r="2081" spans="1:13">
      <c r="A2081" s="639">
        <v>32713</v>
      </c>
      <c r="B2081" s="639">
        <v>1400</v>
      </c>
      <c r="C2081" s="638">
        <v>3527.6849999999999</v>
      </c>
      <c r="D2081" s="633">
        <f t="shared" si="66"/>
        <v>3527.6849999999999</v>
      </c>
      <c r="E2081" s="608"/>
      <c r="F2081" s="760">
        <f t="shared" si="65"/>
        <v>1488.3125391149372</v>
      </c>
      <c r="M2081" s="443"/>
    </row>
    <row r="2082" spans="1:13">
      <c r="A2082" s="639">
        <v>32713</v>
      </c>
      <c r="B2082" s="639">
        <v>1500</v>
      </c>
      <c r="C2082" s="638">
        <v>3644.4079999999999</v>
      </c>
      <c r="D2082" s="633">
        <f t="shared" si="66"/>
        <v>3644.4079999999999</v>
      </c>
      <c r="E2082" s="608"/>
      <c r="F2082" s="760">
        <f t="shared" si="65"/>
        <v>1537.5573850983831</v>
      </c>
      <c r="M2082" s="443"/>
    </row>
    <row r="2083" spans="1:13">
      <c r="A2083" s="639">
        <v>32713</v>
      </c>
      <c r="B2083" s="639">
        <v>1600</v>
      </c>
      <c r="C2083" s="638">
        <v>3807.7779999999998</v>
      </c>
      <c r="D2083" s="633">
        <f t="shared" si="66"/>
        <v>3807.7779999999998</v>
      </c>
      <c r="E2083" s="608"/>
      <c r="F2083" s="760">
        <f t="shared" si="65"/>
        <v>1606.4823655076902</v>
      </c>
      <c r="M2083" s="443"/>
    </row>
    <row r="2084" spans="1:13">
      <c r="A2084" s="639">
        <v>32713</v>
      </c>
      <c r="B2084" s="639">
        <v>1700</v>
      </c>
      <c r="C2084" s="638">
        <v>3973.904</v>
      </c>
      <c r="D2084" s="633">
        <f t="shared" si="66"/>
        <v>3973.904</v>
      </c>
      <c r="E2084" s="608"/>
      <c r="F2084" s="760">
        <f t="shared" ref="F2084:F2147" si="67">(D2084/(MAX($D$1444:$D$2187)))*$M$6</f>
        <v>1676.5700884401542</v>
      </c>
      <c r="M2084" s="443"/>
    </row>
    <row r="2085" spans="1:13">
      <c r="A2085" s="639">
        <v>32713</v>
      </c>
      <c r="B2085" s="639">
        <v>1800</v>
      </c>
      <c r="C2085" s="638">
        <v>4118.41</v>
      </c>
      <c r="D2085" s="633">
        <f t="shared" si="66"/>
        <v>4118.41</v>
      </c>
      <c r="E2085" s="608"/>
      <c r="F2085" s="760">
        <f t="shared" si="67"/>
        <v>1737.5364422323273</v>
      </c>
      <c r="M2085" s="443"/>
    </row>
    <row r="2086" spans="1:13">
      <c r="A2086" s="639">
        <v>32713</v>
      </c>
      <c r="B2086" s="639">
        <v>1900</v>
      </c>
      <c r="C2086" s="638">
        <v>4431.7560000000003</v>
      </c>
      <c r="D2086" s="633">
        <f t="shared" si="66"/>
        <v>4431.7560000000003</v>
      </c>
      <c r="E2086" s="608"/>
      <c r="F2086" s="760">
        <f t="shared" si="67"/>
        <v>1869.7355418915968</v>
      </c>
      <c r="M2086" s="443"/>
    </row>
    <row r="2087" spans="1:13">
      <c r="A2087" s="639">
        <v>32713</v>
      </c>
      <c r="B2087" s="639">
        <v>2000</v>
      </c>
      <c r="C2087" s="638">
        <v>4749.5479999999998</v>
      </c>
      <c r="D2087" s="633">
        <f t="shared" si="66"/>
        <v>4749.5479999999998</v>
      </c>
      <c r="E2087" s="608"/>
      <c r="F2087" s="760">
        <f t="shared" si="67"/>
        <v>2003.8103865646369</v>
      </c>
      <c r="M2087" s="443"/>
    </row>
    <row r="2088" spans="1:13">
      <c r="A2088" s="639">
        <v>32713</v>
      </c>
      <c r="B2088" s="639">
        <v>2100</v>
      </c>
      <c r="C2088" s="638">
        <v>4612.1890000000003</v>
      </c>
      <c r="D2088" s="633">
        <f t="shared" si="66"/>
        <v>4612.1890000000003</v>
      </c>
      <c r="E2088" s="608"/>
      <c r="F2088" s="760">
        <f t="shared" si="67"/>
        <v>1945.8593160863238</v>
      </c>
      <c r="M2088" s="443"/>
    </row>
    <row r="2089" spans="1:13">
      <c r="A2089" s="639">
        <v>32713</v>
      </c>
      <c r="B2089" s="639">
        <v>2200</v>
      </c>
      <c r="C2089" s="638">
        <v>4105.4290000000001</v>
      </c>
      <c r="D2089" s="633">
        <f t="shared" si="66"/>
        <v>4105.4290000000001</v>
      </c>
      <c r="E2089" s="608"/>
      <c r="F2089" s="760">
        <f t="shared" si="67"/>
        <v>1732.0598236934695</v>
      </c>
      <c r="M2089" s="443"/>
    </row>
    <row r="2090" spans="1:13">
      <c r="A2090" s="639">
        <v>32713</v>
      </c>
      <c r="B2090" s="639">
        <v>2300</v>
      </c>
      <c r="C2090" s="638">
        <v>3568.0059999999999</v>
      </c>
      <c r="D2090" s="633">
        <f t="shared" si="66"/>
        <v>3568.0059999999999</v>
      </c>
      <c r="E2090" s="608"/>
      <c r="F2090" s="760">
        <f t="shared" si="67"/>
        <v>1505.323765993089</v>
      </c>
      <c r="M2090" s="443"/>
    </row>
    <row r="2091" spans="1:13">
      <c r="A2091" s="639">
        <v>32713</v>
      </c>
      <c r="B2091" s="639">
        <v>2400</v>
      </c>
      <c r="C2091" s="638">
        <v>3327.5949999999998</v>
      </c>
      <c r="D2091" s="633">
        <f t="shared" si="66"/>
        <v>3327.5949999999998</v>
      </c>
      <c r="E2091" s="608"/>
      <c r="F2091" s="760">
        <f t="shared" si="67"/>
        <v>1403.8955755959414</v>
      </c>
      <c r="M2091" s="443"/>
    </row>
    <row r="2092" spans="1:13">
      <c r="A2092" s="639">
        <v>32813</v>
      </c>
      <c r="B2092" s="639">
        <v>100</v>
      </c>
      <c r="C2092" s="638">
        <v>3339.355</v>
      </c>
      <c r="D2092" s="633">
        <f t="shared" si="66"/>
        <v>3339.355</v>
      </c>
      <c r="E2092" s="608"/>
      <c r="F2092" s="760">
        <f t="shared" si="67"/>
        <v>1408.8570603827045</v>
      </c>
      <c r="M2092" s="443"/>
    </row>
    <row r="2093" spans="1:13">
      <c r="A2093" s="639">
        <v>32813</v>
      </c>
      <c r="B2093" s="639">
        <v>200</v>
      </c>
      <c r="C2093" s="638">
        <v>3271.232</v>
      </c>
      <c r="D2093" s="633">
        <f t="shared" si="66"/>
        <v>3271.232</v>
      </c>
      <c r="E2093" s="608"/>
      <c r="F2093" s="760">
        <f t="shared" si="67"/>
        <v>1380.1163096914929</v>
      </c>
      <c r="M2093" s="443"/>
    </row>
    <row r="2094" spans="1:13">
      <c r="A2094" s="639">
        <v>32813</v>
      </c>
      <c r="B2094" s="639">
        <v>300</v>
      </c>
      <c r="C2094" s="638">
        <v>3277.3960000000002</v>
      </c>
      <c r="D2094" s="633">
        <f t="shared" si="66"/>
        <v>3277.3960000000002</v>
      </c>
      <c r="E2094" s="608"/>
      <c r="F2094" s="760">
        <f t="shared" si="67"/>
        <v>1382.7168702548947</v>
      </c>
      <c r="M2094" s="443"/>
    </row>
    <row r="2095" spans="1:13">
      <c r="A2095" s="639">
        <v>32813</v>
      </c>
      <c r="B2095" s="639">
        <v>400</v>
      </c>
      <c r="C2095" s="638">
        <v>3348.5010000000002</v>
      </c>
      <c r="D2095" s="633">
        <f t="shared" si="66"/>
        <v>3348.5010000000002</v>
      </c>
      <c r="E2095" s="608"/>
      <c r="F2095" s="760">
        <f t="shared" si="67"/>
        <v>1412.7157117313213</v>
      </c>
      <c r="M2095" s="443"/>
    </row>
    <row r="2096" spans="1:13">
      <c r="A2096" s="639">
        <v>32813</v>
      </c>
      <c r="B2096" s="639">
        <v>500</v>
      </c>
      <c r="C2096" s="638">
        <v>3667.3789999999999</v>
      </c>
      <c r="D2096" s="633">
        <f t="shared" si="66"/>
        <v>3667.3789999999999</v>
      </c>
      <c r="E2096" s="608"/>
      <c r="F2096" s="760">
        <f t="shared" si="67"/>
        <v>1547.2487343362002</v>
      </c>
      <c r="M2096" s="443"/>
    </row>
    <row r="2097" spans="1:13">
      <c r="A2097" s="639">
        <v>32813</v>
      </c>
      <c r="B2097" s="639">
        <v>600</v>
      </c>
      <c r="C2097" s="638">
        <v>4268.2070000000003</v>
      </c>
      <c r="D2097" s="633">
        <f t="shared" si="66"/>
        <v>4268.2070000000003</v>
      </c>
      <c r="E2097" s="608"/>
      <c r="F2097" s="760">
        <f t="shared" si="67"/>
        <v>1800.7350422835796</v>
      </c>
      <c r="M2097" s="443"/>
    </row>
    <row r="2098" spans="1:13">
      <c r="A2098" s="639">
        <v>32813</v>
      </c>
      <c r="B2098" s="639">
        <v>700</v>
      </c>
      <c r="C2098" s="638">
        <v>4553.8119999999999</v>
      </c>
      <c r="D2098" s="633">
        <f t="shared" si="66"/>
        <v>4553.8119999999999</v>
      </c>
      <c r="E2098" s="608"/>
      <c r="F2098" s="760">
        <f t="shared" si="67"/>
        <v>1921.2303537226451</v>
      </c>
      <c r="M2098" s="443"/>
    </row>
    <row r="2099" spans="1:13">
      <c r="A2099" s="639">
        <v>32813</v>
      </c>
      <c r="B2099" s="639">
        <v>800</v>
      </c>
      <c r="C2099" s="638">
        <v>4378.0889999999999</v>
      </c>
      <c r="D2099" s="633">
        <f t="shared" si="66"/>
        <v>4378.0889999999999</v>
      </c>
      <c r="E2099" s="608"/>
      <c r="F2099" s="760">
        <f t="shared" si="67"/>
        <v>1847.0937048124126</v>
      </c>
      <c r="M2099" s="443"/>
    </row>
    <row r="2100" spans="1:13">
      <c r="A2100" s="639">
        <v>32813</v>
      </c>
      <c r="B2100" s="639">
        <v>900</v>
      </c>
      <c r="C2100" s="638">
        <v>4098.97</v>
      </c>
      <c r="D2100" s="633">
        <f t="shared" si="66"/>
        <v>4098.97</v>
      </c>
      <c r="E2100" s="608"/>
      <c r="F2100" s="760">
        <f t="shared" si="67"/>
        <v>1729.3348041154338</v>
      </c>
      <c r="M2100" s="443"/>
    </row>
    <row r="2101" spans="1:13">
      <c r="A2101" s="639">
        <v>32813</v>
      </c>
      <c r="B2101" s="639">
        <v>1000</v>
      </c>
      <c r="C2101" s="638">
        <v>3817.6590000000001</v>
      </c>
      <c r="D2101" s="633">
        <f t="shared" si="66"/>
        <v>3817.6590000000001</v>
      </c>
      <c r="E2101" s="608"/>
      <c r="F2101" s="760">
        <f t="shared" si="67"/>
        <v>1610.6511096554798</v>
      </c>
      <c r="M2101" s="443"/>
    </row>
    <row r="2102" spans="1:13">
      <c r="A2102" s="639">
        <v>32813</v>
      </c>
      <c r="B2102" s="639">
        <v>1100</v>
      </c>
      <c r="C2102" s="638">
        <v>3729.721</v>
      </c>
      <c r="D2102" s="633">
        <f t="shared" si="66"/>
        <v>3729.721</v>
      </c>
      <c r="E2102" s="608"/>
      <c r="F2102" s="760">
        <f t="shared" si="67"/>
        <v>1573.5505102355517</v>
      </c>
      <c r="M2102" s="443"/>
    </row>
    <row r="2103" spans="1:13">
      <c r="A2103" s="639">
        <v>32813</v>
      </c>
      <c r="B2103" s="639">
        <v>1200</v>
      </c>
      <c r="C2103" s="638">
        <v>3583.3040000000001</v>
      </c>
      <c r="D2103" s="633">
        <f t="shared" si="66"/>
        <v>3583.3040000000001</v>
      </c>
      <c r="E2103" s="608"/>
      <c r="F2103" s="760">
        <f t="shared" si="67"/>
        <v>1511.7779151655293</v>
      </c>
      <c r="M2103" s="443"/>
    </row>
    <row r="2104" spans="1:13">
      <c r="A2104" s="639">
        <v>32813</v>
      </c>
      <c r="B2104" s="639">
        <v>1300</v>
      </c>
      <c r="C2104" s="638">
        <v>3623.808</v>
      </c>
      <c r="D2104" s="633">
        <f t="shared" si="66"/>
        <v>3623.808</v>
      </c>
      <c r="E2104" s="608"/>
      <c r="F2104" s="760">
        <f t="shared" si="67"/>
        <v>1528.8663488222508</v>
      </c>
      <c r="M2104" s="443"/>
    </row>
    <row r="2105" spans="1:13">
      <c r="A2105" s="639">
        <v>32813</v>
      </c>
      <c r="B2105" s="639">
        <v>1400</v>
      </c>
      <c r="C2105" s="638">
        <v>3592.395</v>
      </c>
      <c r="D2105" s="633">
        <f t="shared" si="66"/>
        <v>3592.395</v>
      </c>
      <c r="E2105" s="608"/>
      <c r="F2105" s="760">
        <f t="shared" si="67"/>
        <v>1515.6133622910788</v>
      </c>
      <c r="M2105" s="443"/>
    </row>
    <row r="2106" spans="1:13">
      <c r="A2106" s="639">
        <v>32813</v>
      </c>
      <c r="B2106" s="639">
        <v>1500</v>
      </c>
      <c r="C2106" s="638">
        <v>3589.0630000000001</v>
      </c>
      <c r="D2106" s="633">
        <f t="shared" si="66"/>
        <v>3589.0630000000001</v>
      </c>
      <c r="E2106" s="608"/>
      <c r="F2106" s="760">
        <f t="shared" si="67"/>
        <v>1514.2076082681629</v>
      </c>
      <c r="M2106" s="443"/>
    </row>
    <row r="2107" spans="1:13">
      <c r="A2107" s="639">
        <v>32813</v>
      </c>
      <c r="B2107" s="639">
        <v>1600</v>
      </c>
      <c r="C2107" s="638">
        <v>3694.0349999999999</v>
      </c>
      <c r="D2107" s="633">
        <f t="shared" si="66"/>
        <v>3694.0349999999999</v>
      </c>
      <c r="E2107" s="608"/>
      <c r="F2107" s="760">
        <f t="shared" si="67"/>
        <v>1558.4947665195293</v>
      </c>
      <c r="M2107" s="443"/>
    </row>
    <row r="2108" spans="1:13">
      <c r="A2108" s="639">
        <v>32813</v>
      </c>
      <c r="B2108" s="639">
        <v>1700</v>
      </c>
      <c r="C2108" s="638">
        <v>3838.5839999999998</v>
      </c>
      <c r="D2108" s="633">
        <f t="shared" si="66"/>
        <v>3838.5839999999998</v>
      </c>
      <c r="E2108" s="608"/>
      <c r="F2108" s="760">
        <f t="shared" si="67"/>
        <v>1619.4792617951919</v>
      </c>
      <c r="M2108" s="443"/>
    </row>
    <row r="2109" spans="1:13">
      <c r="A2109" s="639">
        <v>32813</v>
      </c>
      <c r="B2109" s="639">
        <v>1800</v>
      </c>
      <c r="C2109" s="638">
        <v>3994.9520000000002</v>
      </c>
      <c r="D2109" s="633">
        <f t="shared" si="66"/>
        <v>3994.9520000000002</v>
      </c>
      <c r="E2109" s="608"/>
      <c r="F2109" s="760">
        <f t="shared" si="67"/>
        <v>1685.450133660544</v>
      </c>
      <c r="M2109" s="443"/>
    </row>
    <row r="2110" spans="1:13">
      <c r="A2110" s="639">
        <v>32813</v>
      </c>
      <c r="B2110" s="639">
        <v>1900</v>
      </c>
      <c r="C2110" s="638">
        <v>4212.3649999999998</v>
      </c>
      <c r="D2110" s="633">
        <f t="shared" si="66"/>
        <v>4212.3649999999998</v>
      </c>
      <c r="E2110" s="608"/>
      <c r="F2110" s="760">
        <f t="shared" si="67"/>
        <v>1777.1755836558227</v>
      </c>
      <c r="M2110" s="443"/>
    </row>
    <row r="2111" spans="1:13">
      <c r="A2111" s="639">
        <v>32813</v>
      </c>
      <c r="B2111" s="639">
        <v>2000</v>
      </c>
      <c r="C2111" s="638">
        <v>4495.5510000000004</v>
      </c>
      <c r="D2111" s="633">
        <f t="shared" si="66"/>
        <v>4495.5510000000004</v>
      </c>
      <c r="E2111" s="608"/>
      <c r="F2111" s="760">
        <f t="shared" si="67"/>
        <v>1896.6503311748909</v>
      </c>
      <c r="M2111" s="443"/>
    </row>
    <row r="2112" spans="1:13">
      <c r="A2112" s="639">
        <v>32813</v>
      </c>
      <c r="B2112" s="639">
        <v>2100</v>
      </c>
      <c r="C2112" s="638">
        <v>4394.1629999999996</v>
      </c>
      <c r="D2112" s="633">
        <f t="shared" si="66"/>
        <v>4394.1629999999996</v>
      </c>
      <c r="E2112" s="608"/>
      <c r="F2112" s="760">
        <f t="shared" si="67"/>
        <v>1853.8752444775848</v>
      </c>
      <c r="M2112" s="443"/>
    </row>
    <row r="2113" spans="1:13">
      <c r="A2113" s="639">
        <v>32813</v>
      </c>
      <c r="B2113" s="639">
        <v>2200</v>
      </c>
      <c r="C2113" s="638">
        <v>4085.0639999999999</v>
      </c>
      <c r="D2113" s="633">
        <f t="shared" si="66"/>
        <v>4085.0639999999999</v>
      </c>
      <c r="E2113" s="608"/>
      <c r="F2113" s="760">
        <f t="shared" si="67"/>
        <v>1723.4679327340793</v>
      </c>
      <c r="M2113" s="443"/>
    </row>
    <row r="2114" spans="1:13">
      <c r="A2114" s="639">
        <v>32813</v>
      </c>
      <c r="B2114" s="639">
        <v>2300</v>
      </c>
      <c r="C2114" s="638">
        <v>3625.7429999999999</v>
      </c>
      <c r="D2114" s="633">
        <f t="shared" si="66"/>
        <v>3625.7429999999999</v>
      </c>
      <c r="E2114" s="608"/>
      <c r="F2114" s="760">
        <f t="shared" si="67"/>
        <v>1529.6827155792564</v>
      </c>
      <c r="M2114" s="443"/>
    </row>
    <row r="2115" spans="1:13">
      <c r="A2115" s="639">
        <v>32813</v>
      </c>
      <c r="B2115" s="639">
        <v>2400</v>
      </c>
      <c r="C2115" s="638">
        <v>3386.326</v>
      </c>
      <c r="D2115" s="633">
        <f t="shared" si="66"/>
        <v>3386.326</v>
      </c>
      <c r="E2115" s="608"/>
      <c r="F2115" s="760">
        <f t="shared" si="67"/>
        <v>1428.6738887771808</v>
      </c>
      <c r="M2115" s="443"/>
    </row>
    <row r="2116" spans="1:13">
      <c r="A2116" s="639">
        <v>32913</v>
      </c>
      <c r="B2116" s="639">
        <v>100</v>
      </c>
      <c r="C2116" s="638">
        <v>3355.3870000000002</v>
      </c>
      <c r="D2116" s="633">
        <f t="shared" si="66"/>
        <v>3355.3870000000002</v>
      </c>
      <c r="E2116" s="608"/>
      <c r="F2116" s="760">
        <f t="shared" si="67"/>
        <v>1415.6208804593525</v>
      </c>
      <c r="M2116" s="443"/>
    </row>
    <row r="2117" spans="1:13">
      <c r="A2117" s="639">
        <v>32913</v>
      </c>
      <c r="B2117" s="639">
        <v>200</v>
      </c>
      <c r="C2117" s="638">
        <v>3245.7220000000002</v>
      </c>
      <c r="D2117" s="633">
        <f t="shared" ref="D2117:D2180" si="68">C2117</f>
        <v>3245.7220000000002</v>
      </c>
      <c r="E2117" s="608"/>
      <c r="F2117" s="760">
        <f t="shared" si="67"/>
        <v>1369.3537691378942</v>
      </c>
      <c r="M2117" s="443"/>
    </row>
    <row r="2118" spans="1:13">
      <c r="A2118" s="639">
        <v>32913</v>
      </c>
      <c r="B2118" s="639">
        <v>300</v>
      </c>
      <c r="C2118" s="638">
        <v>3213.94</v>
      </c>
      <c r="D2118" s="633">
        <f t="shared" si="68"/>
        <v>3213.94</v>
      </c>
      <c r="E2118" s="608"/>
      <c r="F2118" s="760">
        <f t="shared" si="67"/>
        <v>1355.9451033646885</v>
      </c>
      <c r="M2118" s="443"/>
    </row>
    <row r="2119" spans="1:13">
      <c r="A2119" s="639">
        <v>32913</v>
      </c>
      <c r="B2119" s="639">
        <v>400</v>
      </c>
      <c r="C2119" s="638">
        <v>3233.846</v>
      </c>
      <c r="D2119" s="633">
        <f t="shared" si="68"/>
        <v>3233.846</v>
      </c>
      <c r="E2119" s="608"/>
      <c r="F2119" s="760">
        <f t="shared" si="67"/>
        <v>1364.3433445352075</v>
      </c>
      <c r="M2119" s="443"/>
    </row>
    <row r="2120" spans="1:13">
      <c r="A2120" s="639">
        <v>32913</v>
      </c>
      <c r="B2120" s="639">
        <v>500</v>
      </c>
      <c r="C2120" s="638">
        <v>3391.7829999999999</v>
      </c>
      <c r="D2120" s="633">
        <f t="shared" si="68"/>
        <v>3391.7829999999999</v>
      </c>
      <c r="E2120" s="608"/>
      <c r="F2120" s="760">
        <f t="shared" si="67"/>
        <v>1430.9761696004259</v>
      </c>
      <c r="M2120" s="443"/>
    </row>
    <row r="2121" spans="1:13">
      <c r="A2121" s="639">
        <v>32913</v>
      </c>
      <c r="B2121" s="639">
        <v>600</v>
      </c>
      <c r="C2121" s="638">
        <v>3592.4490000000001</v>
      </c>
      <c r="D2121" s="633">
        <f t="shared" si="68"/>
        <v>3592.4490000000001</v>
      </c>
      <c r="E2121" s="608"/>
      <c r="F2121" s="760">
        <f t="shared" si="67"/>
        <v>1515.6361446191813</v>
      </c>
      <c r="M2121" s="443"/>
    </row>
    <row r="2122" spans="1:13">
      <c r="A2122" s="639">
        <v>32913</v>
      </c>
      <c r="B2122" s="639">
        <v>700</v>
      </c>
      <c r="C2122" s="638">
        <v>3774.56</v>
      </c>
      <c r="D2122" s="633">
        <f t="shared" si="68"/>
        <v>3774.56</v>
      </c>
      <c r="E2122" s="608"/>
      <c r="F2122" s="760">
        <f t="shared" si="67"/>
        <v>1592.4678585649447</v>
      </c>
      <c r="M2122" s="443"/>
    </row>
    <row r="2123" spans="1:13">
      <c r="A2123" s="639">
        <v>32913</v>
      </c>
      <c r="B2123" s="639">
        <v>800</v>
      </c>
      <c r="C2123" s="638">
        <v>4031.05</v>
      </c>
      <c r="D2123" s="633">
        <f t="shared" si="68"/>
        <v>4031.05</v>
      </c>
      <c r="E2123" s="608"/>
      <c r="F2123" s="760">
        <f t="shared" si="67"/>
        <v>1700.6796981020889</v>
      </c>
      <c r="M2123" s="443"/>
    </row>
    <row r="2124" spans="1:13">
      <c r="A2124" s="639">
        <v>32913</v>
      </c>
      <c r="B2124" s="639">
        <v>900</v>
      </c>
      <c r="C2124" s="638">
        <v>3899.2959999999998</v>
      </c>
      <c r="D2124" s="633">
        <f t="shared" si="68"/>
        <v>3899.2959999999998</v>
      </c>
      <c r="E2124" s="608"/>
      <c r="F2124" s="760">
        <f t="shared" si="67"/>
        <v>1645.09334890182</v>
      </c>
      <c r="M2124" s="443"/>
    </row>
    <row r="2125" spans="1:13">
      <c r="A2125" s="639">
        <v>32913</v>
      </c>
      <c r="B2125" s="639">
        <v>1000</v>
      </c>
      <c r="C2125" s="638">
        <v>3864.819</v>
      </c>
      <c r="D2125" s="633">
        <f t="shared" si="68"/>
        <v>3864.819</v>
      </c>
      <c r="E2125" s="608"/>
      <c r="F2125" s="760">
        <f t="shared" si="67"/>
        <v>1630.5476761983148</v>
      </c>
      <c r="M2125" s="443"/>
    </row>
    <row r="2126" spans="1:13">
      <c r="A2126" s="639">
        <v>32913</v>
      </c>
      <c r="B2126" s="639">
        <v>1100</v>
      </c>
      <c r="C2126" s="638">
        <v>3888.172</v>
      </c>
      <c r="D2126" s="633">
        <f t="shared" si="68"/>
        <v>3888.172</v>
      </c>
      <c r="E2126" s="608"/>
      <c r="F2126" s="760">
        <f t="shared" si="67"/>
        <v>1640.4001893127088</v>
      </c>
      <c r="M2126" s="443"/>
    </row>
    <row r="2127" spans="1:13">
      <c r="A2127" s="639">
        <v>32913</v>
      </c>
      <c r="B2127" s="639">
        <v>1200</v>
      </c>
      <c r="C2127" s="638">
        <v>3875.5549999999998</v>
      </c>
      <c r="D2127" s="633">
        <f t="shared" si="68"/>
        <v>3875.5549999999998</v>
      </c>
      <c r="E2127" s="608"/>
      <c r="F2127" s="760">
        <f t="shared" si="67"/>
        <v>1635.0771405410601</v>
      </c>
      <c r="M2127" s="443"/>
    </row>
    <row r="2128" spans="1:13">
      <c r="A2128" s="639">
        <v>32913</v>
      </c>
      <c r="B2128" s="639">
        <v>1300</v>
      </c>
      <c r="C2128" s="638">
        <v>3701.5940000000001</v>
      </c>
      <c r="D2128" s="633">
        <f t="shared" si="68"/>
        <v>3701.5940000000001</v>
      </c>
      <c r="E2128" s="608"/>
      <c r="F2128" s="760">
        <f t="shared" si="67"/>
        <v>1561.6838705589123</v>
      </c>
      <c r="M2128" s="443"/>
    </row>
    <row r="2129" spans="1:13">
      <c r="A2129" s="639">
        <v>32913</v>
      </c>
      <c r="B2129" s="639">
        <v>1400</v>
      </c>
      <c r="C2129" s="638">
        <v>3550.377</v>
      </c>
      <c r="D2129" s="633">
        <f t="shared" si="68"/>
        <v>3550.377</v>
      </c>
      <c r="E2129" s="608"/>
      <c r="F2129" s="760">
        <f t="shared" si="67"/>
        <v>1497.8861796575582</v>
      </c>
      <c r="M2129" s="443"/>
    </row>
    <row r="2130" spans="1:13">
      <c r="A2130" s="639">
        <v>32913</v>
      </c>
      <c r="B2130" s="639">
        <v>1500</v>
      </c>
      <c r="C2130" s="638">
        <v>3526.8719999999998</v>
      </c>
      <c r="D2130" s="633">
        <f t="shared" si="68"/>
        <v>3526.8719999999998</v>
      </c>
      <c r="E2130" s="608"/>
      <c r="F2130" s="760">
        <f t="shared" si="67"/>
        <v>1487.9695385085051</v>
      </c>
      <c r="M2130" s="443"/>
    </row>
    <row r="2131" spans="1:13">
      <c r="A2131" s="639">
        <v>32913</v>
      </c>
      <c r="B2131" s="639">
        <v>1600</v>
      </c>
      <c r="C2131" s="638">
        <v>3526.0459999999998</v>
      </c>
      <c r="D2131" s="633">
        <f t="shared" si="68"/>
        <v>3526.0459999999998</v>
      </c>
      <c r="E2131" s="608"/>
      <c r="F2131" s="760">
        <f t="shared" si="67"/>
        <v>1487.62105326753</v>
      </c>
      <c r="M2131" s="443"/>
    </row>
    <row r="2132" spans="1:13">
      <c r="A2132" s="639">
        <v>32913</v>
      </c>
      <c r="B2132" s="639">
        <v>1700</v>
      </c>
      <c r="C2132" s="638">
        <v>3621.2249999999999</v>
      </c>
      <c r="D2132" s="633">
        <f t="shared" si="68"/>
        <v>3621.2249999999999</v>
      </c>
      <c r="E2132" s="608"/>
      <c r="F2132" s="760">
        <f t="shared" si="67"/>
        <v>1527.7765941280154</v>
      </c>
      <c r="M2132" s="443"/>
    </row>
    <row r="2133" spans="1:13">
      <c r="A2133" s="639">
        <v>32913</v>
      </c>
      <c r="B2133" s="639">
        <v>1800</v>
      </c>
      <c r="C2133" s="638">
        <v>3684.087</v>
      </c>
      <c r="D2133" s="633">
        <f t="shared" si="68"/>
        <v>3684.087</v>
      </c>
      <c r="E2133" s="608"/>
      <c r="F2133" s="760">
        <f t="shared" si="67"/>
        <v>1554.2977554090944</v>
      </c>
      <c r="M2133" s="443"/>
    </row>
    <row r="2134" spans="1:13">
      <c r="A2134" s="639">
        <v>32913</v>
      </c>
      <c r="B2134" s="639">
        <v>1900</v>
      </c>
      <c r="C2134" s="638">
        <v>3824.0790000000002</v>
      </c>
      <c r="D2134" s="633">
        <f t="shared" si="68"/>
        <v>3824.0790000000002</v>
      </c>
      <c r="E2134" s="608"/>
      <c r="F2134" s="760">
        <f t="shared" si="67"/>
        <v>1613.3596753298862</v>
      </c>
      <c r="M2134" s="443"/>
    </row>
    <row r="2135" spans="1:13">
      <c r="A2135" s="639">
        <v>32913</v>
      </c>
      <c r="B2135" s="639">
        <v>2000</v>
      </c>
      <c r="C2135" s="638">
        <v>4150.8389999999999</v>
      </c>
      <c r="D2135" s="633">
        <f t="shared" si="68"/>
        <v>4150.8389999999999</v>
      </c>
      <c r="E2135" s="608"/>
      <c r="F2135" s="760">
        <f t="shared" si="67"/>
        <v>1751.2180740477982</v>
      </c>
      <c r="M2135" s="443"/>
    </row>
    <row r="2136" spans="1:13">
      <c r="A2136" s="639">
        <v>32913</v>
      </c>
      <c r="B2136" s="639">
        <v>2100</v>
      </c>
      <c r="C2136" s="638">
        <v>4088.6869999999999</v>
      </c>
      <c r="D2136" s="633">
        <f t="shared" si="68"/>
        <v>4088.6869999999999</v>
      </c>
      <c r="E2136" s="608"/>
      <c r="F2136" s="760">
        <f t="shared" si="67"/>
        <v>1724.99645819177</v>
      </c>
      <c r="M2136" s="443"/>
    </row>
    <row r="2137" spans="1:13">
      <c r="A2137" s="639">
        <v>32913</v>
      </c>
      <c r="B2137" s="639">
        <v>2200</v>
      </c>
      <c r="C2137" s="638">
        <v>3886.4780000000001</v>
      </c>
      <c r="D2137" s="633">
        <f t="shared" si="68"/>
        <v>3886.4780000000001</v>
      </c>
      <c r="E2137" s="608"/>
      <c r="F2137" s="760">
        <f t="shared" si="67"/>
        <v>1639.6854992422345</v>
      </c>
      <c r="M2137" s="443"/>
    </row>
    <row r="2138" spans="1:13">
      <c r="A2138" s="639">
        <v>32913</v>
      </c>
      <c r="B2138" s="639">
        <v>2300</v>
      </c>
      <c r="C2138" s="638">
        <v>3590.0819999999999</v>
      </c>
      <c r="D2138" s="633">
        <f t="shared" si="68"/>
        <v>3590.0819999999999</v>
      </c>
      <c r="E2138" s="608"/>
      <c r="F2138" s="760">
        <f t="shared" si="67"/>
        <v>1514.6375192373557</v>
      </c>
      <c r="M2138" s="443"/>
    </row>
    <row r="2139" spans="1:13">
      <c r="A2139" s="639">
        <v>32913</v>
      </c>
      <c r="B2139" s="639">
        <v>2400</v>
      </c>
      <c r="C2139" s="638">
        <v>3324.2739999999999</v>
      </c>
      <c r="D2139" s="633">
        <f t="shared" si="68"/>
        <v>3324.2739999999999</v>
      </c>
      <c r="E2139" s="608"/>
      <c r="F2139" s="760">
        <f t="shared" si="67"/>
        <v>1402.4944624176387</v>
      </c>
      <c r="M2139" s="443"/>
    </row>
    <row r="2140" spans="1:13">
      <c r="A2140" s="639">
        <v>33013</v>
      </c>
      <c r="B2140" s="639">
        <v>100</v>
      </c>
      <c r="C2140" s="638">
        <v>3321.183</v>
      </c>
      <c r="D2140" s="633">
        <f t="shared" si="68"/>
        <v>3321.183</v>
      </c>
      <c r="E2140" s="608"/>
      <c r="F2140" s="760">
        <f t="shared" si="67"/>
        <v>1401.1903850812541</v>
      </c>
      <c r="M2140" s="443"/>
    </row>
    <row r="2141" spans="1:13">
      <c r="A2141" s="639">
        <v>33013</v>
      </c>
      <c r="B2141" s="639">
        <v>200</v>
      </c>
      <c r="C2141" s="638">
        <v>3215.123</v>
      </c>
      <c r="D2141" s="633">
        <f t="shared" si="68"/>
        <v>3215.123</v>
      </c>
      <c r="E2141" s="608"/>
      <c r="F2141" s="760">
        <f t="shared" si="67"/>
        <v>1356.4442051081187</v>
      </c>
      <c r="M2141" s="443"/>
    </row>
    <row r="2142" spans="1:13">
      <c r="A2142" s="639">
        <v>33013</v>
      </c>
      <c r="B2142" s="639">
        <v>300</v>
      </c>
      <c r="C2142" s="638">
        <v>3252.4929999999999</v>
      </c>
      <c r="D2142" s="633">
        <f t="shared" si="68"/>
        <v>3252.4929999999999</v>
      </c>
      <c r="E2142" s="608"/>
      <c r="F2142" s="760">
        <f t="shared" si="67"/>
        <v>1372.2104199449664</v>
      </c>
      <c r="M2142" s="443"/>
    </row>
    <row r="2143" spans="1:13">
      <c r="A2143" s="639">
        <v>33013</v>
      </c>
      <c r="B2143" s="639">
        <v>400</v>
      </c>
      <c r="C2143" s="638">
        <v>3269.42</v>
      </c>
      <c r="D2143" s="633">
        <f t="shared" si="68"/>
        <v>3269.42</v>
      </c>
      <c r="E2143" s="608"/>
      <c r="F2143" s="760">
        <f t="shared" si="67"/>
        <v>1379.3518360151652</v>
      </c>
      <c r="M2143" s="443"/>
    </row>
    <row r="2144" spans="1:13">
      <c r="A2144" s="639">
        <v>33013</v>
      </c>
      <c r="B2144" s="639">
        <v>500</v>
      </c>
      <c r="C2144" s="638">
        <v>3391.4780000000001</v>
      </c>
      <c r="D2144" s="633">
        <f t="shared" si="68"/>
        <v>3391.4780000000001</v>
      </c>
      <c r="E2144" s="608"/>
      <c r="F2144" s="760">
        <f t="shared" si="67"/>
        <v>1430.8474916361433</v>
      </c>
      <c r="M2144" s="443"/>
    </row>
    <row r="2145" spans="1:13">
      <c r="A2145" s="639">
        <v>33013</v>
      </c>
      <c r="B2145" s="639">
        <v>600</v>
      </c>
      <c r="C2145" s="638">
        <v>3629.68</v>
      </c>
      <c r="D2145" s="633">
        <f t="shared" si="68"/>
        <v>3629.68</v>
      </c>
      <c r="E2145" s="608"/>
      <c r="F2145" s="760">
        <f t="shared" si="67"/>
        <v>1531.3437160559133</v>
      </c>
      <c r="M2145" s="443"/>
    </row>
    <row r="2146" spans="1:13">
      <c r="A2146" s="639">
        <v>33013</v>
      </c>
      <c r="B2146" s="639">
        <v>700</v>
      </c>
      <c r="C2146" s="638">
        <v>3827.076</v>
      </c>
      <c r="D2146" s="633">
        <f t="shared" si="68"/>
        <v>3827.076</v>
      </c>
      <c r="E2146" s="608"/>
      <c r="F2146" s="760">
        <f t="shared" si="67"/>
        <v>1614.6240945395739</v>
      </c>
      <c r="M2146" s="443"/>
    </row>
    <row r="2147" spans="1:13">
      <c r="A2147" s="639">
        <v>33013</v>
      </c>
      <c r="B2147" s="639">
        <v>800</v>
      </c>
      <c r="C2147" s="638">
        <v>3854.1170000000002</v>
      </c>
      <c r="D2147" s="633">
        <f t="shared" si="68"/>
        <v>3854.1170000000002</v>
      </c>
      <c r="E2147" s="608"/>
      <c r="F2147" s="760">
        <f t="shared" si="67"/>
        <v>1626.0325562843746</v>
      </c>
      <c r="M2147" s="443"/>
    </row>
    <row r="2148" spans="1:13">
      <c r="A2148" s="639">
        <v>33013</v>
      </c>
      <c r="B2148" s="639">
        <v>900</v>
      </c>
      <c r="C2148" s="638">
        <v>3843.76</v>
      </c>
      <c r="D2148" s="633">
        <f t="shared" si="68"/>
        <v>3843.76</v>
      </c>
      <c r="E2148" s="608"/>
      <c r="F2148" s="760">
        <f t="shared" ref="F2148:F2187" si="69">(D2148/(MAX($D$1444:$D$2187)))*$M$6</f>
        <v>1621.6629901333115</v>
      </c>
      <c r="M2148" s="443"/>
    </row>
    <row r="2149" spans="1:13">
      <c r="A2149" s="639">
        <v>33013</v>
      </c>
      <c r="B2149" s="639">
        <v>1000</v>
      </c>
      <c r="C2149" s="638">
        <v>3813.5070000000001</v>
      </c>
      <c r="D2149" s="633">
        <f t="shared" si="68"/>
        <v>3813.5070000000001</v>
      </c>
      <c r="E2149" s="608"/>
      <c r="F2149" s="760">
        <f t="shared" si="69"/>
        <v>1608.8994017613777</v>
      </c>
      <c r="M2149" s="443"/>
    </row>
    <row r="2150" spans="1:13">
      <c r="A2150" s="639">
        <v>33013</v>
      </c>
      <c r="B2150" s="639">
        <v>1100</v>
      </c>
      <c r="C2150" s="638">
        <v>3709.7719999999999</v>
      </c>
      <c r="D2150" s="633">
        <f t="shared" si="68"/>
        <v>3709.7719999999999</v>
      </c>
      <c r="E2150" s="608"/>
      <c r="F2150" s="760">
        <f t="shared" si="69"/>
        <v>1565.1341275815439</v>
      </c>
      <c r="M2150" s="443"/>
    </row>
    <row r="2151" spans="1:13">
      <c r="A2151" s="639">
        <v>33013</v>
      </c>
      <c r="B2151" s="639">
        <v>1200</v>
      </c>
      <c r="C2151" s="638">
        <v>3534.8980000000001</v>
      </c>
      <c r="D2151" s="633">
        <f t="shared" si="68"/>
        <v>3534.8980000000001</v>
      </c>
      <c r="E2151" s="608"/>
      <c r="F2151" s="760">
        <f t="shared" si="69"/>
        <v>1491.355667496478</v>
      </c>
      <c r="M2151" s="443"/>
    </row>
    <row r="2152" spans="1:13">
      <c r="A2152" s="639">
        <v>33013</v>
      </c>
      <c r="B2152" s="639">
        <v>1300</v>
      </c>
      <c r="C2152" s="638">
        <v>3421.9810000000002</v>
      </c>
      <c r="D2152" s="633">
        <f t="shared" si="68"/>
        <v>3421.9810000000002</v>
      </c>
      <c r="E2152" s="608"/>
      <c r="F2152" s="760">
        <f t="shared" si="69"/>
        <v>1443.7165537492922</v>
      </c>
      <c r="M2152" s="443"/>
    </row>
    <row r="2153" spans="1:13">
      <c r="A2153" s="639">
        <v>33013</v>
      </c>
      <c r="B2153" s="639">
        <v>1400</v>
      </c>
      <c r="C2153" s="638">
        <v>3273.404</v>
      </c>
      <c r="D2153" s="633">
        <f t="shared" si="68"/>
        <v>3273.404</v>
      </c>
      <c r="E2153" s="608"/>
      <c r="F2153" s="760">
        <f t="shared" si="69"/>
        <v>1381.0326655551705</v>
      </c>
      <c r="M2153" s="443"/>
    </row>
    <row r="2154" spans="1:13">
      <c r="A2154" s="639">
        <v>33013</v>
      </c>
      <c r="B2154" s="639">
        <v>1500</v>
      </c>
      <c r="C2154" s="638">
        <v>3253.4169999999999</v>
      </c>
      <c r="D2154" s="633">
        <f t="shared" si="68"/>
        <v>3253.4169999999999</v>
      </c>
      <c r="E2154" s="608"/>
      <c r="F2154" s="760">
        <f t="shared" si="69"/>
        <v>1372.6002508924978</v>
      </c>
      <c r="M2154" s="443"/>
    </row>
    <row r="2155" spans="1:13">
      <c r="A2155" s="639">
        <v>33013</v>
      </c>
      <c r="B2155" s="639">
        <v>1600</v>
      </c>
      <c r="C2155" s="638">
        <v>3387.1260000000002</v>
      </c>
      <c r="D2155" s="633">
        <f t="shared" si="68"/>
        <v>3387.1260000000002</v>
      </c>
      <c r="E2155" s="608"/>
      <c r="F2155" s="760">
        <f t="shared" si="69"/>
        <v>1429.0114047490692</v>
      </c>
      <c r="M2155" s="443"/>
    </row>
    <row r="2156" spans="1:13">
      <c r="A2156" s="639">
        <v>33013</v>
      </c>
      <c r="B2156" s="639">
        <v>1700</v>
      </c>
      <c r="C2156" s="638">
        <v>3517.5340000000001</v>
      </c>
      <c r="D2156" s="633">
        <f t="shared" si="68"/>
        <v>3517.5340000000001</v>
      </c>
      <c r="E2156" s="608"/>
      <c r="F2156" s="760">
        <f t="shared" si="69"/>
        <v>1484.0298833266352</v>
      </c>
      <c r="M2156" s="443"/>
    </row>
    <row r="2157" spans="1:13">
      <c r="A2157" s="639">
        <v>33013</v>
      </c>
      <c r="B2157" s="639">
        <v>1800</v>
      </c>
      <c r="C2157" s="638">
        <v>3591.9740000000002</v>
      </c>
      <c r="D2157" s="633">
        <f t="shared" si="68"/>
        <v>3591.9740000000002</v>
      </c>
      <c r="E2157" s="608"/>
      <c r="F2157" s="760">
        <f t="shared" si="69"/>
        <v>1515.4357445108724</v>
      </c>
      <c r="M2157" s="443"/>
    </row>
    <row r="2158" spans="1:13">
      <c r="A2158" s="639">
        <v>33013</v>
      </c>
      <c r="B2158" s="639">
        <v>1900</v>
      </c>
      <c r="C2158" s="638">
        <v>3754.6419999999998</v>
      </c>
      <c r="D2158" s="633">
        <f t="shared" si="68"/>
        <v>3754.6419999999998</v>
      </c>
      <c r="E2158" s="608"/>
      <c r="F2158" s="760">
        <f t="shared" si="69"/>
        <v>1584.0645546548476</v>
      </c>
      <c r="M2158" s="443"/>
    </row>
    <row r="2159" spans="1:13">
      <c r="A2159" s="639">
        <v>33013</v>
      </c>
      <c r="B2159" s="639">
        <v>2000</v>
      </c>
      <c r="C2159" s="638">
        <v>4168.8280000000004</v>
      </c>
      <c r="D2159" s="633">
        <f t="shared" si="68"/>
        <v>4168.8280000000004</v>
      </c>
      <c r="E2159" s="608"/>
      <c r="F2159" s="760">
        <f t="shared" si="69"/>
        <v>1758.8075425706788</v>
      </c>
      <c r="M2159" s="443"/>
    </row>
    <row r="2160" spans="1:13">
      <c r="A2160" s="639">
        <v>33013</v>
      </c>
      <c r="B2160" s="639">
        <v>2100</v>
      </c>
      <c r="C2160" s="638">
        <v>4093.77</v>
      </c>
      <c r="D2160" s="633">
        <f t="shared" si="68"/>
        <v>4093.77</v>
      </c>
      <c r="E2160" s="608"/>
      <c r="F2160" s="760">
        <f t="shared" si="69"/>
        <v>1727.1409502981576</v>
      </c>
      <c r="M2160" s="443"/>
    </row>
    <row r="2161" spans="1:13">
      <c r="A2161" s="639">
        <v>33013</v>
      </c>
      <c r="B2161" s="639">
        <v>2200</v>
      </c>
      <c r="C2161" s="638">
        <v>3815.902</v>
      </c>
      <c r="D2161" s="633">
        <f t="shared" si="68"/>
        <v>3815.902</v>
      </c>
      <c r="E2161" s="608"/>
      <c r="F2161" s="760">
        <f t="shared" si="69"/>
        <v>1609.9098402022196</v>
      </c>
      <c r="M2161" s="443"/>
    </row>
    <row r="2162" spans="1:13">
      <c r="A2162" s="639">
        <v>33013</v>
      </c>
      <c r="B2162" s="639">
        <v>2300</v>
      </c>
      <c r="C2162" s="638">
        <v>3509.1860000000001</v>
      </c>
      <c r="D2162" s="633">
        <f t="shared" si="68"/>
        <v>3509.1860000000001</v>
      </c>
      <c r="E2162" s="608"/>
      <c r="F2162" s="760">
        <f t="shared" si="69"/>
        <v>1480.5079041599772</v>
      </c>
      <c r="M2162" s="443"/>
    </row>
    <row r="2163" spans="1:13">
      <c r="A2163" s="639">
        <v>33013</v>
      </c>
      <c r="B2163" s="639">
        <v>2400</v>
      </c>
      <c r="C2163" s="638">
        <v>3260.13</v>
      </c>
      <c r="D2163" s="633">
        <f t="shared" si="68"/>
        <v>3260.13</v>
      </c>
      <c r="E2163" s="608"/>
      <c r="F2163" s="760">
        <f t="shared" si="69"/>
        <v>1375.4324317916085</v>
      </c>
      <c r="M2163" s="443"/>
    </row>
    <row r="2164" spans="1:13">
      <c r="A2164" s="639">
        <v>33113</v>
      </c>
      <c r="B2164" s="639">
        <v>100</v>
      </c>
      <c r="C2164" s="638">
        <v>3200.3440000000001</v>
      </c>
      <c r="D2164" s="633">
        <f t="shared" si="68"/>
        <v>3200.3440000000001</v>
      </c>
      <c r="E2164" s="608"/>
      <c r="F2164" s="760">
        <f t="shared" si="69"/>
        <v>1350.2090194224411</v>
      </c>
      <c r="M2164" s="443"/>
    </row>
    <row r="2165" spans="1:13">
      <c r="A2165" s="639">
        <v>33113</v>
      </c>
      <c r="B2165" s="639">
        <v>200</v>
      </c>
      <c r="C2165" s="638">
        <v>3125.076</v>
      </c>
      <c r="D2165" s="633">
        <f t="shared" si="68"/>
        <v>3125.076</v>
      </c>
      <c r="E2165" s="608"/>
      <c r="F2165" s="760">
        <f t="shared" si="69"/>
        <v>1318.4538292072991</v>
      </c>
      <c r="M2165" s="443"/>
    </row>
    <row r="2166" spans="1:13">
      <c r="A2166" s="639">
        <v>33113</v>
      </c>
      <c r="B2166" s="639">
        <v>300</v>
      </c>
      <c r="C2166" s="638">
        <v>3102.1819999999998</v>
      </c>
      <c r="D2166" s="633">
        <f t="shared" si="68"/>
        <v>3102.1819999999998</v>
      </c>
      <c r="E2166" s="608"/>
      <c r="F2166" s="760">
        <f t="shared" si="69"/>
        <v>1308.7949658817761</v>
      </c>
      <c r="M2166" s="443"/>
    </row>
    <row r="2167" spans="1:13">
      <c r="A2167" s="639">
        <v>33113</v>
      </c>
      <c r="B2167" s="639">
        <v>400</v>
      </c>
      <c r="C2167" s="638">
        <v>3155.4870000000001</v>
      </c>
      <c r="D2167" s="633">
        <f t="shared" si="68"/>
        <v>3155.4870000000001</v>
      </c>
      <c r="E2167" s="608"/>
      <c r="F2167" s="760">
        <f t="shared" si="69"/>
        <v>1331.2840769836807</v>
      </c>
      <c r="M2167" s="443"/>
    </row>
    <row r="2168" spans="1:13">
      <c r="A2168" s="639">
        <v>33113</v>
      </c>
      <c r="B2168" s="639">
        <v>500</v>
      </c>
      <c r="C2168" s="638">
        <v>3240.6559999999999</v>
      </c>
      <c r="D2168" s="633">
        <f t="shared" si="68"/>
        <v>3240.6559999999999</v>
      </c>
      <c r="E2168" s="608"/>
      <c r="F2168" s="760">
        <f t="shared" si="69"/>
        <v>1367.2164492459092</v>
      </c>
      <c r="M2168" s="443"/>
    </row>
    <row r="2169" spans="1:13">
      <c r="A2169" s="639">
        <v>33113</v>
      </c>
      <c r="B2169" s="639">
        <v>600</v>
      </c>
      <c r="C2169" s="638">
        <v>3428.567</v>
      </c>
      <c r="D2169" s="633">
        <f t="shared" si="68"/>
        <v>3428.567</v>
      </c>
      <c r="E2169" s="608"/>
      <c r="F2169" s="760">
        <f t="shared" si="69"/>
        <v>1446.4951539878653</v>
      </c>
      <c r="M2169" s="443"/>
    </row>
    <row r="2170" spans="1:13">
      <c r="A2170" s="639">
        <v>33113</v>
      </c>
      <c r="B2170" s="639">
        <v>700</v>
      </c>
      <c r="C2170" s="638">
        <v>3705.3969999999999</v>
      </c>
      <c r="D2170" s="633">
        <f t="shared" si="68"/>
        <v>3705.3969999999999</v>
      </c>
      <c r="E2170" s="608"/>
      <c r="F2170" s="760">
        <f t="shared" si="69"/>
        <v>1563.288337110278</v>
      </c>
      <c r="M2170" s="443"/>
    </row>
    <row r="2171" spans="1:13">
      <c r="A2171" s="639">
        <v>33113</v>
      </c>
      <c r="B2171" s="639">
        <v>800</v>
      </c>
      <c r="C2171" s="638">
        <v>3949.491</v>
      </c>
      <c r="D2171" s="633">
        <f t="shared" si="68"/>
        <v>3949.491</v>
      </c>
      <c r="E2171" s="608"/>
      <c r="F2171" s="760">
        <f t="shared" si="69"/>
        <v>1666.2703666630075</v>
      </c>
      <c r="M2171" s="443"/>
    </row>
    <row r="2172" spans="1:13">
      <c r="A2172" s="639">
        <v>33113</v>
      </c>
      <c r="B2172" s="639">
        <v>900</v>
      </c>
      <c r="C2172" s="638">
        <v>4192.6260000000002</v>
      </c>
      <c r="D2172" s="633">
        <f t="shared" si="68"/>
        <v>4192.6260000000002</v>
      </c>
      <c r="E2172" s="608"/>
      <c r="F2172" s="760">
        <f t="shared" si="69"/>
        <v>1768.8477989444359</v>
      </c>
      <c r="M2172" s="443"/>
    </row>
    <row r="2173" spans="1:13">
      <c r="A2173" s="639">
        <v>33113</v>
      </c>
      <c r="B2173" s="639">
        <v>1000</v>
      </c>
      <c r="C2173" s="638">
        <v>4167.4799999999996</v>
      </c>
      <c r="D2173" s="633">
        <f t="shared" si="68"/>
        <v>4167.4799999999996</v>
      </c>
      <c r="E2173" s="608"/>
      <c r="F2173" s="760">
        <f t="shared" si="69"/>
        <v>1758.2388281580463</v>
      </c>
      <c r="M2173" s="443"/>
    </row>
    <row r="2174" spans="1:13">
      <c r="A2174" s="639">
        <v>33113</v>
      </c>
      <c r="B2174" s="639">
        <v>1100</v>
      </c>
      <c r="C2174" s="638">
        <v>4214.2060000000001</v>
      </c>
      <c r="D2174" s="633">
        <f t="shared" si="68"/>
        <v>4214.2060000000001</v>
      </c>
      <c r="E2174" s="608"/>
      <c r="F2174" s="760">
        <f t="shared" si="69"/>
        <v>1777.9522922861318</v>
      </c>
      <c r="M2174" s="443"/>
    </row>
    <row r="2175" spans="1:13">
      <c r="A2175" s="639">
        <v>33113</v>
      </c>
      <c r="B2175" s="639">
        <v>1200</v>
      </c>
      <c r="C2175" s="638">
        <v>4176.116</v>
      </c>
      <c r="D2175" s="633">
        <f t="shared" si="68"/>
        <v>4176.116</v>
      </c>
      <c r="E2175" s="608"/>
      <c r="F2175" s="760">
        <f t="shared" si="69"/>
        <v>1761.8823130745843</v>
      </c>
      <c r="M2175" s="443"/>
    </row>
    <row r="2176" spans="1:13">
      <c r="A2176" s="639">
        <v>33113</v>
      </c>
      <c r="B2176" s="639">
        <v>1300</v>
      </c>
      <c r="C2176" s="638">
        <v>4033.1990000000001</v>
      </c>
      <c r="D2176" s="633">
        <f t="shared" si="68"/>
        <v>4033.1990000000001</v>
      </c>
      <c r="E2176" s="608"/>
      <c r="F2176" s="760">
        <f t="shared" si="69"/>
        <v>1701.5863503815747</v>
      </c>
      <c r="M2176" s="443"/>
    </row>
    <row r="2177" spans="1:13">
      <c r="A2177" s="639">
        <v>33113</v>
      </c>
      <c r="B2177" s="639">
        <v>1400</v>
      </c>
      <c r="C2177" s="638">
        <v>3945.0329999999999</v>
      </c>
      <c r="D2177" s="633">
        <f t="shared" si="68"/>
        <v>3945.0329999999999</v>
      </c>
      <c r="E2177" s="608"/>
      <c r="F2177" s="760">
        <f t="shared" si="69"/>
        <v>1664.389558909658</v>
      </c>
      <c r="M2177" s="443"/>
    </row>
    <row r="2178" spans="1:13">
      <c r="A2178" s="639">
        <v>33113</v>
      </c>
      <c r="B2178" s="639">
        <v>1500</v>
      </c>
      <c r="C2178" s="638">
        <v>4015.98</v>
      </c>
      <c r="D2178" s="633">
        <f t="shared" si="68"/>
        <v>4015.98</v>
      </c>
      <c r="E2178" s="608"/>
      <c r="F2178" s="760">
        <f t="shared" si="69"/>
        <v>1694.3217409816366</v>
      </c>
      <c r="M2178" s="443"/>
    </row>
    <row r="2179" spans="1:13">
      <c r="A2179" s="639">
        <v>33113</v>
      </c>
      <c r="B2179" s="639">
        <v>1600</v>
      </c>
      <c r="C2179" s="638">
        <v>4057.2040000000002</v>
      </c>
      <c r="D2179" s="633">
        <f t="shared" si="68"/>
        <v>4057.2040000000002</v>
      </c>
      <c r="E2179" s="608"/>
      <c r="F2179" s="760">
        <f t="shared" si="69"/>
        <v>1711.7139390130581</v>
      </c>
      <c r="M2179" s="443"/>
    </row>
    <row r="2180" spans="1:13">
      <c r="A2180" s="639">
        <v>33113</v>
      </c>
      <c r="B2180" s="639">
        <v>1700</v>
      </c>
      <c r="C2180" s="638">
        <v>4018.5610000000001</v>
      </c>
      <c r="D2180" s="633">
        <f t="shared" si="68"/>
        <v>4018.5610000000001</v>
      </c>
      <c r="E2180" s="608"/>
      <c r="F2180" s="760">
        <f t="shared" si="69"/>
        <v>1695.4106518859423</v>
      </c>
      <c r="M2180" s="443"/>
    </row>
    <row r="2181" spans="1:13">
      <c r="A2181" s="639">
        <v>33113</v>
      </c>
      <c r="B2181" s="639">
        <v>1800</v>
      </c>
      <c r="C2181" s="638">
        <v>3928.4639999999999</v>
      </c>
      <c r="D2181" s="633">
        <f t="shared" ref="D2181:D2244" si="70">C2181</f>
        <v>3928.4639999999999</v>
      </c>
      <c r="E2181" s="608"/>
      <c r="F2181" s="760">
        <f t="shared" si="69"/>
        <v>1657.3991812368797</v>
      </c>
      <c r="M2181" s="443"/>
    </row>
    <row r="2182" spans="1:13">
      <c r="A2182" s="639">
        <v>33113</v>
      </c>
      <c r="B2182" s="639">
        <v>1900</v>
      </c>
      <c r="C2182" s="638">
        <v>3942.741</v>
      </c>
      <c r="D2182" s="633">
        <f t="shared" si="70"/>
        <v>3942.741</v>
      </c>
      <c r="E2182" s="608"/>
      <c r="F2182" s="760">
        <f t="shared" si="69"/>
        <v>1663.4225756501971</v>
      </c>
      <c r="M2182" s="443"/>
    </row>
    <row r="2183" spans="1:13">
      <c r="A2183" s="639">
        <v>33113</v>
      </c>
      <c r="B2183" s="639">
        <v>2000</v>
      </c>
      <c r="C2183" s="638">
        <v>4319.6139999999996</v>
      </c>
      <c r="D2183" s="633">
        <f t="shared" si="70"/>
        <v>4319.6139999999996</v>
      </c>
      <c r="E2183" s="608"/>
      <c r="F2183" s="760">
        <f t="shared" si="69"/>
        <v>1822.4233967421778</v>
      </c>
      <c r="M2183" s="443"/>
    </row>
    <row r="2184" spans="1:13">
      <c r="A2184" s="639">
        <v>33113</v>
      </c>
      <c r="B2184" s="639">
        <v>2100</v>
      </c>
      <c r="C2184" s="638">
        <v>4150.72</v>
      </c>
      <c r="D2184" s="633">
        <f t="shared" si="70"/>
        <v>4150.72</v>
      </c>
      <c r="E2184" s="608"/>
      <c r="F2184" s="760">
        <f t="shared" si="69"/>
        <v>1751.1678685469797</v>
      </c>
      <c r="M2184" s="443"/>
    </row>
    <row r="2185" spans="1:13">
      <c r="A2185" s="639">
        <v>33113</v>
      </c>
      <c r="B2185" s="639">
        <v>2200</v>
      </c>
      <c r="C2185" s="638">
        <v>3907.0160000000001</v>
      </c>
      <c r="D2185" s="633">
        <f t="shared" si="70"/>
        <v>3907.0160000000001</v>
      </c>
      <c r="E2185" s="608"/>
      <c r="F2185" s="760">
        <f t="shared" si="69"/>
        <v>1648.3503780305457</v>
      </c>
      <c r="M2185" s="443"/>
    </row>
    <row r="2186" spans="1:13">
      <c r="A2186" s="639">
        <v>33113</v>
      </c>
      <c r="B2186" s="639">
        <v>2300</v>
      </c>
      <c r="C2186" s="638">
        <v>3419.7060000000001</v>
      </c>
      <c r="D2186" s="633">
        <f t="shared" si="70"/>
        <v>3419.7060000000001</v>
      </c>
      <c r="E2186" s="608"/>
      <c r="F2186" s="760">
        <f t="shared" si="69"/>
        <v>1442.7567427042338</v>
      </c>
      <c r="M2186" s="443"/>
    </row>
    <row r="2187" spans="1:13">
      <c r="A2187" s="639">
        <v>33113</v>
      </c>
      <c r="B2187" s="639">
        <v>2400</v>
      </c>
      <c r="C2187" s="638">
        <v>3178.3710000000001</v>
      </c>
      <c r="D2187" s="633">
        <f t="shared" si="70"/>
        <v>3178.3710000000001</v>
      </c>
      <c r="E2187" s="608"/>
      <c r="F2187" s="760">
        <f t="shared" si="69"/>
        <v>1340.9387213595551</v>
      </c>
      <c r="M2187" s="443"/>
    </row>
    <row r="2188" spans="1:13">
      <c r="A2188" s="639">
        <v>40113</v>
      </c>
      <c r="B2188" s="639">
        <v>100</v>
      </c>
      <c r="C2188" s="638">
        <v>3176.62</v>
      </c>
      <c r="D2188" s="633">
        <f t="shared" si="70"/>
        <v>3176.62</v>
      </c>
      <c r="E2188" s="608"/>
      <c r="F2188" s="760">
        <f t="shared" ref="F2188:F2251" si="71">(D2188/(MAX($D$2188:$D$2907)))*$M$7</f>
        <v>1340.2045619492255</v>
      </c>
      <c r="M2188" s="443"/>
    </row>
    <row r="2189" spans="1:13">
      <c r="A2189" s="639">
        <v>40113</v>
      </c>
      <c r="B2189" s="639">
        <v>200</v>
      </c>
      <c r="C2189" s="638">
        <v>3112.4609999999998</v>
      </c>
      <c r="D2189" s="633">
        <f t="shared" si="70"/>
        <v>3112.4609999999998</v>
      </c>
      <c r="E2189" s="608"/>
      <c r="F2189" s="760">
        <f t="shared" si="71"/>
        <v>1313.1361104220989</v>
      </c>
      <c r="M2189" s="443"/>
    </row>
    <row r="2190" spans="1:13">
      <c r="A2190" s="639">
        <v>40113</v>
      </c>
      <c r="B2190" s="639">
        <v>300</v>
      </c>
      <c r="C2190" s="638">
        <v>3121.3389999999999</v>
      </c>
      <c r="D2190" s="633">
        <f t="shared" si="70"/>
        <v>3121.3389999999999</v>
      </c>
      <c r="E2190" s="608"/>
      <c r="F2190" s="760">
        <f t="shared" si="71"/>
        <v>1316.8817067165835</v>
      </c>
      <c r="M2190" s="443"/>
    </row>
    <row r="2191" spans="1:13">
      <c r="A2191" s="639">
        <v>40113</v>
      </c>
      <c r="B2191" s="639">
        <v>400</v>
      </c>
      <c r="C2191" s="638">
        <v>3271.17</v>
      </c>
      <c r="D2191" s="633">
        <f t="shared" si="70"/>
        <v>3271.17</v>
      </c>
      <c r="E2191" s="608"/>
      <c r="F2191" s="760">
        <f t="shared" si="71"/>
        <v>1380.0948671580006</v>
      </c>
      <c r="M2191" s="443"/>
    </row>
    <row r="2192" spans="1:13">
      <c r="A2192" s="639">
        <v>40113</v>
      </c>
      <c r="B2192" s="639">
        <v>500</v>
      </c>
      <c r="C2192" s="638">
        <v>3543.59</v>
      </c>
      <c r="D2192" s="633">
        <f t="shared" si="70"/>
        <v>3543.59</v>
      </c>
      <c r="E2192" s="608"/>
      <c r="F2192" s="760">
        <f t="shared" si="71"/>
        <v>1495.0278861423953</v>
      </c>
      <c r="M2192" s="443"/>
    </row>
    <row r="2193" spans="1:13">
      <c r="A2193" s="639">
        <v>40113</v>
      </c>
      <c r="B2193" s="639">
        <v>600</v>
      </c>
      <c r="C2193" s="638">
        <v>4003.8069999999998</v>
      </c>
      <c r="D2193" s="633">
        <f t="shared" si="70"/>
        <v>4003.8069999999998</v>
      </c>
      <c r="E2193" s="608"/>
      <c r="F2193" s="760">
        <f t="shared" si="71"/>
        <v>1689.1917845270261</v>
      </c>
      <c r="M2193" s="443"/>
    </row>
    <row r="2194" spans="1:13">
      <c r="A2194" s="639">
        <v>40113</v>
      </c>
      <c r="B2194" s="639">
        <v>700</v>
      </c>
      <c r="C2194" s="638">
        <v>4154.5990000000002</v>
      </c>
      <c r="D2194" s="633">
        <f t="shared" si="70"/>
        <v>4154.5990000000002</v>
      </c>
      <c r="E2194" s="608"/>
      <c r="F2194" s="760">
        <f t="shared" si="71"/>
        <v>1752.810387414828</v>
      </c>
      <c r="M2194" s="443"/>
    </row>
    <row r="2195" spans="1:13">
      <c r="A2195" s="639">
        <v>40113</v>
      </c>
      <c r="B2195" s="639">
        <v>800</v>
      </c>
      <c r="C2195" s="638">
        <v>4007.0340000000001</v>
      </c>
      <c r="D2195" s="633">
        <f t="shared" si="70"/>
        <v>4007.0340000000001</v>
      </c>
      <c r="E2195" s="608"/>
      <c r="F2195" s="760">
        <f t="shared" si="71"/>
        <v>1690.5532442299213</v>
      </c>
      <c r="M2195" s="443"/>
    </row>
    <row r="2196" spans="1:13">
      <c r="A2196" s="639">
        <v>40113</v>
      </c>
      <c r="B2196" s="639">
        <v>900</v>
      </c>
      <c r="C2196" s="638">
        <v>3951.5390000000002</v>
      </c>
      <c r="D2196" s="633">
        <f t="shared" si="70"/>
        <v>3951.5390000000002</v>
      </c>
      <c r="E2196" s="608"/>
      <c r="F2196" s="760">
        <f t="shared" si="71"/>
        <v>1667.140103166347</v>
      </c>
      <c r="M2196" s="443"/>
    </row>
    <row r="2197" spans="1:13">
      <c r="A2197" s="639">
        <v>40113</v>
      </c>
      <c r="B2197" s="639">
        <v>1000</v>
      </c>
      <c r="C2197" s="638">
        <v>3903.2190000000001</v>
      </c>
      <c r="D2197" s="633">
        <f t="shared" si="70"/>
        <v>3903.2190000000001</v>
      </c>
      <c r="E2197" s="608"/>
      <c r="F2197" s="760">
        <f t="shared" si="71"/>
        <v>1646.7540688174518</v>
      </c>
      <c r="M2197" s="443"/>
    </row>
    <row r="2198" spans="1:13">
      <c r="A2198" s="639">
        <v>40113</v>
      </c>
      <c r="B2198" s="639">
        <v>1100</v>
      </c>
      <c r="C2198" s="638">
        <v>4003.1320000000001</v>
      </c>
      <c r="D2198" s="633">
        <f t="shared" si="70"/>
        <v>4003.1320000000001</v>
      </c>
      <c r="E2198" s="608"/>
      <c r="F2198" s="760">
        <f t="shared" si="71"/>
        <v>1688.907004452823</v>
      </c>
      <c r="M2198" s="443"/>
    </row>
    <row r="2199" spans="1:13">
      <c r="A2199" s="639">
        <v>40113</v>
      </c>
      <c r="B2199" s="639">
        <v>1200</v>
      </c>
      <c r="C2199" s="638">
        <v>4037.2510000000002</v>
      </c>
      <c r="D2199" s="633">
        <f t="shared" si="70"/>
        <v>4037.2510000000002</v>
      </c>
      <c r="E2199" s="608"/>
      <c r="F2199" s="760">
        <f t="shared" si="71"/>
        <v>1703.3016879368865</v>
      </c>
      <c r="M2199" s="443"/>
    </row>
    <row r="2200" spans="1:13">
      <c r="A2200" s="639">
        <v>40113</v>
      </c>
      <c r="B2200" s="639">
        <v>1300</v>
      </c>
      <c r="C2200" s="638">
        <v>4026.326</v>
      </c>
      <c r="D2200" s="633">
        <f t="shared" si="70"/>
        <v>4026.326</v>
      </c>
      <c r="E2200" s="608"/>
      <c r="F2200" s="760">
        <f t="shared" si="71"/>
        <v>1698.6924696988551</v>
      </c>
      <c r="M2200" s="443"/>
    </row>
    <row r="2201" spans="1:13">
      <c r="A2201" s="639">
        <v>40113</v>
      </c>
      <c r="B2201" s="639">
        <v>1400</v>
      </c>
      <c r="C2201" s="638">
        <v>3953.57</v>
      </c>
      <c r="D2201" s="633">
        <f t="shared" si="70"/>
        <v>3953.57</v>
      </c>
      <c r="E2201" s="608"/>
      <c r="F2201" s="760">
        <f t="shared" si="71"/>
        <v>1667.996974767394</v>
      </c>
      <c r="M2201" s="443"/>
    </row>
    <row r="2202" spans="1:13">
      <c r="A2202" s="639">
        <v>40113</v>
      </c>
      <c r="B2202" s="639">
        <v>1500</v>
      </c>
      <c r="C2202" s="638">
        <v>3903.799</v>
      </c>
      <c r="D2202" s="633">
        <f t="shared" si="70"/>
        <v>3903.799</v>
      </c>
      <c r="E2202" s="608"/>
      <c r="F2202" s="760">
        <f t="shared" si="71"/>
        <v>1646.9987687330636</v>
      </c>
      <c r="M2202" s="443"/>
    </row>
    <row r="2203" spans="1:13">
      <c r="A2203" s="639">
        <v>40113</v>
      </c>
      <c r="B2203" s="639">
        <v>1600</v>
      </c>
      <c r="C2203" s="638">
        <v>3980.6320000000001</v>
      </c>
      <c r="D2203" s="633">
        <f t="shared" si="70"/>
        <v>3980.6320000000001</v>
      </c>
      <c r="E2203" s="608"/>
      <c r="F2203" s="760">
        <f t="shared" si="71"/>
        <v>1679.4143353127129</v>
      </c>
      <c r="M2203" s="443"/>
    </row>
    <row r="2204" spans="1:13">
      <c r="A2204" s="639">
        <v>40113</v>
      </c>
      <c r="B2204" s="639">
        <v>1700</v>
      </c>
      <c r="C2204" s="638">
        <v>4162.12</v>
      </c>
      <c r="D2204" s="633">
        <f t="shared" si="70"/>
        <v>4162.12</v>
      </c>
      <c r="E2204" s="608"/>
      <c r="F2204" s="760">
        <f t="shared" si="71"/>
        <v>1755.9834702860619</v>
      </c>
      <c r="M2204" s="443"/>
    </row>
    <row r="2205" spans="1:13">
      <c r="A2205" s="639">
        <v>40113</v>
      </c>
      <c r="B2205" s="639">
        <v>1800</v>
      </c>
      <c r="C2205" s="638">
        <v>4237.9920000000002</v>
      </c>
      <c r="D2205" s="633">
        <f t="shared" si="70"/>
        <v>4237.9920000000002</v>
      </c>
      <c r="E2205" s="608"/>
      <c r="F2205" s="760">
        <f t="shared" si="71"/>
        <v>1787.9935944193269</v>
      </c>
      <c r="M2205" s="443"/>
    </row>
    <row r="2206" spans="1:13">
      <c r="A2206" s="639">
        <v>40113</v>
      </c>
      <c r="B2206" s="639">
        <v>1900</v>
      </c>
      <c r="C2206" s="638">
        <v>4544.3860000000004</v>
      </c>
      <c r="D2206" s="633">
        <f t="shared" si="70"/>
        <v>4544.3860000000004</v>
      </c>
      <c r="E2206" s="608"/>
      <c r="F2206" s="760">
        <f t="shared" si="71"/>
        <v>1917.2601219088822</v>
      </c>
      <c r="M2206" s="443"/>
    </row>
    <row r="2207" spans="1:13">
      <c r="A2207" s="639">
        <v>40113</v>
      </c>
      <c r="B2207" s="639">
        <v>2000</v>
      </c>
      <c r="C2207" s="638">
        <v>4975.9830000000002</v>
      </c>
      <c r="D2207" s="633">
        <f t="shared" si="70"/>
        <v>4975.9830000000002</v>
      </c>
      <c r="E2207" s="608"/>
      <c r="F2207" s="760">
        <f t="shared" si="71"/>
        <v>2099.3493451472928</v>
      </c>
      <c r="M2207" s="443"/>
    </row>
    <row r="2208" spans="1:13">
      <c r="A2208" s="639">
        <v>40113</v>
      </c>
      <c r="B2208" s="639">
        <v>2100</v>
      </c>
      <c r="C2208" s="638">
        <v>4799.76</v>
      </c>
      <c r="D2208" s="633">
        <f t="shared" si="70"/>
        <v>4799.76</v>
      </c>
      <c r="E2208" s="608"/>
      <c r="F2208" s="760">
        <f t="shared" si="71"/>
        <v>2025.0014947527293</v>
      </c>
      <c r="M2208" s="443"/>
    </row>
    <row r="2209" spans="1:13">
      <c r="A2209" s="639">
        <v>40113</v>
      </c>
      <c r="B2209" s="639">
        <v>2200</v>
      </c>
      <c r="C2209" s="638">
        <v>4315.6499999999996</v>
      </c>
      <c r="D2209" s="633">
        <f t="shared" si="70"/>
        <v>4315.6499999999996</v>
      </c>
      <c r="E2209" s="608"/>
      <c r="F2209" s="760">
        <f t="shared" si="71"/>
        <v>1820.7572255341131</v>
      </c>
      <c r="M2209" s="443"/>
    </row>
    <row r="2210" spans="1:13">
      <c r="A2210" s="639">
        <v>40113</v>
      </c>
      <c r="B2210" s="639">
        <v>2300</v>
      </c>
      <c r="C2210" s="638">
        <v>3783.6550000000002</v>
      </c>
      <c r="D2210" s="633">
        <f t="shared" si="70"/>
        <v>3783.6550000000002</v>
      </c>
      <c r="E2210" s="608"/>
      <c r="F2210" s="760">
        <f t="shared" si="71"/>
        <v>1596.3104469033115</v>
      </c>
      <c r="M2210" s="443"/>
    </row>
    <row r="2211" spans="1:13">
      <c r="A2211" s="639">
        <v>40113</v>
      </c>
      <c r="B2211" s="639">
        <v>2400</v>
      </c>
      <c r="C2211" s="638">
        <v>3620.721</v>
      </c>
      <c r="D2211" s="633">
        <f t="shared" si="70"/>
        <v>3620.721</v>
      </c>
      <c r="E2211" s="608"/>
      <c r="F2211" s="760">
        <f t="shared" si="71"/>
        <v>1527.5691778511002</v>
      </c>
      <c r="M2211" s="443"/>
    </row>
    <row r="2212" spans="1:13">
      <c r="A2212" s="639">
        <v>40213</v>
      </c>
      <c r="B2212" s="639">
        <v>100</v>
      </c>
      <c r="C2212" s="638">
        <v>3656.069</v>
      </c>
      <c r="D2212" s="633">
        <f t="shared" si="70"/>
        <v>3656.069</v>
      </c>
      <c r="E2212" s="608"/>
      <c r="F2212" s="760">
        <f t="shared" si="71"/>
        <v>1542.4823720184165</v>
      </c>
      <c r="M2212" s="443"/>
    </row>
    <row r="2213" spans="1:13">
      <c r="A2213" s="639">
        <v>40213</v>
      </c>
      <c r="B2213" s="639">
        <v>200</v>
      </c>
      <c r="C2213" s="638">
        <v>3618.0360000000001</v>
      </c>
      <c r="D2213" s="633">
        <f t="shared" si="70"/>
        <v>3618.0360000000001</v>
      </c>
      <c r="E2213" s="608"/>
      <c r="F2213" s="760">
        <f t="shared" si="71"/>
        <v>1526.4363860003803</v>
      </c>
      <c r="M2213" s="443"/>
    </row>
    <row r="2214" spans="1:13">
      <c r="A2214" s="639">
        <v>40213</v>
      </c>
      <c r="B2214" s="639">
        <v>300</v>
      </c>
      <c r="C2214" s="638">
        <v>3661.1120000000001</v>
      </c>
      <c r="D2214" s="633">
        <f t="shared" si="70"/>
        <v>3661.1120000000001</v>
      </c>
      <c r="E2214" s="608"/>
      <c r="F2214" s="760">
        <f t="shared" si="71"/>
        <v>1544.6099955950203</v>
      </c>
      <c r="M2214" s="443"/>
    </row>
    <row r="2215" spans="1:13">
      <c r="A2215" s="639">
        <v>40213</v>
      </c>
      <c r="B2215" s="639">
        <v>400</v>
      </c>
      <c r="C2215" s="638">
        <v>3704.1469999999999</v>
      </c>
      <c r="D2215" s="633">
        <f t="shared" si="70"/>
        <v>3704.1469999999999</v>
      </c>
      <c r="E2215" s="608"/>
      <c r="F2215" s="760">
        <f t="shared" si="71"/>
        <v>1562.7663074370048</v>
      </c>
      <c r="M2215" s="443"/>
    </row>
    <row r="2216" spans="1:13">
      <c r="A2216" s="639">
        <v>40213</v>
      </c>
      <c r="B2216" s="639">
        <v>500</v>
      </c>
      <c r="C2216" s="638">
        <v>4046.9110000000001</v>
      </c>
      <c r="D2216" s="633">
        <f t="shared" si="70"/>
        <v>4046.9110000000001</v>
      </c>
      <c r="E2216" s="608"/>
      <c r="F2216" s="760">
        <f t="shared" si="71"/>
        <v>1707.3772072210406</v>
      </c>
      <c r="M2216" s="443"/>
    </row>
    <row r="2217" spans="1:13">
      <c r="A2217" s="639">
        <v>40213</v>
      </c>
      <c r="B2217" s="639">
        <v>600</v>
      </c>
      <c r="C2217" s="638">
        <v>4596.1899999999996</v>
      </c>
      <c r="D2217" s="633">
        <f t="shared" si="70"/>
        <v>4596.1899999999996</v>
      </c>
      <c r="E2217" s="608"/>
      <c r="F2217" s="760">
        <f t="shared" si="71"/>
        <v>1939.1160433370721</v>
      </c>
      <c r="M2217" s="443"/>
    </row>
    <row r="2218" spans="1:13">
      <c r="A2218" s="639">
        <v>40213</v>
      </c>
      <c r="B2218" s="639">
        <v>700</v>
      </c>
      <c r="C2218" s="638">
        <v>4759.4979999999996</v>
      </c>
      <c r="D2218" s="633">
        <f t="shared" si="70"/>
        <v>4759.4979999999996</v>
      </c>
      <c r="E2218" s="608"/>
      <c r="F2218" s="760">
        <f t="shared" si="71"/>
        <v>2008.0151016452123</v>
      </c>
      <c r="M2218" s="443"/>
    </row>
    <row r="2219" spans="1:13">
      <c r="A2219" s="639">
        <v>40213</v>
      </c>
      <c r="B2219" s="639">
        <v>800</v>
      </c>
      <c r="C2219" s="638">
        <v>4377.7529999999997</v>
      </c>
      <c r="D2219" s="633">
        <f t="shared" si="70"/>
        <v>4377.7529999999997</v>
      </c>
      <c r="E2219" s="608"/>
      <c r="F2219" s="760">
        <f t="shared" si="71"/>
        <v>1846.9582580500364</v>
      </c>
      <c r="M2219" s="443"/>
    </row>
    <row r="2220" spans="1:13">
      <c r="A2220" s="639">
        <v>40213</v>
      </c>
      <c r="B2220" s="639">
        <v>900</v>
      </c>
      <c r="C2220" s="638">
        <v>4144.2349999999997</v>
      </c>
      <c r="D2220" s="633">
        <f t="shared" si="70"/>
        <v>4144.2349999999997</v>
      </c>
      <c r="E2220" s="608"/>
      <c r="F2220" s="760">
        <f t="shared" si="71"/>
        <v>1748.4378530606896</v>
      </c>
      <c r="M2220" s="443"/>
    </row>
    <row r="2221" spans="1:13">
      <c r="A2221" s="639">
        <v>40213</v>
      </c>
      <c r="B2221" s="639">
        <v>1000</v>
      </c>
      <c r="C2221" s="638">
        <v>4014.2060000000001</v>
      </c>
      <c r="D2221" s="633">
        <f t="shared" si="70"/>
        <v>4014.2060000000001</v>
      </c>
      <c r="E2221" s="608"/>
      <c r="F2221" s="760">
        <f t="shared" si="71"/>
        <v>1693.5790852553826</v>
      </c>
      <c r="M2221" s="443"/>
    </row>
    <row r="2222" spans="1:13">
      <c r="A2222" s="639">
        <v>40213</v>
      </c>
      <c r="B2222" s="639">
        <v>1100</v>
      </c>
      <c r="C2222" s="638">
        <v>4025.4569999999999</v>
      </c>
      <c r="D2222" s="633">
        <f t="shared" si="70"/>
        <v>4025.4569999999999</v>
      </c>
      <c r="E2222" s="608"/>
      <c r="F2222" s="760">
        <f t="shared" si="71"/>
        <v>1698.3258417218437</v>
      </c>
      <c r="M2222" s="443"/>
    </row>
    <row r="2223" spans="1:13">
      <c r="A2223" s="639">
        <v>40213</v>
      </c>
      <c r="B2223" s="639">
        <v>1200</v>
      </c>
      <c r="C2223" s="638">
        <v>3915.9659999999999</v>
      </c>
      <c r="D2223" s="633">
        <f t="shared" si="70"/>
        <v>3915.9659999999999</v>
      </c>
      <c r="E2223" s="608"/>
      <c r="F2223" s="760">
        <f t="shared" si="71"/>
        <v>1652.1319823076292</v>
      </c>
      <c r="M2223" s="443"/>
    </row>
    <row r="2224" spans="1:13">
      <c r="A2224" s="639">
        <v>40213</v>
      </c>
      <c r="B2224" s="639">
        <v>1300</v>
      </c>
      <c r="C2224" s="638">
        <v>3880.2130000000002</v>
      </c>
      <c r="D2224" s="633">
        <f t="shared" si="70"/>
        <v>3880.2130000000002</v>
      </c>
      <c r="E2224" s="608"/>
      <c r="F2224" s="760">
        <f t="shared" si="71"/>
        <v>1637.0479200957905</v>
      </c>
      <c r="M2224" s="443"/>
    </row>
    <row r="2225" spans="1:13">
      <c r="A2225" s="639">
        <v>40213</v>
      </c>
      <c r="B2225" s="639">
        <v>1400</v>
      </c>
      <c r="C2225" s="638">
        <v>3812.7020000000002</v>
      </c>
      <c r="D2225" s="633">
        <f t="shared" si="70"/>
        <v>3812.7020000000002</v>
      </c>
      <c r="E2225" s="608"/>
      <c r="F2225" s="760">
        <f t="shared" si="71"/>
        <v>1608.5652718149906</v>
      </c>
      <c r="M2225" s="443"/>
    </row>
    <row r="2226" spans="1:13">
      <c r="A2226" s="639">
        <v>40213</v>
      </c>
      <c r="B2226" s="639">
        <v>1500</v>
      </c>
      <c r="C2226" s="638">
        <v>3954.7020000000002</v>
      </c>
      <c r="D2226" s="633">
        <f t="shared" si="70"/>
        <v>3954.7020000000002</v>
      </c>
      <c r="E2226" s="608"/>
      <c r="F2226" s="760">
        <f t="shared" si="71"/>
        <v>1668.4745614992435</v>
      </c>
      <c r="M2226" s="443"/>
    </row>
    <row r="2227" spans="1:13">
      <c r="A2227" s="639">
        <v>40213</v>
      </c>
      <c r="B2227" s="639">
        <v>1600</v>
      </c>
      <c r="C2227" s="638">
        <v>4103.0749999999998</v>
      </c>
      <c r="D2227" s="633">
        <f t="shared" si="70"/>
        <v>4103.0749999999998</v>
      </c>
      <c r="E2227" s="608"/>
      <c r="F2227" s="760">
        <f t="shared" si="71"/>
        <v>1731.0725969803811</v>
      </c>
      <c r="M2227" s="443"/>
    </row>
    <row r="2228" spans="1:13">
      <c r="A2228" s="639">
        <v>40213</v>
      </c>
      <c r="B2228" s="639">
        <v>1700</v>
      </c>
      <c r="C2228" s="638">
        <v>4253.8440000000001</v>
      </c>
      <c r="D2228" s="633">
        <f t="shared" si="70"/>
        <v>4253.8440000000001</v>
      </c>
      <c r="E2228" s="608"/>
      <c r="F2228" s="760">
        <f t="shared" si="71"/>
        <v>1794.6814962508392</v>
      </c>
      <c r="M2228" s="443"/>
    </row>
    <row r="2229" spans="1:13">
      <c r="A2229" s="639">
        <v>40213</v>
      </c>
      <c r="B2229" s="639">
        <v>1800</v>
      </c>
      <c r="C2229" s="638">
        <v>4207.3040000000001</v>
      </c>
      <c r="D2229" s="633">
        <f t="shared" si="70"/>
        <v>4207.3040000000001</v>
      </c>
      <c r="E2229" s="608"/>
      <c r="F2229" s="760">
        <f t="shared" si="71"/>
        <v>1775.0464375050287</v>
      </c>
      <c r="M2229" s="443"/>
    </row>
    <row r="2230" spans="1:13">
      <c r="A2230" s="639">
        <v>40213</v>
      </c>
      <c r="B2230" s="639">
        <v>1900</v>
      </c>
      <c r="C2230" s="638">
        <v>4489.9009999999998</v>
      </c>
      <c r="D2230" s="633">
        <f t="shared" si="70"/>
        <v>4489.9009999999998</v>
      </c>
      <c r="E2230" s="608"/>
      <c r="F2230" s="760">
        <f t="shared" si="71"/>
        <v>1894.2730962155968</v>
      </c>
      <c r="M2230" s="443"/>
    </row>
    <row r="2231" spans="1:13">
      <c r="A2231" s="639">
        <v>40213</v>
      </c>
      <c r="B2231" s="639">
        <v>2000</v>
      </c>
      <c r="C2231" s="638">
        <v>4937.2879999999996</v>
      </c>
      <c r="D2231" s="633">
        <f t="shared" si="70"/>
        <v>4937.2879999999996</v>
      </c>
      <c r="E2231" s="608"/>
      <c r="F2231" s="760">
        <f t="shared" si="71"/>
        <v>2083.0240637083339</v>
      </c>
      <c r="M2231" s="443"/>
    </row>
    <row r="2232" spans="1:13">
      <c r="A2232" s="639">
        <v>40213</v>
      </c>
      <c r="B2232" s="639">
        <v>2100</v>
      </c>
      <c r="C2232" s="638">
        <v>4861.2089999999998</v>
      </c>
      <c r="D2232" s="633">
        <f t="shared" si="70"/>
        <v>4861.2089999999998</v>
      </c>
      <c r="E2232" s="608"/>
      <c r="F2232" s="760">
        <f t="shared" si="71"/>
        <v>2050.9266070189801</v>
      </c>
      <c r="M2232" s="443"/>
    </row>
    <row r="2233" spans="1:13">
      <c r="A2233" s="639">
        <v>40213</v>
      </c>
      <c r="B2233" s="639">
        <v>2200</v>
      </c>
      <c r="C2233" s="638">
        <v>4403.7460000000001</v>
      </c>
      <c r="D2233" s="633">
        <f t="shared" si="70"/>
        <v>4403.7460000000001</v>
      </c>
      <c r="E2233" s="608"/>
      <c r="F2233" s="760">
        <f t="shared" si="71"/>
        <v>1857.9246113370987</v>
      </c>
      <c r="M2233" s="443"/>
    </row>
    <row r="2234" spans="1:13">
      <c r="A2234" s="639">
        <v>40213</v>
      </c>
      <c r="B2234" s="639">
        <v>2300</v>
      </c>
      <c r="C2234" s="638">
        <v>3810.26</v>
      </c>
      <c r="D2234" s="633">
        <f t="shared" si="70"/>
        <v>3810.26</v>
      </c>
      <c r="E2234" s="608"/>
      <c r="F2234" s="760">
        <f t="shared" si="71"/>
        <v>1607.5350007909842</v>
      </c>
      <c r="M2234" s="443"/>
    </row>
    <row r="2235" spans="1:13">
      <c r="A2235" s="639">
        <v>40213</v>
      </c>
      <c r="B2235" s="639">
        <v>2400</v>
      </c>
      <c r="C2235" s="638">
        <v>3588.7069999999999</v>
      </c>
      <c r="D2235" s="633">
        <f t="shared" si="70"/>
        <v>3588.7069999999999</v>
      </c>
      <c r="E2235" s="608"/>
      <c r="F2235" s="760">
        <f t="shared" si="71"/>
        <v>1514.0625863021448</v>
      </c>
      <c r="M2235" s="443"/>
    </row>
    <row r="2236" spans="1:13">
      <c r="A2236" s="639">
        <v>40313</v>
      </c>
      <c r="B2236" s="639">
        <v>100</v>
      </c>
      <c r="C2236" s="638">
        <v>3645.2489999999998</v>
      </c>
      <c r="D2236" s="633">
        <f t="shared" si="70"/>
        <v>3645.2489999999998</v>
      </c>
      <c r="E2236" s="608"/>
      <c r="F2236" s="760">
        <f t="shared" si="71"/>
        <v>1537.917452903039</v>
      </c>
      <c r="M2236" s="443"/>
    </row>
    <row r="2237" spans="1:13">
      <c r="A2237" s="639">
        <v>40313</v>
      </c>
      <c r="B2237" s="639">
        <v>200</v>
      </c>
      <c r="C2237" s="638">
        <v>3605.3330000000001</v>
      </c>
      <c r="D2237" s="633">
        <f t="shared" si="70"/>
        <v>3605.3330000000001</v>
      </c>
      <c r="E2237" s="608"/>
      <c r="F2237" s="760">
        <f t="shared" si="71"/>
        <v>1521.077035952077</v>
      </c>
      <c r="M2237" s="443"/>
    </row>
    <row r="2238" spans="1:13">
      <c r="A2238" s="639">
        <v>40313</v>
      </c>
      <c r="B2238" s="639">
        <v>300</v>
      </c>
      <c r="C2238" s="638">
        <v>3615.5320000000002</v>
      </c>
      <c r="D2238" s="633">
        <f t="shared" si="70"/>
        <v>3615.5320000000002</v>
      </c>
      <c r="E2238" s="608"/>
      <c r="F2238" s="760">
        <f t="shared" si="71"/>
        <v>1525.3799573991878</v>
      </c>
      <c r="M2238" s="443"/>
    </row>
    <row r="2239" spans="1:13">
      <c r="A2239" s="639">
        <v>40313</v>
      </c>
      <c r="B2239" s="639">
        <v>400</v>
      </c>
      <c r="C2239" s="638">
        <v>3715.1439999999998</v>
      </c>
      <c r="D2239" s="633">
        <f t="shared" si="70"/>
        <v>3715.1439999999998</v>
      </c>
      <c r="E2239" s="608"/>
      <c r="F2239" s="760">
        <f t="shared" si="71"/>
        <v>1567.4059022162844</v>
      </c>
      <c r="M2239" s="443"/>
    </row>
    <row r="2240" spans="1:13">
      <c r="A2240" s="639">
        <v>40313</v>
      </c>
      <c r="B2240" s="639">
        <v>500</v>
      </c>
      <c r="C2240" s="638">
        <v>4088.36</v>
      </c>
      <c r="D2240" s="633">
        <f t="shared" si="70"/>
        <v>4088.36</v>
      </c>
      <c r="E2240" s="608"/>
      <c r="F2240" s="760">
        <f t="shared" si="71"/>
        <v>1724.8643913627491</v>
      </c>
      <c r="M2240" s="443"/>
    </row>
    <row r="2241" spans="1:13">
      <c r="A2241" s="639">
        <v>40313</v>
      </c>
      <c r="B2241" s="639">
        <v>600</v>
      </c>
      <c r="C2241" s="638">
        <v>4622.7349999999997</v>
      </c>
      <c r="D2241" s="633">
        <f t="shared" si="70"/>
        <v>4622.7349999999997</v>
      </c>
      <c r="E2241" s="608"/>
      <c r="F2241" s="760">
        <f t="shared" si="71"/>
        <v>1950.3152834403713</v>
      </c>
      <c r="M2241" s="443"/>
    </row>
    <row r="2242" spans="1:13">
      <c r="A2242" s="639">
        <v>40313</v>
      </c>
      <c r="B2242" s="639">
        <v>700</v>
      </c>
      <c r="C2242" s="638">
        <v>4762.83</v>
      </c>
      <c r="D2242" s="633">
        <f t="shared" si="70"/>
        <v>4762.83</v>
      </c>
      <c r="E2242" s="608"/>
      <c r="F2242" s="760">
        <f t="shared" si="71"/>
        <v>2009.4208604707612</v>
      </c>
      <c r="M2242" s="443"/>
    </row>
    <row r="2243" spans="1:13">
      <c r="A2243" s="639">
        <v>40313</v>
      </c>
      <c r="B2243" s="639">
        <v>800</v>
      </c>
      <c r="C2243" s="638">
        <v>4312.26</v>
      </c>
      <c r="D2243" s="633">
        <f t="shared" si="70"/>
        <v>4312.26</v>
      </c>
      <c r="E2243" s="608"/>
      <c r="F2243" s="760">
        <f t="shared" si="71"/>
        <v>1819.3269967170033</v>
      </c>
      <c r="M2243" s="443"/>
    </row>
    <row r="2244" spans="1:13">
      <c r="A2244" s="639">
        <v>40313</v>
      </c>
      <c r="B2244" s="639">
        <v>900</v>
      </c>
      <c r="C2244" s="638">
        <v>4067.18</v>
      </c>
      <c r="D2244" s="633">
        <f t="shared" si="70"/>
        <v>4067.18</v>
      </c>
      <c r="E2244" s="608"/>
      <c r="F2244" s="760">
        <f t="shared" si="71"/>
        <v>1715.9286254788583</v>
      </c>
      <c r="M2244" s="443"/>
    </row>
    <row r="2245" spans="1:13">
      <c r="A2245" s="639">
        <v>40313</v>
      </c>
      <c r="B2245" s="639">
        <v>1000</v>
      </c>
      <c r="C2245" s="638">
        <v>3870.3969999999999</v>
      </c>
      <c r="D2245" s="633">
        <f t="shared" ref="D2245:D2308" si="72">C2245</f>
        <v>3870.3969999999999</v>
      </c>
      <c r="E2245" s="608"/>
      <c r="F2245" s="760">
        <f t="shared" si="71"/>
        <v>1632.9065849722651</v>
      </c>
      <c r="M2245" s="443"/>
    </row>
    <row r="2246" spans="1:13">
      <c r="A2246" s="639">
        <v>40313</v>
      </c>
      <c r="B2246" s="639">
        <v>1100</v>
      </c>
      <c r="C2246" s="638">
        <v>3881.0450000000001</v>
      </c>
      <c r="D2246" s="633">
        <f t="shared" si="72"/>
        <v>3881.0450000000001</v>
      </c>
      <c r="E2246" s="608"/>
      <c r="F2246" s="760">
        <f t="shared" si="71"/>
        <v>1637.3989379057714</v>
      </c>
      <c r="M2246" s="443"/>
    </row>
    <row r="2247" spans="1:13">
      <c r="A2247" s="639">
        <v>40313</v>
      </c>
      <c r="B2247" s="639">
        <v>1200</v>
      </c>
      <c r="C2247" s="638">
        <v>3740.527</v>
      </c>
      <c r="D2247" s="633">
        <f t="shared" si="72"/>
        <v>3740.527</v>
      </c>
      <c r="E2247" s="608"/>
      <c r="F2247" s="760">
        <f t="shared" si="71"/>
        <v>1578.1148986955477</v>
      </c>
      <c r="M2247" s="443"/>
    </row>
    <row r="2248" spans="1:13">
      <c r="A2248" s="639">
        <v>40313</v>
      </c>
      <c r="B2248" s="639">
        <v>1300</v>
      </c>
      <c r="C2248" s="638">
        <v>3724.2089999999998</v>
      </c>
      <c r="D2248" s="633">
        <f t="shared" si="72"/>
        <v>3724.2089999999998</v>
      </c>
      <c r="E2248" s="608"/>
      <c r="F2248" s="760">
        <f t="shared" si="71"/>
        <v>1571.2303931387332</v>
      </c>
      <c r="M2248" s="443"/>
    </row>
    <row r="2249" spans="1:13">
      <c r="A2249" s="639">
        <v>40313</v>
      </c>
      <c r="B2249" s="639">
        <v>1400</v>
      </c>
      <c r="C2249" s="638">
        <v>3676.9059999999999</v>
      </c>
      <c r="D2249" s="633">
        <f t="shared" si="72"/>
        <v>3676.9059999999999</v>
      </c>
      <c r="E2249" s="608"/>
      <c r="F2249" s="760">
        <f t="shared" si="71"/>
        <v>1551.2734274349714</v>
      </c>
      <c r="M2249" s="443"/>
    </row>
    <row r="2250" spans="1:13">
      <c r="A2250" s="639">
        <v>40313</v>
      </c>
      <c r="B2250" s="639">
        <v>1500</v>
      </c>
      <c r="C2250" s="638">
        <v>3692.2069999999999</v>
      </c>
      <c r="D2250" s="633">
        <f t="shared" si="72"/>
        <v>3692.2069999999999</v>
      </c>
      <c r="E2250" s="608"/>
      <c r="F2250" s="760">
        <f t="shared" si="71"/>
        <v>1557.7288643466527</v>
      </c>
      <c r="M2250" s="443"/>
    </row>
    <row r="2251" spans="1:13">
      <c r="A2251" s="639">
        <v>40313</v>
      </c>
      <c r="B2251" s="639">
        <v>1600</v>
      </c>
      <c r="C2251" s="638">
        <v>3865.0450000000001</v>
      </c>
      <c r="D2251" s="633">
        <f t="shared" si="72"/>
        <v>3865.0450000000001</v>
      </c>
      <c r="E2251" s="608"/>
      <c r="F2251" s="760">
        <f t="shared" si="71"/>
        <v>1630.6485954061375</v>
      </c>
      <c r="M2251" s="443"/>
    </row>
    <row r="2252" spans="1:13">
      <c r="A2252" s="639">
        <v>40313</v>
      </c>
      <c r="B2252" s="639">
        <v>1700</v>
      </c>
      <c r="C2252" s="638">
        <v>4053.817</v>
      </c>
      <c r="D2252" s="633">
        <f t="shared" si="72"/>
        <v>4053.817</v>
      </c>
      <c r="E2252" s="608"/>
      <c r="F2252" s="760">
        <f t="shared" ref="F2252:F2315" si="73">(D2252/(MAX($D$2188:$D$2907)))*$M$7</f>
        <v>1710.2908238024452</v>
      </c>
      <c r="M2252" s="443"/>
    </row>
    <row r="2253" spans="1:13">
      <c r="A2253" s="639">
        <v>40313</v>
      </c>
      <c r="B2253" s="639">
        <v>1800</v>
      </c>
      <c r="C2253" s="638">
        <v>4148.2299999999996</v>
      </c>
      <c r="D2253" s="633">
        <f t="shared" si="72"/>
        <v>4148.2299999999996</v>
      </c>
      <c r="E2253" s="608"/>
      <c r="F2253" s="760">
        <f t="shared" si="73"/>
        <v>1750.1233292035672</v>
      </c>
      <c r="M2253" s="443"/>
    </row>
    <row r="2254" spans="1:13">
      <c r="A2254" s="639">
        <v>40313</v>
      </c>
      <c r="B2254" s="639">
        <v>1900</v>
      </c>
      <c r="C2254" s="638">
        <v>4433.9279999999999</v>
      </c>
      <c r="D2254" s="633">
        <f t="shared" si="72"/>
        <v>4433.9279999999999</v>
      </c>
      <c r="E2254" s="608"/>
      <c r="F2254" s="760">
        <f t="shared" si="73"/>
        <v>1870.6582886698457</v>
      </c>
      <c r="M2254" s="443"/>
    </row>
    <row r="2255" spans="1:13">
      <c r="A2255" s="639">
        <v>40313</v>
      </c>
      <c r="B2255" s="639">
        <v>2000</v>
      </c>
      <c r="C2255" s="638">
        <v>4859.42</v>
      </c>
      <c r="D2255" s="633">
        <f t="shared" si="72"/>
        <v>4859.42</v>
      </c>
      <c r="E2255" s="608"/>
      <c r="F2255" s="760">
        <f t="shared" si="73"/>
        <v>2050.1718343482398</v>
      </c>
      <c r="M2255" s="443"/>
    </row>
    <row r="2256" spans="1:13">
      <c r="A2256" s="639">
        <v>40313</v>
      </c>
      <c r="B2256" s="639">
        <v>2100</v>
      </c>
      <c r="C2256" s="638">
        <v>4714.2039999999997</v>
      </c>
      <c r="D2256" s="633">
        <f t="shared" si="72"/>
        <v>4714.2039999999997</v>
      </c>
      <c r="E2256" s="608"/>
      <c r="F2256" s="760">
        <f t="shared" si="73"/>
        <v>1988.9057258215607</v>
      </c>
      <c r="M2256" s="443"/>
    </row>
    <row r="2257" spans="1:13">
      <c r="A2257" s="639">
        <v>40313</v>
      </c>
      <c r="B2257" s="639">
        <v>2200</v>
      </c>
      <c r="C2257" s="638">
        <v>4259.6840000000002</v>
      </c>
      <c r="D2257" s="633">
        <f t="shared" si="72"/>
        <v>4259.6840000000002</v>
      </c>
      <c r="E2257" s="608"/>
      <c r="F2257" s="760">
        <f t="shared" si="73"/>
        <v>1797.1453712632058</v>
      </c>
      <c r="M2257" s="443"/>
    </row>
    <row r="2258" spans="1:13">
      <c r="A2258" s="639">
        <v>40313</v>
      </c>
      <c r="B2258" s="639">
        <v>2300</v>
      </c>
      <c r="C2258" s="638">
        <v>3746.9540000000002</v>
      </c>
      <c r="D2258" s="633">
        <f t="shared" si="72"/>
        <v>3746.9540000000002</v>
      </c>
      <c r="E2258" s="608"/>
      <c r="F2258" s="760">
        <f t="shared" si="73"/>
        <v>1580.8264268983694</v>
      </c>
      <c r="M2258" s="443"/>
    </row>
    <row r="2259" spans="1:13">
      <c r="A2259" s="639">
        <v>40313</v>
      </c>
      <c r="B2259" s="639">
        <v>2400</v>
      </c>
      <c r="C2259" s="638">
        <v>3571.0239999999999</v>
      </c>
      <c r="D2259" s="633">
        <f t="shared" si="72"/>
        <v>3571.0239999999999</v>
      </c>
      <c r="E2259" s="608"/>
      <c r="F2259" s="760">
        <f t="shared" si="73"/>
        <v>1506.6021921508304</v>
      </c>
      <c r="M2259" s="443"/>
    </row>
    <row r="2260" spans="1:13">
      <c r="A2260" s="639">
        <v>40413</v>
      </c>
      <c r="B2260" s="639">
        <v>100</v>
      </c>
      <c r="C2260" s="638">
        <v>3635.0650000000001</v>
      </c>
      <c r="D2260" s="633">
        <f t="shared" si="72"/>
        <v>3635.0650000000001</v>
      </c>
      <c r="E2260" s="608"/>
      <c r="F2260" s="760">
        <f t="shared" si="73"/>
        <v>1533.6208599020219</v>
      </c>
      <c r="M2260" s="443"/>
    </row>
    <row r="2261" spans="1:13">
      <c r="A2261" s="639">
        <v>40413</v>
      </c>
      <c r="B2261" s="639">
        <v>200</v>
      </c>
      <c r="C2261" s="638">
        <v>3553.0749999999998</v>
      </c>
      <c r="D2261" s="633">
        <f t="shared" si="72"/>
        <v>3553.0749999999998</v>
      </c>
      <c r="E2261" s="608"/>
      <c r="F2261" s="760">
        <f t="shared" si="73"/>
        <v>1499.0295735554596</v>
      </c>
      <c r="M2261" s="443"/>
    </row>
    <row r="2262" spans="1:13">
      <c r="A2262" s="639">
        <v>40413</v>
      </c>
      <c r="B2262" s="639">
        <v>300</v>
      </c>
      <c r="C2262" s="638">
        <v>3557.7759999999998</v>
      </c>
      <c r="D2262" s="633">
        <f t="shared" si="72"/>
        <v>3557.7759999999998</v>
      </c>
      <c r="E2262" s="608"/>
      <c r="F2262" s="760">
        <f t="shared" si="73"/>
        <v>1501.0129085611334</v>
      </c>
      <c r="M2262" s="443"/>
    </row>
    <row r="2263" spans="1:13">
      <c r="A2263" s="639">
        <v>40413</v>
      </c>
      <c r="B2263" s="639">
        <v>400</v>
      </c>
      <c r="C2263" s="638">
        <v>3625.2460000000001</v>
      </c>
      <c r="D2263" s="633">
        <f t="shared" si="72"/>
        <v>3625.2460000000001</v>
      </c>
      <c r="E2263" s="608"/>
      <c r="F2263" s="760">
        <f t="shared" si="73"/>
        <v>1529.478259089278</v>
      </c>
      <c r="M2263" s="443"/>
    </row>
    <row r="2264" spans="1:13">
      <c r="A2264" s="639">
        <v>40413</v>
      </c>
      <c r="B2264" s="639">
        <v>500</v>
      </c>
      <c r="C2264" s="638">
        <v>4036.3150000000001</v>
      </c>
      <c r="D2264" s="633">
        <f t="shared" si="72"/>
        <v>4036.3150000000001</v>
      </c>
      <c r="E2264" s="608"/>
      <c r="F2264" s="760">
        <f t="shared" si="73"/>
        <v>1702.906792900658</v>
      </c>
      <c r="M2264" s="443"/>
    </row>
    <row r="2265" spans="1:13">
      <c r="A2265" s="639">
        <v>40413</v>
      </c>
      <c r="B2265" s="639">
        <v>600</v>
      </c>
      <c r="C2265" s="638">
        <v>4616.2380000000003</v>
      </c>
      <c r="D2265" s="633">
        <f t="shared" si="72"/>
        <v>4616.2380000000003</v>
      </c>
      <c r="E2265" s="608"/>
      <c r="F2265" s="760">
        <f t="shared" si="73"/>
        <v>1947.5742224891139</v>
      </c>
      <c r="M2265" s="443"/>
    </row>
    <row r="2266" spans="1:13">
      <c r="A2266" s="639">
        <v>40413</v>
      </c>
      <c r="B2266" s="639">
        <v>700</v>
      </c>
      <c r="C2266" s="638">
        <v>4671.7299999999996</v>
      </c>
      <c r="D2266" s="633">
        <f t="shared" si="72"/>
        <v>4671.7299999999996</v>
      </c>
      <c r="E2266" s="608"/>
      <c r="F2266" s="760">
        <f t="shared" si="73"/>
        <v>1970.9860978634695</v>
      </c>
      <c r="M2266" s="443"/>
    </row>
    <row r="2267" spans="1:13">
      <c r="A2267" s="639">
        <v>40413</v>
      </c>
      <c r="B2267" s="639">
        <v>800</v>
      </c>
      <c r="C2267" s="638">
        <v>4212.7330000000002</v>
      </c>
      <c r="D2267" s="633">
        <f t="shared" si="72"/>
        <v>4212.7330000000002</v>
      </c>
      <c r="E2267" s="608"/>
      <c r="F2267" s="760">
        <f t="shared" si="73"/>
        <v>1777.3369130944359</v>
      </c>
      <c r="M2267" s="443"/>
    </row>
    <row r="2268" spans="1:13">
      <c r="A2268" s="639">
        <v>40413</v>
      </c>
      <c r="B2268" s="639">
        <v>900</v>
      </c>
      <c r="C2268" s="638">
        <v>3936.875</v>
      </c>
      <c r="D2268" s="633">
        <f t="shared" si="72"/>
        <v>3936.875</v>
      </c>
      <c r="E2268" s="608"/>
      <c r="F2268" s="760">
        <f t="shared" si="73"/>
        <v>1660.9534142654322</v>
      </c>
      <c r="M2268" s="443"/>
    </row>
    <row r="2269" spans="1:13">
      <c r="A2269" s="639">
        <v>40413</v>
      </c>
      <c r="B2269" s="639">
        <v>1000</v>
      </c>
      <c r="C2269" s="638">
        <v>3743.511</v>
      </c>
      <c r="D2269" s="633">
        <f t="shared" si="72"/>
        <v>3743.511</v>
      </c>
      <c r="E2269" s="608"/>
      <c r="F2269" s="760">
        <f t="shared" si="73"/>
        <v>1579.3738375717294</v>
      </c>
      <c r="M2269" s="443"/>
    </row>
    <row r="2270" spans="1:13">
      <c r="A2270" s="639">
        <v>40413</v>
      </c>
      <c r="B2270" s="639">
        <v>1100</v>
      </c>
      <c r="C2270" s="638">
        <v>3561.3710000000001</v>
      </c>
      <c r="D2270" s="633">
        <f t="shared" si="72"/>
        <v>3561.3710000000001</v>
      </c>
      <c r="E2270" s="608"/>
      <c r="F2270" s="760">
        <f t="shared" si="73"/>
        <v>1502.5296261415199</v>
      </c>
      <c r="M2270" s="443"/>
    </row>
    <row r="2271" spans="1:13">
      <c r="A2271" s="639">
        <v>40413</v>
      </c>
      <c r="B2271" s="639">
        <v>1200</v>
      </c>
      <c r="C2271" s="638">
        <v>3491.0149999999999</v>
      </c>
      <c r="D2271" s="633">
        <f t="shared" si="72"/>
        <v>3491.0149999999999</v>
      </c>
      <c r="E2271" s="608"/>
      <c r="F2271" s="760">
        <f t="shared" si="73"/>
        <v>1472.8466825850039</v>
      </c>
      <c r="M2271" s="443"/>
    </row>
    <row r="2272" spans="1:13">
      <c r="A2272" s="639">
        <v>40413</v>
      </c>
      <c r="B2272" s="639">
        <v>1300</v>
      </c>
      <c r="C2272" s="638">
        <v>3396.9029999999998</v>
      </c>
      <c r="D2272" s="633">
        <f t="shared" si="72"/>
        <v>3396.9029999999998</v>
      </c>
      <c r="E2272" s="608"/>
      <c r="F2272" s="760">
        <f t="shared" si="73"/>
        <v>1433.1411680021563</v>
      </c>
      <c r="M2272" s="443"/>
    </row>
    <row r="2273" spans="1:13">
      <c r="A2273" s="639">
        <v>40413</v>
      </c>
      <c r="B2273" s="639">
        <v>1400</v>
      </c>
      <c r="C2273" s="638">
        <v>3312.654</v>
      </c>
      <c r="D2273" s="633">
        <f t="shared" si="72"/>
        <v>3312.654</v>
      </c>
      <c r="E2273" s="608"/>
      <c r="F2273" s="760">
        <f t="shared" si="73"/>
        <v>1397.5968176739268</v>
      </c>
      <c r="M2273" s="443"/>
    </row>
    <row r="2274" spans="1:13">
      <c r="A2274" s="639">
        <v>40413</v>
      </c>
      <c r="B2274" s="639">
        <v>1500</v>
      </c>
      <c r="C2274" s="638">
        <v>3374.183</v>
      </c>
      <c r="D2274" s="633">
        <f t="shared" si="72"/>
        <v>3374.183</v>
      </c>
      <c r="E2274" s="608"/>
      <c r="F2274" s="760">
        <f t="shared" si="73"/>
        <v>1423.555681652676</v>
      </c>
      <c r="M2274" s="443"/>
    </row>
    <row r="2275" spans="1:13">
      <c r="A2275" s="639">
        <v>40413</v>
      </c>
      <c r="B2275" s="639">
        <v>1600</v>
      </c>
      <c r="C2275" s="638">
        <v>3514.5349999999999</v>
      </c>
      <c r="D2275" s="633">
        <f t="shared" si="72"/>
        <v>3514.5349999999999</v>
      </c>
      <c r="E2275" s="608"/>
      <c r="F2275" s="760">
        <f t="shared" si="73"/>
        <v>1482.769686059466</v>
      </c>
      <c r="M2275" s="443"/>
    </row>
    <row r="2276" spans="1:13">
      <c r="A2276" s="639">
        <v>40413</v>
      </c>
      <c r="B2276" s="639">
        <v>1700</v>
      </c>
      <c r="C2276" s="638">
        <v>3676.9850000000001</v>
      </c>
      <c r="D2276" s="633">
        <f t="shared" si="72"/>
        <v>3676.9850000000001</v>
      </c>
      <c r="E2276" s="608"/>
      <c r="F2276" s="760">
        <f t="shared" si="73"/>
        <v>1551.3067572510633</v>
      </c>
      <c r="M2276" s="443"/>
    </row>
    <row r="2277" spans="1:13">
      <c r="A2277" s="639">
        <v>40413</v>
      </c>
      <c r="B2277" s="639">
        <v>1800</v>
      </c>
      <c r="C2277" s="638">
        <v>3799.5410000000002</v>
      </c>
      <c r="D2277" s="633">
        <f t="shared" si="72"/>
        <v>3799.5410000000002</v>
      </c>
      <c r="E2277" s="608"/>
      <c r="F2277" s="760">
        <f t="shared" si="73"/>
        <v>1603.0126932126357</v>
      </c>
      <c r="M2277" s="443"/>
    </row>
    <row r="2278" spans="1:13">
      <c r="A2278" s="639">
        <v>40413</v>
      </c>
      <c r="B2278" s="639">
        <v>1900</v>
      </c>
      <c r="C2278" s="638">
        <v>3989.8890000000001</v>
      </c>
      <c r="D2278" s="633">
        <f t="shared" si="72"/>
        <v>3989.8890000000001</v>
      </c>
      <c r="E2278" s="608"/>
      <c r="F2278" s="760">
        <f t="shared" si="73"/>
        <v>1683.3198303451575</v>
      </c>
      <c r="M2278" s="443"/>
    </row>
    <row r="2279" spans="1:13">
      <c r="A2279" s="639">
        <v>40413</v>
      </c>
      <c r="B2279" s="639">
        <v>2000</v>
      </c>
      <c r="C2279" s="638">
        <v>4442.9319999999998</v>
      </c>
      <c r="D2279" s="633">
        <f t="shared" si="72"/>
        <v>4442.9319999999998</v>
      </c>
      <c r="E2279" s="608"/>
      <c r="F2279" s="760">
        <f t="shared" si="73"/>
        <v>1874.4570439115148</v>
      </c>
      <c r="M2279" s="443"/>
    </row>
    <row r="2280" spans="1:13">
      <c r="A2280" s="639">
        <v>40413</v>
      </c>
      <c r="B2280" s="639">
        <v>2100</v>
      </c>
      <c r="C2280" s="638">
        <v>4392.74</v>
      </c>
      <c r="D2280" s="633">
        <f t="shared" si="72"/>
        <v>4392.74</v>
      </c>
      <c r="E2280" s="608"/>
      <c r="F2280" s="760">
        <f t="shared" si="73"/>
        <v>1853.2812194901626</v>
      </c>
      <c r="M2280" s="443"/>
    </row>
    <row r="2281" spans="1:13">
      <c r="A2281" s="639">
        <v>40413</v>
      </c>
      <c r="B2281" s="639">
        <v>2200</v>
      </c>
      <c r="C2281" s="638">
        <v>3943.02</v>
      </c>
      <c r="D2281" s="633">
        <f t="shared" si="72"/>
        <v>3943.02</v>
      </c>
      <c r="E2281" s="608"/>
      <c r="F2281" s="760">
        <f t="shared" si="73"/>
        <v>1663.5459676816979</v>
      </c>
      <c r="M2281" s="443"/>
    </row>
    <row r="2282" spans="1:13">
      <c r="A2282" s="639">
        <v>40413</v>
      </c>
      <c r="B2282" s="639">
        <v>2300</v>
      </c>
      <c r="C2282" s="638">
        <v>3404.1010000000001</v>
      </c>
      <c r="D2282" s="633">
        <f t="shared" si="72"/>
        <v>3404.1010000000001</v>
      </c>
      <c r="E2282" s="608"/>
      <c r="F2282" s="760">
        <f t="shared" si="73"/>
        <v>1436.1779783341794</v>
      </c>
      <c r="M2282" s="443"/>
    </row>
    <row r="2283" spans="1:13">
      <c r="A2283" s="639">
        <v>40413</v>
      </c>
      <c r="B2283" s="639">
        <v>2400</v>
      </c>
      <c r="C2283" s="638">
        <v>3266.172</v>
      </c>
      <c r="D2283" s="633">
        <f t="shared" si="72"/>
        <v>3266.172</v>
      </c>
      <c r="E2283" s="608"/>
      <c r="F2283" s="760">
        <f t="shared" si="73"/>
        <v>1377.9862289196774</v>
      </c>
      <c r="M2283" s="443"/>
    </row>
    <row r="2284" spans="1:13">
      <c r="A2284" s="639">
        <v>40513</v>
      </c>
      <c r="B2284" s="639">
        <v>100</v>
      </c>
      <c r="C2284" s="638">
        <v>3224.5810000000001</v>
      </c>
      <c r="D2284" s="633">
        <f t="shared" si="72"/>
        <v>3224.5810000000001</v>
      </c>
      <c r="E2284" s="608"/>
      <c r="F2284" s="760">
        <f t="shared" si="73"/>
        <v>1360.4391354882848</v>
      </c>
      <c r="M2284" s="443"/>
    </row>
    <row r="2285" spans="1:13">
      <c r="A2285" s="639">
        <v>40513</v>
      </c>
      <c r="B2285" s="639">
        <v>200</v>
      </c>
      <c r="C2285" s="638">
        <v>3177.8330000000001</v>
      </c>
      <c r="D2285" s="633">
        <f t="shared" si="72"/>
        <v>3177.8330000000001</v>
      </c>
      <c r="E2285" s="608"/>
      <c r="F2285" s="760">
        <f t="shared" si="73"/>
        <v>1340.716322289979</v>
      </c>
      <c r="M2285" s="443"/>
    </row>
    <row r="2286" spans="1:13">
      <c r="A2286" s="639">
        <v>40513</v>
      </c>
      <c r="B2286" s="639">
        <v>300</v>
      </c>
      <c r="C2286" s="638">
        <v>3155.3029999999999</v>
      </c>
      <c r="D2286" s="633">
        <f t="shared" si="72"/>
        <v>3155.3029999999999</v>
      </c>
      <c r="E2286" s="608"/>
      <c r="F2286" s="760">
        <f t="shared" si="73"/>
        <v>1331.2109962576817</v>
      </c>
      <c r="M2286" s="443"/>
    </row>
    <row r="2287" spans="1:13">
      <c r="A2287" s="639">
        <v>40513</v>
      </c>
      <c r="B2287" s="639">
        <v>400</v>
      </c>
      <c r="C2287" s="638">
        <v>3228.2959999999998</v>
      </c>
      <c r="D2287" s="633">
        <f t="shared" si="72"/>
        <v>3228.2959999999998</v>
      </c>
      <c r="E2287" s="608"/>
      <c r="F2287" s="760">
        <f t="shared" si="73"/>
        <v>1362.0064806374187</v>
      </c>
      <c r="M2287" s="443"/>
    </row>
    <row r="2288" spans="1:13">
      <c r="A2288" s="639">
        <v>40513</v>
      </c>
      <c r="B2288" s="639">
        <v>500</v>
      </c>
      <c r="C2288" s="638">
        <v>3656.3939999999998</v>
      </c>
      <c r="D2288" s="633">
        <f t="shared" si="72"/>
        <v>3656.3939999999998</v>
      </c>
      <c r="E2288" s="608"/>
      <c r="F2288" s="760">
        <f t="shared" si="73"/>
        <v>1542.6194883504406</v>
      </c>
      <c r="M2288" s="443"/>
    </row>
    <row r="2289" spans="1:13">
      <c r="A2289" s="639">
        <v>40513</v>
      </c>
      <c r="B2289" s="639">
        <v>600</v>
      </c>
      <c r="C2289" s="638">
        <v>4107.5829999999996</v>
      </c>
      <c r="D2289" s="633">
        <f t="shared" si="72"/>
        <v>4107.5829999999996</v>
      </c>
      <c r="E2289" s="608"/>
      <c r="F2289" s="760">
        <f t="shared" si="73"/>
        <v>1732.9745059796528</v>
      </c>
      <c r="M2289" s="443"/>
    </row>
    <row r="2290" spans="1:13">
      <c r="A2290" s="639">
        <v>40513</v>
      </c>
      <c r="B2290" s="639">
        <v>700</v>
      </c>
      <c r="C2290" s="638">
        <v>4265.5309999999999</v>
      </c>
      <c r="D2290" s="633">
        <f t="shared" si="72"/>
        <v>4265.5309999999999</v>
      </c>
      <c r="E2290" s="608"/>
      <c r="F2290" s="760">
        <f t="shared" si="73"/>
        <v>1799.6121995504157</v>
      </c>
      <c r="M2290" s="443"/>
    </row>
    <row r="2291" spans="1:13">
      <c r="A2291" s="639">
        <v>40513</v>
      </c>
      <c r="B2291" s="639">
        <v>800</v>
      </c>
      <c r="C2291" s="638">
        <v>3829.4769999999999</v>
      </c>
      <c r="D2291" s="633">
        <f t="shared" si="72"/>
        <v>3829.4769999999999</v>
      </c>
      <c r="E2291" s="608"/>
      <c r="F2291" s="760">
        <f t="shared" si="73"/>
        <v>1615.6425840294507</v>
      </c>
      <c r="M2291" s="443"/>
    </row>
    <row r="2292" spans="1:13">
      <c r="A2292" s="639">
        <v>40513</v>
      </c>
      <c r="B2292" s="639">
        <v>900</v>
      </c>
      <c r="C2292" s="638">
        <v>3759.989</v>
      </c>
      <c r="D2292" s="633">
        <f t="shared" si="72"/>
        <v>3759.989</v>
      </c>
      <c r="E2292" s="608"/>
      <c r="F2292" s="760">
        <f t="shared" si="73"/>
        <v>1586.32584655354</v>
      </c>
      <c r="M2292" s="443"/>
    </row>
    <row r="2293" spans="1:13">
      <c r="A2293" s="639">
        <v>40513</v>
      </c>
      <c r="B2293" s="639">
        <v>1000</v>
      </c>
      <c r="C2293" s="638">
        <v>3664.4929999999999</v>
      </c>
      <c r="D2293" s="633">
        <f t="shared" si="72"/>
        <v>3664.4929999999999</v>
      </c>
      <c r="E2293" s="608"/>
      <c r="F2293" s="760">
        <f t="shared" si="73"/>
        <v>1546.0364273444739</v>
      </c>
      <c r="M2293" s="443"/>
    </row>
    <row r="2294" spans="1:13">
      <c r="A2294" s="639">
        <v>40513</v>
      </c>
      <c r="B2294" s="639">
        <v>1100</v>
      </c>
      <c r="C2294" s="638">
        <v>3678.732</v>
      </c>
      <c r="D2294" s="633">
        <f t="shared" si="72"/>
        <v>3678.732</v>
      </c>
      <c r="E2294" s="608"/>
      <c r="F2294" s="760">
        <f t="shared" si="73"/>
        <v>1552.0438102727423</v>
      </c>
      <c r="M2294" s="443"/>
    </row>
    <row r="2295" spans="1:13">
      <c r="A2295" s="639">
        <v>40513</v>
      </c>
      <c r="B2295" s="639">
        <v>1200</v>
      </c>
      <c r="C2295" s="638">
        <v>3550.7089999999998</v>
      </c>
      <c r="D2295" s="633">
        <f t="shared" si="72"/>
        <v>3550.7089999999998</v>
      </c>
      <c r="E2295" s="608"/>
      <c r="F2295" s="760">
        <f t="shared" si="73"/>
        <v>1498.0313666583263</v>
      </c>
      <c r="M2295" s="443"/>
    </row>
    <row r="2296" spans="1:13">
      <c r="A2296" s="639">
        <v>40513</v>
      </c>
      <c r="B2296" s="639">
        <v>1300</v>
      </c>
      <c r="C2296" s="638">
        <v>3461.34</v>
      </c>
      <c r="D2296" s="633">
        <f t="shared" si="72"/>
        <v>3461.34</v>
      </c>
      <c r="E2296" s="608"/>
      <c r="F2296" s="760">
        <f t="shared" si="73"/>
        <v>1460.326906730214</v>
      </c>
      <c r="M2296" s="443"/>
    </row>
    <row r="2297" spans="1:13">
      <c r="A2297" s="639">
        <v>40513</v>
      </c>
      <c r="B2297" s="639">
        <v>1400</v>
      </c>
      <c r="C2297" s="638">
        <v>3429.2</v>
      </c>
      <c r="D2297" s="633">
        <f t="shared" si="72"/>
        <v>3429.2</v>
      </c>
      <c r="E2297" s="608"/>
      <c r="F2297" s="760">
        <f t="shared" si="73"/>
        <v>1446.7671562340738</v>
      </c>
      <c r="M2297" s="443"/>
    </row>
    <row r="2298" spans="1:13">
      <c r="A2298" s="639">
        <v>40513</v>
      </c>
      <c r="B2298" s="639">
        <v>1500</v>
      </c>
      <c r="C2298" s="638">
        <v>3471.8879999999999</v>
      </c>
      <c r="D2298" s="633">
        <f t="shared" si="72"/>
        <v>3471.8879999999999</v>
      </c>
      <c r="E2298" s="608"/>
      <c r="F2298" s="760">
        <f t="shared" si="73"/>
        <v>1464.7770700230976</v>
      </c>
      <c r="M2298" s="443"/>
    </row>
    <row r="2299" spans="1:13">
      <c r="A2299" s="639">
        <v>40513</v>
      </c>
      <c r="B2299" s="639">
        <v>1600</v>
      </c>
      <c r="C2299" s="638">
        <v>3461.4940000000001</v>
      </c>
      <c r="D2299" s="633">
        <f t="shared" si="72"/>
        <v>3461.4940000000001</v>
      </c>
      <c r="E2299" s="608"/>
      <c r="F2299" s="760">
        <f t="shared" si="73"/>
        <v>1460.391878776773</v>
      </c>
      <c r="M2299" s="443"/>
    </row>
    <row r="2300" spans="1:13">
      <c r="A2300" s="639">
        <v>40513</v>
      </c>
      <c r="B2300" s="639">
        <v>1700</v>
      </c>
      <c r="C2300" s="638">
        <v>3582.866</v>
      </c>
      <c r="D2300" s="633">
        <f t="shared" si="72"/>
        <v>3582.866</v>
      </c>
      <c r="E2300" s="608"/>
      <c r="F2300" s="760">
        <f t="shared" si="73"/>
        <v>1511.5982893933719</v>
      </c>
      <c r="M2300" s="443"/>
    </row>
    <row r="2301" spans="1:13">
      <c r="A2301" s="639">
        <v>40513</v>
      </c>
      <c r="B2301" s="639">
        <v>1800</v>
      </c>
      <c r="C2301" s="638">
        <v>3691.1260000000002</v>
      </c>
      <c r="D2301" s="633">
        <f t="shared" si="72"/>
        <v>3691.1260000000002</v>
      </c>
      <c r="E2301" s="608"/>
      <c r="F2301" s="760">
        <f t="shared" si="73"/>
        <v>1557.2727943315213</v>
      </c>
      <c r="M2301" s="443"/>
    </row>
    <row r="2302" spans="1:13">
      <c r="A2302" s="639">
        <v>40513</v>
      </c>
      <c r="B2302" s="639">
        <v>1900</v>
      </c>
      <c r="C2302" s="638">
        <v>3973.884</v>
      </c>
      <c r="D2302" s="633">
        <f t="shared" si="72"/>
        <v>3973.884</v>
      </c>
      <c r="E2302" s="608"/>
      <c r="F2302" s="760">
        <f t="shared" si="73"/>
        <v>1676.567378363492</v>
      </c>
      <c r="M2302" s="443"/>
    </row>
    <row r="2303" spans="1:13">
      <c r="A2303" s="639">
        <v>40513</v>
      </c>
      <c r="B2303" s="639">
        <v>2000</v>
      </c>
      <c r="C2303" s="638">
        <v>4417.8549999999996</v>
      </c>
      <c r="D2303" s="633">
        <f t="shared" si="72"/>
        <v>4417.8549999999996</v>
      </c>
      <c r="E2303" s="608"/>
      <c r="F2303" s="760">
        <f t="shared" si="73"/>
        <v>1863.877147732557</v>
      </c>
      <c r="M2303" s="443"/>
    </row>
    <row r="2304" spans="1:13">
      <c r="A2304" s="639">
        <v>40513</v>
      </c>
      <c r="B2304" s="639">
        <v>2100</v>
      </c>
      <c r="C2304" s="638">
        <v>4483.2120000000004</v>
      </c>
      <c r="D2304" s="633">
        <f t="shared" si="72"/>
        <v>4483.2120000000004</v>
      </c>
      <c r="E2304" s="608"/>
      <c r="F2304" s="760">
        <f t="shared" si="73"/>
        <v>1891.4510311543438</v>
      </c>
      <c r="M2304" s="443"/>
    </row>
    <row r="2305" spans="1:13">
      <c r="A2305" s="639">
        <v>40513</v>
      </c>
      <c r="B2305" s="639">
        <v>2200</v>
      </c>
      <c r="C2305" s="638">
        <v>4110.4740000000002</v>
      </c>
      <c r="D2305" s="633">
        <f t="shared" si="72"/>
        <v>4110.4740000000002</v>
      </c>
      <c r="E2305" s="608"/>
      <c r="F2305" s="760">
        <f t="shared" si="73"/>
        <v>1734.1942084900559</v>
      </c>
      <c r="M2305" s="443"/>
    </row>
    <row r="2306" spans="1:13">
      <c r="A2306" s="639">
        <v>40513</v>
      </c>
      <c r="B2306" s="639">
        <v>2300</v>
      </c>
      <c r="C2306" s="638">
        <v>3710.692</v>
      </c>
      <c r="D2306" s="633">
        <f t="shared" si="72"/>
        <v>3710.692</v>
      </c>
      <c r="E2306" s="608"/>
      <c r="F2306" s="760">
        <f t="shared" si="73"/>
        <v>1565.5276194157611</v>
      </c>
      <c r="M2306" s="443"/>
    </row>
    <row r="2307" spans="1:13">
      <c r="A2307" s="639">
        <v>40513</v>
      </c>
      <c r="B2307" s="639">
        <v>2400</v>
      </c>
      <c r="C2307" s="638">
        <v>3476.223</v>
      </c>
      <c r="D2307" s="633">
        <f t="shared" si="72"/>
        <v>3476.223</v>
      </c>
      <c r="E2307" s="608"/>
      <c r="F2307" s="760">
        <f t="shared" si="73"/>
        <v>1466.6059909440921</v>
      </c>
      <c r="M2307" s="443"/>
    </row>
    <row r="2308" spans="1:13">
      <c r="A2308" s="639">
        <v>40613</v>
      </c>
      <c r="B2308" s="639">
        <v>100</v>
      </c>
      <c r="C2308" s="638">
        <v>3524.1289999999999</v>
      </c>
      <c r="D2308" s="633">
        <f t="shared" si="72"/>
        <v>3524.1289999999999</v>
      </c>
      <c r="E2308" s="608"/>
      <c r="F2308" s="760">
        <f t="shared" si="73"/>
        <v>1486.8173601808091</v>
      </c>
      <c r="M2308" s="443"/>
    </row>
    <row r="2309" spans="1:13">
      <c r="A2309" s="639">
        <v>40613</v>
      </c>
      <c r="B2309" s="639">
        <v>200</v>
      </c>
      <c r="C2309" s="638">
        <v>3421.8270000000002</v>
      </c>
      <c r="D2309" s="633">
        <f t="shared" ref="D2309:D2372" si="74">C2309</f>
        <v>3421.8270000000002</v>
      </c>
      <c r="E2309" s="608"/>
      <c r="F2309" s="760">
        <f t="shared" si="73"/>
        <v>1443.6565140309615</v>
      </c>
      <c r="M2309" s="443"/>
    </row>
    <row r="2310" spans="1:13">
      <c r="A2310" s="639">
        <v>40613</v>
      </c>
      <c r="B2310" s="639">
        <v>300</v>
      </c>
      <c r="C2310" s="638">
        <v>3443.89</v>
      </c>
      <c r="D2310" s="633">
        <f t="shared" si="74"/>
        <v>3443.89</v>
      </c>
      <c r="E2310" s="608"/>
      <c r="F2310" s="760">
        <f t="shared" si="73"/>
        <v>1452.9648144415505</v>
      </c>
      <c r="M2310" s="443"/>
    </row>
    <row r="2311" spans="1:13">
      <c r="A2311" s="639">
        <v>40613</v>
      </c>
      <c r="B2311" s="639">
        <v>400</v>
      </c>
      <c r="C2311" s="638">
        <v>3500.39</v>
      </c>
      <c r="D2311" s="633">
        <f t="shared" si="74"/>
        <v>3500.39</v>
      </c>
      <c r="E2311" s="608"/>
      <c r="F2311" s="760">
        <f t="shared" si="73"/>
        <v>1476.8019613933834</v>
      </c>
      <c r="M2311" s="443"/>
    </row>
    <row r="2312" spans="1:13">
      <c r="A2312" s="639">
        <v>40613</v>
      </c>
      <c r="B2312" s="639">
        <v>500</v>
      </c>
      <c r="C2312" s="638">
        <v>3621.6060000000002</v>
      </c>
      <c r="D2312" s="633">
        <f t="shared" si="74"/>
        <v>3621.6060000000002</v>
      </c>
      <c r="E2312" s="608"/>
      <c r="F2312" s="760">
        <f t="shared" si="73"/>
        <v>1527.9425561706112</v>
      </c>
      <c r="M2312" s="443"/>
    </row>
    <row r="2313" spans="1:13">
      <c r="A2313" s="639">
        <v>40613</v>
      </c>
      <c r="B2313" s="639">
        <v>600</v>
      </c>
      <c r="C2313" s="638">
        <v>3890.3919999999998</v>
      </c>
      <c r="D2313" s="633">
        <f t="shared" si="74"/>
        <v>3890.3919999999998</v>
      </c>
      <c r="E2313" s="608"/>
      <c r="F2313" s="760">
        <f t="shared" si="73"/>
        <v>1641.3424036147762</v>
      </c>
      <c r="M2313" s="443"/>
    </row>
    <row r="2314" spans="1:13">
      <c r="A2314" s="639">
        <v>40613</v>
      </c>
      <c r="B2314" s="639">
        <v>700</v>
      </c>
      <c r="C2314" s="638">
        <v>4084.4630000000002</v>
      </c>
      <c r="D2314" s="633">
        <f t="shared" si="74"/>
        <v>4084.4630000000002</v>
      </c>
      <c r="E2314" s="608"/>
      <c r="F2314" s="760">
        <f t="shared" si="73"/>
        <v>1723.2202610676818</v>
      </c>
      <c r="M2314" s="443"/>
    </row>
    <row r="2315" spans="1:13">
      <c r="A2315" s="639">
        <v>40613</v>
      </c>
      <c r="B2315" s="639">
        <v>800</v>
      </c>
      <c r="C2315" s="638">
        <v>3902.5</v>
      </c>
      <c r="D2315" s="633">
        <f t="shared" si="74"/>
        <v>3902.5</v>
      </c>
      <c r="E2315" s="608"/>
      <c r="F2315" s="760">
        <f t="shared" si="73"/>
        <v>1646.4507253013744</v>
      </c>
      <c r="M2315" s="443"/>
    </row>
    <row r="2316" spans="1:13">
      <c r="A2316" s="639">
        <v>40613</v>
      </c>
      <c r="B2316" s="639">
        <v>900</v>
      </c>
      <c r="C2316" s="638">
        <v>3980.3119999999999</v>
      </c>
      <c r="D2316" s="633">
        <f t="shared" si="74"/>
        <v>3980.3119999999999</v>
      </c>
      <c r="E2316" s="608"/>
      <c r="F2316" s="760">
        <f t="shared" ref="F2316:F2379" si="75">(D2316/(MAX($D$2188:$D$2907)))*$M$7</f>
        <v>1679.2793284627198</v>
      </c>
      <c r="M2316" s="443"/>
    </row>
    <row r="2317" spans="1:13">
      <c r="A2317" s="639">
        <v>40613</v>
      </c>
      <c r="B2317" s="639">
        <v>1000</v>
      </c>
      <c r="C2317" s="638">
        <v>3954.0059999999999</v>
      </c>
      <c r="D2317" s="633">
        <f t="shared" si="74"/>
        <v>3954.0059999999999</v>
      </c>
      <c r="E2317" s="608"/>
      <c r="F2317" s="760">
        <f t="shared" si="75"/>
        <v>1668.180921600509</v>
      </c>
      <c r="M2317" s="443"/>
    </row>
    <row r="2318" spans="1:13">
      <c r="A2318" s="639">
        <v>40613</v>
      </c>
      <c r="B2318" s="639">
        <v>1100</v>
      </c>
      <c r="C2318" s="638">
        <v>3935.4940000000001</v>
      </c>
      <c r="D2318" s="633">
        <f t="shared" si="74"/>
        <v>3935.4940000000001</v>
      </c>
      <c r="E2318" s="608"/>
      <c r="F2318" s="760">
        <f t="shared" si="75"/>
        <v>1660.3707753284325</v>
      </c>
      <c r="M2318" s="443"/>
    </row>
    <row r="2319" spans="1:13">
      <c r="A2319" s="639">
        <v>40613</v>
      </c>
      <c r="B2319" s="639">
        <v>1200</v>
      </c>
      <c r="C2319" s="638">
        <v>3762.5740000000001</v>
      </c>
      <c r="D2319" s="633">
        <f t="shared" si="74"/>
        <v>3762.5740000000001</v>
      </c>
      <c r="E2319" s="608"/>
      <c r="F2319" s="760">
        <f t="shared" si="75"/>
        <v>1587.4164487636372</v>
      </c>
      <c r="M2319" s="443"/>
    </row>
    <row r="2320" spans="1:13">
      <c r="A2320" s="639">
        <v>40613</v>
      </c>
      <c r="B2320" s="639">
        <v>1300</v>
      </c>
      <c r="C2320" s="638">
        <v>3662.7939999999999</v>
      </c>
      <c r="D2320" s="633">
        <f t="shared" si="74"/>
        <v>3662.7939999999999</v>
      </c>
      <c r="E2320" s="608"/>
      <c r="F2320" s="760">
        <f t="shared" si="75"/>
        <v>1545.319625350294</v>
      </c>
      <c r="M2320" s="443"/>
    </row>
    <row r="2321" spans="1:13">
      <c r="A2321" s="639">
        <v>40613</v>
      </c>
      <c r="B2321" s="639">
        <v>1400</v>
      </c>
      <c r="C2321" s="638">
        <v>3678.078</v>
      </c>
      <c r="D2321" s="633">
        <f t="shared" si="74"/>
        <v>3678.078</v>
      </c>
      <c r="E2321" s="608"/>
      <c r="F2321" s="760">
        <f t="shared" si="75"/>
        <v>1551.7678900230694</v>
      </c>
      <c r="M2321" s="443"/>
    </row>
    <row r="2322" spans="1:13">
      <c r="A2322" s="639">
        <v>40613</v>
      </c>
      <c r="B2322" s="639">
        <v>1500</v>
      </c>
      <c r="C2322" s="638">
        <v>3725.491</v>
      </c>
      <c r="D2322" s="633">
        <f t="shared" si="74"/>
        <v>3725.491</v>
      </c>
      <c r="E2322" s="608"/>
      <c r="F2322" s="760">
        <f t="shared" si="75"/>
        <v>1571.7712643315167</v>
      </c>
      <c r="M2322" s="443"/>
    </row>
    <row r="2323" spans="1:13">
      <c r="A2323" s="639">
        <v>40613</v>
      </c>
      <c r="B2323" s="639">
        <v>1600</v>
      </c>
      <c r="C2323" s="638">
        <v>3828.1950000000002</v>
      </c>
      <c r="D2323" s="633">
        <f t="shared" si="74"/>
        <v>3828.1950000000002</v>
      </c>
      <c r="E2323" s="608"/>
      <c r="F2323" s="760">
        <f t="shared" si="75"/>
        <v>1615.1017128366677</v>
      </c>
      <c r="M2323" s="443"/>
    </row>
    <row r="2324" spans="1:13">
      <c r="A2324" s="639">
        <v>40613</v>
      </c>
      <c r="B2324" s="639">
        <v>1700</v>
      </c>
      <c r="C2324" s="638">
        <v>3988.8380000000002</v>
      </c>
      <c r="D2324" s="633">
        <f t="shared" si="74"/>
        <v>3988.8380000000002</v>
      </c>
      <c r="E2324" s="608"/>
      <c r="F2324" s="760">
        <f t="shared" si="75"/>
        <v>1682.8764172222127</v>
      </c>
      <c r="M2324" s="443"/>
    </row>
    <row r="2325" spans="1:13">
      <c r="A2325" s="639">
        <v>40613</v>
      </c>
      <c r="B2325" s="639">
        <v>1800</v>
      </c>
      <c r="C2325" s="638">
        <v>4160.4709999999995</v>
      </c>
      <c r="D2325" s="633">
        <f t="shared" si="74"/>
        <v>4160.4709999999995</v>
      </c>
      <c r="E2325" s="608"/>
      <c r="F2325" s="760">
        <f t="shared" si="75"/>
        <v>1755.2877631121935</v>
      </c>
      <c r="M2325" s="443"/>
    </row>
    <row r="2326" spans="1:13">
      <c r="A2326" s="639">
        <v>40613</v>
      </c>
      <c r="B2326" s="639">
        <v>1900</v>
      </c>
      <c r="C2326" s="638">
        <v>4306.16</v>
      </c>
      <c r="D2326" s="633">
        <f t="shared" si="74"/>
        <v>4306.16</v>
      </c>
      <c r="E2326" s="608"/>
      <c r="F2326" s="760">
        <f t="shared" si="75"/>
        <v>1816.7534286390178</v>
      </c>
      <c r="M2326" s="443"/>
    </row>
    <row r="2327" spans="1:13">
      <c r="A2327" s="639">
        <v>40613</v>
      </c>
      <c r="B2327" s="639">
        <v>2000</v>
      </c>
      <c r="C2327" s="638">
        <v>4464.6350000000002</v>
      </c>
      <c r="D2327" s="633">
        <f t="shared" si="74"/>
        <v>4464.6350000000002</v>
      </c>
      <c r="E2327" s="608"/>
      <c r="F2327" s="760">
        <f t="shared" si="75"/>
        <v>1883.6134616158622</v>
      </c>
      <c r="M2327" s="443"/>
    </row>
    <row r="2328" spans="1:13">
      <c r="A2328" s="639">
        <v>40613</v>
      </c>
      <c r="B2328" s="639">
        <v>2100</v>
      </c>
      <c r="C2328" s="638">
        <v>4355.9179999999997</v>
      </c>
      <c r="D2328" s="633">
        <f t="shared" si="74"/>
        <v>4355.9179999999997</v>
      </c>
      <c r="E2328" s="608"/>
      <c r="F2328" s="760">
        <f t="shared" si="75"/>
        <v>1837.7461500200673</v>
      </c>
      <c r="M2328" s="443"/>
    </row>
    <row r="2329" spans="1:13">
      <c r="A2329" s="639">
        <v>40613</v>
      </c>
      <c r="B2329" s="639">
        <v>2200</v>
      </c>
      <c r="C2329" s="638">
        <v>4010.8209999999999</v>
      </c>
      <c r="D2329" s="633">
        <f t="shared" si="74"/>
        <v>4010.8209999999999</v>
      </c>
      <c r="E2329" s="608"/>
      <c r="F2329" s="760">
        <f t="shared" si="75"/>
        <v>1692.1509659203034</v>
      </c>
      <c r="M2329" s="443"/>
    </row>
    <row r="2330" spans="1:13">
      <c r="A2330" s="639">
        <v>40613</v>
      </c>
      <c r="B2330" s="639">
        <v>2300</v>
      </c>
      <c r="C2330" s="638">
        <v>3624.5129999999999</v>
      </c>
      <c r="D2330" s="633">
        <f t="shared" si="74"/>
        <v>3624.5129999999999</v>
      </c>
      <c r="E2330" s="608"/>
      <c r="F2330" s="760">
        <f t="shared" si="75"/>
        <v>1529.1690090235134</v>
      </c>
      <c r="M2330" s="443"/>
    </row>
    <row r="2331" spans="1:13">
      <c r="A2331" s="639">
        <v>40613</v>
      </c>
      <c r="B2331" s="639">
        <v>2400</v>
      </c>
      <c r="C2331" s="638">
        <v>3347.8020000000001</v>
      </c>
      <c r="D2331" s="633">
        <f t="shared" si="74"/>
        <v>3347.8020000000001</v>
      </c>
      <c r="E2331" s="608"/>
      <c r="F2331" s="760">
        <f t="shared" si="75"/>
        <v>1412.4256325599981</v>
      </c>
      <c r="M2331" s="443"/>
    </row>
    <row r="2332" spans="1:13">
      <c r="A2332" s="639">
        <v>40713</v>
      </c>
      <c r="B2332" s="639">
        <v>100</v>
      </c>
      <c r="C2332" s="638">
        <v>3327.4479999999999</v>
      </c>
      <c r="D2332" s="633">
        <f t="shared" si="74"/>
        <v>3327.4479999999999</v>
      </c>
      <c r="E2332" s="608"/>
      <c r="F2332" s="760">
        <f t="shared" si="75"/>
        <v>1403.8383531076511</v>
      </c>
      <c r="M2332" s="443"/>
    </row>
    <row r="2333" spans="1:13">
      <c r="A2333" s="639">
        <v>40713</v>
      </c>
      <c r="B2333" s="639">
        <v>200</v>
      </c>
      <c r="C2333" s="638">
        <v>3242.0340000000001</v>
      </c>
      <c r="D2333" s="633">
        <f t="shared" si="74"/>
        <v>3242.0340000000001</v>
      </c>
      <c r="E2333" s="608"/>
      <c r="F2333" s="760">
        <f t="shared" si="75"/>
        <v>1367.8024934661669</v>
      </c>
      <c r="M2333" s="443"/>
    </row>
    <row r="2334" spans="1:13">
      <c r="A2334" s="639">
        <v>40713</v>
      </c>
      <c r="B2334" s="639">
        <v>300</v>
      </c>
      <c r="C2334" s="638">
        <v>3193.6550000000002</v>
      </c>
      <c r="D2334" s="633">
        <f t="shared" si="74"/>
        <v>3193.6550000000002</v>
      </c>
      <c r="E2334" s="608"/>
      <c r="F2334" s="760">
        <f t="shared" si="75"/>
        <v>1347.3915672293047</v>
      </c>
      <c r="M2334" s="443"/>
    </row>
    <row r="2335" spans="1:13">
      <c r="A2335" s="639">
        <v>40713</v>
      </c>
      <c r="B2335" s="639">
        <v>400</v>
      </c>
      <c r="C2335" s="638">
        <v>3209.8009999999999</v>
      </c>
      <c r="D2335" s="633">
        <f t="shared" si="74"/>
        <v>3209.8009999999999</v>
      </c>
      <c r="E2335" s="608"/>
      <c r="F2335" s="760">
        <f t="shared" si="75"/>
        <v>1354.2035066042479</v>
      </c>
      <c r="M2335" s="443"/>
    </row>
    <row r="2336" spans="1:13">
      <c r="A2336" s="639">
        <v>40713</v>
      </c>
      <c r="B2336" s="639">
        <v>500</v>
      </c>
      <c r="C2336" s="638">
        <v>3291.1759999999999</v>
      </c>
      <c r="D2336" s="633">
        <f t="shared" si="74"/>
        <v>3291.1759999999999</v>
      </c>
      <c r="E2336" s="608"/>
      <c r="F2336" s="760">
        <f t="shared" si="75"/>
        <v>1388.5353266609804</v>
      </c>
      <c r="M2336" s="443"/>
    </row>
    <row r="2337" spans="1:13">
      <c r="A2337" s="639">
        <v>40713</v>
      </c>
      <c r="B2337" s="639">
        <v>600</v>
      </c>
      <c r="C2337" s="638">
        <v>3457.6190000000001</v>
      </c>
      <c r="D2337" s="633">
        <f t="shared" si="74"/>
        <v>3457.6190000000001</v>
      </c>
      <c r="E2337" s="608"/>
      <c r="F2337" s="760">
        <f t="shared" si="75"/>
        <v>1458.7570302026429</v>
      </c>
      <c r="M2337" s="443"/>
    </row>
    <row r="2338" spans="1:13">
      <c r="A2338" s="639">
        <v>40713</v>
      </c>
      <c r="B2338" s="639">
        <v>700</v>
      </c>
      <c r="C2338" s="638">
        <v>3718.7289999999998</v>
      </c>
      <c r="D2338" s="633">
        <f t="shared" si="74"/>
        <v>3718.7289999999998</v>
      </c>
      <c r="E2338" s="608"/>
      <c r="F2338" s="760">
        <f t="shared" si="75"/>
        <v>1568.9184008326088</v>
      </c>
      <c r="M2338" s="443"/>
    </row>
    <row r="2339" spans="1:13">
      <c r="A2339" s="639">
        <v>40713</v>
      </c>
      <c r="B2339" s="639">
        <v>800</v>
      </c>
      <c r="C2339" s="638">
        <v>4081.5129999999999</v>
      </c>
      <c r="D2339" s="633">
        <f t="shared" si="74"/>
        <v>4081.5129999999999</v>
      </c>
      <c r="E2339" s="608"/>
      <c r="F2339" s="760">
        <f t="shared" si="75"/>
        <v>1721.9756666693117</v>
      </c>
      <c r="M2339" s="443"/>
    </row>
    <row r="2340" spans="1:13">
      <c r="A2340" s="639">
        <v>40713</v>
      </c>
      <c r="B2340" s="639">
        <v>900</v>
      </c>
      <c r="C2340" s="638">
        <v>4202.2910000000002</v>
      </c>
      <c r="D2340" s="633">
        <f t="shared" si="74"/>
        <v>4202.2910000000002</v>
      </c>
      <c r="E2340" s="608"/>
      <c r="F2340" s="760">
        <f t="shared" si="75"/>
        <v>1772.9314708206123</v>
      </c>
      <c r="M2340" s="443"/>
    </row>
    <row r="2341" spans="1:13">
      <c r="A2341" s="639">
        <v>40713</v>
      </c>
      <c r="B2341" s="639">
        <v>1000</v>
      </c>
      <c r="C2341" s="638">
        <v>4076.3330000000001</v>
      </c>
      <c r="D2341" s="633">
        <f t="shared" si="74"/>
        <v>4076.3330000000001</v>
      </c>
      <c r="E2341" s="608"/>
      <c r="F2341" s="760">
        <f t="shared" si="75"/>
        <v>1719.7902432850553</v>
      </c>
      <c r="M2341" s="443"/>
    </row>
    <row r="2342" spans="1:13">
      <c r="A2342" s="639">
        <v>40713</v>
      </c>
      <c r="B2342" s="639">
        <v>1100</v>
      </c>
      <c r="C2342" s="638">
        <v>3930.1729999999998</v>
      </c>
      <c r="D2342" s="633">
        <f t="shared" si="74"/>
        <v>3930.1729999999998</v>
      </c>
      <c r="E2342" s="608"/>
      <c r="F2342" s="760">
        <f t="shared" si="75"/>
        <v>1658.1258645508979</v>
      </c>
      <c r="M2342" s="443"/>
    </row>
    <row r="2343" spans="1:13">
      <c r="A2343" s="639">
        <v>40713</v>
      </c>
      <c r="B2343" s="639">
        <v>1200</v>
      </c>
      <c r="C2343" s="638">
        <v>3845.239</v>
      </c>
      <c r="D2343" s="633">
        <f t="shared" si="74"/>
        <v>3845.239</v>
      </c>
      <c r="E2343" s="608"/>
      <c r="F2343" s="760">
        <f t="shared" si="75"/>
        <v>1622.2925151844029</v>
      </c>
      <c r="M2343" s="443"/>
    </row>
    <row r="2344" spans="1:13">
      <c r="A2344" s="639">
        <v>40713</v>
      </c>
      <c r="B2344" s="639">
        <v>1300</v>
      </c>
      <c r="C2344" s="638">
        <v>3732.4850000000001</v>
      </c>
      <c r="D2344" s="633">
        <f t="shared" si="74"/>
        <v>3732.4850000000001</v>
      </c>
      <c r="E2344" s="608"/>
      <c r="F2344" s="760">
        <f t="shared" si="75"/>
        <v>1574.7220077966692</v>
      </c>
      <c r="M2344" s="443"/>
    </row>
    <row r="2345" spans="1:13">
      <c r="A2345" s="639">
        <v>40713</v>
      </c>
      <c r="B2345" s="639">
        <v>1400</v>
      </c>
      <c r="C2345" s="638">
        <v>3759.9029999999998</v>
      </c>
      <c r="D2345" s="633">
        <f t="shared" si="74"/>
        <v>3759.9029999999998</v>
      </c>
      <c r="E2345" s="608"/>
      <c r="F2345" s="760">
        <f t="shared" si="75"/>
        <v>1586.2895634626043</v>
      </c>
      <c r="M2345" s="443"/>
    </row>
    <row r="2346" spans="1:13">
      <c r="A2346" s="639">
        <v>40713</v>
      </c>
      <c r="B2346" s="639">
        <v>1500</v>
      </c>
      <c r="C2346" s="638">
        <v>3820.04</v>
      </c>
      <c r="D2346" s="633">
        <f t="shared" si="74"/>
        <v>3820.04</v>
      </c>
      <c r="E2346" s="608"/>
      <c r="F2346" s="760">
        <f t="shared" si="75"/>
        <v>1611.6611476438854</v>
      </c>
      <c r="M2346" s="443"/>
    </row>
    <row r="2347" spans="1:13">
      <c r="A2347" s="639">
        <v>40713</v>
      </c>
      <c r="B2347" s="639">
        <v>1600</v>
      </c>
      <c r="C2347" s="638">
        <v>4042.8090000000002</v>
      </c>
      <c r="D2347" s="633">
        <f t="shared" si="74"/>
        <v>4042.8090000000002</v>
      </c>
      <c r="E2347" s="608"/>
      <c r="F2347" s="760">
        <f t="shared" si="75"/>
        <v>1705.6465881626971</v>
      </c>
      <c r="M2347" s="443"/>
    </row>
    <row r="2348" spans="1:13">
      <c r="A2348" s="639">
        <v>40713</v>
      </c>
      <c r="B2348" s="639">
        <v>1700</v>
      </c>
      <c r="C2348" s="638">
        <v>4284.9430000000002</v>
      </c>
      <c r="D2348" s="633">
        <f t="shared" si="74"/>
        <v>4284.9430000000002</v>
      </c>
      <c r="E2348" s="608"/>
      <c r="F2348" s="760">
        <f t="shared" si="75"/>
        <v>1807.8020525880968</v>
      </c>
      <c r="M2348" s="443"/>
    </row>
    <row r="2349" spans="1:13">
      <c r="A2349" s="639">
        <v>40713</v>
      </c>
      <c r="B2349" s="639">
        <v>1800</v>
      </c>
      <c r="C2349" s="638">
        <v>4286.6710000000003</v>
      </c>
      <c r="D2349" s="633">
        <f t="shared" si="74"/>
        <v>4286.6710000000003</v>
      </c>
      <c r="E2349" s="608"/>
      <c r="F2349" s="760">
        <f t="shared" si="75"/>
        <v>1808.5310895780574</v>
      </c>
      <c r="M2349" s="443"/>
    </row>
    <row r="2350" spans="1:13">
      <c r="A2350" s="639">
        <v>40713</v>
      </c>
      <c r="B2350" s="639">
        <v>1900</v>
      </c>
      <c r="C2350" s="638">
        <v>4430.8109999999997</v>
      </c>
      <c r="D2350" s="633">
        <f t="shared" si="74"/>
        <v>4430.8109999999997</v>
      </c>
      <c r="E2350" s="608"/>
      <c r="F2350" s="760">
        <f t="shared" si="75"/>
        <v>1869.3432375716357</v>
      </c>
      <c r="M2350" s="443"/>
    </row>
    <row r="2351" spans="1:13">
      <c r="A2351" s="639">
        <v>40713</v>
      </c>
      <c r="B2351" s="639">
        <v>2000</v>
      </c>
      <c r="C2351" s="638">
        <v>4514.4859999999999</v>
      </c>
      <c r="D2351" s="633">
        <f t="shared" si="74"/>
        <v>4514.4859999999999</v>
      </c>
      <c r="E2351" s="608"/>
      <c r="F2351" s="760">
        <f t="shared" si="75"/>
        <v>1904.6454193626907</v>
      </c>
      <c r="M2351" s="443"/>
    </row>
    <row r="2352" spans="1:13">
      <c r="A2352" s="639">
        <v>40713</v>
      </c>
      <c r="B2352" s="639">
        <v>2100</v>
      </c>
      <c r="C2352" s="638">
        <v>4303.9210000000003</v>
      </c>
      <c r="D2352" s="633">
        <f t="shared" si="74"/>
        <v>4303.9210000000003</v>
      </c>
      <c r="E2352" s="608"/>
      <c r="F2352" s="760">
        <f t="shared" si="75"/>
        <v>1815.8088025854754</v>
      </c>
      <c r="M2352" s="443"/>
    </row>
    <row r="2353" spans="1:13">
      <c r="A2353" s="639">
        <v>40713</v>
      </c>
      <c r="B2353" s="639">
        <v>2200</v>
      </c>
      <c r="C2353" s="638">
        <v>3833.9549999999999</v>
      </c>
      <c r="D2353" s="633">
        <f t="shared" si="74"/>
        <v>3833.9549999999999</v>
      </c>
      <c r="E2353" s="608"/>
      <c r="F2353" s="760">
        <f t="shared" si="75"/>
        <v>1617.531836136536</v>
      </c>
      <c r="M2353" s="443"/>
    </row>
    <row r="2354" spans="1:13">
      <c r="A2354" s="639">
        <v>40713</v>
      </c>
      <c r="B2354" s="639">
        <v>2300</v>
      </c>
      <c r="C2354" s="638">
        <v>3293.89</v>
      </c>
      <c r="D2354" s="633">
        <f t="shared" si="74"/>
        <v>3293.89</v>
      </c>
      <c r="E2354" s="608"/>
      <c r="F2354" s="760">
        <f t="shared" si="75"/>
        <v>1389.680353507481</v>
      </c>
      <c r="M2354" s="443"/>
    </row>
    <row r="2355" spans="1:13">
      <c r="A2355" s="639">
        <v>40713</v>
      </c>
      <c r="B2355" s="639">
        <v>2400</v>
      </c>
      <c r="C2355" s="638">
        <v>3073.9679999999998</v>
      </c>
      <c r="D2355" s="633">
        <f t="shared" si="74"/>
        <v>3073.9679999999998</v>
      </c>
      <c r="E2355" s="608"/>
      <c r="F2355" s="760">
        <f t="shared" si="75"/>
        <v>1296.8960520571979</v>
      </c>
      <c r="M2355" s="443"/>
    </row>
    <row r="2356" spans="1:13">
      <c r="A2356" s="639">
        <v>40813</v>
      </c>
      <c r="B2356" s="639">
        <v>100</v>
      </c>
      <c r="C2356" s="638">
        <v>3116.76</v>
      </c>
      <c r="D2356" s="633">
        <f t="shared" si="74"/>
        <v>3116.76</v>
      </c>
      <c r="E2356" s="608"/>
      <c r="F2356" s="760">
        <f t="shared" si="75"/>
        <v>1314.9498430724695</v>
      </c>
      <c r="M2356" s="443"/>
    </row>
    <row r="2357" spans="1:13">
      <c r="A2357" s="639">
        <v>40813</v>
      </c>
      <c r="B2357" s="639">
        <v>200</v>
      </c>
      <c r="C2357" s="638">
        <v>3053.84</v>
      </c>
      <c r="D2357" s="633">
        <f t="shared" si="74"/>
        <v>3053.84</v>
      </c>
      <c r="E2357" s="608"/>
      <c r="F2357" s="760">
        <f t="shared" si="75"/>
        <v>1288.4041211926585</v>
      </c>
      <c r="M2357" s="443"/>
    </row>
    <row r="2358" spans="1:13">
      <c r="A2358" s="639">
        <v>40813</v>
      </c>
      <c r="B2358" s="639">
        <v>300</v>
      </c>
      <c r="C2358" s="638">
        <v>3092.223</v>
      </c>
      <c r="D2358" s="633">
        <f t="shared" si="74"/>
        <v>3092.223</v>
      </c>
      <c r="E2358" s="608"/>
      <c r="F2358" s="760">
        <f t="shared" si="75"/>
        <v>1304.5977709528743</v>
      </c>
      <c r="M2358" s="443"/>
    </row>
    <row r="2359" spans="1:13">
      <c r="A2359" s="639">
        <v>40813</v>
      </c>
      <c r="B2359" s="639">
        <v>400</v>
      </c>
      <c r="C2359" s="638">
        <v>3132.1010000000001</v>
      </c>
      <c r="D2359" s="633">
        <f t="shared" si="74"/>
        <v>3132.1010000000001</v>
      </c>
      <c r="E2359" s="608"/>
      <c r="F2359" s="760">
        <f t="shared" si="75"/>
        <v>1321.4221558403999</v>
      </c>
      <c r="M2359" s="443"/>
    </row>
    <row r="2360" spans="1:13">
      <c r="A2360" s="639">
        <v>40813</v>
      </c>
      <c r="B2360" s="639">
        <v>500</v>
      </c>
      <c r="C2360" s="638">
        <v>3406.6790000000001</v>
      </c>
      <c r="D2360" s="633">
        <f t="shared" si="74"/>
        <v>3406.6790000000001</v>
      </c>
      <c r="E2360" s="608"/>
      <c r="F2360" s="760">
        <f t="shared" si="75"/>
        <v>1437.2656272694328</v>
      </c>
      <c r="M2360" s="443"/>
    </row>
    <row r="2361" spans="1:13">
      <c r="A2361" s="639">
        <v>40813</v>
      </c>
      <c r="B2361" s="639">
        <v>600</v>
      </c>
      <c r="C2361" s="638">
        <v>4031.6030000000001</v>
      </c>
      <c r="D2361" s="633">
        <f t="shared" si="74"/>
        <v>4031.6030000000001</v>
      </c>
      <c r="E2361" s="608"/>
      <c r="F2361" s="760">
        <f t="shared" si="75"/>
        <v>1700.9188170345158</v>
      </c>
      <c r="M2361" s="443"/>
    </row>
    <row r="2362" spans="1:13">
      <c r="A2362" s="639">
        <v>40813</v>
      </c>
      <c r="B2362" s="639">
        <v>700</v>
      </c>
      <c r="C2362" s="638">
        <v>4167.5510000000004</v>
      </c>
      <c r="D2362" s="633">
        <f t="shared" si="74"/>
        <v>4167.5510000000004</v>
      </c>
      <c r="E2362" s="608"/>
      <c r="F2362" s="760">
        <f t="shared" si="75"/>
        <v>1758.2747896682818</v>
      </c>
      <c r="M2362" s="443"/>
    </row>
    <row r="2363" spans="1:13">
      <c r="A2363" s="639">
        <v>40813</v>
      </c>
      <c r="B2363" s="639">
        <v>800</v>
      </c>
      <c r="C2363" s="638">
        <v>3803.6379999999999</v>
      </c>
      <c r="D2363" s="633">
        <f t="shared" si="74"/>
        <v>3803.6379999999999</v>
      </c>
      <c r="E2363" s="608"/>
      <c r="F2363" s="760">
        <f t="shared" si="75"/>
        <v>1604.7412027889482</v>
      </c>
      <c r="M2363" s="443"/>
    </row>
    <row r="2364" spans="1:13">
      <c r="A2364" s="639">
        <v>40813</v>
      </c>
      <c r="B2364" s="639">
        <v>900</v>
      </c>
      <c r="C2364" s="638">
        <v>3538.1660000000002</v>
      </c>
      <c r="D2364" s="633">
        <f t="shared" si="74"/>
        <v>3538.1660000000002</v>
      </c>
      <c r="E2364" s="608"/>
      <c r="F2364" s="760">
        <f t="shared" si="75"/>
        <v>1492.7395200350195</v>
      </c>
      <c r="M2364" s="443"/>
    </row>
    <row r="2365" spans="1:13">
      <c r="A2365" s="639">
        <v>40813</v>
      </c>
      <c r="B2365" s="639">
        <v>1000</v>
      </c>
      <c r="C2365" s="638">
        <v>3391.21</v>
      </c>
      <c r="D2365" s="633">
        <f t="shared" si="74"/>
        <v>3391.21</v>
      </c>
      <c r="E2365" s="608"/>
      <c r="F2365" s="760">
        <f t="shared" si="75"/>
        <v>1430.7393117615054</v>
      </c>
      <c r="M2365" s="443"/>
    </row>
    <row r="2366" spans="1:13">
      <c r="A2366" s="639">
        <v>40813</v>
      </c>
      <c r="B2366" s="639">
        <v>1100</v>
      </c>
      <c r="C2366" s="638">
        <v>3355.442</v>
      </c>
      <c r="D2366" s="633">
        <f t="shared" si="74"/>
        <v>3355.442</v>
      </c>
      <c r="E2366" s="608"/>
      <c r="F2366" s="760">
        <f t="shared" si="75"/>
        <v>1415.6489211035732</v>
      </c>
      <c r="M2366" s="443"/>
    </row>
    <row r="2367" spans="1:13">
      <c r="A2367" s="639">
        <v>40813</v>
      </c>
      <c r="B2367" s="639">
        <v>1200</v>
      </c>
      <c r="C2367" s="638">
        <v>3299.0630000000001</v>
      </c>
      <c r="D2367" s="633">
        <f t="shared" si="74"/>
        <v>3299.0630000000001</v>
      </c>
      <c r="E2367" s="608"/>
      <c r="F2367" s="760">
        <f t="shared" si="75"/>
        <v>1391.862823616894</v>
      </c>
      <c r="M2367" s="443"/>
    </row>
    <row r="2368" spans="1:13">
      <c r="A2368" s="639">
        <v>40813</v>
      </c>
      <c r="B2368" s="639">
        <v>1300</v>
      </c>
      <c r="C2368" s="638">
        <v>3181.9920000000002</v>
      </c>
      <c r="D2368" s="633">
        <f t="shared" si="74"/>
        <v>3181.9920000000002</v>
      </c>
      <c r="E2368" s="608"/>
      <c r="F2368" s="760">
        <f t="shared" si="75"/>
        <v>1342.4709894434777</v>
      </c>
      <c r="M2368" s="443"/>
    </row>
    <row r="2369" spans="1:13">
      <c r="A2369" s="639">
        <v>40813</v>
      </c>
      <c r="B2369" s="639">
        <v>1400</v>
      </c>
      <c r="C2369" s="638">
        <v>3179.48</v>
      </c>
      <c r="D2369" s="633">
        <f t="shared" si="74"/>
        <v>3179.48</v>
      </c>
      <c r="E2369" s="608"/>
      <c r="F2369" s="760">
        <f t="shared" si="75"/>
        <v>1341.4111856710349</v>
      </c>
      <c r="M2369" s="443"/>
    </row>
    <row r="2370" spans="1:13">
      <c r="A2370" s="639">
        <v>40813</v>
      </c>
      <c r="B2370" s="639">
        <v>1500</v>
      </c>
      <c r="C2370" s="638">
        <v>3536.1089999999999</v>
      </c>
      <c r="D2370" s="633">
        <f t="shared" si="74"/>
        <v>3536.1089999999999</v>
      </c>
      <c r="E2370" s="608"/>
      <c r="F2370" s="760">
        <f t="shared" si="75"/>
        <v>1491.8716791274103</v>
      </c>
      <c r="M2370" s="443"/>
    </row>
    <row r="2371" spans="1:13">
      <c r="A2371" s="639">
        <v>40813</v>
      </c>
      <c r="B2371" s="639">
        <v>1600</v>
      </c>
      <c r="C2371" s="638">
        <v>4087.0079999999998</v>
      </c>
      <c r="D2371" s="633">
        <f t="shared" si="74"/>
        <v>4087.0079999999998</v>
      </c>
      <c r="E2371" s="608"/>
      <c r="F2371" s="760">
        <f t="shared" si="75"/>
        <v>1724.2939874215297</v>
      </c>
      <c r="M2371" s="443"/>
    </row>
    <row r="2372" spans="1:13">
      <c r="A2372" s="639">
        <v>40813</v>
      </c>
      <c r="B2372" s="639">
        <v>1700</v>
      </c>
      <c r="C2372" s="638">
        <v>4121.6229999999996</v>
      </c>
      <c r="D2372" s="633">
        <f t="shared" si="74"/>
        <v>4121.6229999999996</v>
      </c>
      <c r="E2372" s="608"/>
      <c r="F2372" s="760">
        <f t="shared" si="75"/>
        <v>1738.8979315230818</v>
      </c>
      <c r="M2372" s="443"/>
    </row>
    <row r="2373" spans="1:13">
      <c r="A2373" s="639">
        <v>40813</v>
      </c>
      <c r="B2373" s="639">
        <v>1800</v>
      </c>
      <c r="C2373" s="638">
        <v>4379.7830000000004</v>
      </c>
      <c r="D2373" s="633">
        <f t="shared" ref="D2373:D2436" si="76">C2373</f>
        <v>4379.7830000000004</v>
      </c>
      <c r="E2373" s="608"/>
      <c r="F2373" s="760">
        <f t="shared" si="75"/>
        <v>1847.8147077546778</v>
      </c>
      <c r="M2373" s="443"/>
    </row>
    <row r="2374" spans="1:13">
      <c r="A2374" s="639">
        <v>40813</v>
      </c>
      <c r="B2374" s="639">
        <v>1900</v>
      </c>
      <c r="C2374" s="638">
        <v>4565.0230000000001</v>
      </c>
      <c r="D2374" s="633">
        <f t="shared" si="76"/>
        <v>4565.0230000000001</v>
      </c>
      <c r="E2374" s="608"/>
      <c r="F2374" s="760">
        <f t="shared" si="75"/>
        <v>1925.9667980441914</v>
      </c>
      <c r="M2374" s="443"/>
    </row>
    <row r="2375" spans="1:13">
      <c r="A2375" s="639">
        <v>40813</v>
      </c>
      <c r="B2375" s="639">
        <v>2000</v>
      </c>
      <c r="C2375" s="638">
        <v>4601.6729999999998</v>
      </c>
      <c r="D2375" s="633">
        <f t="shared" si="76"/>
        <v>4601.6729999999998</v>
      </c>
      <c r="E2375" s="608"/>
      <c r="F2375" s="760">
        <f t="shared" si="75"/>
        <v>1941.4293013324157</v>
      </c>
      <c r="M2375" s="443"/>
    </row>
    <row r="2376" spans="1:13">
      <c r="A2376" s="639">
        <v>40813</v>
      </c>
      <c r="B2376" s="639">
        <v>2100</v>
      </c>
      <c r="C2376" s="638">
        <v>4376.6610000000001</v>
      </c>
      <c r="D2376" s="633">
        <f t="shared" si="76"/>
        <v>4376.6610000000001</v>
      </c>
      <c r="E2376" s="608"/>
      <c r="F2376" s="760">
        <f t="shared" si="75"/>
        <v>1846.4975471744367</v>
      </c>
      <c r="M2376" s="443"/>
    </row>
    <row r="2377" spans="1:13">
      <c r="A2377" s="639">
        <v>40813</v>
      </c>
      <c r="B2377" s="639">
        <v>2200</v>
      </c>
      <c r="C2377" s="638">
        <v>3808.0340000000001</v>
      </c>
      <c r="D2377" s="633">
        <f t="shared" si="76"/>
        <v>3808.0340000000001</v>
      </c>
      <c r="E2377" s="608"/>
      <c r="F2377" s="760">
        <f t="shared" si="75"/>
        <v>1606.5958593907226</v>
      </c>
      <c r="M2377" s="443"/>
    </row>
    <row r="2378" spans="1:13">
      <c r="A2378" s="639">
        <v>40813</v>
      </c>
      <c r="B2378" s="639">
        <v>2300</v>
      </c>
      <c r="C2378" s="638">
        <v>3283.13</v>
      </c>
      <c r="D2378" s="633">
        <f t="shared" si="76"/>
        <v>3283.13</v>
      </c>
      <c r="E2378" s="608"/>
      <c r="F2378" s="760">
        <f t="shared" si="75"/>
        <v>1385.1407481764772</v>
      </c>
      <c r="M2378" s="443"/>
    </row>
    <row r="2379" spans="1:13">
      <c r="A2379" s="639">
        <v>40813</v>
      </c>
      <c r="B2379" s="639">
        <v>2400</v>
      </c>
      <c r="C2379" s="638">
        <v>3060.0030000000002</v>
      </c>
      <c r="D2379" s="633">
        <f t="shared" si="76"/>
        <v>3060.0030000000002</v>
      </c>
      <c r="E2379" s="608"/>
      <c r="F2379" s="760">
        <f t="shared" si="75"/>
        <v>1291.0042687442362</v>
      </c>
      <c r="M2379" s="443"/>
    </row>
    <row r="2380" spans="1:13">
      <c r="A2380" s="639">
        <v>40913</v>
      </c>
      <c r="B2380" s="639">
        <v>100</v>
      </c>
      <c r="C2380" s="638">
        <v>3053.942</v>
      </c>
      <c r="D2380" s="633">
        <f t="shared" si="76"/>
        <v>3053.942</v>
      </c>
      <c r="E2380" s="608"/>
      <c r="F2380" s="760">
        <f t="shared" ref="F2380:F2443" si="77">(D2380/(MAX($D$2188:$D$2907)))*$M$7</f>
        <v>1288.4471546260936</v>
      </c>
      <c r="M2380" s="443"/>
    </row>
    <row r="2381" spans="1:13">
      <c r="A2381" s="639">
        <v>40913</v>
      </c>
      <c r="B2381" s="639">
        <v>200</v>
      </c>
      <c r="C2381" s="638">
        <v>2960.6280000000002</v>
      </c>
      <c r="D2381" s="633">
        <f t="shared" si="76"/>
        <v>2960.6280000000002</v>
      </c>
      <c r="E2381" s="608"/>
      <c r="F2381" s="760">
        <f t="shared" si="77"/>
        <v>1249.0783133754153</v>
      </c>
      <c r="M2381" s="443"/>
    </row>
    <row r="2382" spans="1:13">
      <c r="A2382" s="639">
        <v>40913</v>
      </c>
      <c r="B2382" s="639">
        <v>300</v>
      </c>
      <c r="C2382" s="638">
        <v>2967.4659999999999</v>
      </c>
      <c r="D2382" s="633">
        <f t="shared" si="76"/>
        <v>2967.4659999999999</v>
      </c>
      <c r="E2382" s="608"/>
      <c r="F2382" s="760">
        <f t="shared" si="77"/>
        <v>1251.9632410011964</v>
      </c>
      <c r="M2382" s="443"/>
    </row>
    <row r="2383" spans="1:13">
      <c r="A2383" s="639">
        <v>40913</v>
      </c>
      <c r="B2383" s="639">
        <v>400</v>
      </c>
      <c r="C2383" s="638">
        <v>2982.8719999999998</v>
      </c>
      <c r="D2383" s="633">
        <f t="shared" si="76"/>
        <v>2982.8719999999998</v>
      </c>
      <c r="E2383" s="608"/>
      <c r="F2383" s="760">
        <f t="shared" si="77"/>
        <v>1258.4629770355314</v>
      </c>
      <c r="M2383" s="443"/>
    </row>
    <row r="2384" spans="1:13">
      <c r="A2384" s="639">
        <v>40913</v>
      </c>
      <c r="B2384" s="639">
        <v>500</v>
      </c>
      <c r="C2384" s="638">
        <v>3342.2179999999998</v>
      </c>
      <c r="D2384" s="633">
        <f t="shared" si="76"/>
        <v>3342.2179999999998</v>
      </c>
      <c r="E2384" s="608"/>
      <c r="F2384" s="760">
        <f t="shared" si="77"/>
        <v>1410.0697630276256</v>
      </c>
      <c r="M2384" s="443"/>
    </row>
    <row r="2385" spans="1:13">
      <c r="A2385" s="639">
        <v>40913</v>
      </c>
      <c r="B2385" s="639">
        <v>600</v>
      </c>
      <c r="C2385" s="638">
        <v>3941.143</v>
      </c>
      <c r="D2385" s="633">
        <f t="shared" si="76"/>
        <v>3941.143</v>
      </c>
      <c r="E2385" s="608"/>
      <c r="F2385" s="760">
        <f t="shared" si="77"/>
        <v>1662.7540681272094</v>
      </c>
      <c r="M2385" s="443"/>
    </row>
    <row r="2386" spans="1:13">
      <c r="A2386" s="639">
        <v>40913</v>
      </c>
      <c r="B2386" s="639">
        <v>700</v>
      </c>
      <c r="C2386" s="638">
        <v>4049.895</v>
      </c>
      <c r="D2386" s="633">
        <f t="shared" si="76"/>
        <v>4049.895</v>
      </c>
      <c r="E2386" s="608"/>
      <c r="F2386" s="760">
        <f t="shared" si="77"/>
        <v>1708.6361460972223</v>
      </c>
      <c r="M2386" s="443"/>
    </row>
    <row r="2387" spans="1:13">
      <c r="A2387" s="639">
        <v>40913</v>
      </c>
      <c r="B2387" s="639">
        <v>800</v>
      </c>
      <c r="C2387" s="638">
        <v>3667.259</v>
      </c>
      <c r="D2387" s="633">
        <f t="shared" si="76"/>
        <v>3667.259</v>
      </c>
      <c r="E2387" s="608"/>
      <c r="F2387" s="760">
        <f t="shared" si="77"/>
        <v>1547.2033928040985</v>
      </c>
      <c r="M2387" s="443"/>
    </row>
    <row r="2388" spans="1:13">
      <c r="A2388" s="639">
        <v>40913</v>
      </c>
      <c r="B2388" s="639">
        <v>900</v>
      </c>
      <c r="C2388" s="638">
        <v>3442.7249999999999</v>
      </c>
      <c r="D2388" s="633">
        <f t="shared" si="76"/>
        <v>3442.7249999999999</v>
      </c>
      <c r="E2388" s="608"/>
      <c r="F2388" s="760">
        <f t="shared" si="77"/>
        <v>1452.4733051282958</v>
      </c>
      <c r="M2388" s="443"/>
    </row>
    <row r="2389" spans="1:13">
      <c r="A2389" s="639">
        <v>40913</v>
      </c>
      <c r="B2389" s="639">
        <v>1000</v>
      </c>
      <c r="C2389" s="638">
        <v>3308.9609999999998</v>
      </c>
      <c r="D2389" s="633">
        <f t="shared" si="76"/>
        <v>3308.9609999999998</v>
      </c>
      <c r="E2389" s="608"/>
      <c r="F2389" s="760">
        <f t="shared" si="77"/>
        <v>1396.0387542457299</v>
      </c>
      <c r="M2389" s="443"/>
    </row>
    <row r="2390" spans="1:13">
      <c r="A2390" s="639">
        <v>40913</v>
      </c>
      <c r="B2390" s="639">
        <v>1100</v>
      </c>
      <c r="C2390" s="638">
        <v>3219.806</v>
      </c>
      <c r="D2390" s="633">
        <f t="shared" si="76"/>
        <v>3219.806</v>
      </c>
      <c r="E2390" s="608"/>
      <c r="F2390" s="760">
        <f t="shared" si="77"/>
        <v>1358.4245801485501</v>
      </c>
      <c r="M2390" s="443"/>
    </row>
    <row r="2391" spans="1:13">
      <c r="A2391" s="639">
        <v>40913</v>
      </c>
      <c r="B2391" s="639">
        <v>1200</v>
      </c>
      <c r="C2391" s="638">
        <v>3125.33</v>
      </c>
      <c r="D2391" s="633">
        <f t="shared" si="76"/>
        <v>3125.33</v>
      </c>
      <c r="E2391" s="608"/>
      <c r="F2391" s="760">
        <f t="shared" si="77"/>
        <v>1318.5654952738359</v>
      </c>
      <c r="M2391" s="443"/>
    </row>
    <row r="2392" spans="1:13">
      <c r="A2392" s="639">
        <v>40913</v>
      </c>
      <c r="B2392" s="639">
        <v>1300</v>
      </c>
      <c r="C2392" s="638">
        <v>3019.951</v>
      </c>
      <c r="D2392" s="633">
        <f t="shared" si="76"/>
        <v>3019.951</v>
      </c>
      <c r="E2392" s="608"/>
      <c r="F2392" s="760">
        <f t="shared" si="77"/>
        <v>1274.1064738820273</v>
      </c>
      <c r="M2392" s="443"/>
    </row>
    <row r="2393" spans="1:13">
      <c r="A2393" s="639">
        <v>40913</v>
      </c>
      <c r="B2393" s="639">
        <v>1400</v>
      </c>
      <c r="C2393" s="638">
        <v>2988.3139999999999</v>
      </c>
      <c r="D2393" s="633">
        <f t="shared" si="76"/>
        <v>2988.3139999999999</v>
      </c>
      <c r="E2393" s="608"/>
      <c r="F2393" s="760">
        <f t="shared" si="77"/>
        <v>1260.7589372782195</v>
      </c>
      <c r="M2393" s="443"/>
    </row>
    <row r="2394" spans="1:13">
      <c r="A2394" s="639">
        <v>40913</v>
      </c>
      <c r="B2394" s="639">
        <v>1500</v>
      </c>
      <c r="C2394" s="638">
        <v>3242.3290000000002</v>
      </c>
      <c r="D2394" s="633">
        <f t="shared" si="76"/>
        <v>3242.3290000000002</v>
      </c>
      <c r="E2394" s="608"/>
      <c r="F2394" s="760">
        <f t="shared" si="77"/>
        <v>1367.9269529060041</v>
      </c>
      <c r="M2394" s="443"/>
    </row>
    <row r="2395" spans="1:13">
      <c r="A2395" s="639">
        <v>40913</v>
      </c>
      <c r="B2395" s="639">
        <v>1600</v>
      </c>
      <c r="C2395" s="638">
        <v>3714.3420000000001</v>
      </c>
      <c r="D2395" s="633">
        <f t="shared" si="76"/>
        <v>3714.3420000000001</v>
      </c>
      <c r="E2395" s="608"/>
      <c r="F2395" s="760">
        <f t="shared" si="77"/>
        <v>1567.0675412984904</v>
      </c>
      <c r="M2395" s="443"/>
    </row>
    <row r="2396" spans="1:13">
      <c r="A2396" s="639">
        <v>40913</v>
      </c>
      <c r="B2396" s="639">
        <v>1700</v>
      </c>
      <c r="C2396" s="638">
        <v>3915.1080000000002</v>
      </c>
      <c r="D2396" s="633">
        <f t="shared" si="76"/>
        <v>3915.1080000000002</v>
      </c>
      <c r="E2396" s="608"/>
      <c r="F2396" s="760">
        <f t="shared" si="77"/>
        <v>1651.7699951910863</v>
      </c>
      <c r="M2396" s="443"/>
    </row>
    <row r="2397" spans="1:13">
      <c r="A2397" s="639">
        <v>40913</v>
      </c>
      <c r="B2397" s="639">
        <v>1800</v>
      </c>
      <c r="C2397" s="638">
        <v>4059.6410000000001</v>
      </c>
      <c r="D2397" s="633">
        <f t="shared" si="76"/>
        <v>4059.6410000000001</v>
      </c>
      <c r="E2397" s="608"/>
      <c r="F2397" s="760">
        <f t="shared" si="77"/>
        <v>1712.7479484723119</v>
      </c>
      <c r="M2397" s="443"/>
    </row>
    <row r="2398" spans="1:13">
      <c r="A2398" s="639">
        <v>40913</v>
      </c>
      <c r="B2398" s="639">
        <v>1900</v>
      </c>
      <c r="C2398" s="638">
        <v>4391.17</v>
      </c>
      <c r="D2398" s="633">
        <f t="shared" si="76"/>
        <v>4391.17</v>
      </c>
      <c r="E2398" s="608"/>
      <c r="F2398" s="760">
        <f t="shared" si="77"/>
        <v>1852.6188421323861</v>
      </c>
      <c r="M2398" s="443"/>
    </row>
    <row r="2399" spans="1:13">
      <c r="A2399" s="639">
        <v>40913</v>
      </c>
      <c r="B2399" s="639">
        <v>2000</v>
      </c>
      <c r="C2399" s="638">
        <v>4356.1180000000004</v>
      </c>
      <c r="D2399" s="633">
        <f t="shared" si="76"/>
        <v>4356.1180000000004</v>
      </c>
      <c r="E2399" s="608"/>
      <c r="F2399" s="760">
        <f t="shared" si="77"/>
        <v>1837.8305293013129</v>
      </c>
      <c r="M2399" s="443"/>
    </row>
    <row r="2400" spans="1:13">
      <c r="A2400" s="639">
        <v>40913</v>
      </c>
      <c r="B2400" s="639">
        <v>2100</v>
      </c>
      <c r="C2400" s="638">
        <v>4143.5649999999996</v>
      </c>
      <c r="D2400" s="633">
        <f t="shared" si="76"/>
        <v>4143.5649999999996</v>
      </c>
      <c r="E2400" s="608"/>
      <c r="F2400" s="760">
        <f t="shared" si="77"/>
        <v>1748.1551824685175</v>
      </c>
      <c r="M2400" s="443"/>
    </row>
    <row r="2401" spans="1:13">
      <c r="A2401" s="639">
        <v>40913</v>
      </c>
      <c r="B2401" s="639">
        <v>2200</v>
      </c>
      <c r="C2401" s="638">
        <v>3723.7040000000002</v>
      </c>
      <c r="D2401" s="633">
        <f t="shared" si="76"/>
        <v>3723.7040000000002</v>
      </c>
      <c r="E2401" s="608"/>
      <c r="F2401" s="760">
        <f t="shared" si="77"/>
        <v>1571.0173354535889</v>
      </c>
      <c r="M2401" s="443"/>
    </row>
    <row r="2402" spans="1:13">
      <c r="A2402" s="639">
        <v>40913</v>
      </c>
      <c r="B2402" s="639">
        <v>2300</v>
      </c>
      <c r="C2402" s="638">
        <v>3131.0819999999999</v>
      </c>
      <c r="D2402" s="633">
        <f t="shared" si="76"/>
        <v>3131.0819999999999</v>
      </c>
      <c r="E2402" s="608"/>
      <c r="F2402" s="760">
        <f t="shared" si="77"/>
        <v>1320.9922434024545</v>
      </c>
      <c r="M2402" s="443"/>
    </row>
    <row r="2403" spans="1:13">
      <c r="A2403" s="639">
        <v>40913</v>
      </c>
      <c r="B2403" s="639">
        <v>2400</v>
      </c>
      <c r="C2403" s="638">
        <v>2956.4349999999999</v>
      </c>
      <c r="D2403" s="633">
        <f t="shared" si="76"/>
        <v>2956.4349999999999</v>
      </c>
      <c r="E2403" s="608"/>
      <c r="F2403" s="760">
        <f t="shared" si="77"/>
        <v>1247.3093017441049</v>
      </c>
      <c r="M2403" s="443"/>
    </row>
    <row r="2404" spans="1:13">
      <c r="A2404" s="639">
        <v>41013</v>
      </c>
      <c r="B2404" s="639">
        <v>100</v>
      </c>
      <c r="C2404" s="638">
        <v>2964.4389999999999</v>
      </c>
      <c r="D2404" s="633">
        <f t="shared" si="76"/>
        <v>2964.4389999999999</v>
      </c>
      <c r="E2404" s="608"/>
      <c r="F2404" s="760">
        <f t="shared" si="77"/>
        <v>1250.6861605795468</v>
      </c>
      <c r="M2404" s="443"/>
    </row>
    <row r="2405" spans="1:13">
      <c r="A2405" s="639">
        <v>41013</v>
      </c>
      <c r="B2405" s="639">
        <v>200</v>
      </c>
      <c r="C2405" s="638">
        <v>2876.6709999999998</v>
      </c>
      <c r="D2405" s="633">
        <f t="shared" si="76"/>
        <v>2876.6709999999998</v>
      </c>
      <c r="E2405" s="608"/>
      <c r="F2405" s="760">
        <f t="shared" si="77"/>
        <v>1213.6571567978042</v>
      </c>
      <c r="M2405" s="443"/>
    </row>
    <row r="2406" spans="1:13">
      <c r="A2406" s="639">
        <v>41013</v>
      </c>
      <c r="B2406" s="639">
        <v>300</v>
      </c>
      <c r="C2406" s="638">
        <v>2938.3270000000002</v>
      </c>
      <c r="D2406" s="633">
        <f t="shared" si="76"/>
        <v>2938.3270000000002</v>
      </c>
      <c r="E2406" s="608"/>
      <c r="F2406" s="760">
        <f t="shared" si="77"/>
        <v>1239.6696016201442</v>
      </c>
      <c r="M2406" s="443"/>
    </row>
    <row r="2407" spans="1:13">
      <c r="A2407" s="639">
        <v>41013</v>
      </c>
      <c r="B2407" s="639">
        <v>400</v>
      </c>
      <c r="C2407" s="638">
        <v>2982.3180000000002</v>
      </c>
      <c r="D2407" s="633">
        <f t="shared" si="76"/>
        <v>2982.3180000000002</v>
      </c>
      <c r="E2407" s="608"/>
      <c r="F2407" s="760">
        <f t="shared" si="77"/>
        <v>1258.2292464264817</v>
      </c>
      <c r="M2407" s="443"/>
    </row>
    <row r="2408" spans="1:13">
      <c r="A2408" s="639">
        <v>41013</v>
      </c>
      <c r="B2408" s="639">
        <v>500</v>
      </c>
      <c r="C2408" s="638">
        <v>3315.527</v>
      </c>
      <c r="D2408" s="633">
        <f t="shared" si="76"/>
        <v>3315.527</v>
      </c>
      <c r="E2408" s="608"/>
      <c r="F2408" s="760">
        <f t="shared" si="77"/>
        <v>1398.8089260490174</v>
      </c>
      <c r="M2408" s="443"/>
    </row>
    <row r="2409" spans="1:13">
      <c r="A2409" s="639">
        <v>41013</v>
      </c>
      <c r="B2409" s="639">
        <v>600</v>
      </c>
      <c r="C2409" s="638">
        <v>3896.7759999999998</v>
      </c>
      <c r="D2409" s="633">
        <f t="shared" si="76"/>
        <v>3896.7759999999998</v>
      </c>
      <c r="E2409" s="608"/>
      <c r="F2409" s="760">
        <f t="shared" si="77"/>
        <v>1644.0357902721305</v>
      </c>
      <c r="M2409" s="443"/>
    </row>
    <row r="2410" spans="1:13">
      <c r="A2410" s="639">
        <v>41013</v>
      </c>
      <c r="B2410" s="639">
        <v>700</v>
      </c>
      <c r="C2410" s="638">
        <v>4190.1639999999998</v>
      </c>
      <c r="D2410" s="633">
        <f t="shared" si="76"/>
        <v>4190.1639999999998</v>
      </c>
      <c r="E2410" s="608"/>
      <c r="F2410" s="760">
        <f t="shared" si="77"/>
        <v>1767.8151331022957</v>
      </c>
      <c r="M2410" s="443"/>
    </row>
    <row r="2411" spans="1:13">
      <c r="A2411" s="639">
        <v>41013</v>
      </c>
      <c r="B2411" s="639">
        <v>800</v>
      </c>
      <c r="C2411" s="638">
        <v>4197.415</v>
      </c>
      <c r="D2411" s="633">
        <f t="shared" si="76"/>
        <v>4197.415</v>
      </c>
      <c r="E2411" s="608"/>
      <c r="F2411" s="760">
        <f t="shared" si="77"/>
        <v>1770.8743039438486</v>
      </c>
      <c r="M2411" s="443"/>
    </row>
    <row r="2412" spans="1:13">
      <c r="A2412" s="639">
        <v>41013</v>
      </c>
      <c r="B2412" s="639">
        <v>900</v>
      </c>
      <c r="C2412" s="638">
        <v>4159.5349999999999</v>
      </c>
      <c r="D2412" s="633">
        <f t="shared" si="76"/>
        <v>4159.5349999999999</v>
      </c>
      <c r="E2412" s="608"/>
      <c r="F2412" s="760">
        <f t="shared" si="77"/>
        <v>1754.892868075965</v>
      </c>
      <c r="M2412" s="443"/>
    </row>
    <row r="2413" spans="1:13">
      <c r="A2413" s="639">
        <v>41013</v>
      </c>
      <c r="B2413" s="639">
        <v>1000</v>
      </c>
      <c r="C2413" s="638">
        <v>4178.8940000000002</v>
      </c>
      <c r="D2413" s="633">
        <f t="shared" si="76"/>
        <v>4178.8940000000002</v>
      </c>
      <c r="E2413" s="608"/>
      <c r="F2413" s="760">
        <f t="shared" si="77"/>
        <v>1763.0603606041161</v>
      </c>
      <c r="M2413" s="443"/>
    </row>
    <row r="2414" spans="1:13">
      <c r="A2414" s="639">
        <v>41013</v>
      </c>
      <c r="B2414" s="639">
        <v>1100</v>
      </c>
      <c r="C2414" s="638">
        <v>3896.1210000000001</v>
      </c>
      <c r="D2414" s="633">
        <f t="shared" si="76"/>
        <v>3896.1210000000001</v>
      </c>
      <c r="E2414" s="608"/>
      <c r="F2414" s="760">
        <f t="shared" si="77"/>
        <v>1643.7594481260517</v>
      </c>
      <c r="M2414" s="443"/>
    </row>
    <row r="2415" spans="1:13">
      <c r="A2415" s="639">
        <v>41013</v>
      </c>
      <c r="B2415" s="639">
        <v>1200</v>
      </c>
      <c r="C2415" s="638">
        <v>3948.7809999999999</v>
      </c>
      <c r="D2415" s="633">
        <f t="shared" si="76"/>
        <v>3948.7809999999999</v>
      </c>
      <c r="E2415" s="608"/>
      <c r="F2415" s="760">
        <f t="shared" si="77"/>
        <v>1665.9765128779723</v>
      </c>
      <c r="M2415" s="443"/>
    </row>
    <row r="2416" spans="1:13">
      <c r="A2416" s="639">
        <v>41013</v>
      </c>
      <c r="B2416" s="639">
        <v>1300</v>
      </c>
      <c r="C2416" s="638">
        <v>4036.114</v>
      </c>
      <c r="D2416" s="633">
        <f t="shared" si="76"/>
        <v>4036.114</v>
      </c>
      <c r="E2416" s="608"/>
      <c r="F2416" s="760">
        <f t="shared" si="77"/>
        <v>1702.8219917230062</v>
      </c>
      <c r="M2416" s="443"/>
    </row>
    <row r="2417" spans="1:13">
      <c r="A2417" s="639">
        <v>41013</v>
      </c>
      <c r="B2417" s="639">
        <v>1400</v>
      </c>
      <c r="C2417" s="638">
        <v>4156.7020000000002</v>
      </c>
      <c r="D2417" s="633">
        <f t="shared" si="76"/>
        <v>4156.7020000000002</v>
      </c>
      <c r="E2417" s="608"/>
      <c r="F2417" s="760">
        <f t="shared" si="77"/>
        <v>1753.6976355571235</v>
      </c>
      <c r="M2417" s="443"/>
    </row>
    <row r="2418" spans="1:13">
      <c r="A2418" s="639">
        <v>41013</v>
      </c>
      <c r="B2418" s="639">
        <v>1500</v>
      </c>
      <c r="C2418" s="638">
        <v>4058.8739999999998</v>
      </c>
      <c r="D2418" s="633">
        <f t="shared" si="76"/>
        <v>4058.8739999999998</v>
      </c>
      <c r="E2418" s="608"/>
      <c r="F2418" s="760">
        <f t="shared" si="77"/>
        <v>1712.4243539287356</v>
      </c>
      <c r="M2418" s="443"/>
    </row>
    <row r="2419" spans="1:13">
      <c r="A2419" s="639">
        <v>41013</v>
      </c>
      <c r="B2419" s="639">
        <v>1600</v>
      </c>
      <c r="C2419" s="638">
        <v>4018.6880000000001</v>
      </c>
      <c r="D2419" s="633">
        <f t="shared" si="76"/>
        <v>4018.6880000000001</v>
      </c>
      <c r="E2419" s="608"/>
      <c r="F2419" s="760">
        <f t="shared" si="77"/>
        <v>1695.4700249480925</v>
      </c>
      <c r="M2419" s="443"/>
    </row>
    <row r="2420" spans="1:13">
      <c r="A2420" s="639">
        <v>41013</v>
      </c>
      <c r="B2420" s="639">
        <v>1700</v>
      </c>
      <c r="C2420" s="638">
        <v>4219.7349999999997</v>
      </c>
      <c r="D2420" s="633">
        <f t="shared" si="76"/>
        <v>4219.7349999999997</v>
      </c>
      <c r="E2420" s="608"/>
      <c r="F2420" s="760">
        <f t="shared" si="77"/>
        <v>1780.2910317308381</v>
      </c>
      <c r="M2420" s="443"/>
    </row>
    <row r="2421" spans="1:13">
      <c r="A2421" s="639">
        <v>41013</v>
      </c>
      <c r="B2421" s="639">
        <v>1800</v>
      </c>
      <c r="C2421" s="638">
        <v>4318.8379999999997</v>
      </c>
      <c r="D2421" s="633">
        <f t="shared" si="76"/>
        <v>4318.8379999999997</v>
      </c>
      <c r="E2421" s="608"/>
      <c r="F2421" s="760">
        <f t="shared" si="77"/>
        <v>1822.1022312771652</v>
      </c>
      <c r="M2421" s="443"/>
    </row>
    <row r="2422" spans="1:13">
      <c r="A2422" s="639">
        <v>41013</v>
      </c>
      <c r="B2422" s="639">
        <v>1900</v>
      </c>
      <c r="C2422" s="638">
        <v>4338.8630000000003</v>
      </c>
      <c r="D2422" s="633">
        <f t="shared" si="76"/>
        <v>4338.8630000000003</v>
      </c>
      <c r="E2422" s="608"/>
      <c r="F2422" s="760">
        <f t="shared" si="77"/>
        <v>1830.5507068118638</v>
      </c>
      <c r="M2422" s="443"/>
    </row>
    <row r="2423" spans="1:13">
      <c r="A2423" s="639">
        <v>41013</v>
      </c>
      <c r="B2423" s="639">
        <v>2000</v>
      </c>
      <c r="C2423" s="638">
        <v>4578.3440000000001</v>
      </c>
      <c r="D2423" s="633">
        <f t="shared" si="76"/>
        <v>4578.3440000000001</v>
      </c>
      <c r="E2423" s="608"/>
      <c r="F2423" s="760">
        <f t="shared" si="77"/>
        <v>1931.586880071543</v>
      </c>
      <c r="M2423" s="443"/>
    </row>
    <row r="2424" spans="1:13">
      <c r="A2424" s="639">
        <v>41013</v>
      </c>
      <c r="B2424" s="639">
        <v>2100</v>
      </c>
      <c r="C2424" s="638">
        <v>4536.759</v>
      </c>
      <c r="D2424" s="633">
        <f t="shared" si="76"/>
        <v>4536.759</v>
      </c>
      <c r="E2424" s="608"/>
      <c r="F2424" s="760">
        <f t="shared" si="77"/>
        <v>1914.0423180185876</v>
      </c>
      <c r="M2424" s="443"/>
    </row>
    <row r="2425" spans="1:13">
      <c r="A2425" s="639">
        <v>41013</v>
      </c>
      <c r="B2425" s="639">
        <v>2200</v>
      </c>
      <c r="C2425" s="638">
        <v>3935.3409999999999</v>
      </c>
      <c r="D2425" s="633">
        <f t="shared" si="76"/>
        <v>3935.3409999999999</v>
      </c>
      <c r="E2425" s="608"/>
      <c r="F2425" s="760">
        <f t="shared" si="77"/>
        <v>1660.3062251782796</v>
      </c>
      <c r="M2425" s="443"/>
    </row>
    <row r="2426" spans="1:13">
      <c r="A2426" s="639">
        <v>41013</v>
      </c>
      <c r="B2426" s="639">
        <v>2300</v>
      </c>
      <c r="C2426" s="638">
        <v>3416.6959999999999</v>
      </c>
      <c r="D2426" s="633">
        <f t="shared" si="76"/>
        <v>3416.6959999999999</v>
      </c>
      <c r="E2426" s="608"/>
      <c r="F2426" s="760">
        <f t="shared" si="77"/>
        <v>1441.4917635706099</v>
      </c>
      <c r="M2426" s="443"/>
    </row>
    <row r="2427" spans="1:13">
      <c r="A2427" s="639">
        <v>41013</v>
      </c>
      <c r="B2427" s="639">
        <v>2400</v>
      </c>
      <c r="C2427" s="638">
        <v>3238.4929999999999</v>
      </c>
      <c r="D2427" s="633">
        <f t="shared" si="76"/>
        <v>3238.4929999999999</v>
      </c>
      <c r="E2427" s="608"/>
      <c r="F2427" s="760">
        <f t="shared" si="77"/>
        <v>1366.3085582917167</v>
      </c>
      <c r="M2427" s="443"/>
    </row>
    <row r="2428" spans="1:13">
      <c r="A2428" s="639">
        <v>41113</v>
      </c>
      <c r="B2428" s="639">
        <v>100</v>
      </c>
      <c r="C2428" s="638">
        <v>3260.8249999999998</v>
      </c>
      <c r="D2428" s="633">
        <f t="shared" si="76"/>
        <v>3260.8249999999998</v>
      </c>
      <c r="E2428" s="608"/>
      <c r="F2428" s="760">
        <f t="shared" si="77"/>
        <v>1375.730348835581</v>
      </c>
      <c r="M2428" s="443"/>
    </row>
    <row r="2429" spans="1:13">
      <c r="A2429" s="639">
        <v>41113</v>
      </c>
      <c r="B2429" s="639">
        <v>200</v>
      </c>
      <c r="C2429" s="638">
        <v>3172.7840000000001</v>
      </c>
      <c r="D2429" s="633">
        <f t="shared" si="76"/>
        <v>3172.7840000000001</v>
      </c>
      <c r="E2429" s="608"/>
      <c r="F2429" s="760">
        <f t="shared" si="77"/>
        <v>1338.5861673349382</v>
      </c>
      <c r="M2429" s="443"/>
    </row>
    <row r="2430" spans="1:13">
      <c r="A2430" s="639">
        <v>41113</v>
      </c>
      <c r="B2430" s="639">
        <v>300</v>
      </c>
      <c r="C2430" s="638">
        <v>3163.66</v>
      </c>
      <c r="D2430" s="633">
        <f t="shared" si="76"/>
        <v>3163.66</v>
      </c>
      <c r="E2430" s="608"/>
      <c r="F2430" s="760">
        <f t="shared" si="77"/>
        <v>1334.7367845245219</v>
      </c>
      <c r="M2430" s="443"/>
    </row>
    <row r="2431" spans="1:13">
      <c r="A2431" s="639">
        <v>41113</v>
      </c>
      <c r="B2431" s="639">
        <v>400</v>
      </c>
      <c r="C2431" s="638">
        <v>3221.886</v>
      </c>
      <c r="D2431" s="633">
        <f t="shared" si="76"/>
        <v>3221.886</v>
      </c>
      <c r="E2431" s="608"/>
      <c r="F2431" s="760">
        <f t="shared" si="77"/>
        <v>1359.3021246735027</v>
      </c>
      <c r="M2431" s="443"/>
    </row>
    <row r="2432" spans="1:13">
      <c r="A2432" s="639">
        <v>41113</v>
      </c>
      <c r="B2432" s="639">
        <v>500</v>
      </c>
      <c r="C2432" s="638">
        <v>3592.1869999999999</v>
      </c>
      <c r="D2432" s="633">
        <f t="shared" si="76"/>
        <v>3592.1869999999999</v>
      </c>
      <c r="E2432" s="608"/>
      <c r="F2432" s="760">
        <f t="shared" si="77"/>
        <v>1515.5307857958151</v>
      </c>
      <c r="M2432" s="443"/>
    </row>
    <row r="2433" spans="1:13">
      <c r="A2433" s="639">
        <v>41113</v>
      </c>
      <c r="B2433" s="639">
        <v>600</v>
      </c>
      <c r="C2433" s="638">
        <v>4087.6909999999998</v>
      </c>
      <c r="D2433" s="633">
        <f t="shared" si="76"/>
        <v>4087.6909999999998</v>
      </c>
      <c r="E2433" s="608"/>
      <c r="F2433" s="760">
        <f t="shared" si="77"/>
        <v>1724.5821426669829</v>
      </c>
      <c r="M2433" s="443"/>
    </row>
    <row r="2434" spans="1:13">
      <c r="A2434" s="639">
        <v>41113</v>
      </c>
      <c r="B2434" s="639">
        <v>700</v>
      </c>
      <c r="C2434" s="638">
        <v>4353.098</v>
      </c>
      <c r="D2434" s="633">
        <f t="shared" si="76"/>
        <v>4353.098</v>
      </c>
      <c r="E2434" s="608"/>
      <c r="F2434" s="760">
        <f t="shared" si="77"/>
        <v>1836.5564021545069</v>
      </c>
      <c r="M2434" s="443"/>
    </row>
    <row r="2435" spans="1:13">
      <c r="A2435" s="639">
        <v>41113</v>
      </c>
      <c r="B2435" s="639">
        <v>800</v>
      </c>
      <c r="C2435" s="638">
        <v>4320.08</v>
      </c>
      <c r="D2435" s="633">
        <f t="shared" si="76"/>
        <v>4320.08</v>
      </c>
      <c r="E2435" s="608"/>
      <c r="F2435" s="760">
        <f t="shared" si="77"/>
        <v>1822.6262266136994</v>
      </c>
      <c r="M2435" s="443"/>
    </row>
    <row r="2436" spans="1:13">
      <c r="A2436" s="639">
        <v>41113</v>
      </c>
      <c r="B2436" s="639">
        <v>900</v>
      </c>
      <c r="C2436" s="638">
        <v>4399.3549999999996</v>
      </c>
      <c r="D2436" s="633">
        <f t="shared" si="76"/>
        <v>4399.3549999999996</v>
      </c>
      <c r="E2436" s="608"/>
      <c r="F2436" s="760">
        <f t="shared" si="77"/>
        <v>1856.0720642173549</v>
      </c>
      <c r="M2436" s="443"/>
    </row>
    <row r="2437" spans="1:13">
      <c r="A2437" s="639">
        <v>41113</v>
      </c>
      <c r="B2437" s="639">
        <v>1000</v>
      </c>
      <c r="C2437" s="638">
        <v>4180.924</v>
      </c>
      <c r="D2437" s="633">
        <f t="shared" ref="D2437:D2500" si="78">C2437</f>
        <v>4180.924</v>
      </c>
      <c r="E2437" s="608"/>
      <c r="F2437" s="760">
        <f t="shared" si="77"/>
        <v>1763.916810308757</v>
      </c>
      <c r="M2437" s="443"/>
    </row>
    <row r="2438" spans="1:13">
      <c r="A2438" s="639">
        <v>41113</v>
      </c>
      <c r="B2438" s="639">
        <v>1100</v>
      </c>
      <c r="C2438" s="638">
        <v>4248.4120000000003</v>
      </c>
      <c r="D2438" s="633">
        <f t="shared" si="78"/>
        <v>4248.4120000000003</v>
      </c>
      <c r="E2438" s="608"/>
      <c r="F2438" s="760">
        <f t="shared" si="77"/>
        <v>1792.3897549722135</v>
      </c>
      <c r="M2438" s="443"/>
    </row>
    <row r="2439" spans="1:13">
      <c r="A2439" s="639">
        <v>41113</v>
      </c>
      <c r="B2439" s="639">
        <v>1200</v>
      </c>
      <c r="C2439" s="638">
        <v>4190.067</v>
      </c>
      <c r="D2439" s="633">
        <f t="shared" si="78"/>
        <v>4190.067</v>
      </c>
      <c r="E2439" s="608"/>
      <c r="F2439" s="760">
        <f t="shared" si="77"/>
        <v>1767.7742091508917</v>
      </c>
      <c r="M2439" s="443"/>
    </row>
    <row r="2440" spans="1:13">
      <c r="A2440" s="639">
        <v>41113</v>
      </c>
      <c r="B2440" s="639">
        <v>1300</v>
      </c>
      <c r="C2440" s="638">
        <v>4165.0950000000003</v>
      </c>
      <c r="D2440" s="633">
        <f t="shared" si="78"/>
        <v>4165.0950000000003</v>
      </c>
      <c r="E2440" s="608"/>
      <c r="F2440" s="760">
        <f t="shared" si="77"/>
        <v>1757.2386120945878</v>
      </c>
      <c r="M2440" s="443"/>
    </row>
    <row r="2441" spans="1:13">
      <c r="A2441" s="639">
        <v>41113</v>
      </c>
      <c r="B2441" s="639">
        <v>1400</v>
      </c>
      <c r="C2441" s="638">
        <v>4343.2950000000001</v>
      </c>
      <c r="D2441" s="633">
        <f t="shared" si="78"/>
        <v>4343.2950000000001</v>
      </c>
      <c r="E2441" s="608"/>
      <c r="F2441" s="760">
        <f t="shared" si="77"/>
        <v>1832.4205516842624</v>
      </c>
      <c r="M2441" s="443"/>
    </row>
    <row r="2442" spans="1:13">
      <c r="A2442" s="639">
        <v>41113</v>
      </c>
      <c r="B2442" s="639">
        <v>1500</v>
      </c>
      <c r="C2442" s="638">
        <v>4292.8389999999999</v>
      </c>
      <c r="D2442" s="633">
        <f t="shared" si="78"/>
        <v>4292.8389999999999</v>
      </c>
      <c r="E2442" s="608"/>
      <c r="F2442" s="760">
        <f t="shared" si="77"/>
        <v>1811.1333466116662</v>
      </c>
      <c r="M2442" s="443"/>
    </row>
    <row r="2443" spans="1:13">
      <c r="A2443" s="639">
        <v>41113</v>
      </c>
      <c r="B2443" s="639">
        <v>1600</v>
      </c>
      <c r="C2443" s="638">
        <v>4465.0169999999998</v>
      </c>
      <c r="D2443" s="633">
        <f t="shared" si="78"/>
        <v>4465.0169999999998</v>
      </c>
      <c r="E2443" s="608"/>
      <c r="F2443" s="760">
        <f t="shared" si="77"/>
        <v>1883.7746260430408</v>
      </c>
      <c r="M2443" s="443"/>
    </row>
    <row r="2444" spans="1:13">
      <c r="A2444" s="639">
        <v>41113</v>
      </c>
      <c r="B2444" s="639">
        <v>1700</v>
      </c>
      <c r="C2444" s="638">
        <v>4498.8050000000003</v>
      </c>
      <c r="D2444" s="633">
        <f t="shared" si="78"/>
        <v>4498.8050000000003</v>
      </c>
      <c r="E2444" s="608"/>
      <c r="F2444" s="760">
        <f t="shared" ref="F2444:F2507" si="79">(D2444/(MAX($D$2188:$D$2907)))*$M$7</f>
        <v>1898.0296618166435</v>
      </c>
      <c r="M2444" s="443"/>
    </row>
    <row r="2445" spans="1:13">
      <c r="A2445" s="639">
        <v>41113</v>
      </c>
      <c r="B2445" s="639">
        <v>1800</v>
      </c>
      <c r="C2445" s="638">
        <v>4532.277</v>
      </c>
      <c r="D2445" s="633">
        <f t="shared" si="78"/>
        <v>4532.277</v>
      </c>
      <c r="E2445" s="608"/>
      <c r="F2445" s="760">
        <f t="shared" si="79"/>
        <v>1912.1513783258777</v>
      </c>
      <c r="M2445" s="443"/>
    </row>
    <row r="2446" spans="1:13">
      <c r="A2446" s="639">
        <v>41113</v>
      </c>
      <c r="B2446" s="639">
        <v>1900</v>
      </c>
      <c r="C2446" s="638">
        <v>4740.3440000000001</v>
      </c>
      <c r="D2446" s="633">
        <f t="shared" si="78"/>
        <v>4740.3440000000001</v>
      </c>
      <c r="E2446" s="608"/>
      <c r="F2446" s="760">
        <f t="shared" si="79"/>
        <v>1999.934097880338</v>
      </c>
      <c r="M2446" s="443"/>
    </row>
    <row r="2447" spans="1:13">
      <c r="A2447" s="639">
        <v>41113</v>
      </c>
      <c r="B2447" s="639">
        <v>2000</v>
      </c>
      <c r="C2447" s="638">
        <v>4918.1869999999999</v>
      </c>
      <c r="D2447" s="633">
        <f t="shared" si="78"/>
        <v>4918.1869999999999</v>
      </c>
      <c r="E2447" s="608"/>
      <c r="F2447" s="760">
        <f t="shared" si="79"/>
        <v>2074.9654204529893</v>
      </c>
      <c r="M2447" s="443"/>
    </row>
    <row r="2448" spans="1:13">
      <c r="A2448" s="639">
        <v>41113</v>
      </c>
      <c r="B2448" s="639">
        <v>2100</v>
      </c>
      <c r="C2448" s="638">
        <v>4761.759</v>
      </c>
      <c r="D2448" s="633">
        <f t="shared" si="78"/>
        <v>4761.759</v>
      </c>
      <c r="E2448" s="608"/>
      <c r="F2448" s="760">
        <f t="shared" si="79"/>
        <v>2008.9690094196922</v>
      </c>
      <c r="M2448" s="443"/>
    </row>
    <row r="2449" spans="1:13">
      <c r="A2449" s="639">
        <v>41113</v>
      </c>
      <c r="B2449" s="639">
        <v>2200</v>
      </c>
      <c r="C2449" s="638">
        <v>4279.5119999999997</v>
      </c>
      <c r="D2449" s="633">
        <f t="shared" si="78"/>
        <v>4279.5119999999997</v>
      </c>
      <c r="E2449" s="608"/>
      <c r="F2449" s="760">
        <f t="shared" si="79"/>
        <v>1805.5107332058772</v>
      </c>
      <c r="M2449" s="443"/>
    </row>
    <row r="2450" spans="1:13">
      <c r="A2450" s="639">
        <v>41113</v>
      </c>
      <c r="B2450" s="639">
        <v>2300</v>
      </c>
      <c r="C2450" s="638">
        <v>3775.3510000000001</v>
      </c>
      <c r="D2450" s="633">
        <f t="shared" si="78"/>
        <v>3775.3510000000001</v>
      </c>
      <c r="E2450" s="608"/>
      <c r="F2450" s="760">
        <f t="shared" si="79"/>
        <v>1592.8070191460013</v>
      </c>
      <c r="M2450" s="443"/>
    </row>
    <row r="2451" spans="1:13">
      <c r="A2451" s="639">
        <v>41113</v>
      </c>
      <c r="B2451" s="639">
        <v>2400</v>
      </c>
      <c r="C2451" s="638">
        <v>3565.3449999999998</v>
      </c>
      <c r="D2451" s="633">
        <f t="shared" si="78"/>
        <v>3565.3449999999998</v>
      </c>
      <c r="E2451" s="608"/>
      <c r="F2451" s="760">
        <f t="shared" si="79"/>
        <v>1504.2062424598666</v>
      </c>
      <c r="M2451" s="443"/>
    </row>
    <row r="2452" spans="1:13">
      <c r="A2452" s="639">
        <v>41213</v>
      </c>
      <c r="B2452" s="639">
        <v>100</v>
      </c>
      <c r="C2452" s="638">
        <v>3591.078</v>
      </c>
      <c r="D2452" s="633">
        <f t="shared" si="78"/>
        <v>3591.078</v>
      </c>
      <c r="E2452" s="608"/>
      <c r="F2452" s="760">
        <f t="shared" si="79"/>
        <v>1515.0629026813094</v>
      </c>
      <c r="M2452" s="443"/>
    </row>
    <row r="2453" spans="1:13">
      <c r="A2453" s="639">
        <v>41213</v>
      </c>
      <c r="B2453" s="639">
        <v>200</v>
      </c>
      <c r="C2453" s="638">
        <v>3515.4810000000002</v>
      </c>
      <c r="D2453" s="633">
        <f t="shared" si="78"/>
        <v>3515.4810000000002</v>
      </c>
      <c r="E2453" s="608"/>
      <c r="F2453" s="760">
        <f t="shared" si="79"/>
        <v>1483.1688000597569</v>
      </c>
      <c r="M2453" s="443"/>
    </row>
    <row r="2454" spans="1:13">
      <c r="A2454" s="639">
        <v>41213</v>
      </c>
      <c r="B2454" s="639">
        <v>300</v>
      </c>
      <c r="C2454" s="638">
        <v>3495.5569999999998</v>
      </c>
      <c r="D2454" s="633">
        <f t="shared" si="78"/>
        <v>3495.5569999999998</v>
      </c>
      <c r="E2454" s="608"/>
      <c r="F2454" s="760">
        <f t="shared" si="79"/>
        <v>1474.7629360620876</v>
      </c>
      <c r="M2454" s="443"/>
    </row>
    <row r="2455" spans="1:13">
      <c r="A2455" s="639">
        <v>41213</v>
      </c>
      <c r="B2455" s="639">
        <v>400</v>
      </c>
      <c r="C2455" s="638">
        <v>3565.6469999999999</v>
      </c>
      <c r="D2455" s="633">
        <f t="shared" si="78"/>
        <v>3565.6469999999999</v>
      </c>
      <c r="E2455" s="608"/>
      <c r="F2455" s="760">
        <f t="shared" si="79"/>
        <v>1504.3336551745472</v>
      </c>
      <c r="M2455" s="443"/>
    </row>
    <row r="2456" spans="1:13">
      <c r="A2456" s="639">
        <v>41213</v>
      </c>
      <c r="B2456" s="639">
        <v>500</v>
      </c>
      <c r="C2456" s="638">
        <v>3861.9789999999998</v>
      </c>
      <c r="D2456" s="633">
        <f t="shared" si="78"/>
        <v>3861.9789999999998</v>
      </c>
      <c r="E2456" s="608"/>
      <c r="F2456" s="760">
        <f t="shared" si="79"/>
        <v>1629.355061024645</v>
      </c>
      <c r="M2456" s="443"/>
    </row>
    <row r="2457" spans="1:13">
      <c r="A2457" s="639">
        <v>41213</v>
      </c>
      <c r="B2457" s="639">
        <v>600</v>
      </c>
      <c r="C2457" s="638">
        <v>4481.152</v>
      </c>
      <c r="D2457" s="633">
        <f t="shared" si="78"/>
        <v>4481.152</v>
      </c>
      <c r="E2457" s="608"/>
      <c r="F2457" s="760">
        <f t="shared" si="79"/>
        <v>1890.5819245575158</v>
      </c>
      <c r="M2457" s="443"/>
    </row>
    <row r="2458" spans="1:13">
      <c r="A2458" s="639">
        <v>41213</v>
      </c>
      <c r="B2458" s="639">
        <v>700</v>
      </c>
      <c r="C2458" s="638">
        <v>4703.3729999999996</v>
      </c>
      <c r="D2458" s="633">
        <f t="shared" si="78"/>
        <v>4703.3729999999996</v>
      </c>
      <c r="E2458" s="608"/>
      <c r="F2458" s="760">
        <f t="shared" si="79"/>
        <v>1984.3361658457147</v>
      </c>
      <c r="M2458" s="443"/>
    </row>
    <row r="2459" spans="1:13">
      <c r="A2459" s="639">
        <v>41213</v>
      </c>
      <c r="B2459" s="639">
        <v>800</v>
      </c>
      <c r="C2459" s="638">
        <v>4696.0330000000004</v>
      </c>
      <c r="D2459" s="633">
        <f t="shared" si="78"/>
        <v>4696.0330000000004</v>
      </c>
      <c r="E2459" s="608"/>
      <c r="F2459" s="760">
        <f t="shared" si="79"/>
        <v>1981.2394462240077</v>
      </c>
      <c r="M2459" s="443"/>
    </row>
    <row r="2460" spans="1:13">
      <c r="A2460" s="639">
        <v>41213</v>
      </c>
      <c r="B2460" s="639">
        <v>900</v>
      </c>
      <c r="C2460" s="638">
        <v>4685.232</v>
      </c>
      <c r="D2460" s="633">
        <f t="shared" si="78"/>
        <v>4685.232</v>
      </c>
      <c r="E2460" s="608"/>
      <c r="F2460" s="760">
        <f t="shared" si="79"/>
        <v>1976.6825431403483</v>
      </c>
      <c r="M2460" s="443"/>
    </row>
    <row r="2461" spans="1:13">
      <c r="A2461" s="639">
        <v>41213</v>
      </c>
      <c r="B2461" s="639">
        <v>1000</v>
      </c>
      <c r="C2461" s="638">
        <v>4658.9449999999997</v>
      </c>
      <c r="D2461" s="633">
        <f t="shared" si="78"/>
        <v>4658.9449999999997</v>
      </c>
      <c r="E2461" s="608"/>
      <c r="F2461" s="760">
        <f t="shared" si="79"/>
        <v>1965.5921523098557</v>
      </c>
      <c r="M2461" s="443"/>
    </row>
    <row r="2462" spans="1:13">
      <c r="A2462" s="639">
        <v>41213</v>
      </c>
      <c r="B2462" s="639">
        <v>1100</v>
      </c>
      <c r="C2462" s="638">
        <v>4609.866</v>
      </c>
      <c r="D2462" s="633">
        <f t="shared" si="78"/>
        <v>4609.866</v>
      </c>
      <c r="E2462" s="608"/>
      <c r="F2462" s="760">
        <f t="shared" si="79"/>
        <v>1944.8858985886345</v>
      </c>
      <c r="M2462" s="443"/>
    </row>
    <row r="2463" spans="1:13">
      <c r="A2463" s="639">
        <v>41213</v>
      </c>
      <c r="B2463" s="639">
        <v>1200</v>
      </c>
      <c r="C2463" s="638">
        <v>4513.8969999999999</v>
      </c>
      <c r="D2463" s="633">
        <f t="shared" si="78"/>
        <v>4513.8969999999999</v>
      </c>
      <c r="E2463" s="608"/>
      <c r="F2463" s="760">
        <f t="shared" si="79"/>
        <v>1904.3969223794231</v>
      </c>
      <c r="M2463" s="443"/>
    </row>
    <row r="2464" spans="1:13">
      <c r="A2464" s="639">
        <v>41213</v>
      </c>
      <c r="B2464" s="639">
        <v>1300</v>
      </c>
      <c r="C2464" s="638">
        <v>4342.0079999999998</v>
      </c>
      <c r="D2464" s="633">
        <f t="shared" si="78"/>
        <v>4342.0079999999998</v>
      </c>
      <c r="E2464" s="608"/>
      <c r="F2464" s="760">
        <f t="shared" si="79"/>
        <v>1831.877571009448</v>
      </c>
      <c r="M2464" s="443"/>
    </row>
    <row r="2465" spans="1:13">
      <c r="A2465" s="639">
        <v>41213</v>
      </c>
      <c r="B2465" s="639">
        <v>1400</v>
      </c>
      <c r="C2465" s="638">
        <v>4119.1450000000004</v>
      </c>
      <c r="D2465" s="633">
        <f t="shared" si="78"/>
        <v>4119.1450000000004</v>
      </c>
      <c r="E2465" s="608"/>
      <c r="F2465" s="760">
        <f t="shared" si="79"/>
        <v>1737.8524722284512</v>
      </c>
      <c r="M2465" s="443"/>
    </row>
    <row r="2466" spans="1:13">
      <c r="A2466" s="639">
        <v>41213</v>
      </c>
      <c r="B2466" s="639">
        <v>1500</v>
      </c>
      <c r="C2466" s="638">
        <v>4119.0420000000004</v>
      </c>
      <c r="D2466" s="633">
        <f t="shared" si="78"/>
        <v>4119.0420000000004</v>
      </c>
      <c r="E2466" s="608"/>
      <c r="F2466" s="760">
        <f t="shared" si="79"/>
        <v>1737.8090168986098</v>
      </c>
      <c r="M2466" s="443"/>
    </row>
    <row r="2467" spans="1:13">
      <c r="A2467" s="639">
        <v>41213</v>
      </c>
      <c r="B2467" s="639">
        <v>1600</v>
      </c>
      <c r="C2467" s="638">
        <v>4085.0079999999998</v>
      </c>
      <c r="D2467" s="633">
        <f t="shared" si="78"/>
        <v>4085.0079999999998</v>
      </c>
      <c r="E2467" s="608"/>
      <c r="F2467" s="760">
        <f t="shared" si="79"/>
        <v>1723.4501946090757</v>
      </c>
      <c r="M2467" s="443"/>
    </row>
    <row r="2468" spans="1:13">
      <c r="A2468" s="639">
        <v>41213</v>
      </c>
      <c r="B2468" s="639">
        <v>1700</v>
      </c>
      <c r="C2468" s="638">
        <v>4102.2259999999997</v>
      </c>
      <c r="D2468" s="633">
        <f t="shared" si="78"/>
        <v>4102.2259999999997</v>
      </c>
      <c r="E2468" s="608"/>
      <c r="F2468" s="760">
        <f t="shared" si="79"/>
        <v>1730.7144069314941</v>
      </c>
      <c r="M2468" s="443"/>
    </row>
    <row r="2469" spans="1:13">
      <c r="A2469" s="639">
        <v>41213</v>
      </c>
      <c r="B2469" s="639">
        <v>1800</v>
      </c>
      <c r="C2469" s="638">
        <v>4147.3339999999998</v>
      </c>
      <c r="D2469" s="633">
        <f t="shared" si="78"/>
        <v>4147.3339999999998</v>
      </c>
      <c r="E2469" s="608"/>
      <c r="F2469" s="760">
        <f t="shared" si="79"/>
        <v>1749.7453100235875</v>
      </c>
      <c r="M2469" s="443"/>
    </row>
    <row r="2470" spans="1:13">
      <c r="A2470" s="639">
        <v>41213</v>
      </c>
      <c r="B2470" s="639">
        <v>1900</v>
      </c>
      <c r="C2470" s="638">
        <v>4346.1729999999998</v>
      </c>
      <c r="D2470" s="633">
        <f t="shared" si="78"/>
        <v>4346.1729999999998</v>
      </c>
      <c r="E2470" s="608"/>
      <c r="F2470" s="760">
        <f t="shared" si="79"/>
        <v>1833.6347695413838</v>
      </c>
      <c r="M2470" s="443"/>
    </row>
    <row r="2471" spans="1:13">
      <c r="A2471" s="639">
        <v>41213</v>
      </c>
      <c r="B2471" s="639">
        <v>2000</v>
      </c>
      <c r="C2471" s="638">
        <v>4603.473</v>
      </c>
      <c r="D2471" s="633">
        <f t="shared" si="78"/>
        <v>4603.473</v>
      </c>
      <c r="E2471" s="608"/>
      <c r="F2471" s="760">
        <f t="shared" si="79"/>
        <v>1942.1887148636245</v>
      </c>
      <c r="M2471" s="443"/>
    </row>
    <row r="2472" spans="1:13">
      <c r="A2472" s="639">
        <v>41213</v>
      </c>
      <c r="B2472" s="639">
        <v>2100</v>
      </c>
      <c r="C2472" s="638">
        <v>4515.5280000000002</v>
      </c>
      <c r="D2472" s="633">
        <f t="shared" si="78"/>
        <v>4515.5280000000002</v>
      </c>
      <c r="E2472" s="608"/>
      <c r="F2472" s="760">
        <f t="shared" si="79"/>
        <v>1905.0850354179797</v>
      </c>
      <c r="M2472" s="443"/>
    </row>
    <row r="2473" spans="1:13">
      <c r="A2473" s="639">
        <v>41213</v>
      </c>
      <c r="B2473" s="639">
        <v>2200</v>
      </c>
      <c r="C2473" s="638">
        <v>4176.8620000000001</v>
      </c>
      <c r="D2473" s="633">
        <f t="shared" si="78"/>
        <v>4176.8620000000001</v>
      </c>
      <c r="E2473" s="608"/>
      <c r="F2473" s="760">
        <f t="shared" si="79"/>
        <v>1762.2030671066625</v>
      </c>
      <c r="M2473" s="443"/>
    </row>
    <row r="2474" spans="1:13">
      <c r="A2474" s="639">
        <v>41213</v>
      </c>
      <c r="B2474" s="639">
        <v>2300</v>
      </c>
      <c r="C2474" s="638">
        <v>3693.0740000000001</v>
      </c>
      <c r="D2474" s="633">
        <f t="shared" si="78"/>
        <v>3693.0740000000001</v>
      </c>
      <c r="E2474" s="608"/>
      <c r="F2474" s="760">
        <f t="shared" si="79"/>
        <v>1558.0946485308518</v>
      </c>
      <c r="M2474" s="443"/>
    </row>
    <row r="2475" spans="1:13">
      <c r="A2475" s="639">
        <v>41213</v>
      </c>
      <c r="B2475" s="639">
        <v>2400</v>
      </c>
      <c r="C2475" s="638">
        <v>3400.5070000000001</v>
      </c>
      <c r="D2475" s="633">
        <f t="shared" si="78"/>
        <v>3400.5070000000001</v>
      </c>
      <c r="E2475" s="608"/>
      <c r="F2475" s="760">
        <f t="shared" si="79"/>
        <v>1434.6616826501988</v>
      </c>
      <c r="M2475" s="443"/>
    </row>
    <row r="2476" spans="1:13">
      <c r="A2476" s="639">
        <v>41313</v>
      </c>
      <c r="B2476" s="639">
        <v>100</v>
      </c>
      <c r="C2476" s="638">
        <v>3368.0839999999998</v>
      </c>
      <c r="D2476" s="633">
        <f t="shared" si="78"/>
        <v>3368.0839999999998</v>
      </c>
      <c r="E2476" s="608"/>
      <c r="F2476" s="760">
        <f t="shared" si="79"/>
        <v>1420.9825354710965</v>
      </c>
      <c r="M2476" s="443"/>
    </row>
    <row r="2477" spans="1:13">
      <c r="A2477" s="639">
        <v>41313</v>
      </c>
      <c r="B2477" s="639">
        <v>200</v>
      </c>
      <c r="C2477" s="638">
        <v>3272.5050000000001</v>
      </c>
      <c r="D2477" s="633">
        <f t="shared" si="78"/>
        <v>3272.5050000000001</v>
      </c>
      <c r="E2477" s="608"/>
      <c r="F2477" s="760">
        <f t="shared" si="79"/>
        <v>1380.6580988603139</v>
      </c>
      <c r="M2477" s="443"/>
    </row>
    <row r="2478" spans="1:13">
      <c r="A2478" s="639">
        <v>41313</v>
      </c>
      <c r="B2478" s="639">
        <v>300</v>
      </c>
      <c r="C2478" s="638">
        <v>3243.6559999999999</v>
      </c>
      <c r="D2478" s="633">
        <f t="shared" si="78"/>
        <v>3243.6559999999999</v>
      </c>
      <c r="E2478" s="608"/>
      <c r="F2478" s="760">
        <f t="shared" si="79"/>
        <v>1368.4868094370672</v>
      </c>
      <c r="M2478" s="443"/>
    </row>
    <row r="2479" spans="1:13">
      <c r="A2479" s="639">
        <v>41313</v>
      </c>
      <c r="B2479" s="639">
        <v>400</v>
      </c>
      <c r="C2479" s="638">
        <v>3233.6660000000002</v>
      </c>
      <c r="D2479" s="633">
        <f t="shared" si="78"/>
        <v>3233.6660000000002</v>
      </c>
      <c r="E2479" s="608"/>
      <c r="F2479" s="760">
        <f t="shared" si="79"/>
        <v>1364.2720643388584</v>
      </c>
      <c r="M2479" s="443"/>
    </row>
    <row r="2480" spans="1:13">
      <c r="A2480" s="639">
        <v>41313</v>
      </c>
      <c r="B2480" s="639">
        <v>500</v>
      </c>
      <c r="C2480" s="638">
        <v>3369.4690000000001</v>
      </c>
      <c r="D2480" s="633">
        <f t="shared" si="78"/>
        <v>3369.4690000000001</v>
      </c>
      <c r="E2480" s="608"/>
      <c r="F2480" s="760">
        <f t="shared" si="79"/>
        <v>1421.5668619937214</v>
      </c>
      <c r="M2480" s="443"/>
    </row>
    <row r="2481" spans="1:13">
      <c r="A2481" s="639">
        <v>41313</v>
      </c>
      <c r="B2481" s="639">
        <v>600</v>
      </c>
      <c r="C2481" s="638">
        <v>3608.3719999999998</v>
      </c>
      <c r="D2481" s="633">
        <f t="shared" si="78"/>
        <v>3608.3719999999998</v>
      </c>
      <c r="E2481" s="608"/>
      <c r="F2481" s="760">
        <f t="shared" si="79"/>
        <v>1522.3591791306012</v>
      </c>
      <c r="M2481" s="443"/>
    </row>
    <row r="2482" spans="1:13">
      <c r="A2482" s="639">
        <v>41313</v>
      </c>
      <c r="B2482" s="639">
        <v>700</v>
      </c>
      <c r="C2482" s="638">
        <v>3863.183</v>
      </c>
      <c r="D2482" s="633">
        <f t="shared" si="78"/>
        <v>3863.183</v>
      </c>
      <c r="E2482" s="608"/>
      <c r="F2482" s="760">
        <f t="shared" si="79"/>
        <v>1629.8630242977424</v>
      </c>
      <c r="M2482" s="443"/>
    </row>
    <row r="2483" spans="1:13">
      <c r="A2483" s="639">
        <v>41313</v>
      </c>
      <c r="B2483" s="639">
        <v>800</v>
      </c>
      <c r="C2483" s="638">
        <v>4284.5829999999996</v>
      </c>
      <c r="D2483" s="633">
        <f t="shared" si="78"/>
        <v>4284.5829999999996</v>
      </c>
      <c r="E2483" s="608"/>
      <c r="F2483" s="760">
        <f t="shared" si="79"/>
        <v>1807.6501698818549</v>
      </c>
      <c r="M2483" s="443"/>
    </row>
    <row r="2484" spans="1:13">
      <c r="A2484" s="639">
        <v>41313</v>
      </c>
      <c r="B2484" s="639">
        <v>900</v>
      </c>
      <c r="C2484" s="638">
        <v>4308.0870000000004</v>
      </c>
      <c r="D2484" s="633">
        <f t="shared" si="78"/>
        <v>4308.0870000000004</v>
      </c>
      <c r="E2484" s="608"/>
      <c r="F2484" s="760">
        <f t="shared" si="79"/>
        <v>1817.5664230138177</v>
      </c>
      <c r="M2484" s="443"/>
    </row>
    <row r="2485" spans="1:13">
      <c r="A2485" s="639">
        <v>41313</v>
      </c>
      <c r="B2485" s="639">
        <v>1000</v>
      </c>
      <c r="C2485" s="638">
        <v>4215.7629999999999</v>
      </c>
      <c r="D2485" s="633">
        <f t="shared" si="78"/>
        <v>4215.7629999999999</v>
      </c>
      <c r="E2485" s="608"/>
      <c r="F2485" s="760">
        <f t="shared" si="79"/>
        <v>1778.6152592053038</v>
      </c>
      <c r="M2485" s="443"/>
    </row>
    <row r="2486" spans="1:13">
      <c r="A2486" s="639">
        <v>41313</v>
      </c>
      <c r="B2486" s="639">
        <v>1100</v>
      </c>
      <c r="C2486" s="638">
        <v>4272.8339999999998</v>
      </c>
      <c r="D2486" s="633">
        <f t="shared" si="78"/>
        <v>4272.8339999999998</v>
      </c>
      <c r="E2486" s="608"/>
      <c r="F2486" s="760">
        <f t="shared" si="79"/>
        <v>1802.6933090050925</v>
      </c>
      <c r="M2486" s="443"/>
    </row>
    <row r="2487" spans="1:13">
      <c r="A2487" s="639">
        <v>41313</v>
      </c>
      <c r="B2487" s="639">
        <v>1200</v>
      </c>
      <c r="C2487" s="638">
        <v>4145.0929999999998</v>
      </c>
      <c r="D2487" s="633">
        <f t="shared" si="78"/>
        <v>4145.0929999999998</v>
      </c>
      <c r="E2487" s="608"/>
      <c r="F2487" s="760">
        <f t="shared" si="79"/>
        <v>1748.7998401772325</v>
      </c>
      <c r="M2487" s="443"/>
    </row>
    <row r="2488" spans="1:13">
      <c r="A2488" s="639">
        <v>41313</v>
      </c>
      <c r="B2488" s="639">
        <v>1300</v>
      </c>
      <c r="C2488" s="638">
        <v>3964.1039999999998</v>
      </c>
      <c r="D2488" s="633">
        <f t="shared" si="78"/>
        <v>3964.1039999999998</v>
      </c>
      <c r="E2488" s="608"/>
      <c r="F2488" s="760">
        <f t="shared" si="79"/>
        <v>1672.4412315105906</v>
      </c>
      <c r="M2488" s="443"/>
    </row>
    <row r="2489" spans="1:13">
      <c r="A2489" s="639">
        <v>41313</v>
      </c>
      <c r="B2489" s="639">
        <v>1400</v>
      </c>
      <c r="C2489" s="638">
        <v>4072.6219999999998</v>
      </c>
      <c r="D2489" s="633">
        <f t="shared" si="78"/>
        <v>4072.6219999999998</v>
      </c>
      <c r="E2489" s="608"/>
      <c r="F2489" s="760">
        <f t="shared" si="79"/>
        <v>1718.2245857215462</v>
      </c>
      <c r="M2489" s="443"/>
    </row>
    <row r="2490" spans="1:13">
      <c r="A2490" s="639">
        <v>41313</v>
      </c>
      <c r="B2490" s="639">
        <v>1500</v>
      </c>
      <c r="C2490" s="638">
        <v>4094.739</v>
      </c>
      <c r="D2490" s="633">
        <f t="shared" si="78"/>
        <v>4094.739</v>
      </c>
      <c r="E2490" s="608"/>
      <c r="F2490" s="760">
        <f t="shared" si="79"/>
        <v>1727.5556685380718</v>
      </c>
      <c r="M2490" s="443"/>
    </row>
    <row r="2491" spans="1:13">
      <c r="A2491" s="639">
        <v>41313</v>
      </c>
      <c r="B2491" s="639">
        <v>1600</v>
      </c>
      <c r="C2491" s="638">
        <v>4181.8509999999997</v>
      </c>
      <c r="D2491" s="633">
        <f t="shared" si="78"/>
        <v>4181.8509999999997</v>
      </c>
      <c r="E2491" s="608"/>
      <c r="F2491" s="760">
        <f t="shared" si="79"/>
        <v>1764.3079082773295</v>
      </c>
      <c r="M2491" s="443"/>
    </row>
    <row r="2492" spans="1:13">
      <c r="A2492" s="639">
        <v>41313</v>
      </c>
      <c r="B2492" s="639">
        <v>1700</v>
      </c>
      <c r="C2492" s="638">
        <v>4208.6239999999998</v>
      </c>
      <c r="D2492" s="633">
        <f t="shared" si="78"/>
        <v>4208.6239999999998</v>
      </c>
      <c r="E2492" s="608"/>
      <c r="F2492" s="760">
        <f t="shared" si="79"/>
        <v>1775.6033407612485</v>
      </c>
      <c r="M2492" s="443"/>
    </row>
    <row r="2493" spans="1:13">
      <c r="A2493" s="639">
        <v>41313</v>
      </c>
      <c r="B2493" s="639">
        <v>1800</v>
      </c>
      <c r="C2493" s="638">
        <v>4341.2939999999999</v>
      </c>
      <c r="D2493" s="633">
        <f t="shared" si="78"/>
        <v>4341.2939999999999</v>
      </c>
      <c r="E2493" s="608"/>
      <c r="F2493" s="760">
        <f t="shared" si="79"/>
        <v>1831.5763369754018</v>
      </c>
      <c r="M2493" s="443"/>
    </row>
    <row r="2494" spans="1:13">
      <c r="A2494" s="639">
        <v>41313</v>
      </c>
      <c r="B2494" s="639">
        <v>1900</v>
      </c>
      <c r="C2494" s="638">
        <v>4398.9769999999999</v>
      </c>
      <c r="D2494" s="633">
        <f t="shared" si="78"/>
        <v>4398.9769999999999</v>
      </c>
      <c r="E2494" s="608"/>
      <c r="F2494" s="760">
        <f t="shared" si="79"/>
        <v>1855.9125873758012</v>
      </c>
      <c r="M2494" s="443"/>
    </row>
    <row r="2495" spans="1:13">
      <c r="A2495" s="639">
        <v>41313</v>
      </c>
      <c r="B2495" s="639">
        <v>2000</v>
      </c>
      <c r="C2495" s="638">
        <v>4430.2340000000004</v>
      </c>
      <c r="D2495" s="633">
        <f t="shared" si="78"/>
        <v>4430.2340000000004</v>
      </c>
      <c r="E2495" s="608"/>
      <c r="F2495" s="760">
        <f t="shared" si="79"/>
        <v>1869.0998033452431</v>
      </c>
      <c r="M2495" s="443"/>
    </row>
    <row r="2496" spans="1:13">
      <c r="A2496" s="639">
        <v>41313</v>
      </c>
      <c r="B2496" s="639">
        <v>2100</v>
      </c>
      <c r="C2496" s="638">
        <v>4369.1220000000003</v>
      </c>
      <c r="D2496" s="633">
        <f t="shared" si="78"/>
        <v>4369.1220000000003</v>
      </c>
      <c r="E2496" s="608"/>
      <c r="F2496" s="760">
        <f t="shared" si="79"/>
        <v>1843.3168701678903</v>
      </c>
      <c r="M2496" s="443"/>
    </row>
    <row r="2497" spans="1:13">
      <c r="A2497" s="639">
        <v>41313</v>
      </c>
      <c r="B2497" s="639">
        <v>2200</v>
      </c>
      <c r="C2497" s="638">
        <v>4133</v>
      </c>
      <c r="D2497" s="633">
        <f t="shared" si="78"/>
        <v>4133</v>
      </c>
      <c r="E2497" s="608"/>
      <c r="F2497" s="760">
        <f t="shared" si="79"/>
        <v>1743.697846936728</v>
      </c>
      <c r="M2497" s="443"/>
    </row>
    <row r="2498" spans="1:13">
      <c r="A2498" s="639">
        <v>41313</v>
      </c>
      <c r="B2498" s="639">
        <v>2300</v>
      </c>
      <c r="C2498" s="638">
        <v>3735.6129999999998</v>
      </c>
      <c r="D2498" s="633">
        <f t="shared" si="78"/>
        <v>3735.6129999999998</v>
      </c>
      <c r="E2498" s="608"/>
      <c r="F2498" s="760">
        <f t="shared" si="79"/>
        <v>1576.0416997553475</v>
      </c>
      <c r="M2498" s="443"/>
    </row>
    <row r="2499" spans="1:13">
      <c r="A2499" s="639">
        <v>41313</v>
      </c>
      <c r="B2499" s="639">
        <v>2400</v>
      </c>
      <c r="C2499" s="638">
        <v>3519.9740000000002</v>
      </c>
      <c r="D2499" s="633">
        <f t="shared" si="78"/>
        <v>3519.9740000000002</v>
      </c>
      <c r="E2499" s="608"/>
      <c r="F2499" s="760">
        <f t="shared" si="79"/>
        <v>1485.0643806129356</v>
      </c>
      <c r="M2499" s="443"/>
    </row>
    <row r="2500" spans="1:13">
      <c r="A2500" s="639">
        <v>41413</v>
      </c>
      <c r="B2500" s="639">
        <v>100</v>
      </c>
      <c r="C2500" s="638">
        <v>3501.252</v>
      </c>
      <c r="D2500" s="633">
        <f t="shared" si="78"/>
        <v>3501.252</v>
      </c>
      <c r="E2500" s="608"/>
      <c r="F2500" s="760">
        <f t="shared" si="79"/>
        <v>1477.165636095551</v>
      </c>
      <c r="M2500" s="443"/>
    </row>
    <row r="2501" spans="1:13">
      <c r="A2501" s="639">
        <v>41413</v>
      </c>
      <c r="B2501" s="639">
        <v>200</v>
      </c>
      <c r="C2501" s="638">
        <v>3377.3539999999998</v>
      </c>
      <c r="D2501" s="633">
        <f t="shared" ref="D2501:D2564" si="80">C2501</f>
        <v>3377.3539999999998</v>
      </c>
      <c r="E2501" s="608"/>
      <c r="F2501" s="760">
        <f t="shared" si="79"/>
        <v>1424.8935151568221</v>
      </c>
      <c r="M2501" s="443"/>
    </row>
    <row r="2502" spans="1:13">
      <c r="A2502" s="639">
        <v>41413</v>
      </c>
      <c r="B2502" s="639">
        <v>300</v>
      </c>
      <c r="C2502" s="638">
        <v>3343.902</v>
      </c>
      <c r="D2502" s="633">
        <f t="shared" si="80"/>
        <v>3343.902</v>
      </c>
      <c r="E2502" s="608"/>
      <c r="F2502" s="760">
        <f t="shared" si="79"/>
        <v>1410.7802365757123</v>
      </c>
      <c r="M2502" s="443"/>
    </row>
    <row r="2503" spans="1:13">
      <c r="A2503" s="639">
        <v>41413</v>
      </c>
      <c r="B2503" s="639">
        <v>400</v>
      </c>
      <c r="C2503" s="638">
        <v>3359.9070000000002</v>
      </c>
      <c r="D2503" s="633">
        <f t="shared" si="80"/>
        <v>3359.9070000000002</v>
      </c>
      <c r="E2503" s="608"/>
      <c r="F2503" s="760">
        <f t="shared" si="79"/>
        <v>1417.5326885573775</v>
      </c>
      <c r="M2503" s="443"/>
    </row>
    <row r="2504" spans="1:13">
      <c r="A2504" s="639">
        <v>41413</v>
      </c>
      <c r="B2504" s="639">
        <v>500</v>
      </c>
      <c r="C2504" s="638">
        <v>3453.3249999999998</v>
      </c>
      <c r="D2504" s="633">
        <f t="shared" si="80"/>
        <v>3453.3249999999998</v>
      </c>
      <c r="E2504" s="608"/>
      <c r="F2504" s="760">
        <f t="shared" si="79"/>
        <v>1456.9454070343033</v>
      </c>
      <c r="M2504" s="443"/>
    </row>
    <row r="2505" spans="1:13">
      <c r="A2505" s="639">
        <v>41413</v>
      </c>
      <c r="B2505" s="639">
        <v>600</v>
      </c>
      <c r="C2505" s="638">
        <v>3572.2109999999998</v>
      </c>
      <c r="D2505" s="633">
        <f t="shared" si="80"/>
        <v>3572.2109999999998</v>
      </c>
      <c r="E2505" s="608"/>
      <c r="F2505" s="760">
        <f t="shared" si="79"/>
        <v>1507.1029831850219</v>
      </c>
      <c r="M2505" s="443"/>
    </row>
    <row r="2506" spans="1:13">
      <c r="A2506" s="639">
        <v>41413</v>
      </c>
      <c r="B2506" s="639">
        <v>700</v>
      </c>
      <c r="C2506" s="638">
        <v>3690.4250000000002</v>
      </c>
      <c r="D2506" s="633">
        <f t="shared" si="80"/>
        <v>3690.4250000000002</v>
      </c>
      <c r="E2506" s="608"/>
      <c r="F2506" s="760">
        <f t="shared" si="79"/>
        <v>1556.9770449507562</v>
      </c>
      <c r="M2506" s="443"/>
    </row>
    <row r="2507" spans="1:13">
      <c r="A2507" s="639">
        <v>41413</v>
      </c>
      <c r="B2507" s="639">
        <v>800</v>
      </c>
      <c r="C2507" s="638">
        <v>3651.07</v>
      </c>
      <c r="D2507" s="633">
        <f t="shared" si="80"/>
        <v>3651.07</v>
      </c>
      <c r="E2507" s="608"/>
      <c r="F2507" s="760">
        <f t="shared" si="79"/>
        <v>1540.3733118836874</v>
      </c>
      <c r="M2507" s="443"/>
    </row>
    <row r="2508" spans="1:13">
      <c r="A2508" s="639">
        <v>41413</v>
      </c>
      <c r="B2508" s="639">
        <v>900</v>
      </c>
      <c r="C2508" s="638">
        <v>3932.3429999999998</v>
      </c>
      <c r="D2508" s="633">
        <f t="shared" si="80"/>
        <v>3932.3429999999998</v>
      </c>
      <c r="E2508" s="608"/>
      <c r="F2508" s="760">
        <f t="shared" ref="F2508:F2571" si="81">(D2508/(MAX($D$2188:$D$2907)))*$M$7</f>
        <v>1659.0413797524109</v>
      </c>
      <c r="M2508" s="443"/>
    </row>
    <row r="2509" spans="1:13">
      <c r="A2509" s="639">
        <v>41413</v>
      </c>
      <c r="B2509" s="639">
        <v>1000</v>
      </c>
      <c r="C2509" s="638">
        <v>3994.0729999999999</v>
      </c>
      <c r="D2509" s="633">
        <f t="shared" si="80"/>
        <v>3994.0729999999999</v>
      </c>
      <c r="E2509" s="608"/>
      <c r="F2509" s="760">
        <f t="shared" si="81"/>
        <v>1685.0850449088116</v>
      </c>
      <c r="M2509" s="443"/>
    </row>
    <row r="2510" spans="1:13">
      <c r="A2510" s="639">
        <v>41413</v>
      </c>
      <c r="B2510" s="639">
        <v>1100</v>
      </c>
      <c r="C2510" s="638">
        <v>4041.444</v>
      </c>
      <c r="D2510" s="633">
        <f t="shared" si="80"/>
        <v>4041.444</v>
      </c>
      <c r="E2510" s="608"/>
      <c r="F2510" s="760">
        <f t="shared" si="81"/>
        <v>1705.0706995681969</v>
      </c>
      <c r="M2510" s="443"/>
    </row>
    <row r="2511" spans="1:13">
      <c r="A2511" s="639">
        <v>41413</v>
      </c>
      <c r="B2511" s="639">
        <v>1200</v>
      </c>
      <c r="C2511" s="638">
        <v>4030.8029999999999</v>
      </c>
      <c r="D2511" s="633">
        <f t="shared" si="80"/>
        <v>4030.8029999999999</v>
      </c>
      <c r="E2511" s="608"/>
      <c r="F2511" s="760">
        <f t="shared" si="81"/>
        <v>1700.581299909534</v>
      </c>
      <c r="M2511" s="443"/>
    </row>
    <row r="2512" spans="1:13">
      <c r="A2512" s="639">
        <v>41413</v>
      </c>
      <c r="B2512" s="639">
        <v>1300</v>
      </c>
      <c r="C2512" s="638">
        <v>3993.4389999999999</v>
      </c>
      <c r="D2512" s="633">
        <f t="shared" si="80"/>
        <v>3993.4389999999999</v>
      </c>
      <c r="E2512" s="608"/>
      <c r="F2512" s="760">
        <f t="shared" si="81"/>
        <v>1684.8175625872634</v>
      </c>
      <c r="M2512" s="443"/>
    </row>
    <row r="2513" spans="1:13">
      <c r="A2513" s="639">
        <v>41413</v>
      </c>
      <c r="B2513" s="639">
        <v>1400</v>
      </c>
      <c r="C2513" s="638">
        <v>3884.011</v>
      </c>
      <c r="D2513" s="633">
        <f t="shared" si="80"/>
        <v>3884.011</v>
      </c>
      <c r="E2513" s="608"/>
      <c r="F2513" s="760">
        <f t="shared" si="81"/>
        <v>1638.6502826466412</v>
      </c>
      <c r="M2513" s="443"/>
    </row>
    <row r="2514" spans="1:13">
      <c r="A2514" s="639">
        <v>41413</v>
      </c>
      <c r="B2514" s="639">
        <v>1500</v>
      </c>
      <c r="C2514" s="638">
        <v>3905.7860000000001</v>
      </c>
      <c r="D2514" s="633">
        <f t="shared" si="80"/>
        <v>3905.7860000000001</v>
      </c>
      <c r="E2514" s="608"/>
      <c r="F2514" s="760">
        <f t="shared" si="81"/>
        <v>1647.8370768922368</v>
      </c>
      <c r="M2514" s="443"/>
    </row>
    <row r="2515" spans="1:13">
      <c r="A2515" s="639">
        <v>41413</v>
      </c>
      <c r="B2515" s="639">
        <v>1600</v>
      </c>
      <c r="C2515" s="638">
        <v>3989.2759999999998</v>
      </c>
      <c r="D2515" s="633">
        <f t="shared" si="80"/>
        <v>3989.2759999999998</v>
      </c>
      <c r="E2515" s="608"/>
      <c r="F2515" s="760">
        <f t="shared" si="81"/>
        <v>1683.0612078481399</v>
      </c>
      <c r="M2515" s="443"/>
    </row>
    <row r="2516" spans="1:13">
      <c r="A2516" s="639">
        <v>41413</v>
      </c>
      <c r="B2516" s="639">
        <v>1700</v>
      </c>
      <c r="C2516" s="638">
        <v>4099.0709999999999</v>
      </c>
      <c r="D2516" s="633">
        <f t="shared" si="80"/>
        <v>4099.0709999999999</v>
      </c>
      <c r="E2516" s="608"/>
      <c r="F2516" s="760">
        <f t="shared" si="81"/>
        <v>1729.3833237698477</v>
      </c>
      <c r="M2516" s="443"/>
    </row>
    <row r="2517" spans="1:13">
      <c r="A2517" s="639">
        <v>41413</v>
      </c>
      <c r="B2517" s="639">
        <v>1800</v>
      </c>
      <c r="C2517" s="638">
        <v>4088.0859999999998</v>
      </c>
      <c r="D2517" s="633">
        <f t="shared" si="80"/>
        <v>4088.0859999999998</v>
      </c>
      <c r="E2517" s="608"/>
      <c r="F2517" s="760">
        <f t="shared" si="81"/>
        <v>1724.7487917474427</v>
      </c>
      <c r="M2517" s="443"/>
    </row>
    <row r="2518" spans="1:13">
      <c r="A2518" s="639">
        <v>41413</v>
      </c>
      <c r="B2518" s="639">
        <v>1900</v>
      </c>
      <c r="C2518" s="638">
        <v>4182.8329999999996</v>
      </c>
      <c r="D2518" s="633">
        <f t="shared" si="80"/>
        <v>4182.8329999999996</v>
      </c>
      <c r="E2518" s="608"/>
      <c r="F2518" s="760">
        <f t="shared" si="81"/>
        <v>1764.7222105482444</v>
      </c>
      <c r="M2518" s="443"/>
    </row>
    <row r="2519" spans="1:13">
      <c r="A2519" s="639">
        <v>41413</v>
      </c>
      <c r="B2519" s="639">
        <v>2000</v>
      </c>
      <c r="C2519" s="638">
        <v>4572.3190000000004</v>
      </c>
      <c r="D2519" s="633">
        <f t="shared" si="80"/>
        <v>4572.3190000000004</v>
      </c>
      <c r="E2519" s="608"/>
      <c r="F2519" s="760">
        <f t="shared" si="81"/>
        <v>1929.0449542240247</v>
      </c>
      <c r="M2519" s="443"/>
    </row>
    <row r="2520" spans="1:13">
      <c r="A2520" s="639">
        <v>41413</v>
      </c>
      <c r="B2520" s="639">
        <v>2100</v>
      </c>
      <c r="C2520" s="638">
        <v>4503.6880000000001</v>
      </c>
      <c r="D2520" s="633">
        <f t="shared" si="80"/>
        <v>4503.6880000000001</v>
      </c>
      <c r="E2520" s="608"/>
      <c r="F2520" s="760">
        <f t="shared" si="81"/>
        <v>1900.0897819682502</v>
      </c>
      <c r="M2520" s="443"/>
    </row>
    <row r="2521" spans="1:13">
      <c r="A2521" s="639">
        <v>41413</v>
      </c>
      <c r="B2521" s="639">
        <v>2200</v>
      </c>
      <c r="C2521" s="638">
        <v>4010.2510000000002</v>
      </c>
      <c r="D2521" s="633">
        <f t="shared" si="80"/>
        <v>4010.2510000000002</v>
      </c>
      <c r="E2521" s="608"/>
      <c r="F2521" s="760">
        <f t="shared" si="81"/>
        <v>1691.910484968754</v>
      </c>
      <c r="M2521" s="443"/>
    </row>
    <row r="2522" spans="1:13">
      <c r="A2522" s="639">
        <v>41413</v>
      </c>
      <c r="B2522" s="639">
        <v>2300</v>
      </c>
      <c r="C2522" s="638">
        <v>3385.6170000000002</v>
      </c>
      <c r="D2522" s="633">
        <f t="shared" si="80"/>
        <v>3385.6170000000002</v>
      </c>
      <c r="E2522" s="608"/>
      <c r="F2522" s="760">
        <f t="shared" si="81"/>
        <v>1428.3796451614769</v>
      </c>
      <c r="M2522" s="443"/>
    </row>
    <row r="2523" spans="1:13">
      <c r="A2523" s="639">
        <v>41413</v>
      </c>
      <c r="B2523" s="639">
        <v>2400</v>
      </c>
      <c r="C2523" s="638">
        <v>3145.9430000000002</v>
      </c>
      <c r="D2523" s="633">
        <f t="shared" si="80"/>
        <v>3145.9430000000002</v>
      </c>
      <c r="E2523" s="608"/>
      <c r="F2523" s="760">
        <f t="shared" si="81"/>
        <v>1327.2620458953959</v>
      </c>
      <c r="M2523" s="443"/>
    </row>
    <row r="2524" spans="1:13">
      <c r="A2524" s="639">
        <v>41513</v>
      </c>
      <c r="B2524" s="639">
        <v>100</v>
      </c>
      <c r="C2524" s="638">
        <v>3163.5810000000001</v>
      </c>
      <c r="D2524" s="633">
        <f t="shared" si="80"/>
        <v>3163.5810000000001</v>
      </c>
      <c r="E2524" s="608"/>
      <c r="F2524" s="760">
        <f t="shared" si="81"/>
        <v>1334.7034547084299</v>
      </c>
      <c r="M2524" s="443"/>
    </row>
    <row r="2525" spans="1:13">
      <c r="A2525" s="639">
        <v>41513</v>
      </c>
      <c r="B2525" s="639">
        <v>200</v>
      </c>
      <c r="C2525" s="638">
        <v>3149.8820000000001</v>
      </c>
      <c r="D2525" s="633">
        <f t="shared" si="80"/>
        <v>3149.8820000000001</v>
      </c>
      <c r="E2525" s="608"/>
      <c r="F2525" s="760">
        <f t="shared" si="81"/>
        <v>1328.9238958395247</v>
      </c>
      <c r="M2525" s="443"/>
    </row>
    <row r="2526" spans="1:13">
      <c r="A2526" s="639">
        <v>41513</v>
      </c>
      <c r="B2526" s="639">
        <v>300</v>
      </c>
      <c r="C2526" s="638">
        <v>3145.9749999999999</v>
      </c>
      <c r="D2526" s="633">
        <f t="shared" si="80"/>
        <v>3145.9749999999999</v>
      </c>
      <c r="E2526" s="608"/>
      <c r="F2526" s="760">
        <f t="shared" si="81"/>
        <v>1327.275546580395</v>
      </c>
      <c r="M2526" s="443"/>
    </row>
    <row r="2527" spans="1:13">
      <c r="A2527" s="639">
        <v>41513</v>
      </c>
      <c r="B2527" s="639">
        <v>400</v>
      </c>
      <c r="C2527" s="638">
        <v>3200.15</v>
      </c>
      <c r="D2527" s="633">
        <f t="shared" si="80"/>
        <v>3200.15</v>
      </c>
      <c r="E2527" s="608"/>
      <c r="F2527" s="760">
        <f t="shared" si="81"/>
        <v>1350.1317843877498</v>
      </c>
      <c r="M2527" s="443"/>
    </row>
    <row r="2528" spans="1:13">
      <c r="A2528" s="639">
        <v>41513</v>
      </c>
      <c r="B2528" s="639">
        <v>500</v>
      </c>
      <c r="C2528" s="638">
        <v>3580.2440000000001</v>
      </c>
      <c r="D2528" s="633">
        <f t="shared" si="80"/>
        <v>3580.2440000000001</v>
      </c>
      <c r="E2528" s="608"/>
      <c r="F2528" s="760">
        <f t="shared" si="81"/>
        <v>1510.4920770162446</v>
      </c>
      <c r="M2528" s="443"/>
    </row>
    <row r="2529" spans="1:13">
      <c r="A2529" s="639">
        <v>41513</v>
      </c>
      <c r="B2529" s="639">
        <v>600</v>
      </c>
      <c r="C2529" s="638">
        <v>4096.5609999999997</v>
      </c>
      <c r="D2529" s="633">
        <f t="shared" si="80"/>
        <v>4096.5609999999997</v>
      </c>
      <c r="E2529" s="608"/>
      <c r="F2529" s="760">
        <f t="shared" si="81"/>
        <v>1728.3243637902174</v>
      </c>
      <c r="M2529" s="443"/>
    </row>
    <row r="2530" spans="1:13">
      <c r="A2530" s="639">
        <v>41513</v>
      </c>
      <c r="B2530" s="639">
        <v>700</v>
      </c>
      <c r="C2530" s="638">
        <v>4206.67</v>
      </c>
      <c r="D2530" s="633">
        <f t="shared" si="80"/>
        <v>4206.67</v>
      </c>
      <c r="E2530" s="608"/>
      <c r="F2530" s="760">
        <f t="shared" si="81"/>
        <v>1774.7789551834805</v>
      </c>
      <c r="M2530" s="443"/>
    </row>
    <row r="2531" spans="1:13">
      <c r="A2531" s="639">
        <v>41513</v>
      </c>
      <c r="B2531" s="639">
        <v>800</v>
      </c>
      <c r="C2531" s="638">
        <v>3738.248</v>
      </c>
      <c r="D2531" s="633">
        <f t="shared" si="80"/>
        <v>3738.248</v>
      </c>
      <c r="E2531" s="608"/>
      <c r="F2531" s="760">
        <f t="shared" si="81"/>
        <v>1577.1533967857561</v>
      </c>
      <c r="M2531" s="443"/>
    </row>
    <row r="2532" spans="1:13">
      <c r="A2532" s="639">
        <v>41513</v>
      </c>
      <c r="B2532" s="639">
        <v>900</v>
      </c>
      <c r="C2532" s="638">
        <v>3515.3609999999999</v>
      </c>
      <c r="D2532" s="633">
        <f t="shared" si="80"/>
        <v>3515.3609999999999</v>
      </c>
      <c r="E2532" s="608"/>
      <c r="F2532" s="760">
        <f t="shared" si="81"/>
        <v>1483.1181724910098</v>
      </c>
      <c r="M2532" s="443"/>
    </row>
    <row r="2533" spans="1:13">
      <c r="A2533" s="639">
        <v>41513</v>
      </c>
      <c r="B2533" s="639">
        <v>1000</v>
      </c>
      <c r="C2533" s="638">
        <v>3324.482</v>
      </c>
      <c r="D2533" s="633">
        <f t="shared" si="80"/>
        <v>3324.482</v>
      </c>
      <c r="E2533" s="608"/>
      <c r="F2533" s="760">
        <f t="shared" si="81"/>
        <v>1402.5870083667814</v>
      </c>
      <c r="M2533" s="443"/>
    </row>
    <row r="2534" spans="1:13">
      <c r="A2534" s="639">
        <v>41513</v>
      </c>
      <c r="B2534" s="639">
        <v>1100</v>
      </c>
      <c r="C2534" s="638">
        <v>3230.1379999999999</v>
      </c>
      <c r="D2534" s="633">
        <f t="shared" si="80"/>
        <v>3230.1379999999999</v>
      </c>
      <c r="E2534" s="608"/>
      <c r="F2534" s="760">
        <f t="shared" si="81"/>
        <v>1362.783613817689</v>
      </c>
      <c r="M2534" s="443"/>
    </row>
    <row r="2535" spans="1:13">
      <c r="A2535" s="639">
        <v>41513</v>
      </c>
      <c r="B2535" s="639">
        <v>1200</v>
      </c>
      <c r="C2535" s="638">
        <v>3098.2020000000002</v>
      </c>
      <c r="D2535" s="633">
        <f t="shared" si="80"/>
        <v>3098.2020000000002</v>
      </c>
      <c r="E2535" s="608"/>
      <c r="F2535" s="760">
        <f t="shared" si="81"/>
        <v>1307.1202895657066</v>
      </c>
      <c r="M2535" s="443"/>
    </row>
    <row r="2536" spans="1:13">
      <c r="A2536" s="639">
        <v>41513</v>
      </c>
      <c r="B2536" s="639">
        <v>1300</v>
      </c>
      <c r="C2536" s="638">
        <v>3061.8150000000001</v>
      </c>
      <c r="D2536" s="633">
        <f t="shared" si="80"/>
        <v>3061.8150000000001</v>
      </c>
      <c r="E2536" s="608"/>
      <c r="F2536" s="760">
        <f t="shared" si="81"/>
        <v>1291.7687450323197</v>
      </c>
      <c r="M2536" s="443"/>
    </row>
    <row r="2537" spans="1:13">
      <c r="A2537" s="639">
        <v>41513</v>
      </c>
      <c r="B2537" s="639">
        <v>1400</v>
      </c>
      <c r="C2537" s="638">
        <v>3087.549</v>
      </c>
      <c r="D2537" s="633">
        <f t="shared" si="80"/>
        <v>3087.549</v>
      </c>
      <c r="E2537" s="608"/>
      <c r="F2537" s="760">
        <f t="shared" si="81"/>
        <v>1302.6258271501688</v>
      </c>
      <c r="M2537" s="443"/>
    </row>
    <row r="2538" spans="1:13">
      <c r="A2538" s="639">
        <v>41513</v>
      </c>
      <c r="B2538" s="639">
        <v>1500</v>
      </c>
      <c r="C2538" s="638">
        <v>3133.6619999999998</v>
      </c>
      <c r="D2538" s="633">
        <f t="shared" si="80"/>
        <v>3133.6619999999998</v>
      </c>
      <c r="E2538" s="608"/>
      <c r="F2538" s="760">
        <f t="shared" si="81"/>
        <v>1322.0807361305203</v>
      </c>
      <c r="M2538" s="443"/>
    </row>
    <row r="2539" spans="1:13">
      <c r="A2539" s="639">
        <v>41513</v>
      </c>
      <c r="B2539" s="639">
        <v>1600</v>
      </c>
      <c r="C2539" s="638">
        <v>3227.8710000000001</v>
      </c>
      <c r="D2539" s="633">
        <f t="shared" si="80"/>
        <v>3227.8710000000001</v>
      </c>
      <c r="E2539" s="608"/>
      <c r="F2539" s="760">
        <f t="shared" si="81"/>
        <v>1361.8271746647722</v>
      </c>
      <c r="M2539" s="443"/>
    </row>
    <row r="2540" spans="1:13">
      <c r="A2540" s="639">
        <v>41513</v>
      </c>
      <c r="B2540" s="639">
        <v>1700</v>
      </c>
      <c r="C2540" s="638">
        <v>3490.57</v>
      </c>
      <c r="D2540" s="633">
        <f t="shared" si="80"/>
        <v>3490.57</v>
      </c>
      <c r="E2540" s="608"/>
      <c r="F2540" s="760">
        <f t="shared" si="81"/>
        <v>1472.6589386842329</v>
      </c>
      <c r="M2540" s="443"/>
    </row>
    <row r="2541" spans="1:13">
      <c r="A2541" s="639">
        <v>41513</v>
      </c>
      <c r="B2541" s="639">
        <v>1800</v>
      </c>
      <c r="C2541" s="638">
        <v>3685.7730000000001</v>
      </c>
      <c r="D2541" s="633">
        <f t="shared" si="80"/>
        <v>3685.7730000000001</v>
      </c>
      <c r="E2541" s="608"/>
      <c r="F2541" s="760">
        <f t="shared" si="81"/>
        <v>1555.0143828689872</v>
      </c>
      <c r="M2541" s="443"/>
    </row>
    <row r="2542" spans="1:13">
      <c r="A2542" s="639">
        <v>41513</v>
      </c>
      <c r="B2542" s="639">
        <v>1900</v>
      </c>
      <c r="C2542" s="638">
        <v>3909.8519999999999</v>
      </c>
      <c r="D2542" s="633">
        <f t="shared" si="80"/>
        <v>3909.8519999999999</v>
      </c>
      <c r="E2542" s="608"/>
      <c r="F2542" s="760">
        <f t="shared" si="81"/>
        <v>1649.5525076799563</v>
      </c>
      <c r="M2542" s="443"/>
    </row>
    <row r="2543" spans="1:13">
      <c r="A2543" s="639">
        <v>41513</v>
      </c>
      <c r="B2543" s="639">
        <v>2000</v>
      </c>
      <c r="C2543" s="638">
        <v>4100.8519999999999</v>
      </c>
      <c r="D2543" s="633">
        <f t="shared" si="80"/>
        <v>4100.8519999999999</v>
      </c>
      <c r="E2543" s="608"/>
      <c r="F2543" s="760">
        <f t="shared" si="81"/>
        <v>1730.1347212693383</v>
      </c>
      <c r="M2543" s="443"/>
    </row>
    <row r="2544" spans="1:13">
      <c r="A2544" s="639">
        <v>41513</v>
      </c>
      <c r="B2544" s="639">
        <v>2100</v>
      </c>
      <c r="C2544" s="638">
        <v>4028.018</v>
      </c>
      <c r="D2544" s="633">
        <f t="shared" si="80"/>
        <v>4028.018</v>
      </c>
      <c r="E2544" s="608"/>
      <c r="F2544" s="760">
        <f t="shared" si="81"/>
        <v>1699.4063184181914</v>
      </c>
      <c r="M2544" s="443"/>
    </row>
    <row r="2545" spans="1:13">
      <c r="A2545" s="639">
        <v>41513</v>
      </c>
      <c r="B2545" s="639">
        <v>2200</v>
      </c>
      <c r="C2545" s="638">
        <v>3566.511</v>
      </c>
      <c r="D2545" s="633">
        <f t="shared" si="80"/>
        <v>3566.511</v>
      </c>
      <c r="E2545" s="608"/>
      <c r="F2545" s="760">
        <f t="shared" si="81"/>
        <v>1504.6981736695273</v>
      </c>
      <c r="M2545" s="443"/>
    </row>
    <row r="2546" spans="1:13">
      <c r="A2546" s="639">
        <v>41513</v>
      </c>
      <c r="B2546" s="639">
        <v>2300</v>
      </c>
      <c r="C2546" s="638">
        <v>3041.511</v>
      </c>
      <c r="D2546" s="633">
        <f t="shared" si="80"/>
        <v>3041.511</v>
      </c>
      <c r="E2546" s="608"/>
      <c r="F2546" s="760">
        <f t="shared" si="81"/>
        <v>1283.202560400284</v>
      </c>
      <c r="M2546" s="443"/>
    </row>
    <row r="2547" spans="1:13">
      <c r="A2547" s="639">
        <v>41513</v>
      </c>
      <c r="B2547" s="639">
        <v>2400</v>
      </c>
      <c r="C2547" s="638">
        <v>2835.64</v>
      </c>
      <c r="D2547" s="633">
        <f t="shared" si="80"/>
        <v>2835.64</v>
      </c>
      <c r="E2547" s="608"/>
      <c r="F2547" s="760">
        <f t="shared" si="81"/>
        <v>1196.3463253538987</v>
      </c>
      <c r="M2547" s="443"/>
    </row>
    <row r="2548" spans="1:13">
      <c r="A2548" s="639">
        <v>41613</v>
      </c>
      <c r="B2548" s="639">
        <v>100</v>
      </c>
      <c r="C2548" s="638">
        <v>2854.86</v>
      </c>
      <c r="D2548" s="633">
        <f t="shared" si="80"/>
        <v>2854.86</v>
      </c>
      <c r="E2548" s="608"/>
      <c r="F2548" s="760">
        <f t="shared" si="81"/>
        <v>1204.455174281584</v>
      </c>
      <c r="M2548" s="443"/>
    </row>
    <row r="2549" spans="1:13">
      <c r="A2549" s="639">
        <v>41613</v>
      </c>
      <c r="B2549" s="639">
        <v>200</v>
      </c>
      <c r="C2549" s="638">
        <v>2746.2939999999999</v>
      </c>
      <c r="D2549" s="633">
        <f t="shared" si="80"/>
        <v>2746.2939999999999</v>
      </c>
      <c r="E2549" s="608"/>
      <c r="F2549" s="760">
        <f t="shared" si="81"/>
        <v>1158.6515690431295</v>
      </c>
      <c r="M2549" s="443"/>
    </row>
    <row r="2550" spans="1:13">
      <c r="A2550" s="639">
        <v>41613</v>
      </c>
      <c r="B2550" s="639">
        <v>300</v>
      </c>
      <c r="C2550" s="638">
        <v>2711.2710000000002</v>
      </c>
      <c r="D2550" s="633">
        <f t="shared" si="80"/>
        <v>2711.2710000000002</v>
      </c>
      <c r="E2550" s="608"/>
      <c r="F2550" s="760">
        <f t="shared" si="81"/>
        <v>1143.8754912078371</v>
      </c>
      <c r="M2550" s="443"/>
    </row>
    <row r="2551" spans="1:13">
      <c r="A2551" s="639">
        <v>41613</v>
      </c>
      <c r="B2551" s="639">
        <v>400</v>
      </c>
      <c r="C2551" s="638">
        <v>2787.3710000000001</v>
      </c>
      <c r="D2551" s="633">
        <f t="shared" si="80"/>
        <v>2787.3710000000001</v>
      </c>
      <c r="E2551" s="608"/>
      <c r="F2551" s="760">
        <f t="shared" si="81"/>
        <v>1175.9818077217215</v>
      </c>
      <c r="M2551" s="443"/>
    </row>
    <row r="2552" spans="1:13">
      <c r="A2552" s="639">
        <v>41613</v>
      </c>
      <c r="B2552" s="639">
        <v>500</v>
      </c>
      <c r="C2552" s="638">
        <v>3089.9989999999998</v>
      </c>
      <c r="D2552" s="633">
        <f t="shared" si="80"/>
        <v>3089.9989999999998</v>
      </c>
      <c r="E2552" s="608"/>
      <c r="F2552" s="760">
        <f t="shared" si="81"/>
        <v>1303.6594733454253</v>
      </c>
      <c r="M2552" s="443"/>
    </row>
    <row r="2553" spans="1:13">
      <c r="A2553" s="639">
        <v>41613</v>
      </c>
      <c r="B2553" s="639">
        <v>600</v>
      </c>
      <c r="C2553" s="638">
        <v>3638.0230000000001</v>
      </c>
      <c r="D2553" s="633">
        <f t="shared" si="80"/>
        <v>3638.0230000000001</v>
      </c>
      <c r="E2553" s="608"/>
      <c r="F2553" s="760">
        <f t="shared" si="81"/>
        <v>1534.8688294716421</v>
      </c>
      <c r="M2553" s="443"/>
    </row>
    <row r="2554" spans="1:13">
      <c r="A2554" s="639">
        <v>41613</v>
      </c>
      <c r="B2554" s="639">
        <v>700</v>
      </c>
      <c r="C2554" s="638">
        <v>3836.2040000000002</v>
      </c>
      <c r="D2554" s="633">
        <f t="shared" si="80"/>
        <v>3836.2040000000002</v>
      </c>
      <c r="E2554" s="608"/>
      <c r="F2554" s="760">
        <f t="shared" si="81"/>
        <v>1618.4806811541409</v>
      </c>
      <c r="M2554" s="443"/>
    </row>
    <row r="2555" spans="1:13">
      <c r="A2555" s="639">
        <v>41613</v>
      </c>
      <c r="B2555" s="639">
        <v>800</v>
      </c>
      <c r="C2555" s="638">
        <v>3823.9090000000001</v>
      </c>
      <c r="D2555" s="633">
        <f t="shared" si="80"/>
        <v>3823.9090000000001</v>
      </c>
      <c r="E2555" s="608"/>
      <c r="F2555" s="760">
        <f t="shared" si="81"/>
        <v>1613.2934648395783</v>
      </c>
      <c r="M2555" s="443"/>
    </row>
    <row r="2556" spans="1:13">
      <c r="A2556" s="639">
        <v>41613</v>
      </c>
      <c r="B2556" s="639">
        <v>900</v>
      </c>
      <c r="C2556" s="638">
        <v>3777.6439999999998</v>
      </c>
      <c r="D2556" s="633">
        <f t="shared" si="80"/>
        <v>3777.6439999999998</v>
      </c>
      <c r="E2556" s="608"/>
      <c r="F2556" s="760">
        <f t="shared" si="81"/>
        <v>1593.7744276054798</v>
      </c>
      <c r="M2556" s="443"/>
    </row>
    <row r="2557" spans="1:13">
      <c r="A2557" s="639">
        <v>41613</v>
      </c>
      <c r="B2557" s="639">
        <v>1000</v>
      </c>
      <c r="C2557" s="638">
        <v>3782.982</v>
      </c>
      <c r="D2557" s="633">
        <f t="shared" si="80"/>
        <v>3782.982</v>
      </c>
      <c r="E2557" s="608"/>
      <c r="F2557" s="760">
        <f t="shared" si="81"/>
        <v>1596.0265106219204</v>
      </c>
      <c r="M2557" s="443"/>
    </row>
    <row r="2558" spans="1:13">
      <c r="A2558" s="639">
        <v>41613</v>
      </c>
      <c r="B2558" s="639">
        <v>1100</v>
      </c>
      <c r="C2558" s="638">
        <v>3630.9609999999998</v>
      </c>
      <c r="D2558" s="633">
        <f t="shared" si="80"/>
        <v>3630.9609999999998</v>
      </c>
      <c r="E2558" s="608"/>
      <c r="F2558" s="760">
        <f t="shared" si="81"/>
        <v>1531.8893970508659</v>
      </c>
      <c r="M2558" s="443"/>
    </row>
    <row r="2559" spans="1:13">
      <c r="A2559" s="639">
        <v>41613</v>
      </c>
      <c r="B2559" s="639">
        <v>1200</v>
      </c>
      <c r="C2559" s="638">
        <v>3641.665</v>
      </c>
      <c r="D2559" s="633">
        <f t="shared" si="80"/>
        <v>3641.665</v>
      </c>
      <c r="E2559" s="608"/>
      <c r="F2559" s="760">
        <f t="shared" si="81"/>
        <v>1536.4053761831212</v>
      </c>
      <c r="M2559" s="443"/>
    </row>
    <row r="2560" spans="1:13">
      <c r="A2560" s="639">
        <v>41613</v>
      </c>
      <c r="B2560" s="639">
        <v>1300</v>
      </c>
      <c r="C2560" s="638">
        <v>3529.404</v>
      </c>
      <c r="D2560" s="633">
        <f t="shared" si="80"/>
        <v>3529.404</v>
      </c>
      <c r="E2560" s="608"/>
      <c r="F2560" s="760">
        <f t="shared" si="81"/>
        <v>1489.0428637236573</v>
      </c>
      <c r="M2560" s="443"/>
    </row>
    <row r="2561" spans="1:13">
      <c r="A2561" s="639">
        <v>41613</v>
      </c>
      <c r="B2561" s="639">
        <v>1400</v>
      </c>
      <c r="C2561" s="638">
        <v>3360.8</v>
      </c>
      <c r="D2561" s="633">
        <f t="shared" si="80"/>
        <v>3360.8</v>
      </c>
      <c r="E2561" s="608"/>
      <c r="F2561" s="760">
        <f t="shared" si="81"/>
        <v>1417.9094420481383</v>
      </c>
      <c r="M2561" s="443"/>
    </row>
    <row r="2562" spans="1:13">
      <c r="A2562" s="639">
        <v>41613</v>
      </c>
      <c r="B2562" s="639">
        <v>1500</v>
      </c>
      <c r="C2562" s="638">
        <v>3259.1030000000001</v>
      </c>
      <c r="D2562" s="633">
        <f t="shared" si="80"/>
        <v>3259.1030000000001</v>
      </c>
      <c r="E2562" s="608"/>
      <c r="F2562" s="760">
        <f t="shared" si="81"/>
        <v>1375.0038432240578</v>
      </c>
      <c r="M2562" s="443"/>
    </row>
    <row r="2563" spans="1:13">
      <c r="A2563" s="639">
        <v>41613</v>
      </c>
      <c r="B2563" s="639">
        <v>1600</v>
      </c>
      <c r="C2563" s="638">
        <v>3314.3229999999999</v>
      </c>
      <c r="D2563" s="633">
        <f t="shared" si="80"/>
        <v>3314.3229999999999</v>
      </c>
      <c r="E2563" s="608"/>
      <c r="F2563" s="760">
        <f t="shared" si="81"/>
        <v>1398.30096277592</v>
      </c>
      <c r="M2563" s="443"/>
    </row>
    <row r="2564" spans="1:13">
      <c r="A2564" s="639">
        <v>41613</v>
      </c>
      <c r="B2564" s="639">
        <v>1700</v>
      </c>
      <c r="C2564" s="638">
        <v>3446.1080000000002</v>
      </c>
      <c r="D2564" s="633">
        <f t="shared" si="80"/>
        <v>3446.1080000000002</v>
      </c>
      <c r="E2564" s="608"/>
      <c r="F2564" s="760">
        <f t="shared" si="81"/>
        <v>1453.9005806705622</v>
      </c>
      <c r="M2564" s="443"/>
    </row>
    <row r="2565" spans="1:13">
      <c r="A2565" s="639">
        <v>41613</v>
      </c>
      <c r="B2565" s="639">
        <v>1800</v>
      </c>
      <c r="C2565" s="638">
        <v>3579.19</v>
      </c>
      <c r="D2565" s="633">
        <f t="shared" ref="D2565:D2628" si="82">C2565</f>
        <v>3579.19</v>
      </c>
      <c r="E2565" s="608"/>
      <c r="F2565" s="760">
        <f t="shared" si="81"/>
        <v>1510.0473982040812</v>
      </c>
      <c r="M2565" s="443"/>
    </row>
    <row r="2566" spans="1:13">
      <c r="A2566" s="639">
        <v>41613</v>
      </c>
      <c r="B2566" s="639">
        <v>1900</v>
      </c>
      <c r="C2566" s="638">
        <v>3648.4810000000002</v>
      </c>
      <c r="D2566" s="633">
        <f t="shared" si="82"/>
        <v>3648.4810000000002</v>
      </c>
      <c r="E2566" s="608"/>
      <c r="F2566" s="760">
        <f t="shared" si="81"/>
        <v>1539.2810220879655</v>
      </c>
      <c r="M2566" s="443"/>
    </row>
    <row r="2567" spans="1:13">
      <c r="A2567" s="639">
        <v>41613</v>
      </c>
      <c r="B2567" s="639">
        <v>2000</v>
      </c>
      <c r="C2567" s="638">
        <v>4118.5</v>
      </c>
      <c r="D2567" s="633">
        <f t="shared" si="82"/>
        <v>4118.5</v>
      </c>
      <c r="E2567" s="608"/>
      <c r="F2567" s="760">
        <f t="shared" si="81"/>
        <v>1737.5803490464345</v>
      </c>
      <c r="M2567" s="443"/>
    </row>
    <row r="2568" spans="1:13">
      <c r="A2568" s="639">
        <v>41613</v>
      </c>
      <c r="B2568" s="639">
        <v>2100</v>
      </c>
      <c r="C2568" s="638">
        <v>4063.83</v>
      </c>
      <c r="D2568" s="633">
        <f t="shared" si="82"/>
        <v>4063.83</v>
      </c>
      <c r="E2568" s="608"/>
      <c r="F2568" s="760">
        <f t="shared" si="81"/>
        <v>1714.5152725179973</v>
      </c>
      <c r="M2568" s="443"/>
    </row>
    <row r="2569" spans="1:13">
      <c r="A2569" s="639">
        <v>41613</v>
      </c>
      <c r="B2569" s="639">
        <v>2200</v>
      </c>
      <c r="C2569" s="638">
        <v>3678.7910000000002</v>
      </c>
      <c r="D2569" s="633">
        <f t="shared" si="82"/>
        <v>3678.7910000000002</v>
      </c>
      <c r="E2569" s="608"/>
      <c r="F2569" s="760">
        <f t="shared" si="81"/>
        <v>1552.0687021607096</v>
      </c>
      <c r="M2569" s="443"/>
    </row>
    <row r="2570" spans="1:13">
      <c r="A2570" s="639">
        <v>41613</v>
      </c>
      <c r="B2570" s="639">
        <v>2300</v>
      </c>
      <c r="C2570" s="638">
        <v>3201.2719999999999</v>
      </c>
      <c r="D2570" s="633">
        <f t="shared" si="82"/>
        <v>3201.2719999999999</v>
      </c>
      <c r="E2570" s="608"/>
      <c r="F2570" s="760">
        <f t="shared" si="81"/>
        <v>1350.6051521555366</v>
      </c>
      <c r="M2570" s="443"/>
    </row>
    <row r="2571" spans="1:13">
      <c r="A2571" s="639">
        <v>41613</v>
      </c>
      <c r="B2571" s="639">
        <v>2400</v>
      </c>
      <c r="C2571" s="638">
        <v>2940.241</v>
      </c>
      <c r="D2571" s="633">
        <f t="shared" si="82"/>
        <v>2940.241</v>
      </c>
      <c r="E2571" s="608"/>
      <c r="F2571" s="760">
        <f t="shared" si="81"/>
        <v>1240.4771113416627</v>
      </c>
      <c r="M2571" s="443"/>
    </row>
    <row r="2572" spans="1:13">
      <c r="A2572" s="639">
        <v>41713</v>
      </c>
      <c r="B2572" s="639">
        <v>100</v>
      </c>
      <c r="C2572" s="638">
        <v>2966.8029999999999</v>
      </c>
      <c r="D2572" s="633">
        <f t="shared" si="82"/>
        <v>2966.8029999999999</v>
      </c>
      <c r="E2572" s="608"/>
      <c r="F2572" s="760">
        <f t="shared" ref="F2572:F2635" si="83">(D2572/(MAX($D$2188:$D$2907)))*$M$7</f>
        <v>1251.6835236838676</v>
      </c>
      <c r="M2572" s="443"/>
    </row>
    <row r="2573" spans="1:13">
      <c r="A2573" s="639">
        <v>41713</v>
      </c>
      <c r="B2573" s="639">
        <v>200</v>
      </c>
      <c r="C2573" s="638">
        <v>2951.991</v>
      </c>
      <c r="D2573" s="633">
        <f t="shared" si="82"/>
        <v>2951.991</v>
      </c>
      <c r="E2573" s="608"/>
      <c r="F2573" s="760">
        <f t="shared" si="83"/>
        <v>1245.4343941148315</v>
      </c>
      <c r="M2573" s="443"/>
    </row>
    <row r="2574" spans="1:13">
      <c r="A2574" s="639">
        <v>41713</v>
      </c>
      <c r="B2574" s="639">
        <v>300</v>
      </c>
      <c r="C2574" s="638">
        <v>2970.8780000000002</v>
      </c>
      <c r="D2574" s="633">
        <f t="shared" si="82"/>
        <v>2970.8780000000002</v>
      </c>
      <c r="E2574" s="608"/>
      <c r="F2574" s="760">
        <f t="shared" si="83"/>
        <v>1253.4027515392434</v>
      </c>
      <c r="M2574" s="443"/>
    </row>
    <row r="2575" spans="1:13">
      <c r="A2575" s="639">
        <v>41713</v>
      </c>
      <c r="B2575" s="639">
        <v>400</v>
      </c>
      <c r="C2575" s="638">
        <v>3042.02</v>
      </c>
      <c r="D2575" s="633">
        <f t="shared" si="82"/>
        <v>3042.02</v>
      </c>
      <c r="E2575" s="608"/>
      <c r="F2575" s="760">
        <f t="shared" si="83"/>
        <v>1283.4173056710538</v>
      </c>
      <c r="M2575" s="443"/>
    </row>
    <row r="2576" spans="1:13">
      <c r="A2576" s="639">
        <v>41713</v>
      </c>
      <c r="B2576" s="639">
        <v>500</v>
      </c>
      <c r="C2576" s="638">
        <v>3392.902</v>
      </c>
      <c r="D2576" s="633">
        <f t="shared" si="82"/>
        <v>3392.902</v>
      </c>
      <c r="E2576" s="608"/>
      <c r="F2576" s="760">
        <f t="shared" si="83"/>
        <v>1431.4531604808417</v>
      </c>
      <c r="M2576" s="443"/>
    </row>
    <row r="2577" spans="1:13">
      <c r="A2577" s="639">
        <v>41713</v>
      </c>
      <c r="B2577" s="639">
        <v>600</v>
      </c>
      <c r="C2577" s="638">
        <v>3969.2460000000001</v>
      </c>
      <c r="D2577" s="633">
        <f t="shared" si="82"/>
        <v>3969.2460000000001</v>
      </c>
      <c r="E2577" s="608"/>
      <c r="F2577" s="760">
        <f t="shared" si="83"/>
        <v>1674.6106228314106</v>
      </c>
      <c r="M2577" s="443"/>
    </row>
    <row r="2578" spans="1:13">
      <c r="A2578" s="639">
        <v>41713</v>
      </c>
      <c r="B2578" s="639">
        <v>700</v>
      </c>
      <c r="C2578" s="638">
        <v>3978.0810000000001</v>
      </c>
      <c r="D2578" s="633">
        <f t="shared" si="82"/>
        <v>3978.0810000000001</v>
      </c>
      <c r="E2578" s="608"/>
      <c r="F2578" s="760">
        <f t="shared" si="83"/>
        <v>1678.3380775804274</v>
      </c>
      <c r="M2578" s="443"/>
    </row>
    <row r="2579" spans="1:13">
      <c r="A2579" s="639">
        <v>41713</v>
      </c>
      <c r="B2579" s="639">
        <v>800</v>
      </c>
      <c r="C2579" s="638">
        <v>3649.346</v>
      </c>
      <c r="D2579" s="633">
        <f t="shared" si="82"/>
        <v>3649.346</v>
      </c>
      <c r="E2579" s="608"/>
      <c r="F2579" s="760">
        <f t="shared" si="83"/>
        <v>1539.6459624793517</v>
      </c>
      <c r="M2579" s="443"/>
    </row>
    <row r="2580" spans="1:13">
      <c r="A2580" s="639">
        <v>41713</v>
      </c>
      <c r="B2580" s="639">
        <v>900</v>
      </c>
      <c r="C2580" s="638">
        <v>3421.8380000000002</v>
      </c>
      <c r="D2580" s="633">
        <f t="shared" si="82"/>
        <v>3421.8380000000002</v>
      </c>
      <c r="E2580" s="608"/>
      <c r="F2580" s="760">
        <f t="shared" si="83"/>
        <v>1443.66115489143</v>
      </c>
      <c r="M2580" s="443"/>
    </row>
    <row r="2581" spans="1:13">
      <c r="A2581" s="639">
        <v>41713</v>
      </c>
      <c r="B2581" s="639">
        <v>1000</v>
      </c>
      <c r="C2581" s="638">
        <v>3261.924</v>
      </c>
      <c r="D2581" s="633">
        <f t="shared" si="82"/>
        <v>3261.924</v>
      </c>
      <c r="E2581" s="608"/>
      <c r="F2581" s="760">
        <f t="shared" si="83"/>
        <v>1376.1940129860245</v>
      </c>
      <c r="M2581" s="443"/>
    </row>
    <row r="2582" spans="1:13">
      <c r="A2582" s="639">
        <v>41713</v>
      </c>
      <c r="B2582" s="639">
        <v>1100</v>
      </c>
      <c r="C2582" s="638">
        <v>3155.134</v>
      </c>
      <c r="D2582" s="633">
        <f t="shared" si="82"/>
        <v>3155.134</v>
      </c>
      <c r="E2582" s="608"/>
      <c r="F2582" s="760">
        <f t="shared" si="83"/>
        <v>1331.1396957650293</v>
      </c>
      <c r="M2582" s="443"/>
    </row>
    <row r="2583" spans="1:13">
      <c r="A2583" s="639">
        <v>41713</v>
      </c>
      <c r="B2583" s="639">
        <v>1200</v>
      </c>
      <c r="C2583" s="638">
        <v>3034.31</v>
      </c>
      <c r="D2583" s="633">
        <f t="shared" si="82"/>
        <v>3034.31</v>
      </c>
      <c r="E2583" s="608"/>
      <c r="F2583" s="760">
        <f t="shared" si="83"/>
        <v>1280.1644843790425</v>
      </c>
      <c r="M2583" s="443"/>
    </row>
    <row r="2584" spans="1:13">
      <c r="A2584" s="639">
        <v>41713</v>
      </c>
      <c r="B2584" s="639">
        <v>1300</v>
      </c>
      <c r="C2584" s="638">
        <v>2985.232</v>
      </c>
      <c r="D2584" s="633">
        <f t="shared" si="82"/>
        <v>2985.232</v>
      </c>
      <c r="E2584" s="608"/>
      <c r="F2584" s="760">
        <f t="shared" si="83"/>
        <v>1259.4586525542275</v>
      </c>
      <c r="M2584" s="443"/>
    </row>
    <row r="2585" spans="1:13">
      <c r="A2585" s="639">
        <v>41713</v>
      </c>
      <c r="B2585" s="639">
        <v>1400</v>
      </c>
      <c r="C2585" s="638">
        <v>2969.2539999999999</v>
      </c>
      <c r="D2585" s="633">
        <f t="shared" si="82"/>
        <v>2969.2539999999999</v>
      </c>
      <c r="E2585" s="608"/>
      <c r="F2585" s="760">
        <f t="shared" si="83"/>
        <v>1252.7175917755303</v>
      </c>
      <c r="M2585" s="443"/>
    </row>
    <row r="2586" spans="1:13">
      <c r="A2586" s="639">
        <v>41713</v>
      </c>
      <c r="B2586" s="639">
        <v>1500</v>
      </c>
      <c r="C2586" s="638">
        <v>3055.6869999999999</v>
      </c>
      <c r="D2586" s="633">
        <f t="shared" si="82"/>
        <v>3055.6869999999999</v>
      </c>
      <c r="E2586" s="608"/>
      <c r="F2586" s="760">
        <f t="shared" si="83"/>
        <v>1289.1833638549599</v>
      </c>
      <c r="M2586" s="443"/>
    </row>
    <row r="2587" spans="1:13">
      <c r="A2587" s="639">
        <v>41713</v>
      </c>
      <c r="B2587" s="639">
        <v>1600</v>
      </c>
      <c r="C2587" s="638">
        <v>3240.2640000000001</v>
      </c>
      <c r="D2587" s="633">
        <f t="shared" si="82"/>
        <v>3240.2640000000001</v>
      </c>
      <c r="E2587" s="608"/>
      <c r="F2587" s="760">
        <f t="shared" si="83"/>
        <v>1367.055736827145</v>
      </c>
      <c r="M2587" s="443"/>
    </row>
    <row r="2588" spans="1:13">
      <c r="A2588" s="639">
        <v>41713</v>
      </c>
      <c r="B2588" s="639">
        <v>1700</v>
      </c>
      <c r="C2588" s="638">
        <v>3386.297</v>
      </c>
      <c r="D2588" s="633">
        <f t="shared" si="82"/>
        <v>3386.297</v>
      </c>
      <c r="E2588" s="608"/>
      <c r="F2588" s="760">
        <f t="shared" si="83"/>
        <v>1428.6665347177113</v>
      </c>
      <c r="M2588" s="443"/>
    </row>
    <row r="2589" spans="1:13">
      <c r="A2589" s="639">
        <v>41713</v>
      </c>
      <c r="B2589" s="639">
        <v>1800</v>
      </c>
      <c r="C2589" s="638">
        <v>3491.4090000000001</v>
      </c>
      <c r="D2589" s="633">
        <f t="shared" si="82"/>
        <v>3491.4090000000001</v>
      </c>
      <c r="E2589" s="608"/>
      <c r="F2589" s="760">
        <f t="shared" si="83"/>
        <v>1473.0129097690574</v>
      </c>
      <c r="M2589" s="443"/>
    </row>
    <row r="2590" spans="1:13">
      <c r="A2590" s="639">
        <v>41713</v>
      </c>
      <c r="B2590" s="639">
        <v>1900</v>
      </c>
      <c r="C2590" s="638">
        <v>3723.0039999999999</v>
      </c>
      <c r="D2590" s="633">
        <f t="shared" si="82"/>
        <v>3723.0039999999999</v>
      </c>
      <c r="E2590" s="608"/>
      <c r="F2590" s="760">
        <f t="shared" si="83"/>
        <v>1570.7220079692295</v>
      </c>
      <c r="M2590" s="443"/>
    </row>
    <row r="2591" spans="1:13">
      <c r="A2591" s="639">
        <v>41713</v>
      </c>
      <c r="B2591" s="639">
        <v>2000</v>
      </c>
      <c r="C2591" s="638">
        <v>4041.3789999999999</v>
      </c>
      <c r="D2591" s="633">
        <f t="shared" si="82"/>
        <v>4041.3789999999999</v>
      </c>
      <c r="E2591" s="608"/>
      <c r="F2591" s="760">
        <f t="shared" si="83"/>
        <v>1705.043276301792</v>
      </c>
      <c r="M2591" s="443"/>
    </row>
    <row r="2592" spans="1:13">
      <c r="A2592" s="639">
        <v>41713</v>
      </c>
      <c r="B2592" s="639">
        <v>2100</v>
      </c>
      <c r="C2592" s="638">
        <v>4080.83</v>
      </c>
      <c r="D2592" s="633">
        <f t="shared" si="82"/>
        <v>4080.83</v>
      </c>
      <c r="E2592" s="608"/>
      <c r="F2592" s="760">
        <f t="shared" si="83"/>
        <v>1721.6875114238587</v>
      </c>
      <c r="M2592" s="443"/>
    </row>
    <row r="2593" spans="1:13">
      <c r="A2593" s="639">
        <v>41713</v>
      </c>
      <c r="B2593" s="639">
        <v>2200</v>
      </c>
      <c r="C2593" s="638">
        <v>3632.578</v>
      </c>
      <c r="D2593" s="633">
        <f t="shared" si="82"/>
        <v>3632.578</v>
      </c>
      <c r="E2593" s="608"/>
      <c r="F2593" s="760">
        <f t="shared" si="83"/>
        <v>1532.5716035397352</v>
      </c>
      <c r="M2593" s="443"/>
    </row>
    <row r="2594" spans="1:13">
      <c r="A2594" s="639">
        <v>41713</v>
      </c>
      <c r="B2594" s="639">
        <v>2300</v>
      </c>
      <c r="C2594" s="638">
        <v>3048.373</v>
      </c>
      <c r="D2594" s="633">
        <f t="shared" si="82"/>
        <v>3048.373</v>
      </c>
      <c r="E2594" s="608"/>
      <c r="F2594" s="760">
        <f t="shared" si="83"/>
        <v>1286.0976135398146</v>
      </c>
      <c r="M2594" s="443"/>
    </row>
    <row r="2595" spans="1:13">
      <c r="A2595" s="639">
        <v>41713</v>
      </c>
      <c r="B2595" s="639">
        <v>2400</v>
      </c>
      <c r="C2595" s="638">
        <v>2847.7109999999998</v>
      </c>
      <c r="D2595" s="633">
        <f t="shared" si="82"/>
        <v>2847.7109999999998</v>
      </c>
      <c r="E2595" s="608"/>
      <c r="F2595" s="760">
        <f t="shared" si="83"/>
        <v>1201.4390368734662</v>
      </c>
      <c r="M2595" s="443"/>
    </row>
    <row r="2596" spans="1:13">
      <c r="A2596" s="639">
        <v>41813</v>
      </c>
      <c r="B2596" s="639">
        <v>100</v>
      </c>
      <c r="C2596" s="638">
        <v>2906.8850000000002</v>
      </c>
      <c r="D2596" s="633">
        <f t="shared" si="82"/>
        <v>2906.8850000000002</v>
      </c>
      <c r="E2596" s="608"/>
      <c r="F2596" s="760">
        <f t="shared" si="83"/>
        <v>1226.4043348155508</v>
      </c>
      <c r="M2596" s="443"/>
    </row>
    <row r="2597" spans="1:13">
      <c r="A2597" s="639">
        <v>41813</v>
      </c>
      <c r="B2597" s="639">
        <v>200</v>
      </c>
      <c r="C2597" s="638">
        <v>2855.64</v>
      </c>
      <c r="D2597" s="633">
        <f t="shared" si="82"/>
        <v>2855.64</v>
      </c>
      <c r="E2597" s="608"/>
      <c r="F2597" s="760">
        <f t="shared" si="83"/>
        <v>1204.7842534784413</v>
      </c>
      <c r="M2597" s="443"/>
    </row>
    <row r="2598" spans="1:13">
      <c r="A2598" s="639">
        <v>41813</v>
      </c>
      <c r="B2598" s="639">
        <v>300</v>
      </c>
      <c r="C2598" s="638">
        <v>2827.9830000000002</v>
      </c>
      <c r="D2598" s="633">
        <f t="shared" si="82"/>
        <v>2827.9830000000002</v>
      </c>
      <c r="E2598" s="608"/>
      <c r="F2598" s="760">
        <f t="shared" si="83"/>
        <v>1193.1158645714177</v>
      </c>
      <c r="M2598" s="443"/>
    </row>
    <row r="2599" spans="1:13">
      <c r="A2599" s="639">
        <v>41813</v>
      </c>
      <c r="B2599" s="639">
        <v>400</v>
      </c>
      <c r="C2599" s="638">
        <v>2908.7739999999999</v>
      </c>
      <c r="D2599" s="633">
        <f t="shared" si="82"/>
        <v>2908.7739999999999</v>
      </c>
      <c r="E2599" s="608"/>
      <c r="F2599" s="760">
        <f t="shared" si="83"/>
        <v>1227.2012971269135</v>
      </c>
      <c r="M2599" s="443"/>
    </row>
    <row r="2600" spans="1:13">
      <c r="A2600" s="639">
        <v>41813</v>
      </c>
      <c r="B2600" s="639">
        <v>500</v>
      </c>
      <c r="C2600" s="638">
        <v>3227.6379999999999</v>
      </c>
      <c r="D2600" s="633">
        <f t="shared" si="82"/>
        <v>3227.6379999999999</v>
      </c>
      <c r="E2600" s="608"/>
      <c r="F2600" s="760">
        <f t="shared" si="83"/>
        <v>1361.7288728021213</v>
      </c>
      <c r="M2600" s="443"/>
    </row>
    <row r="2601" spans="1:13">
      <c r="A2601" s="639">
        <v>41813</v>
      </c>
      <c r="B2601" s="639">
        <v>600</v>
      </c>
      <c r="C2601" s="638">
        <v>3809.9180000000001</v>
      </c>
      <c r="D2601" s="633">
        <f t="shared" si="82"/>
        <v>3809.9180000000001</v>
      </c>
      <c r="E2601" s="608"/>
      <c r="F2601" s="760">
        <f t="shared" si="83"/>
        <v>1607.3907122200544</v>
      </c>
      <c r="M2601" s="443"/>
    </row>
    <row r="2602" spans="1:13">
      <c r="A2602" s="639">
        <v>41813</v>
      </c>
      <c r="B2602" s="639">
        <v>700</v>
      </c>
      <c r="C2602" s="638">
        <v>4065.1309999999999</v>
      </c>
      <c r="D2602" s="633">
        <f t="shared" si="82"/>
        <v>4065.1309999999999</v>
      </c>
      <c r="E2602" s="608"/>
      <c r="F2602" s="760">
        <f t="shared" si="83"/>
        <v>1715.0641597424988</v>
      </c>
      <c r="M2602" s="443"/>
    </row>
    <row r="2603" spans="1:13">
      <c r="A2603" s="639">
        <v>41813</v>
      </c>
      <c r="B2603" s="639">
        <v>800</v>
      </c>
      <c r="C2603" s="638">
        <v>4062.8009999999999</v>
      </c>
      <c r="D2603" s="633">
        <f t="shared" si="82"/>
        <v>4062.8009999999999</v>
      </c>
      <c r="E2603" s="608"/>
      <c r="F2603" s="760">
        <f t="shared" si="83"/>
        <v>1714.0811411159896</v>
      </c>
      <c r="M2603" s="443"/>
    </row>
    <row r="2604" spans="1:13">
      <c r="A2604" s="639">
        <v>41813</v>
      </c>
      <c r="B2604" s="639">
        <v>900</v>
      </c>
      <c r="C2604" s="638">
        <v>3648.701</v>
      </c>
      <c r="D2604" s="633">
        <f t="shared" si="82"/>
        <v>3648.701</v>
      </c>
      <c r="E2604" s="608"/>
      <c r="F2604" s="760">
        <f t="shared" si="83"/>
        <v>1539.3738392973353</v>
      </c>
      <c r="M2604" s="443"/>
    </row>
    <row r="2605" spans="1:13">
      <c r="A2605" s="639">
        <v>41813</v>
      </c>
      <c r="B2605" s="639">
        <v>1000</v>
      </c>
      <c r="C2605" s="638">
        <v>3510.2240000000002</v>
      </c>
      <c r="D2605" s="633">
        <f t="shared" si="82"/>
        <v>3510.2240000000002</v>
      </c>
      <c r="E2605" s="608"/>
      <c r="F2605" s="760">
        <f t="shared" si="83"/>
        <v>1480.950890652221</v>
      </c>
      <c r="M2605" s="443"/>
    </row>
    <row r="2606" spans="1:13">
      <c r="A2606" s="639">
        <v>41813</v>
      </c>
      <c r="B2606" s="639">
        <v>1100</v>
      </c>
      <c r="C2606" s="638">
        <v>3389.8879999999999</v>
      </c>
      <c r="D2606" s="633">
        <f t="shared" si="82"/>
        <v>3389.8879999999999</v>
      </c>
      <c r="E2606" s="608"/>
      <c r="F2606" s="760">
        <f t="shared" si="83"/>
        <v>1430.1815647124729</v>
      </c>
      <c r="M2606" s="443"/>
    </row>
    <row r="2607" spans="1:13">
      <c r="A2607" s="639">
        <v>41813</v>
      </c>
      <c r="B2607" s="639">
        <v>1200</v>
      </c>
      <c r="C2607" s="638">
        <v>3200.88</v>
      </c>
      <c r="D2607" s="633">
        <f t="shared" si="82"/>
        <v>3200.88</v>
      </c>
      <c r="E2607" s="608"/>
      <c r="F2607" s="760">
        <f t="shared" si="83"/>
        <v>1350.4397687642956</v>
      </c>
      <c r="M2607" s="443"/>
    </row>
    <row r="2608" spans="1:13">
      <c r="A2608" s="639">
        <v>41813</v>
      </c>
      <c r="B2608" s="639">
        <v>1300</v>
      </c>
      <c r="C2608" s="638">
        <v>3072.3490000000002</v>
      </c>
      <c r="D2608" s="633">
        <f t="shared" si="82"/>
        <v>3072.3490000000002</v>
      </c>
      <c r="E2608" s="608"/>
      <c r="F2608" s="760">
        <f t="shared" si="83"/>
        <v>1296.2130017755164</v>
      </c>
      <c r="M2608" s="443"/>
    </row>
    <row r="2609" spans="1:13">
      <c r="A2609" s="639">
        <v>41813</v>
      </c>
      <c r="B2609" s="639">
        <v>1400</v>
      </c>
      <c r="C2609" s="638">
        <v>3071.404</v>
      </c>
      <c r="D2609" s="633">
        <f t="shared" si="82"/>
        <v>3071.404</v>
      </c>
      <c r="E2609" s="608"/>
      <c r="F2609" s="760">
        <f t="shared" si="83"/>
        <v>1295.8143096716317</v>
      </c>
      <c r="M2609" s="443"/>
    </row>
    <row r="2610" spans="1:13">
      <c r="A2610" s="639">
        <v>41813</v>
      </c>
      <c r="B2610" s="639">
        <v>1500</v>
      </c>
      <c r="C2610" s="638">
        <v>3149.806</v>
      </c>
      <c r="D2610" s="633">
        <f t="shared" si="82"/>
        <v>3149.806</v>
      </c>
      <c r="E2610" s="608"/>
      <c r="F2610" s="760">
        <f t="shared" si="83"/>
        <v>1328.8918317126513</v>
      </c>
      <c r="M2610" s="443"/>
    </row>
    <row r="2611" spans="1:13">
      <c r="A2611" s="639">
        <v>41813</v>
      </c>
      <c r="B2611" s="639">
        <v>1600</v>
      </c>
      <c r="C2611" s="638">
        <v>3249.3429999999998</v>
      </c>
      <c r="D2611" s="633">
        <f t="shared" si="82"/>
        <v>3249.3429999999998</v>
      </c>
      <c r="E2611" s="608"/>
      <c r="F2611" s="760">
        <f t="shared" si="83"/>
        <v>1370.8861342992809</v>
      </c>
      <c r="M2611" s="443"/>
    </row>
    <row r="2612" spans="1:13">
      <c r="A2612" s="639">
        <v>41813</v>
      </c>
      <c r="B2612" s="639">
        <v>1700</v>
      </c>
      <c r="C2612" s="638">
        <v>3403.268</v>
      </c>
      <c r="D2612" s="633">
        <f t="shared" si="82"/>
        <v>3403.268</v>
      </c>
      <c r="E2612" s="608"/>
      <c r="F2612" s="760">
        <f t="shared" si="83"/>
        <v>1435.8265386277922</v>
      </c>
      <c r="M2612" s="443"/>
    </row>
    <row r="2613" spans="1:13">
      <c r="A2613" s="639">
        <v>41813</v>
      </c>
      <c r="B2613" s="639">
        <v>1800</v>
      </c>
      <c r="C2613" s="638">
        <v>3467.6880000000001</v>
      </c>
      <c r="D2613" s="633">
        <f t="shared" si="82"/>
        <v>3467.6880000000001</v>
      </c>
      <c r="E2613" s="608"/>
      <c r="F2613" s="760">
        <f t="shared" si="83"/>
        <v>1463.0051051169437</v>
      </c>
      <c r="M2613" s="443"/>
    </row>
    <row r="2614" spans="1:13">
      <c r="A2614" s="639">
        <v>41813</v>
      </c>
      <c r="B2614" s="639">
        <v>1900</v>
      </c>
      <c r="C2614" s="638">
        <v>3779.9989999999998</v>
      </c>
      <c r="D2614" s="633">
        <f t="shared" si="82"/>
        <v>3779.9989999999998</v>
      </c>
      <c r="E2614" s="608"/>
      <c r="F2614" s="760">
        <f t="shared" si="83"/>
        <v>1594.767993642145</v>
      </c>
      <c r="M2614" s="443"/>
    </row>
    <row r="2615" spans="1:13">
      <c r="A2615" s="639">
        <v>41813</v>
      </c>
      <c r="B2615" s="639">
        <v>2000</v>
      </c>
      <c r="C2615" s="638">
        <v>4004.4659999999999</v>
      </c>
      <c r="D2615" s="633">
        <f t="shared" si="82"/>
        <v>4004.4659999999999</v>
      </c>
      <c r="E2615" s="608"/>
      <c r="F2615" s="760">
        <f t="shared" si="83"/>
        <v>1689.4698142587301</v>
      </c>
      <c r="M2615" s="443"/>
    </row>
    <row r="2616" spans="1:13">
      <c r="A2616" s="639">
        <v>41813</v>
      </c>
      <c r="B2616" s="639">
        <v>2100</v>
      </c>
      <c r="C2616" s="638">
        <v>3890.0680000000002</v>
      </c>
      <c r="D2616" s="633">
        <f t="shared" si="82"/>
        <v>3890.0680000000002</v>
      </c>
      <c r="E2616" s="608"/>
      <c r="F2616" s="760">
        <f t="shared" si="83"/>
        <v>1641.2057091791589</v>
      </c>
      <c r="M2616" s="443"/>
    </row>
    <row r="2617" spans="1:13">
      <c r="A2617" s="639">
        <v>41813</v>
      </c>
      <c r="B2617" s="639">
        <v>2200</v>
      </c>
      <c r="C2617" s="638">
        <v>3423.384</v>
      </c>
      <c r="D2617" s="633">
        <f t="shared" si="82"/>
        <v>3423.384</v>
      </c>
      <c r="E2617" s="608"/>
      <c r="F2617" s="760">
        <f t="shared" si="83"/>
        <v>1444.313406735457</v>
      </c>
      <c r="M2617" s="443"/>
    </row>
    <row r="2618" spans="1:13">
      <c r="A2618" s="639">
        <v>41813</v>
      </c>
      <c r="B2618" s="639">
        <v>2300</v>
      </c>
      <c r="C2618" s="638">
        <v>2831.154</v>
      </c>
      <c r="D2618" s="633">
        <f t="shared" si="82"/>
        <v>2831.154</v>
      </c>
      <c r="E2618" s="608"/>
      <c r="F2618" s="760">
        <f t="shared" si="83"/>
        <v>1194.4536980755638</v>
      </c>
      <c r="M2618" s="443"/>
    </row>
    <row r="2619" spans="1:13">
      <c r="A2619" s="639">
        <v>41813</v>
      </c>
      <c r="B2619" s="639">
        <v>2400</v>
      </c>
      <c r="C2619" s="638">
        <v>2599.4299999999998</v>
      </c>
      <c r="D2619" s="633">
        <f t="shared" si="82"/>
        <v>2599.4299999999998</v>
      </c>
      <c r="E2619" s="608"/>
      <c r="F2619" s="760">
        <f t="shared" si="83"/>
        <v>1096.6901752389883</v>
      </c>
      <c r="M2619" s="443"/>
    </row>
    <row r="2620" spans="1:13">
      <c r="A2620" s="639">
        <v>41913</v>
      </c>
      <c r="B2620" s="639">
        <v>100</v>
      </c>
      <c r="C2620" s="638">
        <v>2550.15</v>
      </c>
      <c r="D2620" s="633">
        <f t="shared" si="82"/>
        <v>2550.15</v>
      </c>
      <c r="E2620" s="608"/>
      <c r="F2620" s="760">
        <f t="shared" si="83"/>
        <v>1075.8991203401154</v>
      </c>
      <c r="M2620" s="443"/>
    </row>
    <row r="2621" spans="1:13">
      <c r="A2621" s="639">
        <v>41913</v>
      </c>
      <c r="B2621" s="639">
        <v>200</v>
      </c>
      <c r="C2621" s="638">
        <v>2511.35</v>
      </c>
      <c r="D2621" s="633">
        <f t="shared" si="82"/>
        <v>2511.35</v>
      </c>
      <c r="E2621" s="608"/>
      <c r="F2621" s="760">
        <f t="shared" si="83"/>
        <v>1059.5295397785026</v>
      </c>
      <c r="M2621" s="443"/>
    </row>
    <row r="2622" spans="1:13">
      <c r="A2622" s="639">
        <v>41913</v>
      </c>
      <c r="B2622" s="639">
        <v>300</v>
      </c>
      <c r="C2622" s="638">
        <v>2489.2040000000002</v>
      </c>
      <c r="D2622" s="633">
        <f t="shared" si="82"/>
        <v>2489.2040000000002</v>
      </c>
      <c r="E2622" s="608"/>
      <c r="F2622" s="760">
        <f t="shared" si="83"/>
        <v>1050.1862219661969</v>
      </c>
      <c r="M2622" s="443"/>
    </row>
    <row r="2623" spans="1:13">
      <c r="A2623" s="639">
        <v>41913</v>
      </c>
      <c r="B2623" s="639">
        <v>400</v>
      </c>
      <c r="C2623" s="638">
        <v>2515.0250000000001</v>
      </c>
      <c r="D2623" s="633">
        <f t="shared" si="82"/>
        <v>2515.0250000000001</v>
      </c>
      <c r="E2623" s="608"/>
      <c r="F2623" s="760">
        <f t="shared" si="83"/>
        <v>1061.0800090713874</v>
      </c>
      <c r="M2623" s="443"/>
    </row>
    <row r="2624" spans="1:13">
      <c r="A2624" s="639">
        <v>41913</v>
      </c>
      <c r="B2624" s="639">
        <v>500</v>
      </c>
      <c r="C2624" s="638">
        <v>2817.672</v>
      </c>
      <c r="D2624" s="633">
        <f t="shared" si="82"/>
        <v>2817.672</v>
      </c>
      <c r="E2624" s="608"/>
      <c r="F2624" s="760">
        <f t="shared" si="83"/>
        <v>1188.7656907268097</v>
      </c>
      <c r="M2624" s="443"/>
    </row>
    <row r="2625" spans="1:13">
      <c r="A2625" s="639">
        <v>41913</v>
      </c>
      <c r="B2625" s="639">
        <v>600</v>
      </c>
      <c r="C2625" s="638">
        <v>3266.8470000000002</v>
      </c>
      <c r="D2625" s="633">
        <f t="shared" si="82"/>
        <v>3266.8470000000002</v>
      </c>
      <c r="E2625" s="608"/>
      <c r="F2625" s="760">
        <f t="shared" si="83"/>
        <v>1378.271008993881</v>
      </c>
      <c r="M2625" s="443"/>
    </row>
    <row r="2626" spans="1:13">
      <c r="A2626" s="639">
        <v>41913</v>
      </c>
      <c r="B2626" s="639">
        <v>700</v>
      </c>
      <c r="C2626" s="638">
        <v>3633.1680000000001</v>
      </c>
      <c r="D2626" s="633">
        <f t="shared" si="82"/>
        <v>3633.1680000000001</v>
      </c>
      <c r="E2626" s="608"/>
      <c r="F2626" s="760">
        <f t="shared" si="83"/>
        <v>1532.8205224194091</v>
      </c>
      <c r="M2626" s="443"/>
    </row>
    <row r="2627" spans="1:13">
      <c r="A2627" s="639">
        <v>41913</v>
      </c>
      <c r="B2627" s="639">
        <v>800</v>
      </c>
      <c r="C2627" s="638">
        <v>3626.2849999999999</v>
      </c>
      <c r="D2627" s="633">
        <f t="shared" si="82"/>
        <v>3626.2849999999999</v>
      </c>
      <c r="E2627" s="608"/>
      <c r="F2627" s="760">
        <f t="shared" si="83"/>
        <v>1529.9166094553477</v>
      </c>
      <c r="M2627" s="443"/>
    </row>
    <row r="2628" spans="1:13">
      <c r="A2628" s="639">
        <v>41913</v>
      </c>
      <c r="B2628" s="639">
        <v>900</v>
      </c>
      <c r="C2628" s="638">
        <v>3421.145</v>
      </c>
      <c r="D2628" s="633">
        <f t="shared" si="82"/>
        <v>3421.145</v>
      </c>
      <c r="E2628" s="608"/>
      <c r="F2628" s="760">
        <f t="shared" si="83"/>
        <v>1443.3687806819144</v>
      </c>
      <c r="M2628" s="443"/>
    </row>
    <row r="2629" spans="1:13">
      <c r="A2629" s="639">
        <v>41913</v>
      </c>
      <c r="B2629" s="639">
        <v>1000</v>
      </c>
      <c r="C2629" s="638">
        <v>3475.5839999999998</v>
      </c>
      <c r="D2629" s="633">
        <f t="shared" ref="D2629:D2692" si="84">C2629</f>
        <v>3475.5839999999998</v>
      </c>
      <c r="E2629" s="608"/>
      <c r="F2629" s="760">
        <f t="shared" si="83"/>
        <v>1466.3363991405131</v>
      </c>
      <c r="M2629" s="443"/>
    </row>
    <row r="2630" spans="1:13">
      <c r="A2630" s="639">
        <v>41913</v>
      </c>
      <c r="B2630" s="639">
        <v>1100</v>
      </c>
      <c r="C2630" s="638">
        <v>3548.5920000000001</v>
      </c>
      <c r="D2630" s="633">
        <f t="shared" si="84"/>
        <v>3548.5920000000001</v>
      </c>
      <c r="E2630" s="608"/>
      <c r="F2630" s="760">
        <f t="shared" si="83"/>
        <v>1497.1382119663435</v>
      </c>
      <c r="M2630" s="443"/>
    </row>
    <row r="2631" spans="1:13">
      <c r="A2631" s="639">
        <v>41913</v>
      </c>
      <c r="B2631" s="639">
        <v>1200</v>
      </c>
      <c r="C2631" s="638">
        <v>3596.3719999999998</v>
      </c>
      <c r="D2631" s="633">
        <f t="shared" si="84"/>
        <v>3596.3719999999998</v>
      </c>
      <c r="E2631" s="608"/>
      <c r="F2631" s="760">
        <f t="shared" si="83"/>
        <v>1517.2964222558755</v>
      </c>
      <c r="M2631" s="443"/>
    </row>
    <row r="2632" spans="1:13">
      <c r="A2632" s="639">
        <v>41913</v>
      </c>
      <c r="B2632" s="639">
        <v>1300</v>
      </c>
      <c r="C2632" s="638">
        <v>3243.6819999999998</v>
      </c>
      <c r="D2632" s="633">
        <f t="shared" si="84"/>
        <v>3243.6819999999998</v>
      </c>
      <c r="E2632" s="608"/>
      <c r="F2632" s="760">
        <f t="shared" si="83"/>
        <v>1368.4977787436292</v>
      </c>
      <c r="M2632" s="443"/>
    </row>
    <row r="2633" spans="1:13">
      <c r="A2633" s="639">
        <v>41913</v>
      </c>
      <c r="B2633" s="639">
        <v>1400</v>
      </c>
      <c r="C2633" s="638">
        <v>3226.55</v>
      </c>
      <c r="D2633" s="633">
        <f t="shared" si="84"/>
        <v>3226.55</v>
      </c>
      <c r="E2633" s="608"/>
      <c r="F2633" s="760">
        <f t="shared" si="83"/>
        <v>1361.269849512146</v>
      </c>
      <c r="M2633" s="443"/>
    </row>
    <row r="2634" spans="1:13">
      <c r="A2634" s="639">
        <v>41913</v>
      </c>
      <c r="B2634" s="639">
        <v>1500</v>
      </c>
      <c r="C2634" s="638">
        <v>3203.0250000000001</v>
      </c>
      <c r="D2634" s="633">
        <f t="shared" si="84"/>
        <v>3203.0250000000001</v>
      </c>
      <c r="E2634" s="608"/>
      <c r="F2634" s="760">
        <f t="shared" si="83"/>
        <v>1351.3447365556531</v>
      </c>
      <c r="M2634" s="443"/>
    </row>
    <row r="2635" spans="1:13">
      <c r="A2635" s="639">
        <v>41913</v>
      </c>
      <c r="B2635" s="639">
        <v>1600</v>
      </c>
      <c r="C2635" s="638">
        <v>3237.0909999999999</v>
      </c>
      <c r="D2635" s="633">
        <f t="shared" si="84"/>
        <v>3237.0909999999999</v>
      </c>
      <c r="E2635" s="608"/>
      <c r="F2635" s="760">
        <f t="shared" si="83"/>
        <v>1365.7170595301861</v>
      </c>
      <c r="M2635" s="443"/>
    </row>
    <row r="2636" spans="1:13">
      <c r="A2636" s="639">
        <v>41913</v>
      </c>
      <c r="B2636" s="639">
        <v>1700</v>
      </c>
      <c r="C2636" s="638">
        <v>3538.7539999999999</v>
      </c>
      <c r="D2636" s="633">
        <f t="shared" si="84"/>
        <v>3538.7539999999999</v>
      </c>
      <c r="E2636" s="608"/>
      <c r="F2636" s="760">
        <f t="shared" ref="F2636:F2699" si="85">(D2636/(MAX($D$2188:$D$2907)))*$M$7</f>
        <v>1492.987595121881</v>
      </c>
      <c r="M2636" s="443"/>
    </row>
    <row r="2637" spans="1:13">
      <c r="A2637" s="639">
        <v>41913</v>
      </c>
      <c r="B2637" s="639">
        <v>1800</v>
      </c>
      <c r="C2637" s="638">
        <v>3725.3879999999999</v>
      </c>
      <c r="D2637" s="633">
        <f t="shared" si="84"/>
        <v>3725.3879999999999</v>
      </c>
      <c r="E2637" s="608"/>
      <c r="F2637" s="760">
        <f t="shared" si="85"/>
        <v>1571.727809001675</v>
      </c>
      <c r="M2637" s="443"/>
    </row>
    <row r="2638" spans="1:13">
      <c r="A2638" s="639">
        <v>41913</v>
      </c>
      <c r="B2638" s="639">
        <v>1900</v>
      </c>
      <c r="C2638" s="638">
        <v>3990.056</v>
      </c>
      <c r="D2638" s="633">
        <f t="shared" si="84"/>
        <v>3990.056</v>
      </c>
      <c r="E2638" s="608"/>
      <c r="F2638" s="760">
        <f t="shared" si="85"/>
        <v>1683.3902870449972</v>
      </c>
      <c r="M2638" s="443"/>
    </row>
    <row r="2639" spans="1:13">
      <c r="A2639" s="639">
        <v>41913</v>
      </c>
      <c r="B2639" s="639">
        <v>2000</v>
      </c>
      <c r="C2639" s="638">
        <v>4230.634</v>
      </c>
      <c r="D2639" s="633">
        <f t="shared" si="84"/>
        <v>4230.634</v>
      </c>
      <c r="E2639" s="608"/>
      <c r="F2639" s="760">
        <f t="shared" si="85"/>
        <v>1784.8892806623076</v>
      </c>
      <c r="M2639" s="443"/>
    </row>
    <row r="2640" spans="1:13">
      <c r="A2640" s="639">
        <v>41913</v>
      </c>
      <c r="B2640" s="639">
        <v>2100</v>
      </c>
      <c r="C2640" s="638">
        <v>4138.3220000000001</v>
      </c>
      <c r="D2640" s="633">
        <f t="shared" si="84"/>
        <v>4138.3220000000001</v>
      </c>
      <c r="E2640" s="608"/>
      <c r="F2640" s="760">
        <f t="shared" si="85"/>
        <v>1745.9431796106689</v>
      </c>
      <c r="M2640" s="443"/>
    </row>
    <row r="2641" spans="1:13">
      <c r="A2641" s="639">
        <v>41913</v>
      </c>
      <c r="B2641" s="639">
        <v>2200</v>
      </c>
      <c r="C2641" s="638">
        <v>3835.2640000000001</v>
      </c>
      <c r="D2641" s="633">
        <f t="shared" si="84"/>
        <v>3835.2640000000001</v>
      </c>
      <c r="E2641" s="608"/>
      <c r="F2641" s="760">
        <f t="shared" si="85"/>
        <v>1618.0840985322873</v>
      </c>
      <c r="M2641" s="443"/>
    </row>
    <row r="2642" spans="1:13">
      <c r="A2642" s="639">
        <v>41913</v>
      </c>
      <c r="B2642" s="639">
        <v>2300</v>
      </c>
      <c r="C2642" s="638">
        <v>3394.0889999999999</v>
      </c>
      <c r="D2642" s="633">
        <f t="shared" si="84"/>
        <v>3394.0889999999999</v>
      </c>
      <c r="E2642" s="608"/>
      <c r="F2642" s="760">
        <f t="shared" si="85"/>
        <v>1431.9539515150332</v>
      </c>
      <c r="M2642" s="443"/>
    </row>
    <row r="2643" spans="1:13">
      <c r="A2643" s="639">
        <v>41913</v>
      </c>
      <c r="B2643" s="639">
        <v>2400</v>
      </c>
      <c r="C2643" s="638">
        <v>3203.6080000000002</v>
      </c>
      <c r="D2643" s="633">
        <f t="shared" si="84"/>
        <v>3203.6080000000002</v>
      </c>
      <c r="E2643" s="608"/>
      <c r="F2643" s="760">
        <f t="shared" si="85"/>
        <v>1351.5907021604835</v>
      </c>
      <c r="M2643" s="443"/>
    </row>
    <row r="2644" spans="1:13">
      <c r="A2644" s="639">
        <v>42013</v>
      </c>
      <c r="B2644" s="639">
        <v>100</v>
      </c>
      <c r="C2644" s="638">
        <v>3140.9110000000001</v>
      </c>
      <c r="D2644" s="633">
        <f t="shared" si="84"/>
        <v>3140.9110000000001</v>
      </c>
      <c r="E2644" s="608"/>
      <c r="F2644" s="760">
        <f t="shared" si="85"/>
        <v>1325.139063179261</v>
      </c>
      <c r="M2644" s="443"/>
    </row>
    <row r="2645" spans="1:13">
      <c r="A2645" s="639">
        <v>42013</v>
      </c>
      <c r="B2645" s="639">
        <v>200</v>
      </c>
      <c r="C2645" s="638">
        <v>3066.7570000000001</v>
      </c>
      <c r="D2645" s="633">
        <f t="shared" si="84"/>
        <v>3066.7570000000001</v>
      </c>
      <c r="E2645" s="608"/>
      <c r="F2645" s="760">
        <f t="shared" si="85"/>
        <v>1293.8537570718945</v>
      </c>
      <c r="M2645" s="443"/>
    </row>
    <row r="2646" spans="1:13">
      <c r="A2646" s="639">
        <v>42013</v>
      </c>
      <c r="B2646" s="639">
        <v>300</v>
      </c>
      <c r="C2646" s="638">
        <v>3046.4009999999998</v>
      </c>
      <c r="D2646" s="633">
        <f t="shared" si="84"/>
        <v>3046.4009999999998</v>
      </c>
      <c r="E2646" s="608"/>
      <c r="F2646" s="760">
        <f t="shared" si="85"/>
        <v>1285.2656338267348</v>
      </c>
      <c r="M2646" s="443"/>
    </row>
    <row r="2647" spans="1:13">
      <c r="A2647" s="639">
        <v>42013</v>
      </c>
      <c r="B2647" s="639">
        <v>400</v>
      </c>
      <c r="C2647" s="638">
        <v>3093.848</v>
      </c>
      <c r="D2647" s="633">
        <f t="shared" si="84"/>
        <v>3093.848</v>
      </c>
      <c r="E2647" s="608"/>
      <c r="F2647" s="760">
        <f t="shared" si="85"/>
        <v>1305.2833526129934</v>
      </c>
      <c r="M2647" s="443"/>
    </row>
    <row r="2648" spans="1:13">
      <c r="A2648" s="639">
        <v>42013</v>
      </c>
      <c r="B2648" s="639">
        <v>500</v>
      </c>
      <c r="C2648" s="638">
        <v>3199.232</v>
      </c>
      <c r="D2648" s="633">
        <f t="shared" si="84"/>
        <v>3199.232</v>
      </c>
      <c r="E2648" s="608"/>
      <c r="F2648" s="760">
        <f t="shared" si="85"/>
        <v>1349.7444834868334</v>
      </c>
      <c r="M2648" s="443"/>
    </row>
    <row r="2649" spans="1:13">
      <c r="A2649" s="639">
        <v>42013</v>
      </c>
      <c r="B2649" s="639">
        <v>600</v>
      </c>
      <c r="C2649" s="638">
        <v>3426.9059999999999</v>
      </c>
      <c r="D2649" s="633">
        <f t="shared" si="84"/>
        <v>3426.9059999999999</v>
      </c>
      <c r="E2649" s="608"/>
      <c r="F2649" s="760">
        <f t="shared" si="85"/>
        <v>1445.7993258781889</v>
      </c>
      <c r="M2649" s="443"/>
    </row>
    <row r="2650" spans="1:13">
      <c r="A2650" s="639">
        <v>42013</v>
      </c>
      <c r="B2650" s="639">
        <v>700</v>
      </c>
      <c r="C2650" s="638">
        <v>3774.4870000000001</v>
      </c>
      <c r="D2650" s="633">
        <f t="shared" si="84"/>
        <v>3774.4870000000001</v>
      </c>
      <c r="E2650" s="608"/>
      <c r="F2650" s="760">
        <f t="shared" si="85"/>
        <v>1592.442500651021</v>
      </c>
      <c r="M2650" s="443"/>
    </row>
    <row r="2651" spans="1:13">
      <c r="A2651" s="639">
        <v>42013</v>
      </c>
      <c r="B2651" s="639">
        <v>800</v>
      </c>
      <c r="C2651" s="638">
        <v>3838.9270000000001</v>
      </c>
      <c r="D2651" s="633">
        <f t="shared" si="84"/>
        <v>3838.9270000000001</v>
      </c>
      <c r="E2651" s="608"/>
      <c r="F2651" s="760">
        <f t="shared" si="85"/>
        <v>1619.6295050682972</v>
      </c>
      <c r="M2651" s="443"/>
    </row>
    <row r="2652" spans="1:13">
      <c r="A2652" s="639">
        <v>42013</v>
      </c>
      <c r="B2652" s="639">
        <v>900</v>
      </c>
      <c r="C2652" s="638">
        <v>3982.614</v>
      </c>
      <c r="D2652" s="633">
        <f t="shared" si="84"/>
        <v>3982.614</v>
      </c>
      <c r="E2652" s="608"/>
      <c r="F2652" s="760">
        <f t="shared" si="85"/>
        <v>1680.2505339898548</v>
      </c>
      <c r="M2652" s="443"/>
    </row>
    <row r="2653" spans="1:13">
      <c r="A2653" s="639">
        <v>42013</v>
      </c>
      <c r="B2653" s="639">
        <v>1000</v>
      </c>
      <c r="C2653" s="638">
        <v>4187.1620000000003</v>
      </c>
      <c r="D2653" s="633">
        <f t="shared" si="84"/>
        <v>4187.1620000000003</v>
      </c>
      <c r="E2653" s="608"/>
      <c r="F2653" s="760">
        <f t="shared" si="85"/>
        <v>1766.548600090802</v>
      </c>
      <c r="M2653" s="443"/>
    </row>
    <row r="2654" spans="1:13">
      <c r="A2654" s="639">
        <v>42013</v>
      </c>
      <c r="B2654" s="639">
        <v>1100</v>
      </c>
      <c r="C2654" s="638">
        <v>4264.7</v>
      </c>
      <c r="D2654" s="633">
        <f t="shared" si="84"/>
        <v>4264.7</v>
      </c>
      <c r="E2654" s="608"/>
      <c r="F2654" s="760">
        <f t="shared" si="85"/>
        <v>1799.2616036368408</v>
      </c>
      <c r="M2654" s="443"/>
    </row>
    <row r="2655" spans="1:13">
      <c r="A2655" s="639">
        <v>42013</v>
      </c>
      <c r="B2655" s="639">
        <v>1200</v>
      </c>
      <c r="C2655" s="638">
        <v>4179.2889999999998</v>
      </c>
      <c r="D2655" s="633">
        <f t="shared" si="84"/>
        <v>4179.2889999999998</v>
      </c>
      <c r="E2655" s="608"/>
      <c r="F2655" s="760">
        <f t="shared" si="85"/>
        <v>1763.2270096845755</v>
      </c>
      <c r="M2655" s="443"/>
    </row>
    <row r="2656" spans="1:13">
      <c r="A2656" s="639">
        <v>42013</v>
      </c>
      <c r="B2656" s="639">
        <v>1300</v>
      </c>
      <c r="C2656" s="638">
        <v>4012.9160000000002</v>
      </c>
      <c r="D2656" s="633">
        <f t="shared" si="84"/>
        <v>4012.9160000000002</v>
      </c>
      <c r="E2656" s="608"/>
      <c r="F2656" s="760">
        <f t="shared" si="85"/>
        <v>1693.0348388913494</v>
      </c>
      <c r="M2656" s="443"/>
    </row>
    <row r="2657" spans="1:13">
      <c r="A2657" s="639">
        <v>42013</v>
      </c>
      <c r="B2657" s="639">
        <v>1400</v>
      </c>
      <c r="C2657" s="638">
        <v>3936.2310000000002</v>
      </c>
      <c r="D2657" s="633">
        <f t="shared" si="84"/>
        <v>3936.2310000000002</v>
      </c>
      <c r="E2657" s="608"/>
      <c r="F2657" s="760">
        <f t="shared" si="85"/>
        <v>1660.6817129798221</v>
      </c>
      <c r="M2657" s="443"/>
    </row>
    <row r="2658" spans="1:13">
      <c r="A2658" s="639">
        <v>42013</v>
      </c>
      <c r="B2658" s="639">
        <v>1500</v>
      </c>
      <c r="C2658" s="638">
        <v>3952.7890000000002</v>
      </c>
      <c r="D2658" s="633">
        <f t="shared" si="84"/>
        <v>3952.7890000000002</v>
      </c>
      <c r="E2658" s="608"/>
      <c r="F2658" s="760">
        <f t="shared" si="85"/>
        <v>1667.6674736741309</v>
      </c>
      <c r="M2658" s="443"/>
    </row>
    <row r="2659" spans="1:13">
      <c r="A2659" s="639">
        <v>42013</v>
      </c>
      <c r="B2659" s="639">
        <v>1600</v>
      </c>
      <c r="C2659" s="638">
        <v>4089.3710000000001</v>
      </c>
      <c r="D2659" s="633">
        <f t="shared" si="84"/>
        <v>4089.3710000000001</v>
      </c>
      <c r="E2659" s="608"/>
      <c r="F2659" s="760">
        <f t="shared" si="85"/>
        <v>1725.2909286294446</v>
      </c>
      <c r="M2659" s="443"/>
    </row>
    <row r="2660" spans="1:13">
      <c r="A2660" s="639">
        <v>42013</v>
      </c>
      <c r="B2660" s="639">
        <v>1700</v>
      </c>
      <c r="C2660" s="638">
        <v>4125.33</v>
      </c>
      <c r="D2660" s="633">
        <f t="shared" si="84"/>
        <v>4125.33</v>
      </c>
      <c r="E2660" s="608"/>
      <c r="F2660" s="760">
        <f t="shared" si="85"/>
        <v>1740.461901500966</v>
      </c>
      <c r="M2660" s="443"/>
    </row>
    <row r="2661" spans="1:13">
      <c r="A2661" s="639">
        <v>42013</v>
      </c>
      <c r="B2661" s="639">
        <v>1800</v>
      </c>
      <c r="C2661" s="638">
        <v>4140.3519999999999</v>
      </c>
      <c r="D2661" s="633">
        <f t="shared" si="84"/>
        <v>4140.3519999999999</v>
      </c>
      <c r="E2661" s="608"/>
      <c r="F2661" s="760">
        <f t="shared" si="85"/>
        <v>1746.7996293153099</v>
      </c>
      <c r="M2661" s="443"/>
    </row>
    <row r="2662" spans="1:13">
      <c r="A2662" s="639">
        <v>42013</v>
      </c>
      <c r="B2662" s="639">
        <v>1900</v>
      </c>
      <c r="C2662" s="638">
        <v>4222.1099999999997</v>
      </c>
      <c r="D2662" s="633">
        <f t="shared" si="84"/>
        <v>4222.1099999999997</v>
      </c>
      <c r="E2662" s="608"/>
      <c r="F2662" s="760">
        <f t="shared" si="85"/>
        <v>1781.2930356956274</v>
      </c>
      <c r="M2662" s="443"/>
    </row>
    <row r="2663" spans="1:13">
      <c r="A2663" s="639">
        <v>42013</v>
      </c>
      <c r="B2663" s="639">
        <v>2000</v>
      </c>
      <c r="C2663" s="638">
        <v>4431.1080000000002</v>
      </c>
      <c r="D2663" s="633">
        <f t="shared" si="84"/>
        <v>4431.1080000000002</v>
      </c>
      <c r="E2663" s="608"/>
      <c r="F2663" s="760">
        <f t="shared" si="85"/>
        <v>1869.4685408042853</v>
      </c>
      <c r="M2663" s="443"/>
    </row>
    <row r="2664" spans="1:13">
      <c r="A2664" s="639">
        <v>42013</v>
      </c>
      <c r="B2664" s="639">
        <v>2100</v>
      </c>
      <c r="C2664" s="638">
        <v>4412.3220000000001</v>
      </c>
      <c r="D2664" s="633">
        <f t="shared" si="84"/>
        <v>4412.3220000000001</v>
      </c>
      <c r="E2664" s="608"/>
      <c r="F2664" s="760">
        <f t="shared" si="85"/>
        <v>1861.5427949169025</v>
      </c>
      <c r="M2664" s="443"/>
    </row>
    <row r="2665" spans="1:13">
      <c r="A2665" s="639">
        <v>42013</v>
      </c>
      <c r="B2665" s="639">
        <v>2200</v>
      </c>
      <c r="C2665" s="638">
        <v>4153.9930000000004</v>
      </c>
      <c r="D2665" s="633">
        <f t="shared" si="84"/>
        <v>4153.9930000000004</v>
      </c>
      <c r="E2665" s="608"/>
      <c r="F2665" s="760">
        <f t="shared" si="85"/>
        <v>1752.5547181926543</v>
      </c>
      <c r="M2665" s="443"/>
    </row>
    <row r="2666" spans="1:13">
      <c r="A2666" s="639">
        <v>42013</v>
      </c>
      <c r="B2666" s="639">
        <v>2300</v>
      </c>
      <c r="C2666" s="638">
        <v>3786.498</v>
      </c>
      <c r="D2666" s="633">
        <f t="shared" si="84"/>
        <v>3786.498</v>
      </c>
      <c r="E2666" s="608"/>
      <c r="F2666" s="760">
        <f t="shared" si="85"/>
        <v>1597.5098983862149</v>
      </c>
      <c r="M2666" s="443"/>
    </row>
    <row r="2667" spans="1:13">
      <c r="A2667" s="639">
        <v>42013</v>
      </c>
      <c r="B2667" s="639">
        <v>2400</v>
      </c>
      <c r="C2667" s="638">
        <v>3523.1170000000002</v>
      </c>
      <c r="D2667" s="633">
        <f t="shared" si="84"/>
        <v>3523.1170000000002</v>
      </c>
      <c r="E2667" s="608"/>
      <c r="F2667" s="760">
        <f t="shared" si="85"/>
        <v>1486.3904010177075</v>
      </c>
      <c r="M2667" s="443"/>
    </row>
    <row r="2668" spans="1:13">
      <c r="A2668" s="639">
        <v>42113</v>
      </c>
      <c r="B2668" s="639">
        <v>100</v>
      </c>
      <c r="C2668" s="638">
        <v>3500.09</v>
      </c>
      <c r="D2668" s="633">
        <f t="shared" si="84"/>
        <v>3500.09</v>
      </c>
      <c r="E2668" s="608"/>
      <c r="F2668" s="760">
        <f t="shared" si="85"/>
        <v>1476.6753924715154</v>
      </c>
      <c r="M2668" s="443"/>
    </row>
    <row r="2669" spans="1:13">
      <c r="A2669" s="639">
        <v>42113</v>
      </c>
      <c r="B2669" s="639">
        <v>200</v>
      </c>
      <c r="C2669" s="638">
        <v>3414.0610000000001</v>
      </c>
      <c r="D2669" s="633">
        <f t="shared" si="84"/>
        <v>3414.0610000000001</v>
      </c>
      <c r="E2669" s="608"/>
      <c r="F2669" s="760">
        <f t="shared" si="85"/>
        <v>1440.3800665402016</v>
      </c>
      <c r="M2669" s="443"/>
    </row>
    <row r="2670" spans="1:13">
      <c r="A2670" s="639">
        <v>42113</v>
      </c>
      <c r="B2670" s="639">
        <v>300</v>
      </c>
      <c r="C2670" s="638">
        <v>3351.9839999999999</v>
      </c>
      <c r="D2670" s="633">
        <f t="shared" si="84"/>
        <v>3351.9839999999999</v>
      </c>
      <c r="E2670" s="608"/>
      <c r="F2670" s="760">
        <f t="shared" si="85"/>
        <v>1414.19000333084</v>
      </c>
      <c r="M2670" s="443"/>
    </row>
    <row r="2671" spans="1:13">
      <c r="A2671" s="639">
        <v>42113</v>
      </c>
      <c r="B2671" s="639">
        <v>400</v>
      </c>
      <c r="C2671" s="638">
        <v>3436.2</v>
      </c>
      <c r="D2671" s="633">
        <f t="shared" si="84"/>
        <v>3436.2</v>
      </c>
      <c r="E2671" s="608"/>
      <c r="F2671" s="760">
        <f t="shared" si="85"/>
        <v>1449.720431077664</v>
      </c>
      <c r="M2671" s="443"/>
    </row>
    <row r="2672" spans="1:13">
      <c r="A2672" s="639">
        <v>42113</v>
      </c>
      <c r="B2672" s="639">
        <v>500</v>
      </c>
      <c r="C2672" s="638">
        <v>3546.2109999999998</v>
      </c>
      <c r="D2672" s="633">
        <f t="shared" si="84"/>
        <v>3546.2109999999998</v>
      </c>
      <c r="E2672" s="608"/>
      <c r="F2672" s="760">
        <f t="shared" si="85"/>
        <v>1496.1336766231166</v>
      </c>
      <c r="M2672" s="443"/>
    </row>
    <row r="2673" spans="1:13">
      <c r="A2673" s="639">
        <v>42113</v>
      </c>
      <c r="B2673" s="639">
        <v>600</v>
      </c>
      <c r="C2673" s="638">
        <v>3697.942</v>
      </c>
      <c r="D2673" s="633">
        <f t="shared" si="84"/>
        <v>3697.942</v>
      </c>
      <c r="E2673" s="608"/>
      <c r="F2673" s="760">
        <f t="shared" si="85"/>
        <v>1560.1484402363653</v>
      </c>
      <c r="M2673" s="443"/>
    </row>
    <row r="2674" spans="1:13">
      <c r="A2674" s="639">
        <v>42113</v>
      </c>
      <c r="B2674" s="639">
        <v>700</v>
      </c>
      <c r="C2674" s="638">
        <v>3711.9679999999998</v>
      </c>
      <c r="D2674" s="633">
        <f t="shared" si="84"/>
        <v>3711.9679999999998</v>
      </c>
      <c r="E2674" s="608"/>
      <c r="F2674" s="760">
        <f t="shared" si="85"/>
        <v>1566.065959230107</v>
      </c>
      <c r="M2674" s="443"/>
    </row>
    <row r="2675" spans="1:13">
      <c r="A2675" s="639">
        <v>42113</v>
      </c>
      <c r="B2675" s="639">
        <v>800</v>
      </c>
      <c r="C2675" s="638">
        <v>3710.4290000000001</v>
      </c>
      <c r="D2675" s="633">
        <f t="shared" si="84"/>
        <v>3710.4290000000001</v>
      </c>
      <c r="E2675" s="608"/>
      <c r="F2675" s="760">
        <f t="shared" si="85"/>
        <v>1565.4166606609235</v>
      </c>
      <c r="M2675" s="443"/>
    </row>
    <row r="2676" spans="1:13">
      <c r="A2676" s="639">
        <v>42113</v>
      </c>
      <c r="B2676" s="639">
        <v>900</v>
      </c>
      <c r="C2676" s="638">
        <v>3885.239</v>
      </c>
      <c r="D2676" s="633">
        <f t="shared" si="84"/>
        <v>3885.239</v>
      </c>
      <c r="E2676" s="608"/>
      <c r="F2676" s="760">
        <f t="shared" si="85"/>
        <v>1639.1683714334881</v>
      </c>
      <c r="M2676" s="443"/>
    </row>
    <row r="2677" spans="1:13">
      <c r="A2677" s="639">
        <v>42113</v>
      </c>
      <c r="B2677" s="639">
        <v>1000</v>
      </c>
      <c r="C2677" s="638">
        <v>3871.623</v>
      </c>
      <c r="D2677" s="633">
        <f t="shared" si="84"/>
        <v>3871.623</v>
      </c>
      <c r="E2677" s="608"/>
      <c r="F2677" s="760">
        <f t="shared" si="85"/>
        <v>1633.4238299662995</v>
      </c>
      <c r="M2677" s="443"/>
    </row>
    <row r="2678" spans="1:13">
      <c r="A2678" s="639">
        <v>42113</v>
      </c>
      <c r="B2678" s="639">
        <v>1100</v>
      </c>
      <c r="C2678" s="638">
        <v>3820.5990000000002</v>
      </c>
      <c r="D2678" s="633">
        <f t="shared" si="84"/>
        <v>3820.5990000000002</v>
      </c>
      <c r="E2678" s="608"/>
      <c r="F2678" s="760">
        <f t="shared" si="85"/>
        <v>1611.8969877349664</v>
      </c>
      <c r="M2678" s="443"/>
    </row>
    <row r="2679" spans="1:13">
      <c r="A2679" s="639">
        <v>42113</v>
      </c>
      <c r="B2679" s="639">
        <v>1200</v>
      </c>
      <c r="C2679" s="638">
        <v>3789.1970000000001</v>
      </c>
      <c r="D2679" s="633">
        <f t="shared" si="84"/>
        <v>3789.1970000000001</v>
      </c>
      <c r="E2679" s="608"/>
      <c r="F2679" s="760">
        <f t="shared" si="85"/>
        <v>1598.6485967866222</v>
      </c>
      <c r="M2679" s="443"/>
    </row>
    <row r="2680" spans="1:13">
      <c r="A2680" s="639">
        <v>42113</v>
      </c>
      <c r="B2680" s="639">
        <v>1300</v>
      </c>
      <c r="C2680" s="638">
        <v>3670.3209999999999</v>
      </c>
      <c r="D2680" s="633">
        <f t="shared" si="84"/>
        <v>3670.3209999999999</v>
      </c>
      <c r="E2680" s="608"/>
      <c r="F2680" s="760">
        <f t="shared" si="85"/>
        <v>1548.4952395999658</v>
      </c>
      <c r="M2680" s="443"/>
    </row>
    <row r="2681" spans="1:13">
      <c r="A2681" s="639">
        <v>42113</v>
      </c>
      <c r="B2681" s="639">
        <v>1400</v>
      </c>
      <c r="C2681" s="638">
        <v>3565.5940000000001</v>
      </c>
      <c r="D2681" s="633">
        <f t="shared" si="84"/>
        <v>3565.5940000000001</v>
      </c>
      <c r="E2681" s="608"/>
      <c r="F2681" s="760">
        <f t="shared" si="85"/>
        <v>1504.3112946650172</v>
      </c>
      <c r="M2681" s="443"/>
    </row>
    <row r="2682" spans="1:13">
      <c r="A2682" s="639">
        <v>42113</v>
      </c>
      <c r="B2682" s="639">
        <v>1500</v>
      </c>
      <c r="C2682" s="638">
        <v>3561.5050000000001</v>
      </c>
      <c r="D2682" s="633">
        <f t="shared" si="84"/>
        <v>3561.5050000000001</v>
      </c>
      <c r="E2682" s="608"/>
      <c r="F2682" s="760">
        <f t="shared" si="85"/>
        <v>1502.5861602599543</v>
      </c>
      <c r="M2682" s="443"/>
    </row>
    <row r="2683" spans="1:13">
      <c r="A2683" s="639">
        <v>42113</v>
      </c>
      <c r="B2683" s="639">
        <v>1600</v>
      </c>
      <c r="C2683" s="638">
        <v>3683.1190000000001</v>
      </c>
      <c r="D2683" s="633">
        <f t="shared" si="84"/>
        <v>3683.1190000000001</v>
      </c>
      <c r="E2683" s="608"/>
      <c r="F2683" s="760">
        <f t="shared" si="85"/>
        <v>1553.8946698068605</v>
      </c>
      <c r="M2683" s="443"/>
    </row>
    <row r="2684" spans="1:13">
      <c r="A2684" s="639">
        <v>42113</v>
      </c>
      <c r="B2684" s="639">
        <v>1700</v>
      </c>
      <c r="C2684" s="638">
        <v>3824.8139999999999</v>
      </c>
      <c r="D2684" s="633">
        <f t="shared" si="84"/>
        <v>3824.8139999999999</v>
      </c>
      <c r="E2684" s="608"/>
      <c r="F2684" s="760">
        <f t="shared" si="85"/>
        <v>1613.6752810872138</v>
      </c>
      <c r="M2684" s="443"/>
    </row>
    <row r="2685" spans="1:13">
      <c r="A2685" s="639">
        <v>42113</v>
      </c>
      <c r="B2685" s="639">
        <v>1800</v>
      </c>
      <c r="C2685" s="638">
        <v>3823.9</v>
      </c>
      <c r="D2685" s="633">
        <f t="shared" si="84"/>
        <v>3823.9</v>
      </c>
      <c r="E2685" s="608"/>
      <c r="F2685" s="760">
        <f t="shared" si="85"/>
        <v>1613.289667771922</v>
      </c>
      <c r="M2685" s="443"/>
    </row>
    <row r="2686" spans="1:13">
      <c r="A2686" s="639">
        <v>42113</v>
      </c>
      <c r="B2686" s="639">
        <v>1900</v>
      </c>
      <c r="C2686" s="638">
        <v>3927.3989999999999</v>
      </c>
      <c r="D2686" s="633">
        <f t="shared" si="84"/>
        <v>3927.3989999999999</v>
      </c>
      <c r="E2686" s="608"/>
      <c r="F2686" s="760">
        <f t="shared" si="85"/>
        <v>1656.9555239200238</v>
      </c>
      <c r="M2686" s="443"/>
    </row>
    <row r="2687" spans="1:13">
      <c r="A2687" s="639">
        <v>42113</v>
      </c>
      <c r="B2687" s="639">
        <v>2000</v>
      </c>
      <c r="C2687" s="638">
        <v>4279.7659999999996</v>
      </c>
      <c r="D2687" s="633">
        <f t="shared" si="84"/>
        <v>4279.7659999999996</v>
      </c>
      <c r="E2687" s="608"/>
      <c r="F2687" s="760">
        <f t="shared" si="85"/>
        <v>1805.617894893059</v>
      </c>
      <c r="M2687" s="443"/>
    </row>
    <row r="2688" spans="1:13">
      <c r="A2688" s="639">
        <v>42113</v>
      </c>
      <c r="B2688" s="639">
        <v>2100</v>
      </c>
      <c r="C2688" s="638">
        <v>4396.875</v>
      </c>
      <c r="D2688" s="633">
        <f t="shared" si="84"/>
        <v>4396.875</v>
      </c>
      <c r="E2688" s="608"/>
      <c r="F2688" s="760">
        <f t="shared" si="85"/>
        <v>1855.0257611299119</v>
      </c>
      <c r="M2688" s="443"/>
    </row>
    <row r="2689" spans="1:13">
      <c r="A2689" s="639">
        <v>42113</v>
      </c>
      <c r="B2689" s="639">
        <v>2200</v>
      </c>
      <c r="C2689" s="638">
        <v>3984.1880000000001</v>
      </c>
      <c r="D2689" s="633">
        <f t="shared" si="84"/>
        <v>3984.1880000000001</v>
      </c>
      <c r="E2689" s="608"/>
      <c r="F2689" s="760">
        <f t="shared" si="85"/>
        <v>1680.9145989332565</v>
      </c>
      <c r="M2689" s="443"/>
    </row>
    <row r="2690" spans="1:13">
      <c r="A2690" s="639">
        <v>42113</v>
      </c>
      <c r="B2690" s="639">
        <v>2300</v>
      </c>
      <c r="C2690" s="638">
        <v>3395.826</v>
      </c>
      <c r="D2690" s="633">
        <f t="shared" si="84"/>
        <v>3395.826</v>
      </c>
      <c r="E2690" s="608"/>
      <c r="F2690" s="760">
        <f t="shared" si="85"/>
        <v>1432.6867855726498</v>
      </c>
      <c r="M2690" s="443"/>
    </row>
    <row r="2691" spans="1:13">
      <c r="A2691" s="639">
        <v>42113</v>
      </c>
      <c r="B2691" s="639">
        <v>2400</v>
      </c>
      <c r="C2691" s="638">
        <v>3140.069</v>
      </c>
      <c r="D2691" s="633">
        <f t="shared" si="84"/>
        <v>3140.069</v>
      </c>
      <c r="E2691" s="608"/>
      <c r="F2691" s="760">
        <f t="shared" si="85"/>
        <v>1324.7838264052175</v>
      </c>
      <c r="M2691" s="443"/>
    </row>
    <row r="2692" spans="1:13">
      <c r="A2692" s="639">
        <v>42213</v>
      </c>
      <c r="B2692" s="639">
        <v>100</v>
      </c>
      <c r="C2692" s="638">
        <v>3239.5990000000002</v>
      </c>
      <c r="D2692" s="633">
        <f t="shared" si="84"/>
        <v>3239.5990000000002</v>
      </c>
      <c r="E2692" s="608"/>
      <c r="F2692" s="760">
        <f t="shared" si="85"/>
        <v>1366.7751757170038</v>
      </c>
      <c r="M2692" s="443"/>
    </row>
    <row r="2693" spans="1:13">
      <c r="A2693" s="639">
        <v>42213</v>
      </c>
      <c r="B2693" s="639">
        <v>200</v>
      </c>
      <c r="C2693" s="638">
        <v>3183.165</v>
      </c>
      <c r="D2693" s="633">
        <f t="shared" ref="D2693:D2756" si="86">C2693</f>
        <v>3183.165</v>
      </c>
      <c r="E2693" s="608"/>
      <c r="F2693" s="760">
        <f t="shared" si="85"/>
        <v>1342.9658739279819</v>
      </c>
      <c r="M2693" s="443"/>
    </row>
    <row r="2694" spans="1:13">
      <c r="A2694" s="639">
        <v>42213</v>
      </c>
      <c r="B2694" s="639">
        <v>300</v>
      </c>
      <c r="C2694" s="638">
        <v>3167.01</v>
      </c>
      <c r="D2694" s="633">
        <f t="shared" si="86"/>
        <v>3167.01</v>
      </c>
      <c r="E2694" s="608"/>
      <c r="F2694" s="760">
        <f t="shared" si="85"/>
        <v>1336.1501374853829</v>
      </c>
      <c r="M2694" s="443"/>
    </row>
    <row r="2695" spans="1:13">
      <c r="A2695" s="639">
        <v>42213</v>
      </c>
      <c r="B2695" s="639">
        <v>400</v>
      </c>
      <c r="C2695" s="638">
        <v>3249.1089999999999</v>
      </c>
      <c r="D2695" s="633">
        <f t="shared" si="86"/>
        <v>3249.1089999999999</v>
      </c>
      <c r="E2695" s="608"/>
      <c r="F2695" s="760">
        <f t="shared" si="85"/>
        <v>1370.7874105402241</v>
      </c>
      <c r="M2695" s="443"/>
    </row>
    <row r="2696" spans="1:13">
      <c r="A2696" s="639">
        <v>42213</v>
      </c>
      <c r="B2696" s="639">
        <v>500</v>
      </c>
      <c r="C2696" s="638">
        <v>3473.1350000000002</v>
      </c>
      <c r="D2696" s="633">
        <f t="shared" si="86"/>
        <v>3473.1350000000002</v>
      </c>
      <c r="E2696" s="608"/>
      <c r="F2696" s="760">
        <f t="shared" si="85"/>
        <v>1465.3031748416629</v>
      </c>
      <c r="M2696" s="443"/>
    </row>
    <row r="2697" spans="1:13">
      <c r="A2697" s="639">
        <v>42213</v>
      </c>
      <c r="B2697" s="639">
        <v>600</v>
      </c>
      <c r="C2697" s="638">
        <v>4071.49</v>
      </c>
      <c r="D2697" s="633">
        <f t="shared" si="86"/>
        <v>4071.49</v>
      </c>
      <c r="E2697" s="608"/>
      <c r="F2697" s="760">
        <f t="shared" si="85"/>
        <v>1717.7469989896972</v>
      </c>
      <c r="M2697" s="443"/>
    </row>
    <row r="2698" spans="1:13">
      <c r="A2698" s="639">
        <v>42213</v>
      </c>
      <c r="B2698" s="639">
        <v>700</v>
      </c>
      <c r="C2698" s="638">
        <v>3994.0619999999999</v>
      </c>
      <c r="D2698" s="633">
        <f t="shared" si="86"/>
        <v>3994.0619999999999</v>
      </c>
      <c r="E2698" s="608"/>
      <c r="F2698" s="760">
        <f t="shared" si="85"/>
        <v>1685.0804040483431</v>
      </c>
      <c r="M2698" s="443"/>
    </row>
    <row r="2699" spans="1:13">
      <c r="A2699" s="639">
        <v>42213</v>
      </c>
      <c r="B2699" s="639">
        <v>800</v>
      </c>
      <c r="C2699" s="638">
        <v>3751.6689999999999</v>
      </c>
      <c r="D2699" s="633">
        <f t="shared" si="86"/>
        <v>3751.6689999999999</v>
      </c>
      <c r="E2699" s="608"/>
      <c r="F2699" s="760">
        <f t="shared" si="85"/>
        <v>1582.8156684537303</v>
      </c>
      <c r="M2699" s="443"/>
    </row>
    <row r="2700" spans="1:13">
      <c r="A2700" s="639">
        <v>42213</v>
      </c>
      <c r="B2700" s="639">
        <v>900</v>
      </c>
      <c r="C2700" s="638">
        <v>3429.0709999999999</v>
      </c>
      <c r="D2700" s="633">
        <f t="shared" si="86"/>
        <v>3429.0709999999999</v>
      </c>
      <c r="E2700" s="608"/>
      <c r="F2700" s="760">
        <f t="shared" ref="F2700:F2763" si="87">(D2700/(MAX($D$2188:$D$2907)))*$M$7</f>
        <v>1446.7127315976707</v>
      </c>
      <c r="M2700" s="443"/>
    </row>
    <row r="2701" spans="1:13">
      <c r="A2701" s="639">
        <v>42213</v>
      </c>
      <c r="B2701" s="639">
        <v>1000</v>
      </c>
      <c r="C2701" s="638">
        <v>3190.2159999999999</v>
      </c>
      <c r="D2701" s="633">
        <f t="shared" si="86"/>
        <v>3190.2159999999999</v>
      </c>
      <c r="E2701" s="608"/>
      <c r="F2701" s="760">
        <f t="shared" si="87"/>
        <v>1345.9406654882896</v>
      </c>
      <c r="M2701" s="443"/>
    </row>
    <row r="2702" spans="1:13">
      <c r="A2702" s="639">
        <v>42213</v>
      </c>
      <c r="B2702" s="639">
        <v>1100</v>
      </c>
      <c r="C2702" s="638">
        <v>3157.931</v>
      </c>
      <c r="D2702" s="633">
        <f t="shared" si="86"/>
        <v>3157.931</v>
      </c>
      <c r="E2702" s="608"/>
      <c r="F2702" s="760">
        <f t="shared" si="87"/>
        <v>1332.3197400132467</v>
      </c>
      <c r="M2702" s="443"/>
    </row>
    <row r="2703" spans="1:13">
      <c r="A2703" s="639">
        <v>42213</v>
      </c>
      <c r="B2703" s="639">
        <v>1200</v>
      </c>
      <c r="C2703" s="638">
        <v>3042.8449999999998</v>
      </c>
      <c r="D2703" s="633">
        <f t="shared" si="86"/>
        <v>3042.8449999999998</v>
      </c>
      <c r="E2703" s="608"/>
      <c r="F2703" s="760">
        <f t="shared" si="87"/>
        <v>1283.7653702061912</v>
      </c>
      <c r="M2703" s="443"/>
    </row>
    <row r="2704" spans="1:13">
      <c r="A2704" s="639">
        <v>42213</v>
      </c>
      <c r="B2704" s="639">
        <v>1300</v>
      </c>
      <c r="C2704" s="638">
        <v>2970.3910000000001</v>
      </c>
      <c r="D2704" s="633">
        <f t="shared" si="86"/>
        <v>2970.3910000000001</v>
      </c>
      <c r="E2704" s="608"/>
      <c r="F2704" s="760">
        <f t="shared" si="87"/>
        <v>1253.1972879894106</v>
      </c>
      <c r="M2704" s="443"/>
    </row>
    <row r="2705" spans="1:13">
      <c r="A2705" s="639">
        <v>42213</v>
      </c>
      <c r="B2705" s="639">
        <v>1400</v>
      </c>
      <c r="C2705" s="638">
        <v>2948.1350000000002</v>
      </c>
      <c r="D2705" s="633">
        <f t="shared" si="86"/>
        <v>2948.1350000000002</v>
      </c>
      <c r="E2705" s="608"/>
      <c r="F2705" s="760">
        <f t="shared" si="87"/>
        <v>1243.8075615724197</v>
      </c>
      <c r="M2705" s="443"/>
    </row>
    <row r="2706" spans="1:13">
      <c r="A2706" s="639">
        <v>42213</v>
      </c>
      <c r="B2706" s="639">
        <v>1500</v>
      </c>
      <c r="C2706" s="638">
        <v>2955.8739999999998</v>
      </c>
      <c r="D2706" s="633">
        <f t="shared" si="86"/>
        <v>2955.8739999999998</v>
      </c>
      <c r="E2706" s="608"/>
      <c r="F2706" s="760">
        <f t="shared" si="87"/>
        <v>1247.0726178602113</v>
      </c>
      <c r="M2706" s="443"/>
    </row>
    <row r="2707" spans="1:13">
      <c r="A2707" s="639">
        <v>42213</v>
      </c>
      <c r="B2707" s="639">
        <v>1600</v>
      </c>
      <c r="C2707" s="638">
        <v>3150.4290000000001</v>
      </c>
      <c r="D2707" s="633">
        <f t="shared" si="86"/>
        <v>3150.4290000000001</v>
      </c>
      <c r="E2707" s="608"/>
      <c r="F2707" s="760">
        <f t="shared" si="87"/>
        <v>1329.1546731737308</v>
      </c>
      <c r="M2707" s="443"/>
    </row>
    <row r="2708" spans="1:13">
      <c r="A2708" s="639">
        <v>42213</v>
      </c>
      <c r="B2708" s="639">
        <v>1700</v>
      </c>
      <c r="C2708" s="638">
        <v>3299.0839999999998</v>
      </c>
      <c r="D2708" s="633">
        <f t="shared" si="86"/>
        <v>3299.0839999999998</v>
      </c>
      <c r="E2708" s="608"/>
      <c r="F2708" s="760">
        <f t="shared" si="87"/>
        <v>1391.8716834414247</v>
      </c>
      <c r="M2708" s="443"/>
    </row>
    <row r="2709" spans="1:13">
      <c r="A2709" s="639">
        <v>42213</v>
      </c>
      <c r="B2709" s="639">
        <v>1800</v>
      </c>
      <c r="C2709" s="638">
        <v>3456.3969999999999</v>
      </c>
      <c r="D2709" s="633">
        <f t="shared" si="86"/>
        <v>3456.3969999999999</v>
      </c>
      <c r="E2709" s="608"/>
      <c r="F2709" s="760">
        <f t="shared" si="87"/>
        <v>1458.2414727942332</v>
      </c>
      <c r="M2709" s="443"/>
    </row>
    <row r="2710" spans="1:13">
      <c r="A2710" s="639">
        <v>42213</v>
      </c>
      <c r="B2710" s="639">
        <v>1900</v>
      </c>
      <c r="C2710" s="638">
        <v>3536.703</v>
      </c>
      <c r="D2710" s="633">
        <f t="shared" si="86"/>
        <v>3536.703</v>
      </c>
      <c r="E2710" s="608"/>
      <c r="F2710" s="760">
        <f t="shared" si="87"/>
        <v>1492.122285592709</v>
      </c>
      <c r="M2710" s="443"/>
    </row>
    <row r="2711" spans="1:13">
      <c r="A2711" s="639">
        <v>42213</v>
      </c>
      <c r="B2711" s="639">
        <v>2000</v>
      </c>
      <c r="C2711" s="638">
        <v>3915.81</v>
      </c>
      <c r="D2711" s="633">
        <f t="shared" si="86"/>
        <v>3915.81</v>
      </c>
      <c r="E2711" s="608"/>
      <c r="F2711" s="760">
        <f t="shared" si="87"/>
        <v>1652.0661664682575</v>
      </c>
      <c r="M2711" s="443"/>
    </row>
    <row r="2712" spans="1:13">
      <c r="A2712" s="639">
        <v>42213</v>
      </c>
      <c r="B2712" s="639">
        <v>2100</v>
      </c>
      <c r="C2712" s="638">
        <v>4058.6880000000001</v>
      </c>
      <c r="D2712" s="633">
        <f t="shared" si="86"/>
        <v>4058.6880000000001</v>
      </c>
      <c r="E2712" s="608"/>
      <c r="F2712" s="760">
        <f t="shared" si="87"/>
        <v>1712.3458811971775</v>
      </c>
      <c r="M2712" s="443"/>
    </row>
    <row r="2713" spans="1:13">
      <c r="A2713" s="639">
        <v>42213</v>
      </c>
      <c r="B2713" s="639">
        <v>2200</v>
      </c>
      <c r="C2713" s="638">
        <v>3589.6590000000001</v>
      </c>
      <c r="D2713" s="633">
        <f t="shared" si="86"/>
        <v>3589.6590000000001</v>
      </c>
      <c r="E2713" s="608"/>
      <c r="F2713" s="760">
        <f t="shared" si="87"/>
        <v>1514.4642316808731</v>
      </c>
      <c r="M2713" s="443"/>
    </row>
    <row r="2714" spans="1:13">
      <c r="A2714" s="639">
        <v>42213</v>
      </c>
      <c r="B2714" s="639">
        <v>2300</v>
      </c>
      <c r="C2714" s="638">
        <v>3045.9839999999999</v>
      </c>
      <c r="D2714" s="633">
        <f t="shared" si="86"/>
        <v>3045.9839999999999</v>
      </c>
      <c r="E2714" s="608"/>
      <c r="F2714" s="760">
        <f t="shared" si="87"/>
        <v>1285.0897030253382</v>
      </c>
      <c r="M2714" s="443"/>
    </row>
    <row r="2715" spans="1:13">
      <c r="A2715" s="639">
        <v>42213</v>
      </c>
      <c r="B2715" s="639">
        <v>2400</v>
      </c>
      <c r="C2715" s="638">
        <v>2827.201</v>
      </c>
      <c r="D2715" s="633">
        <f t="shared" si="86"/>
        <v>2827.201</v>
      </c>
      <c r="E2715" s="608"/>
      <c r="F2715" s="760">
        <f t="shared" si="87"/>
        <v>1192.7859415817479</v>
      </c>
      <c r="M2715" s="443"/>
    </row>
    <row r="2716" spans="1:13">
      <c r="A2716" s="639">
        <v>42313</v>
      </c>
      <c r="B2716" s="639">
        <v>100</v>
      </c>
      <c r="C2716" s="638">
        <v>2877.09</v>
      </c>
      <c r="D2716" s="633">
        <f t="shared" si="86"/>
        <v>2877.09</v>
      </c>
      <c r="E2716" s="608"/>
      <c r="F2716" s="760">
        <f t="shared" si="87"/>
        <v>1213.8339313920133</v>
      </c>
      <c r="M2716" s="443"/>
    </row>
    <row r="2717" spans="1:13">
      <c r="A2717" s="639">
        <v>42313</v>
      </c>
      <c r="B2717" s="639">
        <v>200</v>
      </c>
      <c r="C2717" s="638">
        <v>2821.2420000000002</v>
      </c>
      <c r="D2717" s="633">
        <f t="shared" si="86"/>
        <v>2821.2420000000002</v>
      </c>
      <c r="E2717" s="608"/>
      <c r="F2717" s="760">
        <f t="shared" si="87"/>
        <v>1190.2718608970406</v>
      </c>
      <c r="M2717" s="443"/>
    </row>
    <row r="2718" spans="1:13">
      <c r="A2718" s="639">
        <v>42313</v>
      </c>
      <c r="B2718" s="639">
        <v>300</v>
      </c>
      <c r="C2718" s="638">
        <v>2836.34</v>
      </c>
      <c r="D2718" s="633">
        <f t="shared" si="86"/>
        <v>2836.34</v>
      </c>
      <c r="E2718" s="608"/>
      <c r="F2718" s="760">
        <f t="shared" si="87"/>
        <v>1196.6416528382579</v>
      </c>
      <c r="M2718" s="443"/>
    </row>
    <row r="2719" spans="1:13">
      <c r="A2719" s="639">
        <v>42313</v>
      </c>
      <c r="B2719" s="639">
        <v>400</v>
      </c>
      <c r="C2719" s="638">
        <v>2927.5630000000001</v>
      </c>
      <c r="D2719" s="633">
        <f t="shared" si="86"/>
        <v>2927.5630000000001</v>
      </c>
      <c r="E2719" s="608"/>
      <c r="F2719" s="760">
        <f t="shared" si="87"/>
        <v>1235.1283087035151</v>
      </c>
      <c r="M2719" s="443"/>
    </row>
    <row r="2720" spans="1:13">
      <c r="A2720" s="639">
        <v>42313</v>
      </c>
      <c r="B2720" s="639">
        <v>500</v>
      </c>
      <c r="C2720" s="638">
        <v>3309.4209999999998</v>
      </c>
      <c r="D2720" s="633">
        <f t="shared" si="86"/>
        <v>3309.4209999999998</v>
      </c>
      <c r="E2720" s="608"/>
      <c r="F2720" s="760">
        <f t="shared" si="87"/>
        <v>1396.2328265925946</v>
      </c>
      <c r="M2720" s="443"/>
    </row>
    <row r="2721" spans="1:13">
      <c r="A2721" s="639">
        <v>42313</v>
      </c>
      <c r="B2721" s="639">
        <v>600</v>
      </c>
      <c r="C2721" s="638">
        <v>3800.9349999999999</v>
      </c>
      <c r="D2721" s="633">
        <f t="shared" si="86"/>
        <v>3800.9349999999999</v>
      </c>
      <c r="E2721" s="608"/>
      <c r="F2721" s="760">
        <f t="shared" si="87"/>
        <v>1603.6008168029161</v>
      </c>
      <c r="M2721" s="443"/>
    </row>
    <row r="2722" spans="1:13">
      <c r="A2722" s="639">
        <v>42313</v>
      </c>
      <c r="B2722" s="639">
        <v>700</v>
      </c>
      <c r="C2722" s="638">
        <v>3784.8890000000001</v>
      </c>
      <c r="D2722" s="633">
        <f t="shared" si="86"/>
        <v>3784.8890000000001</v>
      </c>
      <c r="E2722" s="608"/>
      <c r="F2722" s="760">
        <f t="shared" si="87"/>
        <v>1596.8310670685955</v>
      </c>
      <c r="M2722" s="443"/>
    </row>
    <row r="2723" spans="1:13">
      <c r="A2723" s="639">
        <v>42313</v>
      </c>
      <c r="B2723" s="639">
        <v>800</v>
      </c>
      <c r="C2723" s="638">
        <v>3434.7719999999999</v>
      </c>
      <c r="D2723" s="633">
        <f t="shared" si="86"/>
        <v>3434.7719999999999</v>
      </c>
      <c r="E2723" s="608"/>
      <c r="F2723" s="760">
        <f t="shared" si="87"/>
        <v>1449.1179630095714</v>
      </c>
      <c r="M2723" s="443"/>
    </row>
    <row r="2724" spans="1:13">
      <c r="A2724" s="639">
        <v>42313</v>
      </c>
      <c r="B2724" s="639">
        <v>900</v>
      </c>
      <c r="C2724" s="638">
        <v>3261.973</v>
      </c>
      <c r="D2724" s="633">
        <f t="shared" si="86"/>
        <v>3261.973</v>
      </c>
      <c r="E2724" s="608"/>
      <c r="F2724" s="760">
        <f t="shared" si="87"/>
        <v>1376.2146859099296</v>
      </c>
      <c r="M2724" s="443"/>
    </row>
    <row r="2725" spans="1:13">
      <c r="A2725" s="639">
        <v>42313</v>
      </c>
      <c r="B2725" s="639">
        <v>1000</v>
      </c>
      <c r="C2725" s="638">
        <v>3109.2240000000002</v>
      </c>
      <c r="D2725" s="633">
        <f t="shared" si="86"/>
        <v>3109.2240000000002</v>
      </c>
      <c r="E2725" s="608"/>
      <c r="F2725" s="760">
        <f t="shared" si="87"/>
        <v>1311.770431755142</v>
      </c>
      <c r="M2725" s="443"/>
    </row>
    <row r="2726" spans="1:13">
      <c r="A2726" s="639">
        <v>42313</v>
      </c>
      <c r="B2726" s="639">
        <v>1100</v>
      </c>
      <c r="C2726" s="638">
        <v>3036.0230000000001</v>
      </c>
      <c r="D2726" s="633">
        <f t="shared" si="86"/>
        <v>3036.0230000000001</v>
      </c>
      <c r="E2726" s="608"/>
      <c r="F2726" s="760">
        <f t="shared" si="87"/>
        <v>1280.8871929229099</v>
      </c>
      <c r="M2726" s="443"/>
    </row>
    <row r="2727" spans="1:13">
      <c r="A2727" s="639">
        <v>42313</v>
      </c>
      <c r="B2727" s="639">
        <v>1200</v>
      </c>
      <c r="C2727" s="638">
        <v>2940.5740000000001</v>
      </c>
      <c r="D2727" s="633">
        <f t="shared" si="86"/>
        <v>2940.5740000000001</v>
      </c>
      <c r="E2727" s="608"/>
      <c r="F2727" s="760">
        <f t="shared" si="87"/>
        <v>1240.6176028449363</v>
      </c>
      <c r="M2727" s="443"/>
    </row>
    <row r="2728" spans="1:13">
      <c r="A2728" s="639">
        <v>42313</v>
      </c>
      <c r="B2728" s="639">
        <v>1300</v>
      </c>
      <c r="C2728" s="638">
        <v>2889.9630000000002</v>
      </c>
      <c r="D2728" s="633">
        <f t="shared" si="86"/>
        <v>2889.9630000000002</v>
      </c>
      <c r="E2728" s="608"/>
      <c r="F2728" s="760">
        <f t="shared" si="87"/>
        <v>1219.2650038293752</v>
      </c>
      <c r="M2728" s="443"/>
    </row>
    <row r="2729" spans="1:13">
      <c r="A2729" s="639">
        <v>42313</v>
      </c>
      <c r="B2729" s="639">
        <v>1400</v>
      </c>
      <c r="C2729" s="638">
        <v>2851.0949999999998</v>
      </c>
      <c r="D2729" s="633">
        <f t="shared" si="86"/>
        <v>2851.0949999999998</v>
      </c>
      <c r="E2729" s="608"/>
      <c r="F2729" s="760">
        <f t="shared" si="87"/>
        <v>1202.866734312139</v>
      </c>
      <c r="M2729" s="443"/>
    </row>
    <row r="2730" spans="1:13">
      <c r="A2730" s="639">
        <v>42313</v>
      </c>
      <c r="B2730" s="639">
        <v>1500</v>
      </c>
      <c r="C2730" s="638">
        <v>2993.538</v>
      </c>
      <c r="D2730" s="633">
        <f t="shared" si="86"/>
        <v>2993.538</v>
      </c>
      <c r="E2730" s="608"/>
      <c r="F2730" s="760">
        <f t="shared" si="87"/>
        <v>1262.9629241043501</v>
      </c>
      <c r="M2730" s="443"/>
    </row>
    <row r="2731" spans="1:13">
      <c r="A2731" s="639">
        <v>42313</v>
      </c>
      <c r="B2731" s="639">
        <v>1600</v>
      </c>
      <c r="C2731" s="638">
        <v>3042.3009999999999</v>
      </c>
      <c r="D2731" s="633">
        <f t="shared" si="86"/>
        <v>3042.3009999999999</v>
      </c>
      <c r="E2731" s="608"/>
      <c r="F2731" s="760">
        <f t="shared" si="87"/>
        <v>1283.5358585612034</v>
      </c>
      <c r="M2731" s="443"/>
    </row>
    <row r="2732" spans="1:13">
      <c r="A2732" s="639">
        <v>42313</v>
      </c>
      <c r="B2732" s="639">
        <v>1700</v>
      </c>
      <c r="C2732" s="638">
        <v>3222.598</v>
      </c>
      <c r="D2732" s="633">
        <f t="shared" si="86"/>
        <v>3222.598</v>
      </c>
      <c r="E2732" s="608"/>
      <c r="F2732" s="760">
        <f t="shared" si="87"/>
        <v>1359.6025149147365</v>
      </c>
      <c r="M2732" s="443"/>
    </row>
    <row r="2733" spans="1:13">
      <c r="A2733" s="639">
        <v>42313</v>
      </c>
      <c r="B2733" s="639">
        <v>1800</v>
      </c>
      <c r="C2733" s="638">
        <v>3366.3969999999999</v>
      </c>
      <c r="D2733" s="633">
        <f t="shared" si="86"/>
        <v>3366.3969999999999</v>
      </c>
      <c r="E2733" s="608"/>
      <c r="F2733" s="760">
        <f t="shared" si="87"/>
        <v>1420.2707962337915</v>
      </c>
      <c r="M2733" s="443"/>
    </row>
    <row r="2734" spans="1:13">
      <c r="A2734" s="639">
        <v>42313</v>
      </c>
      <c r="B2734" s="639">
        <v>1900</v>
      </c>
      <c r="C2734" s="638">
        <v>3607.326</v>
      </c>
      <c r="D2734" s="633">
        <f t="shared" si="86"/>
        <v>3607.326</v>
      </c>
      <c r="E2734" s="608"/>
      <c r="F2734" s="760">
        <f t="shared" si="87"/>
        <v>1521.9178754896875</v>
      </c>
      <c r="M2734" s="443"/>
    </row>
    <row r="2735" spans="1:13">
      <c r="A2735" s="639">
        <v>42313</v>
      </c>
      <c r="B2735" s="639">
        <v>2000</v>
      </c>
      <c r="C2735" s="638">
        <v>3974.2049999999999</v>
      </c>
      <c r="D2735" s="633">
        <f t="shared" si="86"/>
        <v>3974.2049999999999</v>
      </c>
      <c r="E2735" s="608"/>
      <c r="F2735" s="760">
        <f t="shared" si="87"/>
        <v>1676.702807109891</v>
      </c>
      <c r="M2735" s="443"/>
    </row>
    <row r="2736" spans="1:13">
      <c r="A2736" s="639">
        <v>42313</v>
      </c>
      <c r="B2736" s="639">
        <v>2100</v>
      </c>
      <c r="C2736" s="638">
        <v>3891.4409999999998</v>
      </c>
      <c r="D2736" s="633">
        <f t="shared" si="86"/>
        <v>3891.4409999999998</v>
      </c>
      <c r="E2736" s="608"/>
      <c r="F2736" s="760">
        <f t="shared" si="87"/>
        <v>1641.7849729449088</v>
      </c>
      <c r="M2736" s="443"/>
    </row>
    <row r="2737" spans="1:13">
      <c r="A2737" s="639">
        <v>42313</v>
      </c>
      <c r="B2737" s="639">
        <v>2200</v>
      </c>
      <c r="C2737" s="638">
        <v>3468.2840000000001</v>
      </c>
      <c r="D2737" s="633">
        <f t="shared" si="86"/>
        <v>3468.2840000000001</v>
      </c>
      <c r="E2737" s="608"/>
      <c r="F2737" s="760">
        <f t="shared" si="87"/>
        <v>1463.2565553750553</v>
      </c>
      <c r="M2737" s="443"/>
    </row>
    <row r="2738" spans="1:13">
      <c r="A2738" s="639">
        <v>42313</v>
      </c>
      <c r="B2738" s="639">
        <v>2300</v>
      </c>
      <c r="C2738" s="638">
        <v>2868.7629999999999</v>
      </c>
      <c r="D2738" s="633">
        <f t="shared" si="86"/>
        <v>2868.7629999999999</v>
      </c>
      <c r="E2738" s="608"/>
      <c r="F2738" s="760">
        <f t="shared" si="87"/>
        <v>1210.3208000173599</v>
      </c>
      <c r="M2738" s="443"/>
    </row>
    <row r="2739" spans="1:13">
      <c r="A2739" s="639">
        <v>42313</v>
      </c>
      <c r="B2739" s="639">
        <v>2400</v>
      </c>
      <c r="C2739" s="638">
        <v>2654.7939999999999</v>
      </c>
      <c r="D2739" s="633">
        <f t="shared" si="86"/>
        <v>2654.7939999999999</v>
      </c>
      <c r="E2739" s="608"/>
      <c r="F2739" s="760">
        <f t="shared" si="87"/>
        <v>1120.0480478733473</v>
      </c>
      <c r="M2739" s="443"/>
    </row>
    <row r="2740" spans="1:13">
      <c r="A2740" s="639">
        <v>42413</v>
      </c>
      <c r="B2740" s="639">
        <v>100</v>
      </c>
      <c r="C2740" s="638">
        <v>2692.8589999999999</v>
      </c>
      <c r="D2740" s="633">
        <f t="shared" si="86"/>
        <v>2692.8589999999999</v>
      </c>
      <c r="E2740" s="608"/>
      <c r="F2740" s="760">
        <f t="shared" si="87"/>
        <v>1136.1075345763827</v>
      </c>
      <c r="M2740" s="443"/>
    </row>
    <row r="2741" spans="1:13">
      <c r="A2741" s="639">
        <v>42413</v>
      </c>
      <c r="B2741" s="639">
        <v>200</v>
      </c>
      <c r="C2741" s="638">
        <v>2632.732</v>
      </c>
      <c r="D2741" s="633">
        <f t="shared" si="86"/>
        <v>2632.732</v>
      </c>
      <c r="E2741" s="608"/>
      <c r="F2741" s="760">
        <f t="shared" si="87"/>
        <v>1110.7401693591642</v>
      </c>
      <c r="M2741" s="443"/>
    </row>
    <row r="2742" spans="1:13">
      <c r="A2742" s="639">
        <v>42413</v>
      </c>
      <c r="B2742" s="639">
        <v>300</v>
      </c>
      <c r="C2742" s="638">
        <v>2624.1239999999998</v>
      </c>
      <c r="D2742" s="633">
        <f t="shared" si="86"/>
        <v>2624.1239999999998</v>
      </c>
      <c r="E2742" s="608"/>
      <c r="F2742" s="760">
        <f t="shared" si="87"/>
        <v>1107.108485094361</v>
      </c>
      <c r="M2742" s="443"/>
    </row>
    <row r="2743" spans="1:13">
      <c r="A2743" s="639">
        <v>42413</v>
      </c>
      <c r="B2743" s="639">
        <v>400</v>
      </c>
      <c r="C2743" s="638">
        <v>2651.8910000000001</v>
      </c>
      <c r="D2743" s="633">
        <f t="shared" si="86"/>
        <v>2651.8910000000001</v>
      </c>
      <c r="E2743" s="608"/>
      <c r="F2743" s="760">
        <f t="shared" si="87"/>
        <v>1118.8232826060698</v>
      </c>
      <c r="M2743" s="443"/>
    </row>
    <row r="2744" spans="1:13">
      <c r="A2744" s="639">
        <v>42413</v>
      </c>
      <c r="B2744" s="639">
        <v>500</v>
      </c>
      <c r="C2744" s="638">
        <v>2983.5390000000002</v>
      </c>
      <c r="D2744" s="633">
        <f t="shared" si="86"/>
        <v>2983.5390000000002</v>
      </c>
      <c r="E2744" s="608"/>
      <c r="F2744" s="760">
        <f t="shared" si="87"/>
        <v>1258.7443819384853</v>
      </c>
      <c r="M2744" s="443"/>
    </row>
    <row r="2745" spans="1:13">
      <c r="A2745" s="639">
        <v>42413</v>
      </c>
      <c r="B2745" s="639">
        <v>600</v>
      </c>
      <c r="C2745" s="638">
        <v>3475.806</v>
      </c>
      <c r="D2745" s="633">
        <f t="shared" si="86"/>
        <v>3475.806</v>
      </c>
      <c r="E2745" s="608"/>
      <c r="F2745" s="760">
        <f t="shared" si="87"/>
        <v>1466.4300601426955</v>
      </c>
      <c r="M2745" s="443"/>
    </row>
    <row r="2746" spans="1:13">
      <c r="A2746" s="639">
        <v>42413</v>
      </c>
      <c r="B2746" s="639">
        <v>700</v>
      </c>
      <c r="C2746" s="638">
        <v>3785.6129999999998</v>
      </c>
      <c r="D2746" s="633">
        <f t="shared" si="86"/>
        <v>3785.6129999999998</v>
      </c>
      <c r="E2746" s="608"/>
      <c r="F2746" s="760">
        <f t="shared" si="87"/>
        <v>1597.136520066704</v>
      </c>
      <c r="M2746" s="443"/>
    </row>
    <row r="2747" spans="1:13">
      <c r="A2747" s="639">
        <v>42413</v>
      </c>
      <c r="B2747" s="639">
        <v>800</v>
      </c>
      <c r="C2747" s="638">
        <v>3829.5729999999999</v>
      </c>
      <c r="D2747" s="633">
        <f t="shared" si="86"/>
        <v>3829.5729999999999</v>
      </c>
      <c r="E2747" s="608"/>
      <c r="F2747" s="760">
        <f t="shared" si="87"/>
        <v>1615.6830860844486</v>
      </c>
      <c r="M2747" s="443"/>
    </row>
    <row r="2748" spans="1:13">
      <c r="A2748" s="639">
        <v>42413</v>
      </c>
      <c r="B2748" s="639">
        <v>900</v>
      </c>
      <c r="C2748" s="638">
        <v>3742.3620000000001</v>
      </c>
      <c r="D2748" s="633">
        <f t="shared" si="86"/>
        <v>3742.3620000000001</v>
      </c>
      <c r="E2748" s="608"/>
      <c r="F2748" s="760">
        <f t="shared" si="87"/>
        <v>1578.8890786009745</v>
      </c>
      <c r="M2748" s="443"/>
    </row>
    <row r="2749" spans="1:13">
      <c r="A2749" s="639">
        <v>42413</v>
      </c>
      <c r="B2749" s="639">
        <v>1000</v>
      </c>
      <c r="C2749" s="638">
        <v>3630.2220000000002</v>
      </c>
      <c r="D2749" s="633">
        <f t="shared" si="86"/>
        <v>3630.2220000000002</v>
      </c>
      <c r="E2749" s="608"/>
      <c r="F2749" s="760">
        <f t="shared" si="87"/>
        <v>1531.577615606664</v>
      </c>
      <c r="M2749" s="443"/>
    </row>
    <row r="2750" spans="1:13">
      <c r="A2750" s="639">
        <v>42413</v>
      </c>
      <c r="B2750" s="639">
        <v>1100</v>
      </c>
      <c r="C2750" s="638">
        <v>3682.1590000000001</v>
      </c>
      <c r="D2750" s="633">
        <f t="shared" si="86"/>
        <v>3682.1590000000001</v>
      </c>
      <c r="E2750" s="608"/>
      <c r="F2750" s="760">
        <f t="shared" si="87"/>
        <v>1553.4896492568826</v>
      </c>
      <c r="M2750" s="443"/>
    </row>
    <row r="2751" spans="1:13">
      <c r="A2751" s="639">
        <v>42413</v>
      </c>
      <c r="B2751" s="639">
        <v>1200</v>
      </c>
      <c r="C2751" s="638">
        <v>3801.9059999999999</v>
      </c>
      <c r="D2751" s="633">
        <f t="shared" si="86"/>
        <v>3801.9059999999999</v>
      </c>
      <c r="E2751" s="608"/>
      <c r="F2751" s="760">
        <f t="shared" si="87"/>
        <v>1604.0104782133626</v>
      </c>
      <c r="M2751" s="443"/>
    </row>
    <row r="2752" spans="1:13">
      <c r="A2752" s="639">
        <v>42413</v>
      </c>
      <c r="B2752" s="639">
        <v>1300</v>
      </c>
      <c r="C2752" s="638">
        <v>3776.2620000000002</v>
      </c>
      <c r="D2752" s="633">
        <f t="shared" si="86"/>
        <v>3776.2620000000002</v>
      </c>
      <c r="E2752" s="608"/>
      <c r="F2752" s="760">
        <f t="shared" si="87"/>
        <v>1593.1913667720742</v>
      </c>
      <c r="M2752" s="443"/>
    </row>
    <row r="2753" spans="1:13">
      <c r="A2753" s="639">
        <v>42413</v>
      </c>
      <c r="B2753" s="639">
        <v>1400</v>
      </c>
      <c r="C2753" s="638">
        <v>3823.1480000000001</v>
      </c>
      <c r="D2753" s="633">
        <f t="shared" si="86"/>
        <v>3823.1480000000001</v>
      </c>
      <c r="E2753" s="608"/>
      <c r="F2753" s="760">
        <f t="shared" si="87"/>
        <v>1612.9724016744394</v>
      </c>
      <c r="M2753" s="443"/>
    </row>
    <row r="2754" spans="1:13">
      <c r="A2754" s="639">
        <v>42413</v>
      </c>
      <c r="B2754" s="639">
        <v>1500</v>
      </c>
      <c r="C2754" s="638">
        <v>3866.9830000000002</v>
      </c>
      <c r="D2754" s="633">
        <f t="shared" si="86"/>
        <v>3866.9830000000002</v>
      </c>
      <c r="E2754" s="608"/>
      <c r="F2754" s="760">
        <f t="shared" si="87"/>
        <v>1631.4662306414057</v>
      </c>
      <c r="M2754" s="443"/>
    </row>
    <row r="2755" spans="1:13">
      <c r="A2755" s="639">
        <v>42413</v>
      </c>
      <c r="B2755" s="639">
        <v>1600</v>
      </c>
      <c r="C2755" s="638">
        <v>4040.346</v>
      </c>
      <c r="D2755" s="633">
        <f t="shared" si="86"/>
        <v>4040.346</v>
      </c>
      <c r="E2755" s="608"/>
      <c r="F2755" s="760">
        <f t="shared" si="87"/>
        <v>1704.6074573141595</v>
      </c>
      <c r="M2755" s="443"/>
    </row>
    <row r="2756" spans="1:13">
      <c r="A2756" s="639">
        <v>42413</v>
      </c>
      <c r="B2756" s="639">
        <v>1700</v>
      </c>
      <c r="C2756" s="638">
        <v>4137.25</v>
      </c>
      <c r="D2756" s="633">
        <f t="shared" si="86"/>
        <v>4137.25</v>
      </c>
      <c r="E2756" s="608"/>
      <c r="F2756" s="760">
        <f t="shared" si="87"/>
        <v>1745.4909066631933</v>
      </c>
      <c r="M2756" s="443"/>
    </row>
    <row r="2757" spans="1:13">
      <c r="A2757" s="639">
        <v>42413</v>
      </c>
      <c r="B2757" s="639">
        <v>1800</v>
      </c>
      <c r="C2757" s="638">
        <v>4038.5039999999999</v>
      </c>
      <c r="D2757" s="633">
        <f t="shared" ref="D2757:D2820" si="88">C2757</f>
        <v>4038.5039999999999</v>
      </c>
      <c r="E2757" s="608"/>
      <c r="F2757" s="760">
        <f t="shared" si="87"/>
        <v>1703.830324133889</v>
      </c>
      <c r="M2757" s="443"/>
    </row>
    <row r="2758" spans="1:13">
      <c r="A2758" s="639">
        <v>42413</v>
      </c>
      <c r="B2758" s="639">
        <v>1900</v>
      </c>
      <c r="C2758" s="638">
        <v>4170.8689999999997</v>
      </c>
      <c r="D2758" s="633">
        <f t="shared" si="88"/>
        <v>4170.8689999999997</v>
      </c>
      <c r="E2758" s="608"/>
      <c r="F2758" s="760">
        <f t="shared" si="87"/>
        <v>1759.6746419441429</v>
      </c>
      <c r="M2758" s="443"/>
    </row>
    <row r="2759" spans="1:13">
      <c r="A2759" s="639">
        <v>42413</v>
      </c>
      <c r="B2759" s="639">
        <v>2000</v>
      </c>
      <c r="C2759" s="638">
        <v>4510.8410000000003</v>
      </c>
      <c r="D2759" s="633">
        <f t="shared" si="88"/>
        <v>4510.8410000000003</v>
      </c>
      <c r="E2759" s="608"/>
      <c r="F2759" s="760">
        <f t="shared" si="87"/>
        <v>1903.107606961993</v>
      </c>
      <c r="M2759" s="443"/>
    </row>
    <row r="2760" spans="1:13">
      <c r="A2760" s="639">
        <v>42413</v>
      </c>
      <c r="B2760" s="639">
        <v>2100</v>
      </c>
      <c r="C2760" s="638">
        <v>4355.5860000000002</v>
      </c>
      <c r="D2760" s="633">
        <f t="shared" si="88"/>
        <v>4355.5860000000002</v>
      </c>
      <c r="E2760" s="608"/>
      <c r="F2760" s="760">
        <f t="shared" si="87"/>
        <v>1837.6060804132001</v>
      </c>
      <c r="M2760" s="443"/>
    </row>
    <row r="2761" spans="1:13">
      <c r="A2761" s="639">
        <v>42413</v>
      </c>
      <c r="B2761" s="639">
        <v>2200</v>
      </c>
      <c r="C2761" s="638">
        <v>3891.373</v>
      </c>
      <c r="D2761" s="633">
        <f t="shared" si="88"/>
        <v>3891.373</v>
      </c>
      <c r="E2761" s="608"/>
      <c r="F2761" s="760">
        <f t="shared" si="87"/>
        <v>1641.7562839892853</v>
      </c>
      <c r="M2761" s="443"/>
    </row>
    <row r="2762" spans="1:13">
      <c r="A2762" s="639">
        <v>42413</v>
      </c>
      <c r="B2762" s="639">
        <v>2300</v>
      </c>
      <c r="C2762" s="638">
        <v>3286.0590000000002</v>
      </c>
      <c r="D2762" s="633">
        <f t="shared" si="88"/>
        <v>3286.0590000000002</v>
      </c>
      <c r="E2762" s="608"/>
      <c r="F2762" s="760">
        <f t="shared" si="87"/>
        <v>1386.3764827503164</v>
      </c>
      <c r="M2762" s="443"/>
    </row>
    <row r="2763" spans="1:13">
      <c r="A2763" s="639">
        <v>42413</v>
      </c>
      <c r="B2763" s="639">
        <v>2400</v>
      </c>
      <c r="C2763" s="638">
        <v>3083.9879999999998</v>
      </c>
      <c r="D2763" s="633">
        <f t="shared" si="88"/>
        <v>3083.9879999999998</v>
      </c>
      <c r="E2763" s="608"/>
      <c r="F2763" s="760">
        <f t="shared" si="87"/>
        <v>1301.1234540475941</v>
      </c>
      <c r="M2763" s="443"/>
    </row>
    <row r="2764" spans="1:13">
      <c r="A2764" s="639">
        <v>42513</v>
      </c>
      <c r="B2764" s="639">
        <v>100</v>
      </c>
      <c r="C2764" s="638">
        <v>3121.4949999999999</v>
      </c>
      <c r="D2764" s="633">
        <f t="shared" si="88"/>
        <v>3121.4949999999999</v>
      </c>
      <c r="E2764" s="608"/>
      <c r="F2764" s="760">
        <f t="shared" ref="F2764:F2827" si="89">(D2764/(MAX($D$2188:$D$2907)))*$M$7</f>
        <v>1316.9475225559549</v>
      </c>
      <c r="M2764" s="443"/>
    </row>
    <row r="2765" spans="1:13">
      <c r="A2765" s="639">
        <v>42513</v>
      </c>
      <c r="B2765" s="639">
        <v>200</v>
      </c>
      <c r="C2765" s="638">
        <v>3074.6570000000002</v>
      </c>
      <c r="D2765" s="633">
        <f t="shared" si="88"/>
        <v>3074.6570000000002</v>
      </c>
      <c r="E2765" s="608"/>
      <c r="F2765" s="760">
        <f t="shared" si="89"/>
        <v>1297.1867386810886</v>
      </c>
      <c r="M2765" s="443"/>
    </row>
    <row r="2766" spans="1:13">
      <c r="A2766" s="639">
        <v>42513</v>
      </c>
      <c r="B2766" s="639">
        <v>300</v>
      </c>
      <c r="C2766" s="638">
        <v>3082.0770000000002</v>
      </c>
      <c r="D2766" s="633">
        <f t="shared" si="88"/>
        <v>3082.0770000000002</v>
      </c>
      <c r="E2766" s="608"/>
      <c r="F2766" s="760">
        <f t="shared" si="89"/>
        <v>1300.317210015294</v>
      </c>
      <c r="M2766" s="443"/>
    </row>
    <row r="2767" spans="1:13">
      <c r="A2767" s="639">
        <v>42513</v>
      </c>
      <c r="B2767" s="639">
        <v>400</v>
      </c>
      <c r="C2767" s="638">
        <v>3162.0540000000001</v>
      </c>
      <c r="D2767" s="633">
        <f t="shared" si="88"/>
        <v>3162.0540000000001</v>
      </c>
      <c r="E2767" s="608"/>
      <c r="F2767" s="760">
        <f t="shared" si="89"/>
        <v>1334.0592188961211</v>
      </c>
      <c r="M2767" s="443"/>
    </row>
    <row r="2768" spans="1:13">
      <c r="A2768" s="639">
        <v>42513</v>
      </c>
      <c r="B2768" s="639">
        <v>500</v>
      </c>
      <c r="C2768" s="638">
        <v>3502.1550000000002</v>
      </c>
      <c r="D2768" s="633">
        <f t="shared" si="88"/>
        <v>3502.1550000000002</v>
      </c>
      <c r="E2768" s="608"/>
      <c r="F2768" s="760">
        <f t="shared" si="89"/>
        <v>1477.5466085503745</v>
      </c>
      <c r="M2768" s="443"/>
    </row>
    <row r="2769" spans="1:13">
      <c r="A2769" s="639">
        <v>42513</v>
      </c>
      <c r="B2769" s="639">
        <v>600</v>
      </c>
      <c r="C2769" s="638">
        <v>3973.3960000000002</v>
      </c>
      <c r="D2769" s="633">
        <f t="shared" si="88"/>
        <v>3973.3960000000002</v>
      </c>
      <c r="E2769" s="608"/>
      <c r="F2769" s="760">
        <f t="shared" si="89"/>
        <v>1676.3614929172531</v>
      </c>
      <c r="M2769" s="443"/>
    </row>
    <row r="2770" spans="1:13">
      <c r="A2770" s="639">
        <v>42513</v>
      </c>
      <c r="B2770" s="639">
        <v>700</v>
      </c>
      <c r="C2770" s="638">
        <v>3873.1579999999999</v>
      </c>
      <c r="D2770" s="633">
        <f t="shared" si="88"/>
        <v>3873.1579999999999</v>
      </c>
      <c r="E2770" s="608"/>
      <c r="F2770" s="760">
        <f t="shared" si="89"/>
        <v>1634.071440949858</v>
      </c>
      <c r="M2770" s="443"/>
    </row>
    <row r="2771" spans="1:13">
      <c r="A2771" s="639">
        <v>42513</v>
      </c>
      <c r="B2771" s="639">
        <v>800</v>
      </c>
      <c r="C2771" s="638">
        <v>3595.5419999999999</v>
      </c>
      <c r="D2771" s="633">
        <f t="shared" si="88"/>
        <v>3595.5419999999999</v>
      </c>
      <c r="E2771" s="608"/>
      <c r="F2771" s="760">
        <f t="shared" si="89"/>
        <v>1516.9462482387073</v>
      </c>
      <c r="M2771" s="443"/>
    </row>
    <row r="2772" spans="1:13">
      <c r="A2772" s="639">
        <v>42513</v>
      </c>
      <c r="B2772" s="639">
        <v>900</v>
      </c>
      <c r="C2772" s="638">
        <v>3378.9169999999999</v>
      </c>
      <c r="D2772" s="633">
        <f t="shared" si="88"/>
        <v>3378.9169999999999</v>
      </c>
      <c r="E2772" s="608"/>
      <c r="F2772" s="760">
        <f t="shared" si="89"/>
        <v>1425.5529392397552</v>
      </c>
      <c r="M2772" s="443"/>
    </row>
    <row r="2773" spans="1:13">
      <c r="A2773" s="639">
        <v>42513</v>
      </c>
      <c r="B2773" s="639">
        <v>1000</v>
      </c>
      <c r="C2773" s="638">
        <v>3236.9360000000001</v>
      </c>
      <c r="D2773" s="633">
        <f t="shared" si="88"/>
        <v>3236.9360000000001</v>
      </c>
      <c r="E2773" s="608"/>
      <c r="F2773" s="760">
        <f t="shared" si="89"/>
        <v>1365.6516655872213</v>
      </c>
      <c r="M2773" s="443"/>
    </row>
    <row r="2774" spans="1:13">
      <c r="A2774" s="639">
        <v>42513</v>
      </c>
      <c r="B2774" s="639">
        <v>1100</v>
      </c>
      <c r="C2774" s="638">
        <v>3178.4949999999999</v>
      </c>
      <c r="D2774" s="633">
        <f t="shared" si="88"/>
        <v>3178.4949999999999</v>
      </c>
      <c r="E2774" s="608"/>
      <c r="F2774" s="760">
        <f t="shared" si="89"/>
        <v>1340.9956177109013</v>
      </c>
      <c r="M2774" s="443"/>
    </row>
    <row r="2775" spans="1:13">
      <c r="A2775" s="639">
        <v>42513</v>
      </c>
      <c r="B2775" s="639">
        <v>1200</v>
      </c>
      <c r="C2775" s="638">
        <v>3203.0410000000002</v>
      </c>
      <c r="D2775" s="633">
        <f t="shared" si="88"/>
        <v>3203.0410000000002</v>
      </c>
      <c r="E2775" s="608"/>
      <c r="F2775" s="760">
        <f t="shared" si="89"/>
        <v>1351.3514868981524</v>
      </c>
      <c r="M2775" s="443"/>
    </row>
    <row r="2776" spans="1:13">
      <c r="A2776" s="639">
        <v>42513</v>
      </c>
      <c r="B2776" s="639">
        <v>1300</v>
      </c>
      <c r="C2776" s="638">
        <v>3189.8420000000001</v>
      </c>
      <c r="D2776" s="633">
        <f t="shared" si="88"/>
        <v>3189.8420000000001</v>
      </c>
      <c r="E2776" s="608"/>
      <c r="F2776" s="760">
        <f t="shared" si="89"/>
        <v>1345.7828762323606</v>
      </c>
      <c r="M2776" s="443"/>
    </row>
    <row r="2777" spans="1:13">
      <c r="A2777" s="639">
        <v>42513</v>
      </c>
      <c r="B2777" s="639">
        <v>1400</v>
      </c>
      <c r="C2777" s="638">
        <v>3217.6770000000001</v>
      </c>
      <c r="D2777" s="633">
        <f t="shared" si="88"/>
        <v>3217.6770000000001</v>
      </c>
      <c r="E2777" s="608"/>
      <c r="F2777" s="760">
        <f t="shared" si="89"/>
        <v>1357.5263626996928</v>
      </c>
      <c r="M2777" s="443"/>
    </row>
    <row r="2778" spans="1:13">
      <c r="A2778" s="639">
        <v>42513</v>
      </c>
      <c r="B2778" s="639">
        <v>1500</v>
      </c>
      <c r="C2778" s="638">
        <v>3291.3139999999999</v>
      </c>
      <c r="D2778" s="633">
        <f t="shared" si="88"/>
        <v>3291.3139999999999</v>
      </c>
      <c r="E2778" s="608"/>
      <c r="F2778" s="760">
        <f t="shared" si="89"/>
        <v>1388.5935483650399</v>
      </c>
      <c r="M2778" s="443"/>
    </row>
    <row r="2779" spans="1:13">
      <c r="A2779" s="639">
        <v>42513</v>
      </c>
      <c r="B2779" s="639">
        <v>1600</v>
      </c>
      <c r="C2779" s="638">
        <v>3787.3490000000002</v>
      </c>
      <c r="D2779" s="633">
        <f t="shared" si="88"/>
        <v>3787.3490000000002</v>
      </c>
      <c r="E2779" s="608"/>
      <c r="F2779" s="760">
        <f t="shared" si="89"/>
        <v>1597.8689322279145</v>
      </c>
      <c r="M2779" s="443"/>
    </row>
    <row r="2780" spans="1:13">
      <c r="A2780" s="639">
        <v>42513</v>
      </c>
      <c r="B2780" s="639">
        <v>1700</v>
      </c>
      <c r="C2780" s="638">
        <v>3802.9369999999999</v>
      </c>
      <c r="D2780" s="633">
        <f t="shared" si="88"/>
        <v>3802.9369999999999</v>
      </c>
      <c r="E2780" s="608"/>
      <c r="F2780" s="760">
        <f t="shared" si="89"/>
        <v>1604.4454534081829</v>
      </c>
      <c r="M2780" s="443"/>
    </row>
    <row r="2781" spans="1:13">
      <c r="A2781" s="639">
        <v>42513</v>
      </c>
      <c r="B2781" s="639">
        <v>1800</v>
      </c>
      <c r="C2781" s="638">
        <v>3793.2350000000001</v>
      </c>
      <c r="D2781" s="633">
        <f t="shared" si="88"/>
        <v>3793.2350000000001</v>
      </c>
      <c r="E2781" s="608"/>
      <c r="F2781" s="760">
        <f t="shared" si="89"/>
        <v>1600.3522144749672</v>
      </c>
      <c r="M2781" s="443"/>
    </row>
    <row r="2782" spans="1:13">
      <c r="A2782" s="639">
        <v>42513</v>
      </c>
      <c r="B2782" s="639">
        <v>1900</v>
      </c>
      <c r="C2782" s="638">
        <v>3960.5630000000001</v>
      </c>
      <c r="D2782" s="633">
        <f t="shared" si="88"/>
        <v>3960.5630000000001</v>
      </c>
      <c r="E2782" s="608"/>
      <c r="F2782" s="760">
        <f t="shared" si="89"/>
        <v>1670.9472963361404</v>
      </c>
      <c r="M2782" s="443"/>
    </row>
    <row r="2783" spans="1:13">
      <c r="A2783" s="639">
        <v>42513</v>
      </c>
      <c r="B2783" s="639">
        <v>2000</v>
      </c>
      <c r="C2783" s="638">
        <v>4129.2139999999999</v>
      </c>
      <c r="D2783" s="633">
        <f t="shared" si="88"/>
        <v>4129.2139999999999</v>
      </c>
      <c r="E2783" s="608"/>
      <c r="F2783" s="760">
        <f t="shared" si="89"/>
        <v>1742.100547142752</v>
      </c>
      <c r="M2783" s="443"/>
    </row>
    <row r="2784" spans="1:13">
      <c r="A2784" s="639">
        <v>42513</v>
      </c>
      <c r="B2784" s="639">
        <v>2100</v>
      </c>
      <c r="C2784" s="638">
        <v>4181.2669999999998</v>
      </c>
      <c r="D2784" s="633">
        <f t="shared" si="88"/>
        <v>4181.2669999999998</v>
      </c>
      <c r="E2784" s="608"/>
      <c r="F2784" s="760">
        <f t="shared" si="89"/>
        <v>1764.0615207760927</v>
      </c>
      <c r="M2784" s="443"/>
    </row>
    <row r="2785" spans="1:13">
      <c r="A2785" s="639">
        <v>42513</v>
      </c>
      <c r="B2785" s="639">
        <v>2200</v>
      </c>
      <c r="C2785" s="638">
        <v>3706.598</v>
      </c>
      <c r="D2785" s="633">
        <f t="shared" si="88"/>
        <v>3706.598</v>
      </c>
      <c r="E2785" s="608"/>
      <c r="F2785" s="760">
        <f t="shared" si="89"/>
        <v>1563.8003755286675</v>
      </c>
      <c r="M2785" s="443"/>
    </row>
    <row r="2786" spans="1:13">
      <c r="A2786" s="639">
        <v>42513</v>
      </c>
      <c r="B2786" s="639">
        <v>2300</v>
      </c>
      <c r="C2786" s="638">
        <v>3269.712</v>
      </c>
      <c r="D2786" s="633">
        <f t="shared" si="88"/>
        <v>3269.712</v>
      </c>
      <c r="E2786" s="608"/>
      <c r="F2786" s="760">
        <f t="shared" si="89"/>
        <v>1379.4797421977214</v>
      </c>
      <c r="M2786" s="443"/>
    </row>
    <row r="2787" spans="1:13">
      <c r="A2787" s="639">
        <v>42513</v>
      </c>
      <c r="B2787" s="639">
        <v>2400</v>
      </c>
      <c r="C2787" s="638">
        <v>3096.105</v>
      </c>
      <c r="D2787" s="633">
        <f t="shared" si="88"/>
        <v>3096.105</v>
      </c>
      <c r="E2787" s="608"/>
      <c r="F2787" s="760">
        <f t="shared" si="89"/>
        <v>1306.2355728018481</v>
      </c>
      <c r="M2787" s="443"/>
    </row>
    <row r="2788" spans="1:13">
      <c r="A2788" s="639">
        <v>42613</v>
      </c>
      <c r="B2788" s="639">
        <v>100</v>
      </c>
      <c r="C2788" s="638">
        <v>3095.9250000000002</v>
      </c>
      <c r="D2788" s="633">
        <f t="shared" si="88"/>
        <v>3095.9250000000002</v>
      </c>
      <c r="E2788" s="608"/>
      <c r="F2788" s="760">
        <f t="shared" si="89"/>
        <v>1306.1596314487274</v>
      </c>
      <c r="M2788" s="443"/>
    </row>
    <row r="2789" spans="1:13">
      <c r="A2789" s="639">
        <v>42613</v>
      </c>
      <c r="B2789" s="639">
        <v>200</v>
      </c>
      <c r="C2789" s="638">
        <v>3029.8319999999999</v>
      </c>
      <c r="D2789" s="633">
        <f t="shared" si="88"/>
        <v>3029.8319999999999</v>
      </c>
      <c r="E2789" s="608"/>
      <c r="F2789" s="760">
        <f t="shared" si="89"/>
        <v>1278.2752322719575</v>
      </c>
      <c r="M2789" s="443"/>
    </row>
    <row r="2790" spans="1:13">
      <c r="A2790" s="639">
        <v>42613</v>
      </c>
      <c r="B2790" s="639">
        <v>300</v>
      </c>
      <c r="C2790" s="638">
        <v>3032.998</v>
      </c>
      <c r="D2790" s="633">
        <f t="shared" si="88"/>
        <v>3032.998</v>
      </c>
      <c r="E2790" s="608"/>
      <c r="F2790" s="760">
        <f t="shared" si="89"/>
        <v>1279.6109562940726</v>
      </c>
      <c r="M2790" s="443"/>
    </row>
    <row r="2791" spans="1:13">
      <c r="A2791" s="639">
        <v>42613</v>
      </c>
      <c r="B2791" s="639">
        <v>400</v>
      </c>
      <c r="C2791" s="638">
        <v>3088.049</v>
      </c>
      <c r="D2791" s="633">
        <f t="shared" si="88"/>
        <v>3088.049</v>
      </c>
      <c r="E2791" s="608"/>
      <c r="F2791" s="760">
        <f t="shared" si="89"/>
        <v>1302.8367753532823</v>
      </c>
      <c r="M2791" s="443"/>
    </row>
    <row r="2792" spans="1:13">
      <c r="A2792" s="639">
        <v>42613</v>
      </c>
      <c r="B2792" s="639">
        <v>500</v>
      </c>
      <c r="C2792" s="638">
        <v>3420.1840000000002</v>
      </c>
      <c r="D2792" s="633">
        <f t="shared" si="88"/>
        <v>3420.1840000000002</v>
      </c>
      <c r="E2792" s="608"/>
      <c r="F2792" s="760">
        <f t="shared" si="89"/>
        <v>1442.9633382355303</v>
      </c>
      <c r="M2792" s="443"/>
    </row>
    <row r="2793" spans="1:13">
      <c r="A2793" s="639">
        <v>42613</v>
      </c>
      <c r="B2793" s="639">
        <v>600</v>
      </c>
      <c r="C2793" s="638">
        <v>3854.6729999999998</v>
      </c>
      <c r="D2793" s="633">
        <f t="shared" si="88"/>
        <v>3854.6729999999998</v>
      </c>
      <c r="E2793" s="608"/>
      <c r="F2793" s="760">
        <f t="shared" si="89"/>
        <v>1626.2726858807496</v>
      </c>
      <c r="M2793" s="443"/>
    </row>
    <row r="2794" spans="1:13">
      <c r="A2794" s="639">
        <v>42613</v>
      </c>
      <c r="B2794" s="639">
        <v>700</v>
      </c>
      <c r="C2794" s="638">
        <v>3845.788</v>
      </c>
      <c r="D2794" s="633">
        <f t="shared" si="88"/>
        <v>3845.788</v>
      </c>
      <c r="E2794" s="608"/>
      <c r="F2794" s="760">
        <f t="shared" si="89"/>
        <v>1622.5241363114214</v>
      </c>
      <c r="M2794" s="443"/>
    </row>
    <row r="2795" spans="1:13">
      <c r="A2795" s="639">
        <v>42613</v>
      </c>
      <c r="B2795" s="639">
        <v>800</v>
      </c>
      <c r="C2795" s="638">
        <v>3593.2150000000001</v>
      </c>
      <c r="D2795" s="633">
        <f t="shared" si="88"/>
        <v>3593.2150000000001</v>
      </c>
      <c r="E2795" s="608"/>
      <c r="F2795" s="760">
        <f t="shared" si="89"/>
        <v>1515.9644953014167</v>
      </c>
      <c r="M2795" s="443"/>
    </row>
    <row r="2796" spans="1:13">
      <c r="A2796" s="639">
        <v>42613</v>
      </c>
      <c r="B2796" s="639">
        <v>900</v>
      </c>
      <c r="C2796" s="638">
        <v>3385.3</v>
      </c>
      <c r="D2796" s="633">
        <f t="shared" si="88"/>
        <v>3385.3</v>
      </c>
      <c r="E2796" s="608"/>
      <c r="F2796" s="760">
        <f t="shared" si="89"/>
        <v>1428.2459040007029</v>
      </c>
      <c r="M2796" s="443"/>
    </row>
    <row r="2797" spans="1:13">
      <c r="A2797" s="639">
        <v>42613</v>
      </c>
      <c r="B2797" s="639">
        <v>1000</v>
      </c>
      <c r="C2797" s="638">
        <v>3317.067</v>
      </c>
      <c r="D2797" s="633">
        <f t="shared" si="88"/>
        <v>3317.067</v>
      </c>
      <c r="E2797" s="608"/>
      <c r="F2797" s="760">
        <f t="shared" si="89"/>
        <v>1399.4586465146072</v>
      </c>
      <c r="M2797" s="443"/>
    </row>
    <row r="2798" spans="1:13">
      <c r="A2798" s="639">
        <v>42613</v>
      </c>
      <c r="B2798" s="639">
        <v>1100</v>
      </c>
      <c r="C2798" s="638">
        <v>3209.1370000000002</v>
      </c>
      <c r="D2798" s="633">
        <f t="shared" si="88"/>
        <v>3209.1370000000002</v>
      </c>
      <c r="E2798" s="608"/>
      <c r="F2798" s="760">
        <f t="shared" si="89"/>
        <v>1353.9233673905132</v>
      </c>
      <c r="M2798" s="443"/>
    </row>
    <row r="2799" spans="1:13">
      <c r="A2799" s="639">
        <v>42613</v>
      </c>
      <c r="B2799" s="639">
        <v>1200</v>
      </c>
      <c r="C2799" s="638">
        <v>3072.2370000000001</v>
      </c>
      <c r="D2799" s="633">
        <f t="shared" si="88"/>
        <v>3072.2370000000001</v>
      </c>
      <c r="E2799" s="608"/>
      <c r="F2799" s="760">
        <f t="shared" si="89"/>
        <v>1296.165749378019</v>
      </c>
      <c r="M2799" s="443"/>
    </row>
    <row r="2800" spans="1:13">
      <c r="A2800" s="639">
        <v>42613</v>
      </c>
      <c r="B2800" s="639">
        <v>1300</v>
      </c>
      <c r="C2800" s="638">
        <v>2994.0039999999999</v>
      </c>
      <c r="D2800" s="633">
        <f t="shared" si="88"/>
        <v>2994.0039999999999</v>
      </c>
      <c r="E2800" s="608"/>
      <c r="F2800" s="760">
        <f t="shared" si="89"/>
        <v>1263.159527829652</v>
      </c>
      <c r="M2800" s="443"/>
    </row>
    <row r="2801" spans="1:13">
      <c r="A2801" s="639">
        <v>42613</v>
      </c>
      <c r="B2801" s="639">
        <v>1400</v>
      </c>
      <c r="C2801" s="638">
        <v>2896.8069999999998</v>
      </c>
      <c r="D2801" s="633">
        <f t="shared" si="88"/>
        <v>2896.8069999999998</v>
      </c>
      <c r="E2801" s="608"/>
      <c r="F2801" s="760">
        <f t="shared" si="89"/>
        <v>1222.1524628335935</v>
      </c>
      <c r="M2801" s="443"/>
    </row>
    <row r="2802" spans="1:13">
      <c r="A2802" s="639">
        <v>42613</v>
      </c>
      <c r="B2802" s="639">
        <v>1500</v>
      </c>
      <c r="C2802" s="638">
        <v>3007.578</v>
      </c>
      <c r="D2802" s="633">
        <f t="shared" si="88"/>
        <v>3007.578</v>
      </c>
      <c r="E2802" s="608"/>
      <c r="F2802" s="760">
        <f t="shared" si="89"/>
        <v>1268.8863496477791</v>
      </c>
      <c r="M2802" s="443"/>
    </row>
    <row r="2803" spans="1:13">
      <c r="A2803" s="639">
        <v>42613</v>
      </c>
      <c r="B2803" s="639">
        <v>1600</v>
      </c>
      <c r="C2803" s="638">
        <v>3078.788</v>
      </c>
      <c r="D2803" s="633">
        <f t="shared" si="88"/>
        <v>3078.788</v>
      </c>
      <c r="E2803" s="608"/>
      <c r="F2803" s="760">
        <f t="shared" si="89"/>
        <v>1298.9295927352127</v>
      </c>
      <c r="M2803" s="443"/>
    </row>
    <row r="2804" spans="1:13">
      <c r="A2804" s="639">
        <v>42613</v>
      </c>
      <c r="B2804" s="639">
        <v>1700</v>
      </c>
      <c r="C2804" s="638">
        <v>3268.1759999999999</v>
      </c>
      <c r="D2804" s="633">
        <f t="shared" si="88"/>
        <v>3268.1759999999999</v>
      </c>
      <c r="E2804" s="608"/>
      <c r="F2804" s="760">
        <f t="shared" si="89"/>
        <v>1378.8317093177566</v>
      </c>
      <c r="M2804" s="443"/>
    </row>
    <row r="2805" spans="1:13">
      <c r="A2805" s="639">
        <v>42613</v>
      </c>
      <c r="B2805" s="639">
        <v>1800</v>
      </c>
      <c r="C2805" s="638">
        <v>3320.3359999999998</v>
      </c>
      <c r="D2805" s="633">
        <f t="shared" si="88"/>
        <v>3320.3359999999998</v>
      </c>
      <c r="E2805" s="608"/>
      <c r="F2805" s="760">
        <f t="shared" si="89"/>
        <v>1400.8378258665637</v>
      </c>
      <c r="M2805" s="443"/>
    </row>
    <row r="2806" spans="1:13">
      <c r="A2806" s="639">
        <v>42613</v>
      </c>
      <c r="B2806" s="639">
        <v>1900</v>
      </c>
      <c r="C2806" s="638">
        <v>3404.3049999999998</v>
      </c>
      <c r="D2806" s="633">
        <f t="shared" si="88"/>
        <v>3404.3049999999998</v>
      </c>
      <c r="E2806" s="608"/>
      <c r="F2806" s="760">
        <f t="shared" si="89"/>
        <v>1436.2640452010496</v>
      </c>
      <c r="M2806" s="443"/>
    </row>
    <row r="2807" spans="1:13">
      <c r="A2807" s="639">
        <v>42613</v>
      </c>
      <c r="B2807" s="639">
        <v>2000</v>
      </c>
      <c r="C2807" s="638">
        <v>3843.3739999999998</v>
      </c>
      <c r="D2807" s="633">
        <f t="shared" si="88"/>
        <v>3843.3739999999998</v>
      </c>
      <c r="E2807" s="608"/>
      <c r="F2807" s="760">
        <f t="shared" si="89"/>
        <v>1621.5056783867892</v>
      </c>
      <c r="M2807" s="443"/>
    </row>
    <row r="2808" spans="1:13">
      <c r="A2808" s="639">
        <v>42613</v>
      </c>
      <c r="B2808" s="639">
        <v>2100</v>
      </c>
      <c r="C2808" s="638">
        <v>3974.6280000000002</v>
      </c>
      <c r="D2808" s="633">
        <f t="shared" si="88"/>
        <v>3974.6280000000002</v>
      </c>
      <c r="E2808" s="608"/>
      <c r="F2808" s="760">
        <f t="shared" si="89"/>
        <v>1676.881269289725</v>
      </c>
      <c r="M2808" s="443"/>
    </row>
    <row r="2809" spans="1:13">
      <c r="A2809" s="639">
        <v>42613</v>
      </c>
      <c r="B2809" s="639">
        <v>2200</v>
      </c>
      <c r="C2809" s="638">
        <v>3661.154</v>
      </c>
      <c r="D2809" s="633">
        <f t="shared" si="88"/>
        <v>3661.154</v>
      </c>
      <c r="E2809" s="608"/>
      <c r="F2809" s="760">
        <f t="shared" si="89"/>
        <v>1544.6277152440816</v>
      </c>
      <c r="M2809" s="443"/>
    </row>
    <row r="2810" spans="1:13">
      <c r="A2810" s="639">
        <v>42613</v>
      </c>
      <c r="B2810" s="639">
        <v>2300</v>
      </c>
      <c r="C2810" s="638">
        <v>3149.9940000000001</v>
      </c>
      <c r="D2810" s="633">
        <f t="shared" si="88"/>
        <v>3149.9940000000001</v>
      </c>
      <c r="E2810" s="608"/>
      <c r="F2810" s="760">
        <f t="shared" si="89"/>
        <v>1328.9711482370219</v>
      </c>
      <c r="M2810" s="443"/>
    </row>
    <row r="2811" spans="1:13">
      <c r="A2811" s="639">
        <v>42613</v>
      </c>
      <c r="B2811" s="639">
        <v>2400</v>
      </c>
      <c r="C2811" s="638">
        <v>2916.4409999999998</v>
      </c>
      <c r="D2811" s="633">
        <f t="shared" si="88"/>
        <v>2916.4409999999998</v>
      </c>
      <c r="E2811" s="608"/>
      <c r="F2811" s="760">
        <f t="shared" si="89"/>
        <v>1230.4359768734569</v>
      </c>
      <c r="M2811" s="443"/>
    </row>
    <row r="2812" spans="1:13">
      <c r="A2812" s="639">
        <v>42713</v>
      </c>
      <c r="B2812" s="639">
        <v>100</v>
      </c>
      <c r="C2812" s="638">
        <v>2869.02</v>
      </c>
      <c r="D2812" s="633">
        <f t="shared" si="88"/>
        <v>2869.02</v>
      </c>
      <c r="E2812" s="608"/>
      <c r="F2812" s="760">
        <f t="shared" si="89"/>
        <v>1210.4292273937601</v>
      </c>
      <c r="M2812" s="443"/>
    </row>
    <row r="2813" spans="1:13">
      <c r="A2813" s="639">
        <v>42713</v>
      </c>
      <c r="B2813" s="639">
        <v>200</v>
      </c>
      <c r="C2813" s="638">
        <v>2823.913</v>
      </c>
      <c r="D2813" s="633">
        <f t="shared" si="88"/>
        <v>2823.913</v>
      </c>
      <c r="E2813" s="608"/>
      <c r="F2813" s="760">
        <f t="shared" si="89"/>
        <v>1191.3987461980732</v>
      </c>
      <c r="M2813" s="443"/>
    </row>
    <row r="2814" spans="1:13">
      <c r="A2814" s="639">
        <v>42713</v>
      </c>
      <c r="B2814" s="639">
        <v>300</v>
      </c>
      <c r="C2814" s="638">
        <v>2801.0650000000001</v>
      </c>
      <c r="D2814" s="633">
        <f t="shared" si="88"/>
        <v>2801.0650000000001</v>
      </c>
      <c r="E2814" s="608"/>
      <c r="F2814" s="760">
        <f t="shared" si="89"/>
        <v>1181.7592571085959</v>
      </c>
      <c r="M2814" s="443"/>
    </row>
    <row r="2815" spans="1:13">
      <c r="A2815" s="639">
        <v>42713</v>
      </c>
      <c r="B2815" s="639">
        <v>400</v>
      </c>
      <c r="C2815" s="638">
        <v>2852.2020000000002</v>
      </c>
      <c r="D2815" s="633">
        <f t="shared" si="88"/>
        <v>2852.2020000000002</v>
      </c>
      <c r="E2815" s="608"/>
      <c r="F2815" s="760">
        <f t="shared" si="89"/>
        <v>1203.3337736338326</v>
      </c>
      <c r="M2815" s="443"/>
    </row>
    <row r="2816" spans="1:13">
      <c r="A2816" s="639">
        <v>42713</v>
      </c>
      <c r="B2816" s="639">
        <v>500</v>
      </c>
      <c r="C2816" s="638">
        <v>2945.357</v>
      </c>
      <c r="D2816" s="633">
        <f t="shared" si="88"/>
        <v>2945.357</v>
      </c>
      <c r="E2816" s="608"/>
      <c r="F2816" s="760">
        <f t="shared" si="89"/>
        <v>1242.6355333559209</v>
      </c>
      <c r="M2816" s="443"/>
    </row>
    <row r="2817" spans="1:13">
      <c r="A2817" s="639">
        <v>42713</v>
      </c>
      <c r="B2817" s="639">
        <v>600</v>
      </c>
      <c r="C2817" s="638">
        <v>3153.989</v>
      </c>
      <c r="D2817" s="633">
        <f t="shared" si="88"/>
        <v>3153.989</v>
      </c>
      <c r="E2817" s="608"/>
      <c r="F2817" s="760">
        <f t="shared" si="89"/>
        <v>1330.6566243798993</v>
      </c>
      <c r="M2817" s="443"/>
    </row>
    <row r="2818" spans="1:13">
      <c r="A2818" s="639">
        <v>42713</v>
      </c>
      <c r="B2818" s="639">
        <v>700</v>
      </c>
      <c r="C2818" s="638">
        <v>3436.9180000000001</v>
      </c>
      <c r="D2818" s="633">
        <f t="shared" si="88"/>
        <v>3436.9180000000001</v>
      </c>
      <c r="E2818" s="608"/>
      <c r="F2818" s="760">
        <f t="shared" si="89"/>
        <v>1450.023352697335</v>
      </c>
      <c r="M2818" s="443"/>
    </row>
    <row r="2819" spans="1:13">
      <c r="A2819" s="639">
        <v>42713</v>
      </c>
      <c r="B2819" s="639">
        <v>800</v>
      </c>
      <c r="C2819" s="638">
        <v>3333.6320000000001</v>
      </c>
      <c r="D2819" s="633">
        <f t="shared" si="88"/>
        <v>3333.6320000000001</v>
      </c>
      <c r="E2819" s="608"/>
      <c r="F2819" s="760">
        <f t="shared" si="89"/>
        <v>1406.4473604837597</v>
      </c>
      <c r="M2819" s="443"/>
    </row>
    <row r="2820" spans="1:13">
      <c r="A2820" s="639">
        <v>42713</v>
      </c>
      <c r="B2820" s="639">
        <v>900</v>
      </c>
      <c r="C2820" s="638">
        <v>3454.7069999999999</v>
      </c>
      <c r="D2820" s="633">
        <f t="shared" si="88"/>
        <v>3454.7069999999999</v>
      </c>
      <c r="E2820" s="608"/>
      <c r="F2820" s="760">
        <f t="shared" si="89"/>
        <v>1457.5284678677092</v>
      </c>
      <c r="M2820" s="443"/>
    </row>
    <row r="2821" spans="1:13">
      <c r="A2821" s="639">
        <v>42713</v>
      </c>
      <c r="B2821" s="639">
        <v>1000</v>
      </c>
      <c r="C2821" s="638">
        <v>3388.78</v>
      </c>
      <c r="D2821" s="633">
        <f t="shared" ref="D2821:D2884" si="90">C2821</f>
        <v>3388.78</v>
      </c>
      <c r="E2821" s="608"/>
      <c r="F2821" s="760">
        <f t="shared" si="89"/>
        <v>1429.7141034943734</v>
      </c>
      <c r="M2821" s="443"/>
    </row>
    <row r="2822" spans="1:13">
      <c r="A2822" s="639">
        <v>42713</v>
      </c>
      <c r="B2822" s="639">
        <v>1100</v>
      </c>
      <c r="C2822" s="638">
        <v>3277.2759999999998</v>
      </c>
      <c r="D2822" s="633">
        <f t="shared" si="90"/>
        <v>3277.2759999999998</v>
      </c>
      <c r="E2822" s="608"/>
      <c r="F2822" s="760">
        <f t="shared" si="89"/>
        <v>1382.6709666144234</v>
      </c>
      <c r="M2822" s="443"/>
    </row>
    <row r="2823" spans="1:13">
      <c r="A2823" s="639">
        <v>42713</v>
      </c>
      <c r="B2823" s="639">
        <v>1200</v>
      </c>
      <c r="C2823" s="638">
        <v>3164.643</v>
      </c>
      <c r="D2823" s="633">
        <f t="shared" si="90"/>
        <v>3164.643</v>
      </c>
      <c r="E2823" s="608"/>
      <c r="F2823" s="760">
        <f t="shared" si="89"/>
        <v>1335.1515086918432</v>
      </c>
      <c r="M2823" s="443"/>
    </row>
    <row r="2824" spans="1:13">
      <c r="A2824" s="639">
        <v>42713</v>
      </c>
      <c r="B2824" s="639">
        <v>1300</v>
      </c>
      <c r="C2824" s="638">
        <v>3106.444</v>
      </c>
      <c r="D2824" s="633">
        <f t="shared" si="90"/>
        <v>3106.444</v>
      </c>
      <c r="E2824" s="608"/>
      <c r="F2824" s="760">
        <f t="shared" si="89"/>
        <v>1310.5975597458303</v>
      </c>
      <c r="M2824" s="443"/>
    </row>
    <row r="2825" spans="1:13">
      <c r="A2825" s="639">
        <v>42713</v>
      </c>
      <c r="B2825" s="639">
        <v>1400</v>
      </c>
      <c r="C2825" s="638">
        <v>3054.6709999999998</v>
      </c>
      <c r="D2825" s="633">
        <f t="shared" si="90"/>
        <v>3054.6709999999998</v>
      </c>
      <c r="E2825" s="608"/>
      <c r="F2825" s="760">
        <f t="shared" si="89"/>
        <v>1288.7547171062331</v>
      </c>
      <c r="M2825" s="443"/>
    </row>
    <row r="2826" spans="1:13">
      <c r="A2826" s="639">
        <v>42713</v>
      </c>
      <c r="B2826" s="639">
        <v>1500</v>
      </c>
      <c r="C2826" s="638">
        <v>3062.32</v>
      </c>
      <c r="D2826" s="633">
        <f t="shared" si="90"/>
        <v>3062.32</v>
      </c>
      <c r="E2826" s="608"/>
      <c r="F2826" s="760">
        <f t="shared" si="89"/>
        <v>1291.9818027174645</v>
      </c>
      <c r="M2826" s="443"/>
    </row>
    <row r="2827" spans="1:13">
      <c r="A2827" s="639">
        <v>42713</v>
      </c>
      <c r="B2827" s="639">
        <v>1600</v>
      </c>
      <c r="C2827" s="638">
        <v>3186.7449999999999</v>
      </c>
      <c r="D2827" s="633">
        <f t="shared" si="90"/>
        <v>3186.7449999999999</v>
      </c>
      <c r="E2827" s="608"/>
      <c r="F2827" s="760">
        <f t="shared" si="89"/>
        <v>1344.4762630622752</v>
      </c>
      <c r="M2827" s="443"/>
    </row>
    <row r="2828" spans="1:13">
      <c r="A2828" s="639">
        <v>42713</v>
      </c>
      <c r="B2828" s="639">
        <v>1700</v>
      </c>
      <c r="C2828" s="638">
        <v>3294.2310000000002</v>
      </c>
      <c r="D2828" s="633">
        <f t="shared" si="90"/>
        <v>3294.2310000000002</v>
      </c>
      <c r="E2828" s="608"/>
      <c r="F2828" s="760">
        <f t="shared" ref="F2828:F2891" si="91">(D2828/(MAX($D$2188:$D$2907)))*$M$7</f>
        <v>1389.8242201820046</v>
      </c>
      <c r="M2828" s="443"/>
    </row>
    <row r="2829" spans="1:13">
      <c r="A2829" s="639">
        <v>42713</v>
      </c>
      <c r="B2829" s="639">
        <v>1800</v>
      </c>
      <c r="C2829" s="638">
        <v>3311.3490000000002</v>
      </c>
      <c r="D2829" s="633">
        <f t="shared" si="90"/>
        <v>3311.3490000000002</v>
      </c>
      <c r="E2829" s="608"/>
      <c r="F2829" s="760">
        <f t="shared" si="91"/>
        <v>1397.0462428638004</v>
      </c>
      <c r="M2829" s="443"/>
    </row>
    <row r="2830" spans="1:13">
      <c r="A2830" s="639">
        <v>42713</v>
      </c>
      <c r="B2830" s="639">
        <v>1900</v>
      </c>
      <c r="C2830" s="638">
        <v>3301.94</v>
      </c>
      <c r="D2830" s="633">
        <f t="shared" si="90"/>
        <v>3301.94</v>
      </c>
      <c r="E2830" s="608"/>
      <c r="F2830" s="760">
        <f t="shared" si="91"/>
        <v>1393.0766195776096</v>
      </c>
      <c r="M2830" s="443"/>
    </row>
    <row r="2831" spans="1:13">
      <c r="A2831" s="639">
        <v>42713</v>
      </c>
      <c r="B2831" s="639">
        <v>2000</v>
      </c>
      <c r="C2831" s="638">
        <v>3450.2080000000001</v>
      </c>
      <c r="D2831" s="633">
        <f t="shared" si="90"/>
        <v>3450.2080000000001</v>
      </c>
      <c r="E2831" s="608"/>
      <c r="F2831" s="760">
        <f t="shared" si="91"/>
        <v>1455.6303559360936</v>
      </c>
      <c r="M2831" s="443"/>
    </row>
    <row r="2832" spans="1:13">
      <c r="A2832" s="639">
        <v>42713</v>
      </c>
      <c r="B2832" s="639">
        <v>2100</v>
      </c>
      <c r="C2832" s="638">
        <v>3597.748</v>
      </c>
      <c r="D2832" s="633">
        <f t="shared" si="90"/>
        <v>3597.748</v>
      </c>
      <c r="E2832" s="608"/>
      <c r="F2832" s="760">
        <f t="shared" si="91"/>
        <v>1517.8769517108442</v>
      </c>
      <c r="M2832" s="443"/>
    </row>
    <row r="2833" spans="1:13">
      <c r="A2833" s="639">
        <v>42713</v>
      </c>
      <c r="B2833" s="639">
        <v>2200</v>
      </c>
      <c r="C2833" s="638">
        <v>3346.2919999999999</v>
      </c>
      <c r="D2833" s="633">
        <f t="shared" si="90"/>
        <v>3346.2919999999999</v>
      </c>
      <c r="E2833" s="608"/>
      <c r="F2833" s="760">
        <f t="shared" si="91"/>
        <v>1411.788568986595</v>
      </c>
      <c r="M2833" s="443"/>
    </row>
    <row r="2834" spans="1:13">
      <c r="A2834" s="639">
        <v>42713</v>
      </c>
      <c r="B2834" s="639">
        <v>2300</v>
      </c>
      <c r="C2834" s="638">
        <v>2969.1410000000001</v>
      </c>
      <c r="D2834" s="633">
        <f t="shared" si="90"/>
        <v>2969.1410000000001</v>
      </c>
      <c r="E2834" s="608"/>
      <c r="F2834" s="760">
        <f t="shared" si="91"/>
        <v>1252.6699174816267</v>
      </c>
      <c r="M2834" s="443"/>
    </row>
    <row r="2835" spans="1:13">
      <c r="A2835" s="639">
        <v>42713</v>
      </c>
      <c r="B2835" s="639">
        <v>2400</v>
      </c>
      <c r="C2835" s="638">
        <v>2812.1860000000001</v>
      </c>
      <c r="D2835" s="633">
        <f t="shared" si="90"/>
        <v>2812.1860000000001</v>
      </c>
      <c r="E2835" s="608"/>
      <c r="F2835" s="760">
        <f t="shared" si="91"/>
        <v>1186.4511670422476</v>
      </c>
      <c r="M2835" s="443"/>
    </row>
    <row r="2836" spans="1:13">
      <c r="A2836" s="639">
        <v>42813</v>
      </c>
      <c r="B2836" s="639">
        <v>100</v>
      </c>
      <c r="C2836" s="638">
        <v>2805.3829999999998</v>
      </c>
      <c r="D2836" s="633">
        <f t="shared" si="90"/>
        <v>2805.3829999999998</v>
      </c>
      <c r="E2836" s="608"/>
      <c r="F2836" s="760">
        <f t="shared" si="91"/>
        <v>1183.5810057906845</v>
      </c>
      <c r="M2836" s="443"/>
    </row>
    <row r="2837" spans="1:13">
      <c r="A2837" s="639">
        <v>42813</v>
      </c>
      <c r="B2837" s="639">
        <v>200</v>
      </c>
      <c r="C2837" s="638">
        <v>2720.01</v>
      </c>
      <c r="D2837" s="633">
        <f t="shared" si="90"/>
        <v>2720.01</v>
      </c>
      <c r="E2837" s="608"/>
      <c r="F2837" s="760">
        <f t="shared" si="91"/>
        <v>1147.5624439018559</v>
      </c>
      <c r="M2837" s="443"/>
    </row>
    <row r="2838" spans="1:13">
      <c r="A2838" s="639">
        <v>42813</v>
      </c>
      <c r="B2838" s="639">
        <v>300</v>
      </c>
      <c r="C2838" s="638">
        <v>2693.5239999999999</v>
      </c>
      <c r="D2838" s="633">
        <f t="shared" si="90"/>
        <v>2693.5239999999999</v>
      </c>
      <c r="E2838" s="608"/>
      <c r="F2838" s="760">
        <f t="shared" si="91"/>
        <v>1136.3880956865239</v>
      </c>
      <c r="M2838" s="443"/>
    </row>
    <row r="2839" spans="1:13">
      <c r="A2839" s="639">
        <v>42813</v>
      </c>
      <c r="B2839" s="639">
        <v>400</v>
      </c>
      <c r="C2839" s="638">
        <v>2733.0390000000002</v>
      </c>
      <c r="D2839" s="633">
        <f t="shared" si="90"/>
        <v>2733.0390000000002</v>
      </c>
      <c r="E2839" s="608"/>
      <c r="F2839" s="760">
        <f t="shared" si="91"/>
        <v>1153.0593321785891</v>
      </c>
      <c r="M2839" s="443"/>
    </row>
    <row r="2840" spans="1:13">
      <c r="A2840" s="639">
        <v>42813</v>
      </c>
      <c r="B2840" s="639">
        <v>500</v>
      </c>
      <c r="C2840" s="638">
        <v>2840.386</v>
      </c>
      <c r="D2840" s="633">
        <f t="shared" si="90"/>
        <v>2840.386</v>
      </c>
      <c r="E2840" s="608"/>
      <c r="F2840" s="760">
        <f t="shared" si="91"/>
        <v>1198.3486456978526</v>
      </c>
      <c r="M2840" s="443"/>
    </row>
    <row r="2841" spans="1:13">
      <c r="A2841" s="639">
        <v>42813</v>
      </c>
      <c r="B2841" s="639">
        <v>600</v>
      </c>
      <c r="C2841" s="638">
        <v>2945.7629999999999</v>
      </c>
      <c r="D2841" s="633">
        <f t="shared" si="90"/>
        <v>2945.7629999999999</v>
      </c>
      <c r="E2841" s="608"/>
      <c r="F2841" s="760">
        <f t="shared" si="91"/>
        <v>1242.806823296849</v>
      </c>
      <c r="M2841" s="443"/>
    </row>
    <row r="2842" spans="1:13">
      <c r="A2842" s="639">
        <v>42813</v>
      </c>
      <c r="B2842" s="639">
        <v>700</v>
      </c>
      <c r="C2842" s="638">
        <v>3031.5360000000001</v>
      </c>
      <c r="D2842" s="633">
        <f t="shared" si="90"/>
        <v>3031.5360000000001</v>
      </c>
      <c r="E2842" s="608"/>
      <c r="F2842" s="760">
        <f t="shared" si="91"/>
        <v>1278.9941437481684</v>
      </c>
      <c r="M2842" s="443"/>
    </row>
    <row r="2843" spans="1:13">
      <c r="A2843" s="639">
        <v>42813</v>
      </c>
      <c r="B2843" s="639">
        <v>800</v>
      </c>
      <c r="C2843" s="638">
        <v>3135.2280000000001</v>
      </c>
      <c r="D2843" s="633">
        <f t="shared" si="90"/>
        <v>3135.2280000000001</v>
      </c>
      <c r="E2843" s="608"/>
      <c r="F2843" s="760">
        <f t="shared" si="91"/>
        <v>1322.7414259026723</v>
      </c>
      <c r="M2843" s="443"/>
    </row>
    <row r="2844" spans="1:13">
      <c r="A2844" s="639">
        <v>42813</v>
      </c>
      <c r="B2844" s="639">
        <v>900</v>
      </c>
      <c r="C2844" s="638">
        <v>3300.59</v>
      </c>
      <c r="D2844" s="633">
        <f t="shared" si="90"/>
        <v>3300.59</v>
      </c>
      <c r="E2844" s="608"/>
      <c r="F2844" s="760">
        <f t="shared" si="91"/>
        <v>1392.5070594292029</v>
      </c>
      <c r="M2844" s="443"/>
    </row>
    <row r="2845" spans="1:13">
      <c r="A2845" s="639">
        <v>42813</v>
      </c>
      <c r="B2845" s="639">
        <v>1000</v>
      </c>
      <c r="C2845" s="638">
        <v>3367.0169999999998</v>
      </c>
      <c r="D2845" s="633">
        <f t="shared" si="90"/>
        <v>3367.0169999999998</v>
      </c>
      <c r="E2845" s="608"/>
      <c r="F2845" s="760">
        <f t="shared" si="91"/>
        <v>1420.5323720056524</v>
      </c>
      <c r="M2845" s="443"/>
    </row>
    <row r="2846" spans="1:13">
      <c r="A2846" s="639">
        <v>42813</v>
      </c>
      <c r="B2846" s="639">
        <v>1100</v>
      </c>
      <c r="C2846" s="638">
        <v>3314.683</v>
      </c>
      <c r="D2846" s="633">
        <f t="shared" si="90"/>
        <v>3314.683</v>
      </c>
      <c r="E2846" s="608"/>
      <c r="F2846" s="760">
        <f t="shared" si="91"/>
        <v>1398.4528454821616</v>
      </c>
      <c r="M2846" s="443"/>
    </row>
    <row r="2847" spans="1:13">
      <c r="A2847" s="639">
        <v>42813</v>
      </c>
      <c r="B2847" s="639">
        <v>1200</v>
      </c>
      <c r="C2847" s="638">
        <v>3290.424</v>
      </c>
      <c r="D2847" s="633">
        <f t="shared" si="90"/>
        <v>3290.424</v>
      </c>
      <c r="E2847" s="608"/>
      <c r="F2847" s="760">
        <f t="shared" si="91"/>
        <v>1388.2180605634978</v>
      </c>
      <c r="M2847" s="443"/>
    </row>
    <row r="2848" spans="1:13">
      <c r="A2848" s="639">
        <v>42813</v>
      </c>
      <c r="B2848" s="639">
        <v>1300</v>
      </c>
      <c r="C2848" s="638">
        <v>3168.4229999999998</v>
      </c>
      <c r="D2848" s="633">
        <f t="shared" si="90"/>
        <v>3168.4229999999998</v>
      </c>
      <c r="E2848" s="608"/>
      <c r="F2848" s="760">
        <f t="shared" si="91"/>
        <v>1336.7462771073815</v>
      </c>
      <c r="M2848" s="443"/>
    </row>
    <row r="2849" spans="1:13">
      <c r="A2849" s="639">
        <v>42813</v>
      </c>
      <c r="B2849" s="639">
        <v>1400</v>
      </c>
      <c r="C2849" s="638">
        <v>3117.8519999999999</v>
      </c>
      <c r="D2849" s="633">
        <f t="shared" si="90"/>
        <v>3117.8519999999999</v>
      </c>
      <c r="E2849" s="608"/>
      <c r="F2849" s="760">
        <f t="shared" si="91"/>
        <v>1315.4105539480695</v>
      </c>
      <c r="M2849" s="443"/>
    </row>
    <row r="2850" spans="1:13">
      <c r="A2850" s="639">
        <v>42813</v>
      </c>
      <c r="B2850" s="639">
        <v>1500</v>
      </c>
      <c r="C2850" s="638">
        <v>3164.1680000000001</v>
      </c>
      <c r="D2850" s="633">
        <f t="shared" si="90"/>
        <v>3164.1680000000001</v>
      </c>
      <c r="E2850" s="608"/>
      <c r="F2850" s="760">
        <f t="shared" si="91"/>
        <v>1334.9511078988853</v>
      </c>
      <c r="M2850" s="443"/>
    </row>
    <row r="2851" spans="1:13">
      <c r="A2851" s="639">
        <v>42813</v>
      </c>
      <c r="B2851" s="639">
        <v>1600</v>
      </c>
      <c r="C2851" s="638">
        <v>3360.8310000000001</v>
      </c>
      <c r="D2851" s="633">
        <f t="shared" si="90"/>
        <v>3360.8310000000001</v>
      </c>
      <c r="E2851" s="608"/>
      <c r="F2851" s="760">
        <f t="shared" si="91"/>
        <v>1417.9225208367313</v>
      </c>
      <c r="M2851" s="443"/>
    </row>
    <row r="2852" spans="1:13">
      <c r="A2852" s="639">
        <v>42813</v>
      </c>
      <c r="B2852" s="639">
        <v>1700</v>
      </c>
      <c r="C2852" s="638">
        <v>3648.6080000000002</v>
      </c>
      <c r="D2852" s="633">
        <f t="shared" si="90"/>
        <v>3648.6080000000002</v>
      </c>
      <c r="E2852" s="608"/>
      <c r="F2852" s="760">
        <f t="shared" si="91"/>
        <v>1539.3346029315562</v>
      </c>
      <c r="M2852" s="443"/>
    </row>
    <row r="2853" spans="1:13">
      <c r="A2853" s="639">
        <v>42813</v>
      </c>
      <c r="B2853" s="639">
        <v>1800</v>
      </c>
      <c r="C2853" s="638">
        <v>3808.9810000000002</v>
      </c>
      <c r="D2853" s="633">
        <f t="shared" si="90"/>
        <v>3808.9810000000002</v>
      </c>
      <c r="E2853" s="608"/>
      <c r="F2853" s="760">
        <f t="shared" si="91"/>
        <v>1606.9953952874198</v>
      </c>
      <c r="M2853" s="443"/>
    </row>
    <row r="2854" spans="1:13">
      <c r="A2854" s="639">
        <v>42813</v>
      </c>
      <c r="B2854" s="639">
        <v>1900</v>
      </c>
      <c r="C2854" s="638">
        <v>3945.973</v>
      </c>
      <c r="D2854" s="633">
        <f t="shared" si="90"/>
        <v>3945.973</v>
      </c>
      <c r="E2854" s="608"/>
      <c r="F2854" s="760">
        <f t="shared" si="91"/>
        <v>1664.7918277692866</v>
      </c>
      <c r="M2854" s="443"/>
    </row>
    <row r="2855" spans="1:13">
      <c r="A2855" s="639">
        <v>42813</v>
      </c>
      <c r="B2855" s="639">
        <v>2000</v>
      </c>
      <c r="C2855" s="638">
        <v>4042.1590000000001</v>
      </c>
      <c r="D2855" s="633">
        <f t="shared" si="90"/>
        <v>4042.1590000000001</v>
      </c>
      <c r="E2855" s="608"/>
      <c r="F2855" s="760">
        <f t="shared" si="91"/>
        <v>1705.3723554986493</v>
      </c>
      <c r="M2855" s="443"/>
    </row>
    <row r="2856" spans="1:13">
      <c r="A2856" s="639">
        <v>42813</v>
      </c>
      <c r="B2856" s="639">
        <v>2100</v>
      </c>
      <c r="C2856" s="638">
        <v>3861.7080000000001</v>
      </c>
      <c r="D2856" s="633">
        <f t="shared" si="90"/>
        <v>3861.7080000000001</v>
      </c>
      <c r="E2856" s="608"/>
      <c r="F2856" s="760">
        <f t="shared" si="91"/>
        <v>1629.2407270985575</v>
      </c>
      <c r="M2856" s="443"/>
    </row>
    <row r="2857" spans="1:13">
      <c r="A2857" s="639">
        <v>42813</v>
      </c>
      <c r="B2857" s="639">
        <v>2200</v>
      </c>
      <c r="C2857" s="638">
        <v>3392.134</v>
      </c>
      <c r="D2857" s="633">
        <f t="shared" si="90"/>
        <v>3392.134</v>
      </c>
      <c r="E2857" s="608"/>
      <c r="F2857" s="760">
        <f t="shared" si="91"/>
        <v>1431.1291440408593</v>
      </c>
      <c r="M2857" s="443"/>
    </row>
    <row r="2858" spans="1:13">
      <c r="A2858" s="639">
        <v>42813</v>
      </c>
      <c r="B2858" s="639">
        <v>2300</v>
      </c>
      <c r="C2858" s="638">
        <v>2818.37</v>
      </c>
      <c r="D2858" s="633">
        <f t="shared" si="90"/>
        <v>2818.37</v>
      </c>
      <c r="E2858" s="608"/>
      <c r="F2858" s="760">
        <f t="shared" si="91"/>
        <v>1189.0601744183562</v>
      </c>
      <c r="M2858" s="443"/>
    </row>
    <row r="2859" spans="1:13">
      <c r="A2859" s="639">
        <v>42813</v>
      </c>
      <c r="B2859" s="639">
        <v>2400</v>
      </c>
      <c r="C2859" s="638">
        <v>2631.6889999999999</v>
      </c>
      <c r="D2859" s="633">
        <f t="shared" si="90"/>
        <v>2631.6889999999999</v>
      </c>
      <c r="E2859" s="608"/>
      <c r="F2859" s="760">
        <f t="shared" si="91"/>
        <v>1110.3001314074693</v>
      </c>
      <c r="M2859" s="443"/>
    </row>
    <row r="2860" spans="1:13">
      <c r="A2860" s="639">
        <v>42913</v>
      </c>
      <c r="B2860" s="639">
        <v>100</v>
      </c>
      <c r="C2860" s="638">
        <v>2668.7310000000002</v>
      </c>
      <c r="D2860" s="633">
        <f t="shared" si="90"/>
        <v>2668.7310000000002</v>
      </c>
      <c r="E2860" s="608"/>
      <c r="F2860" s="760">
        <f t="shared" si="91"/>
        <v>1125.9280180869348</v>
      </c>
      <c r="M2860" s="443"/>
    </row>
    <row r="2861" spans="1:13">
      <c r="A2861" s="639">
        <v>42913</v>
      </c>
      <c r="B2861" s="639">
        <v>200</v>
      </c>
      <c r="C2861" s="638">
        <v>2609.17</v>
      </c>
      <c r="D2861" s="633">
        <f t="shared" si="90"/>
        <v>2609.17</v>
      </c>
      <c r="E2861" s="608"/>
      <c r="F2861" s="760">
        <f t="shared" si="91"/>
        <v>1100.7994462356407</v>
      </c>
      <c r="M2861" s="443"/>
    </row>
    <row r="2862" spans="1:13">
      <c r="A2862" s="639">
        <v>42913</v>
      </c>
      <c r="B2862" s="639">
        <v>300</v>
      </c>
      <c r="C2862" s="638">
        <v>2593.819</v>
      </c>
      <c r="D2862" s="633">
        <f t="shared" si="90"/>
        <v>2593.819</v>
      </c>
      <c r="E2862" s="608"/>
      <c r="F2862" s="760">
        <f t="shared" si="91"/>
        <v>1094.322914503648</v>
      </c>
      <c r="M2862" s="443"/>
    </row>
    <row r="2863" spans="1:13">
      <c r="A2863" s="639">
        <v>42913</v>
      </c>
      <c r="B2863" s="639">
        <v>400</v>
      </c>
      <c r="C2863" s="638">
        <v>2633.01</v>
      </c>
      <c r="D2863" s="633">
        <f t="shared" si="90"/>
        <v>2633.01</v>
      </c>
      <c r="E2863" s="608"/>
      <c r="F2863" s="760">
        <f t="shared" si="91"/>
        <v>1110.8574565600954</v>
      </c>
      <c r="M2863" s="443"/>
    </row>
    <row r="2864" spans="1:13">
      <c r="A2864" s="639">
        <v>42913</v>
      </c>
      <c r="B2864" s="639">
        <v>500</v>
      </c>
      <c r="C2864" s="638">
        <v>2949.0929999999998</v>
      </c>
      <c r="D2864" s="633">
        <f t="shared" si="90"/>
        <v>2949.0929999999998</v>
      </c>
      <c r="E2864" s="608"/>
      <c r="F2864" s="760">
        <f t="shared" si="91"/>
        <v>1244.2117383295852</v>
      </c>
      <c r="M2864" s="443"/>
    </row>
    <row r="2865" spans="1:13">
      <c r="A2865" s="639">
        <v>42913</v>
      </c>
      <c r="B2865" s="639">
        <v>600</v>
      </c>
      <c r="C2865" s="638">
        <v>3484.8389999999999</v>
      </c>
      <c r="D2865" s="633">
        <f t="shared" si="90"/>
        <v>3484.8389999999999</v>
      </c>
      <c r="E2865" s="608"/>
      <c r="F2865" s="760">
        <f t="shared" si="91"/>
        <v>1470.2410503801452</v>
      </c>
      <c r="M2865" s="443"/>
    </row>
    <row r="2866" spans="1:13">
      <c r="A2866" s="639">
        <v>42913</v>
      </c>
      <c r="B2866" s="639">
        <v>700</v>
      </c>
      <c r="C2866" s="638">
        <v>3720.098</v>
      </c>
      <c r="D2866" s="633">
        <f t="shared" si="90"/>
        <v>3720.098</v>
      </c>
      <c r="E2866" s="608"/>
      <c r="F2866" s="760">
        <f t="shared" si="91"/>
        <v>1569.4959770127336</v>
      </c>
      <c r="M2866" s="443"/>
    </row>
    <row r="2867" spans="1:13">
      <c r="A2867" s="639">
        <v>42913</v>
      </c>
      <c r="B2867" s="639">
        <v>800</v>
      </c>
      <c r="C2867" s="638">
        <v>3748.8359999999998</v>
      </c>
      <c r="D2867" s="633">
        <f t="shared" si="90"/>
        <v>3748.8359999999998</v>
      </c>
      <c r="E2867" s="608"/>
      <c r="F2867" s="760">
        <f t="shared" si="91"/>
        <v>1581.6204359348887</v>
      </c>
      <c r="M2867" s="443"/>
    </row>
    <row r="2868" spans="1:13">
      <c r="A2868" s="639">
        <v>42913</v>
      </c>
      <c r="B2868" s="639">
        <v>900</v>
      </c>
      <c r="C2868" s="638">
        <v>3693.7240000000002</v>
      </c>
      <c r="D2868" s="633">
        <f t="shared" si="90"/>
        <v>3693.7240000000002</v>
      </c>
      <c r="E2868" s="608"/>
      <c r="F2868" s="760">
        <f t="shared" si="91"/>
        <v>1558.3688811948994</v>
      </c>
      <c r="M2868" s="443"/>
    </row>
    <row r="2869" spans="1:13">
      <c r="A2869" s="639">
        <v>42913</v>
      </c>
      <c r="B2869" s="639">
        <v>1000</v>
      </c>
      <c r="C2869" s="638">
        <v>3303.877</v>
      </c>
      <c r="D2869" s="633">
        <f t="shared" si="90"/>
        <v>3303.877</v>
      </c>
      <c r="E2869" s="608"/>
      <c r="F2869" s="760">
        <f t="shared" si="91"/>
        <v>1393.8938329164714</v>
      </c>
      <c r="M2869" s="443"/>
    </row>
    <row r="2870" spans="1:13">
      <c r="A2870" s="639">
        <v>42913</v>
      </c>
      <c r="B2870" s="639">
        <v>1100</v>
      </c>
      <c r="C2870" s="638">
        <v>3294.5059999999999</v>
      </c>
      <c r="D2870" s="633">
        <f t="shared" si="90"/>
        <v>3294.5059999999999</v>
      </c>
      <c r="E2870" s="608"/>
      <c r="F2870" s="760">
        <f t="shared" si="91"/>
        <v>1389.9402416937169</v>
      </c>
      <c r="M2870" s="443"/>
    </row>
    <row r="2871" spans="1:13">
      <c r="A2871" s="639">
        <v>42913</v>
      </c>
      <c r="B2871" s="639">
        <v>1200</v>
      </c>
      <c r="C2871" s="638">
        <v>3208.076</v>
      </c>
      <c r="D2871" s="633">
        <f t="shared" si="90"/>
        <v>3208.076</v>
      </c>
      <c r="E2871" s="608"/>
      <c r="F2871" s="760">
        <f t="shared" si="91"/>
        <v>1353.4757353035061</v>
      </c>
      <c r="M2871" s="443"/>
    </row>
    <row r="2872" spans="1:13">
      <c r="A2872" s="639">
        <v>42913</v>
      </c>
      <c r="B2872" s="639">
        <v>1300</v>
      </c>
      <c r="C2872" s="638">
        <v>3128.2190000000001</v>
      </c>
      <c r="D2872" s="633">
        <f t="shared" si="90"/>
        <v>3128.2190000000001</v>
      </c>
      <c r="E2872" s="608"/>
      <c r="F2872" s="760">
        <f t="shared" si="91"/>
        <v>1319.7843539914261</v>
      </c>
      <c r="M2872" s="443"/>
    </row>
    <row r="2873" spans="1:13">
      <c r="A2873" s="639">
        <v>42913</v>
      </c>
      <c r="B2873" s="639">
        <v>1400</v>
      </c>
      <c r="C2873" s="638">
        <v>3084.576</v>
      </c>
      <c r="D2873" s="633">
        <f t="shared" si="90"/>
        <v>3084.576</v>
      </c>
      <c r="E2873" s="608"/>
      <c r="F2873" s="760">
        <f t="shared" si="91"/>
        <v>1301.3715291344556</v>
      </c>
      <c r="M2873" s="443"/>
    </row>
    <row r="2874" spans="1:13">
      <c r="A2874" s="639">
        <v>42913</v>
      </c>
      <c r="B2874" s="639">
        <v>1500</v>
      </c>
      <c r="C2874" s="638">
        <v>3207.36</v>
      </c>
      <c r="D2874" s="633">
        <f t="shared" si="90"/>
        <v>3207.36</v>
      </c>
      <c r="E2874" s="608"/>
      <c r="F2874" s="760">
        <f t="shared" si="91"/>
        <v>1353.1736574766476</v>
      </c>
      <c r="M2874" s="443"/>
    </row>
    <row r="2875" spans="1:13">
      <c r="A2875" s="639">
        <v>42913</v>
      </c>
      <c r="B2875" s="639">
        <v>1600</v>
      </c>
      <c r="C2875" s="638">
        <v>3408.308</v>
      </c>
      <c r="D2875" s="633">
        <f t="shared" si="90"/>
        <v>3408.308</v>
      </c>
      <c r="E2875" s="608"/>
      <c r="F2875" s="760">
        <f t="shared" si="91"/>
        <v>1437.9528965151769</v>
      </c>
      <c r="M2875" s="443"/>
    </row>
    <row r="2876" spans="1:13">
      <c r="A2876" s="639">
        <v>42913</v>
      </c>
      <c r="B2876" s="639">
        <v>1700</v>
      </c>
      <c r="C2876" s="638">
        <v>3670.55</v>
      </c>
      <c r="D2876" s="633">
        <f t="shared" si="90"/>
        <v>3670.55</v>
      </c>
      <c r="E2876" s="608"/>
      <c r="F2876" s="760">
        <f t="shared" si="91"/>
        <v>1548.591853876992</v>
      </c>
      <c r="M2876" s="443"/>
    </row>
    <row r="2877" spans="1:13">
      <c r="A2877" s="639">
        <v>42913</v>
      </c>
      <c r="B2877" s="639">
        <v>1800</v>
      </c>
      <c r="C2877" s="638">
        <v>3683.5169999999998</v>
      </c>
      <c r="D2877" s="633">
        <f t="shared" si="90"/>
        <v>3683.5169999999998</v>
      </c>
      <c r="E2877" s="608"/>
      <c r="F2877" s="760">
        <f t="shared" si="91"/>
        <v>1554.0625845765389</v>
      </c>
      <c r="M2877" s="443"/>
    </row>
    <row r="2878" spans="1:13">
      <c r="A2878" s="639">
        <v>42913</v>
      </c>
      <c r="B2878" s="639">
        <v>1900</v>
      </c>
      <c r="C2878" s="638">
        <v>3825.277</v>
      </c>
      <c r="D2878" s="633">
        <f t="shared" si="90"/>
        <v>3825.277</v>
      </c>
      <c r="E2878" s="608"/>
      <c r="F2878" s="760">
        <f t="shared" si="91"/>
        <v>1613.8706191232968</v>
      </c>
      <c r="M2878" s="443"/>
    </row>
    <row r="2879" spans="1:13">
      <c r="A2879" s="639">
        <v>42913</v>
      </c>
      <c r="B2879" s="639">
        <v>2000</v>
      </c>
      <c r="C2879" s="638">
        <v>4073.4490000000001</v>
      </c>
      <c r="D2879" s="633">
        <f t="shared" si="90"/>
        <v>4073.4490000000001</v>
      </c>
      <c r="E2879" s="608"/>
      <c r="F2879" s="760">
        <f t="shared" si="91"/>
        <v>1718.5734940494963</v>
      </c>
      <c r="M2879" s="443"/>
    </row>
    <row r="2880" spans="1:13">
      <c r="A2880" s="639">
        <v>42913</v>
      </c>
      <c r="B2880" s="639">
        <v>2100</v>
      </c>
      <c r="C2880" s="638">
        <v>3915.3290000000002</v>
      </c>
      <c r="D2880" s="633">
        <f t="shared" si="90"/>
        <v>3915.3290000000002</v>
      </c>
      <c r="E2880" s="608"/>
      <c r="F2880" s="760">
        <f t="shared" si="91"/>
        <v>1651.8632342968624</v>
      </c>
      <c r="M2880" s="443"/>
    </row>
    <row r="2881" spans="1:13">
      <c r="A2881" s="639">
        <v>42913</v>
      </c>
      <c r="B2881" s="639">
        <v>2200</v>
      </c>
      <c r="C2881" s="638">
        <v>3444.6579999999999</v>
      </c>
      <c r="D2881" s="633">
        <f t="shared" si="90"/>
        <v>3444.6579999999999</v>
      </c>
      <c r="E2881" s="608"/>
      <c r="F2881" s="760">
        <f t="shared" si="91"/>
        <v>1453.2888308815329</v>
      </c>
      <c r="M2881" s="443"/>
    </row>
    <row r="2882" spans="1:13">
      <c r="A2882" s="639">
        <v>42913</v>
      </c>
      <c r="B2882" s="639">
        <v>2300</v>
      </c>
      <c r="C2882" s="638">
        <v>2911.491</v>
      </c>
      <c r="D2882" s="633">
        <f t="shared" si="90"/>
        <v>2911.491</v>
      </c>
      <c r="E2882" s="608"/>
      <c r="F2882" s="760">
        <f t="shared" si="91"/>
        <v>1228.3475896626328</v>
      </c>
      <c r="M2882" s="443"/>
    </row>
    <row r="2883" spans="1:13">
      <c r="A2883" s="639">
        <v>42913</v>
      </c>
      <c r="B2883" s="639">
        <v>2400</v>
      </c>
      <c r="C2883" s="638">
        <v>2645.395</v>
      </c>
      <c r="D2883" s="633">
        <f t="shared" si="90"/>
        <v>2645.395</v>
      </c>
      <c r="E2883" s="608"/>
      <c r="F2883" s="760">
        <f t="shared" si="91"/>
        <v>1116.0826435512183</v>
      </c>
      <c r="M2883" s="443"/>
    </row>
    <row r="2884" spans="1:13">
      <c r="A2884" s="639">
        <v>43013</v>
      </c>
      <c r="B2884" s="639">
        <v>100</v>
      </c>
      <c r="C2884" s="638">
        <v>2627.5309999999999</v>
      </c>
      <c r="D2884" s="633">
        <f t="shared" si="90"/>
        <v>2627.5309999999999</v>
      </c>
      <c r="E2884" s="608"/>
      <c r="F2884" s="760">
        <f t="shared" si="91"/>
        <v>1108.5458861503771</v>
      </c>
      <c r="M2884" s="443"/>
    </row>
    <row r="2885" spans="1:13">
      <c r="A2885" s="639">
        <v>43013</v>
      </c>
      <c r="B2885" s="639">
        <v>200</v>
      </c>
      <c r="C2885" s="638">
        <v>2533.8879999999999</v>
      </c>
      <c r="D2885" s="633">
        <f t="shared" ref="D2885:D2948" si="92">C2885</f>
        <v>2533.8879999999999</v>
      </c>
      <c r="E2885" s="608"/>
      <c r="F2885" s="760">
        <f t="shared" si="91"/>
        <v>1069.0382409820497</v>
      </c>
      <c r="M2885" s="443"/>
    </row>
    <row r="2886" spans="1:13">
      <c r="A2886" s="639">
        <v>43013</v>
      </c>
      <c r="B2886" s="639">
        <v>300</v>
      </c>
      <c r="C2886" s="638">
        <v>2513.2240000000002</v>
      </c>
      <c r="D2886" s="633">
        <f t="shared" si="92"/>
        <v>2513.2240000000002</v>
      </c>
      <c r="E2886" s="608"/>
      <c r="F2886" s="760">
        <f t="shared" si="91"/>
        <v>1060.3201736437725</v>
      </c>
      <c r="M2886" s="443"/>
    </row>
    <row r="2887" spans="1:13">
      <c r="A2887" s="639">
        <v>43013</v>
      </c>
      <c r="B2887" s="639">
        <v>400</v>
      </c>
      <c r="C2887" s="638">
        <v>2595.473</v>
      </c>
      <c r="D2887" s="633">
        <f t="shared" si="92"/>
        <v>2595.473</v>
      </c>
      <c r="E2887" s="608"/>
      <c r="F2887" s="760">
        <f t="shared" si="91"/>
        <v>1095.0207311595475</v>
      </c>
      <c r="M2887" s="443"/>
    </row>
    <row r="2888" spans="1:13">
      <c r="A2888" s="639">
        <v>43013</v>
      </c>
      <c r="B2888" s="639">
        <v>500</v>
      </c>
      <c r="C2888" s="638">
        <v>2903.3789999999999</v>
      </c>
      <c r="D2888" s="633">
        <f t="shared" si="92"/>
        <v>2903.3789999999999</v>
      </c>
      <c r="E2888" s="608"/>
      <c r="F2888" s="760">
        <f t="shared" si="91"/>
        <v>1224.9251660153182</v>
      </c>
      <c r="M2888" s="443"/>
    </row>
    <row r="2889" spans="1:13">
      <c r="A2889" s="639">
        <v>43013</v>
      </c>
      <c r="B2889" s="639">
        <v>600</v>
      </c>
      <c r="C2889" s="638">
        <v>3331.3989999999999</v>
      </c>
      <c r="D2889" s="633">
        <f t="shared" si="92"/>
        <v>3331.3989999999999</v>
      </c>
      <c r="E2889" s="608"/>
      <c r="F2889" s="760">
        <f t="shared" si="91"/>
        <v>1405.5052658086543</v>
      </c>
      <c r="M2889" s="443"/>
    </row>
    <row r="2890" spans="1:13">
      <c r="A2890" s="639">
        <v>43013</v>
      </c>
      <c r="B2890" s="639">
        <v>700</v>
      </c>
      <c r="C2890" s="638">
        <v>3642.4540000000002</v>
      </c>
      <c r="D2890" s="633">
        <f t="shared" si="92"/>
        <v>3642.4540000000002</v>
      </c>
      <c r="E2890" s="608"/>
      <c r="F2890" s="760">
        <f t="shared" si="91"/>
        <v>1536.7382524476345</v>
      </c>
      <c r="M2890" s="443"/>
    </row>
    <row r="2891" spans="1:13">
      <c r="A2891" s="639">
        <v>43013</v>
      </c>
      <c r="B2891" s="639">
        <v>800</v>
      </c>
      <c r="C2891" s="638">
        <v>3633.5729999999999</v>
      </c>
      <c r="D2891" s="633">
        <f t="shared" si="92"/>
        <v>3633.5729999999999</v>
      </c>
      <c r="E2891" s="608"/>
      <c r="F2891" s="760">
        <f t="shared" si="91"/>
        <v>1532.9913904639311</v>
      </c>
      <c r="M2891" s="443"/>
    </row>
    <row r="2892" spans="1:13">
      <c r="A2892" s="639">
        <v>43013</v>
      </c>
      <c r="B2892" s="639">
        <v>900</v>
      </c>
      <c r="C2892" s="638">
        <v>3283.06</v>
      </c>
      <c r="D2892" s="633">
        <f t="shared" si="92"/>
        <v>3283.06</v>
      </c>
      <c r="E2892" s="608"/>
      <c r="F2892" s="760">
        <f t="shared" ref="F2892:F2907" si="93">(D2892/(MAX($D$2188:$D$2907)))*$M$7</f>
        <v>1385.1112154280411</v>
      </c>
      <c r="M2892" s="443"/>
    </row>
    <row r="2893" spans="1:13">
      <c r="A2893" s="639">
        <v>43013</v>
      </c>
      <c r="B2893" s="639">
        <v>1000</v>
      </c>
      <c r="C2893" s="638">
        <v>3073.6030000000001</v>
      </c>
      <c r="D2893" s="633">
        <f t="shared" si="92"/>
        <v>3073.6030000000001</v>
      </c>
      <c r="E2893" s="608"/>
      <c r="F2893" s="760">
        <f t="shared" si="93"/>
        <v>1296.7420598689253</v>
      </c>
      <c r="M2893" s="443"/>
    </row>
    <row r="2894" spans="1:13">
      <c r="A2894" s="639">
        <v>43013</v>
      </c>
      <c r="B2894" s="639">
        <v>1100</v>
      </c>
      <c r="C2894" s="638">
        <v>3005.761</v>
      </c>
      <c r="D2894" s="633">
        <f t="shared" si="92"/>
        <v>3005.761</v>
      </c>
      <c r="E2894" s="608"/>
      <c r="F2894" s="760">
        <f t="shared" si="93"/>
        <v>1268.1197638776644</v>
      </c>
      <c r="M2894" s="443"/>
    </row>
    <row r="2895" spans="1:13">
      <c r="A2895" s="639">
        <v>43013</v>
      </c>
      <c r="B2895" s="639">
        <v>1200</v>
      </c>
      <c r="C2895" s="638">
        <v>2915.1559999999999</v>
      </c>
      <c r="D2895" s="633">
        <f t="shared" si="92"/>
        <v>2915.1559999999999</v>
      </c>
      <c r="E2895" s="608"/>
      <c r="F2895" s="760">
        <f t="shared" si="93"/>
        <v>1229.8938399914553</v>
      </c>
      <c r="M2895" s="443"/>
    </row>
    <row r="2896" spans="1:13">
      <c r="A2896" s="639">
        <v>43013</v>
      </c>
      <c r="B2896" s="639">
        <v>1300</v>
      </c>
      <c r="C2896" s="638">
        <v>2842.5210000000002</v>
      </c>
      <c r="D2896" s="633">
        <f t="shared" si="92"/>
        <v>2842.5210000000002</v>
      </c>
      <c r="E2896" s="608"/>
      <c r="F2896" s="760">
        <f t="shared" si="93"/>
        <v>1199.2493945251479</v>
      </c>
      <c r="M2896" s="443"/>
    </row>
    <row r="2897" spans="1:13">
      <c r="A2897" s="639">
        <v>43013</v>
      </c>
      <c r="B2897" s="639">
        <v>1400</v>
      </c>
      <c r="C2897" s="638">
        <v>2843.9769999999999</v>
      </c>
      <c r="D2897" s="633">
        <f t="shared" si="92"/>
        <v>2843.9769999999999</v>
      </c>
      <c r="E2897" s="608"/>
      <c r="F2897" s="760">
        <f t="shared" si="93"/>
        <v>1199.8636756926142</v>
      </c>
      <c r="M2897" s="443"/>
    </row>
    <row r="2898" spans="1:13">
      <c r="A2898" s="639">
        <v>43013</v>
      </c>
      <c r="B2898" s="639">
        <v>1500</v>
      </c>
      <c r="C2898" s="638">
        <v>2954.0549999999998</v>
      </c>
      <c r="D2898" s="633">
        <f t="shared" si="92"/>
        <v>2954.0549999999998</v>
      </c>
      <c r="E2898" s="608"/>
      <c r="F2898" s="760">
        <f t="shared" si="93"/>
        <v>1246.3051882972843</v>
      </c>
      <c r="M2898" s="443"/>
    </row>
    <row r="2899" spans="1:13">
      <c r="A2899" s="639">
        <v>43013</v>
      </c>
      <c r="B2899" s="639">
        <v>1600</v>
      </c>
      <c r="C2899" s="638">
        <v>3007.5</v>
      </c>
      <c r="D2899" s="633">
        <f t="shared" si="92"/>
        <v>3007.5</v>
      </c>
      <c r="E2899" s="608"/>
      <c r="F2899" s="760">
        <f t="shared" si="93"/>
        <v>1268.8534417280932</v>
      </c>
      <c r="M2899" s="443"/>
    </row>
    <row r="2900" spans="1:13">
      <c r="A2900" s="639">
        <v>43013</v>
      </c>
      <c r="B2900" s="639">
        <v>1700</v>
      </c>
      <c r="C2900" s="638">
        <v>3246.9459999999999</v>
      </c>
      <c r="D2900" s="633">
        <f t="shared" si="92"/>
        <v>3246.9459999999999</v>
      </c>
      <c r="E2900" s="608"/>
      <c r="F2900" s="760">
        <f t="shared" si="93"/>
        <v>1369.8748486135546</v>
      </c>
      <c r="M2900" s="443"/>
    </row>
    <row r="2901" spans="1:13">
      <c r="A2901" s="639">
        <v>43013</v>
      </c>
      <c r="B2901" s="639">
        <v>1800</v>
      </c>
      <c r="C2901" s="638">
        <v>3278.924</v>
      </c>
      <c r="D2901" s="633">
        <f t="shared" si="92"/>
        <v>3278.924</v>
      </c>
      <c r="E2901" s="608"/>
      <c r="F2901" s="760">
        <f t="shared" si="93"/>
        <v>1383.3662518918859</v>
      </c>
      <c r="M2901" s="443"/>
    </row>
    <row r="2902" spans="1:13">
      <c r="A2902" s="639">
        <v>43013</v>
      </c>
      <c r="B2902" s="639">
        <v>1900</v>
      </c>
      <c r="C2902" s="638">
        <v>3443.52</v>
      </c>
      <c r="D2902" s="633">
        <f t="shared" si="92"/>
        <v>3443.52</v>
      </c>
      <c r="E2902" s="608"/>
      <c r="F2902" s="760">
        <f t="shared" si="93"/>
        <v>1452.8087127712463</v>
      </c>
      <c r="M2902" s="443"/>
    </row>
    <row r="2903" spans="1:13">
      <c r="A2903" s="639">
        <v>43013</v>
      </c>
      <c r="B2903" s="639">
        <v>2000</v>
      </c>
      <c r="C2903" s="638">
        <v>3657.5970000000002</v>
      </c>
      <c r="D2903" s="633">
        <f t="shared" si="92"/>
        <v>3657.5970000000002</v>
      </c>
      <c r="E2903" s="608"/>
      <c r="F2903" s="760">
        <f t="shared" si="93"/>
        <v>1543.1270297271319</v>
      </c>
      <c r="M2903" s="443"/>
    </row>
    <row r="2904" spans="1:13">
      <c r="A2904" s="639">
        <v>43013</v>
      </c>
      <c r="B2904" s="639">
        <v>2100</v>
      </c>
      <c r="C2904" s="638">
        <v>3767.7</v>
      </c>
      <c r="D2904" s="633">
        <f t="shared" si="92"/>
        <v>3767.7</v>
      </c>
      <c r="E2904" s="608"/>
      <c r="F2904" s="760">
        <f t="shared" si="93"/>
        <v>1589.5790897419574</v>
      </c>
      <c r="M2904" s="443"/>
    </row>
    <row r="2905" spans="1:13">
      <c r="A2905" s="639">
        <v>43013</v>
      </c>
      <c r="B2905" s="639">
        <v>2200</v>
      </c>
      <c r="C2905" s="638">
        <v>3328.049</v>
      </c>
      <c r="D2905" s="633">
        <f t="shared" si="92"/>
        <v>3328.049</v>
      </c>
      <c r="E2905" s="608"/>
      <c r="F2905" s="760">
        <f t="shared" si="93"/>
        <v>1404.0919128477935</v>
      </c>
      <c r="M2905" s="443"/>
    </row>
    <row r="2906" spans="1:13">
      <c r="A2906" s="639">
        <v>43013</v>
      </c>
      <c r="B2906" s="639">
        <v>2300</v>
      </c>
      <c r="C2906" s="638">
        <v>2768.16</v>
      </c>
      <c r="D2906" s="633">
        <f t="shared" si="92"/>
        <v>2768.16</v>
      </c>
      <c r="E2906" s="608"/>
      <c r="F2906" s="760">
        <f t="shared" si="93"/>
        <v>1167.8767558616919</v>
      </c>
      <c r="M2906" s="443"/>
    </row>
    <row r="2907" spans="1:13">
      <c r="A2907" s="639">
        <v>43013</v>
      </c>
      <c r="B2907" s="639">
        <v>2400</v>
      </c>
      <c r="C2907" s="638">
        <v>2534.5050000000001</v>
      </c>
      <c r="D2907" s="633">
        <f t="shared" si="92"/>
        <v>2534.5050000000001</v>
      </c>
      <c r="E2907" s="608"/>
      <c r="F2907" s="760">
        <f t="shared" si="93"/>
        <v>1069.298551064692</v>
      </c>
      <c r="M2907" s="443"/>
    </row>
    <row r="2908" spans="1:13">
      <c r="A2908" s="639">
        <v>50113</v>
      </c>
      <c r="B2908" s="639">
        <v>100</v>
      </c>
      <c r="C2908" s="638">
        <v>2508.7179999999998</v>
      </c>
      <c r="D2908" s="633">
        <f t="shared" si="92"/>
        <v>2508.7179999999998</v>
      </c>
      <c r="E2908" s="608"/>
      <c r="F2908" s="760">
        <f t="shared" ref="F2908:F2971" si="94">(D2908/(MAX($D$2908:$D$3651)))*$M$8</f>
        <v>1058.4154924556321</v>
      </c>
      <c r="M2908" s="443"/>
    </row>
    <row r="2909" spans="1:13">
      <c r="A2909" s="639">
        <v>50113</v>
      </c>
      <c r="B2909" s="639">
        <v>200</v>
      </c>
      <c r="C2909" s="638">
        <v>2431.3470000000002</v>
      </c>
      <c r="D2909" s="633">
        <f t="shared" si="92"/>
        <v>2431.3470000000002</v>
      </c>
      <c r="E2909" s="608"/>
      <c r="F2909" s="760">
        <f t="shared" si="94"/>
        <v>1025.773057129388</v>
      </c>
      <c r="M2909" s="443"/>
    </row>
    <row r="2910" spans="1:13">
      <c r="A2910" s="639">
        <v>50113</v>
      </c>
      <c r="B2910" s="639">
        <v>300</v>
      </c>
      <c r="C2910" s="638">
        <v>2430.3980000000001</v>
      </c>
      <c r="D2910" s="633">
        <f t="shared" si="92"/>
        <v>2430.3980000000001</v>
      </c>
      <c r="E2910" s="608"/>
      <c r="F2910" s="760">
        <f t="shared" si="94"/>
        <v>1025.3726788077352</v>
      </c>
      <c r="M2910" s="443"/>
    </row>
    <row r="2911" spans="1:13">
      <c r="A2911" s="639">
        <v>50113</v>
      </c>
      <c r="B2911" s="639">
        <v>400</v>
      </c>
      <c r="C2911" s="638">
        <v>2470.288</v>
      </c>
      <c r="D2911" s="633">
        <f t="shared" si="92"/>
        <v>2470.288</v>
      </c>
      <c r="E2911" s="608"/>
      <c r="F2911" s="760">
        <f t="shared" si="94"/>
        <v>1042.202068956032</v>
      </c>
      <c r="M2911" s="443"/>
    </row>
    <row r="2912" spans="1:13">
      <c r="A2912" s="639">
        <v>50113</v>
      </c>
      <c r="B2912" s="639">
        <v>500</v>
      </c>
      <c r="C2912" s="638">
        <v>2765.7150000000001</v>
      </c>
      <c r="D2912" s="633">
        <f t="shared" si="92"/>
        <v>2765.7150000000001</v>
      </c>
      <c r="E2912" s="608"/>
      <c r="F2912" s="760">
        <f t="shared" si="94"/>
        <v>1166.8412327399606</v>
      </c>
      <c r="M2912" s="443"/>
    </row>
    <row r="2913" spans="1:13">
      <c r="A2913" s="639">
        <v>50113</v>
      </c>
      <c r="B2913" s="639">
        <v>600</v>
      </c>
      <c r="C2913" s="638">
        <v>3163.39</v>
      </c>
      <c r="D2913" s="633">
        <f t="shared" si="92"/>
        <v>3163.39</v>
      </c>
      <c r="E2913" s="608"/>
      <c r="F2913" s="760">
        <f t="shared" si="94"/>
        <v>1334.6183128909754</v>
      </c>
      <c r="M2913" s="443"/>
    </row>
    <row r="2914" spans="1:13">
      <c r="A2914" s="639">
        <v>50113</v>
      </c>
      <c r="B2914" s="639">
        <v>700</v>
      </c>
      <c r="C2914" s="638">
        <v>3451.7449999999999</v>
      </c>
      <c r="D2914" s="633">
        <f t="shared" si="92"/>
        <v>3451.7449999999999</v>
      </c>
      <c r="E2914" s="608"/>
      <c r="F2914" s="760">
        <f t="shared" si="94"/>
        <v>1456.2738354834084</v>
      </c>
      <c r="M2914" s="443"/>
    </row>
    <row r="2915" spans="1:13">
      <c r="A2915" s="639">
        <v>50113</v>
      </c>
      <c r="B2915" s="639">
        <v>800</v>
      </c>
      <c r="C2915" s="638">
        <v>3159.7959999999998</v>
      </c>
      <c r="D2915" s="633">
        <f t="shared" si="92"/>
        <v>3159.7959999999998</v>
      </c>
      <c r="E2915" s="608"/>
      <c r="F2915" s="760">
        <f t="shared" si="94"/>
        <v>1333.1020223872656</v>
      </c>
      <c r="M2915" s="443"/>
    </row>
    <row r="2916" spans="1:13">
      <c r="A2916" s="639">
        <v>50113</v>
      </c>
      <c r="B2916" s="639">
        <v>900</v>
      </c>
      <c r="C2916" s="638">
        <v>2974.6979999999999</v>
      </c>
      <c r="D2916" s="633">
        <f t="shared" si="92"/>
        <v>2974.6979999999999</v>
      </c>
      <c r="E2916" s="608"/>
      <c r="F2916" s="760">
        <f t="shared" si="94"/>
        <v>1255.010108181463</v>
      </c>
      <c r="M2916" s="443"/>
    </row>
    <row r="2917" spans="1:13">
      <c r="A2917" s="639">
        <v>50113</v>
      </c>
      <c r="B2917" s="639">
        <v>1000</v>
      </c>
      <c r="C2917" s="638">
        <v>2839.2449999999999</v>
      </c>
      <c r="D2917" s="633">
        <f t="shared" si="92"/>
        <v>2839.2449999999999</v>
      </c>
      <c r="E2917" s="608"/>
      <c r="F2917" s="760">
        <f t="shared" si="94"/>
        <v>1197.8631695061745</v>
      </c>
      <c r="M2917" s="443"/>
    </row>
    <row r="2918" spans="1:13">
      <c r="A2918" s="639">
        <v>50113</v>
      </c>
      <c r="B2918" s="639">
        <v>1100</v>
      </c>
      <c r="C2918" s="638">
        <v>2843.9920000000002</v>
      </c>
      <c r="D2918" s="633">
        <f t="shared" si="92"/>
        <v>2843.9920000000002</v>
      </c>
      <c r="E2918" s="608"/>
      <c r="F2918" s="760">
        <f t="shared" si="94"/>
        <v>1199.8659049043688</v>
      </c>
      <c r="M2918" s="443"/>
    </row>
    <row r="2919" spans="1:13">
      <c r="A2919" s="639">
        <v>50113</v>
      </c>
      <c r="B2919" s="639">
        <v>1200</v>
      </c>
      <c r="C2919" s="638">
        <v>2776.0219999999999</v>
      </c>
      <c r="D2919" s="633">
        <f t="shared" si="92"/>
        <v>2776.0219999999999</v>
      </c>
      <c r="E2919" s="608"/>
      <c r="F2919" s="760">
        <f t="shared" si="94"/>
        <v>1171.1897041427808</v>
      </c>
      <c r="M2919" s="443"/>
    </row>
    <row r="2920" spans="1:13">
      <c r="A2920" s="639">
        <v>50113</v>
      </c>
      <c r="B2920" s="639">
        <v>1300</v>
      </c>
      <c r="C2920" s="638">
        <v>2779.2979999999998</v>
      </c>
      <c r="D2920" s="633">
        <f t="shared" si="92"/>
        <v>2779.2979999999998</v>
      </c>
      <c r="E2920" s="608"/>
      <c r="F2920" s="760">
        <f t="shared" si="94"/>
        <v>1172.5718320476644</v>
      </c>
      <c r="M2920" s="443"/>
    </row>
    <row r="2921" spans="1:13">
      <c r="A2921" s="639">
        <v>50113</v>
      </c>
      <c r="B2921" s="639">
        <v>1400</v>
      </c>
      <c r="C2921" s="638">
        <v>2742.3</v>
      </c>
      <c r="D2921" s="633">
        <f t="shared" si="92"/>
        <v>2742.3</v>
      </c>
      <c r="E2921" s="608"/>
      <c r="F2921" s="760">
        <f t="shared" si="94"/>
        <v>1156.9625621377454</v>
      </c>
      <c r="M2921" s="443"/>
    </row>
    <row r="2922" spans="1:13">
      <c r="A2922" s="639">
        <v>50113</v>
      </c>
      <c r="B2922" s="639">
        <v>1500</v>
      </c>
      <c r="C2922" s="638">
        <v>2881.3809999999999</v>
      </c>
      <c r="D2922" s="633">
        <f t="shared" si="92"/>
        <v>2881.3809999999999</v>
      </c>
      <c r="E2922" s="608"/>
      <c r="F2922" s="760">
        <f t="shared" si="94"/>
        <v>1215.6401357455486</v>
      </c>
      <c r="M2922" s="443"/>
    </row>
    <row r="2923" spans="1:13">
      <c r="A2923" s="639">
        <v>50113</v>
      </c>
      <c r="B2923" s="639">
        <v>1600</v>
      </c>
      <c r="C2923" s="638">
        <v>2942.241</v>
      </c>
      <c r="D2923" s="633">
        <f t="shared" si="92"/>
        <v>2942.241</v>
      </c>
      <c r="E2923" s="608"/>
      <c r="F2923" s="760">
        <f t="shared" si="94"/>
        <v>1241.3166633069764</v>
      </c>
      <c r="M2923" s="443"/>
    </row>
    <row r="2924" spans="1:13">
      <c r="A2924" s="639">
        <v>50113</v>
      </c>
      <c r="B2924" s="639">
        <v>1700</v>
      </c>
      <c r="C2924" s="638">
        <v>3108.3429999999998</v>
      </c>
      <c r="D2924" s="633">
        <f t="shared" si="92"/>
        <v>3108.3429999999998</v>
      </c>
      <c r="E2924" s="608"/>
      <c r="F2924" s="760">
        <f t="shared" si="94"/>
        <v>1311.3942607602835</v>
      </c>
      <c r="M2924" s="443"/>
    </row>
    <row r="2925" spans="1:13">
      <c r="A2925" s="639">
        <v>50113</v>
      </c>
      <c r="B2925" s="639">
        <v>1800</v>
      </c>
      <c r="C2925" s="638">
        <v>3179.0250000000001</v>
      </c>
      <c r="D2925" s="633">
        <f t="shared" si="92"/>
        <v>3179.0250000000001</v>
      </c>
      <c r="E2925" s="608"/>
      <c r="F2925" s="760">
        <f t="shared" si="94"/>
        <v>1341.2146406665738</v>
      </c>
      <c r="M2925" s="443"/>
    </row>
    <row r="2926" spans="1:13">
      <c r="A2926" s="639">
        <v>50113</v>
      </c>
      <c r="B2926" s="639">
        <v>1900</v>
      </c>
      <c r="C2926" s="638">
        <v>3301.7570000000001</v>
      </c>
      <c r="D2926" s="633">
        <f t="shared" si="92"/>
        <v>3301.7570000000001</v>
      </c>
      <c r="E2926" s="608"/>
      <c r="F2926" s="760">
        <f t="shared" si="94"/>
        <v>1392.9946534938683</v>
      </c>
      <c r="M2926" s="443"/>
    </row>
    <row r="2927" spans="1:13">
      <c r="A2927" s="639">
        <v>50113</v>
      </c>
      <c r="B2927" s="639">
        <v>2000</v>
      </c>
      <c r="C2927" s="638">
        <v>3626.5160000000001</v>
      </c>
      <c r="D2927" s="633">
        <f t="shared" si="92"/>
        <v>3626.5160000000001</v>
      </c>
      <c r="E2927" s="608"/>
      <c r="F2927" s="760">
        <f t="shared" si="94"/>
        <v>1530.0088403870936</v>
      </c>
      <c r="M2927" s="443"/>
    </row>
    <row r="2928" spans="1:13">
      <c r="A2928" s="639">
        <v>50113</v>
      </c>
      <c r="B2928" s="639">
        <v>2100</v>
      </c>
      <c r="C2928" s="638">
        <v>3838.07</v>
      </c>
      <c r="D2928" s="633">
        <f t="shared" si="92"/>
        <v>3838.07</v>
      </c>
      <c r="E2928" s="608"/>
      <c r="F2928" s="760">
        <f t="shared" si="94"/>
        <v>1619.2624077832534</v>
      </c>
      <c r="M2928" s="443"/>
    </row>
    <row r="2929" spans="1:13">
      <c r="A2929" s="639">
        <v>50113</v>
      </c>
      <c r="B2929" s="639">
        <v>2200</v>
      </c>
      <c r="C2929" s="638">
        <v>3290.8020000000001</v>
      </c>
      <c r="D2929" s="633">
        <f t="shared" si="92"/>
        <v>3290.8020000000001</v>
      </c>
      <c r="E2929" s="608"/>
      <c r="F2929" s="760">
        <f t="shared" si="94"/>
        <v>1388.3727941538184</v>
      </c>
      <c r="M2929" s="443"/>
    </row>
    <row r="2930" spans="1:13">
      <c r="A2930" s="639">
        <v>50113</v>
      </c>
      <c r="B2930" s="639">
        <v>2300</v>
      </c>
      <c r="C2930" s="638">
        <v>2761.8629999999998</v>
      </c>
      <c r="D2930" s="633">
        <f t="shared" si="92"/>
        <v>2761.8629999999998</v>
      </c>
      <c r="E2930" s="608"/>
      <c r="F2930" s="760">
        <f t="shared" si="94"/>
        <v>1165.2160933353166</v>
      </c>
      <c r="M2930" s="443"/>
    </row>
    <row r="2931" spans="1:13">
      <c r="A2931" s="639">
        <v>50113</v>
      </c>
      <c r="B2931" s="639">
        <v>2400</v>
      </c>
      <c r="C2931" s="638">
        <v>2548.7930000000001</v>
      </c>
      <c r="D2931" s="633">
        <f t="shared" si="92"/>
        <v>2548.7930000000001</v>
      </c>
      <c r="E2931" s="608"/>
      <c r="F2931" s="760">
        <f t="shared" si="94"/>
        <v>1075.3229331724283</v>
      </c>
      <c r="M2931" s="443"/>
    </row>
    <row r="2932" spans="1:13">
      <c r="A2932" s="639">
        <v>50213</v>
      </c>
      <c r="B2932" s="639">
        <v>100</v>
      </c>
      <c r="C2932" s="638">
        <v>2550.6590000000001</v>
      </c>
      <c r="D2932" s="633">
        <f t="shared" si="92"/>
        <v>2550.6590000000001</v>
      </c>
      <c r="E2932" s="608"/>
      <c r="F2932" s="760">
        <f t="shared" si="94"/>
        <v>1076.1101891768585</v>
      </c>
      <c r="M2932" s="443"/>
    </row>
    <row r="2933" spans="1:13">
      <c r="A2933" s="639">
        <v>50213</v>
      </c>
      <c r="B2933" s="639">
        <v>200</v>
      </c>
      <c r="C2933" s="638">
        <v>2404.1770000000001</v>
      </c>
      <c r="D2933" s="633">
        <f t="shared" si="92"/>
        <v>2404.1770000000001</v>
      </c>
      <c r="E2933" s="608"/>
      <c r="F2933" s="760">
        <f t="shared" si="94"/>
        <v>1014.3101709341203</v>
      </c>
      <c r="M2933" s="443"/>
    </row>
    <row r="2934" spans="1:13">
      <c r="A2934" s="639">
        <v>50213</v>
      </c>
      <c r="B2934" s="639">
        <v>300</v>
      </c>
      <c r="C2934" s="638">
        <v>2360.8209999999999</v>
      </c>
      <c r="D2934" s="633">
        <f t="shared" si="92"/>
        <v>2360.8209999999999</v>
      </c>
      <c r="E2934" s="608"/>
      <c r="F2934" s="760">
        <f t="shared" si="94"/>
        <v>996.01849283761567</v>
      </c>
      <c r="M2934" s="443"/>
    </row>
    <row r="2935" spans="1:13">
      <c r="A2935" s="639">
        <v>50213</v>
      </c>
      <c r="B2935" s="639">
        <v>400</v>
      </c>
      <c r="C2935" s="638">
        <v>2408.6030000000001</v>
      </c>
      <c r="D2935" s="633">
        <f t="shared" si="92"/>
        <v>2408.6030000000001</v>
      </c>
      <c r="E2935" s="608"/>
      <c r="F2935" s="760">
        <f t="shared" si="94"/>
        <v>1016.1774780485941</v>
      </c>
      <c r="M2935" s="443"/>
    </row>
    <row r="2936" spans="1:13">
      <c r="A2936" s="639">
        <v>50213</v>
      </c>
      <c r="B2936" s="639">
        <v>500</v>
      </c>
      <c r="C2936" s="638">
        <v>2656.4119999999998</v>
      </c>
      <c r="D2936" s="633">
        <f t="shared" si="92"/>
        <v>2656.4119999999998</v>
      </c>
      <c r="E2936" s="608"/>
      <c r="F2936" s="760">
        <f t="shared" si="94"/>
        <v>1120.7268473957815</v>
      </c>
      <c r="M2936" s="443"/>
    </row>
    <row r="2937" spans="1:13">
      <c r="A2937" s="639">
        <v>50213</v>
      </c>
      <c r="B2937" s="639">
        <v>600</v>
      </c>
      <c r="C2937" s="638">
        <v>3029.8960000000002</v>
      </c>
      <c r="D2937" s="633">
        <f t="shared" si="92"/>
        <v>3029.8960000000002</v>
      </c>
      <c r="E2937" s="608"/>
      <c r="F2937" s="760">
        <f t="shared" si="94"/>
        <v>1278.2978664518491</v>
      </c>
      <c r="M2937" s="443"/>
    </row>
    <row r="2938" spans="1:13">
      <c r="A2938" s="639">
        <v>50213</v>
      </c>
      <c r="B2938" s="639">
        <v>700</v>
      </c>
      <c r="C2938" s="638">
        <v>3163.89</v>
      </c>
      <c r="D2938" s="633">
        <f t="shared" si="92"/>
        <v>3163.89</v>
      </c>
      <c r="E2938" s="608"/>
      <c r="F2938" s="760">
        <f t="shared" si="94"/>
        <v>1334.8292603734055</v>
      </c>
      <c r="M2938" s="443"/>
    </row>
    <row r="2939" spans="1:13">
      <c r="A2939" s="639">
        <v>50213</v>
      </c>
      <c r="B2939" s="639">
        <v>800</v>
      </c>
      <c r="C2939" s="638">
        <v>2994.2849999999999</v>
      </c>
      <c r="D2939" s="633">
        <f t="shared" si="92"/>
        <v>2994.2849999999999</v>
      </c>
      <c r="E2939" s="608"/>
      <c r="F2939" s="760">
        <f t="shared" si="94"/>
        <v>1263.2737648581915</v>
      </c>
      <c r="M2939" s="443"/>
    </row>
    <row r="2940" spans="1:13">
      <c r="A2940" s="639">
        <v>50213</v>
      </c>
      <c r="B2940" s="639">
        <v>900</v>
      </c>
      <c r="C2940" s="638">
        <v>2905.9380000000001</v>
      </c>
      <c r="D2940" s="633">
        <f t="shared" si="92"/>
        <v>2905.9380000000001</v>
      </c>
      <c r="E2940" s="608"/>
      <c r="F2940" s="760">
        <f t="shared" si="94"/>
        <v>1226.0006103976352</v>
      </c>
      <c r="M2940" s="443"/>
    </row>
    <row r="2941" spans="1:13">
      <c r="A2941" s="639">
        <v>50213</v>
      </c>
      <c r="B2941" s="639">
        <v>1000</v>
      </c>
      <c r="C2941" s="638">
        <v>2802.4340000000002</v>
      </c>
      <c r="D2941" s="633">
        <f t="shared" si="92"/>
        <v>2802.4340000000002</v>
      </c>
      <c r="E2941" s="608"/>
      <c r="F2941" s="760">
        <f t="shared" si="94"/>
        <v>1182.3327939546841</v>
      </c>
      <c r="M2941" s="443"/>
    </row>
    <row r="2942" spans="1:13">
      <c r="A2942" s="639">
        <v>50213</v>
      </c>
      <c r="B2942" s="639">
        <v>1100</v>
      </c>
      <c r="C2942" s="638">
        <v>2850.3789999999999</v>
      </c>
      <c r="D2942" s="633">
        <f t="shared" si="92"/>
        <v>2850.3789999999999</v>
      </c>
      <c r="E2942" s="608"/>
      <c r="F2942" s="760">
        <f t="shared" si="94"/>
        <v>1202.5605480449346</v>
      </c>
      <c r="M2942" s="443"/>
    </row>
    <row r="2943" spans="1:13">
      <c r="A2943" s="639">
        <v>50213</v>
      </c>
      <c r="B2943" s="639">
        <v>1200</v>
      </c>
      <c r="C2943" s="638">
        <v>2787.8919999999998</v>
      </c>
      <c r="D2943" s="633">
        <f t="shared" si="92"/>
        <v>2787.8919999999998</v>
      </c>
      <c r="E2943" s="608"/>
      <c r="F2943" s="760">
        <f t="shared" si="94"/>
        <v>1176.1975973756782</v>
      </c>
      <c r="M2943" s="443"/>
    </row>
    <row r="2944" spans="1:13">
      <c r="A2944" s="639">
        <v>50213</v>
      </c>
      <c r="B2944" s="639">
        <v>1300</v>
      </c>
      <c r="C2944" s="638">
        <v>2753.3760000000002</v>
      </c>
      <c r="D2944" s="633">
        <f t="shared" si="92"/>
        <v>2753.3760000000002</v>
      </c>
      <c r="E2944" s="608"/>
      <c r="F2944" s="760">
        <f t="shared" si="94"/>
        <v>1161.6354707685434</v>
      </c>
      <c r="M2944" s="443"/>
    </row>
    <row r="2945" spans="1:13">
      <c r="A2945" s="639">
        <v>50213</v>
      </c>
      <c r="B2945" s="639">
        <v>1400</v>
      </c>
      <c r="C2945" s="638">
        <v>2795.4870000000001</v>
      </c>
      <c r="D2945" s="633">
        <f t="shared" si="92"/>
        <v>2795.4870000000001</v>
      </c>
      <c r="E2945" s="608"/>
      <c r="F2945" s="760">
        <f t="shared" si="94"/>
        <v>1179.4018896337961</v>
      </c>
      <c r="M2945" s="443"/>
    </row>
    <row r="2946" spans="1:13">
      <c r="A2946" s="639">
        <v>50213</v>
      </c>
      <c r="B2946" s="639">
        <v>1500</v>
      </c>
      <c r="C2946" s="638">
        <v>2878.1970000000001</v>
      </c>
      <c r="D2946" s="633">
        <f t="shared" si="92"/>
        <v>2878.1970000000001</v>
      </c>
      <c r="E2946" s="608"/>
      <c r="F2946" s="760">
        <f t="shared" si="94"/>
        <v>1214.296822177432</v>
      </c>
      <c r="M2946" s="443"/>
    </row>
    <row r="2947" spans="1:13">
      <c r="A2947" s="639">
        <v>50213</v>
      </c>
      <c r="B2947" s="639">
        <v>1600</v>
      </c>
      <c r="C2947" s="638">
        <v>3056.3969999999999</v>
      </c>
      <c r="D2947" s="633">
        <f t="shared" si="92"/>
        <v>3056.3969999999999</v>
      </c>
      <c r="E2947" s="608"/>
      <c r="F2947" s="760">
        <f t="shared" si="94"/>
        <v>1289.4785049156246</v>
      </c>
      <c r="M2947" s="443"/>
    </row>
    <row r="2948" spans="1:13">
      <c r="A2948" s="639">
        <v>50213</v>
      </c>
      <c r="B2948" s="639">
        <v>1700</v>
      </c>
      <c r="C2948" s="638">
        <v>3227.57</v>
      </c>
      <c r="D2948" s="633">
        <f t="shared" si="92"/>
        <v>3227.57</v>
      </c>
      <c r="E2948" s="608"/>
      <c r="F2948" s="760">
        <f t="shared" si="94"/>
        <v>1361.6955317357408</v>
      </c>
      <c r="M2948" s="443"/>
    </row>
    <row r="2949" spans="1:13">
      <c r="A2949" s="639">
        <v>50213</v>
      </c>
      <c r="B2949" s="639">
        <v>1800</v>
      </c>
      <c r="C2949" s="638">
        <v>3278.989</v>
      </c>
      <c r="D2949" s="633">
        <f t="shared" ref="D2949:D3012" si="95">C2949</f>
        <v>3278.989</v>
      </c>
      <c r="E2949" s="608"/>
      <c r="F2949" s="760">
        <f t="shared" si="94"/>
        <v>1383.3889489339178</v>
      </c>
      <c r="M2949" s="443"/>
    </row>
    <row r="2950" spans="1:13">
      <c r="A2950" s="639">
        <v>50213</v>
      </c>
      <c r="B2950" s="639">
        <v>1900</v>
      </c>
      <c r="C2950" s="638">
        <v>3354.9969999999998</v>
      </c>
      <c r="D2950" s="633">
        <f t="shared" si="95"/>
        <v>3354.9969999999998</v>
      </c>
      <c r="E2950" s="608"/>
      <c r="F2950" s="760">
        <f t="shared" si="94"/>
        <v>1415.4563414230568</v>
      </c>
      <c r="M2950" s="443"/>
    </row>
    <row r="2951" spans="1:13">
      <c r="A2951" s="639">
        <v>50213</v>
      </c>
      <c r="B2951" s="639">
        <v>2000</v>
      </c>
      <c r="C2951" s="638">
        <v>3663.6120000000001</v>
      </c>
      <c r="D2951" s="633">
        <f t="shared" si="95"/>
        <v>3663.6120000000001</v>
      </c>
      <c r="E2951" s="608"/>
      <c r="F2951" s="760">
        <f t="shared" si="94"/>
        <v>1545.6594560035696</v>
      </c>
      <c r="M2951" s="443"/>
    </row>
    <row r="2952" spans="1:13">
      <c r="A2952" s="639">
        <v>50213</v>
      </c>
      <c r="B2952" s="639">
        <v>2100</v>
      </c>
      <c r="C2952" s="638">
        <v>3872.8850000000002</v>
      </c>
      <c r="D2952" s="633">
        <f t="shared" si="95"/>
        <v>3872.8850000000002</v>
      </c>
      <c r="E2952" s="608"/>
      <c r="F2952" s="760">
        <f t="shared" si="94"/>
        <v>1633.9506809848817</v>
      </c>
      <c r="M2952" s="443"/>
    </row>
    <row r="2953" spans="1:13">
      <c r="A2953" s="639">
        <v>50213</v>
      </c>
      <c r="B2953" s="639">
        <v>2200</v>
      </c>
      <c r="C2953" s="638">
        <v>3427.4229999999998</v>
      </c>
      <c r="D2953" s="633">
        <f t="shared" si="95"/>
        <v>3427.4229999999998</v>
      </c>
      <c r="E2953" s="608"/>
      <c r="F2953" s="760">
        <f t="shared" si="94"/>
        <v>1446.0125061480644</v>
      </c>
      <c r="M2953" s="443"/>
    </row>
    <row r="2954" spans="1:13">
      <c r="A2954" s="639">
        <v>50213</v>
      </c>
      <c r="B2954" s="639">
        <v>2300</v>
      </c>
      <c r="C2954" s="638">
        <v>2866.5189999999998</v>
      </c>
      <c r="D2954" s="633">
        <f t="shared" si="95"/>
        <v>2866.5189999999998</v>
      </c>
      <c r="E2954" s="608"/>
      <c r="F2954" s="760">
        <f t="shared" si="94"/>
        <v>1209.3699327777877</v>
      </c>
      <c r="M2954" s="443"/>
    </row>
    <row r="2955" spans="1:13">
      <c r="A2955" s="639">
        <v>50213</v>
      </c>
      <c r="B2955" s="639">
        <v>2400</v>
      </c>
      <c r="C2955" s="638">
        <v>2587.5360000000001</v>
      </c>
      <c r="D2955" s="633">
        <f t="shared" si="95"/>
        <v>2587.5360000000001</v>
      </c>
      <c r="E2955" s="608"/>
      <c r="F2955" s="760">
        <f t="shared" si="94"/>
        <v>1091.6684097960299</v>
      </c>
      <c r="M2955" s="443"/>
    </row>
    <row r="2956" spans="1:13">
      <c r="A2956" s="639">
        <v>50313</v>
      </c>
      <c r="B2956" s="639">
        <v>100</v>
      </c>
      <c r="C2956" s="638">
        <v>2541.1990000000001</v>
      </c>
      <c r="D2956" s="633">
        <f t="shared" si="95"/>
        <v>2541.1990000000001</v>
      </c>
      <c r="E2956" s="608"/>
      <c r="F2956" s="760">
        <f t="shared" si="94"/>
        <v>1072.1190628092754</v>
      </c>
      <c r="M2956" s="443"/>
    </row>
    <row r="2957" spans="1:13">
      <c r="A2957" s="639">
        <v>50313</v>
      </c>
      <c r="B2957" s="639">
        <v>200</v>
      </c>
      <c r="C2957" s="638">
        <v>2456.7089999999998</v>
      </c>
      <c r="D2957" s="633">
        <f t="shared" si="95"/>
        <v>2456.7089999999998</v>
      </c>
      <c r="E2957" s="608"/>
      <c r="F2957" s="760">
        <f t="shared" si="94"/>
        <v>1036.4731572281873</v>
      </c>
      <c r="M2957" s="443"/>
    </row>
    <row r="2958" spans="1:13">
      <c r="A2958" s="639">
        <v>50313</v>
      </c>
      <c r="B2958" s="639">
        <v>300</v>
      </c>
      <c r="C2958" s="638">
        <v>2385.6579999999999</v>
      </c>
      <c r="D2958" s="633">
        <f t="shared" si="95"/>
        <v>2385.6579999999999</v>
      </c>
      <c r="E2958" s="608"/>
      <c r="F2958" s="760">
        <f t="shared" si="94"/>
        <v>1006.4970980798631</v>
      </c>
      <c r="M2958" s="443"/>
    </row>
    <row r="2959" spans="1:13">
      <c r="A2959" s="639">
        <v>50313</v>
      </c>
      <c r="B2959" s="639">
        <v>400</v>
      </c>
      <c r="C2959" s="638">
        <v>2417.9409999999998</v>
      </c>
      <c r="D2959" s="633">
        <f t="shared" si="95"/>
        <v>2417.9409999999998</v>
      </c>
      <c r="E2959" s="608"/>
      <c r="F2959" s="760">
        <f t="shared" si="94"/>
        <v>1020.117133230464</v>
      </c>
      <c r="M2959" s="443"/>
    </row>
    <row r="2960" spans="1:13">
      <c r="A2960" s="639">
        <v>50313</v>
      </c>
      <c r="B2960" s="639">
        <v>500</v>
      </c>
      <c r="C2960" s="638">
        <v>2678.2179999999998</v>
      </c>
      <c r="D2960" s="633">
        <f t="shared" si="95"/>
        <v>2678.2179999999998</v>
      </c>
      <c r="E2960" s="608"/>
      <c r="F2960" s="760">
        <f t="shared" si="94"/>
        <v>1129.9266889995361</v>
      </c>
      <c r="M2960" s="443"/>
    </row>
    <row r="2961" spans="1:13">
      <c r="A2961" s="639">
        <v>50313</v>
      </c>
      <c r="B2961" s="639">
        <v>600</v>
      </c>
      <c r="C2961" s="638">
        <v>3055.0720000000001</v>
      </c>
      <c r="D2961" s="633">
        <f t="shared" si="95"/>
        <v>3055.0720000000001</v>
      </c>
      <c r="E2961" s="608"/>
      <c r="F2961" s="760">
        <f t="shared" si="94"/>
        <v>1288.9194940871844</v>
      </c>
      <c r="M2961" s="443"/>
    </row>
    <row r="2962" spans="1:13">
      <c r="A2962" s="639">
        <v>50313</v>
      </c>
      <c r="B2962" s="639">
        <v>700</v>
      </c>
      <c r="C2962" s="638">
        <v>3344.9169999999999</v>
      </c>
      <c r="D2962" s="633">
        <f t="shared" si="95"/>
        <v>3344.9169999999999</v>
      </c>
      <c r="E2962" s="608"/>
      <c r="F2962" s="760">
        <f t="shared" si="94"/>
        <v>1411.20364017726</v>
      </c>
      <c r="M2962" s="443"/>
    </row>
    <row r="2963" spans="1:13">
      <c r="A2963" s="639">
        <v>50313</v>
      </c>
      <c r="B2963" s="639">
        <v>800</v>
      </c>
      <c r="C2963" s="638">
        <v>3151.2370000000001</v>
      </c>
      <c r="D2963" s="633">
        <f t="shared" si="95"/>
        <v>3151.2370000000001</v>
      </c>
      <c r="E2963" s="608"/>
      <c r="F2963" s="760">
        <f t="shared" si="94"/>
        <v>1329.4910233830221</v>
      </c>
      <c r="M2963" s="443"/>
    </row>
    <row r="2964" spans="1:13">
      <c r="A2964" s="639">
        <v>50313</v>
      </c>
      <c r="B2964" s="639">
        <v>900</v>
      </c>
      <c r="C2964" s="638">
        <v>3018.9639999999999</v>
      </c>
      <c r="D2964" s="633">
        <f t="shared" si="95"/>
        <v>3018.9639999999999</v>
      </c>
      <c r="E2964" s="608"/>
      <c r="F2964" s="760">
        <f t="shared" si="94"/>
        <v>1273.685710695991</v>
      </c>
      <c r="M2964" s="443"/>
    </row>
    <row r="2965" spans="1:13">
      <c r="A2965" s="639">
        <v>50313</v>
      </c>
      <c r="B2965" s="639">
        <v>1000</v>
      </c>
      <c r="C2965" s="638">
        <v>2966.8139999999999</v>
      </c>
      <c r="D2965" s="633">
        <f t="shared" si="95"/>
        <v>2966.8139999999999</v>
      </c>
      <c r="E2965" s="608"/>
      <c r="F2965" s="760">
        <f t="shared" si="94"/>
        <v>1251.6838882785007</v>
      </c>
      <c r="M2965" s="443"/>
    </row>
    <row r="2966" spans="1:13">
      <c r="A2966" s="639">
        <v>50313</v>
      </c>
      <c r="B2966" s="639">
        <v>1100</v>
      </c>
      <c r="C2966" s="638">
        <v>2943.2420000000002</v>
      </c>
      <c r="D2966" s="633">
        <f t="shared" si="95"/>
        <v>2943.2420000000002</v>
      </c>
      <c r="E2966" s="608"/>
      <c r="F2966" s="760">
        <f t="shared" si="94"/>
        <v>1241.7389801668021</v>
      </c>
      <c r="M2966" s="443"/>
    </row>
    <row r="2967" spans="1:13">
      <c r="A2967" s="639">
        <v>50313</v>
      </c>
      <c r="B2967" s="639">
        <v>1200</v>
      </c>
      <c r="C2967" s="638">
        <v>2893.2570000000001</v>
      </c>
      <c r="D2967" s="633">
        <f t="shared" si="95"/>
        <v>2893.2570000000001</v>
      </c>
      <c r="E2967" s="608"/>
      <c r="F2967" s="760">
        <f t="shared" si="94"/>
        <v>1220.6505603482356</v>
      </c>
      <c r="M2967" s="443"/>
    </row>
    <row r="2968" spans="1:13">
      <c r="A2968" s="639">
        <v>50313</v>
      </c>
      <c r="B2968" s="639">
        <v>1300</v>
      </c>
      <c r="C2968" s="638">
        <v>2829.741</v>
      </c>
      <c r="D2968" s="633">
        <f t="shared" si="95"/>
        <v>2829.741</v>
      </c>
      <c r="E2968" s="608"/>
      <c r="F2968" s="760">
        <f t="shared" si="94"/>
        <v>1193.8534797601376</v>
      </c>
      <c r="M2968" s="443"/>
    </row>
    <row r="2969" spans="1:13">
      <c r="A2969" s="639">
        <v>50313</v>
      </c>
      <c r="B2969" s="639">
        <v>1400</v>
      </c>
      <c r="C2969" s="638">
        <v>2770.5529999999999</v>
      </c>
      <c r="D2969" s="633">
        <f t="shared" si="95"/>
        <v>2770.5529999999999</v>
      </c>
      <c r="E2969" s="608"/>
      <c r="F2969" s="760">
        <f t="shared" si="94"/>
        <v>1168.8823605799571</v>
      </c>
      <c r="M2969" s="443"/>
    </row>
    <row r="2970" spans="1:13">
      <c r="A2970" s="639">
        <v>50313</v>
      </c>
      <c r="B2970" s="639">
        <v>1500</v>
      </c>
      <c r="C2970" s="638">
        <v>2844.902</v>
      </c>
      <c r="D2970" s="633">
        <f t="shared" si="95"/>
        <v>2844.902</v>
      </c>
      <c r="E2970" s="608"/>
      <c r="F2970" s="760">
        <f t="shared" si="94"/>
        <v>1200.2498293223921</v>
      </c>
      <c r="M2970" s="443"/>
    </row>
    <row r="2971" spans="1:13">
      <c r="A2971" s="639">
        <v>50313</v>
      </c>
      <c r="B2971" s="639">
        <v>1600</v>
      </c>
      <c r="C2971" s="638">
        <v>3036.616</v>
      </c>
      <c r="D2971" s="633">
        <f t="shared" si="95"/>
        <v>3036.616</v>
      </c>
      <c r="E2971" s="608"/>
      <c r="F2971" s="760">
        <f t="shared" si="94"/>
        <v>1281.1330006157136</v>
      </c>
      <c r="M2971" s="443"/>
    </row>
    <row r="2972" spans="1:13">
      <c r="A2972" s="639">
        <v>50313</v>
      </c>
      <c r="B2972" s="639">
        <v>1700</v>
      </c>
      <c r="C2972" s="638">
        <v>3234.585</v>
      </c>
      <c r="D2972" s="633">
        <f t="shared" si="95"/>
        <v>3234.585</v>
      </c>
      <c r="E2972" s="608"/>
      <c r="F2972" s="760">
        <f t="shared" ref="F2972:F3035" si="96">(D2972/(MAX($D$2908:$D$3651)))*$M$8</f>
        <v>1364.6551249142394</v>
      </c>
      <c r="M2972" s="443"/>
    </row>
    <row r="2973" spans="1:13">
      <c r="A2973" s="639">
        <v>50313</v>
      </c>
      <c r="B2973" s="639">
        <v>1800</v>
      </c>
      <c r="C2973" s="638">
        <v>3199.3150000000001</v>
      </c>
      <c r="D2973" s="633">
        <f t="shared" si="95"/>
        <v>3199.3150000000001</v>
      </c>
      <c r="E2973" s="608"/>
      <c r="F2973" s="760">
        <f t="shared" si="96"/>
        <v>1349.7748895035993</v>
      </c>
      <c r="M2973" s="443"/>
    </row>
    <row r="2974" spans="1:13">
      <c r="A2974" s="639">
        <v>50313</v>
      </c>
      <c r="B2974" s="639">
        <v>1900</v>
      </c>
      <c r="C2974" s="638">
        <v>3246.6790000000001</v>
      </c>
      <c r="D2974" s="633">
        <f t="shared" si="95"/>
        <v>3246.6790000000001</v>
      </c>
      <c r="E2974" s="608"/>
      <c r="F2974" s="760">
        <f t="shared" si="96"/>
        <v>1369.757522619266</v>
      </c>
      <c r="M2974" s="443"/>
    </row>
    <row r="2975" spans="1:13">
      <c r="A2975" s="639">
        <v>50313</v>
      </c>
      <c r="B2975" s="639">
        <v>2000</v>
      </c>
      <c r="C2975" s="638">
        <v>3540.4229999999998</v>
      </c>
      <c r="D2975" s="633">
        <f t="shared" si="95"/>
        <v>3540.4229999999998</v>
      </c>
      <c r="E2975" s="608"/>
      <c r="F2975" s="760">
        <f t="shared" si="96"/>
        <v>1493.6866371773338</v>
      </c>
      <c r="M2975" s="443"/>
    </row>
    <row r="2976" spans="1:13">
      <c r="A2976" s="639">
        <v>50313</v>
      </c>
      <c r="B2976" s="639">
        <v>2100</v>
      </c>
      <c r="C2976" s="638">
        <v>3782.027</v>
      </c>
      <c r="D2976" s="633">
        <f t="shared" si="95"/>
        <v>3782.027</v>
      </c>
      <c r="E2976" s="608"/>
      <c r="F2976" s="760">
        <f t="shared" si="96"/>
        <v>1595.6181482675602</v>
      </c>
      <c r="M2976" s="443"/>
    </row>
    <row r="2977" spans="1:13">
      <c r="A2977" s="639">
        <v>50313</v>
      </c>
      <c r="B2977" s="639">
        <v>2200</v>
      </c>
      <c r="C2977" s="638">
        <v>3419.4720000000002</v>
      </c>
      <c r="D2977" s="633">
        <f t="shared" si="95"/>
        <v>3419.4720000000002</v>
      </c>
      <c r="E2977" s="608"/>
      <c r="F2977" s="760">
        <f t="shared" si="96"/>
        <v>1442.6580192824563</v>
      </c>
      <c r="M2977" s="443"/>
    </row>
    <row r="2978" spans="1:13">
      <c r="A2978" s="639">
        <v>50313</v>
      </c>
      <c r="B2978" s="639">
        <v>2300</v>
      </c>
      <c r="C2978" s="638">
        <v>2901.0520000000001</v>
      </c>
      <c r="D2978" s="633">
        <f t="shared" si="95"/>
        <v>2901.0520000000001</v>
      </c>
      <c r="E2978" s="608"/>
      <c r="F2978" s="760">
        <f t="shared" si="96"/>
        <v>1223.9392315993252</v>
      </c>
      <c r="M2978" s="443"/>
    </row>
    <row r="2979" spans="1:13">
      <c r="A2979" s="639">
        <v>50313</v>
      </c>
      <c r="B2979" s="639">
        <v>2400</v>
      </c>
      <c r="C2979" s="638">
        <v>2613.6370000000002</v>
      </c>
      <c r="D2979" s="633">
        <f t="shared" si="95"/>
        <v>2613.6370000000002</v>
      </c>
      <c r="E2979" s="608"/>
      <c r="F2979" s="760">
        <f t="shared" si="96"/>
        <v>1102.6802902738614</v>
      </c>
      <c r="M2979" s="443"/>
    </row>
    <row r="2980" spans="1:13">
      <c r="A2980" s="639">
        <v>50413</v>
      </c>
      <c r="B2980" s="639">
        <v>100</v>
      </c>
      <c r="C2980" s="638">
        <v>2612.0590000000002</v>
      </c>
      <c r="D2980" s="633">
        <f t="shared" si="95"/>
        <v>2612.0590000000002</v>
      </c>
      <c r="E2980" s="608"/>
      <c r="F2980" s="760">
        <f t="shared" si="96"/>
        <v>1102.0145400193112</v>
      </c>
      <c r="M2980" s="443"/>
    </row>
    <row r="2981" spans="1:13">
      <c r="A2981" s="639">
        <v>50413</v>
      </c>
      <c r="B2981" s="639">
        <v>200</v>
      </c>
      <c r="C2981" s="638">
        <v>2534.8510000000001</v>
      </c>
      <c r="D2981" s="633">
        <f t="shared" si="95"/>
        <v>2534.8510000000001</v>
      </c>
      <c r="E2981" s="608"/>
      <c r="F2981" s="760">
        <f t="shared" si="96"/>
        <v>1069.4408735723391</v>
      </c>
      <c r="M2981" s="443"/>
    </row>
    <row r="2982" spans="1:13">
      <c r="A2982" s="639">
        <v>50413</v>
      </c>
      <c r="B2982" s="639">
        <v>300</v>
      </c>
      <c r="C2982" s="638">
        <v>2431.3829999999998</v>
      </c>
      <c r="D2982" s="633">
        <f t="shared" si="95"/>
        <v>2431.3829999999998</v>
      </c>
      <c r="E2982" s="608"/>
      <c r="F2982" s="760">
        <f t="shared" si="96"/>
        <v>1025.7882453481229</v>
      </c>
      <c r="M2982" s="443"/>
    </row>
    <row r="2983" spans="1:13">
      <c r="A2983" s="639">
        <v>50413</v>
      </c>
      <c r="B2983" s="639">
        <v>400</v>
      </c>
      <c r="C2983" s="638">
        <v>2421.4389999999999</v>
      </c>
      <c r="D2983" s="633">
        <f t="shared" si="95"/>
        <v>2421.4389999999999</v>
      </c>
      <c r="E2983" s="608"/>
      <c r="F2983" s="760">
        <f t="shared" si="96"/>
        <v>1021.592921817547</v>
      </c>
      <c r="M2983" s="443"/>
    </row>
    <row r="2984" spans="1:13">
      <c r="A2984" s="639">
        <v>50413</v>
      </c>
      <c r="B2984" s="639">
        <v>500</v>
      </c>
      <c r="C2984" s="638">
        <v>2512.2269999999999</v>
      </c>
      <c r="D2984" s="633">
        <f t="shared" si="95"/>
        <v>2512.2269999999999</v>
      </c>
      <c r="E2984" s="608"/>
      <c r="F2984" s="760">
        <f t="shared" si="96"/>
        <v>1059.8959218873285</v>
      </c>
      <c r="M2984" s="443"/>
    </row>
    <row r="2985" spans="1:13">
      <c r="A2985" s="639">
        <v>50413</v>
      </c>
      <c r="B2985" s="639">
        <v>600</v>
      </c>
      <c r="C2985" s="638">
        <v>2657.3870000000002</v>
      </c>
      <c r="D2985" s="633">
        <f t="shared" si="95"/>
        <v>2657.3870000000002</v>
      </c>
      <c r="E2985" s="608"/>
      <c r="F2985" s="760">
        <f t="shared" si="96"/>
        <v>1121.1381949865211</v>
      </c>
      <c r="M2985" s="443"/>
    </row>
    <row r="2986" spans="1:13">
      <c r="A2986" s="639">
        <v>50413</v>
      </c>
      <c r="B2986" s="639">
        <v>700</v>
      </c>
      <c r="C2986" s="638">
        <v>2789.6590000000001</v>
      </c>
      <c r="D2986" s="633">
        <f t="shared" si="95"/>
        <v>2789.6590000000001</v>
      </c>
      <c r="E2986" s="608"/>
      <c r="F2986" s="760">
        <f t="shared" si="96"/>
        <v>1176.9430857785874</v>
      </c>
      <c r="M2986" s="443"/>
    </row>
    <row r="2987" spans="1:13">
      <c r="A2987" s="639">
        <v>50413</v>
      </c>
      <c r="B2987" s="639">
        <v>800</v>
      </c>
      <c r="C2987" s="638">
        <v>3018.1610000000001</v>
      </c>
      <c r="D2987" s="633">
        <f t="shared" si="95"/>
        <v>3018.1610000000001</v>
      </c>
      <c r="E2987" s="608"/>
      <c r="F2987" s="760">
        <f t="shared" si="96"/>
        <v>1273.3469290392077</v>
      </c>
      <c r="M2987" s="443"/>
    </row>
    <row r="2988" spans="1:13">
      <c r="A2988" s="639">
        <v>50413</v>
      </c>
      <c r="B2988" s="639">
        <v>900</v>
      </c>
      <c r="C2988" s="638">
        <v>3108.556</v>
      </c>
      <c r="D2988" s="633">
        <f t="shared" si="95"/>
        <v>3108.556</v>
      </c>
      <c r="E2988" s="608"/>
      <c r="F2988" s="760">
        <f t="shared" si="96"/>
        <v>1311.4841243877988</v>
      </c>
      <c r="M2988" s="443"/>
    </row>
    <row r="2989" spans="1:13">
      <c r="A2989" s="639">
        <v>50413</v>
      </c>
      <c r="B2989" s="639">
        <v>1000</v>
      </c>
      <c r="C2989" s="638">
        <v>3122.5059999999999</v>
      </c>
      <c r="D2989" s="633">
        <f t="shared" si="95"/>
        <v>3122.5059999999999</v>
      </c>
      <c r="E2989" s="608"/>
      <c r="F2989" s="760">
        <f t="shared" si="96"/>
        <v>1317.3695591476067</v>
      </c>
      <c r="M2989" s="443"/>
    </row>
    <row r="2990" spans="1:13">
      <c r="A2990" s="639">
        <v>50413</v>
      </c>
      <c r="B2990" s="639">
        <v>1100</v>
      </c>
      <c r="C2990" s="638">
        <v>3169.6979999999999</v>
      </c>
      <c r="D2990" s="633">
        <f t="shared" si="95"/>
        <v>3169.6979999999999</v>
      </c>
      <c r="E2990" s="608"/>
      <c r="F2990" s="760">
        <f t="shared" si="96"/>
        <v>1337.2796263293171</v>
      </c>
      <c r="M2990" s="443"/>
    </row>
    <row r="2991" spans="1:13">
      <c r="A2991" s="639">
        <v>50413</v>
      </c>
      <c r="B2991" s="639">
        <v>1200</v>
      </c>
      <c r="C2991" s="638">
        <v>3163.404</v>
      </c>
      <c r="D2991" s="633">
        <f t="shared" si="95"/>
        <v>3163.404</v>
      </c>
      <c r="E2991" s="608"/>
      <c r="F2991" s="760">
        <f t="shared" si="96"/>
        <v>1334.6242194204835</v>
      </c>
      <c r="M2991" s="443"/>
    </row>
    <row r="2992" spans="1:13">
      <c r="A2992" s="639">
        <v>50413</v>
      </c>
      <c r="B2992" s="639">
        <v>1300</v>
      </c>
      <c r="C2992" s="638">
        <v>3131.096</v>
      </c>
      <c r="D2992" s="633">
        <f t="shared" si="95"/>
        <v>3131.096</v>
      </c>
      <c r="E2992" s="608"/>
      <c r="F2992" s="760">
        <f t="shared" si="96"/>
        <v>1320.993636895761</v>
      </c>
      <c r="M2992" s="443"/>
    </row>
    <row r="2993" spans="1:13">
      <c r="A2993" s="639">
        <v>50413</v>
      </c>
      <c r="B2993" s="639">
        <v>1400</v>
      </c>
      <c r="C2993" s="638">
        <v>3001.6590000000001</v>
      </c>
      <c r="D2993" s="633">
        <f t="shared" si="95"/>
        <v>3001.6590000000001</v>
      </c>
      <c r="E2993" s="608"/>
      <c r="F2993" s="760">
        <f t="shared" si="96"/>
        <v>1266.384818329075</v>
      </c>
      <c r="M2993" s="443"/>
    </row>
    <row r="2994" spans="1:13">
      <c r="A2994" s="639">
        <v>50413</v>
      </c>
      <c r="B2994" s="639">
        <v>1500</v>
      </c>
      <c r="C2994" s="638">
        <v>3039.848</v>
      </c>
      <c r="D2994" s="633">
        <f t="shared" si="95"/>
        <v>3039.848</v>
      </c>
      <c r="E2994" s="608"/>
      <c r="F2994" s="760">
        <f t="shared" si="96"/>
        <v>1282.4965651421437</v>
      </c>
      <c r="M2994" s="443"/>
    </row>
    <row r="2995" spans="1:13">
      <c r="A2995" s="639">
        <v>50413</v>
      </c>
      <c r="B2995" s="639">
        <v>1600</v>
      </c>
      <c r="C2995" s="638">
        <v>3197.5239999999999</v>
      </c>
      <c r="D2995" s="633">
        <f t="shared" si="95"/>
        <v>3197.5239999999999</v>
      </c>
      <c r="E2995" s="608"/>
      <c r="F2995" s="760">
        <f t="shared" si="96"/>
        <v>1349.0192756215333</v>
      </c>
      <c r="M2995" s="443"/>
    </row>
    <row r="2996" spans="1:13">
      <c r="A2996" s="639">
        <v>50413</v>
      </c>
      <c r="B2996" s="639">
        <v>1700</v>
      </c>
      <c r="C2996" s="638">
        <v>3222.67</v>
      </c>
      <c r="D2996" s="633">
        <f t="shared" si="95"/>
        <v>3222.67</v>
      </c>
      <c r="E2996" s="608"/>
      <c r="F2996" s="760">
        <f t="shared" si="96"/>
        <v>1359.6282464079231</v>
      </c>
      <c r="M2996" s="443"/>
    </row>
    <row r="2997" spans="1:13">
      <c r="A2997" s="639">
        <v>50413</v>
      </c>
      <c r="B2997" s="639">
        <v>1800</v>
      </c>
      <c r="C2997" s="638">
        <v>3305.8960000000002</v>
      </c>
      <c r="D2997" s="633">
        <f t="shared" si="95"/>
        <v>3305.8960000000002</v>
      </c>
      <c r="E2997" s="608"/>
      <c r="F2997" s="760">
        <f t="shared" si="96"/>
        <v>1394.7408767534273</v>
      </c>
      <c r="M2997" s="443"/>
    </row>
    <row r="2998" spans="1:13">
      <c r="A2998" s="639">
        <v>50413</v>
      </c>
      <c r="B2998" s="639">
        <v>1900</v>
      </c>
      <c r="C2998" s="638">
        <v>3300.5140000000001</v>
      </c>
      <c r="D2998" s="633">
        <f t="shared" si="95"/>
        <v>3300.5140000000001</v>
      </c>
      <c r="E2998" s="608"/>
      <c r="F2998" s="760">
        <f t="shared" si="96"/>
        <v>1392.4702380525464</v>
      </c>
      <c r="M2998" s="443"/>
    </row>
    <row r="2999" spans="1:13">
      <c r="A2999" s="639">
        <v>50413</v>
      </c>
      <c r="B2999" s="639">
        <v>2000</v>
      </c>
      <c r="C2999" s="638">
        <v>3452.8449999999998</v>
      </c>
      <c r="D2999" s="633">
        <f t="shared" si="95"/>
        <v>3452.8449999999998</v>
      </c>
      <c r="E2999" s="608"/>
      <c r="F2999" s="760">
        <f t="shared" si="96"/>
        <v>1456.7379199447553</v>
      </c>
      <c r="M2999" s="443"/>
    </row>
    <row r="3000" spans="1:13">
      <c r="A3000" s="639">
        <v>50413</v>
      </c>
      <c r="B3000" s="639">
        <v>2100</v>
      </c>
      <c r="C3000" s="638">
        <v>3602.857</v>
      </c>
      <c r="D3000" s="633">
        <f t="shared" si="95"/>
        <v>3602.857</v>
      </c>
      <c r="E3000" s="608"/>
      <c r="F3000" s="760">
        <f t="shared" si="96"/>
        <v>1520.0272274134522</v>
      </c>
      <c r="M3000" s="443"/>
    </row>
    <row r="3001" spans="1:13">
      <c r="A3001" s="639">
        <v>50413</v>
      </c>
      <c r="B3001" s="639">
        <v>2200</v>
      </c>
      <c r="C3001" s="638">
        <v>3296.5410000000002</v>
      </c>
      <c r="D3001" s="633">
        <f t="shared" si="95"/>
        <v>3296.5410000000002</v>
      </c>
      <c r="E3001" s="608"/>
      <c r="F3001" s="760">
        <f t="shared" si="96"/>
        <v>1390.7940493571546</v>
      </c>
      <c r="M3001" s="443"/>
    </row>
    <row r="3002" spans="1:13">
      <c r="A3002" s="639">
        <v>50413</v>
      </c>
      <c r="B3002" s="639">
        <v>2300</v>
      </c>
      <c r="C3002" s="638">
        <v>2834.7849999999999</v>
      </c>
      <c r="D3002" s="633">
        <f t="shared" si="95"/>
        <v>2834.7849999999999</v>
      </c>
      <c r="E3002" s="608"/>
      <c r="F3002" s="760">
        <f t="shared" si="96"/>
        <v>1195.9815179628954</v>
      </c>
      <c r="M3002" s="443"/>
    </row>
    <row r="3003" spans="1:13">
      <c r="A3003" s="639">
        <v>50413</v>
      </c>
      <c r="B3003" s="639">
        <v>2400</v>
      </c>
      <c r="C3003" s="638">
        <v>2644.6089999999999</v>
      </c>
      <c r="D3003" s="633">
        <f t="shared" si="95"/>
        <v>2644.6089999999999</v>
      </c>
      <c r="E3003" s="608"/>
      <c r="F3003" s="760">
        <f t="shared" si="96"/>
        <v>1115.7472211255297</v>
      </c>
      <c r="M3003" s="443"/>
    </row>
    <row r="3004" spans="1:13">
      <c r="A3004" s="639">
        <v>50513</v>
      </c>
      <c r="B3004" s="639">
        <v>100</v>
      </c>
      <c r="C3004" s="638">
        <v>2581.9299999999998</v>
      </c>
      <c r="D3004" s="633">
        <f t="shared" si="95"/>
        <v>2581.9299999999998</v>
      </c>
      <c r="E3004" s="608"/>
      <c r="F3004" s="760">
        <f t="shared" si="96"/>
        <v>1089.3032666230201</v>
      </c>
      <c r="M3004" s="443"/>
    </row>
    <row r="3005" spans="1:13">
      <c r="A3005" s="639">
        <v>50513</v>
      </c>
      <c r="B3005" s="639">
        <v>200</v>
      </c>
      <c r="C3005" s="638">
        <v>2479.2629999999999</v>
      </c>
      <c r="D3005" s="633">
        <f t="shared" si="95"/>
        <v>2479.2629999999999</v>
      </c>
      <c r="E3005" s="608"/>
      <c r="F3005" s="760">
        <f t="shared" si="96"/>
        <v>1045.9885762656575</v>
      </c>
      <c r="M3005" s="443"/>
    </row>
    <row r="3006" spans="1:13">
      <c r="A3006" s="639">
        <v>50513</v>
      </c>
      <c r="B3006" s="639">
        <v>300</v>
      </c>
      <c r="C3006" s="638">
        <v>2436.6709999999998</v>
      </c>
      <c r="D3006" s="633">
        <f t="shared" si="95"/>
        <v>2436.6709999999998</v>
      </c>
      <c r="E3006" s="608"/>
      <c r="F3006" s="760">
        <f t="shared" si="96"/>
        <v>1028.0192259223065</v>
      </c>
      <c r="M3006" s="443"/>
    </row>
    <row r="3007" spans="1:13">
      <c r="A3007" s="639">
        <v>50513</v>
      </c>
      <c r="B3007" s="639">
        <v>400</v>
      </c>
      <c r="C3007" s="638">
        <v>2464.335</v>
      </c>
      <c r="D3007" s="633">
        <f t="shared" si="95"/>
        <v>2464.335</v>
      </c>
      <c r="E3007" s="608"/>
      <c r="F3007" s="760">
        <f t="shared" si="96"/>
        <v>1039.6905282302155</v>
      </c>
      <c r="M3007" s="443"/>
    </row>
    <row r="3008" spans="1:13">
      <c r="A3008" s="639">
        <v>50513</v>
      </c>
      <c r="B3008" s="639">
        <v>500</v>
      </c>
      <c r="C3008" s="638">
        <v>2515.819</v>
      </c>
      <c r="D3008" s="633">
        <f t="shared" si="95"/>
        <v>2515.819</v>
      </c>
      <c r="E3008" s="608"/>
      <c r="F3008" s="760">
        <f t="shared" si="96"/>
        <v>1061.4113686011085</v>
      </c>
      <c r="M3008" s="443"/>
    </row>
    <row r="3009" spans="1:13">
      <c r="A3009" s="639">
        <v>50513</v>
      </c>
      <c r="B3009" s="639">
        <v>600</v>
      </c>
      <c r="C3009" s="638">
        <v>2578.924</v>
      </c>
      <c r="D3009" s="633">
        <f t="shared" si="95"/>
        <v>2578.924</v>
      </c>
      <c r="E3009" s="608"/>
      <c r="F3009" s="760">
        <f t="shared" si="96"/>
        <v>1088.0350503586485</v>
      </c>
      <c r="M3009" s="443"/>
    </row>
    <row r="3010" spans="1:13">
      <c r="A3010" s="639">
        <v>50513</v>
      </c>
      <c r="B3010" s="639">
        <v>700</v>
      </c>
      <c r="C3010" s="638">
        <v>2623.232</v>
      </c>
      <c r="D3010" s="633">
        <f t="shared" si="95"/>
        <v>2623.232</v>
      </c>
      <c r="E3010" s="608"/>
      <c r="F3010" s="760">
        <f t="shared" si="96"/>
        <v>1106.7283724617005</v>
      </c>
      <c r="M3010" s="443"/>
    </row>
    <row r="3011" spans="1:13">
      <c r="A3011" s="639">
        <v>50513</v>
      </c>
      <c r="B3011" s="639">
        <v>800</v>
      </c>
      <c r="C3011" s="638">
        <v>2851.0520000000001</v>
      </c>
      <c r="D3011" s="633">
        <f t="shared" si="95"/>
        <v>2851.0520000000001</v>
      </c>
      <c r="E3011" s="608"/>
      <c r="F3011" s="760">
        <f t="shared" si="96"/>
        <v>1202.844483356286</v>
      </c>
      <c r="M3011" s="443"/>
    </row>
    <row r="3012" spans="1:13">
      <c r="A3012" s="639">
        <v>50513</v>
      </c>
      <c r="B3012" s="639">
        <v>900</v>
      </c>
      <c r="C3012" s="638">
        <v>3088.6790000000001</v>
      </c>
      <c r="D3012" s="633">
        <f t="shared" si="95"/>
        <v>3088.6790000000001</v>
      </c>
      <c r="E3012" s="608"/>
      <c r="F3012" s="760">
        <f t="shared" si="96"/>
        <v>1303.0981181712609</v>
      </c>
      <c r="M3012" s="443"/>
    </row>
    <row r="3013" spans="1:13">
      <c r="A3013" s="639">
        <v>50513</v>
      </c>
      <c r="B3013" s="639">
        <v>1000</v>
      </c>
      <c r="C3013" s="638">
        <v>3154.3980000000001</v>
      </c>
      <c r="D3013" s="633">
        <f t="shared" ref="D3013:D3076" si="97">C3013</f>
        <v>3154.3980000000001</v>
      </c>
      <c r="E3013" s="608"/>
      <c r="F3013" s="760">
        <f t="shared" si="96"/>
        <v>1330.8246333669472</v>
      </c>
      <c r="M3013" s="443"/>
    </row>
    <row r="3014" spans="1:13">
      <c r="A3014" s="639">
        <v>50513</v>
      </c>
      <c r="B3014" s="639">
        <v>1100</v>
      </c>
      <c r="C3014" s="638">
        <v>3127.5309999999999</v>
      </c>
      <c r="D3014" s="633">
        <f t="shared" si="97"/>
        <v>3127.5309999999999</v>
      </c>
      <c r="E3014" s="608"/>
      <c r="F3014" s="760">
        <f t="shared" si="96"/>
        <v>1319.4895813460323</v>
      </c>
      <c r="M3014" s="443"/>
    </row>
    <row r="3015" spans="1:13">
      <c r="A3015" s="639">
        <v>50513</v>
      </c>
      <c r="B3015" s="639">
        <v>1200</v>
      </c>
      <c r="C3015" s="638">
        <v>3100.44</v>
      </c>
      <c r="D3015" s="633">
        <f t="shared" si="97"/>
        <v>3100.44</v>
      </c>
      <c r="E3015" s="608"/>
      <c r="F3015" s="760">
        <f t="shared" si="96"/>
        <v>1308.0600248529886</v>
      </c>
      <c r="M3015" s="443"/>
    </row>
    <row r="3016" spans="1:13">
      <c r="A3016" s="639">
        <v>50513</v>
      </c>
      <c r="B3016" s="639">
        <v>1300</v>
      </c>
      <c r="C3016" s="638">
        <v>3096.7420000000002</v>
      </c>
      <c r="D3016" s="633">
        <f t="shared" si="97"/>
        <v>3096.7420000000002</v>
      </c>
      <c r="E3016" s="608"/>
      <c r="F3016" s="760">
        <f t="shared" si="96"/>
        <v>1306.4998572729335</v>
      </c>
      <c r="M3016" s="443"/>
    </row>
    <row r="3017" spans="1:13">
      <c r="A3017" s="639">
        <v>50513</v>
      </c>
      <c r="B3017" s="639">
        <v>1400</v>
      </c>
      <c r="C3017" s="638">
        <v>3018.6950000000002</v>
      </c>
      <c r="D3017" s="633">
        <f t="shared" si="97"/>
        <v>3018.6950000000002</v>
      </c>
      <c r="E3017" s="608"/>
      <c r="F3017" s="760">
        <f t="shared" si="96"/>
        <v>1273.5722209504434</v>
      </c>
      <c r="M3017" s="443"/>
    </row>
    <row r="3018" spans="1:13">
      <c r="A3018" s="639">
        <v>50513</v>
      </c>
      <c r="B3018" s="639">
        <v>1500</v>
      </c>
      <c r="C3018" s="638">
        <v>3096.373</v>
      </c>
      <c r="D3018" s="633">
        <f t="shared" si="97"/>
        <v>3096.373</v>
      </c>
      <c r="E3018" s="608"/>
      <c r="F3018" s="760">
        <f t="shared" si="96"/>
        <v>1306.3441780308997</v>
      </c>
      <c r="M3018" s="443"/>
    </row>
    <row r="3019" spans="1:13">
      <c r="A3019" s="639">
        <v>50513</v>
      </c>
      <c r="B3019" s="639">
        <v>1600</v>
      </c>
      <c r="C3019" s="638">
        <v>3242.3209999999999</v>
      </c>
      <c r="D3019" s="633">
        <f t="shared" si="97"/>
        <v>3242.3209999999999</v>
      </c>
      <c r="E3019" s="608"/>
      <c r="F3019" s="760">
        <f t="shared" si="96"/>
        <v>1367.9189043624024</v>
      </c>
      <c r="M3019" s="443"/>
    </row>
    <row r="3020" spans="1:13">
      <c r="A3020" s="639">
        <v>50513</v>
      </c>
      <c r="B3020" s="639">
        <v>1700</v>
      </c>
      <c r="C3020" s="638">
        <v>3416.2579999999998</v>
      </c>
      <c r="D3020" s="633">
        <f t="shared" si="97"/>
        <v>3416.2579999999998</v>
      </c>
      <c r="E3020" s="608"/>
      <c r="F3020" s="760">
        <f t="shared" si="96"/>
        <v>1441.3020488653935</v>
      </c>
      <c r="M3020" s="443"/>
    </row>
    <row r="3021" spans="1:13">
      <c r="A3021" s="639">
        <v>50513</v>
      </c>
      <c r="B3021" s="639">
        <v>1800</v>
      </c>
      <c r="C3021" s="638">
        <v>3487.4560000000001</v>
      </c>
      <c r="D3021" s="633">
        <f t="shared" si="97"/>
        <v>3487.4560000000001</v>
      </c>
      <c r="E3021" s="608"/>
      <c r="F3021" s="760">
        <f t="shared" si="96"/>
        <v>1471.3401265735522</v>
      </c>
      <c r="M3021" s="443"/>
    </row>
    <row r="3022" spans="1:13">
      <c r="A3022" s="639">
        <v>50513</v>
      </c>
      <c r="B3022" s="639">
        <v>1900</v>
      </c>
      <c r="C3022" s="638">
        <v>3566.8040000000001</v>
      </c>
      <c r="D3022" s="633">
        <f t="shared" si="97"/>
        <v>3566.8040000000001</v>
      </c>
      <c r="E3022" s="608"/>
      <c r="F3022" s="760">
        <f t="shared" si="96"/>
        <v>1504.8166482453262</v>
      </c>
      <c r="M3022" s="443"/>
    </row>
    <row r="3023" spans="1:13">
      <c r="A3023" s="639">
        <v>50513</v>
      </c>
      <c r="B3023" s="639">
        <v>2000</v>
      </c>
      <c r="C3023" s="638">
        <v>3735.808</v>
      </c>
      <c r="D3023" s="633">
        <f t="shared" si="97"/>
        <v>3735.808</v>
      </c>
      <c r="E3023" s="608"/>
      <c r="F3023" s="760">
        <f t="shared" si="96"/>
        <v>1576.1185848866592</v>
      </c>
      <c r="M3023" s="443"/>
    </row>
    <row r="3024" spans="1:13">
      <c r="A3024" s="639">
        <v>50513</v>
      </c>
      <c r="B3024" s="639">
        <v>2100</v>
      </c>
      <c r="C3024" s="638">
        <v>3835.6410000000001</v>
      </c>
      <c r="D3024" s="633">
        <f t="shared" si="97"/>
        <v>3835.6410000000001</v>
      </c>
      <c r="E3024" s="608"/>
      <c r="F3024" s="760">
        <f t="shared" si="96"/>
        <v>1618.2376249136066</v>
      </c>
      <c r="M3024" s="443"/>
    </row>
    <row r="3025" spans="1:13">
      <c r="A3025" s="639">
        <v>50513</v>
      </c>
      <c r="B3025" s="639">
        <v>2200</v>
      </c>
      <c r="C3025" s="638">
        <v>3335.1320000000001</v>
      </c>
      <c r="D3025" s="633">
        <f t="shared" si="97"/>
        <v>3335.1320000000001</v>
      </c>
      <c r="E3025" s="608"/>
      <c r="F3025" s="760">
        <f t="shared" si="96"/>
        <v>1407.0753979460974</v>
      </c>
      <c r="M3025" s="443"/>
    </row>
    <row r="3026" spans="1:13">
      <c r="A3026" s="639">
        <v>50513</v>
      </c>
      <c r="B3026" s="639">
        <v>2300</v>
      </c>
      <c r="C3026" s="638">
        <v>2722.067</v>
      </c>
      <c r="D3026" s="633">
        <f t="shared" si="97"/>
        <v>2722.067</v>
      </c>
      <c r="E3026" s="608"/>
      <c r="F3026" s="760">
        <f t="shared" si="96"/>
        <v>1148.4263613137168</v>
      </c>
      <c r="M3026" s="443"/>
    </row>
    <row r="3027" spans="1:13">
      <c r="A3027" s="639">
        <v>50513</v>
      </c>
      <c r="B3027" s="639">
        <v>2400</v>
      </c>
      <c r="C3027" s="638">
        <v>2464.5340000000001</v>
      </c>
      <c r="D3027" s="633">
        <f t="shared" si="97"/>
        <v>2464.5340000000001</v>
      </c>
      <c r="E3027" s="608"/>
      <c r="F3027" s="760">
        <f t="shared" si="96"/>
        <v>1039.7744853282229</v>
      </c>
      <c r="M3027" s="443"/>
    </row>
    <row r="3028" spans="1:13">
      <c r="A3028" s="639">
        <v>50613</v>
      </c>
      <c r="B3028" s="639">
        <v>100</v>
      </c>
      <c r="C3028" s="638">
        <v>2447.7359999999999</v>
      </c>
      <c r="D3028" s="633">
        <f t="shared" si="97"/>
        <v>2447.7359999999999</v>
      </c>
      <c r="E3028" s="608"/>
      <c r="F3028" s="760">
        <f t="shared" si="96"/>
        <v>1032.6874937084913</v>
      </c>
      <c r="M3028" s="443"/>
    </row>
    <row r="3029" spans="1:13">
      <c r="A3029" s="639">
        <v>50613</v>
      </c>
      <c r="B3029" s="639">
        <v>200</v>
      </c>
      <c r="C3029" s="638">
        <v>2380.7950000000001</v>
      </c>
      <c r="D3029" s="633">
        <f t="shared" si="97"/>
        <v>2380.7950000000001</v>
      </c>
      <c r="E3029" s="608"/>
      <c r="F3029" s="760">
        <f t="shared" si="96"/>
        <v>1004.4454228657453</v>
      </c>
      <c r="M3029" s="443"/>
    </row>
    <row r="3030" spans="1:13">
      <c r="A3030" s="639">
        <v>50613</v>
      </c>
      <c r="B3030" s="639">
        <v>300</v>
      </c>
      <c r="C3030" s="638">
        <v>2348.8879999999999</v>
      </c>
      <c r="D3030" s="633">
        <f t="shared" si="97"/>
        <v>2348.8879999999999</v>
      </c>
      <c r="E3030" s="608"/>
      <c r="F3030" s="760">
        <f t="shared" si="96"/>
        <v>990.98402022193193</v>
      </c>
      <c r="M3030" s="443"/>
    </row>
    <row r="3031" spans="1:13">
      <c r="A3031" s="639">
        <v>50613</v>
      </c>
      <c r="B3031" s="639">
        <v>400</v>
      </c>
      <c r="C3031" s="638">
        <v>2397.4870000000001</v>
      </c>
      <c r="D3031" s="633">
        <f t="shared" si="97"/>
        <v>2397.4870000000001</v>
      </c>
      <c r="E3031" s="608"/>
      <c r="F3031" s="760">
        <f t="shared" si="96"/>
        <v>1011.4876936192017</v>
      </c>
      <c r="M3031" s="443"/>
    </row>
    <row r="3032" spans="1:13">
      <c r="A3032" s="639">
        <v>50613</v>
      </c>
      <c r="B3032" s="639">
        <v>500</v>
      </c>
      <c r="C3032" s="638">
        <v>2628.96</v>
      </c>
      <c r="D3032" s="633">
        <f t="shared" si="97"/>
        <v>2628.96</v>
      </c>
      <c r="E3032" s="608"/>
      <c r="F3032" s="760">
        <f t="shared" si="96"/>
        <v>1109.1449868204234</v>
      </c>
      <c r="M3032" s="443"/>
    </row>
    <row r="3033" spans="1:13">
      <c r="A3033" s="639">
        <v>50613</v>
      </c>
      <c r="B3033" s="639">
        <v>600</v>
      </c>
      <c r="C3033" s="638">
        <v>3010.7260000000001</v>
      </c>
      <c r="D3033" s="633">
        <f t="shared" si="97"/>
        <v>3010.7260000000001</v>
      </c>
      <c r="E3033" s="608"/>
      <c r="F3033" s="760">
        <f t="shared" si="96"/>
        <v>1270.2101399754677</v>
      </c>
      <c r="M3033" s="443"/>
    </row>
    <row r="3034" spans="1:13">
      <c r="A3034" s="639">
        <v>50613</v>
      </c>
      <c r="B3034" s="639">
        <v>700</v>
      </c>
      <c r="C3034" s="638">
        <v>3085.3049999999998</v>
      </c>
      <c r="D3034" s="633">
        <f t="shared" si="97"/>
        <v>3085.3049999999998</v>
      </c>
      <c r="E3034" s="608"/>
      <c r="F3034" s="760">
        <f t="shared" si="96"/>
        <v>1301.6746445598205</v>
      </c>
      <c r="M3034" s="443"/>
    </row>
    <row r="3035" spans="1:13">
      <c r="A3035" s="639">
        <v>50613</v>
      </c>
      <c r="B3035" s="639">
        <v>800</v>
      </c>
      <c r="C3035" s="638">
        <v>3003.0189999999998</v>
      </c>
      <c r="D3035" s="633">
        <f t="shared" si="97"/>
        <v>3003.0189999999998</v>
      </c>
      <c r="E3035" s="608"/>
      <c r="F3035" s="760">
        <f t="shared" si="96"/>
        <v>1266.9585954812856</v>
      </c>
      <c r="M3035" s="443"/>
    </row>
    <row r="3036" spans="1:13">
      <c r="A3036" s="639">
        <v>50613</v>
      </c>
      <c r="B3036" s="639">
        <v>900</v>
      </c>
      <c r="C3036" s="638">
        <v>2953.556</v>
      </c>
      <c r="D3036" s="633">
        <f t="shared" si="97"/>
        <v>2953.556</v>
      </c>
      <c r="E3036" s="608"/>
      <c r="F3036" s="760">
        <f t="shared" ref="F3036:F3099" si="98">(D3036/(MAX($D$2908:$D$3651)))*$M$8</f>
        <v>1246.0904048343762</v>
      </c>
      <c r="M3036" s="443"/>
    </row>
    <row r="3037" spans="1:13">
      <c r="A3037" s="639">
        <v>50613</v>
      </c>
      <c r="B3037" s="639">
        <v>1000</v>
      </c>
      <c r="C3037" s="638">
        <v>2877.0010000000002</v>
      </c>
      <c r="D3037" s="633">
        <f t="shared" si="97"/>
        <v>2877.0010000000002</v>
      </c>
      <c r="E3037" s="608"/>
      <c r="F3037" s="760">
        <f t="shared" si="98"/>
        <v>1213.7922357994585</v>
      </c>
      <c r="M3037" s="443"/>
    </row>
    <row r="3038" spans="1:13">
      <c r="A3038" s="639">
        <v>50613</v>
      </c>
      <c r="B3038" s="639">
        <v>1100</v>
      </c>
      <c r="C3038" s="638">
        <v>2877.4389999999999</v>
      </c>
      <c r="D3038" s="633">
        <f t="shared" si="97"/>
        <v>2877.4389999999999</v>
      </c>
      <c r="E3038" s="608"/>
      <c r="F3038" s="760">
        <f t="shared" si="98"/>
        <v>1213.9770257940675</v>
      </c>
      <c r="M3038" s="443"/>
    </row>
    <row r="3039" spans="1:13">
      <c r="A3039" s="639">
        <v>50613</v>
      </c>
      <c r="B3039" s="639">
        <v>1200</v>
      </c>
      <c r="C3039" s="638">
        <v>2853.741</v>
      </c>
      <c r="D3039" s="633">
        <f t="shared" si="97"/>
        <v>2853.741</v>
      </c>
      <c r="E3039" s="608"/>
      <c r="F3039" s="760">
        <f t="shared" si="98"/>
        <v>1203.9789589167965</v>
      </c>
      <c r="M3039" s="443"/>
    </row>
    <row r="3040" spans="1:13">
      <c r="A3040" s="639">
        <v>50613</v>
      </c>
      <c r="B3040" s="639">
        <v>1300</v>
      </c>
      <c r="C3040" s="638">
        <v>2809.0630000000001</v>
      </c>
      <c r="D3040" s="633">
        <f t="shared" si="97"/>
        <v>2809.0630000000001</v>
      </c>
      <c r="E3040" s="608"/>
      <c r="F3040" s="760">
        <f t="shared" si="98"/>
        <v>1185.1295356767462</v>
      </c>
      <c r="M3040" s="443"/>
    </row>
    <row r="3041" spans="1:13">
      <c r="A3041" s="639">
        <v>50613</v>
      </c>
      <c r="B3041" s="639">
        <v>1400</v>
      </c>
      <c r="C3041" s="638">
        <v>4680.1270000000004</v>
      </c>
      <c r="D3041" s="633">
        <f t="shared" si="97"/>
        <v>4680.1270000000004</v>
      </c>
      <c r="E3041" s="608"/>
      <c r="F3041" s="760">
        <f t="shared" si="98"/>
        <v>1974.5220162090359</v>
      </c>
      <c r="M3041" s="443"/>
    </row>
    <row r="3042" spans="1:13">
      <c r="A3042" s="639">
        <v>50613</v>
      </c>
      <c r="B3042" s="639">
        <v>1500</v>
      </c>
      <c r="C3042" s="638">
        <v>4684.0919999999996</v>
      </c>
      <c r="D3042" s="633">
        <f t="shared" si="97"/>
        <v>4684.0919999999996</v>
      </c>
      <c r="E3042" s="608"/>
      <c r="F3042" s="760">
        <f t="shared" si="98"/>
        <v>1976.1948297447088</v>
      </c>
      <c r="M3042" s="443"/>
    </row>
    <row r="3043" spans="1:13">
      <c r="A3043" s="639">
        <v>50613</v>
      </c>
      <c r="B3043" s="639">
        <v>1600</v>
      </c>
      <c r="C3043" s="638">
        <v>4968.9830000000002</v>
      </c>
      <c r="D3043" s="633">
        <f t="shared" si="97"/>
        <v>4968.9830000000002</v>
      </c>
      <c r="E3043" s="608"/>
      <c r="F3043" s="760">
        <f t="shared" si="98"/>
        <v>2096.3889081788643</v>
      </c>
      <c r="M3043" s="443"/>
    </row>
    <row r="3044" spans="1:13">
      <c r="A3044" s="639">
        <v>50613</v>
      </c>
      <c r="B3044" s="639">
        <v>1700</v>
      </c>
      <c r="C3044" s="638">
        <v>5469.1530000000002</v>
      </c>
      <c r="D3044" s="633">
        <f t="shared" si="97"/>
        <v>5469.1530000000002</v>
      </c>
      <c r="E3044" s="608"/>
      <c r="F3044" s="760">
        <f t="shared" si="98"/>
        <v>2307.4081127532859</v>
      </c>
      <c r="M3044" s="443"/>
    </row>
    <row r="3045" spans="1:13">
      <c r="A3045" s="639">
        <v>50613</v>
      </c>
      <c r="B3045" s="639">
        <v>1800</v>
      </c>
      <c r="C3045" s="638">
        <v>5653.3280000000004</v>
      </c>
      <c r="D3045" s="633">
        <f t="shared" si="97"/>
        <v>5653.3280000000004</v>
      </c>
      <c r="E3045" s="608"/>
      <c r="F3045" s="760">
        <f t="shared" si="98"/>
        <v>2385.1106179065218</v>
      </c>
      <c r="M3045" s="443"/>
    </row>
    <row r="3046" spans="1:13">
      <c r="A3046" s="639">
        <v>50613</v>
      </c>
      <c r="B3046" s="639">
        <v>1900</v>
      </c>
      <c r="C3046" s="638">
        <v>5861.183</v>
      </c>
      <c r="D3046" s="633">
        <f t="shared" si="97"/>
        <v>5861.183</v>
      </c>
      <c r="E3046" s="608"/>
      <c r="F3046" s="760">
        <f t="shared" si="98"/>
        <v>2472.8035958276614</v>
      </c>
      <c r="M3046" s="443"/>
    </row>
    <row r="3047" spans="1:13">
      <c r="A3047" s="639">
        <v>50613</v>
      </c>
      <c r="B3047" s="639">
        <v>2000</v>
      </c>
      <c r="C3047" s="638">
        <v>6268.1639999999998</v>
      </c>
      <c r="D3047" s="633">
        <f t="shared" si="97"/>
        <v>6268.1639999999998</v>
      </c>
      <c r="E3047" s="608"/>
      <c r="F3047" s="760">
        <f t="shared" si="98"/>
        <v>2644.5068305216705</v>
      </c>
      <c r="M3047" s="443"/>
    </row>
    <row r="3048" spans="1:13">
      <c r="A3048" s="639">
        <v>50613</v>
      </c>
      <c r="B3048" s="639">
        <v>2100</v>
      </c>
      <c r="C3048" s="638">
        <v>6531.1629999999996</v>
      </c>
      <c r="D3048" s="633">
        <f t="shared" si="97"/>
        <v>6531.1629999999996</v>
      </c>
      <c r="E3048" s="608"/>
      <c r="F3048" s="760">
        <f t="shared" si="98"/>
        <v>2755.4647843850935</v>
      </c>
      <c r="M3048" s="443"/>
    </row>
    <row r="3049" spans="1:13">
      <c r="A3049" s="639">
        <v>50613</v>
      </c>
      <c r="B3049" s="639">
        <v>2200</v>
      </c>
      <c r="C3049" s="638">
        <v>5678.7920000000004</v>
      </c>
      <c r="D3049" s="633">
        <f t="shared" si="97"/>
        <v>5678.7920000000004</v>
      </c>
      <c r="E3049" s="608"/>
      <c r="F3049" s="760">
        <f t="shared" si="98"/>
        <v>2395.8537512917374</v>
      </c>
      <c r="M3049" s="443"/>
    </row>
    <row r="3050" spans="1:13">
      <c r="A3050" s="639">
        <v>50613</v>
      </c>
      <c r="B3050" s="639">
        <v>2300</v>
      </c>
      <c r="C3050" s="638">
        <v>4698.3890000000001</v>
      </c>
      <c r="D3050" s="633">
        <f t="shared" si="97"/>
        <v>4698.3890000000001</v>
      </c>
      <c r="E3050" s="608"/>
      <c r="F3050" s="760">
        <f t="shared" si="98"/>
        <v>1982.2266620573237</v>
      </c>
      <c r="M3050" s="443"/>
    </row>
    <row r="3051" spans="1:13">
      <c r="A3051" s="639">
        <v>50613</v>
      </c>
      <c r="B3051" s="639">
        <v>2400</v>
      </c>
      <c r="C3051" s="638">
        <v>4192.4610000000002</v>
      </c>
      <c r="D3051" s="633">
        <f t="shared" si="97"/>
        <v>4192.4610000000002</v>
      </c>
      <c r="E3051" s="608"/>
      <c r="F3051" s="760">
        <f t="shared" si="98"/>
        <v>1768.7781862752338</v>
      </c>
      <c r="M3051" s="443"/>
    </row>
    <row r="3052" spans="1:13">
      <c r="A3052" s="639">
        <v>50713</v>
      </c>
      <c r="B3052" s="639">
        <v>100</v>
      </c>
      <c r="C3052" s="638">
        <v>4064.681</v>
      </c>
      <c r="D3052" s="633">
        <f t="shared" si="97"/>
        <v>4064.681</v>
      </c>
      <c r="E3052" s="608"/>
      <c r="F3052" s="760">
        <f t="shared" si="98"/>
        <v>1714.8684476653218</v>
      </c>
      <c r="M3052" s="443"/>
    </row>
    <row r="3053" spans="1:13">
      <c r="A3053" s="639">
        <v>50713</v>
      </c>
      <c r="B3053" s="639">
        <v>200</v>
      </c>
      <c r="C3053" s="638">
        <v>3990.0639999999999</v>
      </c>
      <c r="D3053" s="633">
        <f t="shared" si="97"/>
        <v>3990.0639999999999</v>
      </c>
      <c r="E3053" s="608"/>
      <c r="F3053" s="760">
        <f t="shared" si="98"/>
        <v>1683.3879110723042</v>
      </c>
      <c r="M3053" s="443"/>
    </row>
    <row r="3054" spans="1:13">
      <c r="A3054" s="639">
        <v>50713</v>
      </c>
      <c r="B3054" s="639">
        <v>300</v>
      </c>
      <c r="C3054" s="638">
        <v>3936.819</v>
      </c>
      <c r="D3054" s="633">
        <f t="shared" si="97"/>
        <v>3936.819</v>
      </c>
      <c r="E3054" s="608"/>
      <c r="F3054" s="760">
        <f t="shared" si="98"/>
        <v>1660.9241136682915</v>
      </c>
      <c r="M3054" s="443"/>
    </row>
    <row r="3055" spans="1:13">
      <c r="A3055" s="639">
        <v>50713</v>
      </c>
      <c r="B3055" s="639">
        <v>400</v>
      </c>
      <c r="C3055" s="638">
        <v>4019.0639999999999</v>
      </c>
      <c r="D3055" s="633">
        <f t="shared" si="97"/>
        <v>4019.0639999999999</v>
      </c>
      <c r="E3055" s="608"/>
      <c r="F3055" s="760">
        <f t="shared" si="98"/>
        <v>1695.6228650532673</v>
      </c>
      <c r="M3055" s="443"/>
    </row>
    <row r="3056" spans="1:13">
      <c r="A3056" s="639">
        <v>50713</v>
      </c>
      <c r="B3056" s="639">
        <v>500</v>
      </c>
      <c r="C3056" s="638">
        <v>4433.192</v>
      </c>
      <c r="D3056" s="633">
        <f t="shared" si="97"/>
        <v>4433.192</v>
      </c>
      <c r="E3056" s="608"/>
      <c r="F3056" s="760">
        <f t="shared" si="98"/>
        <v>1870.3413830611366</v>
      </c>
      <c r="M3056" s="443"/>
    </row>
    <row r="3057" spans="1:13">
      <c r="A3057" s="639">
        <v>50713</v>
      </c>
      <c r="B3057" s="639">
        <v>600</v>
      </c>
      <c r="C3057" s="638">
        <v>5104.9369999999999</v>
      </c>
      <c r="D3057" s="633">
        <f t="shared" si="97"/>
        <v>5104.9369999999999</v>
      </c>
      <c r="E3057" s="608"/>
      <c r="F3057" s="760">
        <f t="shared" si="98"/>
        <v>2153.747216231548</v>
      </c>
      <c r="M3057" s="443"/>
    </row>
    <row r="3058" spans="1:13">
      <c r="A3058" s="639">
        <v>50713</v>
      </c>
      <c r="B3058" s="639">
        <v>700</v>
      </c>
      <c r="C3058" s="638">
        <v>5236.4740000000002</v>
      </c>
      <c r="D3058" s="633">
        <f t="shared" si="97"/>
        <v>5236.4740000000002</v>
      </c>
      <c r="E3058" s="608"/>
      <c r="F3058" s="760">
        <f t="shared" si="98"/>
        <v>2209.2420142244418</v>
      </c>
      <c r="M3058" s="443"/>
    </row>
    <row r="3059" spans="1:13">
      <c r="A3059" s="639">
        <v>50713</v>
      </c>
      <c r="B3059" s="639">
        <v>800</v>
      </c>
      <c r="C3059" s="638">
        <v>5025.2820000000002</v>
      </c>
      <c r="D3059" s="633">
        <f t="shared" si="97"/>
        <v>5025.2820000000002</v>
      </c>
      <c r="E3059" s="608"/>
      <c r="F3059" s="760">
        <f t="shared" si="98"/>
        <v>2120.1411728055618</v>
      </c>
      <c r="M3059" s="443"/>
    </row>
    <row r="3060" spans="1:13">
      <c r="A3060" s="639">
        <v>50713</v>
      </c>
      <c r="B3060" s="639">
        <v>900</v>
      </c>
      <c r="C3060" s="638">
        <v>4815.6989999999996</v>
      </c>
      <c r="D3060" s="633">
        <f t="shared" si="97"/>
        <v>4815.6989999999996</v>
      </c>
      <c r="E3060" s="608"/>
      <c r="F3060" s="760">
        <f t="shared" si="98"/>
        <v>2031.7191603851427</v>
      </c>
      <c r="M3060" s="443"/>
    </row>
    <row r="3061" spans="1:13">
      <c r="A3061" s="639">
        <v>50713</v>
      </c>
      <c r="B3061" s="639">
        <v>1000</v>
      </c>
      <c r="C3061" s="638">
        <v>4780.0789999999997</v>
      </c>
      <c r="D3061" s="633">
        <f t="shared" si="97"/>
        <v>4780.0789999999997</v>
      </c>
      <c r="E3061" s="608"/>
      <c r="F3061" s="760">
        <f t="shared" si="98"/>
        <v>2016.6912617368016</v>
      </c>
      <c r="M3061" s="443"/>
    </row>
    <row r="3062" spans="1:13">
      <c r="A3062" s="639">
        <v>50713</v>
      </c>
      <c r="B3062" s="639">
        <v>1100</v>
      </c>
      <c r="C3062" s="638">
        <v>4658.0050000000001</v>
      </c>
      <c r="D3062" s="633">
        <f t="shared" si="97"/>
        <v>4658.0050000000001</v>
      </c>
      <c r="E3062" s="608"/>
      <c r="F3062" s="760">
        <f t="shared" si="98"/>
        <v>1965.1888557963855</v>
      </c>
      <c r="M3062" s="443"/>
    </row>
    <row r="3063" spans="1:13">
      <c r="A3063" s="639">
        <v>50713</v>
      </c>
      <c r="B3063" s="639">
        <v>1200</v>
      </c>
      <c r="C3063" s="638">
        <v>4637.5479999999998</v>
      </c>
      <c r="D3063" s="633">
        <f t="shared" si="97"/>
        <v>4637.5479999999998</v>
      </c>
      <c r="E3063" s="608"/>
      <c r="F3063" s="760">
        <f t="shared" si="98"/>
        <v>1956.5581505002281</v>
      </c>
      <c r="M3063" s="443"/>
    </row>
    <row r="3064" spans="1:13">
      <c r="A3064" s="639">
        <v>50713</v>
      </c>
      <c r="B3064" s="639">
        <v>1300</v>
      </c>
      <c r="C3064" s="638">
        <v>4658.085</v>
      </c>
      <c r="D3064" s="633">
        <f t="shared" si="97"/>
        <v>4658.085</v>
      </c>
      <c r="E3064" s="608"/>
      <c r="F3064" s="760">
        <f t="shared" si="98"/>
        <v>1965.2226073935744</v>
      </c>
      <c r="M3064" s="443"/>
    </row>
    <row r="3065" spans="1:13">
      <c r="A3065" s="639">
        <v>50713</v>
      </c>
      <c r="B3065" s="639">
        <v>1400</v>
      </c>
      <c r="C3065" s="638">
        <v>4673.0039999999999</v>
      </c>
      <c r="D3065" s="633">
        <f t="shared" si="97"/>
        <v>4673.0039999999999</v>
      </c>
      <c r="E3065" s="608"/>
      <c r="F3065" s="760">
        <f t="shared" si="98"/>
        <v>1971.5168583743323</v>
      </c>
      <c r="M3065" s="443"/>
    </row>
    <row r="3066" spans="1:13">
      <c r="A3066" s="639">
        <v>50713</v>
      </c>
      <c r="B3066" s="639">
        <v>1500</v>
      </c>
      <c r="C3066" s="638">
        <v>4861.3490000000002</v>
      </c>
      <c r="D3066" s="633">
        <f t="shared" si="97"/>
        <v>4861.3490000000002</v>
      </c>
      <c r="E3066" s="608"/>
      <c r="F3066" s="760">
        <f t="shared" si="98"/>
        <v>2050.9786655310381</v>
      </c>
      <c r="M3066" s="443"/>
    </row>
    <row r="3067" spans="1:13">
      <c r="A3067" s="639">
        <v>50713</v>
      </c>
      <c r="B3067" s="639">
        <v>1600</v>
      </c>
      <c r="C3067" s="638">
        <v>5075.9080000000004</v>
      </c>
      <c r="D3067" s="633">
        <f t="shared" si="97"/>
        <v>5075.9080000000004</v>
      </c>
      <c r="E3067" s="608"/>
      <c r="F3067" s="760">
        <f t="shared" si="98"/>
        <v>2141.5000272966045</v>
      </c>
      <c r="M3067" s="443"/>
    </row>
    <row r="3068" spans="1:13">
      <c r="A3068" s="639">
        <v>50713</v>
      </c>
      <c r="B3068" s="639">
        <v>1700</v>
      </c>
      <c r="C3068" s="638">
        <v>5496.107</v>
      </c>
      <c r="D3068" s="633">
        <f t="shared" si="97"/>
        <v>5496.107</v>
      </c>
      <c r="E3068" s="608"/>
      <c r="F3068" s="760">
        <f t="shared" si="98"/>
        <v>2318.7798696361433</v>
      </c>
      <c r="M3068" s="443"/>
    </row>
    <row r="3069" spans="1:13">
      <c r="A3069" s="639">
        <v>50713</v>
      </c>
      <c r="B3069" s="639">
        <v>1800</v>
      </c>
      <c r="C3069" s="638">
        <v>5759.8819999999996</v>
      </c>
      <c r="D3069" s="633">
        <f t="shared" si="97"/>
        <v>5759.8819999999996</v>
      </c>
      <c r="E3069" s="608"/>
      <c r="F3069" s="760">
        <f t="shared" si="98"/>
        <v>2430.0652139922981</v>
      </c>
      <c r="M3069" s="443"/>
    </row>
    <row r="3070" spans="1:13">
      <c r="A3070" s="639">
        <v>50713</v>
      </c>
      <c r="B3070" s="639">
        <v>1900</v>
      </c>
      <c r="C3070" s="638">
        <v>5842.49</v>
      </c>
      <c r="D3070" s="633">
        <f t="shared" si="97"/>
        <v>5842.49</v>
      </c>
      <c r="E3070" s="608"/>
      <c r="F3070" s="760">
        <f t="shared" si="98"/>
        <v>2464.9171132495185</v>
      </c>
      <c r="M3070" s="443"/>
    </row>
    <row r="3071" spans="1:13">
      <c r="A3071" s="639">
        <v>50713</v>
      </c>
      <c r="B3071" s="639">
        <v>2000</v>
      </c>
      <c r="C3071" s="638">
        <v>6249.1260000000002</v>
      </c>
      <c r="D3071" s="633">
        <f t="shared" si="97"/>
        <v>6249.1260000000002</v>
      </c>
      <c r="E3071" s="608"/>
      <c r="F3071" s="760">
        <f t="shared" si="98"/>
        <v>2636.4747941806509</v>
      </c>
      <c r="M3071" s="443"/>
    </row>
    <row r="3072" spans="1:13">
      <c r="A3072" s="639">
        <v>50713</v>
      </c>
      <c r="B3072" s="639">
        <v>2100</v>
      </c>
      <c r="C3072" s="638">
        <v>6576.1450000000004</v>
      </c>
      <c r="D3072" s="633">
        <f t="shared" si="97"/>
        <v>6576.1450000000004</v>
      </c>
      <c r="E3072" s="608"/>
      <c r="F3072" s="760">
        <f t="shared" si="98"/>
        <v>2774.4424636944618</v>
      </c>
      <c r="M3072" s="443"/>
    </row>
    <row r="3073" spans="1:13">
      <c r="A3073" s="639">
        <v>50713</v>
      </c>
      <c r="B3073" s="639">
        <v>2200</v>
      </c>
      <c r="C3073" s="638">
        <v>5748.982</v>
      </c>
      <c r="D3073" s="633">
        <f t="shared" si="97"/>
        <v>5748.982</v>
      </c>
      <c r="E3073" s="608"/>
      <c r="F3073" s="760">
        <f t="shared" si="98"/>
        <v>2425.4665588753155</v>
      </c>
      <c r="M3073" s="443"/>
    </row>
    <row r="3074" spans="1:13">
      <c r="A3074" s="639">
        <v>50713</v>
      </c>
      <c r="B3074" s="639">
        <v>2300</v>
      </c>
      <c r="C3074" s="638">
        <v>4734.3609999999999</v>
      </c>
      <c r="D3074" s="633">
        <f t="shared" si="97"/>
        <v>4734.3609999999999</v>
      </c>
      <c r="E3074" s="608"/>
      <c r="F3074" s="760">
        <f t="shared" si="98"/>
        <v>1997.403067733296</v>
      </c>
      <c r="M3074" s="443"/>
    </row>
    <row r="3075" spans="1:13">
      <c r="A3075" s="639">
        <v>50713</v>
      </c>
      <c r="B3075" s="639">
        <v>2400</v>
      </c>
      <c r="C3075" s="638">
        <v>4211.7049999999999</v>
      </c>
      <c r="D3075" s="633">
        <f t="shared" si="97"/>
        <v>4211.7049999999999</v>
      </c>
      <c r="E3075" s="608"/>
      <c r="F3075" s="760">
        <f t="shared" si="98"/>
        <v>1776.8971329790147</v>
      </c>
      <c r="M3075" s="443"/>
    </row>
    <row r="3076" spans="1:13">
      <c r="A3076" s="639">
        <v>50813</v>
      </c>
      <c r="B3076" s="639">
        <v>100</v>
      </c>
      <c r="C3076" s="638">
        <v>4068.4050000000002</v>
      </c>
      <c r="D3076" s="633">
        <f t="shared" si="97"/>
        <v>4068.4050000000002</v>
      </c>
      <c r="E3076" s="608"/>
      <c r="F3076" s="760">
        <f t="shared" si="98"/>
        <v>1716.4395845144634</v>
      </c>
      <c r="M3076" s="443"/>
    </row>
    <row r="3077" spans="1:13">
      <c r="A3077" s="639">
        <v>50813</v>
      </c>
      <c r="B3077" s="639">
        <v>200</v>
      </c>
      <c r="C3077" s="638">
        <v>3900.4290000000001</v>
      </c>
      <c r="D3077" s="633">
        <f t="shared" ref="D3077:D3140" si="99">C3077</f>
        <v>3900.4290000000001</v>
      </c>
      <c r="E3077" s="608"/>
      <c r="F3077" s="760">
        <f t="shared" si="98"/>
        <v>1645.5713558970074</v>
      </c>
      <c r="M3077" s="443"/>
    </row>
    <row r="3078" spans="1:13">
      <c r="A3078" s="639">
        <v>50813</v>
      </c>
      <c r="B3078" s="639">
        <v>300</v>
      </c>
      <c r="C3078" s="638">
        <v>3822.1030000000001</v>
      </c>
      <c r="D3078" s="633">
        <f t="shared" si="99"/>
        <v>3822.1030000000001</v>
      </c>
      <c r="E3078" s="608"/>
      <c r="F3078" s="760">
        <f t="shared" si="98"/>
        <v>1612.5260108793211</v>
      </c>
      <c r="M3078" s="443"/>
    </row>
    <row r="3079" spans="1:13">
      <c r="A3079" s="639">
        <v>50813</v>
      </c>
      <c r="B3079" s="639">
        <v>400</v>
      </c>
      <c r="C3079" s="638">
        <v>3903.9870000000001</v>
      </c>
      <c r="D3079" s="633">
        <f t="shared" si="99"/>
        <v>3903.9870000000001</v>
      </c>
      <c r="E3079" s="608"/>
      <c r="F3079" s="760">
        <f t="shared" si="98"/>
        <v>1647.072458181982</v>
      </c>
      <c r="M3079" s="443"/>
    </row>
    <row r="3080" spans="1:13">
      <c r="A3080" s="639">
        <v>50813</v>
      </c>
      <c r="B3080" s="639">
        <v>500</v>
      </c>
      <c r="C3080" s="638">
        <v>4272.232</v>
      </c>
      <c r="D3080" s="633">
        <f t="shared" si="99"/>
        <v>4272.232</v>
      </c>
      <c r="E3080" s="608"/>
      <c r="F3080" s="760">
        <f t="shared" si="98"/>
        <v>1802.4331695171438</v>
      </c>
      <c r="M3080" s="443"/>
    </row>
    <row r="3081" spans="1:13">
      <c r="A3081" s="639">
        <v>50813</v>
      </c>
      <c r="B3081" s="639">
        <v>600</v>
      </c>
      <c r="C3081" s="638">
        <v>4979.5010000000002</v>
      </c>
      <c r="D3081" s="633">
        <f t="shared" si="99"/>
        <v>4979.5010000000002</v>
      </c>
      <c r="E3081" s="608"/>
      <c r="F3081" s="760">
        <f t="shared" si="98"/>
        <v>2100.8263994192703</v>
      </c>
      <c r="M3081" s="443"/>
    </row>
    <row r="3082" spans="1:13">
      <c r="A3082" s="639">
        <v>50813</v>
      </c>
      <c r="B3082" s="639">
        <v>700</v>
      </c>
      <c r="C3082" s="638">
        <v>5451.6859999999997</v>
      </c>
      <c r="D3082" s="633">
        <f t="shared" si="99"/>
        <v>5451.6859999999997</v>
      </c>
      <c r="E3082" s="608"/>
      <c r="F3082" s="760">
        <f t="shared" si="98"/>
        <v>2300.0388734020621</v>
      </c>
      <c r="M3082" s="443"/>
    </row>
    <row r="3083" spans="1:13">
      <c r="A3083" s="639">
        <v>50813</v>
      </c>
      <c r="B3083" s="639">
        <v>800</v>
      </c>
      <c r="C3083" s="638">
        <v>5037.5050000000001</v>
      </c>
      <c r="D3083" s="633">
        <f t="shared" si="99"/>
        <v>5037.5050000000001</v>
      </c>
      <c r="E3083" s="608"/>
      <c r="F3083" s="760">
        <f t="shared" si="98"/>
        <v>2125.2979949610553</v>
      </c>
      <c r="M3083" s="443"/>
    </row>
    <row r="3084" spans="1:13">
      <c r="A3084" s="639">
        <v>50813</v>
      </c>
      <c r="B3084" s="639">
        <v>900</v>
      </c>
      <c r="C3084" s="638">
        <v>4837.4160000000002</v>
      </c>
      <c r="D3084" s="633">
        <f t="shared" si="99"/>
        <v>4837.4160000000002</v>
      </c>
      <c r="E3084" s="608"/>
      <c r="F3084" s="760">
        <f t="shared" si="98"/>
        <v>2040.8814533370246</v>
      </c>
      <c r="M3084" s="443"/>
    </row>
    <row r="3085" spans="1:13">
      <c r="A3085" s="639">
        <v>50813</v>
      </c>
      <c r="B3085" s="639">
        <v>1000</v>
      </c>
      <c r="C3085" s="638">
        <v>4751.2520000000004</v>
      </c>
      <c r="D3085" s="633">
        <f t="shared" si="99"/>
        <v>4751.2520000000004</v>
      </c>
      <c r="E3085" s="608"/>
      <c r="F3085" s="760">
        <f t="shared" si="98"/>
        <v>2004.5292955847599</v>
      </c>
      <c r="M3085" s="443"/>
    </row>
    <row r="3086" spans="1:13">
      <c r="A3086" s="639">
        <v>50813</v>
      </c>
      <c r="B3086" s="639">
        <v>1100</v>
      </c>
      <c r="C3086" s="638">
        <v>4688.9809999999998</v>
      </c>
      <c r="D3086" s="633">
        <f t="shared" si="99"/>
        <v>4688.9809999999998</v>
      </c>
      <c r="E3086" s="608"/>
      <c r="F3086" s="760">
        <f t="shared" si="98"/>
        <v>1978.2574742279132</v>
      </c>
      <c r="M3086" s="443"/>
    </row>
    <row r="3087" spans="1:13">
      <c r="A3087" s="639">
        <v>50813</v>
      </c>
      <c r="B3087" s="639">
        <v>1200</v>
      </c>
      <c r="C3087" s="638">
        <v>4604.32</v>
      </c>
      <c r="D3087" s="633">
        <f t="shared" si="99"/>
        <v>4604.32</v>
      </c>
      <c r="E3087" s="608"/>
      <c r="F3087" s="760">
        <f t="shared" si="98"/>
        <v>1942.5394246078338</v>
      </c>
      <c r="M3087" s="443"/>
    </row>
    <row r="3088" spans="1:13">
      <c r="A3088" s="639">
        <v>50813</v>
      </c>
      <c r="B3088" s="639">
        <v>1300</v>
      </c>
      <c r="C3088" s="638">
        <v>4509.0110000000004</v>
      </c>
      <c r="D3088" s="633">
        <f t="shared" si="99"/>
        <v>4509.0110000000004</v>
      </c>
      <c r="E3088" s="608"/>
      <c r="F3088" s="760">
        <f t="shared" si="98"/>
        <v>1902.329037401917</v>
      </c>
      <c r="M3088" s="443"/>
    </row>
    <row r="3089" spans="1:13">
      <c r="A3089" s="639">
        <v>50813</v>
      </c>
      <c r="B3089" s="639">
        <v>1400</v>
      </c>
      <c r="C3089" s="638">
        <v>4634.4390000000003</v>
      </c>
      <c r="D3089" s="633">
        <f t="shared" si="99"/>
        <v>4634.4390000000003</v>
      </c>
      <c r="E3089" s="608"/>
      <c r="F3089" s="760">
        <f t="shared" si="98"/>
        <v>1955.2464790544761</v>
      </c>
      <c r="M3089" s="443"/>
    </row>
    <row r="3090" spans="1:13">
      <c r="A3090" s="639">
        <v>50813</v>
      </c>
      <c r="B3090" s="639">
        <v>1500</v>
      </c>
      <c r="C3090" s="638">
        <v>4838.6480000000001</v>
      </c>
      <c r="D3090" s="633">
        <f t="shared" si="99"/>
        <v>4838.6480000000001</v>
      </c>
      <c r="E3090" s="608"/>
      <c r="F3090" s="760">
        <f t="shared" si="98"/>
        <v>2041.4012279337333</v>
      </c>
      <c r="M3090" s="443"/>
    </row>
    <row r="3091" spans="1:13">
      <c r="A3091" s="639">
        <v>50813</v>
      </c>
      <c r="B3091" s="639">
        <v>1600</v>
      </c>
      <c r="C3091" s="638">
        <v>5112.9970000000003</v>
      </c>
      <c r="D3091" s="633">
        <f t="shared" si="99"/>
        <v>5112.9970000000003</v>
      </c>
      <c r="E3091" s="608"/>
      <c r="F3091" s="760">
        <f t="shared" si="98"/>
        <v>2157.1476896483264</v>
      </c>
      <c r="M3091" s="443"/>
    </row>
    <row r="3092" spans="1:13">
      <c r="A3092" s="639">
        <v>50813</v>
      </c>
      <c r="B3092" s="639">
        <v>1700</v>
      </c>
      <c r="C3092" s="638">
        <v>5583.92</v>
      </c>
      <c r="D3092" s="633">
        <f t="shared" si="99"/>
        <v>5583.92</v>
      </c>
      <c r="E3092" s="608"/>
      <c r="F3092" s="760">
        <f t="shared" si="98"/>
        <v>2355.8277321854644</v>
      </c>
      <c r="M3092" s="443"/>
    </row>
    <row r="3093" spans="1:13">
      <c r="A3093" s="639">
        <v>50813</v>
      </c>
      <c r="B3093" s="639">
        <v>1800</v>
      </c>
      <c r="C3093" s="638">
        <v>5587.8410000000003</v>
      </c>
      <c r="D3093" s="633">
        <f t="shared" si="99"/>
        <v>5587.8410000000003</v>
      </c>
      <c r="E3093" s="608"/>
      <c r="F3093" s="760">
        <f t="shared" si="98"/>
        <v>2357.4819823426833</v>
      </c>
      <c r="M3093" s="443"/>
    </row>
    <row r="3094" spans="1:13">
      <c r="A3094" s="639">
        <v>50813</v>
      </c>
      <c r="B3094" s="639">
        <v>1900</v>
      </c>
      <c r="C3094" s="638">
        <v>5810.884</v>
      </c>
      <c r="D3094" s="633">
        <f t="shared" si="99"/>
        <v>5810.884</v>
      </c>
      <c r="E3094" s="608"/>
      <c r="F3094" s="760">
        <f t="shared" si="98"/>
        <v>2451.5827009901282</v>
      </c>
      <c r="M3094" s="443"/>
    </row>
    <row r="3095" spans="1:13">
      <c r="A3095" s="639">
        <v>50813</v>
      </c>
      <c r="B3095" s="639">
        <v>2000</v>
      </c>
      <c r="C3095" s="638">
        <v>6307.42</v>
      </c>
      <c r="D3095" s="633">
        <f t="shared" si="99"/>
        <v>6307.42</v>
      </c>
      <c r="E3095" s="608"/>
      <c r="F3095" s="760">
        <f t="shared" si="98"/>
        <v>2661.0687392622458</v>
      </c>
      <c r="M3095" s="443"/>
    </row>
    <row r="3096" spans="1:13">
      <c r="A3096" s="639">
        <v>50813</v>
      </c>
      <c r="B3096" s="639">
        <v>2100</v>
      </c>
      <c r="C3096" s="638">
        <v>6414.6639999999998</v>
      </c>
      <c r="D3096" s="633">
        <f t="shared" si="99"/>
        <v>6414.6639999999998</v>
      </c>
      <c r="E3096" s="608"/>
      <c r="F3096" s="760">
        <f t="shared" si="98"/>
        <v>2706.3144428737764</v>
      </c>
      <c r="M3096" s="443"/>
    </row>
    <row r="3097" spans="1:13">
      <c r="A3097" s="639">
        <v>50813</v>
      </c>
      <c r="B3097" s="639">
        <v>2200</v>
      </c>
      <c r="C3097" s="638">
        <v>5783.9089999999997</v>
      </c>
      <c r="D3097" s="633">
        <f t="shared" si="99"/>
        <v>5783.9089999999997</v>
      </c>
      <c r="E3097" s="608"/>
      <c r="F3097" s="760">
        <f t="shared" si="98"/>
        <v>2440.2020843130085</v>
      </c>
      <c r="M3097" s="443"/>
    </row>
    <row r="3098" spans="1:13">
      <c r="A3098" s="639">
        <v>50813</v>
      </c>
      <c r="B3098" s="639">
        <v>2300</v>
      </c>
      <c r="C3098" s="638">
        <v>4813.07</v>
      </c>
      <c r="D3098" s="633">
        <f t="shared" si="99"/>
        <v>4813.07</v>
      </c>
      <c r="E3098" s="608"/>
      <c r="F3098" s="760">
        <f t="shared" si="98"/>
        <v>2030.6099985225237</v>
      </c>
      <c r="M3098" s="443"/>
    </row>
    <row r="3099" spans="1:13">
      <c r="A3099" s="639">
        <v>50813</v>
      </c>
      <c r="B3099" s="639">
        <v>2400</v>
      </c>
      <c r="C3099" s="638">
        <v>4267.7839999999997</v>
      </c>
      <c r="D3099" s="633">
        <f t="shared" si="99"/>
        <v>4267.7839999999997</v>
      </c>
      <c r="E3099" s="608"/>
      <c r="F3099" s="760">
        <f t="shared" si="98"/>
        <v>1800.5565807134428</v>
      </c>
      <c r="M3099" s="443"/>
    </row>
    <row r="3100" spans="1:13">
      <c r="A3100" s="639">
        <v>50913</v>
      </c>
      <c r="B3100" s="639">
        <v>100</v>
      </c>
      <c r="C3100" s="638">
        <v>4089.8319999999999</v>
      </c>
      <c r="D3100" s="633">
        <f t="shared" si="99"/>
        <v>4089.8319999999999</v>
      </c>
      <c r="E3100" s="608"/>
      <c r="F3100" s="760">
        <f t="shared" ref="F3100:F3163" si="100">(D3100/(MAX($D$2908:$D$3651)))*$M$8</f>
        <v>1725.4795279265354</v>
      </c>
      <c r="M3100" s="443"/>
    </row>
    <row r="3101" spans="1:13">
      <c r="A3101" s="639">
        <v>50913</v>
      </c>
      <c r="B3101" s="639">
        <v>200</v>
      </c>
      <c r="C3101" s="638">
        <v>3944.0450000000001</v>
      </c>
      <c r="D3101" s="633">
        <f t="shared" si="99"/>
        <v>3944.0450000000001</v>
      </c>
      <c r="E3101" s="608"/>
      <c r="F3101" s="760">
        <f t="shared" si="100"/>
        <v>1663.9727266843756</v>
      </c>
      <c r="M3101" s="443"/>
    </row>
    <row r="3102" spans="1:13">
      <c r="A3102" s="639">
        <v>50913</v>
      </c>
      <c r="B3102" s="639">
        <v>300</v>
      </c>
      <c r="C3102" s="638">
        <v>3846.5050000000001</v>
      </c>
      <c r="D3102" s="633">
        <f t="shared" si="99"/>
        <v>3846.5050000000001</v>
      </c>
      <c r="E3102" s="608"/>
      <c r="F3102" s="760">
        <f t="shared" si="100"/>
        <v>1622.8210918118541</v>
      </c>
      <c r="M3102" s="443"/>
    </row>
    <row r="3103" spans="1:13">
      <c r="A3103" s="639">
        <v>50913</v>
      </c>
      <c r="B3103" s="639">
        <v>400</v>
      </c>
      <c r="C3103" s="638">
        <v>3885.7979999999998</v>
      </c>
      <c r="D3103" s="633">
        <f t="shared" si="99"/>
        <v>3885.7979999999998</v>
      </c>
      <c r="E3103" s="608"/>
      <c r="F3103" s="760">
        <f t="shared" si="100"/>
        <v>1639.3986106661291</v>
      </c>
      <c r="M3103" s="443"/>
    </row>
    <row r="3104" spans="1:13">
      <c r="A3104" s="639">
        <v>50913</v>
      </c>
      <c r="B3104" s="639">
        <v>500</v>
      </c>
      <c r="C3104" s="638">
        <v>4230.5510000000004</v>
      </c>
      <c r="D3104" s="633">
        <f t="shared" si="99"/>
        <v>4230.5510000000004</v>
      </c>
      <c r="E3104" s="608"/>
      <c r="F3104" s="760">
        <f t="shared" si="100"/>
        <v>1784.8481654867812</v>
      </c>
      <c r="M3104" s="443"/>
    </row>
    <row r="3105" spans="1:13">
      <c r="A3105" s="639">
        <v>50913</v>
      </c>
      <c r="B3105" s="639">
        <v>600</v>
      </c>
      <c r="C3105" s="638">
        <v>4960.2659999999996</v>
      </c>
      <c r="D3105" s="633">
        <f t="shared" si="99"/>
        <v>4960.2659999999996</v>
      </c>
      <c r="E3105" s="608"/>
      <c r="F3105" s="760">
        <f t="shared" si="100"/>
        <v>2092.7112497701723</v>
      </c>
      <c r="M3105" s="443"/>
    </row>
    <row r="3106" spans="1:13">
      <c r="A3106" s="639">
        <v>50913</v>
      </c>
      <c r="B3106" s="639">
        <v>700</v>
      </c>
      <c r="C3106" s="638">
        <v>5537.5739999999996</v>
      </c>
      <c r="D3106" s="633">
        <f t="shared" si="99"/>
        <v>5537.5739999999996</v>
      </c>
      <c r="E3106" s="608"/>
      <c r="F3106" s="760">
        <f t="shared" si="100"/>
        <v>2336.2745881440255</v>
      </c>
      <c r="M3106" s="443"/>
    </row>
    <row r="3107" spans="1:13">
      <c r="A3107" s="639">
        <v>50913</v>
      </c>
      <c r="B3107" s="639">
        <v>800</v>
      </c>
      <c r="C3107" s="638">
        <v>5635.732</v>
      </c>
      <c r="D3107" s="633">
        <f t="shared" si="99"/>
        <v>5635.732</v>
      </c>
      <c r="E3107" s="608"/>
      <c r="F3107" s="760">
        <f t="shared" si="100"/>
        <v>2377.6869541048313</v>
      </c>
      <c r="M3107" s="443"/>
    </row>
    <row r="3108" spans="1:13">
      <c r="A3108" s="639">
        <v>50913</v>
      </c>
      <c r="B3108" s="639">
        <v>900</v>
      </c>
      <c r="C3108" s="638">
        <v>5238.5230000000001</v>
      </c>
      <c r="D3108" s="633">
        <f t="shared" si="99"/>
        <v>5238.5230000000001</v>
      </c>
      <c r="E3108" s="608"/>
      <c r="F3108" s="760">
        <f t="shared" si="100"/>
        <v>2210.1064770074418</v>
      </c>
      <c r="M3108" s="443"/>
    </row>
    <row r="3109" spans="1:13">
      <c r="A3109" s="639">
        <v>50913</v>
      </c>
      <c r="B3109" s="639">
        <v>1000</v>
      </c>
      <c r="C3109" s="638">
        <v>5001.2969999999996</v>
      </c>
      <c r="D3109" s="633">
        <f t="shared" si="99"/>
        <v>5001.2969999999996</v>
      </c>
      <c r="E3109" s="608"/>
      <c r="F3109" s="760">
        <f t="shared" si="100"/>
        <v>2110.0220220733754</v>
      </c>
      <c r="M3109" s="443"/>
    </row>
    <row r="3110" spans="1:13">
      <c r="A3110" s="639">
        <v>50913</v>
      </c>
      <c r="B3110" s="639">
        <v>1100</v>
      </c>
      <c r="C3110" s="638">
        <v>4788.7910000000002</v>
      </c>
      <c r="D3110" s="633">
        <f t="shared" si="99"/>
        <v>4788.7910000000002</v>
      </c>
      <c r="E3110" s="608"/>
      <c r="F3110" s="760">
        <f t="shared" si="100"/>
        <v>2020.3668106706689</v>
      </c>
      <c r="M3110" s="443"/>
    </row>
    <row r="3111" spans="1:13">
      <c r="A3111" s="639">
        <v>50913</v>
      </c>
      <c r="B3111" s="639">
        <v>1200</v>
      </c>
      <c r="C3111" s="638">
        <v>4799.2979999999998</v>
      </c>
      <c r="D3111" s="633">
        <f t="shared" si="99"/>
        <v>4799.2979999999998</v>
      </c>
      <c r="E3111" s="608"/>
      <c r="F3111" s="760">
        <f t="shared" si="100"/>
        <v>2024.7996610664609</v>
      </c>
      <c r="M3111" s="443"/>
    </row>
    <row r="3112" spans="1:13">
      <c r="A3112" s="639">
        <v>50913</v>
      </c>
      <c r="B3112" s="639">
        <v>1300</v>
      </c>
      <c r="C3112" s="638">
        <v>4727.0240000000003</v>
      </c>
      <c r="D3112" s="633">
        <f t="shared" si="99"/>
        <v>4727.0240000000003</v>
      </c>
      <c r="E3112" s="608"/>
      <c r="F3112" s="760">
        <f t="shared" si="100"/>
        <v>1994.3076243761122</v>
      </c>
      <c r="M3112" s="443"/>
    </row>
    <row r="3113" spans="1:13">
      <c r="A3113" s="639">
        <v>50913</v>
      </c>
      <c r="B3113" s="639">
        <v>1400</v>
      </c>
      <c r="C3113" s="638">
        <v>4892.3680000000004</v>
      </c>
      <c r="D3113" s="633">
        <f t="shared" si="99"/>
        <v>4892.3680000000004</v>
      </c>
      <c r="E3113" s="608"/>
      <c r="F3113" s="760">
        <f t="shared" si="100"/>
        <v>2064.0654254460551</v>
      </c>
      <c r="M3113" s="443"/>
    </row>
    <row r="3114" spans="1:13">
      <c r="A3114" s="639">
        <v>50913</v>
      </c>
      <c r="B3114" s="639">
        <v>1500</v>
      </c>
      <c r="C3114" s="638">
        <v>5041.4470000000001</v>
      </c>
      <c r="D3114" s="633">
        <f t="shared" si="99"/>
        <v>5041.4470000000001</v>
      </c>
      <c r="E3114" s="608"/>
      <c r="F3114" s="760">
        <f t="shared" si="100"/>
        <v>2126.9611049125365</v>
      </c>
      <c r="M3114" s="443"/>
    </row>
    <row r="3115" spans="1:13">
      <c r="A3115" s="639">
        <v>50913</v>
      </c>
      <c r="B3115" s="639">
        <v>1600</v>
      </c>
      <c r="C3115" s="638">
        <v>4882.8630000000003</v>
      </c>
      <c r="D3115" s="633">
        <f t="shared" si="99"/>
        <v>4882.8630000000003</v>
      </c>
      <c r="E3115" s="608"/>
      <c r="F3115" s="760">
        <f t="shared" si="100"/>
        <v>2060.0553138050532</v>
      </c>
      <c r="M3115" s="443"/>
    </row>
    <row r="3116" spans="1:13">
      <c r="A3116" s="639">
        <v>50913</v>
      </c>
      <c r="B3116" s="639">
        <v>1700</v>
      </c>
      <c r="C3116" s="638">
        <v>5596.4110000000001</v>
      </c>
      <c r="D3116" s="633">
        <f t="shared" si="99"/>
        <v>5596.4110000000001</v>
      </c>
      <c r="E3116" s="608"/>
      <c r="F3116" s="760">
        <f t="shared" si="100"/>
        <v>2361.0976221915398</v>
      </c>
      <c r="M3116" s="443"/>
    </row>
    <row r="3117" spans="1:13">
      <c r="A3117" s="639">
        <v>50913</v>
      </c>
      <c r="B3117" s="639">
        <v>1800</v>
      </c>
      <c r="C3117" s="638">
        <v>5735.7889999999998</v>
      </c>
      <c r="D3117" s="633">
        <f t="shared" si="99"/>
        <v>5735.7889999999998</v>
      </c>
      <c r="E3117" s="608"/>
      <c r="F3117" s="760">
        <f t="shared" si="100"/>
        <v>2419.9004986039072</v>
      </c>
      <c r="M3117" s="443"/>
    </row>
    <row r="3118" spans="1:13">
      <c r="A3118" s="639">
        <v>50913</v>
      </c>
      <c r="B3118" s="639">
        <v>1900</v>
      </c>
      <c r="C3118" s="638">
        <v>5858.366</v>
      </c>
      <c r="D3118" s="633">
        <f t="shared" si="99"/>
        <v>5858.366</v>
      </c>
      <c r="E3118" s="608"/>
      <c r="F3118" s="760">
        <f t="shared" si="100"/>
        <v>2471.6151177116485</v>
      </c>
      <c r="M3118" s="443"/>
    </row>
    <row r="3119" spans="1:13">
      <c r="A3119" s="639">
        <v>50913</v>
      </c>
      <c r="B3119" s="639">
        <v>2000</v>
      </c>
      <c r="C3119" s="638">
        <v>6210.5379999999996</v>
      </c>
      <c r="D3119" s="633">
        <f t="shared" si="99"/>
        <v>6210.5379999999996</v>
      </c>
      <c r="E3119" s="608"/>
      <c r="F3119" s="760">
        <f t="shared" si="100"/>
        <v>2620.1947112766024</v>
      </c>
      <c r="M3119" s="443"/>
    </row>
    <row r="3120" spans="1:13">
      <c r="A3120" s="639">
        <v>50913</v>
      </c>
      <c r="B3120" s="639">
        <v>2100</v>
      </c>
      <c r="C3120" s="638">
        <v>6613.6580000000004</v>
      </c>
      <c r="D3120" s="633">
        <f t="shared" si="99"/>
        <v>6613.6580000000004</v>
      </c>
      <c r="E3120" s="608"/>
      <c r="F3120" s="760">
        <f t="shared" si="100"/>
        <v>2790.2690095112848</v>
      </c>
      <c r="M3120" s="443"/>
    </row>
    <row r="3121" spans="1:13">
      <c r="A3121" s="639">
        <v>50913</v>
      </c>
      <c r="B3121" s="639">
        <v>2200</v>
      </c>
      <c r="C3121" s="638">
        <v>5869.54</v>
      </c>
      <c r="D3121" s="633">
        <f t="shared" si="99"/>
        <v>5869.54</v>
      </c>
      <c r="E3121" s="608"/>
      <c r="F3121" s="760">
        <f t="shared" si="100"/>
        <v>2476.3293720490028</v>
      </c>
      <c r="M3121" s="443"/>
    </row>
    <row r="3122" spans="1:13">
      <c r="A3122" s="639">
        <v>50913</v>
      </c>
      <c r="B3122" s="639">
        <v>2300</v>
      </c>
      <c r="C3122" s="638">
        <v>4828.3249999999998</v>
      </c>
      <c r="D3122" s="633">
        <f t="shared" si="99"/>
        <v>4828.3249999999998</v>
      </c>
      <c r="E3122" s="608"/>
      <c r="F3122" s="760">
        <f t="shared" si="100"/>
        <v>2037.0460062114751</v>
      </c>
      <c r="M3122" s="443"/>
    </row>
    <row r="3123" spans="1:13">
      <c r="A3123" s="639">
        <v>50913</v>
      </c>
      <c r="B3123" s="639">
        <v>2400</v>
      </c>
      <c r="C3123" s="638">
        <v>4291.5349999999999</v>
      </c>
      <c r="D3123" s="633">
        <f t="shared" si="99"/>
        <v>4291.5349999999999</v>
      </c>
      <c r="E3123" s="608"/>
      <c r="F3123" s="760">
        <f t="shared" si="100"/>
        <v>1810.5770080238515</v>
      </c>
      <c r="M3123" s="443"/>
    </row>
    <row r="3124" spans="1:13">
      <c r="A3124" s="639">
        <v>51013</v>
      </c>
      <c r="B3124" s="639">
        <v>100</v>
      </c>
      <c r="C3124" s="638">
        <v>4115.9889999999996</v>
      </c>
      <c r="D3124" s="633">
        <f t="shared" si="99"/>
        <v>4115.9889999999996</v>
      </c>
      <c r="E3124" s="608"/>
      <c r="F3124" s="760">
        <f t="shared" si="100"/>
        <v>1736.5150345223992</v>
      </c>
      <c r="M3124" s="443"/>
    </row>
    <row r="3125" spans="1:13">
      <c r="A3125" s="639">
        <v>51013</v>
      </c>
      <c r="B3125" s="639">
        <v>200</v>
      </c>
      <c r="C3125" s="638">
        <v>3976.6260000000002</v>
      </c>
      <c r="D3125" s="633">
        <f t="shared" si="99"/>
        <v>3976.6260000000002</v>
      </c>
      <c r="E3125" s="608"/>
      <c r="F3125" s="760">
        <f t="shared" si="100"/>
        <v>1677.7184865345052</v>
      </c>
      <c r="M3125" s="443"/>
    </row>
    <row r="3126" spans="1:13">
      <c r="A3126" s="639">
        <v>51013</v>
      </c>
      <c r="B3126" s="639">
        <v>300</v>
      </c>
      <c r="C3126" s="638">
        <v>3891.8380000000002</v>
      </c>
      <c r="D3126" s="633">
        <f t="shared" si="99"/>
        <v>3891.8380000000002</v>
      </c>
      <c r="E3126" s="608"/>
      <c r="F3126" s="760">
        <f t="shared" si="100"/>
        <v>1641.9468562538884</v>
      </c>
      <c r="M3126" s="443"/>
    </row>
    <row r="3127" spans="1:13">
      <c r="A3127" s="639">
        <v>51013</v>
      </c>
      <c r="B3127" s="639">
        <v>400</v>
      </c>
      <c r="C3127" s="638">
        <v>3956.1379999999999</v>
      </c>
      <c r="D3127" s="633">
        <f t="shared" si="99"/>
        <v>3956.1379999999999</v>
      </c>
      <c r="E3127" s="608"/>
      <c r="F3127" s="760">
        <f t="shared" si="100"/>
        <v>1669.0747024944371</v>
      </c>
      <c r="M3127" s="443"/>
    </row>
    <row r="3128" spans="1:13">
      <c r="A3128" s="639">
        <v>51013</v>
      </c>
      <c r="B3128" s="639">
        <v>500</v>
      </c>
      <c r="C3128" s="638">
        <v>4301.7730000000001</v>
      </c>
      <c r="D3128" s="633">
        <f t="shared" si="99"/>
        <v>4301.7730000000001</v>
      </c>
      <c r="E3128" s="608"/>
      <c r="F3128" s="760">
        <f t="shared" si="100"/>
        <v>1814.8963686740965</v>
      </c>
      <c r="M3128" s="443"/>
    </row>
    <row r="3129" spans="1:13">
      <c r="A3129" s="639">
        <v>51013</v>
      </c>
      <c r="B3129" s="639">
        <v>600</v>
      </c>
      <c r="C3129" s="638">
        <v>4951.7749999999996</v>
      </c>
      <c r="D3129" s="633">
        <f t="shared" si="99"/>
        <v>4951.7749999999996</v>
      </c>
      <c r="E3129" s="608"/>
      <c r="F3129" s="760">
        <f t="shared" si="100"/>
        <v>2089.1289396235397</v>
      </c>
      <c r="M3129" s="443"/>
    </row>
    <row r="3130" spans="1:13">
      <c r="A3130" s="639">
        <v>51013</v>
      </c>
      <c r="B3130" s="639">
        <v>700</v>
      </c>
      <c r="C3130" s="638">
        <v>5572.9260000000004</v>
      </c>
      <c r="D3130" s="633">
        <f t="shared" si="99"/>
        <v>5572.9260000000004</v>
      </c>
      <c r="E3130" s="608"/>
      <c r="F3130" s="760">
        <f t="shared" si="100"/>
        <v>2351.1894189417844</v>
      </c>
      <c r="M3130" s="443"/>
    </row>
    <row r="3131" spans="1:13">
      <c r="A3131" s="639">
        <v>51013</v>
      </c>
      <c r="B3131" s="639">
        <v>800</v>
      </c>
      <c r="C3131" s="638">
        <v>5747.4639999999999</v>
      </c>
      <c r="D3131" s="633">
        <f t="shared" si="99"/>
        <v>5747.4639999999999</v>
      </c>
      <c r="E3131" s="608"/>
      <c r="F3131" s="760">
        <f t="shared" si="100"/>
        <v>2424.8261223186573</v>
      </c>
      <c r="M3131" s="443"/>
    </row>
    <row r="3132" spans="1:13">
      <c r="A3132" s="639">
        <v>51013</v>
      </c>
      <c r="B3132" s="639">
        <v>900</v>
      </c>
      <c r="C3132" s="638">
        <v>5685.1459999999997</v>
      </c>
      <c r="D3132" s="633">
        <f t="shared" si="99"/>
        <v>5685.1459999999997</v>
      </c>
      <c r="E3132" s="608"/>
      <c r="F3132" s="760">
        <f t="shared" si="100"/>
        <v>2398.5344718984625</v>
      </c>
      <c r="M3132" s="443"/>
    </row>
    <row r="3133" spans="1:13">
      <c r="A3133" s="639">
        <v>51013</v>
      </c>
      <c r="B3133" s="639">
        <v>1000</v>
      </c>
      <c r="C3133" s="638">
        <v>5976.5280000000002</v>
      </c>
      <c r="D3133" s="633">
        <f t="shared" si="99"/>
        <v>5976.5280000000002</v>
      </c>
      <c r="E3133" s="608"/>
      <c r="F3133" s="760">
        <f t="shared" si="100"/>
        <v>2521.4670705495296</v>
      </c>
      <c r="M3133" s="443"/>
    </row>
    <row r="3134" spans="1:13">
      <c r="A3134" s="639">
        <v>51013</v>
      </c>
      <c r="B3134" s="639">
        <v>1100</v>
      </c>
      <c r="C3134" s="638">
        <v>5991.8159999999998</v>
      </c>
      <c r="D3134" s="633">
        <f t="shared" si="99"/>
        <v>5991.8159999999998</v>
      </c>
      <c r="E3134" s="608"/>
      <c r="F3134" s="760">
        <f t="shared" si="100"/>
        <v>2527.917000772321</v>
      </c>
      <c r="M3134" s="443"/>
    </row>
    <row r="3135" spans="1:13">
      <c r="A3135" s="639">
        <v>51013</v>
      </c>
      <c r="B3135" s="639">
        <v>1200</v>
      </c>
      <c r="C3135" s="638">
        <v>5895.7860000000001</v>
      </c>
      <c r="D3135" s="633">
        <f t="shared" si="99"/>
        <v>5895.7860000000001</v>
      </c>
      <c r="E3135" s="608"/>
      <c r="F3135" s="760">
        <f t="shared" si="100"/>
        <v>2487.402427296739</v>
      </c>
      <c r="M3135" s="443"/>
    </row>
    <row r="3136" spans="1:13">
      <c r="A3136" s="639">
        <v>51013</v>
      </c>
      <c r="B3136" s="639">
        <v>1300</v>
      </c>
      <c r="C3136" s="638">
        <v>5747.8710000000001</v>
      </c>
      <c r="D3136" s="633">
        <f t="shared" si="99"/>
        <v>5747.8710000000001</v>
      </c>
      <c r="E3136" s="608"/>
      <c r="F3136" s="760">
        <f t="shared" si="100"/>
        <v>2424.9978335693554</v>
      </c>
      <c r="M3136" s="443"/>
    </row>
    <row r="3137" spans="1:13">
      <c r="A3137" s="639">
        <v>51013</v>
      </c>
      <c r="B3137" s="639">
        <v>1400</v>
      </c>
      <c r="C3137" s="638">
        <v>5478.402</v>
      </c>
      <c r="D3137" s="633">
        <f t="shared" si="99"/>
        <v>5478.402</v>
      </c>
      <c r="E3137" s="608"/>
      <c r="F3137" s="760">
        <f t="shared" si="100"/>
        <v>2311.310219283283</v>
      </c>
      <c r="M3137" s="443"/>
    </row>
    <row r="3138" spans="1:13">
      <c r="A3138" s="639">
        <v>51013</v>
      </c>
      <c r="B3138" s="639">
        <v>1500</v>
      </c>
      <c r="C3138" s="638">
        <v>5477.2269999999999</v>
      </c>
      <c r="D3138" s="633">
        <f t="shared" si="99"/>
        <v>5477.2269999999999</v>
      </c>
      <c r="E3138" s="608"/>
      <c r="F3138" s="760">
        <f t="shared" si="100"/>
        <v>2310.8144926995719</v>
      </c>
      <c r="M3138" s="443"/>
    </row>
    <row r="3139" spans="1:13">
      <c r="A3139" s="639">
        <v>51013</v>
      </c>
      <c r="B3139" s="639">
        <v>1600</v>
      </c>
      <c r="C3139" s="638">
        <v>5623.7169999999996</v>
      </c>
      <c r="D3139" s="633">
        <f t="shared" si="99"/>
        <v>5623.7169999999996</v>
      </c>
      <c r="E3139" s="608"/>
      <c r="F3139" s="760">
        <f t="shared" si="100"/>
        <v>2372.6178861020289</v>
      </c>
      <c r="M3139" s="443"/>
    </row>
    <row r="3140" spans="1:13">
      <c r="A3140" s="639">
        <v>51013</v>
      </c>
      <c r="B3140" s="639">
        <v>1700</v>
      </c>
      <c r="C3140" s="638">
        <v>5803.6580000000004</v>
      </c>
      <c r="D3140" s="633">
        <f t="shared" si="99"/>
        <v>5803.6580000000004</v>
      </c>
      <c r="E3140" s="608"/>
      <c r="F3140" s="760">
        <f t="shared" si="100"/>
        <v>2448.5340879740447</v>
      </c>
      <c r="M3140" s="443"/>
    </row>
    <row r="3141" spans="1:13">
      <c r="A3141" s="639">
        <v>51013</v>
      </c>
      <c r="B3141" s="639">
        <v>1800</v>
      </c>
      <c r="C3141" s="638">
        <v>6099.9809999999998</v>
      </c>
      <c r="D3141" s="633">
        <f t="shared" ref="D3141:D3204" si="101">C3141</f>
        <v>6099.9809999999998</v>
      </c>
      <c r="E3141" s="608"/>
      <c r="F3141" s="760">
        <f t="shared" si="100"/>
        <v>2573.5512696464884</v>
      </c>
      <c r="M3141" s="443"/>
    </row>
    <row r="3142" spans="1:13">
      <c r="A3142" s="639">
        <v>51013</v>
      </c>
      <c r="B3142" s="639">
        <v>1900</v>
      </c>
      <c r="C3142" s="638">
        <v>6280.7939999999999</v>
      </c>
      <c r="D3142" s="633">
        <f t="shared" si="101"/>
        <v>6280.7939999999999</v>
      </c>
      <c r="E3142" s="608"/>
      <c r="F3142" s="760">
        <f t="shared" si="100"/>
        <v>2649.8353639278625</v>
      </c>
      <c r="M3142" s="443"/>
    </row>
    <row r="3143" spans="1:13">
      <c r="A3143" s="639">
        <v>51013</v>
      </c>
      <c r="B3143" s="639">
        <v>2000</v>
      </c>
      <c r="C3143" s="638">
        <v>6507.7349999999997</v>
      </c>
      <c r="D3143" s="633">
        <f t="shared" si="101"/>
        <v>6507.7349999999997</v>
      </c>
      <c r="E3143" s="608"/>
      <c r="F3143" s="760">
        <f t="shared" si="100"/>
        <v>2745.580629148335</v>
      </c>
      <c r="M3143" s="443"/>
    </row>
    <row r="3144" spans="1:13">
      <c r="A3144" s="639">
        <v>51013</v>
      </c>
      <c r="B3144" s="639">
        <v>2100</v>
      </c>
      <c r="C3144" s="638">
        <v>6476.232</v>
      </c>
      <c r="D3144" s="633">
        <f t="shared" si="101"/>
        <v>6476.232</v>
      </c>
      <c r="E3144" s="608"/>
      <c r="F3144" s="760">
        <f t="shared" si="100"/>
        <v>2732.2896720703257</v>
      </c>
      <c r="M3144" s="443"/>
    </row>
    <row r="3145" spans="1:13">
      <c r="A3145" s="639">
        <v>51013</v>
      </c>
      <c r="B3145" s="639">
        <v>2200</v>
      </c>
      <c r="C3145" s="638">
        <v>6031.2190000000001</v>
      </c>
      <c r="D3145" s="633">
        <f t="shared" si="101"/>
        <v>6031.2190000000001</v>
      </c>
      <c r="E3145" s="608"/>
      <c r="F3145" s="760">
        <f t="shared" si="100"/>
        <v>2544.5409280727308</v>
      </c>
      <c r="M3145" s="443"/>
    </row>
    <row r="3146" spans="1:13">
      <c r="A3146" s="639">
        <v>51013</v>
      </c>
      <c r="B3146" s="639">
        <v>2300</v>
      </c>
      <c r="C3146" s="638">
        <v>5268.4719999999998</v>
      </c>
      <c r="D3146" s="633">
        <f t="shared" si="101"/>
        <v>5268.4719999999998</v>
      </c>
      <c r="E3146" s="608"/>
      <c r="F3146" s="760">
        <f t="shared" si="100"/>
        <v>2222.7418093100573</v>
      </c>
      <c r="M3146" s="443"/>
    </row>
    <row r="3147" spans="1:13">
      <c r="A3147" s="639">
        <v>51013</v>
      </c>
      <c r="B3147" s="639">
        <v>2400</v>
      </c>
      <c r="C3147" s="638">
        <v>4758.6419999999998</v>
      </c>
      <c r="D3147" s="633">
        <f t="shared" si="101"/>
        <v>4758.6419999999998</v>
      </c>
      <c r="E3147" s="608"/>
      <c r="F3147" s="760">
        <f t="shared" si="100"/>
        <v>2007.6470993750806</v>
      </c>
      <c r="M3147" s="443"/>
    </row>
    <row r="3148" spans="1:13">
      <c r="A3148" s="639">
        <v>51113</v>
      </c>
      <c r="B3148" s="639">
        <v>100</v>
      </c>
      <c r="C3148" s="638">
        <v>4437.13</v>
      </c>
      <c r="D3148" s="633">
        <f t="shared" si="101"/>
        <v>4437.13</v>
      </c>
      <c r="E3148" s="608"/>
      <c r="F3148" s="760">
        <f t="shared" si="100"/>
        <v>1872.0028054327584</v>
      </c>
      <c r="M3148" s="443"/>
    </row>
    <row r="3149" spans="1:13">
      <c r="A3149" s="639">
        <v>51113</v>
      </c>
      <c r="B3149" s="639">
        <v>200</v>
      </c>
      <c r="C3149" s="638">
        <v>4312.9290000000001</v>
      </c>
      <c r="D3149" s="633">
        <f t="shared" si="101"/>
        <v>4312.9290000000001</v>
      </c>
      <c r="E3149" s="608"/>
      <c r="F3149" s="760">
        <f t="shared" si="100"/>
        <v>1819.6030289020835</v>
      </c>
      <c r="M3149" s="443"/>
    </row>
    <row r="3150" spans="1:13">
      <c r="A3150" s="639">
        <v>51113</v>
      </c>
      <c r="B3150" s="639">
        <v>300</v>
      </c>
      <c r="C3150" s="638">
        <v>4251.8360000000002</v>
      </c>
      <c r="D3150" s="633">
        <f t="shared" si="101"/>
        <v>4251.8360000000002</v>
      </c>
      <c r="E3150" s="608"/>
      <c r="F3150" s="760">
        <f t="shared" si="100"/>
        <v>1793.8281998138432</v>
      </c>
      <c r="M3150" s="443"/>
    </row>
    <row r="3151" spans="1:13">
      <c r="A3151" s="639">
        <v>51113</v>
      </c>
      <c r="B3151" s="639">
        <v>400</v>
      </c>
      <c r="C3151" s="638">
        <v>4282.1620000000003</v>
      </c>
      <c r="D3151" s="633">
        <f t="shared" si="101"/>
        <v>4282.1620000000003</v>
      </c>
      <c r="E3151" s="608"/>
      <c r="F3151" s="760">
        <f t="shared" si="100"/>
        <v>1806.6225865182116</v>
      </c>
      <c r="M3151" s="443"/>
    </row>
    <row r="3152" spans="1:13">
      <c r="A3152" s="639">
        <v>51113</v>
      </c>
      <c r="B3152" s="639">
        <v>500</v>
      </c>
      <c r="C3152" s="638">
        <v>4441.5190000000002</v>
      </c>
      <c r="D3152" s="633">
        <f t="shared" si="101"/>
        <v>4441.5190000000002</v>
      </c>
      <c r="E3152" s="608"/>
      <c r="F3152" s="760">
        <f t="shared" si="100"/>
        <v>1873.8545024335324</v>
      </c>
      <c r="M3152" s="443"/>
    </row>
    <row r="3153" spans="1:13">
      <c r="A3153" s="639">
        <v>51113</v>
      </c>
      <c r="B3153" s="639">
        <v>600</v>
      </c>
      <c r="C3153" s="638">
        <v>4771.9880000000003</v>
      </c>
      <c r="D3153" s="633">
        <f t="shared" si="101"/>
        <v>4771.9880000000003</v>
      </c>
      <c r="E3153" s="608"/>
      <c r="F3153" s="760">
        <f t="shared" si="100"/>
        <v>2013.277709576113</v>
      </c>
      <c r="M3153" s="443"/>
    </row>
    <row r="3154" spans="1:13">
      <c r="A3154" s="639">
        <v>51113</v>
      </c>
      <c r="B3154" s="639">
        <v>700</v>
      </c>
      <c r="C3154" s="638">
        <v>5458.9269999999997</v>
      </c>
      <c r="D3154" s="633">
        <f t="shared" si="101"/>
        <v>5458.9269999999997</v>
      </c>
      <c r="E3154" s="608"/>
      <c r="F3154" s="760">
        <f t="shared" si="100"/>
        <v>2303.0938148426189</v>
      </c>
      <c r="M3154" s="443"/>
    </row>
    <row r="3155" spans="1:13">
      <c r="A3155" s="639">
        <v>51113</v>
      </c>
      <c r="B3155" s="639">
        <v>800</v>
      </c>
      <c r="C3155" s="638">
        <v>5894.97</v>
      </c>
      <c r="D3155" s="633">
        <f t="shared" si="101"/>
        <v>5894.97</v>
      </c>
      <c r="E3155" s="608"/>
      <c r="F3155" s="760">
        <f t="shared" si="100"/>
        <v>2487.0581610054128</v>
      </c>
      <c r="M3155" s="443"/>
    </row>
    <row r="3156" spans="1:13">
      <c r="A3156" s="639">
        <v>51113</v>
      </c>
      <c r="B3156" s="639">
        <v>900</v>
      </c>
      <c r="C3156" s="638">
        <v>5759.6660000000002</v>
      </c>
      <c r="D3156" s="633">
        <f t="shared" si="101"/>
        <v>5759.6660000000002</v>
      </c>
      <c r="E3156" s="608"/>
      <c r="F3156" s="760">
        <f t="shared" si="100"/>
        <v>2429.9740846798886</v>
      </c>
      <c r="M3156" s="443"/>
    </row>
    <row r="3157" spans="1:13">
      <c r="A3157" s="639">
        <v>51113</v>
      </c>
      <c r="B3157" s="639">
        <v>1000</v>
      </c>
      <c r="C3157" s="638">
        <v>5719.6289999999999</v>
      </c>
      <c r="D3157" s="633">
        <f t="shared" si="101"/>
        <v>5719.6289999999999</v>
      </c>
      <c r="E3157" s="608"/>
      <c r="F3157" s="760">
        <f t="shared" si="100"/>
        <v>2413.082675971757</v>
      </c>
      <c r="M3157" s="443"/>
    </row>
    <row r="3158" spans="1:13">
      <c r="A3158" s="639">
        <v>51113</v>
      </c>
      <c r="B3158" s="639">
        <v>1100</v>
      </c>
      <c r="C3158" s="638">
        <v>5585.4470000000001</v>
      </c>
      <c r="D3158" s="633">
        <f t="shared" si="101"/>
        <v>5585.4470000000001</v>
      </c>
      <c r="E3158" s="608"/>
      <c r="F3158" s="760">
        <f t="shared" si="100"/>
        <v>2356.4719657968067</v>
      </c>
      <c r="M3158" s="443"/>
    </row>
    <row r="3159" spans="1:13">
      <c r="A3159" s="639">
        <v>51113</v>
      </c>
      <c r="B3159" s="639">
        <v>1200</v>
      </c>
      <c r="C3159" s="638">
        <v>5429.0829999999996</v>
      </c>
      <c r="D3159" s="633">
        <f t="shared" si="101"/>
        <v>5429.0829999999996</v>
      </c>
      <c r="E3159" s="608"/>
      <c r="F3159" s="760">
        <f t="shared" si="100"/>
        <v>2290.502781511314</v>
      </c>
      <c r="M3159" s="443"/>
    </row>
    <row r="3160" spans="1:13">
      <c r="A3160" s="639">
        <v>51113</v>
      </c>
      <c r="B3160" s="639">
        <v>1300</v>
      </c>
      <c r="C3160" s="638">
        <v>5278.4059999999999</v>
      </c>
      <c r="D3160" s="633">
        <f t="shared" si="101"/>
        <v>5278.4059999999999</v>
      </c>
      <c r="E3160" s="608"/>
      <c r="F3160" s="760">
        <f t="shared" si="100"/>
        <v>2226.9329138909843</v>
      </c>
      <c r="M3160" s="443"/>
    </row>
    <row r="3161" spans="1:13">
      <c r="A3161" s="639">
        <v>51113</v>
      </c>
      <c r="B3161" s="639">
        <v>1400</v>
      </c>
      <c r="C3161" s="638">
        <v>5181.1099999999997</v>
      </c>
      <c r="D3161" s="633">
        <f t="shared" si="101"/>
        <v>5181.1099999999997</v>
      </c>
      <c r="E3161" s="608"/>
      <c r="F3161" s="760">
        <f t="shared" si="100"/>
        <v>2185.8842213898893</v>
      </c>
      <c r="M3161" s="443"/>
    </row>
    <row r="3162" spans="1:13">
      <c r="A3162" s="639">
        <v>51113</v>
      </c>
      <c r="B3162" s="639">
        <v>1500</v>
      </c>
      <c r="C3162" s="638">
        <v>5134.9830000000002</v>
      </c>
      <c r="D3162" s="633">
        <f t="shared" si="101"/>
        <v>5134.9830000000002</v>
      </c>
      <c r="E3162" s="608"/>
      <c r="F3162" s="760">
        <f t="shared" si="100"/>
        <v>2166.4234723457553</v>
      </c>
      <c r="M3162" s="443"/>
    </row>
    <row r="3163" spans="1:13">
      <c r="A3163" s="639">
        <v>51113</v>
      </c>
      <c r="B3163" s="639">
        <v>1600</v>
      </c>
      <c r="C3163" s="638">
        <v>5182.0039999999999</v>
      </c>
      <c r="D3163" s="633">
        <f t="shared" si="101"/>
        <v>5182.0039999999999</v>
      </c>
      <c r="E3163" s="608"/>
      <c r="F3163" s="760">
        <f t="shared" si="100"/>
        <v>2186.2613954884746</v>
      </c>
      <c r="M3163" s="443"/>
    </row>
    <row r="3164" spans="1:13">
      <c r="A3164" s="639">
        <v>51113</v>
      </c>
      <c r="B3164" s="639">
        <v>1700</v>
      </c>
      <c r="C3164" s="638">
        <v>5525.4620000000004</v>
      </c>
      <c r="D3164" s="633">
        <f t="shared" si="101"/>
        <v>5525.4620000000004</v>
      </c>
      <c r="E3164" s="608"/>
      <c r="F3164" s="760">
        <f t="shared" ref="F3164:F3227" si="102">(D3164/(MAX($D$2908:$D$3651)))*$M$8</f>
        <v>2331.1645963296319</v>
      </c>
      <c r="M3164" s="443"/>
    </row>
    <row r="3165" spans="1:13">
      <c r="A3165" s="639">
        <v>51113</v>
      </c>
      <c r="B3165" s="639">
        <v>1800</v>
      </c>
      <c r="C3165" s="638">
        <v>5662.5630000000001</v>
      </c>
      <c r="D3165" s="633">
        <f t="shared" si="101"/>
        <v>5662.5630000000001</v>
      </c>
      <c r="E3165" s="608"/>
      <c r="F3165" s="760">
        <f t="shared" si="102"/>
        <v>2389.0068179070113</v>
      </c>
      <c r="M3165" s="443"/>
    </row>
    <row r="3166" spans="1:13">
      <c r="A3166" s="639">
        <v>51113</v>
      </c>
      <c r="B3166" s="639">
        <v>1900</v>
      </c>
      <c r="C3166" s="638">
        <v>5802.0780000000004</v>
      </c>
      <c r="D3166" s="633">
        <f t="shared" si="101"/>
        <v>5802.0780000000004</v>
      </c>
      <c r="E3166" s="608"/>
      <c r="F3166" s="760">
        <f t="shared" si="102"/>
        <v>2447.8674939295647</v>
      </c>
      <c r="M3166" s="443"/>
    </row>
    <row r="3167" spans="1:13">
      <c r="A3167" s="639">
        <v>51113</v>
      </c>
      <c r="B3167" s="639">
        <v>2000</v>
      </c>
      <c r="C3167" s="638">
        <v>6163.2340000000004</v>
      </c>
      <c r="D3167" s="633">
        <f t="shared" si="101"/>
        <v>6163.2340000000004</v>
      </c>
      <c r="E3167" s="608"/>
      <c r="F3167" s="760">
        <f t="shared" si="102"/>
        <v>2600.2373918588278</v>
      </c>
      <c r="M3167" s="443"/>
    </row>
    <row r="3168" spans="1:13">
      <c r="A3168" s="639">
        <v>51113</v>
      </c>
      <c r="B3168" s="639">
        <v>2100</v>
      </c>
      <c r="C3168" s="638">
        <v>6465.4279999999999</v>
      </c>
      <c r="D3168" s="633">
        <f t="shared" si="101"/>
        <v>6465.4279999999999</v>
      </c>
      <c r="E3168" s="608"/>
      <c r="F3168" s="760">
        <f t="shared" si="102"/>
        <v>2727.7315188699695</v>
      </c>
      <c r="M3168" s="443"/>
    </row>
    <row r="3169" spans="1:13">
      <c r="A3169" s="639">
        <v>51113</v>
      </c>
      <c r="B3169" s="639">
        <v>2200</v>
      </c>
      <c r="C3169" s="638">
        <v>6025.2939999999999</v>
      </c>
      <c r="D3169" s="633">
        <f t="shared" si="101"/>
        <v>6025.2939999999999</v>
      </c>
      <c r="E3169" s="608"/>
      <c r="F3169" s="760">
        <f t="shared" si="102"/>
        <v>2542.0412004059303</v>
      </c>
      <c r="M3169" s="443"/>
    </row>
    <row r="3170" spans="1:13">
      <c r="A3170" s="639">
        <v>51113</v>
      </c>
      <c r="B3170" s="639">
        <v>2300</v>
      </c>
      <c r="C3170" s="638">
        <v>5317.3590000000004</v>
      </c>
      <c r="D3170" s="633">
        <f t="shared" si="101"/>
        <v>5317.3590000000004</v>
      </c>
      <c r="E3170" s="608"/>
      <c r="F3170" s="760">
        <f t="shared" si="102"/>
        <v>2243.3669884572073</v>
      </c>
      <c r="M3170" s="443"/>
    </row>
    <row r="3171" spans="1:13">
      <c r="A3171" s="639">
        <v>51113</v>
      </c>
      <c r="B3171" s="639">
        <v>2400</v>
      </c>
      <c r="C3171" s="638">
        <v>4908.5</v>
      </c>
      <c r="D3171" s="633">
        <f t="shared" si="101"/>
        <v>4908.5</v>
      </c>
      <c r="E3171" s="608"/>
      <c r="F3171" s="760">
        <f t="shared" si="102"/>
        <v>2070.871435019189</v>
      </c>
      <c r="M3171" s="443"/>
    </row>
    <row r="3172" spans="1:13">
      <c r="A3172" s="639">
        <v>51213</v>
      </c>
      <c r="B3172" s="639">
        <v>100</v>
      </c>
      <c r="C3172" s="638">
        <v>4751.0959999999995</v>
      </c>
      <c r="D3172" s="633">
        <f t="shared" si="101"/>
        <v>4751.0959999999995</v>
      </c>
      <c r="E3172" s="608"/>
      <c r="F3172" s="760">
        <f t="shared" si="102"/>
        <v>2004.463479970241</v>
      </c>
      <c r="M3172" s="443"/>
    </row>
    <row r="3173" spans="1:13">
      <c r="A3173" s="639">
        <v>51213</v>
      </c>
      <c r="B3173" s="639">
        <v>200</v>
      </c>
      <c r="C3173" s="638">
        <v>4692.393</v>
      </c>
      <c r="D3173" s="633">
        <f t="shared" si="101"/>
        <v>4692.393</v>
      </c>
      <c r="E3173" s="608"/>
      <c r="F3173" s="760">
        <f t="shared" si="102"/>
        <v>1979.6969798480181</v>
      </c>
      <c r="M3173" s="443"/>
    </row>
    <row r="3174" spans="1:13">
      <c r="A3174" s="639">
        <v>51213</v>
      </c>
      <c r="B3174" s="639">
        <v>300</v>
      </c>
      <c r="C3174" s="638">
        <v>4702.5910000000003</v>
      </c>
      <c r="D3174" s="633">
        <f t="shared" si="101"/>
        <v>4702.5910000000003</v>
      </c>
      <c r="E3174" s="608"/>
      <c r="F3174" s="760">
        <f t="shared" si="102"/>
        <v>1983.9994646996686</v>
      </c>
      <c r="M3174" s="443"/>
    </row>
    <row r="3175" spans="1:13">
      <c r="A3175" s="639">
        <v>51213</v>
      </c>
      <c r="B3175" s="639">
        <v>400</v>
      </c>
      <c r="C3175" s="638">
        <v>4774.92</v>
      </c>
      <c r="D3175" s="633">
        <f t="shared" si="101"/>
        <v>4774.92</v>
      </c>
      <c r="E3175" s="608"/>
      <c r="F3175" s="760">
        <f t="shared" si="102"/>
        <v>2014.5147056130847</v>
      </c>
      <c r="M3175" s="443"/>
    </row>
    <row r="3176" spans="1:13">
      <c r="A3176" s="639">
        <v>51213</v>
      </c>
      <c r="B3176" s="639">
        <v>500</v>
      </c>
      <c r="C3176" s="638">
        <v>4907.6360000000004</v>
      </c>
      <c r="D3176" s="633">
        <f t="shared" si="101"/>
        <v>4907.6360000000004</v>
      </c>
      <c r="E3176" s="608"/>
      <c r="F3176" s="760">
        <f t="shared" si="102"/>
        <v>2070.5069177695495</v>
      </c>
      <c r="M3176" s="443"/>
    </row>
    <row r="3177" spans="1:13">
      <c r="A3177" s="639">
        <v>51213</v>
      </c>
      <c r="B3177" s="639">
        <v>600</v>
      </c>
      <c r="C3177" s="638">
        <v>5057.366</v>
      </c>
      <c r="D3177" s="633">
        <f t="shared" si="101"/>
        <v>5057.366</v>
      </c>
      <c r="E3177" s="608"/>
      <c r="F3177" s="760">
        <f t="shared" si="102"/>
        <v>2133.6772508581553</v>
      </c>
      <c r="M3177" s="443"/>
    </row>
    <row r="3178" spans="1:13">
      <c r="A3178" s="639">
        <v>51213</v>
      </c>
      <c r="B3178" s="639">
        <v>700</v>
      </c>
      <c r="C3178" s="638">
        <v>5443.3890000000001</v>
      </c>
      <c r="D3178" s="633">
        <f t="shared" si="101"/>
        <v>5443.3890000000001</v>
      </c>
      <c r="E3178" s="608"/>
      <c r="F3178" s="760">
        <f t="shared" si="102"/>
        <v>2296.5384108786125</v>
      </c>
      <c r="M3178" s="443"/>
    </row>
    <row r="3179" spans="1:13">
      <c r="A3179" s="639">
        <v>51213</v>
      </c>
      <c r="B3179" s="639">
        <v>800</v>
      </c>
      <c r="C3179" s="638">
        <v>5968.39</v>
      </c>
      <c r="D3179" s="633">
        <f t="shared" si="101"/>
        <v>5968.39</v>
      </c>
      <c r="E3179" s="608"/>
      <c r="F3179" s="760">
        <f t="shared" si="102"/>
        <v>2518.0336893254926</v>
      </c>
      <c r="M3179" s="443"/>
    </row>
    <row r="3180" spans="1:13">
      <c r="A3180" s="639">
        <v>51213</v>
      </c>
      <c r="B3180" s="639">
        <v>900</v>
      </c>
      <c r="C3180" s="638">
        <v>6461.9610000000002</v>
      </c>
      <c r="D3180" s="633">
        <f t="shared" si="101"/>
        <v>6461.9610000000002</v>
      </c>
      <c r="E3180" s="608"/>
      <c r="F3180" s="760">
        <f t="shared" si="102"/>
        <v>2726.268809026797</v>
      </c>
      <c r="M3180" s="443"/>
    </row>
    <row r="3181" spans="1:13">
      <c r="A3181" s="639">
        <v>51213</v>
      </c>
      <c r="B3181" s="639">
        <v>1000</v>
      </c>
      <c r="C3181" s="638">
        <v>6245.5630000000001</v>
      </c>
      <c r="D3181" s="633">
        <f t="shared" si="101"/>
        <v>6245.5630000000001</v>
      </c>
      <c r="E3181" s="608"/>
      <c r="F3181" s="760">
        <f t="shared" si="102"/>
        <v>2634.971582420852</v>
      </c>
      <c r="M3181" s="443"/>
    </row>
    <row r="3182" spans="1:13">
      <c r="A3182" s="639">
        <v>51213</v>
      </c>
      <c r="B3182" s="639">
        <v>1100</v>
      </c>
      <c r="C3182" s="638">
        <v>6245.1130000000003</v>
      </c>
      <c r="D3182" s="633">
        <f t="shared" si="101"/>
        <v>6245.1130000000003</v>
      </c>
      <c r="E3182" s="608"/>
      <c r="F3182" s="760">
        <f t="shared" si="102"/>
        <v>2634.7817296866647</v>
      </c>
      <c r="M3182" s="443"/>
    </row>
    <row r="3183" spans="1:13">
      <c r="A3183" s="639">
        <v>51213</v>
      </c>
      <c r="B3183" s="639">
        <v>1200</v>
      </c>
      <c r="C3183" s="638">
        <v>6200.7020000000002</v>
      </c>
      <c r="D3183" s="633">
        <f t="shared" si="101"/>
        <v>6200.7020000000002</v>
      </c>
      <c r="E3183" s="608"/>
      <c r="F3183" s="760">
        <f t="shared" si="102"/>
        <v>2616.044952402232</v>
      </c>
      <c r="M3183" s="443"/>
    </row>
    <row r="3184" spans="1:13">
      <c r="A3184" s="639">
        <v>51213</v>
      </c>
      <c r="B3184" s="639">
        <v>1300</v>
      </c>
      <c r="C3184" s="638">
        <v>6149.3329999999996</v>
      </c>
      <c r="D3184" s="633">
        <f t="shared" si="101"/>
        <v>6149.3329999999996</v>
      </c>
      <c r="E3184" s="608"/>
      <c r="F3184" s="760">
        <f t="shared" si="102"/>
        <v>2594.3726299522978</v>
      </c>
      <c r="M3184" s="443"/>
    </row>
    <row r="3185" spans="1:13">
      <c r="A3185" s="639">
        <v>51213</v>
      </c>
      <c r="B3185" s="639">
        <v>1400</v>
      </c>
      <c r="C3185" s="638">
        <v>5968.5349999999999</v>
      </c>
      <c r="D3185" s="633">
        <f t="shared" si="101"/>
        <v>5968.5349999999999</v>
      </c>
      <c r="E3185" s="608"/>
      <c r="F3185" s="760">
        <f t="shared" si="102"/>
        <v>2518.094864095397</v>
      </c>
      <c r="M3185" s="443"/>
    </row>
    <row r="3186" spans="1:13">
      <c r="A3186" s="639">
        <v>51213</v>
      </c>
      <c r="B3186" s="639">
        <v>1500</v>
      </c>
      <c r="C3186" s="638">
        <v>6048.9430000000002</v>
      </c>
      <c r="D3186" s="633">
        <f t="shared" si="101"/>
        <v>6048.9430000000002</v>
      </c>
      <c r="E3186" s="608"/>
      <c r="F3186" s="760">
        <f t="shared" si="102"/>
        <v>2552.0185944299237</v>
      </c>
      <c r="M3186" s="443"/>
    </row>
    <row r="3187" spans="1:13">
      <c r="A3187" s="639">
        <v>51213</v>
      </c>
      <c r="B3187" s="639">
        <v>1600</v>
      </c>
      <c r="C3187" s="638">
        <v>6315.0510000000004</v>
      </c>
      <c r="D3187" s="633">
        <f t="shared" si="101"/>
        <v>6315.0510000000004</v>
      </c>
      <c r="E3187" s="608"/>
      <c r="F3187" s="760">
        <f t="shared" si="102"/>
        <v>2664.2882197390986</v>
      </c>
      <c r="M3187" s="443"/>
    </row>
    <row r="3188" spans="1:13">
      <c r="A3188" s="639">
        <v>51213</v>
      </c>
      <c r="B3188" s="639">
        <v>1700</v>
      </c>
      <c r="C3188" s="638">
        <v>6710.027</v>
      </c>
      <c r="D3188" s="633">
        <f t="shared" si="101"/>
        <v>6710.027</v>
      </c>
      <c r="E3188" s="608"/>
      <c r="F3188" s="760">
        <f t="shared" si="102"/>
        <v>2830.9266053799543</v>
      </c>
      <c r="M3188" s="443"/>
    </row>
    <row r="3189" spans="1:13">
      <c r="A3189" s="639">
        <v>51213</v>
      </c>
      <c r="B3189" s="639">
        <v>1800</v>
      </c>
      <c r="C3189" s="638">
        <v>6888.7629999999999</v>
      </c>
      <c r="D3189" s="633">
        <f t="shared" si="101"/>
        <v>6888.7629999999999</v>
      </c>
      <c r="E3189" s="608"/>
      <c r="F3189" s="760">
        <f t="shared" si="102"/>
        <v>2906.3344238193122</v>
      </c>
      <c r="M3189" s="443"/>
    </row>
    <row r="3190" spans="1:13">
      <c r="A3190" s="639">
        <v>51213</v>
      </c>
      <c r="B3190" s="639">
        <v>1900</v>
      </c>
      <c r="C3190" s="638">
        <v>7053.63</v>
      </c>
      <c r="D3190" s="633">
        <f t="shared" si="101"/>
        <v>7053.63</v>
      </c>
      <c r="E3190" s="608"/>
      <c r="F3190" s="760">
        <f t="shared" si="102"/>
        <v>2975.8909809910165</v>
      </c>
      <c r="M3190" s="443"/>
    </row>
    <row r="3191" spans="1:13">
      <c r="A3191" s="639">
        <v>51213</v>
      </c>
      <c r="B3191" s="639">
        <v>2000</v>
      </c>
      <c r="C3191" s="638">
        <v>7337.518</v>
      </c>
      <c r="D3191" s="633">
        <f t="shared" si="101"/>
        <v>7337.518</v>
      </c>
      <c r="E3191" s="608"/>
      <c r="F3191" s="760">
        <f t="shared" si="102"/>
        <v>3095.6618987754164</v>
      </c>
      <c r="M3191" s="443"/>
    </row>
    <row r="3192" spans="1:13">
      <c r="A3192" s="639">
        <v>51213</v>
      </c>
      <c r="B3192" s="639">
        <v>2100</v>
      </c>
      <c r="C3192" s="638">
        <v>7632.835</v>
      </c>
      <c r="D3192" s="633">
        <f t="shared" si="101"/>
        <v>7632.835</v>
      </c>
      <c r="E3192" s="608"/>
      <c r="F3192" s="760">
        <f t="shared" si="102"/>
        <v>3220.2546541132101</v>
      </c>
      <c r="M3192" s="443"/>
    </row>
    <row r="3193" spans="1:13">
      <c r="A3193" s="639">
        <v>51213</v>
      </c>
      <c r="B3193" s="639">
        <v>2200</v>
      </c>
      <c r="C3193" s="638">
        <v>6957.0169999999998</v>
      </c>
      <c r="D3193" s="633">
        <f t="shared" si="101"/>
        <v>6957.0169999999998</v>
      </c>
      <c r="E3193" s="608"/>
      <c r="F3193" s="760">
        <f t="shared" si="102"/>
        <v>2935.1304427509203</v>
      </c>
      <c r="M3193" s="443"/>
    </row>
    <row r="3194" spans="1:13">
      <c r="A3194" s="639">
        <v>51213</v>
      </c>
      <c r="B3194" s="639">
        <v>2300</v>
      </c>
      <c r="C3194" s="638">
        <v>6006.1170000000002</v>
      </c>
      <c r="D3194" s="633">
        <f t="shared" si="101"/>
        <v>6006.1170000000002</v>
      </c>
      <c r="E3194" s="608"/>
      <c r="F3194" s="760">
        <f t="shared" si="102"/>
        <v>2533.9505206647955</v>
      </c>
      <c r="M3194" s="443"/>
    </row>
    <row r="3195" spans="1:13">
      <c r="A3195" s="639">
        <v>51213</v>
      </c>
      <c r="B3195" s="639">
        <v>2400</v>
      </c>
      <c r="C3195" s="638">
        <v>5509.0820000000003</v>
      </c>
      <c r="D3195" s="633">
        <f t="shared" si="101"/>
        <v>5509.0820000000003</v>
      </c>
      <c r="E3195" s="608"/>
      <c r="F3195" s="760">
        <f t="shared" si="102"/>
        <v>2324.2539568052125</v>
      </c>
      <c r="M3195" s="443"/>
    </row>
    <row r="3196" spans="1:13">
      <c r="A3196" s="639">
        <v>51313</v>
      </c>
      <c r="B3196" s="639">
        <v>100</v>
      </c>
      <c r="C3196" s="638">
        <v>5351.2910000000002</v>
      </c>
      <c r="D3196" s="633">
        <f t="shared" si="101"/>
        <v>5351.2910000000002</v>
      </c>
      <c r="E3196" s="608"/>
      <c r="F3196" s="760">
        <f t="shared" si="102"/>
        <v>2257.6827284048636</v>
      </c>
      <c r="M3196" s="443"/>
    </row>
    <row r="3197" spans="1:13">
      <c r="A3197" s="639">
        <v>51313</v>
      </c>
      <c r="B3197" s="639">
        <v>200</v>
      </c>
      <c r="C3197" s="638">
        <v>5227.902</v>
      </c>
      <c r="D3197" s="633">
        <f t="shared" si="101"/>
        <v>5227.902</v>
      </c>
      <c r="E3197" s="608"/>
      <c r="F3197" s="760">
        <f t="shared" si="102"/>
        <v>2205.6255305856553</v>
      </c>
      <c r="M3197" s="443"/>
    </row>
    <row r="3198" spans="1:13">
      <c r="A3198" s="639">
        <v>51313</v>
      </c>
      <c r="B3198" s="639">
        <v>300</v>
      </c>
      <c r="C3198" s="638">
        <v>5235.5829999999996</v>
      </c>
      <c r="D3198" s="633">
        <f t="shared" si="101"/>
        <v>5235.5829999999996</v>
      </c>
      <c r="E3198" s="608"/>
      <c r="F3198" s="760">
        <f t="shared" si="102"/>
        <v>2208.8661058107505</v>
      </c>
      <c r="M3198" s="443"/>
    </row>
    <row r="3199" spans="1:13">
      <c r="A3199" s="639">
        <v>51313</v>
      </c>
      <c r="B3199" s="639">
        <v>400</v>
      </c>
      <c r="C3199" s="638">
        <v>5323.25</v>
      </c>
      <c r="D3199" s="633">
        <f t="shared" si="101"/>
        <v>5323.25</v>
      </c>
      <c r="E3199" s="608"/>
      <c r="F3199" s="760">
        <f t="shared" si="102"/>
        <v>2245.8523716952018</v>
      </c>
      <c r="M3199" s="443"/>
    </row>
    <row r="3200" spans="1:13">
      <c r="A3200" s="639">
        <v>51313</v>
      </c>
      <c r="B3200" s="639">
        <v>500</v>
      </c>
      <c r="C3200" s="638">
        <v>5722.5039999999999</v>
      </c>
      <c r="D3200" s="633">
        <f t="shared" si="101"/>
        <v>5722.5039999999999</v>
      </c>
      <c r="E3200" s="608"/>
      <c r="F3200" s="760">
        <f t="shared" si="102"/>
        <v>2414.2956239957316</v>
      </c>
      <c r="M3200" s="443"/>
    </row>
    <row r="3201" spans="1:13">
      <c r="A3201" s="639">
        <v>51313</v>
      </c>
      <c r="B3201" s="639">
        <v>600</v>
      </c>
      <c r="C3201" s="638">
        <v>6335.2129999999997</v>
      </c>
      <c r="D3201" s="633">
        <f t="shared" si="101"/>
        <v>6335.2129999999997</v>
      </c>
      <c r="E3201" s="608"/>
      <c r="F3201" s="760">
        <f t="shared" si="102"/>
        <v>2672.7944660206217</v>
      </c>
      <c r="M3201" s="443"/>
    </row>
    <row r="3202" spans="1:13">
      <c r="A3202" s="639">
        <v>51313</v>
      </c>
      <c r="B3202" s="639">
        <v>700</v>
      </c>
      <c r="C3202" s="638">
        <v>6302.72</v>
      </c>
      <c r="D3202" s="633">
        <f t="shared" si="101"/>
        <v>6302.72</v>
      </c>
      <c r="E3202" s="608"/>
      <c r="F3202" s="760">
        <f t="shared" si="102"/>
        <v>2659.0858329274001</v>
      </c>
      <c r="M3202" s="443"/>
    </row>
    <row r="3203" spans="1:13">
      <c r="A3203" s="639">
        <v>51313</v>
      </c>
      <c r="B3203" s="639">
        <v>800</v>
      </c>
      <c r="C3203" s="638">
        <v>6272.6890000000003</v>
      </c>
      <c r="D3203" s="633">
        <f t="shared" si="101"/>
        <v>6272.6890000000003</v>
      </c>
      <c r="E3203" s="608"/>
      <c r="F3203" s="760">
        <f t="shared" si="102"/>
        <v>2646.4159052376658</v>
      </c>
      <c r="M3203" s="443"/>
    </row>
    <row r="3204" spans="1:13">
      <c r="A3204" s="639">
        <v>51313</v>
      </c>
      <c r="B3204" s="639">
        <v>900</v>
      </c>
      <c r="C3204" s="638">
        <v>6081.6329999999998</v>
      </c>
      <c r="D3204" s="633">
        <f t="shared" si="101"/>
        <v>6081.6329999999998</v>
      </c>
      <c r="E3204" s="608"/>
      <c r="F3204" s="760">
        <f t="shared" si="102"/>
        <v>2565.8103408312227</v>
      </c>
      <c r="M3204" s="443"/>
    </row>
    <row r="3205" spans="1:13">
      <c r="A3205" s="639">
        <v>51313</v>
      </c>
      <c r="B3205" s="639">
        <v>1000</v>
      </c>
      <c r="C3205" s="638">
        <v>6002.3270000000002</v>
      </c>
      <c r="D3205" s="633">
        <f t="shared" ref="D3205:D3268" si="103">C3205</f>
        <v>6002.3270000000002</v>
      </c>
      <c r="E3205" s="608"/>
      <c r="F3205" s="760">
        <f t="shared" si="102"/>
        <v>2532.3515387479729</v>
      </c>
      <c r="M3205" s="443"/>
    </row>
    <row r="3206" spans="1:13">
      <c r="A3206" s="639">
        <v>51313</v>
      </c>
      <c r="B3206" s="639">
        <v>1100</v>
      </c>
      <c r="C3206" s="638">
        <v>5879.6390000000001</v>
      </c>
      <c r="D3206" s="633">
        <f t="shared" si="103"/>
        <v>5879.6390000000001</v>
      </c>
      <c r="E3206" s="608"/>
      <c r="F3206" s="760">
        <f t="shared" si="102"/>
        <v>2480.5900892991322</v>
      </c>
      <c r="M3206" s="443"/>
    </row>
    <row r="3207" spans="1:13">
      <c r="A3207" s="639">
        <v>51313</v>
      </c>
      <c r="B3207" s="639">
        <v>1200</v>
      </c>
      <c r="C3207" s="638">
        <v>5704.5259999999998</v>
      </c>
      <c r="D3207" s="633">
        <f t="shared" si="103"/>
        <v>5704.5259999999998</v>
      </c>
      <c r="E3207" s="608"/>
      <c r="F3207" s="760">
        <f t="shared" si="102"/>
        <v>2406.7107963174644</v>
      </c>
      <c r="M3207" s="443"/>
    </row>
    <row r="3208" spans="1:13">
      <c r="A3208" s="639">
        <v>51313</v>
      </c>
      <c r="B3208" s="639">
        <v>1300</v>
      </c>
      <c r="C3208" s="638">
        <v>5515.473</v>
      </c>
      <c r="D3208" s="633">
        <f t="shared" si="103"/>
        <v>5515.473</v>
      </c>
      <c r="E3208" s="608"/>
      <c r="F3208" s="760">
        <f t="shared" si="102"/>
        <v>2326.9502875256376</v>
      </c>
      <c r="M3208" s="443"/>
    </row>
    <row r="3209" spans="1:13">
      <c r="A3209" s="639">
        <v>51313</v>
      </c>
      <c r="B3209" s="639">
        <v>1400</v>
      </c>
      <c r="C3209" s="638">
        <v>5404.9009999999998</v>
      </c>
      <c r="D3209" s="633">
        <f t="shared" si="103"/>
        <v>5404.9009999999998</v>
      </c>
      <c r="E3209" s="608"/>
      <c r="F3209" s="760">
        <f t="shared" si="102"/>
        <v>2280.3005174710502</v>
      </c>
      <c r="M3209" s="443"/>
    </row>
    <row r="3210" spans="1:13">
      <c r="A3210" s="639">
        <v>51313</v>
      </c>
      <c r="B3210" s="639">
        <v>1500</v>
      </c>
      <c r="C3210" s="638">
        <v>5318.1270000000004</v>
      </c>
      <c r="D3210" s="633">
        <f t="shared" si="103"/>
        <v>5318.1270000000004</v>
      </c>
      <c r="E3210" s="608"/>
      <c r="F3210" s="760">
        <f t="shared" si="102"/>
        <v>2243.6910037902203</v>
      </c>
      <c r="M3210" s="443"/>
    </row>
    <row r="3211" spans="1:13">
      <c r="A3211" s="639">
        <v>51313</v>
      </c>
      <c r="B3211" s="639">
        <v>1600</v>
      </c>
      <c r="C3211" s="638">
        <v>5533.2740000000003</v>
      </c>
      <c r="D3211" s="633">
        <f t="shared" si="103"/>
        <v>5533.2740000000003</v>
      </c>
      <c r="E3211" s="608"/>
      <c r="F3211" s="760">
        <f t="shared" si="102"/>
        <v>2334.4604397951248</v>
      </c>
      <c r="M3211" s="443"/>
    </row>
    <row r="3212" spans="1:13">
      <c r="A3212" s="639">
        <v>51313</v>
      </c>
      <c r="B3212" s="639">
        <v>1700</v>
      </c>
      <c r="C3212" s="638">
        <v>5876.9080000000004</v>
      </c>
      <c r="D3212" s="633">
        <f t="shared" si="103"/>
        <v>5876.9080000000004</v>
      </c>
      <c r="E3212" s="608"/>
      <c r="F3212" s="760">
        <f t="shared" si="102"/>
        <v>2479.4378941500977</v>
      </c>
      <c r="M3212" s="443"/>
    </row>
    <row r="3213" spans="1:13">
      <c r="A3213" s="639">
        <v>51313</v>
      </c>
      <c r="B3213" s="639">
        <v>1800</v>
      </c>
      <c r="C3213" s="638">
        <v>6176.5630000000001</v>
      </c>
      <c r="D3213" s="633">
        <f t="shared" si="103"/>
        <v>6176.5630000000001</v>
      </c>
      <c r="E3213" s="608"/>
      <c r="F3213" s="760">
        <f t="shared" si="102"/>
        <v>2605.8608298454574</v>
      </c>
      <c r="M3213" s="443"/>
    </row>
    <row r="3214" spans="1:13">
      <c r="A3214" s="639">
        <v>51313</v>
      </c>
      <c r="B3214" s="639">
        <v>1900</v>
      </c>
      <c r="C3214" s="638">
        <v>6399.4809999999998</v>
      </c>
      <c r="D3214" s="633">
        <f t="shared" si="103"/>
        <v>6399.4809999999998</v>
      </c>
      <c r="E3214" s="608"/>
      <c r="F3214" s="760">
        <f t="shared" si="102"/>
        <v>2699.9088116222952</v>
      </c>
      <c r="M3214" s="443"/>
    </row>
    <row r="3215" spans="1:13">
      <c r="A3215" s="639">
        <v>51313</v>
      </c>
      <c r="B3215" s="639">
        <v>2000</v>
      </c>
      <c r="C3215" s="638">
        <v>6865.5649999999996</v>
      </c>
      <c r="D3215" s="633">
        <f t="shared" si="103"/>
        <v>6865.5649999999996</v>
      </c>
      <c r="E3215" s="608"/>
      <c r="F3215" s="760">
        <f t="shared" si="102"/>
        <v>2896.5473044244713</v>
      </c>
      <c r="M3215" s="443"/>
    </row>
    <row r="3216" spans="1:13">
      <c r="A3216" s="639">
        <v>51313</v>
      </c>
      <c r="B3216" s="639">
        <v>2100</v>
      </c>
      <c r="C3216" s="638">
        <v>7153.7579999999998</v>
      </c>
      <c r="D3216" s="633">
        <f t="shared" si="103"/>
        <v>7153.7579999999998</v>
      </c>
      <c r="E3216" s="608"/>
      <c r="F3216" s="760">
        <f t="shared" si="102"/>
        <v>3018.1344800325969</v>
      </c>
      <c r="M3216" s="443"/>
    </row>
    <row r="3217" spans="1:13">
      <c r="A3217" s="639">
        <v>51313</v>
      </c>
      <c r="B3217" s="639">
        <v>2200</v>
      </c>
      <c r="C3217" s="638">
        <v>6699.3670000000002</v>
      </c>
      <c r="D3217" s="633">
        <f t="shared" si="103"/>
        <v>6699.3670000000002</v>
      </c>
      <c r="E3217" s="608"/>
      <c r="F3217" s="760">
        <f t="shared" si="102"/>
        <v>2826.4292050545382</v>
      </c>
      <c r="M3217" s="443"/>
    </row>
    <row r="3218" spans="1:13">
      <c r="A3218" s="639">
        <v>51313</v>
      </c>
      <c r="B3218" s="639">
        <v>2300</v>
      </c>
      <c r="C3218" s="638">
        <v>5658.5280000000002</v>
      </c>
      <c r="D3218" s="633">
        <f t="shared" si="103"/>
        <v>5658.5280000000002</v>
      </c>
      <c r="E3218" s="608"/>
      <c r="F3218" s="760">
        <f t="shared" si="102"/>
        <v>2387.3044717237981</v>
      </c>
      <c r="M3218" s="443"/>
    </row>
    <row r="3219" spans="1:13">
      <c r="A3219" s="639">
        <v>51313</v>
      </c>
      <c r="B3219" s="639">
        <v>2400</v>
      </c>
      <c r="C3219" s="638">
        <v>5147.4880000000003</v>
      </c>
      <c r="D3219" s="633">
        <f t="shared" si="103"/>
        <v>5147.4880000000003</v>
      </c>
      <c r="E3219" s="608"/>
      <c r="F3219" s="760">
        <f t="shared" si="102"/>
        <v>2171.6992688813398</v>
      </c>
      <c r="M3219" s="443"/>
    </row>
    <row r="3220" spans="1:13">
      <c r="A3220" s="639">
        <v>51413</v>
      </c>
      <c r="B3220" s="639">
        <v>100</v>
      </c>
      <c r="C3220" s="638">
        <v>4952.3329999999996</v>
      </c>
      <c r="D3220" s="633">
        <f t="shared" si="103"/>
        <v>4952.3329999999996</v>
      </c>
      <c r="E3220" s="608"/>
      <c r="F3220" s="760">
        <f t="shared" si="102"/>
        <v>2089.364357013932</v>
      </c>
      <c r="M3220" s="443"/>
    </row>
    <row r="3221" spans="1:13">
      <c r="A3221" s="639">
        <v>51413</v>
      </c>
      <c r="B3221" s="639">
        <v>200</v>
      </c>
      <c r="C3221" s="638">
        <v>4884.76</v>
      </c>
      <c r="D3221" s="633">
        <f t="shared" si="103"/>
        <v>4884.76</v>
      </c>
      <c r="E3221" s="608"/>
      <c r="F3221" s="760">
        <f t="shared" si="102"/>
        <v>2060.8556485533936</v>
      </c>
      <c r="M3221" s="443"/>
    </row>
    <row r="3222" spans="1:13">
      <c r="A3222" s="639">
        <v>51413</v>
      </c>
      <c r="B3222" s="639">
        <v>300</v>
      </c>
      <c r="C3222" s="638">
        <v>5074.2889999999998</v>
      </c>
      <c r="D3222" s="633">
        <f t="shared" si="103"/>
        <v>5074.2889999999998</v>
      </c>
      <c r="E3222" s="608"/>
      <c r="F3222" s="760">
        <f t="shared" si="102"/>
        <v>2140.8169793484944</v>
      </c>
      <c r="M3222" s="443"/>
    </row>
    <row r="3223" spans="1:13">
      <c r="A3223" s="639">
        <v>51413</v>
      </c>
      <c r="B3223" s="639">
        <v>400</v>
      </c>
      <c r="C3223" s="638">
        <v>5209.7489999999998</v>
      </c>
      <c r="D3223" s="633">
        <f t="shared" si="103"/>
        <v>5209.7489999999998</v>
      </c>
      <c r="E3223" s="608"/>
      <c r="F3223" s="760">
        <f t="shared" si="102"/>
        <v>2197.9668712885373</v>
      </c>
      <c r="M3223" s="443"/>
    </row>
    <row r="3224" spans="1:13">
      <c r="A3224" s="639">
        <v>51413</v>
      </c>
      <c r="B3224" s="639">
        <v>500</v>
      </c>
      <c r="C3224" s="638">
        <v>5671.9809999999998</v>
      </c>
      <c r="D3224" s="633">
        <f t="shared" si="103"/>
        <v>5671.9809999999998</v>
      </c>
      <c r="E3224" s="608"/>
      <c r="F3224" s="760">
        <f t="shared" si="102"/>
        <v>2392.98022468607</v>
      </c>
      <c r="M3224" s="443"/>
    </row>
    <row r="3225" spans="1:13">
      <c r="A3225" s="639">
        <v>51413</v>
      </c>
      <c r="B3225" s="639">
        <v>600</v>
      </c>
      <c r="C3225" s="638">
        <v>6445.9639999999999</v>
      </c>
      <c r="D3225" s="633">
        <f t="shared" si="103"/>
        <v>6445.9639999999999</v>
      </c>
      <c r="E3225" s="608"/>
      <c r="F3225" s="760">
        <f t="shared" si="102"/>
        <v>2719.5197552739191</v>
      </c>
      <c r="M3225" s="443"/>
    </row>
    <row r="3226" spans="1:13">
      <c r="A3226" s="639">
        <v>51413</v>
      </c>
      <c r="B3226" s="639">
        <v>700</v>
      </c>
      <c r="C3226" s="638">
        <v>6712.67</v>
      </c>
      <c r="D3226" s="633">
        <f t="shared" si="103"/>
        <v>6712.67</v>
      </c>
      <c r="E3226" s="608"/>
      <c r="F3226" s="760">
        <f t="shared" si="102"/>
        <v>2832.0416737720811</v>
      </c>
      <c r="M3226" s="443"/>
    </row>
    <row r="3227" spans="1:13">
      <c r="A3227" s="639">
        <v>51413</v>
      </c>
      <c r="B3227" s="639">
        <v>800</v>
      </c>
      <c r="C3227" s="638">
        <v>6220.9880000000003</v>
      </c>
      <c r="D3227" s="633">
        <f t="shared" si="103"/>
        <v>6220.9880000000003</v>
      </c>
      <c r="E3227" s="608"/>
      <c r="F3227" s="760">
        <f t="shared" si="102"/>
        <v>2624.6035136593982</v>
      </c>
      <c r="M3227" s="443"/>
    </row>
    <row r="3228" spans="1:13">
      <c r="A3228" s="639">
        <v>51413</v>
      </c>
      <c r="B3228" s="639">
        <v>900</v>
      </c>
      <c r="C3228" s="638">
        <v>5654.4570000000003</v>
      </c>
      <c r="D3228" s="633">
        <f t="shared" si="103"/>
        <v>5654.4570000000003</v>
      </c>
      <c r="E3228" s="608"/>
      <c r="F3228" s="760">
        <f t="shared" ref="F3228:F3291" si="104">(D3228/(MAX($D$2908:$D$3651)))*$M$8</f>
        <v>2385.5869373218497</v>
      </c>
      <c r="M3228" s="443"/>
    </row>
    <row r="3229" spans="1:13">
      <c r="A3229" s="639">
        <v>51413</v>
      </c>
      <c r="B3229" s="639">
        <v>1000</v>
      </c>
      <c r="C3229" s="638">
        <v>5546.701</v>
      </c>
      <c r="D3229" s="633">
        <f t="shared" si="103"/>
        <v>5546.701</v>
      </c>
      <c r="E3229" s="608"/>
      <c r="F3229" s="760">
        <f t="shared" si="104"/>
        <v>2340.1252234883104</v>
      </c>
      <c r="M3229" s="443"/>
    </row>
    <row r="3230" spans="1:13">
      <c r="A3230" s="639">
        <v>51413</v>
      </c>
      <c r="B3230" s="639">
        <v>1100</v>
      </c>
      <c r="C3230" s="638">
        <v>5555.2139999999999</v>
      </c>
      <c r="D3230" s="633">
        <f t="shared" si="103"/>
        <v>5555.2139999999999</v>
      </c>
      <c r="E3230" s="608"/>
      <c r="F3230" s="760">
        <f t="shared" si="104"/>
        <v>2343.7168153241701</v>
      </c>
      <c r="M3230" s="443"/>
    </row>
    <row r="3231" spans="1:13">
      <c r="A3231" s="639">
        <v>51413</v>
      </c>
      <c r="B3231" s="639">
        <v>1200</v>
      </c>
      <c r="C3231" s="638">
        <v>5596.7089999999998</v>
      </c>
      <c r="D3231" s="633">
        <f t="shared" si="103"/>
        <v>5596.7089999999998</v>
      </c>
      <c r="E3231" s="608"/>
      <c r="F3231" s="760">
        <f t="shared" si="104"/>
        <v>2361.2233468910686</v>
      </c>
      <c r="M3231" s="443"/>
    </row>
    <row r="3232" spans="1:13">
      <c r="A3232" s="639">
        <v>51413</v>
      </c>
      <c r="B3232" s="639">
        <v>1300</v>
      </c>
      <c r="C3232" s="638">
        <v>5534.4740000000002</v>
      </c>
      <c r="D3232" s="633">
        <f t="shared" si="103"/>
        <v>5534.4740000000002</v>
      </c>
      <c r="E3232" s="608"/>
      <c r="F3232" s="760">
        <f t="shared" si="104"/>
        <v>2334.9667137529573</v>
      </c>
      <c r="M3232" s="443"/>
    </row>
    <row r="3233" spans="1:13">
      <c r="A3233" s="639">
        <v>51413</v>
      </c>
      <c r="B3233" s="639">
        <v>1400</v>
      </c>
      <c r="C3233" s="638">
        <v>5448.6670000000004</v>
      </c>
      <c r="D3233" s="633">
        <f t="shared" si="103"/>
        <v>5448.6670000000004</v>
      </c>
      <c r="E3233" s="608"/>
      <c r="F3233" s="760">
        <f t="shared" si="104"/>
        <v>2298.7651725031474</v>
      </c>
      <c r="M3233" s="443"/>
    </row>
    <row r="3234" spans="1:13">
      <c r="A3234" s="639">
        <v>51413</v>
      </c>
      <c r="B3234" s="639">
        <v>1500</v>
      </c>
      <c r="C3234" s="638">
        <v>5644.317</v>
      </c>
      <c r="D3234" s="633">
        <f t="shared" si="103"/>
        <v>5644.317</v>
      </c>
      <c r="E3234" s="608"/>
      <c r="F3234" s="760">
        <f t="shared" si="104"/>
        <v>2381.3089223781612</v>
      </c>
      <c r="M3234" s="443"/>
    </row>
    <row r="3235" spans="1:13">
      <c r="A3235" s="639">
        <v>51413</v>
      </c>
      <c r="B3235" s="639">
        <v>1600</v>
      </c>
      <c r="C3235" s="638">
        <v>5881.5330000000004</v>
      </c>
      <c r="D3235" s="633">
        <f t="shared" si="103"/>
        <v>5881.5330000000004</v>
      </c>
      <c r="E3235" s="608"/>
      <c r="F3235" s="760">
        <f t="shared" si="104"/>
        <v>2481.3891583625787</v>
      </c>
      <c r="M3235" s="443"/>
    </row>
    <row r="3236" spans="1:13">
      <c r="A3236" s="639">
        <v>51413</v>
      </c>
      <c r="B3236" s="639">
        <v>1700</v>
      </c>
      <c r="C3236" s="638">
        <v>6301.8670000000002</v>
      </c>
      <c r="D3236" s="633">
        <f t="shared" si="103"/>
        <v>6301.8670000000002</v>
      </c>
      <c r="E3236" s="608"/>
      <c r="F3236" s="760">
        <f t="shared" si="104"/>
        <v>2658.725956522374</v>
      </c>
      <c r="M3236" s="443"/>
    </row>
    <row r="3237" spans="1:13">
      <c r="A3237" s="639">
        <v>51413</v>
      </c>
      <c r="B3237" s="639">
        <v>1800</v>
      </c>
      <c r="C3237" s="638">
        <v>6613.5290000000005</v>
      </c>
      <c r="D3237" s="633">
        <f t="shared" si="103"/>
        <v>6613.5290000000005</v>
      </c>
      <c r="E3237" s="608"/>
      <c r="F3237" s="760">
        <f t="shared" si="104"/>
        <v>2790.2145850608176</v>
      </c>
      <c r="M3237" s="443"/>
    </row>
    <row r="3238" spans="1:13">
      <c r="A3238" s="639">
        <v>51413</v>
      </c>
      <c r="B3238" s="639">
        <v>1900</v>
      </c>
      <c r="C3238" s="638">
        <v>6938.93</v>
      </c>
      <c r="D3238" s="633">
        <f t="shared" si="103"/>
        <v>6938.93</v>
      </c>
      <c r="E3238" s="608"/>
      <c r="F3238" s="760">
        <f t="shared" si="104"/>
        <v>2927.4996285214834</v>
      </c>
      <c r="M3238" s="443"/>
    </row>
    <row r="3239" spans="1:13">
      <c r="A3239" s="639">
        <v>51413</v>
      </c>
      <c r="B3239" s="639">
        <v>2000</v>
      </c>
      <c r="C3239" s="638">
        <v>7207.6279999999997</v>
      </c>
      <c r="D3239" s="633">
        <f t="shared" si="103"/>
        <v>7207.6279999999997</v>
      </c>
      <c r="E3239" s="608"/>
      <c r="F3239" s="760">
        <f t="shared" si="104"/>
        <v>3040.8619617896479</v>
      </c>
      <c r="M3239" s="443"/>
    </row>
    <row r="3240" spans="1:13">
      <c r="A3240" s="639">
        <v>51413</v>
      </c>
      <c r="B3240" s="639">
        <v>2100</v>
      </c>
      <c r="C3240" s="638">
        <v>7111.6440000000002</v>
      </c>
      <c r="D3240" s="633">
        <f t="shared" si="103"/>
        <v>7111.6440000000002</v>
      </c>
      <c r="E3240" s="608"/>
      <c r="F3240" s="760">
        <f t="shared" si="104"/>
        <v>3000.36679548245</v>
      </c>
      <c r="M3240" s="443"/>
    </row>
    <row r="3241" spans="1:13">
      <c r="A3241" s="639">
        <v>51413</v>
      </c>
      <c r="B3241" s="639">
        <v>2200</v>
      </c>
      <c r="C3241" s="638">
        <v>6262.6880000000001</v>
      </c>
      <c r="D3241" s="633">
        <f t="shared" si="103"/>
        <v>6262.6880000000001</v>
      </c>
      <c r="E3241" s="608"/>
      <c r="F3241" s="760">
        <f t="shared" si="104"/>
        <v>2642.1965336940934</v>
      </c>
      <c r="M3241" s="443"/>
    </row>
    <row r="3242" spans="1:13">
      <c r="A3242" s="639">
        <v>51413</v>
      </c>
      <c r="B3242" s="639">
        <v>2300</v>
      </c>
      <c r="C3242" s="638">
        <v>5262.7569999999996</v>
      </c>
      <c r="D3242" s="633">
        <f t="shared" si="103"/>
        <v>5262.7569999999996</v>
      </c>
      <c r="E3242" s="608"/>
      <c r="F3242" s="760">
        <f t="shared" si="104"/>
        <v>2220.330679585878</v>
      </c>
      <c r="M3242" s="443"/>
    </row>
    <row r="3243" spans="1:13">
      <c r="A3243" s="639">
        <v>51413</v>
      </c>
      <c r="B3243" s="639">
        <v>2400</v>
      </c>
      <c r="C3243" s="638">
        <v>4704.5</v>
      </c>
      <c r="D3243" s="633">
        <f t="shared" si="103"/>
        <v>4704.5</v>
      </c>
      <c r="E3243" s="608"/>
      <c r="F3243" s="760">
        <f t="shared" si="104"/>
        <v>1984.804862187588</v>
      </c>
      <c r="M3243" s="443"/>
    </row>
    <row r="3244" spans="1:13">
      <c r="A3244" s="639">
        <v>51513</v>
      </c>
      <c r="B3244" s="639">
        <v>100</v>
      </c>
      <c r="C3244" s="638">
        <v>4470.9620000000004</v>
      </c>
      <c r="D3244" s="633">
        <f t="shared" si="103"/>
        <v>4470.9620000000004</v>
      </c>
      <c r="E3244" s="608"/>
      <c r="F3244" s="760">
        <f t="shared" si="104"/>
        <v>1886.276355883929</v>
      </c>
      <c r="M3244" s="443"/>
    </row>
    <row r="3245" spans="1:13">
      <c r="A3245" s="639">
        <v>51513</v>
      </c>
      <c r="B3245" s="639">
        <v>200</v>
      </c>
      <c r="C3245" s="638">
        <v>4413.6260000000002</v>
      </c>
      <c r="D3245" s="633">
        <f t="shared" si="103"/>
        <v>4413.6260000000002</v>
      </c>
      <c r="E3245" s="608"/>
      <c r="F3245" s="760">
        <f t="shared" si="104"/>
        <v>1862.0865861786704</v>
      </c>
      <c r="M3245" s="443"/>
    </row>
    <row r="3246" spans="1:13">
      <c r="A3246" s="639">
        <v>51513</v>
      </c>
      <c r="B3246" s="639">
        <v>300</v>
      </c>
      <c r="C3246" s="638">
        <v>4611.6360000000004</v>
      </c>
      <c r="D3246" s="633">
        <f t="shared" si="103"/>
        <v>4611.6360000000004</v>
      </c>
      <c r="E3246" s="608"/>
      <c r="F3246" s="760">
        <f t="shared" si="104"/>
        <v>1945.6260081707555</v>
      </c>
      <c r="M3246" s="443"/>
    </row>
    <row r="3247" spans="1:13">
      <c r="A3247" s="639">
        <v>51513</v>
      </c>
      <c r="B3247" s="639">
        <v>400</v>
      </c>
      <c r="C3247" s="638">
        <v>4737.2920000000004</v>
      </c>
      <c r="D3247" s="633">
        <f t="shared" si="103"/>
        <v>4737.2920000000004</v>
      </c>
      <c r="E3247" s="608"/>
      <c r="F3247" s="760">
        <f t="shared" si="104"/>
        <v>1998.6396418753029</v>
      </c>
      <c r="M3247" s="443"/>
    </row>
    <row r="3248" spans="1:13">
      <c r="A3248" s="639">
        <v>51513</v>
      </c>
      <c r="B3248" s="639">
        <v>500</v>
      </c>
      <c r="C3248" s="638">
        <v>5156.1689999999999</v>
      </c>
      <c r="D3248" s="633">
        <f t="shared" si="103"/>
        <v>5156.1689999999999</v>
      </c>
      <c r="E3248" s="608"/>
      <c r="F3248" s="760">
        <f t="shared" si="104"/>
        <v>2175.3617390712961</v>
      </c>
      <c r="M3248" s="443"/>
    </row>
    <row r="3249" spans="1:13">
      <c r="A3249" s="639">
        <v>51513</v>
      </c>
      <c r="B3249" s="639">
        <v>600</v>
      </c>
      <c r="C3249" s="638">
        <v>6149.6090000000004</v>
      </c>
      <c r="D3249" s="633">
        <f t="shared" si="103"/>
        <v>6149.6090000000004</v>
      </c>
      <c r="E3249" s="608"/>
      <c r="F3249" s="760">
        <f t="shared" si="104"/>
        <v>2594.4890729625999</v>
      </c>
      <c r="M3249" s="443"/>
    </row>
    <row r="3250" spans="1:13">
      <c r="A3250" s="639">
        <v>51513</v>
      </c>
      <c r="B3250" s="639">
        <v>700</v>
      </c>
      <c r="C3250" s="638">
        <v>6465.1970000000001</v>
      </c>
      <c r="D3250" s="633">
        <f t="shared" si="103"/>
        <v>6465.1970000000001</v>
      </c>
      <c r="E3250" s="608"/>
      <c r="F3250" s="760">
        <f t="shared" si="104"/>
        <v>2727.6340611330866</v>
      </c>
      <c r="M3250" s="443"/>
    </row>
    <row r="3251" spans="1:13">
      <c r="A3251" s="639">
        <v>51513</v>
      </c>
      <c r="B3251" s="639">
        <v>800</v>
      </c>
      <c r="C3251" s="638">
        <v>5909.2439999999997</v>
      </c>
      <c r="D3251" s="633">
        <f t="shared" si="103"/>
        <v>5909.2439999999997</v>
      </c>
      <c r="E3251" s="608"/>
      <c r="F3251" s="760">
        <f t="shared" si="104"/>
        <v>2493.0802897338353</v>
      </c>
      <c r="M3251" s="443"/>
    </row>
    <row r="3252" spans="1:13">
      <c r="A3252" s="639">
        <v>51513</v>
      </c>
      <c r="B3252" s="639">
        <v>900</v>
      </c>
      <c r="C3252" s="638">
        <v>5382.0410000000002</v>
      </c>
      <c r="D3252" s="633">
        <f t="shared" si="103"/>
        <v>5382.0410000000002</v>
      </c>
      <c r="E3252" s="608"/>
      <c r="F3252" s="760">
        <f t="shared" si="104"/>
        <v>2270.6559985743324</v>
      </c>
      <c r="M3252" s="443"/>
    </row>
    <row r="3253" spans="1:13">
      <c r="A3253" s="639">
        <v>51513</v>
      </c>
      <c r="B3253" s="639">
        <v>1000</v>
      </c>
      <c r="C3253" s="638">
        <v>5103.1080000000002</v>
      </c>
      <c r="D3253" s="633">
        <f t="shared" si="103"/>
        <v>5103.1080000000002</v>
      </c>
      <c r="E3253" s="608"/>
      <c r="F3253" s="760">
        <f t="shared" si="104"/>
        <v>2152.9755703408177</v>
      </c>
      <c r="M3253" s="443"/>
    </row>
    <row r="3254" spans="1:13">
      <c r="A3254" s="639">
        <v>51513</v>
      </c>
      <c r="B3254" s="639">
        <v>1100</v>
      </c>
      <c r="C3254" s="638">
        <v>4992.4530000000004</v>
      </c>
      <c r="D3254" s="633">
        <f t="shared" si="103"/>
        <v>4992.4530000000004</v>
      </c>
      <c r="E3254" s="608"/>
      <c r="F3254" s="760">
        <f t="shared" si="104"/>
        <v>2106.2907830041472</v>
      </c>
      <c r="M3254" s="443"/>
    </row>
    <row r="3255" spans="1:13">
      <c r="A3255" s="639">
        <v>51513</v>
      </c>
      <c r="B3255" s="639">
        <v>1200</v>
      </c>
      <c r="C3255" s="638">
        <v>4748.7650000000003</v>
      </c>
      <c r="D3255" s="633">
        <f t="shared" si="103"/>
        <v>4748.7650000000003</v>
      </c>
      <c r="E3255" s="608"/>
      <c r="F3255" s="760">
        <f t="shared" si="104"/>
        <v>2003.480042807151</v>
      </c>
      <c r="M3255" s="443"/>
    </row>
    <row r="3256" spans="1:13">
      <c r="A3256" s="639">
        <v>51513</v>
      </c>
      <c r="B3256" s="639">
        <v>1300</v>
      </c>
      <c r="C3256" s="638">
        <v>4627.1099999999997</v>
      </c>
      <c r="D3256" s="633">
        <f t="shared" si="103"/>
        <v>4627.1099999999997</v>
      </c>
      <c r="E3256" s="608"/>
      <c r="F3256" s="760">
        <f t="shared" si="104"/>
        <v>1952.154410857011</v>
      </c>
      <c r="M3256" s="443"/>
    </row>
    <row r="3257" spans="1:13">
      <c r="A3257" s="639">
        <v>51513</v>
      </c>
      <c r="B3257" s="639">
        <v>1400</v>
      </c>
      <c r="C3257" s="638">
        <v>4602.4690000000001</v>
      </c>
      <c r="D3257" s="633">
        <f t="shared" si="103"/>
        <v>4602.4690000000001</v>
      </c>
      <c r="E3257" s="608"/>
      <c r="F3257" s="760">
        <f t="shared" si="104"/>
        <v>1941.7584970278765</v>
      </c>
      <c r="M3257" s="443"/>
    </row>
    <row r="3258" spans="1:13">
      <c r="A3258" s="639">
        <v>51513</v>
      </c>
      <c r="B3258" s="639">
        <v>1500</v>
      </c>
      <c r="C3258" s="638">
        <v>4901.0959999999995</v>
      </c>
      <c r="D3258" s="633">
        <f t="shared" si="103"/>
        <v>4901.0959999999995</v>
      </c>
      <c r="E3258" s="608"/>
      <c r="F3258" s="760">
        <f t="shared" si="104"/>
        <v>2067.7477246993594</v>
      </c>
      <c r="M3258" s="443"/>
    </row>
    <row r="3259" spans="1:13">
      <c r="A3259" s="639">
        <v>51513</v>
      </c>
      <c r="B3259" s="639">
        <v>1600</v>
      </c>
      <c r="C3259" s="638">
        <v>5170.2820000000002</v>
      </c>
      <c r="D3259" s="633">
        <f t="shared" si="103"/>
        <v>5170.2820000000002</v>
      </c>
      <c r="E3259" s="608"/>
      <c r="F3259" s="760">
        <f t="shared" si="104"/>
        <v>2181.3159427103765</v>
      </c>
      <c r="M3259" s="443"/>
    </row>
    <row r="3260" spans="1:13">
      <c r="A3260" s="639">
        <v>51513</v>
      </c>
      <c r="B3260" s="639">
        <v>1700</v>
      </c>
      <c r="C3260" s="638">
        <v>5353.1170000000002</v>
      </c>
      <c r="D3260" s="633">
        <f t="shared" si="103"/>
        <v>5353.1170000000002</v>
      </c>
      <c r="E3260" s="608"/>
      <c r="F3260" s="760">
        <f t="shared" si="104"/>
        <v>2258.453108610699</v>
      </c>
      <c r="M3260" s="443"/>
    </row>
    <row r="3261" spans="1:13">
      <c r="A3261" s="639">
        <v>51513</v>
      </c>
      <c r="B3261" s="639">
        <v>1800</v>
      </c>
      <c r="C3261" s="638">
        <v>5582.7349999999997</v>
      </c>
      <c r="D3261" s="633">
        <f t="shared" si="103"/>
        <v>5582.7349999999997</v>
      </c>
      <c r="E3261" s="608"/>
      <c r="F3261" s="760">
        <f t="shared" si="104"/>
        <v>2355.3277866521039</v>
      </c>
      <c r="M3261" s="443"/>
    </row>
    <row r="3262" spans="1:13">
      <c r="A3262" s="639">
        <v>51513</v>
      </c>
      <c r="B3262" s="639">
        <v>1900</v>
      </c>
      <c r="C3262" s="638">
        <v>5738.4620000000004</v>
      </c>
      <c r="D3262" s="633">
        <f t="shared" si="103"/>
        <v>5738.4620000000004</v>
      </c>
      <c r="E3262" s="608"/>
      <c r="F3262" s="760">
        <f t="shared" si="104"/>
        <v>2421.0282238449804</v>
      </c>
      <c r="M3262" s="443"/>
    </row>
    <row r="3263" spans="1:13">
      <c r="A3263" s="639">
        <v>51513</v>
      </c>
      <c r="B3263" s="639">
        <v>2000</v>
      </c>
      <c r="C3263" s="638">
        <v>6122.518</v>
      </c>
      <c r="D3263" s="633">
        <f t="shared" si="103"/>
        <v>6122.518</v>
      </c>
      <c r="E3263" s="608"/>
      <c r="F3263" s="760">
        <f t="shared" si="104"/>
        <v>2583.059516469556</v>
      </c>
      <c r="M3263" s="443"/>
    </row>
    <row r="3264" spans="1:13">
      <c r="A3264" s="639">
        <v>51513</v>
      </c>
      <c r="B3264" s="639">
        <v>2100</v>
      </c>
      <c r="C3264" s="638">
        <v>6485.924</v>
      </c>
      <c r="D3264" s="633">
        <f t="shared" si="103"/>
        <v>6485.924</v>
      </c>
      <c r="E3264" s="608"/>
      <c r="F3264" s="760">
        <f t="shared" si="104"/>
        <v>2736.3786780697565</v>
      </c>
      <c r="M3264" s="443"/>
    </row>
    <row r="3265" spans="1:13">
      <c r="A3265" s="639">
        <v>51513</v>
      </c>
      <c r="B3265" s="639">
        <v>2200</v>
      </c>
      <c r="C3265" s="638">
        <v>5897.55</v>
      </c>
      <c r="D3265" s="633">
        <f t="shared" si="103"/>
        <v>5897.55</v>
      </c>
      <c r="E3265" s="608"/>
      <c r="F3265" s="760">
        <f t="shared" si="104"/>
        <v>2488.1466500147535</v>
      </c>
      <c r="M3265" s="443"/>
    </row>
    <row r="3266" spans="1:13">
      <c r="A3266" s="639">
        <v>51513</v>
      </c>
      <c r="B3266" s="639">
        <v>2300</v>
      </c>
      <c r="C3266" s="638">
        <v>4825.1210000000001</v>
      </c>
      <c r="D3266" s="633">
        <f t="shared" si="103"/>
        <v>4825.1210000000001</v>
      </c>
      <c r="E3266" s="608"/>
      <c r="F3266" s="760">
        <f t="shared" si="104"/>
        <v>2035.6942547440613</v>
      </c>
      <c r="M3266" s="443"/>
    </row>
    <row r="3267" spans="1:13">
      <c r="A3267" s="639">
        <v>51513</v>
      </c>
      <c r="B3267" s="639">
        <v>2400</v>
      </c>
      <c r="C3267" s="638">
        <v>4260.9960000000001</v>
      </c>
      <c r="D3267" s="633">
        <f t="shared" si="103"/>
        <v>4260.9960000000001</v>
      </c>
      <c r="E3267" s="608"/>
      <c r="F3267" s="760">
        <f t="shared" si="104"/>
        <v>1797.6927576919679</v>
      </c>
      <c r="M3267" s="443"/>
    </row>
    <row r="3268" spans="1:13">
      <c r="A3268" s="639">
        <v>51613</v>
      </c>
      <c r="B3268" s="639">
        <v>100</v>
      </c>
      <c r="C3268" s="638">
        <v>3970.4549999999999</v>
      </c>
      <c r="D3268" s="633">
        <f t="shared" si="103"/>
        <v>3970.4549999999999</v>
      </c>
      <c r="E3268" s="608"/>
      <c r="F3268" s="760">
        <f t="shared" si="104"/>
        <v>1675.1149727063491</v>
      </c>
      <c r="M3268" s="443"/>
    </row>
    <row r="3269" spans="1:13">
      <c r="A3269" s="639">
        <v>51613</v>
      </c>
      <c r="B3269" s="639">
        <v>200</v>
      </c>
      <c r="C3269" s="638">
        <v>3857.3679999999999</v>
      </c>
      <c r="D3269" s="633">
        <f t="shared" ref="D3269:D3332" si="105">C3269</f>
        <v>3857.3679999999999</v>
      </c>
      <c r="E3269" s="608"/>
      <c r="F3269" s="760">
        <f t="shared" si="104"/>
        <v>1627.404136815137</v>
      </c>
      <c r="M3269" s="443"/>
    </row>
    <row r="3270" spans="1:13">
      <c r="A3270" s="639">
        <v>51613</v>
      </c>
      <c r="B3270" s="639">
        <v>300</v>
      </c>
      <c r="C3270" s="638">
        <v>4010.886</v>
      </c>
      <c r="D3270" s="633">
        <f t="shared" si="105"/>
        <v>4010.886</v>
      </c>
      <c r="E3270" s="608"/>
      <c r="F3270" s="760">
        <f t="shared" si="104"/>
        <v>1692.1726080306357</v>
      </c>
      <c r="M3270" s="443"/>
    </row>
    <row r="3271" spans="1:13">
      <c r="A3271" s="639">
        <v>51613</v>
      </c>
      <c r="B3271" s="639">
        <v>400</v>
      </c>
      <c r="C3271" s="638">
        <v>4148.8190000000004</v>
      </c>
      <c r="D3271" s="633">
        <f t="shared" si="105"/>
        <v>4148.8190000000004</v>
      </c>
      <c r="E3271" s="608"/>
      <c r="F3271" s="760">
        <f t="shared" si="104"/>
        <v>1750.3658462187793</v>
      </c>
      <c r="M3271" s="443"/>
    </row>
    <row r="3272" spans="1:13">
      <c r="A3272" s="639">
        <v>51613</v>
      </c>
      <c r="B3272" s="639">
        <v>500</v>
      </c>
      <c r="C3272" s="638">
        <v>4512.7439999999997</v>
      </c>
      <c r="D3272" s="633">
        <f t="shared" si="105"/>
        <v>4512.7439999999997</v>
      </c>
      <c r="E3272" s="608"/>
      <c r="F3272" s="760">
        <f t="shared" si="104"/>
        <v>1903.9039713057418</v>
      </c>
      <c r="M3272" s="443"/>
    </row>
    <row r="3273" spans="1:13">
      <c r="A3273" s="639">
        <v>51613</v>
      </c>
      <c r="B3273" s="639">
        <v>600</v>
      </c>
      <c r="C3273" s="638">
        <v>5139.1289999999999</v>
      </c>
      <c r="D3273" s="633">
        <f t="shared" si="105"/>
        <v>5139.1289999999999</v>
      </c>
      <c r="E3273" s="608"/>
      <c r="F3273" s="760">
        <f t="shared" si="104"/>
        <v>2168.1726488700683</v>
      </c>
      <c r="M3273" s="443"/>
    </row>
    <row r="3274" spans="1:13">
      <c r="A3274" s="639">
        <v>51613</v>
      </c>
      <c r="B3274" s="639">
        <v>700</v>
      </c>
      <c r="C3274" s="638">
        <v>5346.9960000000001</v>
      </c>
      <c r="D3274" s="633">
        <f t="shared" si="105"/>
        <v>5346.9960000000001</v>
      </c>
      <c r="E3274" s="608"/>
      <c r="F3274" s="760">
        <f t="shared" si="104"/>
        <v>2255.870689530786</v>
      </c>
      <c r="M3274" s="443"/>
    </row>
    <row r="3275" spans="1:13">
      <c r="A3275" s="639">
        <v>51613</v>
      </c>
      <c r="B3275" s="639">
        <v>800</v>
      </c>
      <c r="C3275" s="638">
        <v>5195.2370000000001</v>
      </c>
      <c r="D3275" s="633">
        <f t="shared" si="105"/>
        <v>5195.2370000000001</v>
      </c>
      <c r="E3275" s="608"/>
      <c r="F3275" s="760">
        <f t="shared" si="104"/>
        <v>2191.8443315584773</v>
      </c>
      <c r="M3275" s="443"/>
    </row>
    <row r="3276" spans="1:13">
      <c r="A3276" s="639">
        <v>51613</v>
      </c>
      <c r="B3276" s="639">
        <v>900</v>
      </c>
      <c r="C3276" s="638">
        <v>4981.991</v>
      </c>
      <c r="D3276" s="633">
        <f t="shared" si="105"/>
        <v>4981.991</v>
      </c>
      <c r="E3276" s="608"/>
      <c r="F3276" s="760">
        <f t="shared" si="104"/>
        <v>2101.8769178817734</v>
      </c>
      <c r="M3276" s="443"/>
    </row>
    <row r="3277" spans="1:13">
      <c r="A3277" s="639">
        <v>51613</v>
      </c>
      <c r="B3277" s="639">
        <v>1000</v>
      </c>
      <c r="C3277" s="638">
        <v>4881.1369999999997</v>
      </c>
      <c r="D3277" s="633">
        <f t="shared" si="105"/>
        <v>4881.1369999999997</v>
      </c>
      <c r="E3277" s="608"/>
      <c r="F3277" s="760">
        <f t="shared" si="104"/>
        <v>2059.327123095703</v>
      </c>
      <c r="M3277" s="443"/>
    </row>
    <row r="3278" spans="1:13">
      <c r="A3278" s="639">
        <v>51613</v>
      </c>
      <c r="B3278" s="639">
        <v>1100</v>
      </c>
      <c r="C3278" s="638">
        <v>4792.857</v>
      </c>
      <c r="D3278" s="633">
        <f t="shared" si="105"/>
        <v>4792.857</v>
      </c>
      <c r="E3278" s="608"/>
      <c r="F3278" s="760">
        <f t="shared" si="104"/>
        <v>2022.0822355977925</v>
      </c>
      <c r="M3278" s="443"/>
    </row>
    <row r="3279" spans="1:13">
      <c r="A3279" s="639">
        <v>51613</v>
      </c>
      <c r="B3279" s="639">
        <v>1200</v>
      </c>
      <c r="C3279" s="638">
        <v>4746.91</v>
      </c>
      <c r="D3279" s="633">
        <f t="shared" si="105"/>
        <v>4746.91</v>
      </c>
      <c r="E3279" s="608"/>
      <c r="F3279" s="760">
        <f t="shared" si="104"/>
        <v>2002.6974276473341</v>
      </c>
      <c r="M3279" s="443"/>
    </row>
    <row r="3280" spans="1:13">
      <c r="A3280" s="639">
        <v>51613</v>
      </c>
      <c r="B3280" s="639">
        <v>1300</v>
      </c>
      <c r="C3280" s="638">
        <v>4713.5240000000003</v>
      </c>
      <c r="D3280" s="633">
        <f t="shared" si="105"/>
        <v>4713.5240000000003</v>
      </c>
      <c r="E3280" s="608"/>
      <c r="F3280" s="760">
        <f t="shared" si="104"/>
        <v>1988.6120423504917</v>
      </c>
      <c r="M3280" s="443"/>
    </row>
    <row r="3281" spans="1:13">
      <c r="A3281" s="639">
        <v>51613</v>
      </c>
      <c r="B3281" s="639">
        <v>1400</v>
      </c>
      <c r="C3281" s="638">
        <v>4683.3559999999998</v>
      </c>
      <c r="D3281" s="633">
        <f t="shared" si="105"/>
        <v>4683.3559999999998</v>
      </c>
      <c r="E3281" s="608"/>
      <c r="F3281" s="760">
        <f t="shared" si="104"/>
        <v>1975.8843150505713</v>
      </c>
      <c r="M3281" s="443"/>
    </row>
    <row r="3282" spans="1:13">
      <c r="A3282" s="639">
        <v>51613</v>
      </c>
      <c r="B3282" s="639">
        <v>1500</v>
      </c>
      <c r="C3282" s="638">
        <v>4804.5739999999996</v>
      </c>
      <c r="D3282" s="633">
        <f t="shared" si="105"/>
        <v>4804.5739999999996</v>
      </c>
      <c r="E3282" s="608"/>
      <c r="F3282" s="760">
        <f t="shared" si="104"/>
        <v>2027.0255789010664</v>
      </c>
      <c r="M3282" s="443"/>
    </row>
    <row r="3283" spans="1:13">
      <c r="A3283" s="639">
        <v>51613</v>
      </c>
      <c r="B3283" s="639">
        <v>1600</v>
      </c>
      <c r="C3283" s="638">
        <v>4876.6639999999998</v>
      </c>
      <c r="D3283" s="633">
        <f t="shared" si="105"/>
        <v>4876.6639999999998</v>
      </c>
      <c r="E3283" s="608"/>
      <c r="F3283" s="760">
        <f t="shared" si="104"/>
        <v>2057.439986917881</v>
      </c>
      <c r="M3283" s="443"/>
    </row>
    <row r="3284" spans="1:13">
      <c r="A3284" s="639">
        <v>51613</v>
      </c>
      <c r="B3284" s="639">
        <v>1700</v>
      </c>
      <c r="C3284" s="638">
        <v>5334.2470000000003</v>
      </c>
      <c r="D3284" s="633">
        <f t="shared" si="105"/>
        <v>5334.2470000000003</v>
      </c>
      <c r="E3284" s="608"/>
      <c r="F3284" s="760">
        <f t="shared" si="104"/>
        <v>2250.4919506237761</v>
      </c>
      <c r="M3284" s="443"/>
    </row>
    <row r="3285" spans="1:13">
      <c r="A3285" s="639">
        <v>51613</v>
      </c>
      <c r="B3285" s="639">
        <v>1800</v>
      </c>
      <c r="C3285" s="638">
        <v>5418.49</v>
      </c>
      <c r="D3285" s="633">
        <f t="shared" si="105"/>
        <v>5418.49</v>
      </c>
      <c r="E3285" s="608"/>
      <c r="F3285" s="760">
        <f t="shared" si="104"/>
        <v>2286.0336481485433</v>
      </c>
      <c r="M3285" s="443"/>
    </row>
    <row r="3286" spans="1:13">
      <c r="A3286" s="639">
        <v>51613</v>
      </c>
      <c r="B3286" s="639">
        <v>1900</v>
      </c>
      <c r="C3286" s="638">
        <v>5573.0569999999998</v>
      </c>
      <c r="D3286" s="633">
        <f t="shared" si="105"/>
        <v>5573.0569999999998</v>
      </c>
      <c r="E3286" s="608"/>
      <c r="F3286" s="760">
        <f t="shared" si="104"/>
        <v>2351.2446871821812</v>
      </c>
      <c r="M3286" s="443"/>
    </row>
    <row r="3287" spans="1:13">
      <c r="A3287" s="639">
        <v>51613</v>
      </c>
      <c r="B3287" s="639">
        <v>2000</v>
      </c>
      <c r="C3287" s="638">
        <v>5929.5839999999998</v>
      </c>
      <c r="D3287" s="633">
        <f t="shared" si="105"/>
        <v>5929.5839999999998</v>
      </c>
      <c r="E3287" s="608"/>
      <c r="F3287" s="760">
        <f t="shared" si="104"/>
        <v>2501.6616333191041</v>
      </c>
      <c r="M3287" s="443"/>
    </row>
    <row r="3288" spans="1:13">
      <c r="A3288" s="639">
        <v>51613</v>
      </c>
      <c r="B3288" s="639">
        <v>2100</v>
      </c>
      <c r="C3288" s="638">
        <v>6352.4949999999999</v>
      </c>
      <c r="D3288" s="633">
        <f t="shared" si="105"/>
        <v>6352.4949999999999</v>
      </c>
      <c r="E3288" s="608"/>
      <c r="F3288" s="760">
        <f t="shared" si="104"/>
        <v>2680.0856548033457</v>
      </c>
      <c r="M3288" s="443"/>
    </row>
    <row r="3289" spans="1:13">
      <c r="A3289" s="639">
        <v>51613</v>
      </c>
      <c r="B3289" s="639">
        <v>2200</v>
      </c>
      <c r="C3289" s="638">
        <v>5876.4780000000001</v>
      </c>
      <c r="D3289" s="633">
        <f t="shared" si="105"/>
        <v>5876.4780000000001</v>
      </c>
      <c r="E3289" s="608"/>
      <c r="F3289" s="760">
        <f t="shared" si="104"/>
        <v>2479.2564793152073</v>
      </c>
      <c r="M3289" s="443"/>
    </row>
    <row r="3290" spans="1:13">
      <c r="A3290" s="639">
        <v>51613</v>
      </c>
      <c r="B3290" s="639">
        <v>2300</v>
      </c>
      <c r="C3290" s="638">
        <v>4973.0060000000003</v>
      </c>
      <c r="D3290" s="633">
        <f t="shared" si="105"/>
        <v>4973.0060000000003</v>
      </c>
      <c r="E3290" s="608"/>
      <c r="F3290" s="760">
        <f t="shared" si="104"/>
        <v>2098.086191622499</v>
      </c>
      <c r="M3290" s="443"/>
    </row>
    <row r="3291" spans="1:13">
      <c r="A3291" s="639">
        <v>51613</v>
      </c>
      <c r="B3291" s="639">
        <v>2400</v>
      </c>
      <c r="C3291" s="638">
        <v>4366.05</v>
      </c>
      <c r="D3291" s="633">
        <f t="shared" si="105"/>
        <v>4366.05</v>
      </c>
      <c r="E3291" s="608"/>
      <c r="F3291" s="760">
        <f t="shared" si="104"/>
        <v>1842.0145113304534</v>
      </c>
      <c r="M3291" s="443"/>
    </row>
    <row r="3292" spans="1:13">
      <c r="A3292" s="639">
        <v>51713</v>
      </c>
      <c r="B3292" s="639">
        <v>100</v>
      </c>
      <c r="C3292" s="638">
        <v>4102.2560000000003</v>
      </c>
      <c r="D3292" s="633">
        <f t="shared" si="105"/>
        <v>4102.2560000000003</v>
      </c>
      <c r="E3292" s="608"/>
      <c r="F3292" s="760">
        <f t="shared" ref="F3292:F3355" si="106">(D3292/(MAX($D$2908:$D$3651)))*$M$8</f>
        <v>1730.7211509699664</v>
      </c>
      <c r="M3292" s="443"/>
    </row>
    <row r="3293" spans="1:13">
      <c r="A3293" s="639">
        <v>51713</v>
      </c>
      <c r="B3293" s="639">
        <v>200</v>
      </c>
      <c r="C3293" s="638">
        <v>4003.5590000000002</v>
      </c>
      <c r="D3293" s="633">
        <f t="shared" si="105"/>
        <v>4003.5590000000002</v>
      </c>
      <c r="E3293" s="608"/>
      <c r="F3293" s="760">
        <f t="shared" si="106"/>
        <v>1689.0813836231007</v>
      </c>
      <c r="M3293" s="443"/>
    </row>
    <row r="3294" spans="1:13">
      <c r="A3294" s="639">
        <v>51713</v>
      </c>
      <c r="B3294" s="639">
        <v>300</v>
      </c>
      <c r="C3294" s="638">
        <v>4256.3320000000003</v>
      </c>
      <c r="D3294" s="633">
        <f t="shared" si="105"/>
        <v>4256.3320000000003</v>
      </c>
      <c r="E3294" s="608"/>
      <c r="F3294" s="760">
        <f t="shared" si="106"/>
        <v>1795.7250395758574</v>
      </c>
      <c r="M3294" s="443"/>
    </row>
    <row r="3295" spans="1:13">
      <c r="A3295" s="639">
        <v>51713</v>
      </c>
      <c r="B3295" s="639">
        <v>400</v>
      </c>
      <c r="C3295" s="638">
        <v>4342.5209999999997</v>
      </c>
      <c r="D3295" s="633">
        <f t="shared" si="105"/>
        <v>4342.5209999999997</v>
      </c>
      <c r="E3295" s="608"/>
      <c r="F3295" s="760">
        <f t="shared" si="106"/>
        <v>1832.0877447022438</v>
      </c>
      <c r="M3295" s="443"/>
    </row>
    <row r="3296" spans="1:13">
      <c r="A3296" s="639">
        <v>51713</v>
      </c>
      <c r="B3296" s="639">
        <v>500</v>
      </c>
      <c r="C3296" s="638">
        <v>4691.3950000000004</v>
      </c>
      <c r="D3296" s="633">
        <f t="shared" si="105"/>
        <v>4691.3950000000004</v>
      </c>
      <c r="E3296" s="608"/>
      <c r="F3296" s="760">
        <f t="shared" si="106"/>
        <v>1979.2759286730875</v>
      </c>
      <c r="M3296" s="443"/>
    </row>
    <row r="3297" spans="1:13">
      <c r="A3297" s="639">
        <v>51713</v>
      </c>
      <c r="B3297" s="639">
        <v>600</v>
      </c>
      <c r="C3297" s="638">
        <v>5336.7169999999996</v>
      </c>
      <c r="D3297" s="633">
        <f t="shared" si="105"/>
        <v>5336.7169999999996</v>
      </c>
      <c r="E3297" s="608"/>
      <c r="F3297" s="760">
        <f t="shared" si="106"/>
        <v>2251.5340311869818</v>
      </c>
      <c r="M3297" s="443"/>
    </row>
    <row r="3298" spans="1:13">
      <c r="A3298" s="639">
        <v>51713</v>
      </c>
      <c r="B3298" s="639">
        <v>700</v>
      </c>
      <c r="C3298" s="638">
        <v>5676.7120000000004</v>
      </c>
      <c r="D3298" s="633">
        <f t="shared" si="105"/>
        <v>5676.7120000000004</v>
      </c>
      <c r="E3298" s="608"/>
      <c r="F3298" s="760">
        <f t="shared" si="106"/>
        <v>2394.9762097648268</v>
      </c>
      <c r="M3298" s="443"/>
    </row>
    <row r="3299" spans="1:13">
      <c r="A3299" s="639">
        <v>51713</v>
      </c>
      <c r="B3299" s="639">
        <v>800</v>
      </c>
      <c r="C3299" s="638">
        <v>5434.2330000000002</v>
      </c>
      <c r="D3299" s="633">
        <f t="shared" si="105"/>
        <v>5434.2330000000002</v>
      </c>
      <c r="E3299" s="608"/>
      <c r="F3299" s="760">
        <f t="shared" si="106"/>
        <v>2292.6755405803469</v>
      </c>
      <c r="M3299" s="443"/>
    </row>
    <row r="3300" spans="1:13">
      <c r="A3300" s="639">
        <v>51713</v>
      </c>
      <c r="B3300" s="639">
        <v>900</v>
      </c>
      <c r="C3300" s="638">
        <v>5066.2060000000001</v>
      </c>
      <c r="D3300" s="633">
        <f t="shared" si="105"/>
        <v>5066.2060000000001</v>
      </c>
      <c r="E3300" s="608"/>
      <c r="F3300" s="760">
        <f t="shared" si="106"/>
        <v>2137.4068023475247</v>
      </c>
      <c r="M3300" s="443"/>
    </row>
    <row r="3301" spans="1:13">
      <c r="A3301" s="639">
        <v>51713</v>
      </c>
      <c r="B3301" s="639">
        <v>1000</v>
      </c>
      <c r="C3301" s="638">
        <v>4863.8670000000002</v>
      </c>
      <c r="D3301" s="633">
        <f t="shared" si="105"/>
        <v>4863.8670000000002</v>
      </c>
      <c r="E3301" s="608"/>
      <c r="F3301" s="760">
        <f t="shared" si="106"/>
        <v>2052.0409970525575</v>
      </c>
      <c r="M3301" s="443"/>
    </row>
    <row r="3302" spans="1:13">
      <c r="A3302" s="639">
        <v>51713</v>
      </c>
      <c r="B3302" s="639">
        <v>1100</v>
      </c>
      <c r="C3302" s="638">
        <v>4740.4769999999999</v>
      </c>
      <c r="D3302" s="633">
        <f t="shared" si="105"/>
        <v>4740.4769999999999</v>
      </c>
      <c r="E3302" s="608"/>
      <c r="F3302" s="760">
        <f t="shared" si="106"/>
        <v>1999.9833773383843</v>
      </c>
      <c r="M3302" s="443"/>
    </row>
    <row r="3303" spans="1:13">
      <c r="A3303" s="639">
        <v>51713</v>
      </c>
      <c r="B3303" s="639">
        <v>1200</v>
      </c>
      <c r="C3303" s="638">
        <v>4738.2640000000001</v>
      </c>
      <c r="D3303" s="633">
        <f t="shared" si="105"/>
        <v>4738.2640000000001</v>
      </c>
      <c r="E3303" s="608"/>
      <c r="F3303" s="760">
        <f t="shared" si="106"/>
        <v>1999.0497237811476</v>
      </c>
      <c r="M3303" s="443"/>
    </row>
    <row r="3304" spans="1:13">
      <c r="A3304" s="639">
        <v>51713</v>
      </c>
      <c r="B3304" s="639">
        <v>1300</v>
      </c>
      <c r="C3304" s="638">
        <v>4726.1940000000004</v>
      </c>
      <c r="D3304" s="633">
        <f t="shared" si="105"/>
        <v>4726.1940000000004</v>
      </c>
      <c r="E3304" s="608"/>
      <c r="F3304" s="760">
        <f t="shared" si="106"/>
        <v>1993.9574515552779</v>
      </c>
      <c r="M3304" s="443"/>
    </row>
    <row r="3305" spans="1:13">
      <c r="A3305" s="639">
        <v>51713</v>
      </c>
      <c r="B3305" s="639">
        <v>1400</v>
      </c>
      <c r="C3305" s="638">
        <v>4584.8090000000002</v>
      </c>
      <c r="D3305" s="633">
        <f t="shared" si="105"/>
        <v>4584.8090000000002</v>
      </c>
      <c r="E3305" s="608"/>
      <c r="F3305" s="760">
        <f t="shared" si="106"/>
        <v>1934.3078319484353</v>
      </c>
      <c r="M3305" s="443"/>
    </row>
    <row r="3306" spans="1:13">
      <c r="A3306" s="639">
        <v>51713</v>
      </c>
      <c r="B3306" s="639">
        <v>1500</v>
      </c>
      <c r="C3306" s="638">
        <v>4672.0060000000003</v>
      </c>
      <c r="D3306" s="633">
        <f t="shared" si="105"/>
        <v>4672.0060000000003</v>
      </c>
      <c r="E3306" s="608"/>
      <c r="F3306" s="760">
        <f t="shared" si="106"/>
        <v>1971.0958071994014</v>
      </c>
      <c r="M3306" s="443"/>
    </row>
    <row r="3307" spans="1:13">
      <c r="A3307" s="639">
        <v>51713</v>
      </c>
      <c r="B3307" s="639">
        <v>1600</v>
      </c>
      <c r="C3307" s="638">
        <v>4883.4970000000003</v>
      </c>
      <c r="D3307" s="633">
        <f t="shared" si="105"/>
        <v>4883.4970000000003</v>
      </c>
      <c r="E3307" s="608"/>
      <c r="F3307" s="760">
        <f t="shared" si="106"/>
        <v>2060.322795212775</v>
      </c>
      <c r="M3307" s="443"/>
    </row>
    <row r="3308" spans="1:13">
      <c r="A3308" s="639">
        <v>51713</v>
      </c>
      <c r="B3308" s="639">
        <v>1700</v>
      </c>
      <c r="C3308" s="638">
        <v>5110.7470000000003</v>
      </c>
      <c r="D3308" s="633">
        <f t="shared" si="105"/>
        <v>5110.7470000000003</v>
      </c>
      <c r="E3308" s="608"/>
      <c r="F3308" s="760">
        <f t="shared" si="106"/>
        <v>2156.1984259773894</v>
      </c>
      <c r="M3308" s="443"/>
    </row>
    <row r="3309" spans="1:13">
      <c r="A3309" s="639">
        <v>51713</v>
      </c>
      <c r="B3309" s="639">
        <v>1800</v>
      </c>
      <c r="C3309" s="638">
        <v>5317.9629999999997</v>
      </c>
      <c r="D3309" s="633">
        <f t="shared" si="105"/>
        <v>5317.9629999999997</v>
      </c>
      <c r="E3309" s="608"/>
      <c r="F3309" s="760">
        <f t="shared" si="106"/>
        <v>2243.6218130159828</v>
      </c>
      <c r="M3309" s="443"/>
    </row>
    <row r="3310" spans="1:13">
      <c r="A3310" s="639">
        <v>51713</v>
      </c>
      <c r="B3310" s="639">
        <v>1900</v>
      </c>
      <c r="C3310" s="638">
        <v>5492.66</v>
      </c>
      <c r="D3310" s="633">
        <f t="shared" si="105"/>
        <v>5492.66</v>
      </c>
      <c r="E3310" s="608"/>
      <c r="F3310" s="760">
        <f t="shared" si="106"/>
        <v>2317.3255976922683</v>
      </c>
      <c r="M3310" s="443"/>
    </row>
    <row r="3311" spans="1:13">
      <c r="A3311" s="639">
        <v>51713</v>
      </c>
      <c r="B3311" s="639">
        <v>2000</v>
      </c>
      <c r="C3311" s="638">
        <v>5849.1450000000004</v>
      </c>
      <c r="D3311" s="633">
        <f t="shared" si="105"/>
        <v>5849.1450000000004</v>
      </c>
      <c r="E3311" s="608"/>
      <c r="F3311" s="760">
        <f t="shared" si="106"/>
        <v>2467.7248242406672</v>
      </c>
      <c r="M3311" s="443"/>
    </row>
    <row r="3312" spans="1:13">
      <c r="A3312" s="639">
        <v>51713</v>
      </c>
      <c r="B3312" s="639">
        <v>2100</v>
      </c>
      <c r="C3312" s="638">
        <v>6238.0460000000003</v>
      </c>
      <c r="D3312" s="633">
        <f t="shared" si="105"/>
        <v>6238.0460000000003</v>
      </c>
      <c r="E3312" s="608"/>
      <c r="F3312" s="760">
        <f t="shared" si="106"/>
        <v>2631.8001979699934</v>
      </c>
      <c r="M3312" s="443"/>
    </row>
    <row r="3313" spans="1:13">
      <c r="A3313" s="639">
        <v>51713</v>
      </c>
      <c r="B3313" s="639">
        <v>2200</v>
      </c>
      <c r="C3313" s="638">
        <v>5907.38</v>
      </c>
      <c r="D3313" s="633">
        <f t="shared" si="105"/>
        <v>5907.38</v>
      </c>
      <c r="E3313" s="608"/>
      <c r="F3313" s="760">
        <f t="shared" si="106"/>
        <v>2492.2938775193356</v>
      </c>
      <c r="M3313" s="443"/>
    </row>
    <row r="3314" spans="1:13">
      <c r="A3314" s="639">
        <v>51713</v>
      </c>
      <c r="B3314" s="639">
        <v>2300</v>
      </c>
      <c r="C3314" s="638">
        <v>5072.0200000000004</v>
      </c>
      <c r="D3314" s="633">
        <f t="shared" si="105"/>
        <v>5072.0200000000004</v>
      </c>
      <c r="E3314" s="608"/>
      <c r="F3314" s="760">
        <f t="shared" si="106"/>
        <v>2139.8596996732258</v>
      </c>
      <c r="M3314" s="443"/>
    </row>
    <row r="3315" spans="1:13">
      <c r="A3315" s="639">
        <v>51713</v>
      </c>
      <c r="B3315" s="639">
        <v>2400</v>
      </c>
      <c r="C3315" s="638">
        <v>4428.8410000000003</v>
      </c>
      <c r="D3315" s="633">
        <f t="shared" si="105"/>
        <v>4428.8410000000003</v>
      </c>
      <c r="E3315" s="608"/>
      <c r="F3315" s="760">
        <f t="shared" si="106"/>
        <v>1868.5057180690276</v>
      </c>
      <c r="M3315" s="443"/>
    </row>
    <row r="3316" spans="1:13">
      <c r="A3316" s="639">
        <v>51813</v>
      </c>
      <c r="B3316" s="639">
        <v>100</v>
      </c>
      <c r="C3316" s="638">
        <v>4177.1859999999997</v>
      </c>
      <c r="D3316" s="633">
        <f t="shared" si="105"/>
        <v>4177.1859999999997</v>
      </c>
      <c r="E3316" s="608"/>
      <c r="F3316" s="760">
        <f t="shared" si="106"/>
        <v>1762.3337406869848</v>
      </c>
      <c r="M3316" s="443"/>
    </row>
    <row r="3317" spans="1:13">
      <c r="A3317" s="639">
        <v>51813</v>
      </c>
      <c r="B3317" s="639">
        <v>200</v>
      </c>
      <c r="C3317" s="638">
        <v>3995.6080000000002</v>
      </c>
      <c r="D3317" s="633">
        <f t="shared" si="105"/>
        <v>3995.6080000000002</v>
      </c>
      <c r="E3317" s="608"/>
      <c r="F3317" s="760">
        <f t="shared" si="106"/>
        <v>1685.7268967574926</v>
      </c>
      <c r="M3317" s="443"/>
    </row>
    <row r="3318" spans="1:13">
      <c r="A3318" s="639">
        <v>51813</v>
      </c>
      <c r="B3318" s="639">
        <v>300</v>
      </c>
      <c r="C3318" s="638">
        <v>4139.1580000000004</v>
      </c>
      <c r="D3318" s="633">
        <f t="shared" si="105"/>
        <v>4139.1580000000004</v>
      </c>
      <c r="E3318" s="608"/>
      <c r="F3318" s="760">
        <f t="shared" si="106"/>
        <v>1746.289918963259</v>
      </c>
      <c r="M3318" s="443"/>
    </row>
    <row r="3319" spans="1:13">
      <c r="A3319" s="639">
        <v>51813</v>
      </c>
      <c r="B3319" s="639">
        <v>400</v>
      </c>
      <c r="C3319" s="638">
        <v>4203.6980000000003</v>
      </c>
      <c r="D3319" s="633">
        <f t="shared" si="105"/>
        <v>4203.6980000000003</v>
      </c>
      <c r="E3319" s="608"/>
      <c r="F3319" s="760">
        <f t="shared" si="106"/>
        <v>1773.5190199953747</v>
      </c>
      <c r="M3319" s="443"/>
    </row>
    <row r="3320" spans="1:13">
      <c r="A3320" s="639">
        <v>51813</v>
      </c>
      <c r="B3320" s="639">
        <v>500</v>
      </c>
      <c r="C3320" s="638">
        <v>4323.3999999999996</v>
      </c>
      <c r="D3320" s="633">
        <f t="shared" si="105"/>
        <v>4323.3999999999996</v>
      </c>
      <c r="E3320" s="608"/>
      <c r="F3320" s="760">
        <f t="shared" si="106"/>
        <v>1824.0206910791405</v>
      </c>
      <c r="M3320" s="443"/>
    </row>
    <row r="3321" spans="1:13">
      <c r="A3321" s="639">
        <v>51813</v>
      </c>
      <c r="B3321" s="639">
        <v>600</v>
      </c>
      <c r="C3321" s="638">
        <v>4538.2629999999999</v>
      </c>
      <c r="D3321" s="633">
        <f t="shared" si="105"/>
        <v>4538.2629999999999</v>
      </c>
      <c r="E3321" s="608"/>
      <c r="F3321" s="760">
        <f t="shared" si="106"/>
        <v>1914.6703089140246</v>
      </c>
      <c r="M3321" s="443"/>
    </row>
    <row r="3322" spans="1:13">
      <c r="A3322" s="639">
        <v>51813</v>
      </c>
      <c r="B3322" s="639">
        <v>700</v>
      </c>
      <c r="C3322" s="638">
        <v>4990.277</v>
      </c>
      <c r="D3322" s="633">
        <f t="shared" si="105"/>
        <v>4990.277</v>
      </c>
      <c r="E3322" s="608"/>
      <c r="F3322" s="760">
        <f t="shared" si="106"/>
        <v>2105.3727395606102</v>
      </c>
      <c r="M3322" s="443"/>
    </row>
    <row r="3323" spans="1:13">
      <c r="A3323" s="639">
        <v>51813</v>
      </c>
      <c r="B3323" s="639">
        <v>800</v>
      </c>
      <c r="C3323" s="638">
        <v>5140.08</v>
      </c>
      <c r="D3323" s="633">
        <f t="shared" si="105"/>
        <v>5140.08</v>
      </c>
      <c r="E3323" s="608"/>
      <c r="F3323" s="760">
        <f t="shared" si="106"/>
        <v>2168.5738709816505</v>
      </c>
      <c r="M3323" s="443"/>
    </row>
    <row r="3324" spans="1:13">
      <c r="A3324" s="639">
        <v>51813</v>
      </c>
      <c r="B3324" s="639">
        <v>900</v>
      </c>
      <c r="C3324" s="638">
        <v>5244.0039999999999</v>
      </c>
      <c r="D3324" s="633">
        <f t="shared" si="105"/>
        <v>5244.0039999999999</v>
      </c>
      <c r="E3324" s="608"/>
      <c r="F3324" s="760">
        <f t="shared" si="106"/>
        <v>2212.4188833098437</v>
      </c>
      <c r="M3324" s="443"/>
    </row>
    <row r="3325" spans="1:13">
      <c r="A3325" s="639">
        <v>51813</v>
      </c>
      <c r="B3325" s="639">
        <v>1000</v>
      </c>
      <c r="C3325" s="638">
        <v>5175.5200000000004</v>
      </c>
      <c r="D3325" s="633">
        <f t="shared" si="105"/>
        <v>5175.5200000000004</v>
      </c>
      <c r="E3325" s="608"/>
      <c r="F3325" s="760">
        <f t="shared" si="106"/>
        <v>2183.5258285363175</v>
      </c>
      <c r="M3325" s="443"/>
    </row>
    <row r="3326" spans="1:13">
      <c r="A3326" s="639">
        <v>51813</v>
      </c>
      <c r="B3326" s="639">
        <v>1100</v>
      </c>
      <c r="C3326" s="638">
        <v>4989.7160000000003</v>
      </c>
      <c r="D3326" s="633">
        <f t="shared" si="105"/>
        <v>4989.7160000000003</v>
      </c>
      <c r="E3326" s="608"/>
      <c r="F3326" s="760">
        <f t="shared" si="106"/>
        <v>2105.1360564853235</v>
      </c>
      <c r="M3326" s="443"/>
    </row>
    <row r="3327" spans="1:13">
      <c r="A3327" s="639">
        <v>51813</v>
      </c>
      <c r="B3327" s="639">
        <v>1200</v>
      </c>
      <c r="C3327" s="638">
        <v>4930.5810000000001</v>
      </c>
      <c r="D3327" s="633">
        <f t="shared" si="105"/>
        <v>4930.5810000000001</v>
      </c>
      <c r="E3327" s="608"/>
      <c r="F3327" s="760">
        <f t="shared" si="106"/>
        <v>2080.18729773828</v>
      </c>
      <c r="M3327" s="443"/>
    </row>
    <row r="3328" spans="1:13">
      <c r="A3328" s="639">
        <v>51813</v>
      </c>
      <c r="B3328" s="639">
        <v>1300</v>
      </c>
      <c r="C3328" s="638">
        <v>4849.9610000000002</v>
      </c>
      <c r="D3328" s="633">
        <f t="shared" si="105"/>
        <v>4849.9610000000002</v>
      </c>
      <c r="E3328" s="608"/>
      <c r="F3328" s="760">
        <f t="shared" si="106"/>
        <v>2046.1741256712035</v>
      </c>
      <c r="M3328" s="443"/>
    </row>
    <row r="3329" spans="1:13">
      <c r="A3329" s="639">
        <v>51813</v>
      </c>
      <c r="B3329" s="639">
        <v>1400</v>
      </c>
      <c r="C3329" s="638">
        <v>4728.8869999999997</v>
      </c>
      <c r="D3329" s="633">
        <f t="shared" si="105"/>
        <v>4728.8869999999997</v>
      </c>
      <c r="E3329" s="608"/>
      <c r="F3329" s="760">
        <f t="shared" si="106"/>
        <v>1995.0936146956481</v>
      </c>
      <c r="M3329" s="443"/>
    </row>
    <row r="3330" spans="1:13">
      <c r="A3330" s="639">
        <v>51813</v>
      </c>
      <c r="B3330" s="639">
        <v>1500</v>
      </c>
      <c r="C3330" s="638">
        <v>4773.2870000000003</v>
      </c>
      <c r="D3330" s="633">
        <f t="shared" si="105"/>
        <v>4773.2870000000003</v>
      </c>
      <c r="E3330" s="608"/>
      <c r="F3330" s="760">
        <f t="shared" si="106"/>
        <v>2013.8257511354673</v>
      </c>
      <c r="M3330" s="443"/>
    </row>
    <row r="3331" spans="1:13">
      <c r="A3331" s="639">
        <v>51813</v>
      </c>
      <c r="B3331" s="639">
        <v>1600</v>
      </c>
      <c r="C3331" s="638">
        <v>4950.0410000000002</v>
      </c>
      <c r="D3331" s="633">
        <f t="shared" si="105"/>
        <v>4950.0410000000002</v>
      </c>
      <c r="E3331" s="608"/>
      <c r="F3331" s="760">
        <f t="shared" si="106"/>
        <v>2088.3973737544716</v>
      </c>
      <c r="M3331" s="443"/>
    </row>
    <row r="3332" spans="1:13">
      <c r="A3332" s="639">
        <v>51813</v>
      </c>
      <c r="B3332" s="639">
        <v>1700</v>
      </c>
      <c r="C3332" s="638">
        <v>5285.2719999999999</v>
      </c>
      <c r="D3332" s="633">
        <f t="shared" si="105"/>
        <v>5285.2719999999999</v>
      </c>
      <c r="E3332" s="608"/>
      <c r="F3332" s="760">
        <f t="shared" si="106"/>
        <v>2229.829644719719</v>
      </c>
      <c r="M3332" s="443"/>
    </row>
    <row r="3333" spans="1:13">
      <c r="A3333" s="639">
        <v>51813</v>
      </c>
      <c r="B3333" s="639">
        <v>1800</v>
      </c>
      <c r="C3333" s="638">
        <v>5540.59</v>
      </c>
      <c r="D3333" s="633">
        <f t="shared" ref="D3333:D3396" si="107">C3333</f>
        <v>5540.59</v>
      </c>
      <c r="E3333" s="608"/>
      <c r="F3333" s="760">
        <f t="shared" si="106"/>
        <v>2337.5470233580463</v>
      </c>
      <c r="M3333" s="443"/>
    </row>
    <row r="3334" spans="1:13">
      <c r="A3334" s="639">
        <v>51813</v>
      </c>
      <c r="B3334" s="639">
        <v>1900</v>
      </c>
      <c r="C3334" s="638">
        <v>5664.73</v>
      </c>
      <c r="D3334" s="633">
        <f t="shared" si="107"/>
        <v>5664.73</v>
      </c>
      <c r="E3334" s="608"/>
      <c r="F3334" s="760">
        <f t="shared" si="106"/>
        <v>2389.9210642958642</v>
      </c>
      <c r="M3334" s="443"/>
    </row>
    <row r="3335" spans="1:13">
      <c r="A3335" s="639">
        <v>51813</v>
      </c>
      <c r="B3335" s="639">
        <v>2000</v>
      </c>
      <c r="C3335" s="638">
        <v>5859.5060000000003</v>
      </c>
      <c r="D3335" s="633">
        <f t="shared" si="107"/>
        <v>5859.5060000000003</v>
      </c>
      <c r="E3335" s="608"/>
      <c r="F3335" s="760">
        <f t="shared" si="106"/>
        <v>2472.0960779715901</v>
      </c>
      <c r="M3335" s="443"/>
    </row>
    <row r="3336" spans="1:13">
      <c r="A3336" s="639">
        <v>51813</v>
      </c>
      <c r="B3336" s="639">
        <v>2100</v>
      </c>
      <c r="C3336" s="638">
        <v>6100.9080000000004</v>
      </c>
      <c r="D3336" s="633">
        <f t="shared" si="107"/>
        <v>6100.9080000000004</v>
      </c>
      <c r="E3336" s="608"/>
      <c r="F3336" s="760">
        <f t="shared" si="106"/>
        <v>2573.9423662789145</v>
      </c>
      <c r="M3336" s="443"/>
    </row>
    <row r="3337" spans="1:13">
      <c r="A3337" s="639">
        <v>51813</v>
      </c>
      <c r="B3337" s="639">
        <v>2200</v>
      </c>
      <c r="C3337" s="638">
        <v>5634.6310000000003</v>
      </c>
      <c r="D3337" s="633">
        <f t="shared" si="107"/>
        <v>5634.6310000000003</v>
      </c>
      <c r="E3337" s="608"/>
      <c r="F3337" s="760">
        <f t="shared" si="106"/>
        <v>2377.2224477485197</v>
      </c>
      <c r="M3337" s="443"/>
    </row>
    <row r="3338" spans="1:13">
      <c r="A3338" s="639">
        <v>51813</v>
      </c>
      <c r="B3338" s="639">
        <v>2300</v>
      </c>
      <c r="C3338" s="638">
        <v>5002.0649999999996</v>
      </c>
      <c r="D3338" s="633">
        <f t="shared" si="107"/>
        <v>5002.0649999999996</v>
      </c>
      <c r="E3338" s="608"/>
      <c r="F3338" s="760">
        <f t="shared" si="106"/>
        <v>2110.3460374063889</v>
      </c>
      <c r="M3338" s="443"/>
    </row>
    <row r="3339" spans="1:13">
      <c r="A3339" s="639">
        <v>51813</v>
      </c>
      <c r="B3339" s="639">
        <v>2400</v>
      </c>
      <c r="C3339" s="638">
        <v>4431.3</v>
      </c>
      <c r="D3339" s="633">
        <f t="shared" si="107"/>
        <v>4431.3</v>
      </c>
      <c r="E3339" s="608"/>
      <c r="F3339" s="760">
        <f t="shared" si="106"/>
        <v>1869.54315778762</v>
      </c>
      <c r="M3339" s="443"/>
    </row>
    <row r="3340" spans="1:13">
      <c r="A3340" s="639">
        <v>51913</v>
      </c>
      <c r="B3340" s="639">
        <v>100</v>
      </c>
      <c r="C3340" s="638">
        <v>4117.3329999999996</v>
      </c>
      <c r="D3340" s="633">
        <f t="shared" si="107"/>
        <v>4117.3329999999996</v>
      </c>
      <c r="E3340" s="608"/>
      <c r="F3340" s="760">
        <f t="shared" si="106"/>
        <v>1737.0820613551721</v>
      </c>
      <c r="M3340" s="443"/>
    </row>
    <row r="3341" spans="1:13">
      <c r="A3341" s="639">
        <v>51913</v>
      </c>
      <c r="B3341" s="639">
        <v>200</v>
      </c>
      <c r="C3341" s="638">
        <v>3923.1709999999998</v>
      </c>
      <c r="D3341" s="633">
        <f t="shared" si="107"/>
        <v>3923.1709999999998</v>
      </c>
      <c r="E3341" s="608"/>
      <c r="F3341" s="760">
        <f t="shared" si="106"/>
        <v>1655.1660911878714</v>
      </c>
      <c r="M3341" s="443"/>
    </row>
    <row r="3342" spans="1:13">
      <c r="A3342" s="639">
        <v>51913</v>
      </c>
      <c r="B3342" s="639">
        <v>300</v>
      </c>
      <c r="C3342" s="638">
        <v>4099.9440000000004</v>
      </c>
      <c r="D3342" s="633">
        <f t="shared" si="107"/>
        <v>4099.9440000000004</v>
      </c>
      <c r="E3342" s="608"/>
      <c r="F3342" s="760">
        <f t="shared" si="106"/>
        <v>1729.7457298112081</v>
      </c>
      <c r="M3342" s="443"/>
    </row>
    <row r="3343" spans="1:13">
      <c r="A3343" s="639">
        <v>51913</v>
      </c>
      <c r="B3343" s="639">
        <v>400</v>
      </c>
      <c r="C3343" s="638">
        <v>4089.817</v>
      </c>
      <c r="D3343" s="633">
        <f t="shared" si="107"/>
        <v>4089.817</v>
      </c>
      <c r="E3343" s="608"/>
      <c r="F3343" s="760">
        <f t="shared" si="106"/>
        <v>1725.4731995020627</v>
      </c>
      <c r="M3343" s="443"/>
    </row>
    <row r="3344" spans="1:13">
      <c r="A3344" s="639">
        <v>51913</v>
      </c>
      <c r="B3344" s="639">
        <v>500</v>
      </c>
      <c r="C3344" s="638">
        <v>4168.9960000000001</v>
      </c>
      <c r="D3344" s="633">
        <f t="shared" si="107"/>
        <v>4168.9960000000001</v>
      </c>
      <c r="E3344" s="608"/>
      <c r="F3344" s="760">
        <f t="shared" si="106"/>
        <v>1758.8784209247754</v>
      </c>
      <c r="M3344" s="443"/>
    </row>
    <row r="3345" spans="1:13">
      <c r="A3345" s="639">
        <v>51913</v>
      </c>
      <c r="B3345" s="639">
        <v>600</v>
      </c>
      <c r="C3345" s="638">
        <v>4339.4279999999999</v>
      </c>
      <c r="D3345" s="633">
        <f t="shared" si="107"/>
        <v>4339.4279999999999</v>
      </c>
      <c r="E3345" s="608"/>
      <c r="F3345" s="760">
        <f t="shared" si="106"/>
        <v>1830.7828235759296</v>
      </c>
      <c r="M3345" s="443"/>
    </row>
    <row r="3346" spans="1:13">
      <c r="A3346" s="639">
        <v>51913</v>
      </c>
      <c r="B3346" s="639">
        <v>700</v>
      </c>
      <c r="C3346" s="638">
        <v>4777.1629999999996</v>
      </c>
      <c r="D3346" s="633">
        <f t="shared" si="107"/>
        <v>4777.1629999999996</v>
      </c>
      <c r="E3346" s="608"/>
      <c r="F3346" s="760">
        <f t="shared" si="106"/>
        <v>2015.4610160192674</v>
      </c>
      <c r="M3346" s="443"/>
    </row>
    <row r="3347" spans="1:13">
      <c r="A3347" s="639">
        <v>51913</v>
      </c>
      <c r="B3347" s="639">
        <v>800</v>
      </c>
      <c r="C3347" s="638">
        <v>4947.9549999999999</v>
      </c>
      <c r="D3347" s="633">
        <f t="shared" si="107"/>
        <v>4947.9549999999999</v>
      </c>
      <c r="E3347" s="608"/>
      <c r="F3347" s="760">
        <f t="shared" si="106"/>
        <v>2087.5173008577717</v>
      </c>
      <c r="M3347" s="443"/>
    </row>
    <row r="3348" spans="1:13">
      <c r="A3348" s="639">
        <v>51913</v>
      </c>
      <c r="B3348" s="639">
        <v>900</v>
      </c>
      <c r="C3348" s="638">
        <v>5168.8999999999996</v>
      </c>
      <c r="D3348" s="633">
        <f t="shared" si="107"/>
        <v>5168.8999999999996</v>
      </c>
      <c r="E3348" s="608"/>
      <c r="F3348" s="760">
        <f t="shared" si="106"/>
        <v>2180.7328838689386</v>
      </c>
      <c r="M3348" s="443"/>
    </row>
    <row r="3349" spans="1:13">
      <c r="A3349" s="639">
        <v>51913</v>
      </c>
      <c r="B3349" s="639">
        <v>1000</v>
      </c>
      <c r="C3349" s="638">
        <v>5222.9440000000004</v>
      </c>
      <c r="D3349" s="633">
        <f t="shared" si="107"/>
        <v>5222.9440000000004</v>
      </c>
      <c r="E3349" s="608"/>
      <c r="F3349" s="760">
        <f t="shared" si="106"/>
        <v>2203.5337753498757</v>
      </c>
      <c r="M3349" s="443"/>
    </row>
    <row r="3350" spans="1:13">
      <c r="A3350" s="639">
        <v>51913</v>
      </c>
      <c r="B3350" s="639">
        <v>1100</v>
      </c>
      <c r="C3350" s="638">
        <v>5112.1379999999999</v>
      </c>
      <c r="D3350" s="633">
        <f t="shared" si="107"/>
        <v>5112.1379999999999</v>
      </c>
      <c r="E3350" s="608"/>
      <c r="F3350" s="760">
        <f t="shared" si="106"/>
        <v>2156.7852818735105</v>
      </c>
      <c r="M3350" s="443"/>
    </row>
    <row r="3351" spans="1:13">
      <c r="A3351" s="639">
        <v>51913</v>
      </c>
      <c r="B3351" s="639">
        <v>1200</v>
      </c>
      <c r="C3351" s="638">
        <v>5062.1679999999997</v>
      </c>
      <c r="D3351" s="633">
        <f t="shared" si="107"/>
        <v>5062.1679999999997</v>
      </c>
      <c r="E3351" s="608"/>
      <c r="F3351" s="760">
        <f t="shared" si="106"/>
        <v>2135.7031904794171</v>
      </c>
      <c r="M3351" s="443"/>
    </row>
    <row r="3352" spans="1:13">
      <c r="A3352" s="639">
        <v>51913</v>
      </c>
      <c r="B3352" s="639">
        <v>1300</v>
      </c>
      <c r="C3352" s="638">
        <v>5015.527</v>
      </c>
      <c r="D3352" s="633">
        <f t="shared" si="107"/>
        <v>5015.527</v>
      </c>
      <c r="E3352" s="608"/>
      <c r="F3352" s="760">
        <f t="shared" si="106"/>
        <v>2116.0255874233449</v>
      </c>
      <c r="M3352" s="443"/>
    </row>
    <row r="3353" spans="1:13">
      <c r="A3353" s="639">
        <v>51913</v>
      </c>
      <c r="B3353" s="639">
        <v>1400</v>
      </c>
      <c r="C3353" s="638">
        <v>4930.41</v>
      </c>
      <c r="D3353" s="633">
        <f t="shared" si="107"/>
        <v>4930.41</v>
      </c>
      <c r="E3353" s="608"/>
      <c r="F3353" s="760">
        <f t="shared" si="106"/>
        <v>2080.1151536992888</v>
      </c>
      <c r="M3353" s="443"/>
    </row>
    <row r="3354" spans="1:13">
      <c r="A3354" s="639">
        <v>51913</v>
      </c>
      <c r="B3354" s="639">
        <v>1500</v>
      </c>
      <c r="C3354" s="638">
        <v>5101.2179999999998</v>
      </c>
      <c r="D3354" s="633">
        <f t="shared" si="107"/>
        <v>5101.2179999999998</v>
      </c>
      <c r="E3354" s="608"/>
      <c r="F3354" s="760">
        <f t="shared" si="106"/>
        <v>2152.1781888572305</v>
      </c>
      <c r="M3354" s="443"/>
    </row>
    <row r="3355" spans="1:13">
      <c r="A3355" s="639">
        <v>51913</v>
      </c>
      <c r="B3355" s="639">
        <v>1600</v>
      </c>
      <c r="C3355" s="638">
        <v>5432.6210000000001</v>
      </c>
      <c r="D3355" s="633">
        <f t="shared" si="107"/>
        <v>5432.6210000000001</v>
      </c>
      <c r="E3355" s="608"/>
      <c r="F3355" s="760">
        <f t="shared" si="106"/>
        <v>2291.9954458969914</v>
      </c>
      <c r="M3355" s="443"/>
    </row>
    <row r="3356" spans="1:13">
      <c r="A3356" s="639">
        <v>51913</v>
      </c>
      <c r="B3356" s="639">
        <v>1700</v>
      </c>
      <c r="C3356" s="638">
        <v>5645.9579999999996</v>
      </c>
      <c r="D3356" s="633">
        <f t="shared" si="107"/>
        <v>5645.9579999999996</v>
      </c>
      <c r="E3356" s="608"/>
      <c r="F3356" s="760">
        <f t="shared" ref="F3356:F3419" si="108">(D3356/(MAX($D$2908:$D$3651)))*$M$8</f>
        <v>2382.0012520154978</v>
      </c>
      <c r="M3356" s="443"/>
    </row>
    <row r="3357" spans="1:13">
      <c r="A3357" s="639">
        <v>51913</v>
      </c>
      <c r="B3357" s="639">
        <v>1800</v>
      </c>
      <c r="C3357" s="638">
        <v>5860.7479999999996</v>
      </c>
      <c r="D3357" s="633">
        <f t="shared" si="107"/>
        <v>5860.7479999999996</v>
      </c>
      <c r="E3357" s="608"/>
      <c r="F3357" s="760">
        <f t="shared" si="108"/>
        <v>2472.6200715179471</v>
      </c>
      <c r="M3357" s="443"/>
    </row>
    <row r="3358" spans="1:13">
      <c r="A3358" s="639">
        <v>51913</v>
      </c>
      <c r="B3358" s="639">
        <v>1900</v>
      </c>
      <c r="C3358" s="638">
        <v>5849.634</v>
      </c>
      <c r="D3358" s="633">
        <f t="shared" si="107"/>
        <v>5849.634</v>
      </c>
      <c r="E3358" s="608"/>
      <c r="F3358" s="760">
        <f t="shared" si="108"/>
        <v>2467.9311308784841</v>
      </c>
      <c r="M3358" s="443"/>
    </row>
    <row r="3359" spans="1:13">
      <c r="A3359" s="639">
        <v>51913</v>
      </c>
      <c r="B3359" s="639">
        <v>2000</v>
      </c>
      <c r="C3359" s="638">
        <v>5810.357</v>
      </c>
      <c r="D3359" s="633">
        <f t="shared" si="107"/>
        <v>5810.357</v>
      </c>
      <c r="E3359" s="608"/>
      <c r="F3359" s="760">
        <f t="shared" si="108"/>
        <v>2451.360362343647</v>
      </c>
      <c r="M3359" s="443"/>
    </row>
    <row r="3360" spans="1:13">
      <c r="A3360" s="639">
        <v>51913</v>
      </c>
      <c r="B3360" s="639">
        <v>2100</v>
      </c>
      <c r="C3360" s="638">
        <v>6104.576</v>
      </c>
      <c r="D3360" s="633">
        <f t="shared" si="107"/>
        <v>6104.576</v>
      </c>
      <c r="E3360" s="608"/>
      <c r="F3360" s="760">
        <f t="shared" si="108"/>
        <v>2575.489877010024</v>
      </c>
      <c r="M3360" s="443"/>
    </row>
    <row r="3361" spans="1:13">
      <c r="A3361" s="639">
        <v>51913</v>
      </c>
      <c r="B3361" s="639">
        <v>2200</v>
      </c>
      <c r="C3361" s="638">
        <v>5761.75</v>
      </c>
      <c r="D3361" s="633">
        <f t="shared" si="107"/>
        <v>5761.75</v>
      </c>
      <c r="E3361" s="608"/>
      <c r="F3361" s="760">
        <f t="shared" si="108"/>
        <v>2430.8533137866584</v>
      </c>
      <c r="M3361" s="443"/>
    </row>
    <row r="3362" spans="1:13">
      <c r="A3362" s="639">
        <v>51913</v>
      </c>
      <c r="B3362" s="639">
        <v>2300</v>
      </c>
      <c r="C3362" s="638">
        <v>5175.665</v>
      </c>
      <c r="D3362" s="633">
        <f t="shared" si="107"/>
        <v>5175.665</v>
      </c>
      <c r="E3362" s="608"/>
      <c r="F3362" s="760">
        <f t="shared" si="108"/>
        <v>2183.5870033062224</v>
      </c>
      <c r="M3362" s="443"/>
    </row>
    <row r="3363" spans="1:13">
      <c r="A3363" s="639">
        <v>51913</v>
      </c>
      <c r="B3363" s="639">
        <v>2400</v>
      </c>
      <c r="C3363" s="638">
        <v>4529.2190000000001</v>
      </c>
      <c r="D3363" s="633">
        <f t="shared" si="107"/>
        <v>4529.2190000000001</v>
      </c>
      <c r="E3363" s="608"/>
      <c r="F3363" s="760">
        <f t="shared" si="108"/>
        <v>1910.8546908518235</v>
      </c>
      <c r="M3363" s="443"/>
    </row>
    <row r="3364" spans="1:13">
      <c r="A3364" s="639">
        <v>52013</v>
      </c>
      <c r="B3364" s="639">
        <v>100</v>
      </c>
      <c r="C3364" s="638">
        <v>4135.6719999999996</v>
      </c>
      <c r="D3364" s="633">
        <f t="shared" si="107"/>
        <v>4135.6719999999996</v>
      </c>
      <c r="E3364" s="608"/>
      <c r="F3364" s="760">
        <f t="shared" si="108"/>
        <v>1744.8191931157542</v>
      </c>
      <c r="M3364" s="443"/>
    </row>
    <row r="3365" spans="1:13">
      <c r="A3365" s="639">
        <v>52013</v>
      </c>
      <c r="B3365" s="639">
        <v>200</v>
      </c>
      <c r="C3365" s="638">
        <v>3921.5839999999998</v>
      </c>
      <c r="D3365" s="633">
        <f t="shared" si="107"/>
        <v>3921.5839999999998</v>
      </c>
      <c r="E3365" s="608"/>
      <c r="F3365" s="760">
        <f t="shared" si="108"/>
        <v>1654.4965438786373</v>
      </c>
      <c r="M3365" s="443"/>
    </row>
    <row r="3366" spans="1:13">
      <c r="A3366" s="639">
        <v>52013</v>
      </c>
      <c r="B3366" s="639">
        <v>300</v>
      </c>
      <c r="C3366" s="638">
        <v>4109.7700000000004</v>
      </c>
      <c r="D3366" s="633">
        <f t="shared" si="107"/>
        <v>4109.7700000000004</v>
      </c>
      <c r="E3366" s="608"/>
      <c r="F3366" s="760">
        <f t="shared" si="108"/>
        <v>1733.8912697359303</v>
      </c>
      <c r="M3366" s="443"/>
    </row>
    <row r="3367" spans="1:13">
      <c r="A3367" s="639">
        <v>52013</v>
      </c>
      <c r="B3367" s="639">
        <v>400</v>
      </c>
      <c r="C3367" s="638">
        <v>4083.0650000000001</v>
      </c>
      <c r="D3367" s="633">
        <f t="shared" si="107"/>
        <v>4083.0650000000001</v>
      </c>
      <c r="E3367" s="608"/>
      <c r="F3367" s="760">
        <f t="shared" si="108"/>
        <v>1722.6245646993227</v>
      </c>
      <c r="M3367" s="443"/>
    </row>
    <row r="3368" spans="1:13">
      <c r="A3368" s="639">
        <v>52013</v>
      </c>
      <c r="B3368" s="639">
        <v>500</v>
      </c>
      <c r="C3368" s="638">
        <v>4092.0169999999998</v>
      </c>
      <c r="D3368" s="633">
        <f t="shared" si="107"/>
        <v>4092.0169999999998</v>
      </c>
      <c r="E3368" s="608"/>
      <c r="F3368" s="760">
        <f t="shared" si="108"/>
        <v>1726.4013684247564</v>
      </c>
      <c r="M3368" s="443"/>
    </row>
    <row r="3369" spans="1:13">
      <c r="A3369" s="639">
        <v>52013</v>
      </c>
      <c r="B3369" s="639">
        <v>600</v>
      </c>
      <c r="C3369" s="638">
        <v>4102.4709999999995</v>
      </c>
      <c r="D3369" s="633">
        <f t="shared" si="107"/>
        <v>4102.4709999999995</v>
      </c>
      <c r="E3369" s="608"/>
      <c r="F3369" s="760">
        <f t="shared" si="108"/>
        <v>1730.8118583874109</v>
      </c>
      <c r="M3369" s="443"/>
    </row>
    <row r="3370" spans="1:13">
      <c r="A3370" s="639">
        <v>52013</v>
      </c>
      <c r="B3370" s="639">
        <v>700</v>
      </c>
      <c r="C3370" s="638">
        <v>4336.741</v>
      </c>
      <c r="D3370" s="633">
        <f t="shared" si="107"/>
        <v>4336.741</v>
      </c>
      <c r="E3370" s="608"/>
      <c r="F3370" s="760">
        <f t="shared" si="108"/>
        <v>1829.6491918053484</v>
      </c>
      <c r="M3370" s="443"/>
    </row>
    <row r="3371" spans="1:13">
      <c r="A3371" s="639">
        <v>52013</v>
      </c>
      <c r="B3371" s="639">
        <v>800</v>
      </c>
      <c r="C3371" s="638">
        <v>4764.8519999999999</v>
      </c>
      <c r="D3371" s="633">
        <f t="shared" si="107"/>
        <v>4764.8519999999999</v>
      </c>
      <c r="E3371" s="608"/>
      <c r="F3371" s="760">
        <f t="shared" si="108"/>
        <v>2010.2670671068661</v>
      </c>
      <c r="M3371" s="443"/>
    </row>
    <row r="3372" spans="1:13">
      <c r="A3372" s="639">
        <v>52013</v>
      </c>
      <c r="B3372" s="639">
        <v>900</v>
      </c>
      <c r="C3372" s="638">
        <v>5244.0309999999999</v>
      </c>
      <c r="D3372" s="633">
        <f t="shared" si="107"/>
        <v>5244.0309999999999</v>
      </c>
      <c r="E3372" s="608"/>
      <c r="F3372" s="760">
        <f t="shared" si="108"/>
        <v>2212.4302744738948</v>
      </c>
      <c r="M3372" s="443"/>
    </row>
    <row r="3373" spans="1:13">
      <c r="A3373" s="639">
        <v>52013</v>
      </c>
      <c r="B3373" s="639">
        <v>1000</v>
      </c>
      <c r="C3373" s="638">
        <v>5648.0479999999998</v>
      </c>
      <c r="D3373" s="633">
        <f t="shared" si="107"/>
        <v>5648.0479999999998</v>
      </c>
      <c r="E3373" s="608"/>
      <c r="F3373" s="760">
        <f t="shared" si="108"/>
        <v>2382.8830124920569</v>
      </c>
      <c r="M3373" s="443"/>
    </row>
    <row r="3374" spans="1:13">
      <c r="A3374" s="639">
        <v>52013</v>
      </c>
      <c r="B3374" s="639">
        <v>1100</v>
      </c>
      <c r="C3374" s="638">
        <v>5845.4750000000004</v>
      </c>
      <c r="D3374" s="633">
        <f t="shared" si="107"/>
        <v>5845.4750000000004</v>
      </c>
      <c r="E3374" s="608"/>
      <c r="F3374" s="760">
        <f t="shared" si="108"/>
        <v>2466.1764697196281</v>
      </c>
      <c r="M3374" s="443"/>
    </row>
    <row r="3375" spans="1:13">
      <c r="A3375" s="639">
        <v>52013</v>
      </c>
      <c r="B3375" s="639">
        <v>1200</v>
      </c>
      <c r="C3375" s="638">
        <v>6017.0910000000003</v>
      </c>
      <c r="D3375" s="633">
        <f t="shared" si="107"/>
        <v>6017.0910000000003</v>
      </c>
      <c r="E3375" s="608"/>
      <c r="F3375" s="760">
        <f t="shared" si="108"/>
        <v>2538.5803960091775</v>
      </c>
      <c r="M3375" s="443"/>
    </row>
    <row r="3376" spans="1:13">
      <c r="A3376" s="639">
        <v>52013</v>
      </c>
      <c r="B3376" s="639">
        <v>1300</v>
      </c>
      <c r="C3376" s="638">
        <v>6062.9250000000002</v>
      </c>
      <c r="D3376" s="633">
        <f t="shared" si="107"/>
        <v>6062.9250000000002</v>
      </c>
      <c r="E3376" s="608"/>
      <c r="F3376" s="760">
        <f t="shared" si="108"/>
        <v>2557.9175298286068</v>
      </c>
      <c r="M3376" s="443"/>
    </row>
    <row r="3377" spans="1:13">
      <c r="A3377" s="639">
        <v>52013</v>
      </c>
      <c r="B3377" s="639">
        <v>1400</v>
      </c>
      <c r="C3377" s="638">
        <v>6096.0339999999997</v>
      </c>
      <c r="D3377" s="633">
        <f t="shared" si="107"/>
        <v>6096.0339999999997</v>
      </c>
      <c r="E3377" s="608"/>
      <c r="F3377" s="760">
        <f t="shared" si="108"/>
        <v>2571.8860502201824</v>
      </c>
      <c r="M3377" s="443"/>
    </row>
    <row r="3378" spans="1:13">
      <c r="A3378" s="639">
        <v>52013</v>
      </c>
      <c r="B3378" s="639">
        <v>1500</v>
      </c>
      <c r="C3378" s="638">
        <v>6262.567</v>
      </c>
      <c r="D3378" s="633">
        <f t="shared" si="107"/>
        <v>6262.567</v>
      </c>
      <c r="E3378" s="608"/>
      <c r="F3378" s="760">
        <f t="shared" si="108"/>
        <v>2642.1454844033447</v>
      </c>
      <c r="M3378" s="443"/>
    </row>
    <row r="3379" spans="1:13">
      <c r="A3379" s="639">
        <v>52013</v>
      </c>
      <c r="B3379" s="639">
        <v>1600</v>
      </c>
      <c r="C3379" s="638">
        <v>6565.933</v>
      </c>
      <c r="D3379" s="633">
        <f t="shared" si="107"/>
        <v>6565.933</v>
      </c>
      <c r="E3379" s="608"/>
      <c r="F3379" s="760">
        <f t="shared" si="108"/>
        <v>2770.1340723133035</v>
      </c>
      <c r="M3379" s="443"/>
    </row>
    <row r="3380" spans="1:13">
      <c r="A3380" s="639">
        <v>52013</v>
      </c>
      <c r="B3380" s="639">
        <v>1700</v>
      </c>
      <c r="C3380" s="638">
        <v>7036.9350000000004</v>
      </c>
      <c r="D3380" s="633">
        <f t="shared" si="107"/>
        <v>7036.9350000000004</v>
      </c>
      <c r="E3380" s="608"/>
      <c r="F3380" s="760">
        <f t="shared" si="108"/>
        <v>2968.8474445526654</v>
      </c>
      <c r="M3380" s="443"/>
    </row>
    <row r="3381" spans="1:13">
      <c r="A3381" s="639">
        <v>52013</v>
      </c>
      <c r="B3381" s="639">
        <v>1800</v>
      </c>
      <c r="C3381" s="638">
        <v>7127.7179999999998</v>
      </c>
      <c r="D3381" s="633">
        <f t="shared" si="107"/>
        <v>7127.7179999999998</v>
      </c>
      <c r="E3381" s="608"/>
      <c r="F3381" s="760">
        <f t="shared" si="108"/>
        <v>3007.1483351476222</v>
      </c>
      <c r="M3381" s="443"/>
    </row>
    <row r="3382" spans="1:13">
      <c r="A3382" s="639">
        <v>52013</v>
      </c>
      <c r="B3382" s="639">
        <v>1900</v>
      </c>
      <c r="C3382" s="638">
        <v>7294.7550000000001</v>
      </c>
      <c r="D3382" s="633">
        <f t="shared" si="107"/>
        <v>7294.7550000000001</v>
      </c>
      <c r="E3382" s="608"/>
      <c r="F3382" s="760">
        <f t="shared" si="108"/>
        <v>3077.6204043930743</v>
      </c>
      <c r="M3382" s="443"/>
    </row>
    <row r="3383" spans="1:13">
      <c r="A3383" s="639">
        <v>52013</v>
      </c>
      <c r="B3383" s="639">
        <v>2000</v>
      </c>
      <c r="C3383" s="638">
        <v>7479.2430000000004</v>
      </c>
      <c r="D3383" s="633">
        <f t="shared" si="107"/>
        <v>7479.2430000000004</v>
      </c>
      <c r="E3383" s="608"/>
      <c r="F3383" s="760">
        <f t="shared" si="108"/>
        <v>3155.4549626703119</v>
      </c>
      <c r="M3383" s="443"/>
    </row>
    <row r="3384" spans="1:13">
      <c r="A3384" s="639">
        <v>52013</v>
      </c>
      <c r="B3384" s="639">
        <v>2100</v>
      </c>
      <c r="C3384" s="638">
        <v>7661.2209999999995</v>
      </c>
      <c r="D3384" s="633">
        <f t="shared" si="107"/>
        <v>7661.2209999999995</v>
      </c>
      <c r="E3384" s="608"/>
      <c r="F3384" s="760">
        <f t="shared" si="108"/>
        <v>3232.2305645857482</v>
      </c>
      <c r="M3384" s="443"/>
    </row>
    <row r="3385" spans="1:13">
      <c r="A3385" s="639">
        <v>52013</v>
      </c>
      <c r="B3385" s="639">
        <v>2200</v>
      </c>
      <c r="C3385" s="638">
        <v>6680.5529999999999</v>
      </c>
      <c r="D3385" s="633">
        <f t="shared" si="107"/>
        <v>6680.5529999999999</v>
      </c>
      <c r="E3385" s="608"/>
      <c r="F3385" s="760">
        <f t="shared" si="108"/>
        <v>2818.491673185647</v>
      </c>
      <c r="M3385" s="443"/>
    </row>
    <row r="3386" spans="1:13">
      <c r="A3386" s="639">
        <v>52013</v>
      </c>
      <c r="B3386" s="639">
        <v>2300</v>
      </c>
      <c r="C3386" s="638">
        <v>5507.3670000000002</v>
      </c>
      <c r="D3386" s="633">
        <f t="shared" si="107"/>
        <v>5507.3670000000002</v>
      </c>
      <c r="E3386" s="608"/>
      <c r="F3386" s="760">
        <f t="shared" si="108"/>
        <v>2323.530406940476</v>
      </c>
      <c r="M3386" s="443"/>
    </row>
    <row r="3387" spans="1:13">
      <c r="A3387" s="639">
        <v>52013</v>
      </c>
      <c r="B3387" s="639">
        <v>2400</v>
      </c>
      <c r="C3387" s="638">
        <v>4813.8159999999998</v>
      </c>
      <c r="D3387" s="633">
        <f t="shared" si="107"/>
        <v>4813.8159999999998</v>
      </c>
      <c r="E3387" s="608"/>
      <c r="F3387" s="760">
        <f t="shared" si="108"/>
        <v>2030.9247321663099</v>
      </c>
      <c r="M3387" s="443"/>
    </row>
    <row r="3388" spans="1:13">
      <c r="A3388" s="639">
        <v>52113</v>
      </c>
      <c r="B3388" s="639">
        <v>100</v>
      </c>
      <c r="C3388" s="638">
        <v>4504.2740000000003</v>
      </c>
      <c r="D3388" s="633">
        <f t="shared" si="107"/>
        <v>4504.2740000000003</v>
      </c>
      <c r="E3388" s="608"/>
      <c r="F3388" s="760">
        <f t="shared" si="108"/>
        <v>1900.3305209533714</v>
      </c>
      <c r="M3388" s="443"/>
    </row>
    <row r="3389" spans="1:13">
      <c r="A3389" s="639">
        <v>52113</v>
      </c>
      <c r="B3389" s="639">
        <v>200</v>
      </c>
      <c r="C3389" s="638">
        <v>4276.3329999999996</v>
      </c>
      <c r="D3389" s="633">
        <f t="shared" si="107"/>
        <v>4276.3329999999996</v>
      </c>
      <c r="E3389" s="608"/>
      <c r="F3389" s="760">
        <f t="shared" si="108"/>
        <v>1804.1633607680376</v>
      </c>
      <c r="M3389" s="443"/>
    </row>
    <row r="3390" spans="1:13">
      <c r="A3390" s="639">
        <v>52113</v>
      </c>
      <c r="B3390" s="639">
        <v>300</v>
      </c>
      <c r="C3390" s="638">
        <v>4394.5079999999998</v>
      </c>
      <c r="D3390" s="633">
        <f t="shared" si="107"/>
        <v>4394.5079999999998</v>
      </c>
      <c r="E3390" s="608"/>
      <c r="F3390" s="760">
        <f t="shared" si="108"/>
        <v>1854.0207982404618</v>
      </c>
      <c r="M3390" s="443"/>
    </row>
    <row r="3391" spans="1:13">
      <c r="A3391" s="639">
        <v>52113</v>
      </c>
      <c r="B3391" s="639">
        <v>400</v>
      </c>
      <c r="C3391" s="638">
        <v>4367.4279999999999</v>
      </c>
      <c r="D3391" s="633">
        <f t="shared" si="107"/>
        <v>4367.4279999999999</v>
      </c>
      <c r="E3391" s="608"/>
      <c r="F3391" s="760">
        <f t="shared" si="108"/>
        <v>1842.5958825920316</v>
      </c>
      <c r="M3391" s="443"/>
    </row>
    <row r="3392" spans="1:13">
      <c r="A3392" s="639">
        <v>52113</v>
      </c>
      <c r="B3392" s="639">
        <v>500</v>
      </c>
      <c r="C3392" s="638">
        <v>4556.7719999999999</v>
      </c>
      <c r="D3392" s="633">
        <f t="shared" si="107"/>
        <v>4556.7719999999999</v>
      </c>
      <c r="E3392" s="608"/>
      <c r="F3392" s="760">
        <f t="shared" si="108"/>
        <v>1922.4791628186331</v>
      </c>
      <c r="M3392" s="443"/>
    </row>
    <row r="3393" spans="1:13">
      <c r="A3393" s="639">
        <v>52113</v>
      </c>
      <c r="B3393" s="639">
        <v>600</v>
      </c>
      <c r="C3393" s="638">
        <v>5113.3339999999998</v>
      </c>
      <c r="D3393" s="633">
        <f t="shared" si="107"/>
        <v>5113.3339999999998</v>
      </c>
      <c r="E3393" s="608"/>
      <c r="F3393" s="760">
        <f t="shared" si="108"/>
        <v>2157.2898682514842</v>
      </c>
      <c r="M3393" s="443"/>
    </row>
    <row r="3394" spans="1:13">
      <c r="A3394" s="639">
        <v>52113</v>
      </c>
      <c r="B3394" s="639">
        <v>700</v>
      </c>
      <c r="C3394" s="638">
        <v>5612.16</v>
      </c>
      <c r="D3394" s="633">
        <f t="shared" si="107"/>
        <v>5612.16</v>
      </c>
      <c r="E3394" s="608"/>
      <c r="F3394" s="760">
        <f t="shared" si="108"/>
        <v>2367.7420459931327</v>
      </c>
      <c r="M3394" s="443"/>
    </row>
    <row r="3395" spans="1:13">
      <c r="A3395" s="639">
        <v>52113</v>
      </c>
      <c r="B3395" s="639">
        <v>800</v>
      </c>
      <c r="C3395" s="638">
        <v>5605.09</v>
      </c>
      <c r="D3395" s="633">
        <f t="shared" si="107"/>
        <v>5605.09</v>
      </c>
      <c r="E3395" s="608"/>
      <c r="F3395" s="760">
        <f t="shared" si="108"/>
        <v>2364.759248591567</v>
      </c>
      <c r="M3395" s="443"/>
    </row>
    <row r="3396" spans="1:13">
      <c r="A3396" s="639">
        <v>52113</v>
      </c>
      <c r="B3396" s="639">
        <v>900</v>
      </c>
      <c r="C3396" s="638">
        <v>5699.3590000000004</v>
      </c>
      <c r="D3396" s="633">
        <f t="shared" si="107"/>
        <v>5699.3590000000004</v>
      </c>
      <c r="E3396" s="608"/>
      <c r="F3396" s="760">
        <f t="shared" si="108"/>
        <v>2404.5308650340289</v>
      </c>
      <c r="M3396" s="443"/>
    </row>
    <row r="3397" spans="1:13">
      <c r="A3397" s="639">
        <v>52113</v>
      </c>
      <c r="B3397" s="639">
        <v>1000</v>
      </c>
      <c r="C3397" s="638">
        <v>5846.68</v>
      </c>
      <c r="D3397" s="633">
        <f t="shared" ref="D3397:D3460" si="109">C3397</f>
        <v>5846.68</v>
      </c>
      <c r="E3397" s="608"/>
      <c r="F3397" s="760">
        <f t="shared" si="108"/>
        <v>2466.6848531522855</v>
      </c>
      <c r="M3397" s="443"/>
    </row>
    <row r="3398" spans="1:13">
      <c r="A3398" s="639">
        <v>52113</v>
      </c>
      <c r="B3398" s="639">
        <v>1100</v>
      </c>
      <c r="C3398" s="638">
        <v>5985.6440000000002</v>
      </c>
      <c r="D3398" s="633">
        <f t="shared" si="109"/>
        <v>5985.6440000000002</v>
      </c>
      <c r="E3398" s="608"/>
      <c r="F3398" s="760">
        <f t="shared" si="108"/>
        <v>2525.3130650492003</v>
      </c>
      <c r="M3398" s="443"/>
    </row>
    <row r="3399" spans="1:13">
      <c r="A3399" s="639">
        <v>52113</v>
      </c>
      <c r="B3399" s="639">
        <v>1200</v>
      </c>
      <c r="C3399" s="638">
        <v>6116.6679999999997</v>
      </c>
      <c r="D3399" s="633">
        <f t="shared" si="109"/>
        <v>6116.6679999999997</v>
      </c>
      <c r="E3399" s="608"/>
      <c r="F3399" s="760">
        <f t="shared" si="108"/>
        <v>2580.5914309251202</v>
      </c>
      <c r="M3399" s="443"/>
    </row>
    <row r="3400" spans="1:13">
      <c r="A3400" s="639">
        <v>52113</v>
      </c>
      <c r="B3400" s="639">
        <v>1300</v>
      </c>
      <c r="C3400" s="638">
        <v>6490.3140000000003</v>
      </c>
      <c r="D3400" s="633">
        <f t="shared" si="109"/>
        <v>6490.3140000000003</v>
      </c>
      <c r="E3400" s="608"/>
      <c r="F3400" s="760">
        <f t="shared" si="108"/>
        <v>2738.2307969654953</v>
      </c>
      <c r="M3400" s="443"/>
    </row>
    <row r="3401" spans="1:13">
      <c r="A3401" s="639">
        <v>52113</v>
      </c>
      <c r="B3401" s="639">
        <v>1400</v>
      </c>
      <c r="C3401" s="638">
        <v>6484.7240000000002</v>
      </c>
      <c r="D3401" s="633">
        <f t="shared" si="109"/>
        <v>6484.7240000000002</v>
      </c>
      <c r="E3401" s="608"/>
      <c r="F3401" s="760">
        <f t="shared" si="108"/>
        <v>2735.8724041119235</v>
      </c>
      <c r="M3401" s="443"/>
    </row>
    <row r="3402" spans="1:13">
      <c r="A3402" s="639">
        <v>52113</v>
      </c>
      <c r="B3402" s="639">
        <v>1500</v>
      </c>
      <c r="C3402" s="638">
        <v>6546.7920000000004</v>
      </c>
      <c r="D3402" s="633">
        <f t="shared" si="109"/>
        <v>6546.7920000000004</v>
      </c>
      <c r="E3402" s="608"/>
      <c r="F3402" s="760">
        <f t="shared" si="108"/>
        <v>2762.0585807909033</v>
      </c>
      <c r="M3402" s="443"/>
    </row>
    <row r="3403" spans="1:13">
      <c r="A3403" s="639">
        <v>52113</v>
      </c>
      <c r="B3403" s="639">
        <v>1600</v>
      </c>
      <c r="C3403" s="638">
        <v>7052.3280000000004</v>
      </c>
      <c r="D3403" s="633">
        <f t="shared" si="109"/>
        <v>7052.3280000000004</v>
      </c>
      <c r="E3403" s="608"/>
      <c r="F3403" s="760">
        <f t="shared" si="108"/>
        <v>2975.3416737467674</v>
      </c>
      <c r="M3403" s="443"/>
    </row>
    <row r="3404" spans="1:13">
      <c r="A3404" s="639">
        <v>52113</v>
      </c>
      <c r="B3404" s="639">
        <v>1700</v>
      </c>
      <c r="C3404" s="638">
        <v>7657.5230000000001</v>
      </c>
      <c r="D3404" s="633">
        <f t="shared" si="109"/>
        <v>7657.5230000000001</v>
      </c>
      <c r="E3404" s="608"/>
      <c r="F3404" s="760">
        <f t="shared" si="108"/>
        <v>3230.6703970056938</v>
      </c>
      <c r="M3404" s="443"/>
    </row>
    <row r="3405" spans="1:13">
      <c r="A3405" s="639">
        <v>52113</v>
      </c>
      <c r="B3405" s="639">
        <v>1800</v>
      </c>
      <c r="C3405" s="638">
        <v>7642.6210000000001</v>
      </c>
      <c r="D3405" s="633">
        <f t="shared" si="109"/>
        <v>7642.6210000000001</v>
      </c>
      <c r="E3405" s="608"/>
      <c r="F3405" s="760">
        <f t="shared" si="108"/>
        <v>3224.3833182393382</v>
      </c>
      <c r="M3405" s="443"/>
    </row>
    <row r="3406" spans="1:13">
      <c r="A3406" s="639">
        <v>52113</v>
      </c>
      <c r="B3406" s="639">
        <v>1900</v>
      </c>
      <c r="C3406" s="638">
        <v>7422.2579999999998</v>
      </c>
      <c r="D3406" s="633">
        <f t="shared" si="109"/>
        <v>7422.2579999999998</v>
      </c>
      <c r="E3406" s="608"/>
      <c r="F3406" s="760">
        <f t="shared" si="108"/>
        <v>3131.4132780977197</v>
      </c>
      <c r="M3406" s="443"/>
    </row>
    <row r="3407" spans="1:13">
      <c r="A3407" s="639">
        <v>52113</v>
      </c>
      <c r="B3407" s="639">
        <v>2000</v>
      </c>
      <c r="C3407" s="638">
        <v>7311.8190000000004</v>
      </c>
      <c r="D3407" s="633">
        <f t="shared" si="109"/>
        <v>7311.8190000000004</v>
      </c>
      <c r="E3407" s="608"/>
      <c r="F3407" s="760">
        <f t="shared" si="108"/>
        <v>3084.8196200734587</v>
      </c>
      <c r="M3407" s="443"/>
    </row>
    <row r="3408" spans="1:13">
      <c r="A3408" s="639">
        <v>52113</v>
      </c>
      <c r="B3408" s="639">
        <v>2100</v>
      </c>
      <c r="C3408" s="638">
        <v>7380.9740000000002</v>
      </c>
      <c r="D3408" s="633">
        <f t="shared" si="109"/>
        <v>7380.9740000000002</v>
      </c>
      <c r="E3408" s="608"/>
      <c r="F3408" s="760">
        <f t="shared" si="108"/>
        <v>3113.9957663684067</v>
      </c>
      <c r="M3408" s="443"/>
    </row>
    <row r="3409" spans="1:13">
      <c r="A3409" s="639">
        <v>52113</v>
      </c>
      <c r="B3409" s="639">
        <v>2200</v>
      </c>
      <c r="C3409" s="638">
        <v>6657.2579999999998</v>
      </c>
      <c r="D3409" s="633">
        <f t="shared" si="109"/>
        <v>6657.2579999999998</v>
      </c>
      <c r="E3409" s="608"/>
      <c r="F3409" s="760">
        <f t="shared" si="108"/>
        <v>2808.6636299792149</v>
      </c>
      <c r="M3409" s="443"/>
    </row>
    <row r="3410" spans="1:13">
      <c r="A3410" s="639">
        <v>52113</v>
      </c>
      <c r="B3410" s="639">
        <v>2300</v>
      </c>
      <c r="C3410" s="638">
        <v>5525.5370000000003</v>
      </c>
      <c r="D3410" s="633">
        <f t="shared" si="109"/>
        <v>5525.5370000000003</v>
      </c>
      <c r="E3410" s="608"/>
      <c r="F3410" s="760">
        <f t="shared" si="108"/>
        <v>2331.1962384519966</v>
      </c>
      <c r="M3410" s="443"/>
    </row>
    <row r="3411" spans="1:13">
      <c r="A3411" s="639">
        <v>52113</v>
      </c>
      <c r="B3411" s="639">
        <v>2400</v>
      </c>
      <c r="C3411" s="638">
        <v>4695.7719999999999</v>
      </c>
      <c r="D3411" s="633">
        <f t="shared" si="109"/>
        <v>4695.7719999999999</v>
      </c>
      <c r="E3411" s="608"/>
      <c r="F3411" s="760">
        <f t="shared" si="108"/>
        <v>1981.1225629342828</v>
      </c>
      <c r="M3411" s="443"/>
    </row>
    <row r="3412" spans="1:13">
      <c r="A3412" s="639">
        <v>52213</v>
      </c>
      <c r="B3412" s="639">
        <v>100</v>
      </c>
      <c r="C3412" s="638">
        <v>4314.5119999999997</v>
      </c>
      <c r="D3412" s="633">
        <f t="shared" si="109"/>
        <v>4314.5119999999997</v>
      </c>
      <c r="E3412" s="608"/>
      <c r="F3412" s="760">
        <f t="shared" si="108"/>
        <v>1820.2708886314579</v>
      </c>
      <c r="M3412" s="443"/>
    </row>
    <row r="3413" spans="1:13">
      <c r="A3413" s="639">
        <v>52213</v>
      </c>
      <c r="B3413" s="639">
        <v>200</v>
      </c>
      <c r="C3413" s="638">
        <v>4113.3119999999999</v>
      </c>
      <c r="D3413" s="633">
        <f t="shared" si="109"/>
        <v>4113.3119999999999</v>
      </c>
      <c r="E3413" s="608"/>
      <c r="F3413" s="760">
        <f t="shared" si="108"/>
        <v>1735.385621701467</v>
      </c>
      <c r="M3413" s="443"/>
    </row>
    <row r="3414" spans="1:13">
      <c r="A3414" s="639">
        <v>52213</v>
      </c>
      <c r="B3414" s="639">
        <v>300</v>
      </c>
      <c r="C3414" s="638">
        <v>4224.7610000000004</v>
      </c>
      <c r="D3414" s="633">
        <f t="shared" si="109"/>
        <v>4224.7610000000004</v>
      </c>
      <c r="E3414" s="608"/>
      <c r="F3414" s="760">
        <f t="shared" si="108"/>
        <v>1782.4053936402374</v>
      </c>
      <c r="M3414" s="443"/>
    </row>
    <row r="3415" spans="1:13">
      <c r="A3415" s="639">
        <v>52213</v>
      </c>
      <c r="B3415" s="639">
        <v>400</v>
      </c>
      <c r="C3415" s="638">
        <v>4214.47</v>
      </c>
      <c r="D3415" s="633">
        <f t="shared" si="109"/>
        <v>4214.47</v>
      </c>
      <c r="E3415" s="608"/>
      <c r="F3415" s="760">
        <f t="shared" si="108"/>
        <v>1778.063672556855</v>
      </c>
      <c r="M3415" s="443"/>
    </row>
    <row r="3416" spans="1:13">
      <c r="A3416" s="639">
        <v>52213</v>
      </c>
      <c r="B3416" s="639">
        <v>500</v>
      </c>
      <c r="C3416" s="638">
        <v>4524.4369999999999</v>
      </c>
      <c r="D3416" s="633">
        <f t="shared" si="109"/>
        <v>4524.4369999999999</v>
      </c>
      <c r="E3416" s="608"/>
      <c r="F3416" s="760">
        <f t="shared" si="108"/>
        <v>1908.8371891298593</v>
      </c>
      <c r="M3416" s="443"/>
    </row>
    <row r="3417" spans="1:13">
      <c r="A3417" s="639">
        <v>52213</v>
      </c>
      <c r="B3417" s="639">
        <v>600</v>
      </c>
      <c r="C3417" s="638">
        <v>5174.3360000000002</v>
      </c>
      <c r="D3417" s="633">
        <f t="shared" si="109"/>
        <v>5174.3360000000002</v>
      </c>
      <c r="E3417" s="608"/>
      <c r="F3417" s="760">
        <f t="shared" si="108"/>
        <v>2183.0263048979223</v>
      </c>
      <c r="M3417" s="443"/>
    </row>
    <row r="3418" spans="1:13">
      <c r="A3418" s="639">
        <v>52213</v>
      </c>
      <c r="B3418" s="639">
        <v>700</v>
      </c>
      <c r="C3418" s="638">
        <v>5741.268</v>
      </c>
      <c r="D3418" s="633">
        <f t="shared" si="109"/>
        <v>5741.268</v>
      </c>
      <c r="E3418" s="608"/>
      <c r="F3418" s="760">
        <f t="shared" si="108"/>
        <v>2422.2120611163796</v>
      </c>
      <c r="M3418" s="443"/>
    </row>
    <row r="3419" spans="1:13">
      <c r="A3419" s="639">
        <v>52213</v>
      </c>
      <c r="B3419" s="639">
        <v>800</v>
      </c>
      <c r="C3419" s="638">
        <v>5547.3119999999999</v>
      </c>
      <c r="D3419" s="633">
        <f t="shared" si="109"/>
        <v>5547.3119999999999</v>
      </c>
      <c r="E3419" s="608"/>
      <c r="F3419" s="760">
        <f t="shared" si="108"/>
        <v>2340.38300131184</v>
      </c>
      <c r="M3419" s="443"/>
    </row>
    <row r="3420" spans="1:13">
      <c r="A3420" s="639">
        <v>52213</v>
      </c>
      <c r="B3420" s="639">
        <v>900</v>
      </c>
      <c r="C3420" s="638">
        <v>5579.16</v>
      </c>
      <c r="D3420" s="633">
        <f t="shared" si="109"/>
        <v>5579.16</v>
      </c>
      <c r="E3420" s="608"/>
      <c r="F3420" s="760">
        <f t="shared" ref="F3420:F3483" si="110">(D3420/(MAX($D$2908:$D$3651)))*$M$8</f>
        <v>2353.8195121527265</v>
      </c>
      <c r="M3420" s="443"/>
    </row>
    <row r="3421" spans="1:13">
      <c r="A3421" s="639">
        <v>52213</v>
      </c>
      <c r="B3421" s="639">
        <v>1000</v>
      </c>
      <c r="C3421" s="638">
        <v>5463.3549999999996</v>
      </c>
      <c r="D3421" s="633">
        <f t="shared" si="109"/>
        <v>5463.3549999999996</v>
      </c>
      <c r="E3421" s="608"/>
      <c r="F3421" s="760">
        <f t="shared" si="110"/>
        <v>2304.9619657470225</v>
      </c>
      <c r="M3421" s="443"/>
    </row>
    <row r="3422" spans="1:13">
      <c r="A3422" s="639">
        <v>52213</v>
      </c>
      <c r="B3422" s="639">
        <v>1100</v>
      </c>
      <c r="C3422" s="638">
        <v>5449.7730000000001</v>
      </c>
      <c r="D3422" s="633">
        <f t="shared" si="109"/>
        <v>5449.7730000000001</v>
      </c>
      <c r="E3422" s="608"/>
      <c r="F3422" s="760">
        <f t="shared" si="110"/>
        <v>2299.2317883342835</v>
      </c>
      <c r="M3422" s="443"/>
    </row>
    <row r="3423" spans="1:13">
      <c r="A3423" s="639">
        <v>52213</v>
      </c>
      <c r="B3423" s="639">
        <v>1200</v>
      </c>
      <c r="C3423" s="638">
        <v>5525.0439999999999</v>
      </c>
      <c r="D3423" s="633">
        <f t="shared" si="109"/>
        <v>5525.0439999999999</v>
      </c>
      <c r="E3423" s="608"/>
      <c r="F3423" s="760">
        <f t="shared" si="110"/>
        <v>2330.9882442343201</v>
      </c>
      <c r="M3423" s="443"/>
    </row>
    <row r="3424" spans="1:13">
      <c r="A3424" s="639">
        <v>52213</v>
      </c>
      <c r="B3424" s="639">
        <v>1300</v>
      </c>
      <c r="C3424" s="638">
        <v>5615.5460000000003</v>
      </c>
      <c r="D3424" s="633">
        <f t="shared" si="109"/>
        <v>5615.5460000000003</v>
      </c>
      <c r="E3424" s="608"/>
      <c r="F3424" s="760">
        <f t="shared" si="110"/>
        <v>2369.1705823441512</v>
      </c>
      <c r="M3424" s="443"/>
    </row>
    <row r="3425" spans="1:13">
      <c r="A3425" s="639">
        <v>52213</v>
      </c>
      <c r="B3425" s="639">
        <v>1400</v>
      </c>
      <c r="C3425" s="638">
        <v>5752.1989999999996</v>
      </c>
      <c r="D3425" s="633">
        <f t="shared" si="109"/>
        <v>5752.1989999999996</v>
      </c>
      <c r="E3425" s="608"/>
      <c r="F3425" s="760">
        <f t="shared" si="110"/>
        <v>2426.8237949772729</v>
      </c>
      <c r="M3425" s="443"/>
    </row>
    <row r="3426" spans="1:13">
      <c r="A3426" s="639">
        <v>52213</v>
      </c>
      <c r="B3426" s="639">
        <v>1500</v>
      </c>
      <c r="C3426" s="638">
        <v>6026.5919999999996</v>
      </c>
      <c r="D3426" s="633">
        <f t="shared" si="109"/>
        <v>6026.5919999999996</v>
      </c>
      <c r="E3426" s="608"/>
      <c r="F3426" s="760">
        <f t="shared" si="110"/>
        <v>2542.5888200703198</v>
      </c>
      <c r="M3426" s="443"/>
    </row>
    <row r="3427" spans="1:13">
      <c r="A3427" s="639">
        <v>52213</v>
      </c>
      <c r="B3427" s="639">
        <v>1600</v>
      </c>
      <c r="C3427" s="638">
        <v>6524.0190000000002</v>
      </c>
      <c r="D3427" s="633">
        <f t="shared" si="109"/>
        <v>6524.0190000000002</v>
      </c>
      <c r="E3427" s="608"/>
      <c r="F3427" s="760">
        <f t="shared" si="110"/>
        <v>2752.4507667561284</v>
      </c>
      <c r="M3427" s="443"/>
    </row>
    <row r="3428" spans="1:13">
      <c r="A3428" s="639">
        <v>52213</v>
      </c>
      <c r="B3428" s="639">
        <v>1700</v>
      </c>
      <c r="C3428" s="638">
        <v>7121.2910000000002</v>
      </c>
      <c r="D3428" s="633">
        <f t="shared" si="109"/>
        <v>7121.2910000000002</v>
      </c>
      <c r="E3428" s="608"/>
      <c r="F3428" s="760">
        <f t="shared" si="110"/>
        <v>3004.436816208462</v>
      </c>
      <c r="M3428" s="443"/>
    </row>
    <row r="3429" spans="1:13">
      <c r="A3429" s="639">
        <v>52213</v>
      </c>
      <c r="B3429" s="639">
        <v>1800</v>
      </c>
      <c r="C3429" s="638">
        <v>7046.2839999999997</v>
      </c>
      <c r="D3429" s="633">
        <f t="shared" si="109"/>
        <v>7046.2839999999997</v>
      </c>
      <c r="E3429" s="608"/>
      <c r="F3429" s="760">
        <f t="shared" si="110"/>
        <v>2972.7917405791486</v>
      </c>
      <c r="M3429" s="443"/>
    </row>
    <row r="3430" spans="1:13">
      <c r="A3430" s="639">
        <v>52213</v>
      </c>
      <c r="B3430" s="639">
        <v>1900</v>
      </c>
      <c r="C3430" s="638">
        <v>7068.7139999999999</v>
      </c>
      <c r="D3430" s="633">
        <f t="shared" si="109"/>
        <v>7068.7139999999999</v>
      </c>
      <c r="E3430" s="608"/>
      <c r="F3430" s="760">
        <f t="shared" si="110"/>
        <v>2982.2548446409764</v>
      </c>
      <c r="M3430" s="443"/>
    </row>
    <row r="3431" spans="1:13">
      <c r="A3431" s="639">
        <v>52213</v>
      </c>
      <c r="B3431" s="639">
        <v>2000</v>
      </c>
      <c r="C3431" s="638">
        <v>7177.4219999999996</v>
      </c>
      <c r="D3431" s="633">
        <f t="shared" si="109"/>
        <v>7177.4219999999996</v>
      </c>
      <c r="E3431" s="608"/>
      <c r="F3431" s="760">
        <f t="shared" si="110"/>
        <v>3028.1182024810628</v>
      </c>
      <c r="M3431" s="443"/>
    </row>
    <row r="3432" spans="1:13">
      <c r="A3432" s="639">
        <v>52213</v>
      </c>
      <c r="B3432" s="639">
        <v>2100</v>
      </c>
      <c r="C3432" s="638">
        <v>7513.9539999999997</v>
      </c>
      <c r="D3432" s="633">
        <f t="shared" si="109"/>
        <v>7513.9539999999997</v>
      </c>
      <c r="E3432" s="608"/>
      <c r="F3432" s="760">
        <f t="shared" si="110"/>
        <v>3170.0993587955945</v>
      </c>
      <c r="M3432" s="443"/>
    </row>
    <row r="3433" spans="1:13">
      <c r="A3433" s="639">
        <v>52213</v>
      </c>
      <c r="B3433" s="639">
        <v>2200</v>
      </c>
      <c r="C3433" s="638">
        <v>6726.442</v>
      </c>
      <c r="D3433" s="633">
        <f t="shared" si="109"/>
        <v>6726.442</v>
      </c>
      <c r="E3433" s="608"/>
      <c r="F3433" s="760">
        <f t="shared" si="110"/>
        <v>2837.852011228144</v>
      </c>
      <c r="M3433" s="443"/>
    </row>
    <row r="3434" spans="1:13">
      <c r="A3434" s="639">
        <v>52213</v>
      </c>
      <c r="B3434" s="639">
        <v>2300</v>
      </c>
      <c r="C3434" s="638">
        <v>5674.4219999999996</v>
      </c>
      <c r="D3434" s="633">
        <f t="shared" si="109"/>
        <v>5674.4219999999996</v>
      </c>
      <c r="E3434" s="608"/>
      <c r="F3434" s="760">
        <f t="shared" si="110"/>
        <v>2394.010070295295</v>
      </c>
      <c r="M3434" s="443"/>
    </row>
    <row r="3435" spans="1:13">
      <c r="A3435" s="639">
        <v>52213</v>
      </c>
      <c r="B3435" s="639">
        <v>2400</v>
      </c>
      <c r="C3435" s="638">
        <v>4744.1419999999998</v>
      </c>
      <c r="D3435" s="633">
        <f t="shared" si="109"/>
        <v>4744.1419999999998</v>
      </c>
      <c r="E3435" s="608"/>
      <c r="F3435" s="760">
        <f t="shared" si="110"/>
        <v>2001.5296223845994</v>
      </c>
      <c r="M3435" s="443"/>
    </row>
    <row r="3436" spans="1:13">
      <c r="A3436" s="639">
        <v>52313</v>
      </c>
      <c r="B3436" s="639">
        <v>100</v>
      </c>
      <c r="C3436" s="638">
        <v>4285.4219999999996</v>
      </c>
      <c r="D3436" s="633">
        <f t="shared" si="109"/>
        <v>4285.4219999999996</v>
      </c>
      <c r="E3436" s="608"/>
      <c r="F3436" s="760">
        <f t="shared" si="110"/>
        <v>1807.9979641036575</v>
      </c>
      <c r="M3436" s="443"/>
    </row>
    <row r="3437" spans="1:13">
      <c r="A3437" s="639">
        <v>52313</v>
      </c>
      <c r="B3437" s="639">
        <v>200</v>
      </c>
      <c r="C3437" s="638">
        <v>4078.3690000000001</v>
      </c>
      <c r="D3437" s="633">
        <f t="shared" si="109"/>
        <v>4078.3690000000001</v>
      </c>
      <c r="E3437" s="608"/>
      <c r="F3437" s="760">
        <f t="shared" si="110"/>
        <v>1720.6433459443365</v>
      </c>
      <c r="M3437" s="443"/>
    </row>
    <row r="3438" spans="1:13">
      <c r="A3438" s="639">
        <v>52313</v>
      </c>
      <c r="B3438" s="639">
        <v>300</v>
      </c>
      <c r="C3438" s="638">
        <v>3983.0140000000001</v>
      </c>
      <c r="D3438" s="633">
        <f t="shared" si="109"/>
        <v>3983.0140000000001</v>
      </c>
      <c r="E3438" s="608"/>
      <c r="F3438" s="760">
        <f t="shared" si="110"/>
        <v>1680.4135515700357</v>
      </c>
      <c r="M3438" s="443"/>
    </row>
    <row r="3439" spans="1:13">
      <c r="A3439" s="639">
        <v>52313</v>
      </c>
      <c r="B3439" s="639">
        <v>400</v>
      </c>
      <c r="C3439" s="638">
        <v>4018.2350000000001</v>
      </c>
      <c r="D3439" s="633">
        <f t="shared" si="109"/>
        <v>4018.2350000000001</v>
      </c>
      <c r="E3439" s="608"/>
      <c r="F3439" s="760">
        <f t="shared" si="110"/>
        <v>1695.2731141273978</v>
      </c>
      <c r="M3439" s="443"/>
    </row>
    <row r="3440" spans="1:13">
      <c r="A3440" s="639">
        <v>52313</v>
      </c>
      <c r="B3440" s="639">
        <v>500</v>
      </c>
      <c r="C3440" s="638">
        <v>4296.2179999999998</v>
      </c>
      <c r="D3440" s="633">
        <f t="shared" si="109"/>
        <v>4296.2179999999998</v>
      </c>
      <c r="E3440" s="608"/>
      <c r="F3440" s="760">
        <f t="shared" si="110"/>
        <v>1812.5527421442946</v>
      </c>
      <c r="M3440" s="443"/>
    </row>
    <row r="3441" spans="1:13">
      <c r="A3441" s="639">
        <v>52313</v>
      </c>
      <c r="B3441" s="639">
        <v>600</v>
      </c>
      <c r="C3441" s="638">
        <v>4936.1689999999999</v>
      </c>
      <c r="D3441" s="633">
        <f t="shared" si="109"/>
        <v>4936.1689999999999</v>
      </c>
      <c r="E3441" s="608"/>
      <c r="F3441" s="760">
        <f t="shared" si="110"/>
        <v>2082.5448468019222</v>
      </c>
      <c r="M3441" s="443"/>
    </row>
    <row r="3442" spans="1:13">
      <c r="A3442" s="639">
        <v>52313</v>
      </c>
      <c r="B3442" s="639">
        <v>700</v>
      </c>
      <c r="C3442" s="638">
        <v>5584.335</v>
      </c>
      <c r="D3442" s="633">
        <f t="shared" si="109"/>
        <v>5584.335</v>
      </c>
      <c r="E3442" s="608"/>
      <c r="F3442" s="760">
        <f t="shared" si="110"/>
        <v>2356.0028185958813</v>
      </c>
      <c r="M3442" s="443"/>
    </row>
    <row r="3443" spans="1:13">
      <c r="A3443" s="639">
        <v>52313</v>
      </c>
      <c r="B3443" s="639">
        <v>800</v>
      </c>
      <c r="C3443" s="638">
        <v>5585.3059999999996</v>
      </c>
      <c r="D3443" s="633">
        <f t="shared" si="109"/>
        <v>5585.3059999999996</v>
      </c>
      <c r="E3443" s="608"/>
      <c r="F3443" s="760">
        <f t="shared" si="110"/>
        <v>2356.4124786067609</v>
      </c>
      <c r="M3443" s="443"/>
    </row>
    <row r="3444" spans="1:13">
      <c r="A3444" s="639">
        <v>52313</v>
      </c>
      <c r="B3444" s="639">
        <v>900</v>
      </c>
      <c r="C3444" s="638">
        <v>5513.9610000000002</v>
      </c>
      <c r="D3444" s="633">
        <f t="shared" si="109"/>
        <v>5513.9610000000002</v>
      </c>
      <c r="E3444" s="608"/>
      <c r="F3444" s="760">
        <f t="shared" si="110"/>
        <v>2326.3123823387682</v>
      </c>
      <c r="M3444" s="443"/>
    </row>
    <row r="3445" spans="1:13">
      <c r="A3445" s="639">
        <v>52313</v>
      </c>
      <c r="B3445" s="639">
        <v>1000</v>
      </c>
      <c r="C3445" s="638">
        <v>5408.1570000000002</v>
      </c>
      <c r="D3445" s="633">
        <f t="shared" si="109"/>
        <v>5408.1570000000002</v>
      </c>
      <c r="E3445" s="608"/>
      <c r="F3445" s="760">
        <f t="shared" si="110"/>
        <v>2281.6742074766371</v>
      </c>
      <c r="M3445" s="443"/>
    </row>
    <row r="3446" spans="1:13">
      <c r="A3446" s="639">
        <v>52313</v>
      </c>
      <c r="B3446" s="639">
        <v>1100</v>
      </c>
      <c r="C3446" s="638">
        <v>5435.6409999999996</v>
      </c>
      <c r="D3446" s="633">
        <f t="shared" si="109"/>
        <v>5435.6409999999996</v>
      </c>
      <c r="E3446" s="608"/>
      <c r="F3446" s="760">
        <f t="shared" si="110"/>
        <v>2293.269568690871</v>
      </c>
      <c r="M3446" s="443"/>
    </row>
    <row r="3447" spans="1:13">
      <c r="A3447" s="639">
        <v>52313</v>
      </c>
      <c r="B3447" s="639">
        <v>1200</v>
      </c>
      <c r="C3447" s="638">
        <v>5439.7950000000001</v>
      </c>
      <c r="D3447" s="633">
        <f t="shared" si="109"/>
        <v>5439.7950000000001</v>
      </c>
      <c r="E3447" s="608"/>
      <c r="F3447" s="760">
        <f t="shared" si="110"/>
        <v>2295.0221203749024</v>
      </c>
      <c r="M3447" s="443"/>
    </row>
    <row r="3448" spans="1:13">
      <c r="A3448" s="639">
        <v>52313</v>
      </c>
      <c r="B3448" s="639">
        <v>1300</v>
      </c>
      <c r="C3448" s="638">
        <v>5762.5640000000003</v>
      </c>
      <c r="D3448" s="633">
        <f t="shared" si="109"/>
        <v>5762.5640000000003</v>
      </c>
      <c r="E3448" s="608"/>
      <c r="F3448" s="760">
        <f t="shared" si="110"/>
        <v>2431.196736288055</v>
      </c>
      <c r="M3448" s="443"/>
    </row>
    <row r="3449" spans="1:13">
      <c r="A3449" s="639">
        <v>52313</v>
      </c>
      <c r="B3449" s="639">
        <v>1400</v>
      </c>
      <c r="C3449" s="638">
        <v>5598.07</v>
      </c>
      <c r="D3449" s="633">
        <f t="shared" si="109"/>
        <v>5598.07</v>
      </c>
      <c r="E3449" s="608"/>
      <c r="F3449" s="760">
        <f t="shared" si="110"/>
        <v>2361.7975459382442</v>
      </c>
      <c r="M3449" s="443"/>
    </row>
    <row r="3450" spans="1:13">
      <c r="A3450" s="639">
        <v>52313</v>
      </c>
      <c r="B3450" s="639">
        <v>1500</v>
      </c>
      <c r="C3450" s="638">
        <v>5477.5519999999997</v>
      </c>
      <c r="D3450" s="633">
        <f t="shared" si="109"/>
        <v>5477.5519999999997</v>
      </c>
      <c r="E3450" s="608"/>
      <c r="F3450" s="760">
        <f t="shared" si="110"/>
        <v>2310.9516085631512</v>
      </c>
      <c r="M3450" s="443"/>
    </row>
    <row r="3451" spans="1:13">
      <c r="A3451" s="639">
        <v>52313</v>
      </c>
      <c r="B3451" s="639">
        <v>1600</v>
      </c>
      <c r="C3451" s="638">
        <v>5445.4970000000003</v>
      </c>
      <c r="D3451" s="633">
        <f t="shared" si="109"/>
        <v>5445.4970000000003</v>
      </c>
      <c r="E3451" s="608"/>
      <c r="F3451" s="760">
        <f t="shared" si="110"/>
        <v>2297.4277654645393</v>
      </c>
      <c r="M3451" s="443"/>
    </row>
    <row r="3452" spans="1:13">
      <c r="A3452" s="639">
        <v>52313</v>
      </c>
      <c r="B3452" s="639">
        <v>1700</v>
      </c>
      <c r="C3452" s="638">
        <v>5775.0230000000001</v>
      </c>
      <c r="D3452" s="633">
        <f t="shared" si="109"/>
        <v>5775.0230000000001</v>
      </c>
      <c r="E3452" s="608"/>
      <c r="F3452" s="760">
        <f t="shared" si="110"/>
        <v>2436.4531256552559</v>
      </c>
      <c r="M3452" s="443"/>
    </row>
    <row r="3453" spans="1:13">
      <c r="A3453" s="639">
        <v>52313</v>
      </c>
      <c r="B3453" s="639">
        <v>1800</v>
      </c>
      <c r="C3453" s="638">
        <v>6215.8549999999996</v>
      </c>
      <c r="D3453" s="633">
        <f t="shared" si="109"/>
        <v>6215.8549999999996</v>
      </c>
      <c r="E3453" s="608"/>
      <c r="F3453" s="760">
        <f t="shared" si="110"/>
        <v>2622.4379268047674</v>
      </c>
      <c r="M3453" s="443"/>
    </row>
    <row r="3454" spans="1:13">
      <c r="A3454" s="639">
        <v>52313</v>
      </c>
      <c r="B3454" s="639">
        <v>1900</v>
      </c>
      <c r="C3454" s="638">
        <v>6512.8450000000003</v>
      </c>
      <c r="D3454" s="633">
        <f t="shared" si="109"/>
        <v>6512.8450000000003</v>
      </c>
      <c r="E3454" s="608"/>
      <c r="F3454" s="760">
        <f t="shared" si="110"/>
        <v>2747.7365124187736</v>
      </c>
      <c r="M3454" s="443"/>
    </row>
    <row r="3455" spans="1:13">
      <c r="A3455" s="639">
        <v>52313</v>
      </c>
      <c r="B3455" s="639">
        <v>2000</v>
      </c>
      <c r="C3455" s="638">
        <v>6803.2380000000003</v>
      </c>
      <c r="D3455" s="633">
        <f t="shared" si="109"/>
        <v>6803.2380000000003</v>
      </c>
      <c r="E3455" s="608"/>
      <c r="F3455" s="760">
        <f t="shared" si="110"/>
        <v>2870.2518569495933</v>
      </c>
      <c r="M3455" s="443"/>
    </row>
    <row r="3456" spans="1:13">
      <c r="A3456" s="639">
        <v>52313</v>
      </c>
      <c r="B3456" s="639">
        <v>2100</v>
      </c>
      <c r="C3456" s="638">
        <v>6764.7650000000003</v>
      </c>
      <c r="D3456" s="633">
        <f t="shared" si="109"/>
        <v>6764.7650000000003</v>
      </c>
      <c r="E3456" s="608"/>
      <c r="F3456" s="760">
        <f t="shared" si="110"/>
        <v>2854.0202919665039</v>
      </c>
      <c r="M3456" s="443"/>
    </row>
    <row r="3457" spans="1:13">
      <c r="A3457" s="639">
        <v>52313</v>
      </c>
      <c r="B3457" s="639">
        <v>2200</v>
      </c>
      <c r="C3457" s="638">
        <v>6138.4870000000001</v>
      </c>
      <c r="D3457" s="633">
        <f t="shared" si="109"/>
        <v>6138.4870000000001</v>
      </c>
      <c r="E3457" s="608"/>
      <c r="F3457" s="760">
        <f t="shared" si="110"/>
        <v>2589.7967571634181</v>
      </c>
      <c r="M3457" s="443"/>
    </row>
    <row r="3458" spans="1:13">
      <c r="A3458" s="639">
        <v>52313</v>
      </c>
      <c r="B3458" s="639">
        <v>2300</v>
      </c>
      <c r="C3458" s="638">
        <v>5178.3670000000002</v>
      </c>
      <c r="D3458" s="633">
        <f t="shared" si="109"/>
        <v>5178.3670000000002</v>
      </c>
      <c r="E3458" s="608"/>
      <c r="F3458" s="760">
        <f t="shared" si="110"/>
        <v>2184.7269635012763</v>
      </c>
      <c r="M3458" s="443"/>
    </row>
    <row r="3459" spans="1:13">
      <c r="A3459" s="639">
        <v>52313</v>
      </c>
      <c r="B3459" s="639">
        <v>2400</v>
      </c>
      <c r="C3459" s="638">
        <v>4600.3599999999997</v>
      </c>
      <c r="D3459" s="633">
        <f t="shared" si="109"/>
        <v>4600.3599999999997</v>
      </c>
      <c r="E3459" s="608"/>
      <c r="F3459" s="760">
        <f t="shared" si="110"/>
        <v>1940.8687205469851</v>
      </c>
      <c r="M3459" s="443"/>
    </row>
    <row r="3460" spans="1:13">
      <c r="A3460" s="639">
        <v>52413</v>
      </c>
      <c r="B3460" s="639">
        <v>100</v>
      </c>
      <c r="C3460" s="638">
        <v>4342.0110000000004</v>
      </c>
      <c r="D3460" s="633">
        <f t="shared" si="109"/>
        <v>4342.0110000000004</v>
      </c>
      <c r="E3460" s="608"/>
      <c r="F3460" s="760">
        <f t="shared" si="110"/>
        <v>1831.8725782701649</v>
      </c>
      <c r="M3460" s="443"/>
    </row>
    <row r="3461" spans="1:13">
      <c r="A3461" s="639">
        <v>52413</v>
      </c>
      <c r="B3461" s="639">
        <v>200</v>
      </c>
      <c r="C3461" s="638">
        <v>4322.53</v>
      </c>
      <c r="D3461" s="633">
        <f t="shared" ref="D3461:D3524" si="111">C3461</f>
        <v>4322.53</v>
      </c>
      <c r="E3461" s="608"/>
      <c r="F3461" s="760">
        <f t="shared" si="110"/>
        <v>1823.6536424597118</v>
      </c>
      <c r="M3461" s="443"/>
    </row>
    <row r="3462" spans="1:13">
      <c r="A3462" s="639">
        <v>52413</v>
      </c>
      <c r="B3462" s="639">
        <v>300</v>
      </c>
      <c r="C3462" s="638">
        <v>4474.5950000000003</v>
      </c>
      <c r="D3462" s="633">
        <f t="shared" si="111"/>
        <v>4474.5950000000003</v>
      </c>
      <c r="E3462" s="608"/>
      <c r="F3462" s="760">
        <f t="shared" si="110"/>
        <v>1887.8091002912681</v>
      </c>
      <c r="M3462" s="443"/>
    </row>
    <row r="3463" spans="1:13">
      <c r="A3463" s="639">
        <v>52413</v>
      </c>
      <c r="B3463" s="639">
        <v>400</v>
      </c>
      <c r="C3463" s="638">
        <v>4598.5659999999998</v>
      </c>
      <c r="D3463" s="633">
        <f t="shared" si="111"/>
        <v>4598.5659999999998</v>
      </c>
      <c r="E3463" s="608"/>
      <c r="F3463" s="760">
        <f t="shared" si="110"/>
        <v>1940.1118409800247</v>
      </c>
      <c r="M3463" s="443"/>
    </row>
    <row r="3464" spans="1:13">
      <c r="A3464" s="639">
        <v>52413</v>
      </c>
      <c r="B3464" s="639">
        <v>500</v>
      </c>
      <c r="C3464" s="638">
        <v>5026.1580000000004</v>
      </c>
      <c r="D3464" s="633">
        <f t="shared" si="111"/>
        <v>5026.1580000000004</v>
      </c>
      <c r="E3464" s="608"/>
      <c r="F3464" s="760">
        <f t="shared" si="110"/>
        <v>2120.5107527947798</v>
      </c>
      <c r="M3464" s="443"/>
    </row>
    <row r="3465" spans="1:13">
      <c r="A3465" s="639">
        <v>52413</v>
      </c>
      <c r="B3465" s="639">
        <v>600</v>
      </c>
      <c r="C3465" s="638">
        <v>5679.8360000000002</v>
      </c>
      <c r="D3465" s="633">
        <f t="shared" si="111"/>
        <v>5679.8360000000002</v>
      </c>
      <c r="E3465" s="608"/>
      <c r="F3465" s="760">
        <f t="shared" si="110"/>
        <v>2396.2942096350516</v>
      </c>
      <c r="M3465" s="443"/>
    </row>
    <row r="3466" spans="1:13">
      <c r="A3466" s="639">
        <v>52413</v>
      </c>
      <c r="B3466" s="639">
        <v>700</v>
      </c>
      <c r="C3466" s="638">
        <v>6104.1629999999996</v>
      </c>
      <c r="D3466" s="633">
        <f t="shared" si="111"/>
        <v>6104.1629999999996</v>
      </c>
      <c r="E3466" s="608"/>
      <c r="F3466" s="760">
        <f t="shared" si="110"/>
        <v>2575.3156343895357</v>
      </c>
      <c r="M3466" s="443"/>
    </row>
    <row r="3467" spans="1:13">
      <c r="A3467" s="639">
        <v>52413</v>
      </c>
      <c r="B3467" s="639">
        <v>800</v>
      </c>
      <c r="C3467" s="638">
        <v>6077.0810000000001</v>
      </c>
      <c r="D3467" s="633">
        <f t="shared" si="111"/>
        <v>6077.0810000000001</v>
      </c>
      <c r="E3467" s="608"/>
      <c r="F3467" s="760">
        <f t="shared" si="110"/>
        <v>2563.8898749511759</v>
      </c>
      <c r="M3467" s="443"/>
    </row>
    <row r="3468" spans="1:13">
      <c r="A3468" s="639">
        <v>52413</v>
      </c>
      <c r="B3468" s="639">
        <v>900</v>
      </c>
      <c r="C3468" s="638">
        <v>6024.5919999999996</v>
      </c>
      <c r="D3468" s="633">
        <f t="shared" si="111"/>
        <v>6024.5919999999996</v>
      </c>
      <c r="E3468" s="608"/>
      <c r="F3468" s="760">
        <f t="shared" si="110"/>
        <v>2541.7450301405979</v>
      </c>
      <c r="M3468" s="443"/>
    </row>
    <row r="3469" spans="1:13">
      <c r="A3469" s="639">
        <v>52413</v>
      </c>
      <c r="B3469" s="639">
        <v>1000</v>
      </c>
      <c r="C3469" s="638">
        <v>5799.3220000000001</v>
      </c>
      <c r="D3469" s="633">
        <f t="shared" si="111"/>
        <v>5799.3220000000001</v>
      </c>
      <c r="E3469" s="608"/>
      <c r="F3469" s="760">
        <f t="shared" si="110"/>
        <v>2446.7047514064084</v>
      </c>
      <c r="M3469" s="443"/>
    </row>
    <row r="3470" spans="1:13">
      <c r="A3470" s="639">
        <v>52413</v>
      </c>
      <c r="B3470" s="639">
        <v>1100</v>
      </c>
      <c r="C3470" s="638">
        <v>5485.6779999999999</v>
      </c>
      <c r="D3470" s="633">
        <f t="shared" si="111"/>
        <v>5485.6779999999999</v>
      </c>
      <c r="E3470" s="608"/>
      <c r="F3470" s="760">
        <f t="shared" si="110"/>
        <v>2314.3799270476102</v>
      </c>
      <c r="M3470" s="443"/>
    </row>
    <row r="3471" spans="1:13">
      <c r="A3471" s="639">
        <v>52413</v>
      </c>
      <c r="B3471" s="639">
        <v>1200</v>
      </c>
      <c r="C3471" s="638">
        <v>5287.5119999999997</v>
      </c>
      <c r="D3471" s="633">
        <f t="shared" si="111"/>
        <v>5287.5119999999997</v>
      </c>
      <c r="E3471" s="608"/>
      <c r="F3471" s="760">
        <f t="shared" si="110"/>
        <v>2230.774689441007</v>
      </c>
      <c r="M3471" s="443"/>
    </row>
    <row r="3472" spans="1:13">
      <c r="A3472" s="639">
        <v>52413</v>
      </c>
      <c r="B3472" s="639">
        <v>1300</v>
      </c>
      <c r="C3472" s="638">
        <v>5152.0360000000001</v>
      </c>
      <c r="D3472" s="633">
        <f t="shared" si="111"/>
        <v>5152.0360000000001</v>
      </c>
      <c r="E3472" s="608"/>
      <c r="F3472" s="760">
        <f t="shared" si="110"/>
        <v>2173.6180471815264</v>
      </c>
      <c r="M3472" s="443"/>
    </row>
    <row r="3473" spans="1:13">
      <c r="A3473" s="639">
        <v>52413</v>
      </c>
      <c r="B3473" s="639">
        <v>1400</v>
      </c>
      <c r="C3473" s="638">
        <v>5078.9470000000001</v>
      </c>
      <c r="D3473" s="633">
        <f t="shared" si="111"/>
        <v>5078.9470000000001</v>
      </c>
      <c r="E3473" s="608"/>
      <c r="F3473" s="760">
        <f t="shared" si="110"/>
        <v>2142.7821660948161</v>
      </c>
      <c r="M3473" s="443"/>
    </row>
    <row r="3474" spans="1:13">
      <c r="A3474" s="639">
        <v>52413</v>
      </c>
      <c r="B3474" s="639">
        <v>1500</v>
      </c>
      <c r="C3474" s="638">
        <v>5097.5649999999996</v>
      </c>
      <c r="D3474" s="633">
        <f t="shared" si="111"/>
        <v>5097.5649999999996</v>
      </c>
      <c r="E3474" s="608"/>
      <c r="F3474" s="760">
        <f t="shared" si="110"/>
        <v>2150.6370065505939</v>
      </c>
      <c r="M3474" s="443"/>
    </row>
    <row r="3475" spans="1:13">
      <c r="A3475" s="639">
        <v>52413</v>
      </c>
      <c r="B3475" s="639">
        <v>1600</v>
      </c>
      <c r="C3475" s="638">
        <v>5124.3249999999998</v>
      </c>
      <c r="D3475" s="633">
        <f t="shared" si="111"/>
        <v>5124.3249999999998</v>
      </c>
      <c r="E3475" s="608"/>
      <c r="F3475" s="760">
        <f t="shared" si="110"/>
        <v>2161.9269158102688</v>
      </c>
      <c r="M3475" s="443"/>
    </row>
    <row r="3476" spans="1:13">
      <c r="A3476" s="639">
        <v>52413</v>
      </c>
      <c r="B3476" s="639">
        <v>1700</v>
      </c>
      <c r="C3476" s="638">
        <v>5506.9759999999997</v>
      </c>
      <c r="D3476" s="633">
        <f t="shared" si="111"/>
        <v>5506.9759999999997</v>
      </c>
      <c r="E3476" s="608"/>
      <c r="F3476" s="760">
        <f t="shared" si="110"/>
        <v>2323.3654460092152</v>
      </c>
      <c r="M3476" s="443"/>
    </row>
    <row r="3477" spans="1:13">
      <c r="A3477" s="639">
        <v>52413</v>
      </c>
      <c r="B3477" s="639">
        <v>1800</v>
      </c>
      <c r="C3477" s="638">
        <v>5679.6869999999999</v>
      </c>
      <c r="D3477" s="633">
        <f t="shared" si="111"/>
        <v>5679.6869999999999</v>
      </c>
      <c r="E3477" s="608"/>
      <c r="F3477" s="760">
        <f t="shared" si="110"/>
        <v>2396.231347285287</v>
      </c>
      <c r="M3477" s="443"/>
    </row>
    <row r="3478" spans="1:13">
      <c r="A3478" s="639">
        <v>52413</v>
      </c>
      <c r="B3478" s="639">
        <v>1900</v>
      </c>
      <c r="C3478" s="638">
        <v>5840.0420000000004</v>
      </c>
      <c r="D3478" s="633">
        <f t="shared" si="111"/>
        <v>5840.0420000000004</v>
      </c>
      <c r="E3478" s="608"/>
      <c r="F3478" s="760">
        <f t="shared" si="110"/>
        <v>2463.8843143755398</v>
      </c>
      <c r="M3478" s="443"/>
    </row>
    <row r="3479" spans="1:13">
      <c r="A3479" s="639">
        <v>52413</v>
      </c>
      <c r="B3479" s="639">
        <v>2000</v>
      </c>
      <c r="C3479" s="638">
        <v>6228.2039999999997</v>
      </c>
      <c r="D3479" s="633">
        <f t="shared" si="111"/>
        <v>6228.2039999999997</v>
      </c>
      <c r="E3479" s="608"/>
      <c r="F3479" s="760">
        <f t="shared" si="110"/>
        <v>2627.6479077258336</v>
      </c>
      <c r="M3479" s="443"/>
    </row>
    <row r="3480" spans="1:13">
      <c r="A3480" s="639">
        <v>52413</v>
      </c>
      <c r="B3480" s="639">
        <v>2100</v>
      </c>
      <c r="C3480" s="638">
        <v>6617.7190000000001</v>
      </c>
      <c r="D3480" s="633">
        <f t="shared" si="111"/>
        <v>6617.7190000000001</v>
      </c>
      <c r="E3480" s="608"/>
      <c r="F3480" s="760">
        <f t="shared" si="110"/>
        <v>2791.9823249635842</v>
      </c>
      <c r="M3480" s="443"/>
    </row>
    <row r="3481" spans="1:13">
      <c r="A3481" s="639">
        <v>52413</v>
      </c>
      <c r="B3481" s="639">
        <v>2200</v>
      </c>
      <c r="C3481" s="638">
        <v>6338.8620000000001</v>
      </c>
      <c r="D3481" s="633">
        <f t="shared" si="111"/>
        <v>6338.8620000000001</v>
      </c>
      <c r="E3481" s="608"/>
      <c r="F3481" s="760">
        <f t="shared" si="110"/>
        <v>2674.3339607473986</v>
      </c>
      <c r="M3481" s="443"/>
    </row>
    <row r="3482" spans="1:13">
      <c r="A3482" s="639">
        <v>52413</v>
      </c>
      <c r="B3482" s="639">
        <v>2300</v>
      </c>
      <c r="C3482" s="638">
        <v>5651.442</v>
      </c>
      <c r="D3482" s="633">
        <f t="shared" si="111"/>
        <v>5651.442</v>
      </c>
      <c r="E3482" s="608"/>
      <c r="F3482" s="760">
        <f t="shared" si="110"/>
        <v>2384.3149240027947</v>
      </c>
      <c r="M3482" s="443"/>
    </row>
    <row r="3483" spans="1:13">
      <c r="A3483" s="639">
        <v>52413</v>
      </c>
      <c r="B3483" s="639">
        <v>2400</v>
      </c>
      <c r="C3483" s="638">
        <v>4984.0190000000002</v>
      </c>
      <c r="D3483" s="633">
        <f t="shared" si="111"/>
        <v>4984.0190000000002</v>
      </c>
      <c r="E3483" s="608"/>
      <c r="F3483" s="760">
        <f t="shared" si="110"/>
        <v>2102.7325208705115</v>
      </c>
      <c r="M3483" s="443"/>
    </row>
    <row r="3484" spans="1:13">
      <c r="A3484" s="639">
        <v>52513</v>
      </c>
      <c r="B3484" s="639">
        <v>100</v>
      </c>
      <c r="C3484" s="638">
        <v>4650.5039999999999</v>
      </c>
      <c r="D3484" s="633">
        <f t="shared" si="111"/>
        <v>4650.5039999999999</v>
      </c>
      <c r="E3484" s="608"/>
      <c r="F3484" s="760">
        <f t="shared" ref="F3484:F3547" si="112">(D3484/(MAX($D$2908:$D$3651)))*$M$8</f>
        <v>1962.0242216649647</v>
      </c>
      <c r="M3484" s="443"/>
    </row>
    <row r="3485" spans="1:13">
      <c r="A3485" s="639">
        <v>52513</v>
      </c>
      <c r="B3485" s="639">
        <v>200</v>
      </c>
      <c r="C3485" s="638">
        <v>4607.7539999999999</v>
      </c>
      <c r="D3485" s="633">
        <f t="shared" si="111"/>
        <v>4607.7539999999999</v>
      </c>
      <c r="E3485" s="608"/>
      <c r="F3485" s="760">
        <f t="shared" si="112"/>
        <v>1943.9882119171657</v>
      </c>
      <c r="M3485" s="443"/>
    </row>
    <row r="3486" spans="1:13">
      <c r="A3486" s="639">
        <v>52513</v>
      </c>
      <c r="B3486" s="639">
        <v>300</v>
      </c>
      <c r="C3486" s="638">
        <v>4855.16</v>
      </c>
      <c r="D3486" s="633">
        <f t="shared" si="111"/>
        <v>4855.16</v>
      </c>
      <c r="E3486" s="608"/>
      <c r="F3486" s="760">
        <f t="shared" si="112"/>
        <v>2048.3675575935149</v>
      </c>
      <c r="M3486" s="443"/>
    </row>
    <row r="3487" spans="1:13">
      <c r="A3487" s="639">
        <v>52513</v>
      </c>
      <c r="B3487" s="639">
        <v>400</v>
      </c>
      <c r="C3487" s="638">
        <v>4886.0860000000002</v>
      </c>
      <c r="D3487" s="633">
        <f t="shared" si="111"/>
        <v>4886.0860000000002</v>
      </c>
      <c r="E3487" s="608"/>
      <c r="F3487" s="760">
        <f t="shared" si="112"/>
        <v>2061.4150812767998</v>
      </c>
      <c r="M3487" s="443"/>
    </row>
    <row r="3488" spans="1:13">
      <c r="A3488" s="639">
        <v>52513</v>
      </c>
      <c r="B3488" s="639">
        <v>500</v>
      </c>
      <c r="C3488" s="638">
        <v>5053.8519999999999</v>
      </c>
      <c r="D3488" s="633">
        <f t="shared" si="111"/>
        <v>5053.8519999999999</v>
      </c>
      <c r="E3488" s="608"/>
      <c r="F3488" s="760">
        <f t="shared" si="112"/>
        <v>2132.1947119516344</v>
      </c>
      <c r="M3488" s="443"/>
    </row>
    <row r="3489" spans="1:13">
      <c r="A3489" s="639">
        <v>52513</v>
      </c>
      <c r="B3489" s="639">
        <v>600</v>
      </c>
      <c r="C3489" s="638">
        <v>5269.5</v>
      </c>
      <c r="D3489" s="633">
        <f t="shared" si="111"/>
        <v>5269.5</v>
      </c>
      <c r="E3489" s="608"/>
      <c r="F3489" s="760">
        <f t="shared" si="112"/>
        <v>2223.1755173339347</v>
      </c>
      <c r="M3489" s="443"/>
    </row>
    <row r="3490" spans="1:13">
      <c r="A3490" s="639">
        <v>52513</v>
      </c>
      <c r="B3490" s="639">
        <v>700</v>
      </c>
      <c r="C3490" s="638">
        <v>5496.9160000000002</v>
      </c>
      <c r="D3490" s="633">
        <f t="shared" si="111"/>
        <v>5496.9160000000002</v>
      </c>
      <c r="E3490" s="608"/>
      <c r="F3490" s="760">
        <f t="shared" si="112"/>
        <v>2319.1211826627159</v>
      </c>
      <c r="M3490" s="443"/>
    </row>
    <row r="3491" spans="1:13">
      <c r="A3491" s="639">
        <v>52513</v>
      </c>
      <c r="B3491" s="639">
        <v>800</v>
      </c>
      <c r="C3491" s="638">
        <v>5526.393</v>
      </c>
      <c r="D3491" s="633">
        <f t="shared" si="111"/>
        <v>5526.393</v>
      </c>
      <c r="E3491" s="608"/>
      <c r="F3491" s="760">
        <f t="shared" si="112"/>
        <v>2331.5573805419172</v>
      </c>
      <c r="M3491" s="443"/>
    </row>
    <row r="3492" spans="1:13">
      <c r="A3492" s="639">
        <v>52513</v>
      </c>
      <c r="B3492" s="639">
        <v>900</v>
      </c>
      <c r="C3492" s="638">
        <v>5618.1149999999998</v>
      </c>
      <c r="D3492" s="633">
        <f t="shared" si="111"/>
        <v>5618.1149999999998</v>
      </c>
      <c r="E3492" s="608"/>
      <c r="F3492" s="760">
        <f t="shared" si="112"/>
        <v>2370.2544305088786</v>
      </c>
      <c r="M3492" s="443"/>
    </row>
    <row r="3493" spans="1:13">
      <c r="A3493" s="639">
        <v>52513</v>
      </c>
      <c r="B3493" s="639">
        <v>1000</v>
      </c>
      <c r="C3493" s="638">
        <v>5646.6930000000002</v>
      </c>
      <c r="D3493" s="633">
        <f t="shared" si="111"/>
        <v>5646.6930000000002</v>
      </c>
      <c r="E3493" s="608"/>
      <c r="F3493" s="760">
        <f t="shared" si="112"/>
        <v>2382.3113448146705</v>
      </c>
      <c r="M3493" s="443"/>
    </row>
    <row r="3494" spans="1:13">
      <c r="A3494" s="639">
        <v>52513</v>
      </c>
      <c r="B3494" s="639">
        <v>1100</v>
      </c>
      <c r="C3494" s="638">
        <v>5586.7280000000001</v>
      </c>
      <c r="D3494" s="633">
        <f t="shared" si="111"/>
        <v>5586.7280000000001</v>
      </c>
      <c r="E3494" s="608"/>
      <c r="F3494" s="760">
        <f t="shared" si="112"/>
        <v>2357.0124132467931</v>
      </c>
      <c r="M3494" s="443"/>
    </row>
    <row r="3495" spans="1:13">
      <c r="A3495" s="639">
        <v>52513</v>
      </c>
      <c r="B3495" s="639">
        <v>1200</v>
      </c>
      <c r="C3495" s="638">
        <v>5417.5360000000001</v>
      </c>
      <c r="D3495" s="633">
        <f t="shared" si="111"/>
        <v>5417.5360000000001</v>
      </c>
      <c r="E3495" s="608"/>
      <c r="F3495" s="760">
        <f t="shared" si="112"/>
        <v>2285.6311603520662</v>
      </c>
      <c r="M3495" s="443"/>
    </row>
    <row r="3496" spans="1:13">
      <c r="A3496" s="639">
        <v>52513</v>
      </c>
      <c r="B3496" s="639">
        <v>1300</v>
      </c>
      <c r="C3496" s="638">
        <v>5257.23</v>
      </c>
      <c r="D3496" s="633">
        <f t="shared" si="111"/>
        <v>5257.23</v>
      </c>
      <c r="E3496" s="608"/>
      <c r="F3496" s="760">
        <f t="shared" si="112"/>
        <v>2217.9988661150924</v>
      </c>
      <c r="M3496" s="443"/>
    </row>
    <row r="3497" spans="1:13">
      <c r="A3497" s="639">
        <v>52513</v>
      </c>
      <c r="B3497" s="639">
        <v>1400</v>
      </c>
      <c r="C3497" s="638">
        <v>5240.7219999999998</v>
      </c>
      <c r="D3497" s="633">
        <f t="shared" si="111"/>
        <v>5240.7219999999998</v>
      </c>
      <c r="E3497" s="608"/>
      <c r="F3497" s="760">
        <f t="shared" si="112"/>
        <v>2211.0342240351706</v>
      </c>
      <c r="M3497" s="443"/>
    </row>
    <row r="3498" spans="1:13">
      <c r="A3498" s="639">
        <v>52513</v>
      </c>
      <c r="B3498" s="639">
        <v>1500</v>
      </c>
      <c r="C3498" s="638">
        <v>5081.9279999999999</v>
      </c>
      <c r="D3498" s="633">
        <f t="shared" si="111"/>
        <v>5081.9279999999999</v>
      </c>
      <c r="E3498" s="608"/>
      <c r="F3498" s="760">
        <f t="shared" si="112"/>
        <v>2144.0398349850661</v>
      </c>
      <c r="M3498" s="443"/>
    </row>
    <row r="3499" spans="1:13">
      <c r="A3499" s="639">
        <v>52513</v>
      </c>
      <c r="B3499" s="639">
        <v>1600</v>
      </c>
      <c r="C3499" s="638">
        <v>5229.165</v>
      </c>
      <c r="D3499" s="633">
        <f t="shared" si="111"/>
        <v>5229.165</v>
      </c>
      <c r="E3499" s="608"/>
      <c r="F3499" s="760">
        <f t="shared" si="112"/>
        <v>2206.1583839262744</v>
      </c>
      <c r="M3499" s="443"/>
    </row>
    <row r="3500" spans="1:13">
      <c r="A3500" s="639">
        <v>52513</v>
      </c>
      <c r="B3500" s="639">
        <v>1700</v>
      </c>
      <c r="C3500" s="638">
        <v>5569.59</v>
      </c>
      <c r="D3500" s="633">
        <f t="shared" si="111"/>
        <v>5569.59</v>
      </c>
      <c r="E3500" s="608"/>
      <c r="F3500" s="760">
        <f t="shared" si="112"/>
        <v>2349.7819773390092</v>
      </c>
      <c r="M3500" s="443"/>
    </row>
    <row r="3501" spans="1:13">
      <c r="A3501" s="639">
        <v>52513</v>
      </c>
      <c r="B3501" s="639">
        <v>1800</v>
      </c>
      <c r="C3501" s="638">
        <v>5795.0770000000002</v>
      </c>
      <c r="D3501" s="633">
        <f t="shared" si="111"/>
        <v>5795.0770000000002</v>
      </c>
      <c r="E3501" s="608"/>
      <c r="F3501" s="760">
        <f t="shared" si="112"/>
        <v>2444.913807280574</v>
      </c>
      <c r="M3501" s="443"/>
    </row>
    <row r="3502" spans="1:13">
      <c r="A3502" s="639">
        <v>52513</v>
      </c>
      <c r="B3502" s="639">
        <v>1900</v>
      </c>
      <c r="C3502" s="638">
        <v>5815.6229999999996</v>
      </c>
      <c r="D3502" s="633">
        <f t="shared" si="111"/>
        <v>5815.6229999999996</v>
      </c>
      <c r="E3502" s="608"/>
      <c r="F3502" s="760">
        <f t="shared" si="112"/>
        <v>2453.5820612286034</v>
      </c>
      <c r="M3502" s="443"/>
    </row>
    <row r="3503" spans="1:13">
      <c r="A3503" s="639">
        <v>52513</v>
      </c>
      <c r="B3503" s="639">
        <v>2000</v>
      </c>
      <c r="C3503" s="638">
        <v>5935.4120000000003</v>
      </c>
      <c r="D3503" s="633">
        <f t="shared" si="111"/>
        <v>5935.4120000000003</v>
      </c>
      <c r="E3503" s="608"/>
      <c r="F3503" s="760">
        <f t="shared" si="112"/>
        <v>2504.1204371743129</v>
      </c>
      <c r="M3503" s="443"/>
    </row>
    <row r="3504" spans="1:13">
      <c r="A3504" s="639">
        <v>52513</v>
      </c>
      <c r="B3504" s="639">
        <v>2100</v>
      </c>
      <c r="C3504" s="638">
        <v>6334.1750000000002</v>
      </c>
      <c r="D3504" s="633">
        <f t="shared" si="111"/>
        <v>6334.1750000000002</v>
      </c>
      <c r="E3504" s="608"/>
      <c r="F3504" s="760">
        <f t="shared" si="112"/>
        <v>2672.3565390470962</v>
      </c>
      <c r="M3504" s="443"/>
    </row>
    <row r="3505" spans="1:13">
      <c r="A3505" s="639">
        <v>52513</v>
      </c>
      <c r="B3505" s="639">
        <v>2200</v>
      </c>
      <c r="C3505" s="638">
        <v>6071.3140000000003</v>
      </c>
      <c r="D3505" s="633">
        <f t="shared" si="111"/>
        <v>6071.3140000000003</v>
      </c>
      <c r="E3505" s="608"/>
      <c r="F3505" s="760">
        <f t="shared" si="112"/>
        <v>2561.4568066888241</v>
      </c>
      <c r="M3505" s="443"/>
    </row>
    <row r="3506" spans="1:13">
      <c r="A3506" s="639">
        <v>52513</v>
      </c>
      <c r="B3506" s="639">
        <v>2300</v>
      </c>
      <c r="C3506" s="638">
        <v>5432.9939999999997</v>
      </c>
      <c r="D3506" s="633">
        <f t="shared" si="111"/>
        <v>5432.9939999999997</v>
      </c>
      <c r="E3506" s="608"/>
      <c r="F3506" s="760">
        <f t="shared" si="112"/>
        <v>2292.1528127188844</v>
      </c>
      <c r="M3506" s="443"/>
    </row>
    <row r="3507" spans="1:13">
      <c r="A3507" s="639">
        <v>52513</v>
      </c>
      <c r="B3507" s="639">
        <v>2400</v>
      </c>
      <c r="C3507" s="638">
        <v>4912.4809999999998</v>
      </c>
      <c r="D3507" s="633">
        <f t="shared" si="111"/>
        <v>4912.4809999999998</v>
      </c>
      <c r="E3507" s="608"/>
      <c r="F3507" s="760">
        <f t="shared" si="112"/>
        <v>2072.5509988742997</v>
      </c>
      <c r="M3507" s="443"/>
    </row>
    <row r="3508" spans="1:13">
      <c r="A3508" s="639">
        <v>52613</v>
      </c>
      <c r="B3508" s="639">
        <v>100</v>
      </c>
      <c r="C3508" s="638">
        <v>4661.62</v>
      </c>
      <c r="D3508" s="633">
        <f t="shared" si="111"/>
        <v>4661.62</v>
      </c>
      <c r="E3508" s="608"/>
      <c r="F3508" s="760">
        <f t="shared" si="112"/>
        <v>1966.714006094357</v>
      </c>
      <c r="M3508" s="443"/>
    </row>
    <row r="3509" spans="1:13">
      <c r="A3509" s="639">
        <v>52613</v>
      </c>
      <c r="B3509" s="639">
        <v>200</v>
      </c>
      <c r="C3509" s="638">
        <v>4524.098</v>
      </c>
      <c r="D3509" s="633">
        <f t="shared" si="111"/>
        <v>4524.098</v>
      </c>
      <c r="E3509" s="608"/>
      <c r="F3509" s="760">
        <f t="shared" si="112"/>
        <v>1908.6941667367714</v>
      </c>
      <c r="M3509" s="443"/>
    </row>
    <row r="3510" spans="1:13">
      <c r="A3510" s="639">
        <v>52613</v>
      </c>
      <c r="B3510" s="639">
        <v>300</v>
      </c>
      <c r="C3510" s="638">
        <v>4725.2569999999996</v>
      </c>
      <c r="D3510" s="633">
        <f t="shared" si="111"/>
        <v>4725.2569999999996</v>
      </c>
      <c r="E3510" s="608"/>
      <c r="F3510" s="760">
        <f t="shared" si="112"/>
        <v>1993.5621359732031</v>
      </c>
      <c r="M3510" s="443"/>
    </row>
    <row r="3511" spans="1:13">
      <c r="A3511" s="639">
        <v>52613</v>
      </c>
      <c r="B3511" s="639">
        <v>400</v>
      </c>
      <c r="C3511" s="638">
        <v>4701.8599999999997</v>
      </c>
      <c r="D3511" s="633">
        <f t="shared" si="111"/>
        <v>4701.8599999999997</v>
      </c>
      <c r="E3511" s="608"/>
      <c r="F3511" s="760">
        <f t="shared" si="112"/>
        <v>1983.6910594803553</v>
      </c>
      <c r="M3511" s="443"/>
    </row>
    <row r="3512" spans="1:13">
      <c r="A3512" s="639">
        <v>52613</v>
      </c>
      <c r="B3512" s="639">
        <v>500</v>
      </c>
      <c r="C3512" s="638">
        <v>3382.192</v>
      </c>
      <c r="D3512" s="633">
        <f t="shared" si="111"/>
        <v>3382.192</v>
      </c>
      <c r="E3512" s="608"/>
      <c r="F3512" s="760">
        <f t="shared" si="112"/>
        <v>1426.9297749924458</v>
      </c>
      <c r="M3512" s="443"/>
    </row>
    <row r="3513" spans="1:13">
      <c r="A3513" s="639">
        <v>52613</v>
      </c>
      <c r="B3513" s="639">
        <v>600</v>
      </c>
      <c r="C3513" s="638">
        <v>3455.5079999999998</v>
      </c>
      <c r="D3513" s="633">
        <f t="shared" si="111"/>
        <v>3455.5079999999998</v>
      </c>
      <c r="E3513" s="608"/>
      <c r="F3513" s="760">
        <f t="shared" si="112"/>
        <v>1457.8614262361796</v>
      </c>
      <c r="M3513" s="443"/>
    </row>
    <row r="3514" spans="1:13">
      <c r="A3514" s="639">
        <v>52613</v>
      </c>
      <c r="B3514" s="639">
        <v>700</v>
      </c>
      <c r="C3514" s="638">
        <v>4352.63</v>
      </c>
      <c r="D3514" s="633">
        <f t="shared" si="111"/>
        <v>4352.63</v>
      </c>
      <c r="E3514" s="608"/>
      <c r="F3514" s="760">
        <f t="shared" si="112"/>
        <v>1836.3526809020216</v>
      </c>
      <c r="M3514" s="443"/>
    </row>
    <row r="3515" spans="1:13">
      <c r="A3515" s="639">
        <v>52613</v>
      </c>
      <c r="B3515" s="639">
        <v>800</v>
      </c>
      <c r="C3515" s="638">
        <v>5394.5050000000001</v>
      </c>
      <c r="D3515" s="633">
        <f t="shared" si="111"/>
        <v>5394.5050000000001</v>
      </c>
      <c r="E3515" s="608"/>
      <c r="F3515" s="760">
        <f t="shared" si="112"/>
        <v>2275.9144974163578</v>
      </c>
      <c r="M3515" s="443"/>
    </row>
    <row r="3516" spans="1:13">
      <c r="A3516" s="639">
        <v>52613</v>
      </c>
      <c r="B3516" s="639">
        <v>900</v>
      </c>
      <c r="C3516" s="638">
        <v>5499.68</v>
      </c>
      <c r="D3516" s="633">
        <f t="shared" si="111"/>
        <v>5499.68</v>
      </c>
      <c r="E3516" s="608"/>
      <c r="F3516" s="760">
        <f t="shared" si="112"/>
        <v>2320.2873003455911</v>
      </c>
      <c r="M3516" s="443"/>
    </row>
    <row r="3517" spans="1:13">
      <c r="A3517" s="639">
        <v>52613</v>
      </c>
      <c r="B3517" s="639">
        <v>1000</v>
      </c>
      <c r="C3517" s="638">
        <v>5507.0780000000004</v>
      </c>
      <c r="D3517" s="633">
        <f t="shared" si="111"/>
        <v>5507.0780000000004</v>
      </c>
      <c r="E3517" s="608"/>
      <c r="F3517" s="760">
        <f t="shared" si="112"/>
        <v>2323.4084792956314</v>
      </c>
      <c r="M3517" s="443"/>
    </row>
    <row r="3518" spans="1:13">
      <c r="A3518" s="639">
        <v>52613</v>
      </c>
      <c r="B3518" s="639">
        <v>1100</v>
      </c>
      <c r="C3518" s="638">
        <v>5453.7</v>
      </c>
      <c r="D3518" s="633">
        <f t="shared" si="111"/>
        <v>5453.7</v>
      </c>
      <c r="E3518" s="608"/>
      <c r="F3518" s="760">
        <f t="shared" si="112"/>
        <v>2300.8885698612917</v>
      </c>
      <c r="M3518" s="443"/>
    </row>
    <row r="3519" spans="1:13">
      <c r="A3519" s="639">
        <v>52613</v>
      </c>
      <c r="B3519" s="639">
        <v>1200</v>
      </c>
      <c r="C3519" s="638">
        <v>5310.4750000000004</v>
      </c>
      <c r="D3519" s="633">
        <f t="shared" si="111"/>
        <v>5310.4750000000004</v>
      </c>
      <c r="E3519" s="608"/>
      <c r="F3519" s="760">
        <f t="shared" si="112"/>
        <v>2240.4626635191053</v>
      </c>
      <c r="M3519" s="443"/>
    </row>
    <row r="3520" spans="1:13">
      <c r="A3520" s="639">
        <v>52613</v>
      </c>
      <c r="B3520" s="639">
        <v>1300</v>
      </c>
      <c r="C3520" s="638">
        <v>5208.9059999999999</v>
      </c>
      <c r="D3520" s="633">
        <f t="shared" si="111"/>
        <v>5208.9059999999999</v>
      </c>
      <c r="E3520" s="608"/>
      <c r="F3520" s="760">
        <f t="shared" si="112"/>
        <v>2197.6112138331596</v>
      </c>
      <c r="M3520" s="443"/>
    </row>
    <row r="3521" spans="1:13">
      <c r="A3521" s="639">
        <v>52613</v>
      </c>
      <c r="B3521" s="639">
        <v>1400</v>
      </c>
      <c r="C3521" s="638">
        <v>5079.8029999999999</v>
      </c>
      <c r="D3521" s="633">
        <f t="shared" si="111"/>
        <v>5079.8029999999999</v>
      </c>
      <c r="E3521" s="608"/>
      <c r="F3521" s="760">
        <f t="shared" si="112"/>
        <v>2143.1433081847372</v>
      </c>
      <c r="M3521" s="443"/>
    </row>
    <row r="3522" spans="1:13">
      <c r="A3522" s="639">
        <v>52613</v>
      </c>
      <c r="B3522" s="639">
        <v>1500</v>
      </c>
      <c r="C3522" s="638">
        <v>5033.3710000000001</v>
      </c>
      <c r="D3522" s="633">
        <f t="shared" si="111"/>
        <v>5033.3710000000001</v>
      </c>
      <c r="E3522" s="608"/>
      <c r="F3522" s="760">
        <f t="shared" si="112"/>
        <v>2123.5538811763208</v>
      </c>
      <c r="M3522" s="443"/>
    </row>
    <row r="3523" spans="1:13">
      <c r="A3523" s="639">
        <v>52613</v>
      </c>
      <c r="B3523" s="639">
        <v>1600</v>
      </c>
      <c r="C3523" s="638">
        <v>5276.6769999999997</v>
      </c>
      <c r="D3523" s="633">
        <f t="shared" si="111"/>
        <v>5276.6769999999997</v>
      </c>
      <c r="E3523" s="608"/>
      <c r="F3523" s="760">
        <f t="shared" si="112"/>
        <v>2226.2034574967402</v>
      </c>
      <c r="M3523" s="443"/>
    </row>
    <row r="3524" spans="1:13">
      <c r="A3524" s="639">
        <v>52613</v>
      </c>
      <c r="B3524" s="639">
        <v>1700</v>
      </c>
      <c r="C3524" s="638">
        <v>5812.2749999999996</v>
      </c>
      <c r="D3524" s="633">
        <f t="shared" si="111"/>
        <v>5812.2749999999996</v>
      </c>
      <c r="E3524" s="608"/>
      <c r="F3524" s="760">
        <f t="shared" si="112"/>
        <v>2452.1695568862497</v>
      </c>
      <c r="M3524" s="443"/>
    </row>
    <row r="3525" spans="1:13">
      <c r="A3525" s="639">
        <v>52613</v>
      </c>
      <c r="B3525" s="639">
        <v>1800</v>
      </c>
      <c r="C3525" s="638">
        <v>5995.8980000000001</v>
      </c>
      <c r="D3525" s="633">
        <f t="shared" ref="D3525:D3588" si="113">C3525</f>
        <v>5995.8980000000001</v>
      </c>
      <c r="E3525" s="608"/>
      <c r="F3525" s="760">
        <f t="shared" si="112"/>
        <v>2529.6391760188826</v>
      </c>
      <c r="M3525" s="443"/>
    </row>
    <row r="3526" spans="1:13">
      <c r="A3526" s="639">
        <v>52613</v>
      </c>
      <c r="B3526" s="639">
        <v>1900</v>
      </c>
      <c r="C3526" s="638">
        <v>6045.38</v>
      </c>
      <c r="D3526" s="633">
        <f t="shared" si="113"/>
        <v>6045.38</v>
      </c>
      <c r="E3526" s="608"/>
      <c r="F3526" s="760">
        <f t="shared" si="112"/>
        <v>2550.5153826701244</v>
      </c>
      <c r="M3526" s="443"/>
    </row>
    <row r="3527" spans="1:13">
      <c r="A3527" s="639">
        <v>52613</v>
      </c>
      <c r="B3527" s="639">
        <v>2000</v>
      </c>
      <c r="C3527" s="638">
        <v>6212.1480000000001</v>
      </c>
      <c r="D3527" s="633">
        <f t="shared" si="113"/>
        <v>6212.1480000000001</v>
      </c>
      <c r="E3527" s="608"/>
      <c r="F3527" s="760">
        <f t="shared" si="112"/>
        <v>2620.8739621700288</v>
      </c>
      <c r="M3527" s="443"/>
    </row>
    <row r="3528" spans="1:13">
      <c r="A3528" s="639">
        <v>52613</v>
      </c>
      <c r="B3528" s="639">
        <v>2100</v>
      </c>
      <c r="C3528" s="638">
        <v>6613.1980000000003</v>
      </c>
      <c r="D3528" s="633">
        <f t="shared" si="113"/>
        <v>6613.1980000000003</v>
      </c>
      <c r="E3528" s="608"/>
      <c r="F3528" s="760">
        <f t="shared" si="112"/>
        <v>2790.074937827449</v>
      </c>
      <c r="M3528" s="443"/>
    </row>
    <row r="3529" spans="1:13">
      <c r="A3529" s="639">
        <v>52613</v>
      </c>
      <c r="B3529" s="639">
        <v>2200</v>
      </c>
      <c r="C3529" s="638">
        <v>6049.0720000000001</v>
      </c>
      <c r="D3529" s="633">
        <f t="shared" si="113"/>
        <v>6049.0720000000001</v>
      </c>
      <c r="E3529" s="608"/>
      <c r="F3529" s="760">
        <f t="shared" si="112"/>
        <v>2552.0730188803905</v>
      </c>
      <c r="M3529" s="443"/>
    </row>
    <row r="3530" spans="1:13">
      <c r="A3530" s="639">
        <v>52613</v>
      </c>
      <c r="B3530" s="639">
        <v>2300</v>
      </c>
      <c r="C3530" s="638">
        <v>5130.4139999999998</v>
      </c>
      <c r="D3530" s="633">
        <f t="shared" si="113"/>
        <v>5130.4139999999998</v>
      </c>
      <c r="E3530" s="608"/>
      <c r="F3530" s="760">
        <f t="shared" si="112"/>
        <v>2164.4958342513064</v>
      </c>
      <c r="M3530" s="443"/>
    </row>
    <row r="3531" spans="1:13">
      <c r="A3531" s="639">
        <v>52613</v>
      </c>
      <c r="B3531" s="639">
        <v>2400</v>
      </c>
      <c r="C3531" s="638">
        <v>4513.6459999999997</v>
      </c>
      <c r="D3531" s="633">
        <f t="shared" si="113"/>
        <v>4513.6459999999997</v>
      </c>
      <c r="E3531" s="608"/>
      <c r="F3531" s="760">
        <f t="shared" si="112"/>
        <v>1904.2845205640465</v>
      </c>
      <c r="M3531" s="443"/>
    </row>
    <row r="3532" spans="1:13">
      <c r="A3532" s="639">
        <v>52713</v>
      </c>
      <c r="B3532" s="639">
        <v>100</v>
      </c>
      <c r="C3532" s="638">
        <v>4236.8100000000004</v>
      </c>
      <c r="D3532" s="633">
        <f t="shared" si="113"/>
        <v>4236.8100000000004</v>
      </c>
      <c r="E3532" s="608"/>
      <c r="F3532" s="760">
        <f t="shared" si="112"/>
        <v>1787.4888060718449</v>
      </c>
      <c r="M3532" s="443"/>
    </row>
    <row r="3533" spans="1:13">
      <c r="A3533" s="639">
        <v>52713</v>
      </c>
      <c r="B3533" s="639">
        <v>200</v>
      </c>
      <c r="C3533" s="638">
        <v>4090.6149999999998</v>
      </c>
      <c r="D3533" s="633">
        <f t="shared" si="113"/>
        <v>4090.6149999999998</v>
      </c>
      <c r="E3533" s="608"/>
      <c r="F3533" s="760">
        <f t="shared" si="112"/>
        <v>1725.8098716840216</v>
      </c>
      <c r="M3533" s="443"/>
    </row>
    <row r="3534" spans="1:13">
      <c r="A3534" s="639">
        <v>52713</v>
      </c>
      <c r="B3534" s="639">
        <v>300</v>
      </c>
      <c r="C3534" s="638">
        <v>4361.0550000000003</v>
      </c>
      <c r="D3534" s="633">
        <f t="shared" si="113"/>
        <v>4361.0550000000003</v>
      </c>
      <c r="E3534" s="608"/>
      <c r="F3534" s="760">
        <f t="shared" si="112"/>
        <v>1839.9071459809738</v>
      </c>
      <c r="M3534" s="443"/>
    </row>
    <row r="3535" spans="1:13">
      <c r="A3535" s="639">
        <v>52713</v>
      </c>
      <c r="B3535" s="639">
        <v>400</v>
      </c>
      <c r="C3535" s="638">
        <v>4447.5309999999999</v>
      </c>
      <c r="D3535" s="633">
        <f t="shared" si="113"/>
        <v>4447.5309999999999</v>
      </c>
      <c r="E3535" s="608"/>
      <c r="F3535" s="760">
        <f t="shared" si="112"/>
        <v>1876.3909349622754</v>
      </c>
      <c r="M3535" s="443"/>
    </row>
    <row r="3536" spans="1:13">
      <c r="A3536" s="639">
        <v>52713</v>
      </c>
      <c r="B3536" s="639">
        <v>500</v>
      </c>
      <c r="C3536" s="638">
        <v>4799.3919999999998</v>
      </c>
      <c r="D3536" s="633">
        <f t="shared" si="113"/>
        <v>4799.3919999999998</v>
      </c>
      <c r="E3536" s="608"/>
      <c r="F3536" s="760">
        <f t="shared" si="112"/>
        <v>2024.839319193158</v>
      </c>
      <c r="M3536" s="443"/>
    </row>
    <row r="3537" spans="1:13">
      <c r="A3537" s="639">
        <v>52713</v>
      </c>
      <c r="B3537" s="639">
        <v>600</v>
      </c>
      <c r="C3537" s="638">
        <v>5559.6639999999998</v>
      </c>
      <c r="D3537" s="633">
        <f t="shared" si="113"/>
        <v>5559.6639999999998</v>
      </c>
      <c r="E3537" s="608"/>
      <c r="F3537" s="760">
        <f t="shared" si="112"/>
        <v>2345.5942479178007</v>
      </c>
      <c r="M3537" s="443"/>
    </row>
    <row r="3538" spans="1:13">
      <c r="A3538" s="639">
        <v>52713</v>
      </c>
      <c r="B3538" s="639">
        <v>700</v>
      </c>
      <c r="C3538" s="638">
        <v>5619.8230000000003</v>
      </c>
      <c r="D3538" s="633">
        <f t="shared" si="113"/>
        <v>5619.8230000000003</v>
      </c>
      <c r="E3538" s="608"/>
      <c r="F3538" s="760">
        <f t="shared" si="112"/>
        <v>2370.975027108861</v>
      </c>
      <c r="M3538" s="443"/>
    </row>
    <row r="3539" spans="1:13">
      <c r="A3539" s="639">
        <v>52713</v>
      </c>
      <c r="B3539" s="639">
        <v>800</v>
      </c>
      <c r="C3539" s="638">
        <v>5438.2049999999999</v>
      </c>
      <c r="D3539" s="633">
        <f t="shared" si="113"/>
        <v>5438.2049999999999</v>
      </c>
      <c r="E3539" s="608"/>
      <c r="F3539" s="760">
        <f t="shared" si="112"/>
        <v>2294.351307380774</v>
      </c>
      <c r="M3539" s="443"/>
    </row>
    <row r="3540" spans="1:13">
      <c r="A3540" s="639">
        <v>52713</v>
      </c>
      <c r="B3540" s="639">
        <v>900</v>
      </c>
      <c r="C3540" s="638">
        <v>5051.67</v>
      </c>
      <c r="D3540" s="633">
        <f t="shared" si="113"/>
        <v>5051.67</v>
      </c>
      <c r="E3540" s="608"/>
      <c r="F3540" s="760">
        <f t="shared" si="112"/>
        <v>2131.2741371383081</v>
      </c>
      <c r="M3540" s="443"/>
    </row>
    <row r="3541" spans="1:13">
      <c r="A3541" s="639">
        <v>52713</v>
      </c>
      <c r="B3541" s="639">
        <v>1000</v>
      </c>
      <c r="C3541" s="638">
        <v>5015.7759999999998</v>
      </c>
      <c r="D3541" s="633">
        <f t="shared" si="113"/>
        <v>5015.7759999999998</v>
      </c>
      <c r="E3541" s="608"/>
      <c r="F3541" s="760">
        <f t="shared" si="112"/>
        <v>2116.1306392695951</v>
      </c>
      <c r="M3541" s="443"/>
    </row>
    <row r="3542" spans="1:13">
      <c r="A3542" s="639">
        <v>52713</v>
      </c>
      <c r="B3542" s="639">
        <v>1100</v>
      </c>
      <c r="C3542" s="638">
        <v>4963.5910000000003</v>
      </c>
      <c r="D3542" s="633">
        <f t="shared" si="113"/>
        <v>4963.5910000000003</v>
      </c>
      <c r="E3542" s="608"/>
      <c r="F3542" s="760">
        <f t="shared" si="112"/>
        <v>2094.1140505283352</v>
      </c>
      <c r="M3542" s="443"/>
    </row>
    <row r="3543" spans="1:13">
      <c r="A3543" s="639">
        <v>52713</v>
      </c>
      <c r="B3543" s="639">
        <v>1200</v>
      </c>
      <c r="C3543" s="638">
        <v>4864.9179999999997</v>
      </c>
      <c r="D3543" s="633">
        <f t="shared" si="113"/>
        <v>4864.9179999999997</v>
      </c>
      <c r="E3543" s="608"/>
      <c r="F3543" s="760">
        <f t="shared" si="112"/>
        <v>2052.4844086606258</v>
      </c>
      <c r="M3543" s="443"/>
    </row>
    <row r="3544" spans="1:13">
      <c r="A3544" s="639">
        <v>52713</v>
      </c>
      <c r="B3544" s="639">
        <v>1300</v>
      </c>
      <c r="C3544" s="638">
        <v>4790.5110000000004</v>
      </c>
      <c r="D3544" s="633">
        <f t="shared" si="113"/>
        <v>4790.5110000000004</v>
      </c>
      <c r="E3544" s="608"/>
      <c r="F3544" s="760">
        <f t="shared" si="112"/>
        <v>2021.0924700102296</v>
      </c>
      <c r="M3544" s="443"/>
    </row>
    <row r="3545" spans="1:13">
      <c r="A3545" s="639">
        <v>52713</v>
      </c>
      <c r="B3545" s="639">
        <v>1400</v>
      </c>
      <c r="C3545" s="638">
        <v>4808.5479999999998</v>
      </c>
      <c r="D3545" s="633">
        <f t="shared" si="113"/>
        <v>4808.5479999999998</v>
      </c>
      <c r="E3545" s="608"/>
      <c r="F3545" s="760">
        <f t="shared" si="112"/>
        <v>2028.7021894914235</v>
      </c>
      <c r="M3545" s="443"/>
    </row>
    <row r="3546" spans="1:13">
      <c r="A3546" s="639">
        <v>52713</v>
      </c>
      <c r="B3546" s="639">
        <v>1500</v>
      </c>
      <c r="C3546" s="638">
        <v>4874.0540000000001</v>
      </c>
      <c r="D3546" s="633">
        <f t="shared" si="113"/>
        <v>4874.0540000000001</v>
      </c>
      <c r="E3546" s="608"/>
      <c r="F3546" s="760">
        <f t="shared" si="112"/>
        <v>2056.338841059594</v>
      </c>
      <c r="M3546" s="443"/>
    </row>
    <row r="3547" spans="1:13">
      <c r="A3547" s="639">
        <v>52713</v>
      </c>
      <c r="B3547" s="639">
        <v>1600</v>
      </c>
      <c r="C3547" s="638">
        <v>5254.1120000000001</v>
      </c>
      <c r="D3547" s="633">
        <f t="shared" si="113"/>
        <v>5254.1120000000001</v>
      </c>
      <c r="E3547" s="608"/>
      <c r="F3547" s="760">
        <f t="shared" si="112"/>
        <v>2216.6833976146568</v>
      </c>
      <c r="M3547" s="443"/>
    </row>
    <row r="3548" spans="1:13">
      <c r="A3548" s="639">
        <v>52713</v>
      </c>
      <c r="B3548" s="639">
        <v>1700</v>
      </c>
      <c r="C3548" s="638">
        <v>5614.9989999999998</v>
      </c>
      <c r="D3548" s="633">
        <f t="shared" si="113"/>
        <v>5614.9989999999998</v>
      </c>
      <c r="E3548" s="608"/>
      <c r="F3548" s="760">
        <f t="shared" ref="F3548:F3611" si="114">(D3548/(MAX($D$2908:$D$3651)))*$M$8</f>
        <v>2368.9398057983726</v>
      </c>
      <c r="M3548" s="443"/>
    </row>
    <row r="3549" spans="1:13">
      <c r="A3549" s="639">
        <v>52713</v>
      </c>
      <c r="B3549" s="639">
        <v>1800</v>
      </c>
      <c r="C3549" s="638">
        <v>5862.26</v>
      </c>
      <c r="D3549" s="633">
        <f t="shared" si="113"/>
        <v>5862.26</v>
      </c>
      <c r="E3549" s="608"/>
      <c r="F3549" s="760">
        <f t="shared" si="114"/>
        <v>2473.2579767048169</v>
      </c>
      <c r="M3549" s="443"/>
    </row>
    <row r="3550" spans="1:13">
      <c r="A3550" s="639">
        <v>52713</v>
      </c>
      <c r="B3550" s="639">
        <v>1900</v>
      </c>
      <c r="C3550" s="638">
        <v>6081.777</v>
      </c>
      <c r="D3550" s="633">
        <f t="shared" si="113"/>
        <v>6081.777</v>
      </c>
      <c r="E3550" s="608"/>
      <c r="F3550" s="760">
        <f t="shared" si="114"/>
        <v>2565.8710937061628</v>
      </c>
      <c r="M3550" s="443"/>
    </row>
    <row r="3551" spans="1:13">
      <c r="A3551" s="639">
        <v>52713</v>
      </c>
      <c r="B3551" s="639">
        <v>2000</v>
      </c>
      <c r="C3551" s="638">
        <v>6277.116</v>
      </c>
      <c r="D3551" s="633">
        <f t="shared" si="113"/>
        <v>6277.116</v>
      </c>
      <c r="E3551" s="608"/>
      <c r="F3551" s="760">
        <f t="shared" si="114"/>
        <v>2648.2836342471041</v>
      </c>
      <c r="M3551" s="443"/>
    </row>
    <row r="3552" spans="1:13">
      <c r="A3552" s="639">
        <v>52713</v>
      </c>
      <c r="B3552" s="639">
        <v>2100</v>
      </c>
      <c r="C3552" s="638">
        <v>6705.3180000000002</v>
      </c>
      <c r="D3552" s="633">
        <f t="shared" si="113"/>
        <v>6705.3180000000002</v>
      </c>
      <c r="E3552" s="608"/>
      <c r="F3552" s="760">
        <f t="shared" si="114"/>
        <v>2828.9399019904249</v>
      </c>
      <c r="M3552" s="443"/>
    </row>
    <row r="3553" spans="1:13">
      <c r="A3553" s="639">
        <v>52713</v>
      </c>
      <c r="B3553" s="639">
        <v>2200</v>
      </c>
      <c r="C3553" s="638">
        <v>6063.6059999999998</v>
      </c>
      <c r="D3553" s="633">
        <f t="shared" si="113"/>
        <v>6063.6059999999998</v>
      </c>
      <c r="E3553" s="608"/>
      <c r="F3553" s="760">
        <f t="shared" si="114"/>
        <v>2558.204840299677</v>
      </c>
      <c r="M3553" s="443"/>
    </row>
    <row r="3554" spans="1:13">
      <c r="A3554" s="639">
        <v>52713</v>
      </c>
      <c r="B3554" s="639">
        <v>2300</v>
      </c>
      <c r="C3554" s="638">
        <v>5059.393</v>
      </c>
      <c r="D3554" s="633">
        <f t="shared" si="113"/>
        <v>5059.393</v>
      </c>
      <c r="E3554" s="608"/>
      <c r="F3554" s="760">
        <f t="shared" si="114"/>
        <v>2134.5324319519282</v>
      </c>
      <c r="M3554" s="443"/>
    </row>
    <row r="3555" spans="1:13">
      <c r="A3555" s="639">
        <v>52713</v>
      </c>
      <c r="B3555" s="639">
        <v>2400</v>
      </c>
      <c r="C3555" s="638">
        <v>4386.7610000000004</v>
      </c>
      <c r="D3555" s="633">
        <f t="shared" si="113"/>
        <v>4386.7610000000004</v>
      </c>
      <c r="E3555" s="608"/>
      <c r="F3555" s="760">
        <f t="shared" si="114"/>
        <v>1850.7523779476853</v>
      </c>
      <c r="M3555" s="443"/>
    </row>
    <row r="3556" spans="1:13">
      <c r="A3556" s="639">
        <v>52813</v>
      </c>
      <c r="B3556" s="639">
        <v>100</v>
      </c>
      <c r="C3556" s="638">
        <v>4093.2170000000001</v>
      </c>
      <c r="D3556" s="633">
        <f t="shared" si="113"/>
        <v>4093.2170000000001</v>
      </c>
      <c r="E3556" s="608"/>
      <c r="F3556" s="760">
        <f t="shared" si="114"/>
        <v>1726.9076423825895</v>
      </c>
      <c r="M3556" s="443"/>
    </row>
    <row r="3557" spans="1:13">
      <c r="A3557" s="639">
        <v>52813</v>
      </c>
      <c r="B3557" s="639">
        <v>200</v>
      </c>
      <c r="C3557" s="638">
        <v>3952.0880000000002</v>
      </c>
      <c r="D3557" s="633">
        <f t="shared" si="113"/>
        <v>3952.0880000000002</v>
      </c>
      <c r="E3557" s="608"/>
      <c r="F3557" s="760">
        <f t="shared" si="114"/>
        <v>1667.366027886751</v>
      </c>
      <c r="M3557" s="443"/>
    </row>
    <row r="3558" spans="1:13">
      <c r="A3558" s="639">
        <v>52813</v>
      </c>
      <c r="B3558" s="639">
        <v>300</v>
      </c>
      <c r="C3558" s="638">
        <v>4066.6410000000001</v>
      </c>
      <c r="D3558" s="633">
        <f t="shared" si="113"/>
        <v>4066.6410000000001</v>
      </c>
      <c r="E3558" s="608"/>
      <c r="F3558" s="760">
        <f t="shared" si="114"/>
        <v>1715.6953617964491</v>
      </c>
      <c r="M3558" s="443"/>
    </row>
    <row r="3559" spans="1:13">
      <c r="A3559" s="639">
        <v>52813</v>
      </c>
      <c r="B3559" s="639">
        <v>400</v>
      </c>
      <c r="C3559" s="638">
        <v>4151.5870000000004</v>
      </c>
      <c r="D3559" s="633">
        <f t="shared" si="113"/>
        <v>4151.5870000000004</v>
      </c>
      <c r="E3559" s="608"/>
      <c r="F3559" s="760">
        <f t="shared" si="114"/>
        <v>1751.533651481514</v>
      </c>
      <c r="M3559" s="443"/>
    </row>
    <row r="3560" spans="1:13">
      <c r="A3560" s="639">
        <v>52813</v>
      </c>
      <c r="B3560" s="639">
        <v>500</v>
      </c>
      <c r="C3560" s="638">
        <v>4487.8829999999998</v>
      </c>
      <c r="D3560" s="633">
        <f t="shared" si="113"/>
        <v>4487.8829999999998</v>
      </c>
      <c r="E3560" s="608"/>
      <c r="F3560" s="760">
        <f t="shared" si="114"/>
        <v>1893.4152405843379</v>
      </c>
      <c r="M3560" s="443"/>
    </row>
    <row r="3561" spans="1:13">
      <c r="A3561" s="639">
        <v>52813</v>
      </c>
      <c r="B3561" s="639">
        <v>600</v>
      </c>
      <c r="C3561" s="638">
        <v>5224.0429999999997</v>
      </c>
      <c r="D3561" s="633">
        <f t="shared" si="113"/>
        <v>5224.0429999999997</v>
      </c>
      <c r="E3561" s="608"/>
      <c r="F3561" s="760">
        <f t="shared" si="114"/>
        <v>2203.9974379162572</v>
      </c>
      <c r="M3561" s="443"/>
    </row>
    <row r="3562" spans="1:13">
      <c r="A3562" s="639">
        <v>52813</v>
      </c>
      <c r="B3562" s="639">
        <v>700</v>
      </c>
      <c r="C3562" s="638">
        <v>6031.7049999999999</v>
      </c>
      <c r="D3562" s="633">
        <f t="shared" si="113"/>
        <v>6031.7049999999999</v>
      </c>
      <c r="E3562" s="608"/>
      <c r="F3562" s="760">
        <f t="shared" si="114"/>
        <v>2544.7459690256533</v>
      </c>
      <c r="M3562" s="443"/>
    </row>
    <row r="3563" spans="1:13">
      <c r="A3563" s="639">
        <v>52813</v>
      </c>
      <c r="B3563" s="639">
        <v>800</v>
      </c>
      <c r="C3563" s="638">
        <v>6207.6409999999996</v>
      </c>
      <c r="D3563" s="633">
        <f t="shared" si="113"/>
        <v>6207.6409999999996</v>
      </c>
      <c r="E3563" s="608"/>
      <c r="F3563" s="760">
        <f t="shared" si="114"/>
        <v>2618.9724815634008</v>
      </c>
      <c r="M3563" s="443"/>
    </row>
    <row r="3564" spans="1:13">
      <c r="A3564" s="639">
        <v>52813</v>
      </c>
      <c r="B3564" s="639">
        <v>900</v>
      </c>
      <c r="C3564" s="638">
        <v>5872.2929999999997</v>
      </c>
      <c r="D3564" s="633">
        <f t="shared" si="113"/>
        <v>5872.2929999999997</v>
      </c>
      <c r="E3564" s="608"/>
      <c r="F3564" s="760">
        <f t="shared" si="114"/>
        <v>2477.4908488872647</v>
      </c>
      <c r="M3564" s="443"/>
    </row>
    <row r="3565" spans="1:13">
      <c r="A3565" s="639">
        <v>52813</v>
      </c>
      <c r="B3565" s="639">
        <v>1000</v>
      </c>
      <c r="C3565" s="638">
        <v>5956.3530000000001</v>
      </c>
      <c r="D3565" s="633">
        <f t="shared" si="113"/>
        <v>5956.3530000000001</v>
      </c>
      <c r="E3565" s="608"/>
      <c r="F3565" s="760">
        <f t="shared" si="114"/>
        <v>2512.9553396334627</v>
      </c>
      <c r="M3565" s="443"/>
    </row>
    <row r="3566" spans="1:13">
      <c r="A3566" s="639">
        <v>52813</v>
      </c>
      <c r="B3566" s="639">
        <v>1100</v>
      </c>
      <c r="C3566" s="638">
        <v>5783.973</v>
      </c>
      <c r="D3566" s="633">
        <f t="shared" si="113"/>
        <v>5783.973</v>
      </c>
      <c r="E3566" s="608"/>
      <c r="F3566" s="760">
        <f t="shared" si="114"/>
        <v>2440.22908559076</v>
      </c>
      <c r="M3566" s="443"/>
    </row>
    <row r="3567" spans="1:13">
      <c r="A3567" s="639">
        <v>52813</v>
      </c>
      <c r="B3567" s="639">
        <v>1200</v>
      </c>
      <c r="C3567" s="638">
        <v>5649.02</v>
      </c>
      <c r="D3567" s="633">
        <f t="shared" si="113"/>
        <v>5649.02</v>
      </c>
      <c r="E3567" s="608"/>
      <c r="F3567" s="760">
        <f t="shared" si="114"/>
        <v>2383.2930943979018</v>
      </c>
      <c r="M3567" s="443"/>
    </row>
    <row r="3568" spans="1:13">
      <c r="A3568" s="639">
        <v>52813</v>
      </c>
      <c r="B3568" s="639">
        <v>1300</v>
      </c>
      <c r="C3568" s="638">
        <v>5630.1080000000002</v>
      </c>
      <c r="D3568" s="633">
        <f t="shared" si="113"/>
        <v>5630.1080000000002</v>
      </c>
      <c r="E3568" s="608"/>
      <c r="F3568" s="760">
        <f t="shared" si="114"/>
        <v>2375.314216822454</v>
      </c>
      <c r="M3568" s="443"/>
    </row>
    <row r="3569" spans="1:13">
      <c r="A3569" s="639">
        <v>52813</v>
      </c>
      <c r="B3569" s="639">
        <v>1400</v>
      </c>
      <c r="C3569" s="638">
        <v>5627.5519999999997</v>
      </c>
      <c r="D3569" s="633">
        <f t="shared" si="113"/>
        <v>5627.5519999999997</v>
      </c>
      <c r="E3569" s="608"/>
      <c r="F3569" s="760">
        <f t="shared" si="114"/>
        <v>2374.2358532922699</v>
      </c>
      <c r="M3569" s="443"/>
    </row>
    <row r="3570" spans="1:13">
      <c r="A3570" s="639">
        <v>52813</v>
      </c>
      <c r="B3570" s="639">
        <v>1500</v>
      </c>
      <c r="C3570" s="638">
        <v>5936.3249999999998</v>
      </c>
      <c r="D3570" s="633">
        <f t="shared" si="113"/>
        <v>5936.3249999999998</v>
      </c>
      <c r="E3570" s="608"/>
      <c r="F3570" s="760">
        <f t="shared" si="114"/>
        <v>2504.5056272772308</v>
      </c>
      <c r="M3570" s="443"/>
    </row>
    <row r="3571" spans="1:13">
      <c r="A3571" s="639">
        <v>52813</v>
      </c>
      <c r="B3571" s="639">
        <v>1600</v>
      </c>
      <c r="C3571" s="638">
        <v>6555.598</v>
      </c>
      <c r="D3571" s="633">
        <f t="shared" si="113"/>
        <v>6555.598</v>
      </c>
      <c r="E3571" s="608"/>
      <c r="F3571" s="760">
        <f t="shared" si="114"/>
        <v>2765.7737878514672</v>
      </c>
      <c r="M3571" s="443"/>
    </row>
    <row r="3572" spans="1:13">
      <c r="A3572" s="639">
        <v>52813</v>
      </c>
      <c r="B3572" s="639">
        <v>1700</v>
      </c>
      <c r="C3572" s="638">
        <v>6598.5029999999997</v>
      </c>
      <c r="D3572" s="633">
        <f t="shared" si="113"/>
        <v>6598.5029999999997</v>
      </c>
      <c r="E3572" s="608"/>
      <c r="F3572" s="760">
        <f t="shared" si="114"/>
        <v>2783.8751913188189</v>
      </c>
      <c r="M3572" s="443"/>
    </row>
    <row r="3573" spans="1:13">
      <c r="A3573" s="639">
        <v>52813</v>
      </c>
      <c r="B3573" s="639">
        <v>1800</v>
      </c>
      <c r="C3573" s="638">
        <v>6868.3519999999999</v>
      </c>
      <c r="D3573" s="633">
        <f t="shared" si="113"/>
        <v>6868.3519999999999</v>
      </c>
      <c r="E3573" s="608"/>
      <c r="F3573" s="760">
        <f t="shared" si="114"/>
        <v>2897.7231256915388</v>
      </c>
      <c r="M3573" s="443"/>
    </row>
    <row r="3574" spans="1:13">
      <c r="A3574" s="639">
        <v>52813</v>
      </c>
      <c r="B3574" s="639">
        <v>1900</v>
      </c>
      <c r="C3574" s="638">
        <v>6687.2920000000004</v>
      </c>
      <c r="D3574" s="633">
        <f t="shared" si="113"/>
        <v>6687.2920000000004</v>
      </c>
      <c r="E3574" s="608"/>
      <c r="F3574" s="760">
        <f t="shared" si="114"/>
        <v>2821.3348233538441</v>
      </c>
      <c r="M3574" s="443"/>
    </row>
    <row r="3575" spans="1:13">
      <c r="A3575" s="639">
        <v>52813</v>
      </c>
      <c r="B3575" s="639">
        <v>2000</v>
      </c>
      <c r="C3575" s="638">
        <v>6845.3360000000002</v>
      </c>
      <c r="D3575" s="633">
        <f t="shared" si="113"/>
        <v>6845.3360000000002</v>
      </c>
      <c r="E3575" s="608"/>
      <c r="F3575" s="760">
        <f t="shared" si="114"/>
        <v>2888.0127911803029</v>
      </c>
      <c r="M3575" s="443"/>
    </row>
    <row r="3576" spans="1:13">
      <c r="A3576" s="639">
        <v>52813</v>
      </c>
      <c r="B3576" s="639">
        <v>2100</v>
      </c>
      <c r="C3576" s="638">
        <v>6706.2150000000001</v>
      </c>
      <c r="D3576" s="633">
        <f t="shared" si="113"/>
        <v>6706.2150000000001</v>
      </c>
      <c r="E3576" s="608"/>
      <c r="F3576" s="760">
        <f t="shared" si="114"/>
        <v>2829.3183417739046</v>
      </c>
      <c r="M3576" s="443"/>
    </row>
    <row r="3577" spans="1:13">
      <c r="A3577" s="639">
        <v>52813</v>
      </c>
      <c r="B3577" s="639">
        <v>2200</v>
      </c>
      <c r="C3577" s="638">
        <v>5992.7079999999996</v>
      </c>
      <c r="D3577" s="633">
        <f t="shared" si="113"/>
        <v>5992.7079999999996</v>
      </c>
      <c r="E3577" s="608"/>
      <c r="F3577" s="760">
        <f t="shared" si="114"/>
        <v>2528.2933310809767</v>
      </c>
      <c r="M3577" s="443"/>
    </row>
    <row r="3578" spans="1:13">
      <c r="A3578" s="639">
        <v>52813</v>
      </c>
      <c r="B3578" s="639">
        <v>2300</v>
      </c>
      <c r="C3578" s="638">
        <v>4996.6869999999999</v>
      </c>
      <c r="D3578" s="633">
        <f t="shared" si="113"/>
        <v>4996.6869999999999</v>
      </c>
      <c r="E3578" s="608"/>
      <c r="F3578" s="760">
        <f t="shared" si="114"/>
        <v>2108.0770862853674</v>
      </c>
      <c r="M3578" s="443"/>
    </row>
    <row r="3579" spans="1:13">
      <c r="A3579" s="639">
        <v>52813</v>
      </c>
      <c r="B3579" s="639">
        <v>2400</v>
      </c>
      <c r="C3579" s="638">
        <v>4455.4350000000004</v>
      </c>
      <c r="D3579" s="633">
        <f t="shared" si="113"/>
        <v>4455.4350000000004</v>
      </c>
      <c r="E3579" s="608"/>
      <c r="F3579" s="760">
        <f t="shared" si="114"/>
        <v>1879.7255927645351</v>
      </c>
      <c r="M3579" s="443"/>
    </row>
    <row r="3580" spans="1:13">
      <c r="A3580" s="639">
        <v>52913</v>
      </c>
      <c r="B3580" s="639">
        <v>100</v>
      </c>
      <c r="C3580" s="638">
        <v>4335.8220000000001</v>
      </c>
      <c r="D3580" s="633">
        <f t="shared" si="113"/>
        <v>4335.8220000000001</v>
      </c>
      <c r="E3580" s="608"/>
      <c r="F3580" s="760">
        <f t="shared" si="114"/>
        <v>1829.2614703326415</v>
      </c>
      <c r="M3580" s="443"/>
    </row>
    <row r="3581" spans="1:13">
      <c r="A3581" s="639">
        <v>52913</v>
      </c>
      <c r="B3581" s="639">
        <v>200</v>
      </c>
      <c r="C3581" s="638">
        <v>4098.0770000000002</v>
      </c>
      <c r="D3581" s="633">
        <f t="shared" si="113"/>
        <v>4098.0770000000002</v>
      </c>
      <c r="E3581" s="608"/>
      <c r="F3581" s="760">
        <f t="shared" si="114"/>
        <v>1728.9580519118128</v>
      </c>
      <c r="M3581" s="443"/>
    </row>
    <row r="3582" spans="1:13">
      <c r="A3582" s="639">
        <v>52913</v>
      </c>
      <c r="B3582" s="639">
        <v>300</v>
      </c>
      <c r="C3582" s="638">
        <v>4261.8429999999998</v>
      </c>
      <c r="D3582" s="633">
        <f t="shared" si="113"/>
        <v>4261.8429999999998</v>
      </c>
      <c r="E3582" s="608"/>
      <c r="F3582" s="760">
        <f t="shared" si="114"/>
        <v>1798.0501027272048</v>
      </c>
      <c r="M3582" s="443"/>
    </row>
    <row r="3583" spans="1:13">
      <c r="A3583" s="639">
        <v>52913</v>
      </c>
      <c r="B3583" s="639">
        <v>400</v>
      </c>
      <c r="C3583" s="638">
        <v>4292.1480000000001</v>
      </c>
      <c r="D3583" s="633">
        <f t="shared" si="113"/>
        <v>4292.1480000000001</v>
      </c>
      <c r="E3583" s="608"/>
      <c r="F3583" s="760">
        <f t="shared" si="114"/>
        <v>1810.8356296373113</v>
      </c>
      <c r="M3583" s="443"/>
    </row>
    <row r="3584" spans="1:13">
      <c r="A3584" s="639">
        <v>52913</v>
      </c>
      <c r="B3584" s="639">
        <v>500</v>
      </c>
      <c r="C3584" s="638">
        <v>4653.5110000000004</v>
      </c>
      <c r="D3584" s="633">
        <f t="shared" si="113"/>
        <v>4653.5110000000004</v>
      </c>
      <c r="E3584" s="608"/>
      <c r="F3584" s="760">
        <f t="shared" si="114"/>
        <v>1963.2928598243011</v>
      </c>
      <c r="M3584" s="443"/>
    </row>
    <row r="3585" spans="1:13">
      <c r="A3585" s="639">
        <v>52913</v>
      </c>
      <c r="B3585" s="639">
        <v>600</v>
      </c>
      <c r="C3585" s="638">
        <v>5335.1109999999999</v>
      </c>
      <c r="D3585" s="633">
        <f t="shared" si="113"/>
        <v>5335.1109999999999</v>
      </c>
      <c r="E3585" s="608"/>
      <c r="F3585" s="760">
        <f t="shared" si="114"/>
        <v>2250.8564678734156</v>
      </c>
      <c r="M3585" s="443"/>
    </row>
    <row r="3586" spans="1:13">
      <c r="A3586" s="639">
        <v>52913</v>
      </c>
      <c r="B3586" s="639">
        <v>700</v>
      </c>
      <c r="C3586" s="638">
        <v>5759.1149999999998</v>
      </c>
      <c r="D3586" s="633">
        <f t="shared" si="113"/>
        <v>5759.1149999999998</v>
      </c>
      <c r="E3586" s="608"/>
      <c r="F3586" s="760">
        <f t="shared" si="114"/>
        <v>2429.7416205542499</v>
      </c>
      <c r="M3586" s="443"/>
    </row>
    <row r="3587" spans="1:13">
      <c r="A3587" s="639">
        <v>52913</v>
      </c>
      <c r="B3587" s="639">
        <v>800</v>
      </c>
      <c r="C3587" s="638">
        <v>5383.6660000000002</v>
      </c>
      <c r="D3587" s="633">
        <f t="shared" si="113"/>
        <v>5383.6660000000002</v>
      </c>
      <c r="E3587" s="608"/>
      <c r="F3587" s="760">
        <f t="shared" si="114"/>
        <v>2271.3415778922313</v>
      </c>
      <c r="M3587" s="443"/>
    </row>
    <row r="3588" spans="1:13">
      <c r="A3588" s="639">
        <v>52913</v>
      </c>
      <c r="B3588" s="639">
        <v>900</v>
      </c>
      <c r="C3588" s="638">
        <v>5418.51</v>
      </c>
      <c r="D3588" s="633">
        <f t="shared" si="113"/>
        <v>5418.51</v>
      </c>
      <c r="E3588" s="608"/>
      <c r="F3588" s="760">
        <f t="shared" si="114"/>
        <v>2286.0420860478407</v>
      </c>
      <c r="M3588" s="443"/>
    </row>
    <row r="3589" spans="1:13">
      <c r="A3589" s="639">
        <v>52913</v>
      </c>
      <c r="B3589" s="639">
        <v>1000</v>
      </c>
      <c r="C3589" s="638">
        <v>5787.1379999999999</v>
      </c>
      <c r="D3589" s="633">
        <f t="shared" ref="D3589:D3652" si="115">C3589</f>
        <v>5787.1379999999999</v>
      </c>
      <c r="E3589" s="608"/>
      <c r="F3589" s="760">
        <f t="shared" si="114"/>
        <v>2441.564383154544</v>
      </c>
      <c r="M3589" s="443"/>
    </row>
    <row r="3590" spans="1:13">
      <c r="A3590" s="639">
        <v>52913</v>
      </c>
      <c r="B3590" s="639">
        <v>1100</v>
      </c>
      <c r="C3590" s="638">
        <v>5515.0870000000004</v>
      </c>
      <c r="D3590" s="633">
        <f t="shared" si="115"/>
        <v>5515.0870000000004</v>
      </c>
      <c r="E3590" s="608"/>
      <c r="F3590" s="760">
        <f t="shared" si="114"/>
        <v>2326.7874360692012</v>
      </c>
      <c r="M3590" s="443"/>
    </row>
    <row r="3591" spans="1:13">
      <c r="A3591" s="639">
        <v>52913</v>
      </c>
      <c r="B3591" s="639">
        <v>1200</v>
      </c>
      <c r="C3591" s="638">
        <v>5404.9570000000003</v>
      </c>
      <c r="D3591" s="633">
        <f t="shared" si="115"/>
        <v>5404.9570000000003</v>
      </c>
      <c r="E3591" s="608"/>
      <c r="F3591" s="760">
        <f t="shared" si="114"/>
        <v>2280.3241435890827</v>
      </c>
      <c r="M3591" s="443"/>
    </row>
    <row r="3592" spans="1:13">
      <c r="A3592" s="639">
        <v>52913</v>
      </c>
      <c r="B3592" s="639">
        <v>1300</v>
      </c>
      <c r="C3592" s="638">
        <v>5435.06</v>
      </c>
      <c r="D3592" s="633">
        <f t="shared" si="115"/>
        <v>5435.06</v>
      </c>
      <c r="E3592" s="608"/>
      <c r="F3592" s="760">
        <f t="shared" si="114"/>
        <v>2293.0244477162869</v>
      </c>
      <c r="M3592" s="443"/>
    </row>
    <row r="3593" spans="1:13">
      <c r="A3593" s="639">
        <v>52913</v>
      </c>
      <c r="B3593" s="639">
        <v>1400</v>
      </c>
      <c r="C3593" s="638">
        <v>5365.808</v>
      </c>
      <c r="D3593" s="633">
        <f t="shared" si="115"/>
        <v>5365.808</v>
      </c>
      <c r="E3593" s="608"/>
      <c r="F3593" s="760">
        <f t="shared" si="114"/>
        <v>2263.8073776097472</v>
      </c>
      <c r="M3593" s="443"/>
    </row>
    <row r="3594" spans="1:13">
      <c r="A3594" s="639">
        <v>52913</v>
      </c>
      <c r="B3594" s="639">
        <v>1500</v>
      </c>
      <c r="C3594" s="638">
        <v>5594.0879999999997</v>
      </c>
      <c r="D3594" s="633">
        <f t="shared" si="115"/>
        <v>5594.0879999999997</v>
      </c>
      <c r="E3594" s="608"/>
      <c r="F3594" s="760">
        <f t="shared" si="114"/>
        <v>2360.1175601881682</v>
      </c>
      <c r="M3594" s="443"/>
    </row>
    <row r="3595" spans="1:13">
      <c r="A3595" s="639">
        <v>52913</v>
      </c>
      <c r="B3595" s="639">
        <v>1600</v>
      </c>
      <c r="C3595" s="638">
        <v>6070.2790000000005</v>
      </c>
      <c r="D3595" s="633">
        <f t="shared" si="115"/>
        <v>6070.2790000000005</v>
      </c>
      <c r="E3595" s="608"/>
      <c r="F3595" s="760">
        <f t="shared" si="114"/>
        <v>2561.0201454001931</v>
      </c>
      <c r="M3595" s="443"/>
    </row>
    <row r="3596" spans="1:13">
      <c r="A3596" s="639">
        <v>52913</v>
      </c>
      <c r="B3596" s="639">
        <v>1700</v>
      </c>
      <c r="C3596" s="638">
        <v>6569.5720000000001</v>
      </c>
      <c r="D3596" s="633">
        <f t="shared" si="115"/>
        <v>6569.5720000000001</v>
      </c>
      <c r="E3596" s="608"/>
      <c r="F3596" s="760">
        <f t="shared" si="114"/>
        <v>2771.6693480904314</v>
      </c>
      <c r="M3596" s="443"/>
    </row>
    <row r="3597" spans="1:13">
      <c r="A3597" s="639">
        <v>52913</v>
      </c>
      <c r="B3597" s="639">
        <v>1800</v>
      </c>
      <c r="C3597" s="638">
        <v>6739.1239999999998</v>
      </c>
      <c r="D3597" s="633">
        <f t="shared" si="115"/>
        <v>6739.1239999999998</v>
      </c>
      <c r="E3597" s="608"/>
      <c r="F3597" s="760">
        <f t="shared" si="114"/>
        <v>2843.2024831725084</v>
      </c>
      <c r="M3597" s="443"/>
    </row>
    <row r="3598" spans="1:13">
      <c r="A3598" s="639">
        <v>52913</v>
      </c>
      <c r="B3598" s="639">
        <v>1900</v>
      </c>
      <c r="C3598" s="638">
        <v>6947.2060000000001</v>
      </c>
      <c r="D3598" s="633">
        <f t="shared" si="115"/>
        <v>6947.2060000000001</v>
      </c>
      <c r="E3598" s="608"/>
      <c r="F3598" s="760">
        <f t="shared" si="114"/>
        <v>2930.9912312506713</v>
      </c>
      <c r="M3598" s="443"/>
    </row>
    <row r="3599" spans="1:13">
      <c r="A3599" s="639">
        <v>52913</v>
      </c>
      <c r="B3599" s="639">
        <v>2000</v>
      </c>
      <c r="C3599" s="638">
        <v>7203.9279999999999</v>
      </c>
      <c r="D3599" s="633">
        <f t="shared" si="115"/>
        <v>7203.9279999999999</v>
      </c>
      <c r="E3599" s="608"/>
      <c r="F3599" s="760">
        <f t="shared" si="114"/>
        <v>3039.300950419663</v>
      </c>
      <c r="M3599" s="443"/>
    </row>
    <row r="3600" spans="1:13">
      <c r="A3600" s="639">
        <v>52913</v>
      </c>
      <c r="B3600" s="639">
        <v>2100</v>
      </c>
      <c r="C3600" s="638">
        <v>7645.4939999999997</v>
      </c>
      <c r="D3600" s="633">
        <f t="shared" si="115"/>
        <v>7645.4939999999997</v>
      </c>
      <c r="E3600" s="608"/>
      <c r="F3600" s="760">
        <f t="shared" si="114"/>
        <v>3225.5954224733828</v>
      </c>
      <c r="M3600" s="443"/>
    </row>
    <row r="3601" spans="1:13">
      <c r="A3601" s="639">
        <v>52913</v>
      </c>
      <c r="B3601" s="639">
        <v>2200</v>
      </c>
      <c r="C3601" s="638">
        <v>7030.2780000000002</v>
      </c>
      <c r="D3601" s="633">
        <f t="shared" si="115"/>
        <v>7030.2780000000002</v>
      </c>
      <c r="E3601" s="608"/>
      <c r="F3601" s="760">
        <f t="shared" si="114"/>
        <v>2966.038889771587</v>
      </c>
      <c r="M3601" s="443"/>
    </row>
    <row r="3602" spans="1:13">
      <c r="A3602" s="639">
        <v>52913</v>
      </c>
      <c r="B3602" s="639">
        <v>2300</v>
      </c>
      <c r="C3602" s="638">
        <v>5954.9939999999997</v>
      </c>
      <c r="D3602" s="633">
        <f t="shared" si="115"/>
        <v>5954.9939999999997</v>
      </c>
      <c r="E3602" s="608"/>
      <c r="F3602" s="760">
        <f t="shared" si="114"/>
        <v>2512.3819843762167</v>
      </c>
      <c r="M3602" s="443"/>
    </row>
    <row r="3603" spans="1:13">
      <c r="A3603" s="639">
        <v>52913</v>
      </c>
      <c r="B3603" s="639">
        <v>2400</v>
      </c>
      <c r="C3603" s="638">
        <v>5168.9059999999999</v>
      </c>
      <c r="D3603" s="633">
        <f t="shared" si="115"/>
        <v>5168.9059999999999</v>
      </c>
      <c r="E3603" s="608"/>
      <c r="F3603" s="760">
        <f t="shared" si="114"/>
        <v>2180.7354152387279</v>
      </c>
      <c r="M3603" s="443"/>
    </row>
    <row r="3604" spans="1:13">
      <c r="A3604" s="639">
        <v>53013</v>
      </c>
      <c r="B3604" s="639">
        <v>100</v>
      </c>
      <c r="C3604" s="638">
        <v>4649.2579999999998</v>
      </c>
      <c r="D3604" s="633">
        <f t="shared" si="115"/>
        <v>4649.2579999999998</v>
      </c>
      <c r="E3604" s="608"/>
      <c r="F3604" s="760">
        <f t="shared" si="114"/>
        <v>1961.4985405387479</v>
      </c>
      <c r="M3604" s="443"/>
    </row>
    <row r="3605" spans="1:13">
      <c r="A3605" s="639">
        <v>53013</v>
      </c>
      <c r="B3605" s="639">
        <v>200</v>
      </c>
      <c r="C3605" s="638">
        <v>4375.0609999999997</v>
      </c>
      <c r="D3605" s="633">
        <f t="shared" si="115"/>
        <v>4375.0609999999997</v>
      </c>
      <c r="E3605" s="608"/>
      <c r="F3605" s="760">
        <f t="shared" si="114"/>
        <v>1845.8162068588138</v>
      </c>
      <c r="M3605" s="443"/>
    </row>
    <row r="3606" spans="1:13">
      <c r="A3606" s="639">
        <v>53013</v>
      </c>
      <c r="B3606" s="639">
        <v>300</v>
      </c>
      <c r="C3606" s="638">
        <v>4440.6729999999998</v>
      </c>
      <c r="D3606" s="633">
        <f t="shared" si="115"/>
        <v>4440.6729999999998</v>
      </c>
      <c r="E3606" s="608"/>
      <c r="F3606" s="760">
        <f t="shared" si="114"/>
        <v>1873.4975792932598</v>
      </c>
      <c r="M3606" s="443"/>
    </row>
    <row r="3607" spans="1:13">
      <c r="A3607" s="639">
        <v>53013</v>
      </c>
      <c r="B3607" s="639">
        <v>400</v>
      </c>
      <c r="C3607" s="638">
        <v>4404.8509999999997</v>
      </c>
      <c r="D3607" s="633">
        <f t="shared" si="115"/>
        <v>4404.8509999999997</v>
      </c>
      <c r="E3607" s="608"/>
      <c r="F3607" s="760">
        <f t="shared" si="114"/>
        <v>1858.3844578620169</v>
      </c>
      <c r="M3607" s="443"/>
    </row>
    <row r="3608" spans="1:13">
      <c r="A3608" s="639">
        <v>53013</v>
      </c>
      <c r="B3608" s="639">
        <v>500</v>
      </c>
      <c r="C3608" s="638">
        <v>4635.4690000000001</v>
      </c>
      <c r="D3608" s="633">
        <f t="shared" si="115"/>
        <v>4635.4690000000001</v>
      </c>
      <c r="E3608" s="608"/>
      <c r="F3608" s="760">
        <f t="shared" si="114"/>
        <v>1955.6810308682827</v>
      </c>
      <c r="M3608" s="443"/>
    </row>
    <row r="3609" spans="1:13">
      <c r="A3609" s="639">
        <v>53013</v>
      </c>
      <c r="B3609" s="639">
        <v>600</v>
      </c>
      <c r="C3609" s="638">
        <v>5328.6790000000001</v>
      </c>
      <c r="D3609" s="633">
        <f t="shared" si="115"/>
        <v>5328.6790000000001</v>
      </c>
      <c r="E3609" s="608"/>
      <c r="F3609" s="760">
        <f t="shared" si="114"/>
        <v>2248.1428394594313</v>
      </c>
      <c r="M3609" s="443"/>
    </row>
    <row r="3610" spans="1:13">
      <c r="A3610" s="639">
        <v>53013</v>
      </c>
      <c r="B3610" s="639">
        <v>700</v>
      </c>
      <c r="C3610" s="638">
        <v>5920.6189999999997</v>
      </c>
      <c r="D3610" s="633">
        <f t="shared" si="115"/>
        <v>5920.6189999999997</v>
      </c>
      <c r="E3610" s="608"/>
      <c r="F3610" s="760">
        <f t="shared" si="114"/>
        <v>2497.8793449591271</v>
      </c>
      <c r="M3610" s="443"/>
    </row>
    <row r="3611" spans="1:13">
      <c r="A3611" s="639">
        <v>53013</v>
      </c>
      <c r="B3611" s="639">
        <v>800</v>
      </c>
      <c r="C3611" s="638">
        <v>6240.7120000000004</v>
      </c>
      <c r="D3611" s="633">
        <f t="shared" si="115"/>
        <v>6240.7120000000004</v>
      </c>
      <c r="E3611" s="608"/>
      <c r="F3611" s="760">
        <f t="shared" si="114"/>
        <v>2632.9249699463126</v>
      </c>
      <c r="M3611" s="443"/>
    </row>
    <row r="3612" spans="1:13">
      <c r="A3612" s="639">
        <v>53013</v>
      </c>
      <c r="B3612" s="639">
        <v>900</v>
      </c>
      <c r="C3612" s="638">
        <v>6401.8829999999998</v>
      </c>
      <c r="D3612" s="633">
        <f t="shared" si="115"/>
        <v>6401.8829999999998</v>
      </c>
      <c r="E3612" s="608"/>
      <c r="F3612" s="760">
        <f t="shared" ref="F3612:F3651" si="116">(D3612/(MAX($D$2908:$D$3651)))*$M$8</f>
        <v>2700.9222033278907</v>
      </c>
      <c r="M3612" s="443"/>
    </row>
    <row r="3613" spans="1:13">
      <c r="A3613" s="639">
        <v>53013</v>
      </c>
      <c r="B3613" s="639">
        <v>1000</v>
      </c>
      <c r="C3613" s="638">
        <v>6488.0559999999996</v>
      </c>
      <c r="D3613" s="633">
        <f t="shared" si="115"/>
        <v>6488.0559999999996</v>
      </c>
      <c r="E3613" s="608"/>
      <c r="F3613" s="760">
        <f t="shared" si="116"/>
        <v>2737.2781581348395</v>
      </c>
      <c r="M3613" s="443"/>
    </row>
    <row r="3614" spans="1:13">
      <c r="A3614" s="639">
        <v>53013</v>
      </c>
      <c r="B3614" s="639">
        <v>1100</v>
      </c>
      <c r="C3614" s="638">
        <v>6652.4840000000004</v>
      </c>
      <c r="D3614" s="633">
        <f t="shared" si="115"/>
        <v>6652.4840000000004</v>
      </c>
      <c r="E3614" s="608"/>
      <c r="F3614" s="760">
        <f t="shared" si="116"/>
        <v>2806.6495034169698</v>
      </c>
      <c r="M3614" s="443"/>
    </row>
    <row r="3615" spans="1:13">
      <c r="A3615" s="639">
        <v>53013</v>
      </c>
      <c r="B3615" s="639">
        <v>1200</v>
      </c>
      <c r="C3615" s="638">
        <v>6911.4520000000002</v>
      </c>
      <c r="D3615" s="633">
        <f t="shared" si="115"/>
        <v>6911.4520000000002</v>
      </c>
      <c r="E3615" s="608"/>
      <c r="F3615" s="760">
        <f t="shared" si="116"/>
        <v>2915.9067986770388</v>
      </c>
      <c r="M3615" s="443"/>
    </row>
    <row r="3616" spans="1:13">
      <c r="A3616" s="639">
        <v>53013</v>
      </c>
      <c r="B3616" s="639">
        <v>1300</v>
      </c>
      <c r="C3616" s="638">
        <v>6980.3490000000002</v>
      </c>
      <c r="D3616" s="633">
        <f t="shared" si="115"/>
        <v>6980.3490000000002</v>
      </c>
      <c r="E3616" s="608"/>
      <c r="F3616" s="760">
        <f t="shared" si="116"/>
        <v>2944.9740960710524</v>
      </c>
      <c r="M3616" s="443"/>
    </row>
    <row r="3617" spans="1:13">
      <c r="A3617" s="639">
        <v>53013</v>
      </c>
      <c r="B3617" s="639">
        <v>1400</v>
      </c>
      <c r="C3617" s="638">
        <v>7173.2659999999996</v>
      </c>
      <c r="D3617" s="633">
        <f t="shared" si="115"/>
        <v>7173.2659999999996</v>
      </c>
      <c r="E3617" s="608"/>
      <c r="F3617" s="760">
        <f t="shared" si="116"/>
        <v>3026.3648070071017</v>
      </c>
      <c r="M3617" s="443"/>
    </row>
    <row r="3618" spans="1:13">
      <c r="A3618" s="639">
        <v>53013</v>
      </c>
      <c r="B3618" s="639">
        <v>1500</v>
      </c>
      <c r="C3618" s="638">
        <v>7686.0069999999996</v>
      </c>
      <c r="D3618" s="633">
        <f t="shared" si="115"/>
        <v>7686.0069999999996</v>
      </c>
      <c r="E3618" s="608"/>
      <c r="F3618" s="760">
        <f t="shared" si="116"/>
        <v>3242.6876531847879</v>
      </c>
      <c r="M3618" s="443"/>
    </row>
    <row r="3619" spans="1:13">
      <c r="A3619" s="639">
        <v>53013</v>
      </c>
      <c r="B3619" s="639">
        <v>1600</v>
      </c>
      <c r="C3619" s="638">
        <v>8048.7830000000004</v>
      </c>
      <c r="D3619" s="633">
        <f t="shared" si="115"/>
        <v>8048.7830000000004</v>
      </c>
      <c r="E3619" s="608"/>
      <c r="F3619" s="760">
        <f t="shared" si="116"/>
        <v>3395.7410209571262</v>
      </c>
      <c r="M3619" s="443"/>
    </row>
    <row r="3620" spans="1:13">
      <c r="A3620" s="639">
        <v>53013</v>
      </c>
      <c r="B3620" s="639">
        <v>1700</v>
      </c>
      <c r="C3620" s="638">
        <v>8118.7049999999999</v>
      </c>
      <c r="D3620" s="633">
        <f t="shared" si="115"/>
        <v>8118.7049999999999</v>
      </c>
      <c r="E3620" s="608"/>
      <c r="F3620" s="760">
        <f t="shared" si="116"/>
        <v>3425.2407606901224</v>
      </c>
      <c r="M3620" s="443"/>
    </row>
    <row r="3621" spans="1:13">
      <c r="A3621" s="639">
        <v>53013</v>
      </c>
      <c r="B3621" s="639">
        <v>1800</v>
      </c>
      <c r="C3621" s="638">
        <v>8340.7170000000006</v>
      </c>
      <c r="D3621" s="633">
        <f t="shared" si="115"/>
        <v>8340.7170000000006</v>
      </c>
      <c r="E3621" s="608"/>
      <c r="F3621" s="760">
        <f t="shared" si="116"/>
        <v>3518.9065056287964</v>
      </c>
      <c r="M3621" s="443"/>
    </row>
    <row r="3622" spans="1:13">
      <c r="A3622" s="639">
        <v>53013</v>
      </c>
      <c r="B3622" s="639">
        <v>1900</v>
      </c>
      <c r="C3622" s="638">
        <v>8417.0149999999994</v>
      </c>
      <c r="D3622" s="633">
        <f t="shared" si="115"/>
        <v>8417.0149999999994</v>
      </c>
      <c r="E3622" s="608"/>
      <c r="F3622" s="760">
        <f t="shared" si="116"/>
        <v>3551.0962476577447</v>
      </c>
      <c r="M3622" s="443"/>
    </row>
    <row r="3623" spans="1:13">
      <c r="A3623" s="639">
        <v>53013</v>
      </c>
      <c r="B3623" s="639">
        <v>2000</v>
      </c>
      <c r="C3623" s="638">
        <v>8525.9310000000005</v>
      </c>
      <c r="D3623" s="633">
        <f t="shared" si="115"/>
        <v>8525.9310000000005</v>
      </c>
      <c r="E3623" s="608"/>
      <c r="F3623" s="760">
        <f t="shared" si="116"/>
        <v>3597.0473596505226</v>
      </c>
      <c r="M3623" s="443"/>
    </row>
    <row r="3624" spans="1:13">
      <c r="A3624" s="639">
        <v>53013</v>
      </c>
      <c r="B3624" s="639">
        <v>2100</v>
      </c>
      <c r="C3624" s="638">
        <v>8817.23</v>
      </c>
      <c r="D3624" s="633">
        <f t="shared" si="115"/>
        <v>8817.23</v>
      </c>
      <c r="E3624" s="608"/>
      <c r="F3624" s="760">
        <f t="shared" si="116"/>
        <v>3719.9449410195057</v>
      </c>
      <c r="M3624" s="443"/>
    </row>
    <row r="3625" spans="1:13">
      <c r="A3625" s="639">
        <v>53013</v>
      </c>
      <c r="B3625" s="639">
        <v>2200</v>
      </c>
      <c r="C3625" s="638">
        <v>7943.6350000000002</v>
      </c>
      <c r="D3625" s="633">
        <f t="shared" si="115"/>
        <v>7943.6350000000002</v>
      </c>
      <c r="E3625" s="608"/>
      <c r="F3625" s="760">
        <f t="shared" si="116"/>
        <v>3351.3796091919439</v>
      </c>
      <c r="M3625" s="443"/>
    </row>
    <row r="3626" spans="1:13">
      <c r="A3626" s="639">
        <v>53013</v>
      </c>
      <c r="B3626" s="639">
        <v>2300</v>
      </c>
      <c r="C3626" s="638">
        <v>6690.91</v>
      </c>
      <c r="D3626" s="633">
        <f t="shared" si="115"/>
        <v>6690.91</v>
      </c>
      <c r="E3626" s="608"/>
      <c r="F3626" s="760">
        <f t="shared" si="116"/>
        <v>2822.8612393367102</v>
      </c>
      <c r="M3626" s="443"/>
    </row>
    <row r="3627" spans="1:13">
      <c r="A3627" s="639">
        <v>53013</v>
      </c>
      <c r="B3627" s="639">
        <v>2400</v>
      </c>
      <c r="C3627" s="638">
        <v>5756.7460000000001</v>
      </c>
      <c r="D3627" s="633">
        <f t="shared" si="115"/>
        <v>5756.7460000000001</v>
      </c>
      <c r="E3627" s="608"/>
      <c r="F3627" s="760">
        <f t="shared" si="116"/>
        <v>2428.7421513824952</v>
      </c>
      <c r="M3627" s="443"/>
    </row>
    <row r="3628" spans="1:13">
      <c r="A3628" s="639">
        <v>53113</v>
      </c>
      <c r="B3628" s="639">
        <v>100</v>
      </c>
      <c r="C3628" s="638">
        <v>5230.4610000000002</v>
      </c>
      <c r="D3628" s="633">
        <f t="shared" si="115"/>
        <v>5230.4610000000002</v>
      </c>
      <c r="E3628" s="608"/>
      <c r="F3628" s="760">
        <f t="shared" si="116"/>
        <v>2206.7051598007342</v>
      </c>
      <c r="M3628" s="443"/>
    </row>
    <row r="3629" spans="1:13">
      <c r="A3629" s="639">
        <v>53113</v>
      </c>
      <c r="B3629" s="639">
        <v>200</v>
      </c>
      <c r="C3629" s="638">
        <v>4870.0870000000004</v>
      </c>
      <c r="D3629" s="633">
        <f t="shared" si="115"/>
        <v>4870.0870000000004</v>
      </c>
      <c r="E3629" s="608"/>
      <c r="F3629" s="760">
        <f t="shared" si="116"/>
        <v>2054.6651837339919</v>
      </c>
      <c r="M3629" s="443"/>
    </row>
    <row r="3630" spans="1:13">
      <c r="A3630" s="639">
        <v>53113</v>
      </c>
      <c r="B3630" s="639">
        <v>300</v>
      </c>
      <c r="C3630" s="638">
        <v>4648.9979999999996</v>
      </c>
      <c r="D3630" s="633">
        <f t="shared" si="115"/>
        <v>4648.9979999999996</v>
      </c>
      <c r="E3630" s="608"/>
      <c r="F3630" s="760">
        <f t="shared" si="116"/>
        <v>1961.3888478478843</v>
      </c>
      <c r="M3630" s="443"/>
    </row>
    <row r="3631" spans="1:13">
      <c r="A3631" s="639">
        <v>53113</v>
      </c>
      <c r="B3631" s="639">
        <v>400</v>
      </c>
      <c r="C3631" s="638">
        <v>4576.5050000000001</v>
      </c>
      <c r="D3631" s="633">
        <f t="shared" si="115"/>
        <v>4576.5050000000001</v>
      </c>
      <c r="E3631" s="608"/>
      <c r="F3631" s="760">
        <f t="shared" si="116"/>
        <v>1930.8044161602311</v>
      </c>
      <c r="M3631" s="443"/>
    </row>
    <row r="3632" spans="1:13">
      <c r="A3632" s="639">
        <v>53113</v>
      </c>
      <c r="B3632" s="639">
        <v>500</v>
      </c>
      <c r="C3632" s="638">
        <v>4776.183</v>
      </c>
      <c r="D3632" s="633">
        <f t="shared" si="115"/>
        <v>4776.183</v>
      </c>
      <c r="E3632" s="608"/>
      <c r="F3632" s="760">
        <f t="shared" si="116"/>
        <v>2015.0475589537041</v>
      </c>
      <c r="M3632" s="443"/>
    </row>
    <row r="3633" spans="1:13">
      <c r="A3633" s="639">
        <v>53113</v>
      </c>
      <c r="B3633" s="639">
        <v>600</v>
      </c>
      <c r="C3633" s="638">
        <v>5441.1030000000001</v>
      </c>
      <c r="D3633" s="633">
        <f t="shared" si="115"/>
        <v>5441.1030000000001</v>
      </c>
      <c r="E3633" s="608"/>
      <c r="F3633" s="760">
        <f t="shared" si="116"/>
        <v>2295.5739589889404</v>
      </c>
      <c r="M3633" s="443"/>
    </row>
    <row r="3634" spans="1:13">
      <c r="A3634" s="639">
        <v>53113</v>
      </c>
      <c r="B3634" s="639">
        <v>700</v>
      </c>
      <c r="C3634" s="638">
        <v>6323.5</v>
      </c>
      <c r="D3634" s="633">
        <f t="shared" si="115"/>
        <v>6323.5</v>
      </c>
      <c r="E3634" s="608"/>
      <c r="F3634" s="760">
        <f t="shared" si="116"/>
        <v>2667.8528102972073</v>
      </c>
      <c r="M3634" s="443"/>
    </row>
    <row r="3635" spans="1:13">
      <c r="A3635" s="639">
        <v>53113</v>
      </c>
      <c r="B3635" s="639">
        <v>800</v>
      </c>
      <c r="C3635" s="638">
        <v>6653.2380000000003</v>
      </c>
      <c r="D3635" s="633">
        <f t="shared" si="115"/>
        <v>6653.2380000000003</v>
      </c>
      <c r="E3635" s="608"/>
      <c r="F3635" s="760">
        <f t="shared" si="116"/>
        <v>2806.9676122204746</v>
      </c>
      <c r="M3635" s="443"/>
    </row>
    <row r="3636" spans="1:13">
      <c r="A3636" s="639">
        <v>53113</v>
      </c>
      <c r="B3636" s="639">
        <v>900</v>
      </c>
      <c r="C3636" s="638">
        <v>6932.402</v>
      </c>
      <c r="D3636" s="633">
        <f t="shared" si="115"/>
        <v>6932.402</v>
      </c>
      <c r="E3636" s="608"/>
      <c r="F3636" s="760">
        <f t="shared" si="116"/>
        <v>2924.7454981908722</v>
      </c>
      <c r="M3636" s="443"/>
    </row>
    <row r="3637" spans="1:13">
      <c r="A3637" s="639">
        <v>53113</v>
      </c>
      <c r="B3637" s="639">
        <v>1000</v>
      </c>
      <c r="C3637" s="638">
        <v>7192.2539999999999</v>
      </c>
      <c r="D3637" s="633">
        <f t="shared" si="115"/>
        <v>7192.2539999999999</v>
      </c>
      <c r="E3637" s="608"/>
      <c r="F3637" s="760">
        <f t="shared" si="116"/>
        <v>3034.3757485998781</v>
      </c>
      <c r="M3637" s="443"/>
    </row>
    <row r="3638" spans="1:13">
      <c r="A3638" s="639">
        <v>53113</v>
      </c>
      <c r="B3638" s="639">
        <v>1100</v>
      </c>
      <c r="C3638" s="638">
        <v>7536.3969999999999</v>
      </c>
      <c r="D3638" s="633">
        <f t="shared" si="115"/>
        <v>7536.3969999999999</v>
      </c>
      <c r="E3638" s="608"/>
      <c r="F3638" s="760">
        <f t="shared" si="116"/>
        <v>3179.5679474919652</v>
      </c>
      <c r="M3638" s="443"/>
    </row>
    <row r="3639" spans="1:13">
      <c r="A3639" s="639">
        <v>53113</v>
      </c>
      <c r="B3639" s="639">
        <v>1200</v>
      </c>
      <c r="C3639" s="638">
        <v>7671.4790000000003</v>
      </c>
      <c r="D3639" s="633">
        <f t="shared" si="115"/>
        <v>7671.4790000000003</v>
      </c>
      <c r="E3639" s="608"/>
      <c r="F3639" s="760">
        <f t="shared" si="116"/>
        <v>3236.5583631352906</v>
      </c>
      <c r="M3639" s="443"/>
    </row>
    <row r="3640" spans="1:13">
      <c r="A3640" s="639">
        <v>53113</v>
      </c>
      <c r="B3640" s="639">
        <v>1300</v>
      </c>
      <c r="C3640" s="638">
        <v>7919.9750000000004</v>
      </c>
      <c r="D3640" s="633">
        <f t="shared" si="115"/>
        <v>7919.9750000000004</v>
      </c>
      <c r="E3640" s="608"/>
      <c r="F3640" s="760">
        <f t="shared" si="116"/>
        <v>3341.3975743233373</v>
      </c>
      <c r="M3640" s="443"/>
    </row>
    <row r="3641" spans="1:13">
      <c r="A3641" s="639">
        <v>53113</v>
      </c>
      <c r="B3641" s="639">
        <v>1400</v>
      </c>
      <c r="C3641" s="638">
        <v>8051.33</v>
      </c>
      <c r="D3641" s="633">
        <f t="shared" si="115"/>
        <v>8051.33</v>
      </c>
      <c r="E3641" s="608"/>
      <c r="F3641" s="760">
        <f t="shared" si="116"/>
        <v>3396.8155874326267</v>
      </c>
      <c r="M3641" s="443"/>
    </row>
    <row r="3642" spans="1:13">
      <c r="A3642" s="639">
        <v>53113</v>
      </c>
      <c r="B3642" s="639">
        <v>1500</v>
      </c>
      <c r="C3642" s="638">
        <v>8372.5779999999995</v>
      </c>
      <c r="D3642" s="633">
        <f t="shared" si="115"/>
        <v>8372.5779999999995</v>
      </c>
      <c r="E3642" s="608"/>
      <c r="F3642" s="760">
        <f t="shared" si="116"/>
        <v>3532.3485011042253</v>
      </c>
      <c r="M3642" s="443"/>
    </row>
    <row r="3643" spans="1:13">
      <c r="A3643" s="639">
        <v>53113</v>
      </c>
      <c r="B3643" s="639">
        <v>1600</v>
      </c>
      <c r="C3643" s="638">
        <v>8747.5040000000008</v>
      </c>
      <c r="D3643" s="633">
        <f t="shared" si="115"/>
        <v>8747.5040000000008</v>
      </c>
      <c r="E3643" s="608"/>
      <c r="F3643" s="760">
        <f t="shared" si="116"/>
        <v>3690.5278926996225</v>
      </c>
      <c r="M3643" s="443"/>
    </row>
    <row r="3644" spans="1:13">
      <c r="A3644" s="639">
        <v>53113</v>
      </c>
      <c r="B3644" s="639">
        <v>1700</v>
      </c>
      <c r="C3644" s="638">
        <v>8873.268</v>
      </c>
      <c r="D3644" s="633">
        <f t="shared" si="115"/>
        <v>8873.268</v>
      </c>
      <c r="E3644" s="608"/>
      <c r="F3644" s="760">
        <f t="shared" si="116"/>
        <v>3743.5870910603749</v>
      </c>
      <c r="M3644" s="443"/>
    </row>
    <row r="3645" spans="1:13">
      <c r="A3645" s="639">
        <v>53113</v>
      </c>
      <c r="B3645" s="639">
        <v>1800</v>
      </c>
      <c r="C3645" s="638">
        <v>8865.8780000000006</v>
      </c>
      <c r="D3645" s="633">
        <f t="shared" si="115"/>
        <v>8865.8780000000006</v>
      </c>
      <c r="E3645" s="608"/>
      <c r="F3645" s="760">
        <f t="shared" si="116"/>
        <v>3740.4692872700539</v>
      </c>
      <c r="M3645" s="443"/>
    </row>
    <row r="3646" spans="1:13">
      <c r="A3646" s="639">
        <v>53113</v>
      </c>
      <c r="B3646" s="639">
        <v>1900</v>
      </c>
      <c r="C3646" s="638">
        <v>8373.0390000000007</v>
      </c>
      <c r="D3646" s="633">
        <f t="shared" si="115"/>
        <v>8373.0390000000007</v>
      </c>
      <c r="E3646" s="608"/>
      <c r="F3646" s="760">
        <f t="shared" si="116"/>
        <v>3532.5429946830272</v>
      </c>
      <c r="M3646" s="443"/>
    </row>
    <row r="3647" spans="1:13">
      <c r="A3647" s="639">
        <v>53113</v>
      </c>
      <c r="B3647" s="639">
        <v>2000</v>
      </c>
      <c r="C3647" s="638">
        <v>8081.0129999999999</v>
      </c>
      <c r="D3647" s="633">
        <f t="shared" si="115"/>
        <v>8081.0129999999999</v>
      </c>
      <c r="E3647" s="608"/>
      <c r="F3647" s="760">
        <f t="shared" si="116"/>
        <v>3409.3386956745894</v>
      </c>
      <c r="M3647" s="443"/>
    </row>
    <row r="3648" spans="1:13">
      <c r="A3648" s="639">
        <v>53113</v>
      </c>
      <c r="B3648" s="639">
        <v>2100</v>
      </c>
      <c r="C3648" s="638">
        <v>8210.2070000000003</v>
      </c>
      <c r="D3648" s="633">
        <f t="shared" si="115"/>
        <v>8210.2070000000003</v>
      </c>
      <c r="E3648" s="608"/>
      <c r="F3648" s="760">
        <f t="shared" si="116"/>
        <v>3463.8449937648147</v>
      </c>
      <c r="M3648" s="443"/>
    </row>
    <row r="3649" spans="1:13">
      <c r="A3649" s="639">
        <v>53113</v>
      </c>
      <c r="B3649" s="639">
        <v>2200</v>
      </c>
      <c r="C3649" s="638">
        <v>7595.4849999999997</v>
      </c>
      <c r="D3649" s="633">
        <f t="shared" si="115"/>
        <v>7595.4849999999997</v>
      </c>
      <c r="E3649" s="608"/>
      <c r="F3649" s="760">
        <f t="shared" si="116"/>
        <v>3204.4968771756598</v>
      </c>
      <c r="M3649" s="443"/>
    </row>
    <row r="3650" spans="1:13">
      <c r="A3650" s="639">
        <v>53113</v>
      </c>
      <c r="B3650" s="639">
        <v>2300</v>
      </c>
      <c r="C3650" s="638">
        <v>6612.4780000000001</v>
      </c>
      <c r="D3650" s="633">
        <f t="shared" si="115"/>
        <v>6612.4780000000001</v>
      </c>
      <c r="E3650" s="608"/>
      <c r="F3650" s="760">
        <f t="shared" si="116"/>
        <v>2789.7711734527488</v>
      </c>
      <c r="M3650" s="443"/>
    </row>
    <row r="3651" spans="1:13">
      <c r="A3651" s="639">
        <v>53113</v>
      </c>
      <c r="B3651" s="639">
        <v>2400</v>
      </c>
      <c r="C3651" s="638">
        <v>5721.2740000000003</v>
      </c>
      <c r="D3651" s="633">
        <f t="shared" si="115"/>
        <v>5721.2740000000003</v>
      </c>
      <c r="E3651" s="608"/>
      <c r="F3651" s="760">
        <f t="shared" si="116"/>
        <v>2413.7766931889532</v>
      </c>
      <c r="M3651" s="443"/>
    </row>
    <row r="3652" spans="1:13">
      <c r="A3652" s="639">
        <v>60113</v>
      </c>
      <c r="B3652" s="639">
        <v>100</v>
      </c>
      <c r="C3652" s="638">
        <v>5150.6130000000003</v>
      </c>
      <c r="D3652" s="633">
        <f t="shared" si="115"/>
        <v>5150.6130000000003</v>
      </c>
      <c r="E3652" s="608"/>
      <c r="F3652" s="760">
        <f t="shared" ref="F3652:F3715" si="117">(D3652/(MAX($D$3652:$D$4371)))*$M$9</f>
        <v>2173.0176906465294</v>
      </c>
      <c r="M3652" s="443"/>
    </row>
    <row r="3653" spans="1:13">
      <c r="A3653" s="639">
        <v>60113</v>
      </c>
      <c r="B3653" s="639">
        <v>200</v>
      </c>
      <c r="C3653" s="638">
        <v>4789.7709999999997</v>
      </c>
      <c r="D3653" s="633">
        <f t="shared" ref="D3653:D3716" si="118">C3653</f>
        <v>4789.7709999999997</v>
      </c>
      <c r="E3653" s="608"/>
      <c r="F3653" s="760">
        <f t="shared" si="117"/>
        <v>2020.780267736232</v>
      </c>
      <c r="M3653" s="443"/>
    </row>
    <row r="3654" spans="1:13">
      <c r="A3654" s="639">
        <v>60113</v>
      </c>
      <c r="B3654" s="639">
        <v>300</v>
      </c>
      <c r="C3654" s="638">
        <v>4604.9139999999998</v>
      </c>
      <c r="D3654" s="633">
        <f t="shared" si="118"/>
        <v>4604.9139999999998</v>
      </c>
      <c r="E3654" s="608"/>
      <c r="F3654" s="760">
        <f t="shared" si="117"/>
        <v>1942.790030216961</v>
      </c>
      <c r="M3654" s="443"/>
    </row>
    <row r="3655" spans="1:13">
      <c r="A3655" s="639">
        <v>60113</v>
      </c>
      <c r="B3655" s="639">
        <v>400</v>
      </c>
      <c r="C3655" s="638">
        <v>4533.5969999999998</v>
      </c>
      <c r="D3655" s="633">
        <f t="shared" si="118"/>
        <v>4533.5969999999998</v>
      </c>
      <c r="E3655" s="608"/>
      <c r="F3655" s="760">
        <f t="shared" si="117"/>
        <v>1912.7017470079838</v>
      </c>
      <c r="M3655" s="443"/>
    </row>
    <row r="3656" spans="1:13">
      <c r="A3656" s="639">
        <v>60113</v>
      </c>
      <c r="B3656" s="639">
        <v>500</v>
      </c>
      <c r="C3656" s="638">
        <v>4530.1710000000003</v>
      </c>
      <c r="D3656" s="633">
        <f t="shared" si="118"/>
        <v>4530.1710000000003</v>
      </c>
      <c r="E3656" s="608"/>
      <c r="F3656" s="760">
        <f t="shared" si="117"/>
        <v>1911.2563348583712</v>
      </c>
      <c r="M3656" s="443"/>
    </row>
    <row r="3657" spans="1:13">
      <c r="A3657" s="639">
        <v>60113</v>
      </c>
      <c r="B3657" s="639">
        <v>600</v>
      </c>
      <c r="C3657" s="638">
        <v>4713.5789999999997</v>
      </c>
      <c r="D3657" s="633">
        <f t="shared" si="118"/>
        <v>4713.5789999999997</v>
      </c>
      <c r="E3657" s="608"/>
      <c r="F3657" s="760">
        <f t="shared" si="117"/>
        <v>1988.6352465735588</v>
      </c>
      <c r="M3657" s="443"/>
    </row>
    <row r="3658" spans="1:13">
      <c r="A3658" s="639">
        <v>60113</v>
      </c>
      <c r="B3658" s="639">
        <v>700</v>
      </c>
      <c r="C3658" s="638">
        <v>5286.3869999999997</v>
      </c>
      <c r="D3658" s="633">
        <f t="shared" si="118"/>
        <v>5286.3869999999997</v>
      </c>
      <c r="E3658" s="608"/>
      <c r="F3658" s="760">
        <f t="shared" si="117"/>
        <v>2230.3000576055383</v>
      </c>
      <c r="M3658" s="443"/>
    </row>
    <row r="3659" spans="1:13">
      <c r="A3659" s="639">
        <v>60113</v>
      </c>
      <c r="B3659" s="639">
        <v>800</v>
      </c>
      <c r="C3659" s="638">
        <v>5876.0929999999998</v>
      </c>
      <c r="D3659" s="633">
        <f t="shared" si="118"/>
        <v>5876.0929999999998</v>
      </c>
      <c r="E3659" s="608"/>
      <c r="F3659" s="760">
        <f t="shared" si="117"/>
        <v>2479.0940497537354</v>
      </c>
      <c r="M3659" s="443"/>
    </row>
    <row r="3660" spans="1:13">
      <c r="A3660" s="639">
        <v>60113</v>
      </c>
      <c r="B3660" s="639">
        <v>900</v>
      </c>
      <c r="C3660" s="638">
        <v>6324.7610000000004</v>
      </c>
      <c r="D3660" s="633">
        <f t="shared" si="118"/>
        <v>6324.7610000000004</v>
      </c>
      <c r="E3660" s="608"/>
      <c r="F3660" s="760">
        <f t="shared" si="117"/>
        <v>2668.3848198478968</v>
      </c>
      <c r="M3660" s="443"/>
    </row>
    <row r="3661" spans="1:13">
      <c r="A3661" s="639">
        <v>60113</v>
      </c>
      <c r="B3661" s="639">
        <v>1000</v>
      </c>
      <c r="C3661" s="638">
        <v>6750.1509999999998</v>
      </c>
      <c r="D3661" s="633">
        <f t="shared" si="118"/>
        <v>6750.1509999999998</v>
      </c>
      <c r="E3661" s="608"/>
      <c r="F3661" s="760">
        <f t="shared" si="117"/>
        <v>2847.8547189500282</v>
      </c>
      <c r="M3661" s="443"/>
    </row>
    <row r="3662" spans="1:13">
      <c r="A3662" s="639">
        <v>60113</v>
      </c>
      <c r="B3662" s="639">
        <v>1100</v>
      </c>
      <c r="C3662" s="638">
        <v>7186.1980000000003</v>
      </c>
      <c r="D3662" s="633">
        <f t="shared" si="118"/>
        <v>7186.1980000000003</v>
      </c>
      <c r="E3662" s="608"/>
      <c r="F3662" s="760">
        <f t="shared" si="117"/>
        <v>3031.8207526926813</v>
      </c>
      <c r="M3662" s="443"/>
    </row>
    <row r="3663" spans="1:13">
      <c r="A3663" s="639">
        <v>60113</v>
      </c>
      <c r="B3663" s="639">
        <v>1200</v>
      </c>
      <c r="C3663" s="638">
        <v>7453.0150000000003</v>
      </c>
      <c r="D3663" s="633">
        <f t="shared" si="118"/>
        <v>7453.0150000000003</v>
      </c>
      <c r="E3663" s="608"/>
      <c r="F3663" s="760">
        <f t="shared" si="117"/>
        <v>3144.3895015319426</v>
      </c>
      <c r="M3663" s="443"/>
    </row>
    <row r="3664" spans="1:13">
      <c r="A3664" s="639">
        <v>60113</v>
      </c>
      <c r="B3664" s="639">
        <v>1300</v>
      </c>
      <c r="C3664" s="638">
        <v>7672.6940000000004</v>
      </c>
      <c r="D3664" s="633">
        <f t="shared" si="118"/>
        <v>7672.6940000000004</v>
      </c>
      <c r="E3664" s="608"/>
      <c r="F3664" s="760">
        <f t="shared" si="117"/>
        <v>3237.0709655175965</v>
      </c>
      <c r="M3664" s="443"/>
    </row>
    <row r="3665" spans="1:13">
      <c r="A3665" s="639">
        <v>60113</v>
      </c>
      <c r="B3665" s="639">
        <v>1400</v>
      </c>
      <c r="C3665" s="638">
        <v>7697.11</v>
      </c>
      <c r="D3665" s="633">
        <f t="shared" si="118"/>
        <v>7697.11</v>
      </c>
      <c r="E3665" s="608"/>
      <c r="F3665" s="760">
        <f t="shared" si="117"/>
        <v>3247.3719529796372</v>
      </c>
      <c r="M3665" s="443"/>
    </row>
    <row r="3666" spans="1:13">
      <c r="A3666" s="639">
        <v>60113</v>
      </c>
      <c r="B3666" s="639">
        <v>1500</v>
      </c>
      <c r="C3666" s="638">
        <v>7495.1689999999999</v>
      </c>
      <c r="D3666" s="633">
        <f t="shared" si="118"/>
        <v>7495.1689999999999</v>
      </c>
      <c r="E3666" s="608"/>
      <c r="F3666" s="760">
        <f t="shared" si="117"/>
        <v>3162.1740618806843</v>
      </c>
      <c r="M3666" s="443"/>
    </row>
    <row r="3667" spans="1:13">
      <c r="A3667" s="639">
        <v>60113</v>
      </c>
      <c r="B3667" s="639">
        <v>1600</v>
      </c>
      <c r="C3667" s="638">
        <v>7334.3050000000003</v>
      </c>
      <c r="D3667" s="633">
        <f t="shared" si="118"/>
        <v>7334.3050000000003</v>
      </c>
      <c r="E3667" s="608"/>
      <c r="F3667" s="760">
        <f t="shared" si="117"/>
        <v>3094.3063502533182</v>
      </c>
      <c r="M3667" s="443"/>
    </row>
    <row r="3668" spans="1:13">
      <c r="A3668" s="639">
        <v>60113</v>
      </c>
      <c r="B3668" s="639">
        <v>1700</v>
      </c>
      <c r="C3668" s="638">
        <v>7660.1509999999998</v>
      </c>
      <c r="D3668" s="633">
        <f t="shared" si="118"/>
        <v>7660.1509999999998</v>
      </c>
      <c r="E3668" s="608"/>
      <c r="F3668" s="760">
        <f t="shared" si="117"/>
        <v>3231.7791369733468</v>
      </c>
      <c r="M3668" s="443"/>
    </row>
    <row r="3669" spans="1:13">
      <c r="A3669" s="639">
        <v>60113</v>
      </c>
      <c r="B3669" s="639">
        <v>1800</v>
      </c>
      <c r="C3669" s="638">
        <v>7670.6790000000001</v>
      </c>
      <c r="D3669" s="633">
        <f t="shared" si="118"/>
        <v>7670.6790000000001</v>
      </c>
      <c r="E3669" s="608"/>
      <c r="F3669" s="760">
        <f t="shared" si="117"/>
        <v>3236.2208471634017</v>
      </c>
      <c r="M3669" s="443"/>
    </row>
    <row r="3670" spans="1:13">
      <c r="A3670" s="639">
        <v>60113</v>
      </c>
      <c r="B3670" s="639">
        <v>1900</v>
      </c>
      <c r="C3670" s="638">
        <v>7556.4859999999999</v>
      </c>
      <c r="D3670" s="633">
        <f t="shared" si="118"/>
        <v>7556.4859999999999</v>
      </c>
      <c r="E3670" s="608"/>
      <c r="F3670" s="760">
        <f t="shared" si="117"/>
        <v>3188.0433954410532</v>
      </c>
      <c r="M3670" s="443"/>
    </row>
    <row r="3671" spans="1:13">
      <c r="A3671" s="639">
        <v>60113</v>
      </c>
      <c r="B3671" s="639">
        <v>2000</v>
      </c>
      <c r="C3671" s="638">
        <v>7343.3639999999996</v>
      </c>
      <c r="D3671" s="633">
        <f t="shared" si="118"/>
        <v>7343.3639999999996</v>
      </c>
      <c r="E3671" s="608"/>
      <c r="F3671" s="760">
        <f t="shared" si="117"/>
        <v>3098.128296739992</v>
      </c>
      <c r="M3671" s="443"/>
    </row>
    <row r="3672" spans="1:13">
      <c r="A3672" s="639">
        <v>60113</v>
      </c>
      <c r="B3672" s="639">
        <v>2100</v>
      </c>
      <c r="C3672" s="638">
        <v>7451.9960000000001</v>
      </c>
      <c r="D3672" s="633">
        <f t="shared" si="118"/>
        <v>7451.9960000000001</v>
      </c>
      <c r="E3672" s="608"/>
      <c r="F3672" s="760">
        <f t="shared" si="117"/>
        <v>3143.9595905627493</v>
      </c>
      <c r="M3672" s="443"/>
    </row>
    <row r="3673" spans="1:13">
      <c r="A3673" s="639">
        <v>60113</v>
      </c>
      <c r="B3673" s="639">
        <v>2200</v>
      </c>
      <c r="C3673" s="638">
        <v>7085.92</v>
      </c>
      <c r="D3673" s="633">
        <f t="shared" si="118"/>
        <v>7085.92</v>
      </c>
      <c r="E3673" s="608"/>
      <c r="F3673" s="760">
        <f t="shared" si="117"/>
        <v>2989.513969406371</v>
      </c>
      <c r="M3673" s="443"/>
    </row>
    <row r="3674" spans="1:13">
      <c r="A3674" s="639">
        <v>60113</v>
      </c>
      <c r="B3674" s="639">
        <v>2300</v>
      </c>
      <c r="C3674" s="638">
        <v>6197.8729999999996</v>
      </c>
      <c r="D3674" s="633">
        <f t="shared" si="118"/>
        <v>6197.8729999999996</v>
      </c>
      <c r="E3674" s="608"/>
      <c r="F3674" s="760">
        <f t="shared" si="117"/>
        <v>2614.8514115466405</v>
      </c>
      <c r="M3674" s="443"/>
    </row>
    <row r="3675" spans="1:13">
      <c r="A3675" s="639">
        <v>60113</v>
      </c>
      <c r="B3675" s="639">
        <v>2400</v>
      </c>
      <c r="C3675" s="638">
        <v>5425.7420000000002</v>
      </c>
      <c r="D3675" s="633">
        <f t="shared" si="118"/>
        <v>5425.7420000000002</v>
      </c>
      <c r="E3675" s="608"/>
      <c r="F3675" s="760">
        <f t="shared" si="117"/>
        <v>2289.0932304337134</v>
      </c>
      <c r="M3675" s="443"/>
    </row>
    <row r="3676" spans="1:13">
      <c r="A3676" s="639">
        <v>60213</v>
      </c>
      <c r="B3676" s="639">
        <v>100</v>
      </c>
      <c r="C3676" s="638">
        <v>4911.3980000000001</v>
      </c>
      <c r="D3676" s="633">
        <f t="shared" si="118"/>
        <v>4911.3980000000001</v>
      </c>
      <c r="E3676" s="608"/>
      <c r="F3676" s="760">
        <f t="shared" si="117"/>
        <v>2072.0940866273554</v>
      </c>
      <c r="M3676" s="443"/>
    </row>
    <row r="3677" spans="1:13">
      <c r="A3677" s="639">
        <v>60213</v>
      </c>
      <c r="B3677" s="639">
        <v>200</v>
      </c>
      <c r="C3677" s="638">
        <v>4563.085</v>
      </c>
      <c r="D3677" s="633">
        <f t="shared" si="118"/>
        <v>4563.085</v>
      </c>
      <c r="E3677" s="608"/>
      <c r="F3677" s="760">
        <f t="shared" si="117"/>
        <v>1925.142585731799</v>
      </c>
      <c r="M3677" s="443"/>
    </row>
    <row r="3678" spans="1:13">
      <c r="A3678" s="639">
        <v>60213</v>
      </c>
      <c r="B3678" s="639">
        <v>300</v>
      </c>
      <c r="C3678" s="638">
        <v>4357.7330000000002</v>
      </c>
      <c r="D3678" s="633">
        <f t="shared" si="118"/>
        <v>4357.7330000000002</v>
      </c>
      <c r="E3678" s="608"/>
      <c r="F3678" s="760">
        <f t="shared" si="117"/>
        <v>1838.5056109077061</v>
      </c>
      <c r="M3678" s="443"/>
    </row>
    <row r="3679" spans="1:13">
      <c r="A3679" s="639">
        <v>60213</v>
      </c>
      <c r="B3679" s="639">
        <v>400</v>
      </c>
      <c r="C3679" s="638">
        <v>4294.7820000000002</v>
      </c>
      <c r="D3679" s="633">
        <f t="shared" si="118"/>
        <v>4294.7820000000002</v>
      </c>
      <c r="E3679" s="608"/>
      <c r="F3679" s="760">
        <f t="shared" si="117"/>
        <v>1811.9469009747543</v>
      </c>
      <c r="M3679" s="443"/>
    </row>
    <row r="3680" spans="1:13">
      <c r="A3680" s="639">
        <v>60213</v>
      </c>
      <c r="B3680" s="639">
        <v>500</v>
      </c>
      <c r="C3680" s="638">
        <v>4302.5910000000003</v>
      </c>
      <c r="D3680" s="633">
        <f t="shared" si="118"/>
        <v>4302.5910000000003</v>
      </c>
      <c r="E3680" s="608"/>
      <c r="F3680" s="760">
        <f t="shared" si="117"/>
        <v>1815.2414787553523</v>
      </c>
      <c r="M3680" s="443"/>
    </row>
    <row r="3681" spans="1:13">
      <c r="A3681" s="639">
        <v>60213</v>
      </c>
      <c r="B3681" s="639">
        <v>600</v>
      </c>
      <c r="C3681" s="638">
        <v>4534.0010000000002</v>
      </c>
      <c r="D3681" s="633">
        <f t="shared" si="118"/>
        <v>4534.0010000000002</v>
      </c>
      <c r="E3681" s="608"/>
      <c r="F3681" s="760">
        <f t="shared" si="117"/>
        <v>1912.872192573788</v>
      </c>
      <c r="M3681" s="443"/>
    </row>
    <row r="3682" spans="1:13">
      <c r="A3682" s="639">
        <v>60213</v>
      </c>
      <c r="B3682" s="639">
        <v>700</v>
      </c>
      <c r="C3682" s="638">
        <v>4982.7110000000002</v>
      </c>
      <c r="D3682" s="633">
        <f t="shared" si="118"/>
        <v>4982.7110000000002</v>
      </c>
      <c r="E3682" s="608"/>
      <c r="F3682" s="760">
        <f t="shared" si="117"/>
        <v>2102.1806822564731</v>
      </c>
      <c r="M3682" s="443"/>
    </row>
    <row r="3683" spans="1:13">
      <c r="A3683" s="639">
        <v>60213</v>
      </c>
      <c r="B3683" s="639">
        <v>800</v>
      </c>
      <c r="C3683" s="638">
        <v>5563.701</v>
      </c>
      <c r="D3683" s="633">
        <f t="shared" si="118"/>
        <v>5563.701</v>
      </c>
      <c r="E3683" s="608"/>
      <c r="F3683" s="760">
        <f t="shared" si="117"/>
        <v>2347.2974378909435</v>
      </c>
      <c r="M3683" s="443"/>
    </row>
    <row r="3684" spans="1:13">
      <c r="A3684" s="639">
        <v>60213</v>
      </c>
      <c r="B3684" s="639">
        <v>900</v>
      </c>
      <c r="C3684" s="638">
        <v>6212.848</v>
      </c>
      <c r="D3684" s="633">
        <f t="shared" si="118"/>
        <v>6212.848</v>
      </c>
      <c r="E3684" s="608"/>
      <c r="F3684" s="760">
        <f t="shared" si="117"/>
        <v>2621.1692886454312</v>
      </c>
      <c r="M3684" s="443"/>
    </row>
    <row r="3685" spans="1:13">
      <c r="A3685" s="639">
        <v>60213</v>
      </c>
      <c r="B3685" s="639">
        <v>1000</v>
      </c>
      <c r="C3685" s="638">
        <v>6659.5320000000002</v>
      </c>
      <c r="D3685" s="633">
        <f t="shared" si="118"/>
        <v>6659.5320000000002</v>
      </c>
      <c r="E3685" s="608"/>
      <c r="F3685" s="760">
        <f t="shared" si="117"/>
        <v>2809.623019129308</v>
      </c>
      <c r="M3685" s="443"/>
    </row>
    <row r="3686" spans="1:13">
      <c r="A3686" s="639">
        <v>60213</v>
      </c>
      <c r="B3686" s="639">
        <v>1100</v>
      </c>
      <c r="C3686" s="638">
        <v>6858.9009999999998</v>
      </c>
      <c r="D3686" s="633">
        <f t="shared" si="118"/>
        <v>6858.9009999999998</v>
      </c>
      <c r="E3686" s="608"/>
      <c r="F3686" s="760">
        <f t="shared" si="117"/>
        <v>2893.735796378639</v>
      </c>
      <c r="M3686" s="443"/>
    </row>
    <row r="3687" spans="1:13">
      <c r="A3687" s="639">
        <v>60213</v>
      </c>
      <c r="B3687" s="639">
        <v>1200</v>
      </c>
      <c r="C3687" s="638">
        <v>6846.58</v>
      </c>
      <c r="D3687" s="633">
        <f t="shared" si="118"/>
        <v>6846.58</v>
      </c>
      <c r="E3687" s="608"/>
      <c r="F3687" s="760">
        <f t="shared" si="117"/>
        <v>2888.5376285165889</v>
      </c>
      <c r="M3687" s="443"/>
    </row>
    <row r="3688" spans="1:13">
      <c r="A3688" s="639">
        <v>60213</v>
      </c>
      <c r="B3688" s="639">
        <v>1300</v>
      </c>
      <c r="C3688" s="638">
        <v>7100.9560000000001</v>
      </c>
      <c r="D3688" s="633">
        <f t="shared" si="118"/>
        <v>7100.9560000000001</v>
      </c>
      <c r="E3688" s="608"/>
      <c r="F3688" s="760">
        <f t="shared" si="117"/>
        <v>2995.8575820980177</v>
      </c>
      <c r="M3688" s="443"/>
    </row>
    <row r="3689" spans="1:13">
      <c r="A3689" s="639">
        <v>60213</v>
      </c>
      <c r="B3689" s="639">
        <v>1400</v>
      </c>
      <c r="C3689" s="638">
        <v>6898.8329999999996</v>
      </c>
      <c r="D3689" s="633">
        <f t="shared" si="118"/>
        <v>6898.8329999999996</v>
      </c>
      <c r="E3689" s="608"/>
      <c r="F3689" s="760">
        <f t="shared" si="117"/>
        <v>2910.5829061154595</v>
      </c>
      <c r="M3689" s="443"/>
    </row>
    <row r="3690" spans="1:13">
      <c r="A3690" s="639">
        <v>60213</v>
      </c>
      <c r="B3690" s="639">
        <v>1500</v>
      </c>
      <c r="C3690" s="638">
        <v>6967.9939999999997</v>
      </c>
      <c r="D3690" s="633">
        <f t="shared" si="118"/>
        <v>6967.9939999999997</v>
      </c>
      <c r="E3690" s="608"/>
      <c r="F3690" s="760">
        <f t="shared" si="117"/>
        <v>2939.7615837801968</v>
      </c>
      <c r="M3690" s="443"/>
    </row>
    <row r="3691" spans="1:13">
      <c r="A3691" s="639">
        <v>60213</v>
      </c>
      <c r="B3691" s="639">
        <v>1600</v>
      </c>
      <c r="C3691" s="638">
        <v>7174.1729999999998</v>
      </c>
      <c r="D3691" s="633">
        <f t="shared" si="118"/>
        <v>7174.1729999999998</v>
      </c>
      <c r="E3691" s="608"/>
      <c r="F3691" s="760">
        <f t="shared" si="117"/>
        <v>3026.7474657402299</v>
      </c>
      <c r="M3691" s="443"/>
    </row>
    <row r="3692" spans="1:13">
      <c r="A3692" s="639">
        <v>60213</v>
      </c>
      <c r="B3692" s="639">
        <v>1700</v>
      </c>
      <c r="C3692" s="638">
        <v>7338.96</v>
      </c>
      <c r="D3692" s="633">
        <f t="shared" si="118"/>
        <v>7338.96</v>
      </c>
      <c r="E3692" s="608"/>
      <c r="F3692" s="760">
        <f t="shared" si="117"/>
        <v>3096.2702713147451</v>
      </c>
      <c r="M3692" s="443"/>
    </row>
    <row r="3693" spans="1:13">
      <c r="A3693" s="639">
        <v>60213</v>
      </c>
      <c r="B3693" s="639">
        <v>1800</v>
      </c>
      <c r="C3693" s="638">
        <v>7185.87</v>
      </c>
      <c r="D3693" s="633">
        <f t="shared" si="118"/>
        <v>7185.87</v>
      </c>
      <c r="E3693" s="608"/>
      <c r="F3693" s="760">
        <f t="shared" si="117"/>
        <v>3031.6823711442071</v>
      </c>
      <c r="M3693" s="443"/>
    </row>
    <row r="3694" spans="1:13">
      <c r="A3694" s="639">
        <v>60213</v>
      </c>
      <c r="B3694" s="639">
        <v>1900</v>
      </c>
      <c r="C3694" s="638">
        <v>6931.8670000000002</v>
      </c>
      <c r="D3694" s="633">
        <f t="shared" si="118"/>
        <v>6931.8670000000002</v>
      </c>
      <c r="E3694" s="608"/>
      <c r="F3694" s="760">
        <f t="shared" si="117"/>
        <v>2924.5197843846713</v>
      </c>
      <c r="M3694" s="443"/>
    </row>
    <row r="3695" spans="1:13">
      <c r="A3695" s="639">
        <v>60213</v>
      </c>
      <c r="B3695" s="639">
        <v>2000</v>
      </c>
      <c r="C3695" s="638">
        <v>6666.3209999999999</v>
      </c>
      <c r="D3695" s="633">
        <f t="shared" si="118"/>
        <v>6666.3209999999999</v>
      </c>
      <c r="E3695" s="608"/>
      <c r="F3695" s="760">
        <f t="shared" si="117"/>
        <v>2812.4872640457479</v>
      </c>
      <c r="M3695" s="443"/>
    </row>
    <row r="3696" spans="1:13">
      <c r="A3696" s="639">
        <v>60213</v>
      </c>
      <c r="B3696" s="639">
        <v>2100</v>
      </c>
      <c r="C3696" s="638">
        <v>6756.4930000000004</v>
      </c>
      <c r="D3696" s="633">
        <f t="shared" si="118"/>
        <v>6756.4930000000004</v>
      </c>
      <c r="E3696" s="608"/>
      <c r="F3696" s="760">
        <f t="shared" si="117"/>
        <v>2850.5303768171752</v>
      </c>
      <c r="M3696" s="443"/>
    </row>
    <row r="3697" spans="1:13">
      <c r="A3697" s="639">
        <v>60213</v>
      </c>
      <c r="B3697" s="639">
        <v>2200</v>
      </c>
      <c r="C3697" s="638">
        <v>6141.5870000000004</v>
      </c>
      <c r="D3697" s="633">
        <f t="shared" si="118"/>
        <v>6141.5870000000004</v>
      </c>
      <c r="E3697" s="608"/>
      <c r="F3697" s="760">
        <f t="shared" si="117"/>
        <v>2591.1046315544863</v>
      </c>
      <c r="M3697" s="443"/>
    </row>
    <row r="3698" spans="1:13">
      <c r="A3698" s="639">
        <v>60213</v>
      </c>
      <c r="B3698" s="639">
        <v>2300</v>
      </c>
      <c r="C3698" s="638">
        <v>5201.759</v>
      </c>
      <c r="D3698" s="633">
        <f t="shared" si="118"/>
        <v>5201.759</v>
      </c>
      <c r="E3698" s="608"/>
      <c r="F3698" s="760">
        <f t="shared" si="117"/>
        <v>2194.5959305192991</v>
      </c>
      <c r="M3698" s="443"/>
    </row>
    <row r="3699" spans="1:13">
      <c r="A3699" s="639">
        <v>60213</v>
      </c>
      <c r="B3699" s="639">
        <v>2400</v>
      </c>
      <c r="C3699" s="638">
        <v>4477.817</v>
      </c>
      <c r="D3699" s="633">
        <f t="shared" si="118"/>
        <v>4477.817</v>
      </c>
      <c r="E3699" s="608"/>
      <c r="F3699" s="760">
        <f t="shared" si="117"/>
        <v>1889.1684458680493</v>
      </c>
      <c r="M3699" s="443"/>
    </row>
    <row r="3700" spans="1:13">
      <c r="A3700" s="639">
        <v>60313</v>
      </c>
      <c r="B3700" s="639">
        <v>100</v>
      </c>
      <c r="C3700" s="638">
        <v>4134.5690000000004</v>
      </c>
      <c r="D3700" s="633">
        <f t="shared" si="118"/>
        <v>4134.5690000000004</v>
      </c>
      <c r="E3700" s="608"/>
      <c r="F3700" s="760">
        <f t="shared" si="117"/>
        <v>1744.3538429695127</v>
      </c>
      <c r="M3700" s="443"/>
    </row>
    <row r="3701" spans="1:13">
      <c r="A3701" s="639">
        <v>60313</v>
      </c>
      <c r="B3701" s="639">
        <v>200</v>
      </c>
      <c r="C3701" s="638">
        <v>4027.2739999999999</v>
      </c>
      <c r="D3701" s="633">
        <f t="shared" si="118"/>
        <v>4027.2739999999999</v>
      </c>
      <c r="E3701" s="608"/>
      <c r="F3701" s="760">
        <f t="shared" si="117"/>
        <v>1699.086622714774</v>
      </c>
      <c r="M3701" s="443"/>
    </row>
    <row r="3702" spans="1:13">
      <c r="A3702" s="639">
        <v>60313</v>
      </c>
      <c r="B3702" s="639">
        <v>300</v>
      </c>
      <c r="C3702" s="638">
        <v>3995.4259999999999</v>
      </c>
      <c r="D3702" s="633">
        <f t="shared" si="118"/>
        <v>3995.4259999999999</v>
      </c>
      <c r="E3702" s="608"/>
      <c r="F3702" s="760">
        <f t="shared" si="117"/>
        <v>1685.6501118738877</v>
      </c>
      <c r="M3702" s="443"/>
    </row>
    <row r="3703" spans="1:13">
      <c r="A3703" s="639">
        <v>60313</v>
      </c>
      <c r="B3703" s="639">
        <v>400</v>
      </c>
      <c r="C3703" s="638">
        <v>4101.2610000000004</v>
      </c>
      <c r="D3703" s="633">
        <f t="shared" si="118"/>
        <v>4101.2610000000004</v>
      </c>
      <c r="E3703" s="608"/>
      <c r="F3703" s="760">
        <f t="shared" si="117"/>
        <v>1730.3013654799297</v>
      </c>
      <c r="M3703" s="443"/>
    </row>
    <row r="3704" spans="1:13">
      <c r="A3704" s="639">
        <v>60313</v>
      </c>
      <c r="B3704" s="639">
        <v>500</v>
      </c>
      <c r="C3704" s="638">
        <v>4397.4319999999998</v>
      </c>
      <c r="D3704" s="633">
        <f t="shared" si="118"/>
        <v>4397.4319999999998</v>
      </c>
      <c r="E3704" s="608"/>
      <c r="F3704" s="760">
        <f t="shared" si="117"/>
        <v>1855.2544191177144</v>
      </c>
      <c r="M3704" s="443"/>
    </row>
    <row r="3705" spans="1:13">
      <c r="A3705" s="639">
        <v>60313</v>
      </c>
      <c r="B3705" s="639">
        <v>600</v>
      </c>
      <c r="C3705" s="638">
        <v>4998.3950000000004</v>
      </c>
      <c r="D3705" s="633">
        <f t="shared" si="118"/>
        <v>4998.3950000000004</v>
      </c>
      <c r="E3705" s="608"/>
      <c r="F3705" s="760">
        <f t="shared" si="117"/>
        <v>2108.7976828853498</v>
      </c>
      <c r="M3705" s="443"/>
    </row>
    <row r="3706" spans="1:13">
      <c r="A3706" s="639">
        <v>60313</v>
      </c>
      <c r="B3706" s="639">
        <v>700</v>
      </c>
      <c r="C3706" s="638">
        <v>5586.2830000000004</v>
      </c>
      <c r="D3706" s="633">
        <f t="shared" si="118"/>
        <v>5586.2830000000004</v>
      </c>
      <c r="E3706" s="608"/>
      <c r="F3706" s="760">
        <f t="shared" si="117"/>
        <v>2356.8246699874303</v>
      </c>
      <c r="M3706" s="443"/>
    </row>
    <row r="3707" spans="1:13">
      <c r="A3707" s="639">
        <v>60313</v>
      </c>
      <c r="B3707" s="639">
        <v>800</v>
      </c>
      <c r="C3707" s="638">
        <v>5681.0720000000001</v>
      </c>
      <c r="D3707" s="633">
        <f t="shared" si="118"/>
        <v>5681.0720000000001</v>
      </c>
      <c r="E3707" s="608"/>
      <c r="F3707" s="760">
        <f t="shared" si="117"/>
        <v>2396.8156718116193</v>
      </c>
      <c r="M3707" s="443"/>
    </row>
    <row r="3708" spans="1:13">
      <c r="A3708" s="639">
        <v>60313</v>
      </c>
      <c r="B3708" s="639">
        <v>900</v>
      </c>
      <c r="C3708" s="638">
        <v>5233.0280000000002</v>
      </c>
      <c r="D3708" s="633">
        <f t="shared" si="118"/>
        <v>5233.0280000000002</v>
      </c>
      <c r="E3708" s="608"/>
      <c r="F3708" s="760">
        <f t="shared" si="117"/>
        <v>2207.7881641755316</v>
      </c>
      <c r="M3708" s="443"/>
    </row>
    <row r="3709" spans="1:13">
      <c r="A3709" s="639">
        <v>60313</v>
      </c>
      <c r="B3709" s="639">
        <v>1000</v>
      </c>
      <c r="C3709" s="638">
        <v>5085.7860000000001</v>
      </c>
      <c r="D3709" s="633">
        <f t="shared" si="118"/>
        <v>5085.7860000000001</v>
      </c>
      <c r="E3709" s="608"/>
      <c r="F3709" s="760">
        <f t="shared" si="117"/>
        <v>2145.6675057594989</v>
      </c>
      <c r="M3709" s="443"/>
    </row>
    <row r="3710" spans="1:13">
      <c r="A3710" s="639">
        <v>60313</v>
      </c>
      <c r="B3710" s="639">
        <v>1100</v>
      </c>
      <c r="C3710" s="638">
        <v>5014.915</v>
      </c>
      <c r="D3710" s="633">
        <f t="shared" si="118"/>
        <v>5014.915</v>
      </c>
      <c r="E3710" s="608"/>
      <c r="F3710" s="760">
        <f t="shared" si="117"/>
        <v>2115.7673877048496</v>
      </c>
      <c r="M3710" s="443"/>
    </row>
    <row r="3711" spans="1:13">
      <c r="A3711" s="639">
        <v>60313</v>
      </c>
      <c r="B3711" s="639">
        <v>1200</v>
      </c>
      <c r="C3711" s="638">
        <v>5014.576</v>
      </c>
      <c r="D3711" s="633">
        <f t="shared" si="118"/>
        <v>5014.576</v>
      </c>
      <c r="E3711" s="608"/>
      <c r="F3711" s="760">
        <f t="shared" si="117"/>
        <v>2115.6243653117622</v>
      </c>
      <c r="M3711" s="443"/>
    </row>
    <row r="3712" spans="1:13">
      <c r="A3712" s="639">
        <v>60313</v>
      </c>
      <c r="B3712" s="639">
        <v>1300</v>
      </c>
      <c r="C3712" s="638">
        <v>4957.3379999999997</v>
      </c>
      <c r="D3712" s="633">
        <f t="shared" si="118"/>
        <v>4957.3379999999997</v>
      </c>
      <c r="E3712" s="608"/>
      <c r="F3712" s="760">
        <f t="shared" si="117"/>
        <v>2091.47594131306</v>
      </c>
      <c r="M3712" s="443"/>
    </row>
    <row r="3713" spans="1:13">
      <c r="A3713" s="639">
        <v>60313</v>
      </c>
      <c r="B3713" s="639">
        <v>1400</v>
      </c>
      <c r="C3713" s="638">
        <v>4934.8630000000003</v>
      </c>
      <c r="D3713" s="633">
        <f t="shared" si="118"/>
        <v>4934.8630000000003</v>
      </c>
      <c r="E3713" s="608"/>
      <c r="F3713" s="760">
        <f t="shared" si="117"/>
        <v>2081.9938519778143</v>
      </c>
      <c r="M3713" s="443"/>
    </row>
    <row r="3714" spans="1:13">
      <c r="A3714" s="639">
        <v>60313</v>
      </c>
      <c r="B3714" s="639">
        <v>1500</v>
      </c>
      <c r="C3714" s="638">
        <v>5093.5780000000004</v>
      </c>
      <c r="D3714" s="633">
        <f t="shared" si="118"/>
        <v>5093.5780000000004</v>
      </c>
      <c r="E3714" s="608"/>
      <c r="F3714" s="760">
        <f t="shared" si="117"/>
        <v>2148.9549113256944</v>
      </c>
      <c r="M3714" s="443"/>
    </row>
    <row r="3715" spans="1:13">
      <c r="A3715" s="639">
        <v>60313</v>
      </c>
      <c r="B3715" s="639">
        <v>1600</v>
      </c>
      <c r="C3715" s="638">
        <v>5266.7259999999997</v>
      </c>
      <c r="D3715" s="633">
        <f t="shared" si="118"/>
        <v>5266.7259999999997</v>
      </c>
      <c r="E3715" s="608"/>
      <c r="F3715" s="760">
        <f t="shared" si="117"/>
        <v>2222.0051807014102</v>
      </c>
      <c r="M3715" s="443"/>
    </row>
    <row r="3716" spans="1:13">
      <c r="A3716" s="639">
        <v>60313</v>
      </c>
      <c r="B3716" s="639">
        <v>1700</v>
      </c>
      <c r="C3716" s="638">
        <v>5734.8530000000001</v>
      </c>
      <c r="D3716" s="633">
        <f t="shared" si="118"/>
        <v>5734.8530000000001</v>
      </c>
      <c r="E3716" s="608"/>
      <c r="F3716" s="760">
        <f t="shared" ref="F3716:F3779" si="119">(D3716/(MAX($D$3652:$D$4371)))*$M$9</f>
        <v>2419.5056049167979</v>
      </c>
      <c r="M3716" s="443"/>
    </row>
    <row r="3717" spans="1:13">
      <c r="A3717" s="639">
        <v>60313</v>
      </c>
      <c r="B3717" s="639">
        <v>1800</v>
      </c>
      <c r="C3717" s="638">
        <v>5972.8720000000003</v>
      </c>
      <c r="D3717" s="633">
        <f t="shared" ref="D3717:D3780" si="120">C3717</f>
        <v>5972.8720000000003</v>
      </c>
      <c r="E3717" s="608"/>
      <c r="F3717" s="760">
        <f t="shared" si="119"/>
        <v>2519.9246225579977</v>
      </c>
      <c r="M3717" s="443"/>
    </row>
    <row r="3718" spans="1:13">
      <c r="A3718" s="639">
        <v>60313</v>
      </c>
      <c r="B3718" s="639">
        <v>1900</v>
      </c>
      <c r="C3718" s="638">
        <v>5996.6859999999997</v>
      </c>
      <c r="D3718" s="633">
        <f t="shared" si="120"/>
        <v>5996.6859999999997</v>
      </c>
      <c r="E3718" s="608"/>
      <c r="F3718" s="760">
        <f t="shared" si="119"/>
        <v>2529.9716292511926</v>
      </c>
      <c r="M3718" s="443"/>
    </row>
    <row r="3719" spans="1:13">
      <c r="A3719" s="639">
        <v>60313</v>
      </c>
      <c r="B3719" s="639">
        <v>2000</v>
      </c>
      <c r="C3719" s="638">
        <v>6207.2569999999996</v>
      </c>
      <c r="D3719" s="633">
        <f t="shared" si="120"/>
        <v>6207.2569999999996</v>
      </c>
      <c r="E3719" s="608"/>
      <c r="F3719" s="760">
        <f t="shared" si="119"/>
        <v>2618.8104738968937</v>
      </c>
      <c r="M3719" s="443"/>
    </row>
    <row r="3720" spans="1:13">
      <c r="A3720" s="639">
        <v>60313</v>
      </c>
      <c r="B3720" s="639">
        <v>2100</v>
      </c>
      <c r="C3720" s="638">
        <v>6587.0789999999997</v>
      </c>
      <c r="D3720" s="633">
        <f t="shared" si="120"/>
        <v>6587.0789999999997</v>
      </c>
      <c r="E3720" s="608"/>
      <c r="F3720" s="760">
        <f t="shared" si="119"/>
        <v>2779.0554632402491</v>
      </c>
      <c r="M3720" s="443"/>
    </row>
    <row r="3721" spans="1:13">
      <c r="A3721" s="639">
        <v>60313</v>
      </c>
      <c r="B3721" s="639">
        <v>2200</v>
      </c>
      <c r="C3721" s="638">
        <v>6114.9480000000003</v>
      </c>
      <c r="D3721" s="633">
        <f t="shared" si="120"/>
        <v>6114.9480000000003</v>
      </c>
      <c r="E3721" s="608"/>
      <c r="F3721" s="760">
        <f t="shared" si="119"/>
        <v>2579.8657715855597</v>
      </c>
      <c r="M3721" s="443"/>
    </row>
    <row r="3722" spans="1:13">
      <c r="A3722" s="639">
        <v>60313</v>
      </c>
      <c r="B3722" s="639">
        <v>2300</v>
      </c>
      <c r="C3722" s="638">
        <v>5122.9179999999997</v>
      </c>
      <c r="D3722" s="633">
        <f t="shared" si="120"/>
        <v>5122.9179999999997</v>
      </c>
      <c r="E3722" s="608"/>
      <c r="F3722" s="760">
        <f t="shared" si="119"/>
        <v>2161.3333095947096</v>
      </c>
      <c r="M3722" s="443"/>
    </row>
    <row r="3723" spans="1:13">
      <c r="A3723" s="639">
        <v>60313</v>
      </c>
      <c r="B3723" s="639">
        <v>2400</v>
      </c>
      <c r="C3723" s="638">
        <v>4467.1819999999998</v>
      </c>
      <c r="D3723" s="633">
        <f t="shared" si="120"/>
        <v>4467.1819999999998</v>
      </c>
      <c r="E3723" s="608"/>
      <c r="F3723" s="760">
        <f t="shared" si="119"/>
        <v>1884.6815929167547</v>
      </c>
      <c r="M3723" s="443"/>
    </row>
    <row r="3724" spans="1:13">
      <c r="A3724" s="639">
        <v>60413</v>
      </c>
      <c r="B3724" s="639">
        <v>100</v>
      </c>
      <c r="C3724" s="638">
        <v>4154.7430000000004</v>
      </c>
      <c r="D3724" s="633">
        <f t="shared" si="120"/>
        <v>4154.7430000000004</v>
      </c>
      <c r="E3724" s="608"/>
      <c r="F3724" s="760">
        <f t="shared" si="119"/>
        <v>1752.8651519906145</v>
      </c>
      <c r="M3724" s="443"/>
    </row>
    <row r="3725" spans="1:13">
      <c r="A3725" s="639">
        <v>60413</v>
      </c>
      <c r="B3725" s="639">
        <v>200</v>
      </c>
      <c r="C3725" s="638">
        <v>4032.0030000000002</v>
      </c>
      <c r="D3725" s="633">
        <f t="shared" si="120"/>
        <v>4032.0030000000002</v>
      </c>
      <c r="E3725" s="608"/>
      <c r="F3725" s="760">
        <f t="shared" si="119"/>
        <v>1701.0817640036009</v>
      </c>
      <c r="M3725" s="443"/>
    </row>
    <row r="3726" spans="1:13">
      <c r="A3726" s="639">
        <v>60413</v>
      </c>
      <c r="B3726" s="639">
        <v>300</v>
      </c>
      <c r="C3726" s="638">
        <v>3991.9569999999999</v>
      </c>
      <c r="D3726" s="633">
        <f t="shared" si="120"/>
        <v>3991.9569999999999</v>
      </c>
      <c r="E3726" s="608"/>
      <c r="F3726" s="760">
        <f t="shared" si="119"/>
        <v>1684.1865582407856</v>
      </c>
      <c r="M3726" s="443"/>
    </row>
    <row r="3727" spans="1:13">
      <c r="A3727" s="639">
        <v>60413</v>
      </c>
      <c r="B3727" s="639">
        <v>400</v>
      </c>
      <c r="C3727" s="638">
        <v>4044.5650000000001</v>
      </c>
      <c r="D3727" s="633">
        <f t="shared" si="120"/>
        <v>4044.5650000000001</v>
      </c>
      <c r="E3727" s="608"/>
      <c r="F3727" s="760">
        <f t="shared" si="119"/>
        <v>1706.3816085521821</v>
      </c>
      <c r="M3727" s="443"/>
    </row>
    <row r="3728" spans="1:13">
      <c r="A3728" s="639">
        <v>60413</v>
      </c>
      <c r="B3728" s="639">
        <v>500</v>
      </c>
      <c r="C3728" s="638">
        <v>4380.7879999999996</v>
      </c>
      <c r="D3728" s="633">
        <f t="shared" si="120"/>
        <v>4380.7879999999996</v>
      </c>
      <c r="E3728" s="608"/>
      <c r="F3728" s="760">
        <f t="shared" si="119"/>
        <v>1848.2323993225714</v>
      </c>
      <c r="M3728" s="443"/>
    </row>
    <row r="3729" spans="1:13">
      <c r="A3729" s="639">
        <v>60413</v>
      </c>
      <c r="B3729" s="639">
        <v>600</v>
      </c>
      <c r="C3729" s="638">
        <v>5017.9709999999995</v>
      </c>
      <c r="D3729" s="633">
        <f t="shared" si="120"/>
        <v>5017.9709999999995</v>
      </c>
      <c r="E3729" s="608"/>
      <c r="F3729" s="760">
        <f t="shared" si="119"/>
        <v>2117.0566987174643</v>
      </c>
      <c r="M3729" s="443"/>
    </row>
    <row r="3730" spans="1:13">
      <c r="A3730" s="639">
        <v>60413</v>
      </c>
      <c r="B3730" s="639">
        <v>700</v>
      </c>
      <c r="C3730" s="638">
        <v>5764.9129999999996</v>
      </c>
      <c r="D3730" s="633">
        <f t="shared" si="120"/>
        <v>5764.9129999999996</v>
      </c>
      <c r="E3730" s="608"/>
      <c r="F3730" s="760">
        <f t="shared" si="119"/>
        <v>2432.1877675605128</v>
      </c>
      <c r="M3730" s="443"/>
    </row>
    <row r="3731" spans="1:13">
      <c r="A3731" s="639">
        <v>60413</v>
      </c>
      <c r="B3731" s="639">
        <v>800</v>
      </c>
      <c r="C3731" s="638">
        <v>5446.3850000000002</v>
      </c>
      <c r="D3731" s="633">
        <f t="shared" si="120"/>
        <v>5446.3850000000002</v>
      </c>
      <c r="E3731" s="608"/>
      <c r="F3731" s="760">
        <f t="shared" si="119"/>
        <v>2297.8024081933354</v>
      </c>
      <c r="M3731" s="443"/>
    </row>
    <row r="3732" spans="1:13">
      <c r="A3732" s="639">
        <v>60413</v>
      </c>
      <c r="B3732" s="639">
        <v>900</v>
      </c>
      <c r="C3732" s="638">
        <v>5110.9920000000002</v>
      </c>
      <c r="D3732" s="633">
        <f t="shared" si="120"/>
        <v>5110.9920000000002</v>
      </c>
      <c r="E3732" s="608"/>
      <c r="F3732" s="760">
        <f t="shared" si="119"/>
        <v>2156.30179024378</v>
      </c>
      <c r="M3732" s="443"/>
    </row>
    <row r="3733" spans="1:13">
      <c r="A3733" s="639">
        <v>60413</v>
      </c>
      <c r="B3733" s="639">
        <v>1000</v>
      </c>
      <c r="C3733" s="638">
        <v>5043.05</v>
      </c>
      <c r="D3733" s="633">
        <f t="shared" si="120"/>
        <v>5043.05</v>
      </c>
      <c r="E3733" s="608"/>
      <c r="F3733" s="760">
        <f t="shared" si="119"/>
        <v>2127.6374025412083</v>
      </c>
      <c r="M3733" s="443"/>
    </row>
    <row r="3734" spans="1:13">
      <c r="A3734" s="639">
        <v>60413</v>
      </c>
      <c r="B3734" s="639">
        <v>1100</v>
      </c>
      <c r="C3734" s="638">
        <v>4988.665</v>
      </c>
      <c r="D3734" s="633">
        <f t="shared" si="120"/>
        <v>4988.665</v>
      </c>
      <c r="E3734" s="608"/>
      <c r="F3734" s="760">
        <f t="shared" si="119"/>
        <v>2104.6926448772542</v>
      </c>
      <c r="M3734" s="443"/>
    </row>
    <row r="3735" spans="1:13">
      <c r="A3735" s="639">
        <v>60413</v>
      </c>
      <c r="B3735" s="639">
        <v>1200</v>
      </c>
      <c r="C3735" s="638">
        <v>4969.0219999999999</v>
      </c>
      <c r="D3735" s="633">
        <f t="shared" si="120"/>
        <v>4969.0219999999999</v>
      </c>
      <c r="E3735" s="608"/>
      <c r="F3735" s="760">
        <f t="shared" si="119"/>
        <v>2096.4053620824939</v>
      </c>
      <c r="M3735" s="443"/>
    </row>
    <row r="3736" spans="1:13">
      <c r="A3736" s="639">
        <v>60413</v>
      </c>
      <c r="B3736" s="639">
        <v>1300</v>
      </c>
      <c r="C3736" s="638">
        <v>4865.933</v>
      </c>
      <c r="D3736" s="633">
        <f t="shared" si="120"/>
        <v>4865.933</v>
      </c>
      <c r="E3736" s="608"/>
      <c r="F3736" s="760">
        <f t="shared" si="119"/>
        <v>2052.9126320499599</v>
      </c>
      <c r="M3736" s="443"/>
    </row>
    <row r="3737" spans="1:13">
      <c r="A3737" s="639">
        <v>60413</v>
      </c>
      <c r="B3737" s="639">
        <v>1400</v>
      </c>
      <c r="C3737" s="638">
        <v>4903.299</v>
      </c>
      <c r="D3737" s="633">
        <f t="shared" si="120"/>
        <v>4903.299</v>
      </c>
      <c r="E3737" s="608"/>
      <c r="F3737" s="760">
        <f t="shared" si="119"/>
        <v>2068.6771593069479</v>
      </c>
      <c r="M3737" s="443"/>
    </row>
    <row r="3738" spans="1:13">
      <c r="A3738" s="639">
        <v>60413</v>
      </c>
      <c r="B3738" s="639">
        <v>1500</v>
      </c>
      <c r="C3738" s="638">
        <v>5082.3689999999997</v>
      </c>
      <c r="D3738" s="633">
        <f t="shared" si="120"/>
        <v>5082.3689999999997</v>
      </c>
      <c r="E3738" s="608"/>
      <c r="F3738" s="760">
        <f t="shared" si="119"/>
        <v>2144.2258906645698</v>
      </c>
      <c r="M3738" s="443"/>
    </row>
    <row r="3739" spans="1:13">
      <c r="A3739" s="639">
        <v>60413</v>
      </c>
      <c r="B3739" s="639">
        <v>1600</v>
      </c>
      <c r="C3739" s="638">
        <v>5246.2439999999997</v>
      </c>
      <c r="D3739" s="633">
        <f t="shared" si="120"/>
        <v>5246.2439999999997</v>
      </c>
      <c r="E3739" s="608"/>
      <c r="F3739" s="760">
        <f t="shared" si="119"/>
        <v>2213.3639280311318</v>
      </c>
      <c r="M3739" s="443"/>
    </row>
    <row r="3740" spans="1:13">
      <c r="A3740" s="639">
        <v>60413</v>
      </c>
      <c r="B3740" s="639">
        <v>1700</v>
      </c>
      <c r="C3740" s="638">
        <v>5689.1139999999996</v>
      </c>
      <c r="D3740" s="633">
        <f t="shared" si="120"/>
        <v>5689.1139999999996</v>
      </c>
      <c r="E3740" s="608"/>
      <c r="F3740" s="760">
        <f t="shared" si="119"/>
        <v>2400.2085511190294</v>
      </c>
      <c r="M3740" s="443"/>
    </row>
    <row r="3741" spans="1:13">
      <c r="A3741" s="639">
        <v>60413</v>
      </c>
      <c r="B3741" s="639">
        <v>1800</v>
      </c>
      <c r="C3741" s="638">
        <v>5996.0940000000001</v>
      </c>
      <c r="D3741" s="633">
        <f t="shared" si="120"/>
        <v>5996.0940000000001</v>
      </c>
      <c r="E3741" s="608"/>
      <c r="F3741" s="760">
        <f t="shared" si="119"/>
        <v>2529.7218674319952</v>
      </c>
      <c r="M3741" s="443"/>
    </row>
    <row r="3742" spans="1:13">
      <c r="A3742" s="639">
        <v>60413</v>
      </c>
      <c r="B3742" s="639">
        <v>1900</v>
      </c>
      <c r="C3742" s="638">
        <v>6021.7349999999997</v>
      </c>
      <c r="D3742" s="633">
        <f t="shared" si="120"/>
        <v>6021.7349999999997</v>
      </c>
      <c r="E3742" s="608"/>
      <c r="F3742" s="760">
        <f t="shared" si="119"/>
        <v>2540.5396762259907</v>
      </c>
      <c r="M3742" s="443"/>
    </row>
    <row r="3743" spans="1:13">
      <c r="A3743" s="639">
        <v>60413</v>
      </c>
      <c r="B3743" s="639">
        <v>2000</v>
      </c>
      <c r="C3743" s="638">
        <v>6341.5190000000002</v>
      </c>
      <c r="D3743" s="633">
        <f t="shared" si="120"/>
        <v>6341.5190000000002</v>
      </c>
      <c r="E3743" s="608"/>
      <c r="F3743" s="760">
        <f t="shared" si="119"/>
        <v>2675.4549356690336</v>
      </c>
      <c r="M3743" s="443"/>
    </row>
    <row r="3744" spans="1:13">
      <c r="A3744" s="639">
        <v>60413</v>
      </c>
      <c r="B3744" s="639">
        <v>2100</v>
      </c>
      <c r="C3744" s="638">
        <v>6701.2079999999996</v>
      </c>
      <c r="D3744" s="633">
        <f t="shared" si="120"/>
        <v>6701.2079999999996</v>
      </c>
      <c r="E3744" s="608"/>
      <c r="F3744" s="760">
        <f t="shared" si="119"/>
        <v>2827.2059136848461</v>
      </c>
      <c r="M3744" s="443"/>
    </row>
    <row r="3745" spans="1:13">
      <c r="A3745" s="639">
        <v>60413</v>
      </c>
      <c r="B3745" s="639">
        <v>2200</v>
      </c>
      <c r="C3745" s="638">
        <v>6025.16</v>
      </c>
      <c r="D3745" s="633">
        <f t="shared" si="120"/>
        <v>6025.16</v>
      </c>
      <c r="E3745" s="608"/>
      <c r="F3745" s="760">
        <f t="shared" si="119"/>
        <v>2541.9846664806391</v>
      </c>
      <c r="M3745" s="443"/>
    </row>
    <row r="3746" spans="1:13">
      <c r="A3746" s="639">
        <v>60413</v>
      </c>
      <c r="B3746" s="639">
        <v>2300</v>
      </c>
      <c r="C3746" s="638">
        <v>5006.4009999999998</v>
      </c>
      <c r="D3746" s="633">
        <f t="shared" si="120"/>
        <v>5006.4009999999998</v>
      </c>
      <c r="E3746" s="608"/>
      <c r="F3746" s="760">
        <f t="shared" si="119"/>
        <v>2112.1753739740252</v>
      </c>
      <c r="M3746" s="443"/>
    </row>
    <row r="3747" spans="1:13">
      <c r="A3747" s="639">
        <v>60413</v>
      </c>
      <c r="B3747" s="639">
        <v>2400</v>
      </c>
      <c r="C3747" s="638">
        <v>4345.5339999999997</v>
      </c>
      <c r="D3747" s="633">
        <f t="shared" si="120"/>
        <v>4345.5339999999997</v>
      </c>
      <c r="E3747" s="608"/>
      <c r="F3747" s="760">
        <f t="shared" si="119"/>
        <v>1833.3589142313692</v>
      </c>
      <c r="M3747" s="443"/>
    </row>
    <row r="3748" spans="1:13">
      <c r="A3748" s="639">
        <v>60513</v>
      </c>
      <c r="B3748" s="639">
        <v>100</v>
      </c>
      <c r="C3748" s="638">
        <v>4063.7460000000001</v>
      </c>
      <c r="D3748" s="633">
        <f t="shared" si="120"/>
        <v>4063.7460000000001</v>
      </c>
      <c r="E3748" s="608"/>
      <c r="F3748" s="760">
        <f t="shared" si="119"/>
        <v>1714.4739758731769</v>
      </c>
      <c r="M3748" s="443"/>
    </row>
    <row r="3749" spans="1:13">
      <c r="A3749" s="639">
        <v>60513</v>
      </c>
      <c r="B3749" s="639">
        <v>200</v>
      </c>
      <c r="C3749" s="638">
        <v>3969.837</v>
      </c>
      <c r="D3749" s="633">
        <f t="shared" si="120"/>
        <v>3969.837</v>
      </c>
      <c r="E3749" s="608"/>
      <c r="F3749" s="760">
        <f t="shared" si="119"/>
        <v>1674.8542416180649</v>
      </c>
      <c r="M3749" s="443"/>
    </row>
    <row r="3750" spans="1:13">
      <c r="A3750" s="639">
        <v>60513</v>
      </c>
      <c r="B3750" s="639">
        <v>300</v>
      </c>
      <c r="C3750" s="638">
        <v>3903.627</v>
      </c>
      <c r="D3750" s="633">
        <f t="shared" si="120"/>
        <v>3903.627</v>
      </c>
      <c r="E3750" s="608"/>
      <c r="F3750" s="760">
        <f t="shared" si="119"/>
        <v>1646.9205759946319</v>
      </c>
      <c r="M3750" s="443"/>
    </row>
    <row r="3751" spans="1:13">
      <c r="A3751" s="639">
        <v>60513</v>
      </c>
      <c r="B3751" s="639">
        <v>400</v>
      </c>
      <c r="C3751" s="638">
        <v>3940.288</v>
      </c>
      <c r="D3751" s="633">
        <f t="shared" si="120"/>
        <v>3940.288</v>
      </c>
      <c r="E3751" s="608"/>
      <c r="F3751" s="760">
        <f t="shared" si="119"/>
        <v>1662.3876673013935</v>
      </c>
      <c r="M3751" s="443"/>
    </row>
    <row r="3752" spans="1:13">
      <c r="A3752" s="639">
        <v>60513</v>
      </c>
      <c r="B3752" s="639">
        <v>500</v>
      </c>
      <c r="C3752" s="638">
        <v>4217.2070000000003</v>
      </c>
      <c r="D3752" s="633">
        <f t="shared" si="120"/>
        <v>4217.2070000000003</v>
      </c>
      <c r="E3752" s="608"/>
      <c r="F3752" s="760">
        <f t="shared" si="119"/>
        <v>1779.2183990756789</v>
      </c>
      <c r="M3752" s="443"/>
    </row>
    <row r="3753" spans="1:13">
      <c r="A3753" s="639">
        <v>60513</v>
      </c>
      <c r="B3753" s="639">
        <v>600</v>
      </c>
      <c r="C3753" s="638">
        <v>4969.0529999999999</v>
      </c>
      <c r="D3753" s="633">
        <f t="shared" si="120"/>
        <v>4969.0529999999999</v>
      </c>
      <c r="E3753" s="608"/>
      <c r="F3753" s="760">
        <f t="shared" si="119"/>
        <v>2096.4184408264041</v>
      </c>
      <c r="M3753" s="443"/>
    </row>
    <row r="3754" spans="1:13">
      <c r="A3754" s="639">
        <v>60513</v>
      </c>
      <c r="B3754" s="639">
        <v>700</v>
      </c>
      <c r="C3754" s="638">
        <v>5871.8419999999996</v>
      </c>
      <c r="D3754" s="633">
        <f t="shared" si="120"/>
        <v>5871.8419999999996</v>
      </c>
      <c r="E3754" s="608"/>
      <c r="F3754" s="760">
        <f t="shared" si="119"/>
        <v>2477.3005742581122</v>
      </c>
      <c r="M3754" s="443"/>
    </row>
    <row r="3755" spans="1:13">
      <c r="A3755" s="639">
        <v>60513</v>
      </c>
      <c r="B3755" s="639">
        <v>800</v>
      </c>
      <c r="C3755" s="638">
        <v>5901.0330000000004</v>
      </c>
      <c r="D3755" s="633">
        <f t="shared" si="120"/>
        <v>5901.0330000000004</v>
      </c>
      <c r="E3755" s="608"/>
      <c r="F3755" s="760">
        <f t="shared" si="119"/>
        <v>2489.6161101773637</v>
      </c>
      <c r="M3755" s="443"/>
    </row>
    <row r="3756" spans="1:13">
      <c r="A3756" s="639">
        <v>60513</v>
      </c>
      <c r="B3756" s="639">
        <v>900</v>
      </c>
      <c r="C3756" s="638">
        <v>5720.0739999999996</v>
      </c>
      <c r="D3756" s="633">
        <f t="shared" si="120"/>
        <v>5720.0739999999996</v>
      </c>
      <c r="E3756" s="608"/>
      <c r="F3756" s="760">
        <f t="shared" si="119"/>
        <v>2413.2704192311198</v>
      </c>
      <c r="M3756" s="443"/>
    </row>
    <row r="3757" spans="1:13">
      <c r="A3757" s="639">
        <v>60513</v>
      </c>
      <c r="B3757" s="639">
        <v>1000</v>
      </c>
      <c r="C3757" s="638">
        <v>5260.0389999999998</v>
      </c>
      <c r="D3757" s="633">
        <f t="shared" si="120"/>
        <v>5260.0389999999998</v>
      </c>
      <c r="E3757" s="608"/>
      <c r="F3757" s="760">
        <f t="shared" si="119"/>
        <v>2219.1839690713859</v>
      </c>
      <c r="M3757" s="443"/>
    </row>
    <row r="3758" spans="1:13">
      <c r="A3758" s="639">
        <v>60513</v>
      </c>
      <c r="B3758" s="639">
        <v>1100</v>
      </c>
      <c r="C3758" s="638">
        <v>5108.6009999999997</v>
      </c>
      <c r="D3758" s="633">
        <f t="shared" si="120"/>
        <v>5108.6009999999997</v>
      </c>
      <c r="E3758" s="608"/>
      <c r="F3758" s="760">
        <f t="shared" si="119"/>
        <v>2155.2930393827978</v>
      </c>
      <c r="M3758" s="443"/>
    </row>
    <row r="3759" spans="1:13">
      <c r="A3759" s="639">
        <v>60513</v>
      </c>
      <c r="B3759" s="639">
        <v>1200</v>
      </c>
      <c r="C3759" s="638">
        <v>5096.5630000000001</v>
      </c>
      <c r="D3759" s="633">
        <f t="shared" si="120"/>
        <v>5096.5630000000001</v>
      </c>
      <c r="E3759" s="608"/>
      <c r="F3759" s="760">
        <f t="shared" si="119"/>
        <v>2150.2142677958036</v>
      </c>
      <c r="M3759" s="443"/>
    </row>
    <row r="3760" spans="1:13">
      <c r="A3760" s="639">
        <v>60513</v>
      </c>
      <c r="B3760" s="639">
        <v>1300</v>
      </c>
      <c r="C3760" s="638">
        <v>5146.5309999999999</v>
      </c>
      <c r="D3760" s="633">
        <f t="shared" si="120"/>
        <v>5146.5309999999999</v>
      </c>
      <c r="E3760" s="608"/>
      <c r="F3760" s="760">
        <f t="shared" si="119"/>
        <v>2171.2955153999678</v>
      </c>
      <c r="M3760" s="443"/>
    </row>
    <row r="3761" spans="1:13">
      <c r="A3761" s="639">
        <v>60513</v>
      </c>
      <c r="B3761" s="639">
        <v>1400</v>
      </c>
      <c r="C3761" s="638">
        <v>5176.0829999999996</v>
      </c>
      <c r="D3761" s="633">
        <f t="shared" si="120"/>
        <v>5176.0829999999996</v>
      </c>
      <c r="E3761" s="608"/>
      <c r="F3761" s="760">
        <f t="shared" si="119"/>
        <v>2183.7633554015333</v>
      </c>
      <c r="M3761" s="443"/>
    </row>
    <row r="3762" spans="1:13">
      <c r="A3762" s="639">
        <v>60513</v>
      </c>
      <c r="B3762" s="639">
        <v>1500</v>
      </c>
      <c r="C3762" s="638">
        <v>5338.5829999999996</v>
      </c>
      <c r="D3762" s="633">
        <f t="shared" si="120"/>
        <v>5338.5829999999996</v>
      </c>
      <c r="E3762" s="608"/>
      <c r="F3762" s="760">
        <f t="shared" si="119"/>
        <v>2252.321287191412</v>
      </c>
      <c r="M3762" s="443"/>
    </row>
    <row r="3763" spans="1:13">
      <c r="A3763" s="639">
        <v>60513</v>
      </c>
      <c r="B3763" s="639">
        <v>1600</v>
      </c>
      <c r="C3763" s="638">
        <v>5460.89</v>
      </c>
      <c r="D3763" s="633">
        <f t="shared" si="120"/>
        <v>5460.89</v>
      </c>
      <c r="E3763" s="608"/>
      <c r="F3763" s="760">
        <f t="shared" si="119"/>
        <v>2303.9219946586409</v>
      </c>
      <c r="M3763" s="443"/>
    </row>
    <row r="3764" spans="1:13">
      <c r="A3764" s="639">
        <v>60513</v>
      </c>
      <c r="B3764" s="639">
        <v>1700</v>
      </c>
      <c r="C3764" s="638">
        <v>5726.1260000000002</v>
      </c>
      <c r="D3764" s="633">
        <f t="shared" si="120"/>
        <v>5726.1260000000002</v>
      </c>
      <c r="E3764" s="608"/>
      <c r="F3764" s="760">
        <f t="shared" si="119"/>
        <v>2415.8237275584574</v>
      </c>
      <c r="M3764" s="443"/>
    </row>
    <row r="3765" spans="1:13">
      <c r="A3765" s="639">
        <v>60513</v>
      </c>
      <c r="B3765" s="639">
        <v>1800</v>
      </c>
      <c r="C3765" s="638">
        <v>5746.0389999999998</v>
      </c>
      <c r="D3765" s="633">
        <f t="shared" si="120"/>
        <v>5746.0389999999998</v>
      </c>
      <c r="E3765" s="608"/>
      <c r="F3765" s="760">
        <f t="shared" si="119"/>
        <v>2424.2249219937303</v>
      </c>
      <c r="M3765" s="443"/>
    </row>
    <row r="3766" spans="1:13">
      <c r="A3766" s="639">
        <v>60513</v>
      </c>
      <c r="B3766" s="639">
        <v>1900</v>
      </c>
      <c r="C3766" s="638">
        <v>5901.491</v>
      </c>
      <c r="D3766" s="633">
        <f t="shared" si="120"/>
        <v>5901.491</v>
      </c>
      <c r="E3766" s="608"/>
      <c r="F3766" s="760">
        <f t="shared" si="119"/>
        <v>2489.8093380712698</v>
      </c>
      <c r="M3766" s="443"/>
    </row>
    <row r="3767" spans="1:13">
      <c r="A3767" s="639">
        <v>60513</v>
      </c>
      <c r="B3767" s="639">
        <v>2000</v>
      </c>
      <c r="C3767" s="638">
        <v>6285.5129999999999</v>
      </c>
      <c r="D3767" s="633">
        <f t="shared" si="120"/>
        <v>6285.5129999999999</v>
      </c>
      <c r="E3767" s="608"/>
      <c r="F3767" s="760">
        <f t="shared" si="119"/>
        <v>2651.8262862670404</v>
      </c>
      <c r="M3767" s="443"/>
    </row>
    <row r="3768" spans="1:13">
      <c r="A3768" s="639">
        <v>60513</v>
      </c>
      <c r="B3768" s="639">
        <v>2100</v>
      </c>
      <c r="C3768" s="638">
        <v>6571.9930000000004</v>
      </c>
      <c r="D3768" s="633">
        <f t="shared" si="120"/>
        <v>6571.9930000000004</v>
      </c>
      <c r="E3768" s="608"/>
      <c r="F3768" s="760">
        <f t="shared" si="119"/>
        <v>2772.6907558003595</v>
      </c>
      <c r="M3768" s="443"/>
    </row>
    <row r="3769" spans="1:13">
      <c r="A3769" s="639">
        <v>60513</v>
      </c>
      <c r="B3769" s="639">
        <v>2200</v>
      </c>
      <c r="C3769" s="638">
        <v>5939.9340000000002</v>
      </c>
      <c r="D3769" s="633">
        <f t="shared" si="120"/>
        <v>5939.9340000000002</v>
      </c>
      <c r="E3769" s="608"/>
      <c r="F3769" s="760">
        <f t="shared" si="119"/>
        <v>2506.0282462054133</v>
      </c>
      <c r="M3769" s="443"/>
    </row>
    <row r="3770" spans="1:13">
      <c r="A3770" s="639">
        <v>60513</v>
      </c>
      <c r="B3770" s="639">
        <v>2300</v>
      </c>
      <c r="C3770" s="638">
        <v>5020.7820000000002</v>
      </c>
      <c r="D3770" s="633">
        <f t="shared" si="120"/>
        <v>5020.7820000000002</v>
      </c>
      <c r="E3770" s="608"/>
      <c r="F3770" s="760">
        <f t="shared" si="119"/>
        <v>2118.2426454636879</v>
      </c>
      <c r="M3770" s="443"/>
    </row>
    <row r="3771" spans="1:13">
      <c r="A3771" s="639">
        <v>60513</v>
      </c>
      <c r="B3771" s="639">
        <v>2400</v>
      </c>
      <c r="C3771" s="638">
        <v>4390.1989999999996</v>
      </c>
      <c r="D3771" s="633">
        <f t="shared" si="120"/>
        <v>4390.1989999999996</v>
      </c>
      <c r="E3771" s="608"/>
      <c r="F3771" s="760">
        <f t="shared" si="119"/>
        <v>1852.2028528368764</v>
      </c>
      <c r="M3771" s="443"/>
    </row>
    <row r="3772" spans="1:13">
      <c r="A3772" s="639">
        <v>60613</v>
      </c>
      <c r="B3772" s="639">
        <v>100</v>
      </c>
      <c r="C3772" s="638">
        <v>4047.3919999999998</v>
      </c>
      <c r="D3772" s="633">
        <f t="shared" si="120"/>
        <v>4047.3919999999998</v>
      </c>
      <c r="E3772" s="608"/>
      <c r="F3772" s="760">
        <f t="shared" si="119"/>
        <v>1707.5743056178435</v>
      </c>
      <c r="M3772" s="443"/>
    </row>
    <row r="3773" spans="1:13">
      <c r="A3773" s="639">
        <v>60613</v>
      </c>
      <c r="B3773" s="639">
        <v>200</v>
      </c>
      <c r="C3773" s="638">
        <v>3902.1709999999998</v>
      </c>
      <c r="D3773" s="633">
        <f t="shared" si="120"/>
        <v>3902.1709999999998</v>
      </c>
      <c r="E3773" s="608"/>
      <c r="F3773" s="760">
        <f t="shared" si="119"/>
        <v>1646.3062969257946</v>
      </c>
      <c r="M3773" s="443"/>
    </row>
    <row r="3774" spans="1:13">
      <c r="A3774" s="639">
        <v>60613</v>
      </c>
      <c r="B3774" s="639">
        <v>300</v>
      </c>
      <c r="C3774" s="638">
        <v>3819.6109999999999</v>
      </c>
      <c r="D3774" s="633">
        <f t="shared" si="120"/>
        <v>3819.6109999999999</v>
      </c>
      <c r="E3774" s="608"/>
      <c r="F3774" s="760">
        <f t="shared" si="119"/>
        <v>1611.4746486268878</v>
      </c>
      <c r="M3774" s="443"/>
    </row>
    <row r="3775" spans="1:13">
      <c r="A3775" s="639">
        <v>60613</v>
      </c>
      <c r="B3775" s="639">
        <v>400</v>
      </c>
      <c r="C3775" s="638">
        <v>3914.6970000000001</v>
      </c>
      <c r="D3775" s="633">
        <f t="shared" si="120"/>
        <v>3914.6970000000001</v>
      </c>
      <c r="E3775" s="608"/>
      <c r="F3775" s="760">
        <f t="shared" si="119"/>
        <v>1651.5909532556411</v>
      </c>
      <c r="M3775" s="443"/>
    </row>
    <row r="3776" spans="1:13">
      <c r="A3776" s="639">
        <v>60613</v>
      </c>
      <c r="B3776" s="639">
        <v>500</v>
      </c>
      <c r="C3776" s="638">
        <v>4250.2780000000002</v>
      </c>
      <c r="D3776" s="633">
        <f t="shared" si="120"/>
        <v>4250.2780000000002</v>
      </c>
      <c r="E3776" s="608"/>
      <c r="F3776" s="760">
        <f t="shared" si="119"/>
        <v>1793.17088745859</v>
      </c>
      <c r="M3776" s="443"/>
    </row>
    <row r="3777" spans="1:13">
      <c r="A3777" s="639">
        <v>60613</v>
      </c>
      <c r="B3777" s="639">
        <v>600</v>
      </c>
      <c r="C3777" s="638">
        <v>5041.6750000000002</v>
      </c>
      <c r="D3777" s="633">
        <f t="shared" si="120"/>
        <v>5041.6750000000002</v>
      </c>
      <c r="E3777" s="608"/>
      <c r="F3777" s="760">
        <f t="shared" si="119"/>
        <v>2127.0572969645245</v>
      </c>
      <c r="M3777" s="443"/>
    </row>
    <row r="3778" spans="1:13">
      <c r="A3778" s="639">
        <v>60613</v>
      </c>
      <c r="B3778" s="639">
        <v>700</v>
      </c>
      <c r="C3778" s="638">
        <v>5917.2070000000003</v>
      </c>
      <c r="D3778" s="633">
        <f t="shared" si="120"/>
        <v>5917.2070000000003</v>
      </c>
      <c r="E3778" s="608"/>
      <c r="F3778" s="760">
        <f t="shared" si="119"/>
        <v>2496.439839339022</v>
      </c>
      <c r="M3778" s="443"/>
    </row>
    <row r="3779" spans="1:13">
      <c r="A3779" s="639">
        <v>60613</v>
      </c>
      <c r="B3779" s="639">
        <v>800</v>
      </c>
      <c r="C3779" s="638">
        <v>6026.7520000000004</v>
      </c>
      <c r="D3779" s="633">
        <f t="shared" si="120"/>
        <v>6026.7520000000004</v>
      </c>
      <c r="E3779" s="608"/>
      <c r="F3779" s="760">
        <f t="shared" si="119"/>
        <v>2542.6563232646972</v>
      </c>
      <c r="M3779" s="443"/>
    </row>
    <row r="3780" spans="1:13">
      <c r="A3780" s="639">
        <v>60613</v>
      </c>
      <c r="B3780" s="639">
        <v>900</v>
      </c>
      <c r="C3780" s="638">
        <v>5749.2910000000002</v>
      </c>
      <c r="D3780" s="633">
        <f t="shared" si="120"/>
        <v>5749.2910000000002</v>
      </c>
      <c r="E3780" s="608"/>
      <c r="F3780" s="760">
        <f t="shared" ref="F3780:F3843" si="121">(D3780/(MAX($D$3652:$D$4371)))*$M$9</f>
        <v>2425.5969244194575</v>
      </c>
      <c r="M3780" s="443"/>
    </row>
    <row r="3781" spans="1:13">
      <c r="A3781" s="639">
        <v>60613</v>
      </c>
      <c r="B3781" s="639">
        <v>1000</v>
      </c>
      <c r="C3781" s="638">
        <v>5669.4639999999999</v>
      </c>
      <c r="D3781" s="633">
        <f t="shared" ref="D3781:D3844" si="122">C3781</f>
        <v>5669.4639999999999</v>
      </c>
      <c r="E3781" s="608"/>
      <c r="F3781" s="760">
        <f t="shared" si="121"/>
        <v>2391.9183150595154</v>
      </c>
      <c r="M3781" s="443"/>
    </row>
    <row r="3782" spans="1:13">
      <c r="A3782" s="639">
        <v>60613</v>
      </c>
      <c r="B3782" s="639">
        <v>1100</v>
      </c>
      <c r="C3782" s="638">
        <v>5746.9530000000004</v>
      </c>
      <c r="D3782" s="633">
        <f t="shared" si="122"/>
        <v>5746.9530000000004</v>
      </c>
      <c r="E3782" s="608"/>
      <c r="F3782" s="760">
        <f t="shared" si="121"/>
        <v>2424.610533991613</v>
      </c>
      <c r="M3782" s="443"/>
    </row>
    <row r="3783" spans="1:13">
      <c r="A3783" s="639">
        <v>60613</v>
      </c>
      <c r="B3783" s="639">
        <v>1200</v>
      </c>
      <c r="C3783" s="638">
        <v>5742.0649999999996</v>
      </c>
      <c r="D3783" s="633">
        <f t="shared" si="122"/>
        <v>5742.0649999999996</v>
      </c>
      <c r="E3783" s="608"/>
      <c r="F3783" s="760">
        <f t="shared" si="121"/>
        <v>2422.5483114033736</v>
      </c>
      <c r="M3783" s="443"/>
    </row>
    <row r="3784" spans="1:13">
      <c r="A3784" s="639">
        <v>60613</v>
      </c>
      <c r="B3784" s="639">
        <v>1300</v>
      </c>
      <c r="C3784" s="638">
        <v>5683.1019999999999</v>
      </c>
      <c r="D3784" s="633">
        <f t="shared" si="122"/>
        <v>5683.1019999999999</v>
      </c>
      <c r="E3784" s="608"/>
      <c r="F3784" s="760">
        <f t="shared" si="121"/>
        <v>2397.6721185902866</v>
      </c>
      <c r="M3784" s="443"/>
    </row>
    <row r="3785" spans="1:13">
      <c r="A3785" s="639">
        <v>60613</v>
      </c>
      <c r="B3785" s="639">
        <v>1400</v>
      </c>
      <c r="C3785" s="638">
        <v>5666.5929999999998</v>
      </c>
      <c r="D3785" s="633">
        <f t="shared" si="122"/>
        <v>5666.5929999999998</v>
      </c>
      <c r="E3785" s="608"/>
      <c r="F3785" s="760">
        <f t="shared" si="121"/>
        <v>2390.7070546154</v>
      </c>
      <c r="M3785" s="443"/>
    </row>
    <row r="3786" spans="1:13">
      <c r="A3786" s="639">
        <v>60613</v>
      </c>
      <c r="B3786" s="639">
        <v>1500</v>
      </c>
      <c r="C3786" s="638">
        <v>5682.9030000000002</v>
      </c>
      <c r="D3786" s="633">
        <f t="shared" si="122"/>
        <v>5682.9030000000002</v>
      </c>
      <c r="E3786" s="608"/>
      <c r="F3786" s="760">
        <f t="shared" si="121"/>
        <v>2397.5881614922796</v>
      </c>
      <c r="M3786" s="443"/>
    </row>
    <row r="3787" spans="1:13">
      <c r="A3787" s="639">
        <v>60613</v>
      </c>
      <c r="B3787" s="639">
        <v>1600</v>
      </c>
      <c r="C3787" s="638">
        <v>5961.4660000000003</v>
      </c>
      <c r="D3787" s="633">
        <f t="shared" si="122"/>
        <v>5961.4660000000003</v>
      </c>
      <c r="E3787" s="608"/>
      <c r="F3787" s="760">
        <f t="shared" si="121"/>
        <v>2515.1124885887957</v>
      </c>
      <c r="M3787" s="443"/>
    </row>
    <row r="3788" spans="1:13">
      <c r="A3788" s="639">
        <v>60613</v>
      </c>
      <c r="B3788" s="639">
        <v>1700</v>
      </c>
      <c r="C3788" s="638">
        <v>6465.5259999999998</v>
      </c>
      <c r="D3788" s="633">
        <f t="shared" si="122"/>
        <v>6465.5259999999998</v>
      </c>
      <c r="E3788" s="608"/>
      <c r="F3788" s="760">
        <f t="shared" si="121"/>
        <v>2727.772864576526</v>
      </c>
      <c r="M3788" s="443"/>
    </row>
    <row r="3789" spans="1:13">
      <c r="A3789" s="639">
        <v>60613</v>
      </c>
      <c r="B3789" s="639">
        <v>1800</v>
      </c>
      <c r="C3789" s="638">
        <v>6547.22</v>
      </c>
      <c r="D3789" s="633">
        <f t="shared" si="122"/>
        <v>6547.22</v>
      </c>
      <c r="E3789" s="608"/>
      <c r="F3789" s="760">
        <f t="shared" si="121"/>
        <v>2762.2391518358636</v>
      </c>
      <c r="M3789" s="443"/>
    </row>
    <row r="3790" spans="1:13">
      <c r="A3790" s="639">
        <v>60613</v>
      </c>
      <c r="B3790" s="639">
        <v>1900</v>
      </c>
      <c r="C3790" s="638">
        <v>6687.232</v>
      </c>
      <c r="D3790" s="633">
        <f t="shared" si="122"/>
        <v>6687.232</v>
      </c>
      <c r="E3790" s="608"/>
      <c r="F3790" s="760">
        <f t="shared" si="121"/>
        <v>2821.3095096559518</v>
      </c>
      <c r="M3790" s="443"/>
    </row>
    <row r="3791" spans="1:13">
      <c r="A3791" s="639">
        <v>60613</v>
      </c>
      <c r="B3791" s="639">
        <v>2000</v>
      </c>
      <c r="C3791" s="638">
        <v>6808.1869999999999</v>
      </c>
      <c r="D3791" s="633">
        <f t="shared" si="122"/>
        <v>6808.1869999999999</v>
      </c>
      <c r="E3791" s="608"/>
      <c r="F3791" s="760">
        <f t="shared" si="121"/>
        <v>2872.3398151306892</v>
      </c>
      <c r="M3791" s="443"/>
    </row>
    <row r="3792" spans="1:13">
      <c r="A3792" s="639">
        <v>60613</v>
      </c>
      <c r="B3792" s="639">
        <v>2100</v>
      </c>
      <c r="C3792" s="638">
        <v>6763.692</v>
      </c>
      <c r="D3792" s="633">
        <f t="shared" si="122"/>
        <v>6763.692</v>
      </c>
      <c r="E3792" s="608"/>
      <c r="F3792" s="760">
        <f t="shared" si="121"/>
        <v>2853.5675986692081</v>
      </c>
      <c r="M3792" s="443"/>
    </row>
    <row r="3793" spans="1:13">
      <c r="A3793" s="639">
        <v>60613</v>
      </c>
      <c r="B3793" s="639">
        <v>2200</v>
      </c>
      <c r="C3793" s="638">
        <v>6109.5039999999999</v>
      </c>
      <c r="D3793" s="633">
        <f t="shared" si="122"/>
        <v>6109.5039999999999</v>
      </c>
      <c r="E3793" s="608"/>
      <c r="F3793" s="760">
        <f t="shared" si="121"/>
        <v>2577.5689753968572</v>
      </c>
      <c r="M3793" s="443"/>
    </row>
    <row r="3794" spans="1:13">
      <c r="A3794" s="639">
        <v>60613</v>
      </c>
      <c r="B3794" s="639">
        <v>2300</v>
      </c>
      <c r="C3794" s="638">
        <v>5132.2240000000002</v>
      </c>
      <c r="D3794" s="633">
        <f t="shared" si="122"/>
        <v>5132.2240000000002</v>
      </c>
      <c r="E3794" s="608"/>
      <c r="F3794" s="760">
        <f t="shared" si="121"/>
        <v>2165.2594641377041</v>
      </c>
      <c r="M3794" s="443"/>
    </row>
    <row r="3795" spans="1:13">
      <c r="A3795" s="639">
        <v>60613</v>
      </c>
      <c r="B3795" s="639">
        <v>2400</v>
      </c>
      <c r="C3795" s="638">
        <v>4467.2539999999999</v>
      </c>
      <c r="D3795" s="633">
        <f t="shared" si="122"/>
        <v>4467.2539999999999</v>
      </c>
      <c r="E3795" s="608"/>
      <c r="F3795" s="760">
        <f t="shared" si="121"/>
        <v>1884.7119693542247</v>
      </c>
      <c r="M3795" s="443"/>
    </row>
    <row r="3796" spans="1:13">
      <c r="A3796" s="639">
        <v>60713</v>
      </c>
      <c r="B3796" s="639">
        <v>100</v>
      </c>
      <c r="C3796" s="638">
        <v>4199.3739999999998</v>
      </c>
      <c r="D3796" s="633">
        <f t="shared" si="122"/>
        <v>4199.3739999999998</v>
      </c>
      <c r="E3796" s="608"/>
      <c r="F3796" s="760">
        <f t="shared" si="121"/>
        <v>1771.694746167316</v>
      </c>
      <c r="M3796" s="443"/>
    </row>
    <row r="3797" spans="1:13">
      <c r="A3797" s="639">
        <v>60713</v>
      </c>
      <c r="B3797" s="639">
        <v>200</v>
      </c>
      <c r="C3797" s="638">
        <v>4070.3229999999999</v>
      </c>
      <c r="D3797" s="633">
        <f t="shared" si="122"/>
        <v>4070.3229999999999</v>
      </c>
      <c r="E3797" s="608"/>
      <c r="F3797" s="760">
        <f t="shared" si="121"/>
        <v>1717.2487790570663</v>
      </c>
      <c r="M3797" s="443"/>
    </row>
    <row r="3798" spans="1:13">
      <c r="A3798" s="639">
        <v>60713</v>
      </c>
      <c r="B3798" s="639">
        <v>300</v>
      </c>
      <c r="C3798" s="638">
        <v>4270.9390000000003</v>
      </c>
      <c r="D3798" s="633">
        <f t="shared" si="122"/>
        <v>4270.9390000000003</v>
      </c>
      <c r="E3798" s="608"/>
      <c r="F3798" s="760">
        <f t="shared" si="121"/>
        <v>1801.8876593275788</v>
      </c>
      <c r="M3798" s="443"/>
    </row>
    <row r="3799" spans="1:13">
      <c r="A3799" s="639">
        <v>60713</v>
      </c>
      <c r="B3799" s="639">
        <v>400</v>
      </c>
      <c r="C3799" s="638">
        <v>4310.817</v>
      </c>
      <c r="D3799" s="633">
        <f t="shared" si="122"/>
        <v>4310.817</v>
      </c>
      <c r="E3799" s="608"/>
      <c r="F3799" s="760">
        <f t="shared" si="121"/>
        <v>1818.7119867362974</v>
      </c>
      <c r="M3799" s="443"/>
    </row>
    <row r="3800" spans="1:13">
      <c r="A3800" s="639">
        <v>60713</v>
      </c>
      <c r="B3800" s="639">
        <v>500</v>
      </c>
      <c r="C3800" s="638">
        <v>4666.7690000000002</v>
      </c>
      <c r="D3800" s="633">
        <f t="shared" si="122"/>
        <v>4666.7690000000002</v>
      </c>
      <c r="E3800" s="608"/>
      <c r="F3800" s="760">
        <f t="shared" si="121"/>
        <v>1968.8863432684254</v>
      </c>
      <c r="M3800" s="443"/>
    </row>
    <row r="3801" spans="1:13">
      <c r="A3801" s="639">
        <v>60713</v>
      </c>
      <c r="B3801" s="639">
        <v>600</v>
      </c>
      <c r="C3801" s="638">
        <v>5274.058</v>
      </c>
      <c r="D3801" s="633">
        <f t="shared" si="122"/>
        <v>5274.058</v>
      </c>
      <c r="E3801" s="608"/>
      <c r="F3801" s="760">
        <f t="shared" si="121"/>
        <v>2225.0985145837694</v>
      </c>
      <c r="M3801" s="443"/>
    </row>
    <row r="3802" spans="1:13">
      <c r="A3802" s="639">
        <v>60713</v>
      </c>
      <c r="B3802" s="639">
        <v>700</v>
      </c>
      <c r="C3802" s="638">
        <v>5825.9769999999999</v>
      </c>
      <c r="D3802" s="633">
        <f t="shared" si="122"/>
        <v>5825.9769999999999</v>
      </c>
      <c r="E3802" s="608"/>
      <c r="F3802" s="760">
        <f t="shared" si="121"/>
        <v>2457.9503616947723</v>
      </c>
      <c r="M3802" s="443"/>
    </row>
    <row r="3803" spans="1:13">
      <c r="A3803" s="639">
        <v>60713</v>
      </c>
      <c r="B3803" s="639">
        <v>800</v>
      </c>
      <c r="C3803" s="638">
        <v>6006.5469999999996</v>
      </c>
      <c r="D3803" s="633">
        <f t="shared" si="122"/>
        <v>6006.5469999999996</v>
      </c>
      <c r="E3803" s="608"/>
      <c r="F3803" s="760">
        <f t="shared" si="121"/>
        <v>2534.1319354996845</v>
      </c>
      <c r="M3803" s="443"/>
    </row>
    <row r="3804" spans="1:13">
      <c r="A3804" s="639">
        <v>60713</v>
      </c>
      <c r="B3804" s="639">
        <v>900</v>
      </c>
      <c r="C3804" s="638">
        <v>5994.6310000000003</v>
      </c>
      <c r="D3804" s="633">
        <f t="shared" si="122"/>
        <v>5994.6310000000003</v>
      </c>
      <c r="E3804" s="608"/>
      <c r="F3804" s="760">
        <f t="shared" si="121"/>
        <v>2529.1046350984038</v>
      </c>
      <c r="M3804" s="443"/>
    </row>
    <row r="3805" spans="1:13">
      <c r="A3805" s="639">
        <v>60713</v>
      </c>
      <c r="B3805" s="639">
        <v>1000</v>
      </c>
      <c r="C3805" s="638">
        <v>5993.875</v>
      </c>
      <c r="D3805" s="633">
        <f t="shared" si="122"/>
        <v>5993.875</v>
      </c>
      <c r="E3805" s="608"/>
      <c r="F3805" s="760">
        <f t="shared" si="121"/>
        <v>2528.7856825049694</v>
      </c>
      <c r="M3805" s="443"/>
    </row>
    <row r="3806" spans="1:13">
      <c r="A3806" s="639">
        <v>60713</v>
      </c>
      <c r="B3806" s="639">
        <v>1100</v>
      </c>
      <c r="C3806" s="638">
        <v>5909.6019999999999</v>
      </c>
      <c r="D3806" s="633">
        <f t="shared" si="122"/>
        <v>5909.6019999999999</v>
      </c>
      <c r="E3806" s="608"/>
      <c r="F3806" s="760">
        <f t="shared" si="121"/>
        <v>2493.2313281312559</v>
      </c>
      <c r="M3806" s="443"/>
    </row>
    <row r="3807" spans="1:13">
      <c r="A3807" s="639">
        <v>60713</v>
      </c>
      <c r="B3807" s="639">
        <v>1200</v>
      </c>
      <c r="C3807" s="638">
        <v>5886.7</v>
      </c>
      <c r="D3807" s="633">
        <f t="shared" si="122"/>
        <v>5886.7</v>
      </c>
      <c r="E3807" s="608"/>
      <c r="F3807" s="760">
        <f t="shared" si="121"/>
        <v>2483.5690896460142</v>
      </c>
      <c r="M3807" s="443"/>
    </row>
    <row r="3808" spans="1:13">
      <c r="A3808" s="639">
        <v>60713</v>
      </c>
      <c r="B3808" s="639">
        <v>1300</v>
      </c>
      <c r="C3808" s="638">
        <v>5493.5330000000004</v>
      </c>
      <c r="D3808" s="633">
        <f t="shared" si="122"/>
        <v>5493.5330000000004</v>
      </c>
      <c r="E3808" s="608"/>
      <c r="F3808" s="760">
        <f t="shared" si="121"/>
        <v>2317.6939119965919</v>
      </c>
      <c r="M3808" s="443"/>
    </row>
    <row r="3809" spans="1:13">
      <c r="A3809" s="639">
        <v>60713</v>
      </c>
      <c r="B3809" s="639">
        <v>1400</v>
      </c>
      <c r="C3809" s="638">
        <v>5385.0879999999997</v>
      </c>
      <c r="D3809" s="633">
        <f t="shared" si="122"/>
        <v>5385.0879999999997</v>
      </c>
      <c r="E3809" s="608"/>
      <c r="F3809" s="760">
        <f t="shared" si="121"/>
        <v>2271.941512532263</v>
      </c>
      <c r="M3809" s="443"/>
    </row>
    <row r="3810" spans="1:13">
      <c r="A3810" s="639">
        <v>60713</v>
      </c>
      <c r="B3810" s="639">
        <v>1500</v>
      </c>
      <c r="C3810" s="638">
        <v>5494.2709999999997</v>
      </c>
      <c r="D3810" s="633">
        <f t="shared" si="122"/>
        <v>5494.2709999999997</v>
      </c>
      <c r="E3810" s="608"/>
      <c r="F3810" s="760">
        <f t="shared" si="121"/>
        <v>2318.005270480659</v>
      </c>
      <c r="M3810" s="443"/>
    </row>
    <row r="3811" spans="1:13">
      <c r="A3811" s="639">
        <v>60713</v>
      </c>
      <c r="B3811" s="639">
        <v>1600</v>
      </c>
      <c r="C3811" s="638">
        <v>5698.3760000000002</v>
      </c>
      <c r="D3811" s="633">
        <f t="shared" si="122"/>
        <v>5698.3760000000002</v>
      </c>
      <c r="E3811" s="608"/>
      <c r="F3811" s="760">
        <f t="shared" si="121"/>
        <v>2404.1161422835703</v>
      </c>
      <c r="M3811" s="443"/>
    </row>
    <row r="3812" spans="1:13">
      <c r="A3812" s="639">
        <v>60713</v>
      </c>
      <c r="B3812" s="639">
        <v>1700</v>
      </c>
      <c r="C3812" s="638">
        <v>6052.4809999999998</v>
      </c>
      <c r="D3812" s="633">
        <f t="shared" si="122"/>
        <v>6052.4809999999998</v>
      </c>
      <c r="E3812" s="608"/>
      <c r="F3812" s="760">
        <f t="shared" si="121"/>
        <v>2553.5112588156007</v>
      </c>
      <c r="M3812" s="443"/>
    </row>
    <row r="3813" spans="1:13">
      <c r="A3813" s="639">
        <v>60713</v>
      </c>
      <c r="B3813" s="639">
        <v>1800</v>
      </c>
      <c r="C3813" s="638">
        <v>6191.4120000000003</v>
      </c>
      <c r="D3813" s="633">
        <f t="shared" si="122"/>
        <v>6191.4120000000003</v>
      </c>
      <c r="E3813" s="608"/>
      <c r="F3813" s="760">
        <f t="shared" si="121"/>
        <v>2612.1255481786752</v>
      </c>
      <c r="M3813" s="443"/>
    </row>
    <row r="3814" spans="1:13">
      <c r="A3814" s="639">
        <v>60713</v>
      </c>
      <c r="B3814" s="639">
        <v>1900</v>
      </c>
      <c r="C3814" s="638">
        <v>6350.2110000000002</v>
      </c>
      <c r="D3814" s="633">
        <f t="shared" si="122"/>
        <v>6350.2110000000002</v>
      </c>
      <c r="E3814" s="608"/>
      <c r="F3814" s="760">
        <f t="shared" si="121"/>
        <v>2679.1220467036037</v>
      </c>
      <c r="M3814" s="443"/>
    </row>
    <row r="3815" spans="1:13">
      <c r="A3815" s="639">
        <v>60713</v>
      </c>
      <c r="B3815" s="639">
        <v>2000</v>
      </c>
      <c r="C3815" s="638">
        <v>6517.0140000000001</v>
      </c>
      <c r="D3815" s="633">
        <f t="shared" si="122"/>
        <v>6517.0140000000001</v>
      </c>
      <c r="E3815" s="608"/>
      <c r="F3815" s="760">
        <f t="shared" si="121"/>
        <v>2749.495392527278</v>
      </c>
      <c r="M3815" s="443"/>
    </row>
    <row r="3816" spans="1:13">
      <c r="A3816" s="639">
        <v>60713</v>
      </c>
      <c r="B3816" s="639">
        <v>2100</v>
      </c>
      <c r="C3816" s="638">
        <v>6551.0609999999997</v>
      </c>
      <c r="D3816" s="633">
        <f t="shared" si="122"/>
        <v>6551.0609999999997</v>
      </c>
      <c r="E3816" s="608"/>
      <c r="F3816" s="760">
        <f t="shared" si="121"/>
        <v>2763.8596503958934</v>
      </c>
      <c r="M3816" s="443"/>
    </row>
    <row r="3817" spans="1:13">
      <c r="A3817" s="639">
        <v>60713</v>
      </c>
      <c r="B3817" s="639">
        <v>2200</v>
      </c>
      <c r="C3817" s="638">
        <v>6160.9669999999996</v>
      </c>
      <c r="D3817" s="633">
        <f t="shared" si="122"/>
        <v>6160.9669999999996</v>
      </c>
      <c r="E3817" s="608"/>
      <c r="F3817" s="760">
        <f t="shared" si="121"/>
        <v>2599.2809559734878</v>
      </c>
      <c r="M3817" s="443"/>
    </row>
    <row r="3818" spans="1:13">
      <c r="A3818" s="639">
        <v>60713</v>
      </c>
      <c r="B3818" s="639">
        <v>2300</v>
      </c>
      <c r="C3818" s="638">
        <v>5297.317</v>
      </c>
      <c r="D3818" s="633">
        <f t="shared" si="122"/>
        <v>5297.317</v>
      </c>
      <c r="E3818" s="608"/>
      <c r="F3818" s="760">
        <f t="shared" si="121"/>
        <v>2234.9113695714668</v>
      </c>
      <c r="M3818" s="443"/>
    </row>
    <row r="3819" spans="1:13">
      <c r="A3819" s="639">
        <v>60713</v>
      </c>
      <c r="B3819" s="639">
        <v>2400</v>
      </c>
      <c r="C3819" s="638">
        <v>4628.0940000000001</v>
      </c>
      <c r="D3819" s="633">
        <f t="shared" si="122"/>
        <v>4628.0940000000001</v>
      </c>
      <c r="E3819" s="608"/>
      <c r="F3819" s="760">
        <f t="shared" si="121"/>
        <v>1952.5695555024342</v>
      </c>
      <c r="M3819" s="443"/>
    </row>
    <row r="3820" spans="1:13">
      <c r="A3820" s="639">
        <v>60813</v>
      </c>
      <c r="B3820" s="639">
        <v>100</v>
      </c>
      <c r="C3820" s="638">
        <v>4269.4129999999996</v>
      </c>
      <c r="D3820" s="633">
        <f t="shared" si="122"/>
        <v>4269.4129999999996</v>
      </c>
      <c r="E3820" s="608"/>
      <c r="F3820" s="760">
        <f t="shared" si="121"/>
        <v>1801.2438476112009</v>
      </c>
      <c r="M3820" s="443"/>
    </row>
    <row r="3821" spans="1:13">
      <c r="A3821" s="639">
        <v>60813</v>
      </c>
      <c r="B3821" s="639">
        <v>200</v>
      </c>
      <c r="C3821" s="638">
        <v>4118.2740000000003</v>
      </c>
      <c r="D3821" s="633">
        <f t="shared" si="122"/>
        <v>4118.2740000000003</v>
      </c>
      <c r="E3821" s="608"/>
      <c r="F3821" s="760">
        <f t="shared" si="121"/>
        <v>1737.4790645171063</v>
      </c>
      <c r="M3821" s="443"/>
    </row>
    <row r="3822" spans="1:13">
      <c r="A3822" s="639">
        <v>60813</v>
      </c>
      <c r="B3822" s="639">
        <v>300</v>
      </c>
      <c r="C3822" s="638">
        <v>4030.8780000000002</v>
      </c>
      <c r="D3822" s="633">
        <f t="shared" si="122"/>
        <v>4030.8780000000002</v>
      </c>
      <c r="E3822" s="608"/>
      <c r="F3822" s="760">
        <f t="shared" si="121"/>
        <v>1700.6071321681325</v>
      </c>
      <c r="M3822" s="443"/>
    </row>
    <row r="3823" spans="1:13">
      <c r="A3823" s="639">
        <v>60813</v>
      </c>
      <c r="B3823" s="639">
        <v>400</v>
      </c>
      <c r="C3823" s="638">
        <v>4043.125</v>
      </c>
      <c r="D3823" s="633">
        <f t="shared" si="122"/>
        <v>4043.125</v>
      </c>
      <c r="E3823" s="608"/>
      <c r="F3823" s="760">
        <f t="shared" si="121"/>
        <v>1705.7740798027826</v>
      </c>
      <c r="M3823" s="443"/>
    </row>
    <row r="3824" spans="1:13">
      <c r="A3824" s="639">
        <v>60813</v>
      </c>
      <c r="B3824" s="639">
        <v>500</v>
      </c>
      <c r="C3824" s="638">
        <v>4152.8950000000004</v>
      </c>
      <c r="D3824" s="633">
        <f t="shared" si="122"/>
        <v>4152.8950000000004</v>
      </c>
      <c r="E3824" s="608"/>
      <c r="F3824" s="760">
        <f t="shared" si="121"/>
        <v>1752.0854900955517</v>
      </c>
      <c r="M3824" s="443"/>
    </row>
    <row r="3825" spans="1:13">
      <c r="A3825" s="639">
        <v>60813</v>
      </c>
      <c r="B3825" s="639">
        <v>600</v>
      </c>
      <c r="C3825" s="638">
        <v>4383.7330000000002</v>
      </c>
      <c r="D3825" s="633">
        <f t="shared" si="122"/>
        <v>4383.7330000000002</v>
      </c>
      <c r="E3825" s="608"/>
      <c r="F3825" s="760">
        <f t="shared" si="121"/>
        <v>1849.4748799940867</v>
      </c>
      <c r="M3825" s="443"/>
    </row>
    <row r="3826" spans="1:13">
      <c r="A3826" s="639">
        <v>60813</v>
      </c>
      <c r="B3826" s="639">
        <v>700</v>
      </c>
      <c r="C3826" s="638">
        <v>4909.6289999999999</v>
      </c>
      <c r="D3826" s="633">
        <f t="shared" si="122"/>
        <v>4909.6289999999999</v>
      </c>
      <c r="E3826" s="608"/>
      <c r="F3826" s="760">
        <f t="shared" si="121"/>
        <v>2071.3477544345169</v>
      </c>
      <c r="M3826" s="443"/>
    </row>
    <row r="3827" spans="1:13">
      <c r="A3827" s="639">
        <v>60813</v>
      </c>
      <c r="B3827" s="639">
        <v>800</v>
      </c>
      <c r="C3827" s="638">
        <v>5479.1540000000005</v>
      </c>
      <c r="D3827" s="633">
        <f t="shared" si="122"/>
        <v>5479.1540000000005</v>
      </c>
      <c r="E3827" s="608"/>
      <c r="F3827" s="760">
        <f t="shared" si="121"/>
        <v>2311.6274842968587</v>
      </c>
      <c r="M3827" s="443"/>
    </row>
    <row r="3828" spans="1:13">
      <c r="A3828" s="639">
        <v>60813</v>
      </c>
      <c r="B3828" s="639">
        <v>900</v>
      </c>
      <c r="C3828" s="638">
        <v>5719.7780000000002</v>
      </c>
      <c r="D3828" s="633">
        <f t="shared" si="122"/>
        <v>5719.7780000000002</v>
      </c>
      <c r="E3828" s="608"/>
      <c r="F3828" s="760">
        <f t="shared" si="121"/>
        <v>2413.1455383215211</v>
      </c>
      <c r="M3828" s="443"/>
    </row>
    <row r="3829" spans="1:13">
      <c r="A3829" s="639">
        <v>60813</v>
      </c>
      <c r="B3829" s="639">
        <v>1000</v>
      </c>
      <c r="C3829" s="638">
        <v>5794.7349999999997</v>
      </c>
      <c r="D3829" s="633">
        <f t="shared" si="122"/>
        <v>5794.7349999999997</v>
      </c>
      <c r="E3829" s="608"/>
      <c r="F3829" s="760">
        <f t="shared" si="121"/>
        <v>2444.7695192025913</v>
      </c>
      <c r="M3829" s="443"/>
    </row>
    <row r="3830" spans="1:13">
      <c r="A3830" s="639">
        <v>60813</v>
      </c>
      <c r="B3830" s="639">
        <v>1100</v>
      </c>
      <c r="C3830" s="638">
        <v>5586.1509999999998</v>
      </c>
      <c r="D3830" s="633">
        <f t="shared" si="122"/>
        <v>5586.1509999999998</v>
      </c>
      <c r="E3830" s="608"/>
      <c r="F3830" s="760">
        <f t="shared" si="121"/>
        <v>2356.7689798520682</v>
      </c>
      <c r="M3830" s="443"/>
    </row>
    <row r="3831" spans="1:13">
      <c r="A3831" s="639">
        <v>60813</v>
      </c>
      <c r="B3831" s="639">
        <v>1200</v>
      </c>
      <c r="C3831" s="638">
        <v>5491.9539999999997</v>
      </c>
      <c r="D3831" s="633">
        <f t="shared" si="122"/>
        <v>5491.9539999999997</v>
      </c>
      <c r="E3831" s="608"/>
      <c r="F3831" s="760">
        <f t="shared" si="121"/>
        <v>2317.0277398470762</v>
      </c>
      <c r="M3831" s="443"/>
    </row>
    <row r="3832" spans="1:13">
      <c r="A3832" s="639">
        <v>60813</v>
      </c>
      <c r="B3832" s="639">
        <v>1300</v>
      </c>
      <c r="C3832" s="638">
        <v>5498.6490000000003</v>
      </c>
      <c r="D3832" s="633">
        <f t="shared" si="122"/>
        <v>5498.6490000000003</v>
      </c>
      <c r="E3832" s="608"/>
      <c r="F3832" s="760">
        <f t="shared" si="121"/>
        <v>2319.8523266368197</v>
      </c>
      <c r="M3832" s="443"/>
    </row>
    <row r="3833" spans="1:13">
      <c r="A3833" s="639">
        <v>60813</v>
      </c>
      <c r="B3833" s="639">
        <v>1400</v>
      </c>
      <c r="C3833" s="638">
        <v>5400.7079999999996</v>
      </c>
      <c r="D3833" s="633">
        <f t="shared" si="122"/>
        <v>5400.7079999999996</v>
      </c>
      <c r="E3833" s="608"/>
      <c r="F3833" s="760">
        <f t="shared" si="121"/>
        <v>2278.5315118833887</v>
      </c>
      <c r="M3833" s="443"/>
    </row>
    <row r="3834" spans="1:13">
      <c r="A3834" s="639">
        <v>60813</v>
      </c>
      <c r="B3834" s="639">
        <v>1500</v>
      </c>
      <c r="C3834" s="638">
        <v>5394.7349999999997</v>
      </c>
      <c r="D3834" s="633">
        <f t="shared" si="122"/>
        <v>5394.7349999999997</v>
      </c>
      <c r="E3834" s="608"/>
      <c r="F3834" s="760">
        <f t="shared" si="121"/>
        <v>2276.011533258275</v>
      </c>
      <c r="M3834" s="443"/>
    </row>
    <row r="3835" spans="1:13">
      <c r="A3835" s="639">
        <v>60813</v>
      </c>
      <c r="B3835" s="639">
        <v>1600</v>
      </c>
      <c r="C3835" s="638">
        <v>5608.6989999999996</v>
      </c>
      <c r="D3835" s="633">
        <f t="shared" si="122"/>
        <v>5608.6989999999996</v>
      </c>
      <c r="E3835" s="608"/>
      <c r="F3835" s="760">
        <f t="shared" si="121"/>
        <v>2366.2818675197495</v>
      </c>
      <c r="M3835" s="443"/>
    </row>
    <row r="3836" spans="1:13">
      <c r="A3836" s="639">
        <v>60813</v>
      </c>
      <c r="B3836" s="639">
        <v>1700</v>
      </c>
      <c r="C3836" s="638">
        <v>6053.2030000000004</v>
      </c>
      <c r="D3836" s="633">
        <f t="shared" si="122"/>
        <v>6053.2030000000004</v>
      </c>
      <c r="E3836" s="608"/>
      <c r="F3836" s="760">
        <f t="shared" si="121"/>
        <v>2553.8158669802301</v>
      </c>
      <c r="M3836" s="443"/>
    </row>
    <row r="3837" spans="1:13">
      <c r="A3837" s="639">
        <v>60813</v>
      </c>
      <c r="B3837" s="639">
        <v>1800</v>
      </c>
      <c r="C3837" s="638">
        <v>6079.2020000000002</v>
      </c>
      <c r="D3837" s="633">
        <f t="shared" si="122"/>
        <v>6079.2020000000002</v>
      </c>
      <c r="E3837" s="608"/>
      <c r="F3837" s="760">
        <f t="shared" si="121"/>
        <v>2564.7847141716461</v>
      </c>
      <c r="M3837" s="443"/>
    </row>
    <row r="3838" spans="1:13">
      <c r="A3838" s="639">
        <v>60813</v>
      </c>
      <c r="B3838" s="639">
        <v>1900</v>
      </c>
      <c r="C3838" s="638">
        <v>6035.0990000000002</v>
      </c>
      <c r="D3838" s="633">
        <f t="shared" si="122"/>
        <v>6035.0990000000002</v>
      </c>
      <c r="E3838" s="608"/>
      <c r="F3838" s="760">
        <f t="shared" si="121"/>
        <v>2546.1778805363901</v>
      </c>
      <c r="M3838" s="443"/>
    </row>
    <row r="3839" spans="1:13">
      <c r="A3839" s="639">
        <v>60813</v>
      </c>
      <c r="B3839" s="639">
        <v>2000</v>
      </c>
      <c r="C3839" s="638">
        <v>5951.2629999999999</v>
      </c>
      <c r="D3839" s="633">
        <f t="shared" si="122"/>
        <v>5951.2629999999999</v>
      </c>
      <c r="E3839" s="608"/>
      <c r="F3839" s="760">
        <f t="shared" si="121"/>
        <v>2510.807894262321</v>
      </c>
      <c r="M3839" s="443"/>
    </row>
    <row r="3840" spans="1:13">
      <c r="A3840" s="639">
        <v>60813</v>
      </c>
      <c r="B3840" s="639">
        <v>2100</v>
      </c>
      <c r="C3840" s="638">
        <v>6192.4070000000002</v>
      </c>
      <c r="D3840" s="633">
        <f t="shared" si="122"/>
        <v>6192.4070000000002</v>
      </c>
      <c r="E3840" s="608"/>
      <c r="F3840" s="760">
        <f t="shared" si="121"/>
        <v>2612.5453336687115</v>
      </c>
      <c r="M3840" s="443"/>
    </row>
    <row r="3841" spans="1:13">
      <c r="A3841" s="639">
        <v>60813</v>
      </c>
      <c r="B3841" s="639">
        <v>2200</v>
      </c>
      <c r="C3841" s="638">
        <v>5858.576</v>
      </c>
      <c r="D3841" s="633">
        <f t="shared" si="122"/>
        <v>5858.576</v>
      </c>
      <c r="E3841" s="608"/>
      <c r="F3841" s="760">
        <f t="shared" si="121"/>
        <v>2471.7037156542692</v>
      </c>
      <c r="M3841" s="443"/>
    </row>
    <row r="3842" spans="1:13">
      <c r="A3842" s="639">
        <v>60813</v>
      </c>
      <c r="B3842" s="639">
        <v>2300</v>
      </c>
      <c r="C3842" s="638">
        <v>5256.2139999999999</v>
      </c>
      <c r="D3842" s="633">
        <f t="shared" si="122"/>
        <v>5256.2139999999999</v>
      </c>
      <c r="E3842" s="608"/>
      <c r="F3842" s="760">
        <f t="shared" si="121"/>
        <v>2217.5702208307935</v>
      </c>
      <c r="M3842" s="443"/>
    </row>
    <row r="3843" spans="1:13">
      <c r="A3843" s="639">
        <v>60813</v>
      </c>
      <c r="B3843" s="639">
        <v>2400</v>
      </c>
      <c r="C3843" s="638">
        <v>4614.5789999999997</v>
      </c>
      <c r="D3843" s="633">
        <f t="shared" si="122"/>
        <v>4614.5789999999997</v>
      </c>
      <c r="E3843" s="608"/>
      <c r="F3843" s="760">
        <f t="shared" si="121"/>
        <v>1946.8676450523405</v>
      </c>
      <c r="M3843" s="443"/>
    </row>
    <row r="3844" spans="1:13">
      <c r="A3844" s="639">
        <v>60913</v>
      </c>
      <c r="B3844" s="639">
        <v>100</v>
      </c>
      <c r="C3844" s="638">
        <v>4317.99</v>
      </c>
      <c r="D3844" s="633">
        <f t="shared" si="122"/>
        <v>4317.99</v>
      </c>
      <c r="E3844" s="608"/>
      <c r="F3844" s="760">
        <f t="shared" ref="F3844:F3907" si="123">(D3844/(MAX($D$3652:$D$4371)))*$M$9</f>
        <v>1821.7382393192433</v>
      </c>
      <c r="M3844" s="443"/>
    </row>
    <row r="3845" spans="1:13">
      <c r="A3845" s="639">
        <v>60913</v>
      </c>
      <c r="B3845" s="639">
        <v>200</v>
      </c>
      <c r="C3845" s="638">
        <v>4126.6369999999997</v>
      </c>
      <c r="D3845" s="633">
        <f t="shared" ref="D3845:D3908" si="124">C3845</f>
        <v>4126.6369999999997</v>
      </c>
      <c r="E3845" s="608"/>
      <c r="F3845" s="760">
        <f t="shared" si="123"/>
        <v>1741.0073721082367</v>
      </c>
      <c r="M3845" s="443"/>
    </row>
    <row r="3846" spans="1:13">
      <c r="A3846" s="639">
        <v>60913</v>
      </c>
      <c r="B3846" s="639">
        <v>300</v>
      </c>
      <c r="C3846" s="638">
        <v>4051.0529999999999</v>
      </c>
      <c r="D3846" s="633">
        <f t="shared" si="124"/>
        <v>4051.0529999999999</v>
      </c>
      <c r="E3846" s="608"/>
      <c r="F3846" s="760">
        <f t="shared" si="123"/>
        <v>1709.1188630841989</v>
      </c>
      <c r="M3846" s="443"/>
    </row>
    <row r="3847" spans="1:13">
      <c r="A3847" s="639">
        <v>60913</v>
      </c>
      <c r="B3847" s="639">
        <v>400</v>
      </c>
      <c r="C3847" s="638">
        <v>3994.6790000000001</v>
      </c>
      <c r="D3847" s="633">
        <f t="shared" si="124"/>
        <v>3994.6790000000001</v>
      </c>
      <c r="E3847" s="608"/>
      <c r="F3847" s="760">
        <f t="shared" si="123"/>
        <v>1685.3349563351367</v>
      </c>
      <c r="M3847" s="443"/>
    </row>
    <row r="3848" spans="1:13">
      <c r="A3848" s="639">
        <v>60913</v>
      </c>
      <c r="B3848" s="639">
        <v>500</v>
      </c>
      <c r="C3848" s="638">
        <v>3964.32</v>
      </c>
      <c r="D3848" s="633">
        <f t="shared" si="124"/>
        <v>3964.32</v>
      </c>
      <c r="E3848" s="608"/>
      <c r="F3848" s="760">
        <f t="shared" si="123"/>
        <v>1672.5266470969279</v>
      </c>
      <c r="M3848" s="443"/>
    </row>
    <row r="3849" spans="1:13">
      <c r="A3849" s="639">
        <v>60913</v>
      </c>
      <c r="B3849" s="639">
        <v>600</v>
      </c>
      <c r="C3849" s="638">
        <v>4161.3419999999996</v>
      </c>
      <c r="D3849" s="633">
        <f t="shared" si="124"/>
        <v>4161.3419999999996</v>
      </c>
      <c r="E3849" s="608"/>
      <c r="F3849" s="760">
        <f t="shared" si="123"/>
        <v>1755.6492368637305</v>
      </c>
      <c r="M3849" s="443"/>
    </row>
    <row r="3850" spans="1:13">
      <c r="A3850" s="639">
        <v>60913</v>
      </c>
      <c r="B3850" s="639">
        <v>700</v>
      </c>
      <c r="C3850" s="638">
        <v>4583.2520000000004</v>
      </c>
      <c r="D3850" s="633">
        <f t="shared" si="124"/>
        <v>4583.2520000000004</v>
      </c>
      <c r="E3850" s="608"/>
      <c r="F3850" s="760">
        <f t="shared" si="123"/>
        <v>1933.6509414881466</v>
      </c>
      <c r="M3850" s="443"/>
    </row>
    <row r="3851" spans="1:13">
      <c r="A3851" s="639">
        <v>60913</v>
      </c>
      <c r="B3851" s="639">
        <v>800</v>
      </c>
      <c r="C3851" s="638">
        <v>5087.2979999999998</v>
      </c>
      <c r="D3851" s="633">
        <f t="shared" si="124"/>
        <v>5087.2979999999998</v>
      </c>
      <c r="E3851" s="608"/>
      <c r="F3851" s="760">
        <f t="shared" si="123"/>
        <v>2146.3054109463683</v>
      </c>
      <c r="M3851" s="443"/>
    </row>
    <row r="3852" spans="1:13">
      <c r="A3852" s="639">
        <v>60913</v>
      </c>
      <c r="B3852" s="639">
        <v>900</v>
      </c>
      <c r="C3852" s="638">
        <v>5412.2910000000002</v>
      </c>
      <c r="D3852" s="633">
        <f t="shared" si="124"/>
        <v>5412.2910000000002</v>
      </c>
      <c r="E3852" s="608"/>
      <c r="F3852" s="760">
        <f t="shared" si="123"/>
        <v>2283.4183212613716</v>
      </c>
      <c r="M3852" s="443"/>
    </row>
    <row r="3853" spans="1:13">
      <c r="A3853" s="639">
        <v>60913</v>
      </c>
      <c r="B3853" s="639">
        <v>1000</v>
      </c>
      <c r="C3853" s="638">
        <v>5573.3249999999998</v>
      </c>
      <c r="D3853" s="633">
        <f t="shared" si="124"/>
        <v>5573.3249999999998</v>
      </c>
      <c r="E3853" s="608"/>
      <c r="F3853" s="760">
        <f t="shared" si="123"/>
        <v>2351.3577550327636</v>
      </c>
      <c r="M3853" s="443"/>
    </row>
    <row r="3854" spans="1:13">
      <c r="A3854" s="639">
        <v>60913</v>
      </c>
      <c r="B3854" s="639">
        <v>1100</v>
      </c>
      <c r="C3854" s="638">
        <v>5607.6769999999997</v>
      </c>
      <c r="D3854" s="633">
        <f t="shared" si="124"/>
        <v>5607.6769999999997</v>
      </c>
      <c r="E3854" s="608"/>
      <c r="F3854" s="760">
        <f t="shared" si="123"/>
        <v>2365.8506908656614</v>
      </c>
      <c r="M3854" s="443"/>
    </row>
    <row r="3855" spans="1:13">
      <c r="A3855" s="639">
        <v>60913</v>
      </c>
      <c r="B3855" s="639">
        <v>1200</v>
      </c>
      <c r="C3855" s="638">
        <v>5648.9449999999997</v>
      </c>
      <c r="D3855" s="633">
        <f t="shared" si="124"/>
        <v>5648.9449999999997</v>
      </c>
      <c r="E3855" s="608"/>
      <c r="F3855" s="760">
        <f t="shared" si="123"/>
        <v>2383.2614522755366</v>
      </c>
      <c r="M3855" s="443"/>
    </row>
    <row r="3856" spans="1:13">
      <c r="A3856" s="639">
        <v>60913</v>
      </c>
      <c r="B3856" s="639">
        <v>1300</v>
      </c>
      <c r="C3856" s="638">
        <v>5732.4809999999998</v>
      </c>
      <c r="D3856" s="633">
        <f t="shared" si="124"/>
        <v>5732.4809999999998</v>
      </c>
      <c r="E3856" s="608"/>
      <c r="F3856" s="760">
        <f t="shared" si="123"/>
        <v>2418.5048700601474</v>
      </c>
      <c r="M3856" s="443"/>
    </row>
    <row r="3857" spans="1:13">
      <c r="A3857" s="639">
        <v>60913</v>
      </c>
      <c r="B3857" s="639">
        <v>1400</v>
      </c>
      <c r="C3857" s="638">
        <v>5770.5249999999996</v>
      </c>
      <c r="D3857" s="633">
        <f t="shared" si="124"/>
        <v>5770.5249999999996</v>
      </c>
      <c r="E3857" s="608"/>
      <c r="F3857" s="760">
        <f t="shared" si="123"/>
        <v>2434.5554421033116</v>
      </c>
      <c r="M3857" s="443"/>
    </row>
    <row r="3858" spans="1:13">
      <c r="A3858" s="639">
        <v>60913</v>
      </c>
      <c r="B3858" s="639">
        <v>1500</v>
      </c>
      <c r="C3858" s="638">
        <v>5814.54</v>
      </c>
      <c r="D3858" s="633">
        <f t="shared" si="124"/>
        <v>5814.54</v>
      </c>
      <c r="E3858" s="608"/>
      <c r="F3858" s="760">
        <f t="shared" si="123"/>
        <v>2453.1251489816591</v>
      </c>
      <c r="M3858" s="443"/>
    </row>
    <row r="3859" spans="1:13">
      <c r="A3859" s="639">
        <v>60913</v>
      </c>
      <c r="B3859" s="639">
        <v>1600</v>
      </c>
      <c r="C3859" s="638">
        <v>6100.4040000000005</v>
      </c>
      <c r="D3859" s="633">
        <f t="shared" si="124"/>
        <v>6100.4040000000005</v>
      </c>
      <c r="E3859" s="608"/>
      <c r="F3859" s="760">
        <f t="shared" si="123"/>
        <v>2573.7297312166243</v>
      </c>
      <c r="M3859" s="443"/>
    </row>
    <row r="3860" spans="1:13">
      <c r="A3860" s="639">
        <v>60913</v>
      </c>
      <c r="B3860" s="639">
        <v>1700</v>
      </c>
      <c r="C3860" s="638">
        <v>6462.9129999999996</v>
      </c>
      <c r="D3860" s="633">
        <f t="shared" si="124"/>
        <v>6462.9129999999996</v>
      </c>
      <c r="E3860" s="608"/>
      <c r="F3860" s="760">
        <f t="shared" si="123"/>
        <v>2726.6704530333441</v>
      </c>
      <c r="M3860" s="443"/>
    </row>
    <row r="3861" spans="1:13">
      <c r="A3861" s="639">
        <v>60913</v>
      </c>
      <c r="B3861" s="639">
        <v>1800</v>
      </c>
      <c r="C3861" s="638">
        <v>6717.223</v>
      </c>
      <c r="D3861" s="633">
        <f t="shared" si="124"/>
        <v>6717.223</v>
      </c>
      <c r="E3861" s="608"/>
      <c r="F3861" s="760">
        <f t="shared" si="123"/>
        <v>2833.9625615470918</v>
      </c>
      <c r="M3861" s="443"/>
    </row>
    <row r="3862" spans="1:13">
      <c r="A3862" s="639">
        <v>60913</v>
      </c>
      <c r="B3862" s="639">
        <v>1900</v>
      </c>
      <c r="C3862" s="638">
        <v>6637.8890000000001</v>
      </c>
      <c r="D3862" s="633">
        <f t="shared" si="124"/>
        <v>6637.8890000000001</v>
      </c>
      <c r="E3862" s="608"/>
      <c r="F3862" s="760">
        <f t="shared" si="123"/>
        <v>2800.4919464048262</v>
      </c>
      <c r="M3862" s="443"/>
    </row>
    <row r="3863" spans="1:13">
      <c r="A3863" s="639">
        <v>60913</v>
      </c>
      <c r="B3863" s="639">
        <v>2000</v>
      </c>
      <c r="C3863" s="638">
        <v>6690.6540000000005</v>
      </c>
      <c r="D3863" s="633">
        <f t="shared" si="124"/>
        <v>6690.6540000000005</v>
      </c>
      <c r="E3863" s="608"/>
      <c r="F3863" s="760">
        <f t="shared" si="123"/>
        <v>2822.7532342257059</v>
      </c>
      <c r="M3863" s="443"/>
    </row>
    <row r="3864" spans="1:13">
      <c r="A3864" s="639">
        <v>60913</v>
      </c>
      <c r="B3864" s="639">
        <v>2100</v>
      </c>
      <c r="C3864" s="638">
        <v>7001.6450000000004</v>
      </c>
      <c r="D3864" s="633">
        <f t="shared" si="124"/>
        <v>7001.6450000000004</v>
      </c>
      <c r="E3864" s="608"/>
      <c r="F3864" s="760">
        <f t="shared" si="123"/>
        <v>2953.9587712427278</v>
      </c>
      <c r="M3864" s="443"/>
    </row>
    <row r="3865" spans="1:13">
      <c r="A3865" s="639">
        <v>60913</v>
      </c>
      <c r="B3865" s="639">
        <v>2200</v>
      </c>
      <c r="C3865" s="638">
        <v>6345.848</v>
      </c>
      <c r="D3865" s="633">
        <f t="shared" si="124"/>
        <v>6345.848</v>
      </c>
      <c r="E3865" s="608"/>
      <c r="F3865" s="760">
        <f t="shared" si="123"/>
        <v>2677.2813189719159</v>
      </c>
      <c r="M3865" s="443"/>
    </row>
    <row r="3866" spans="1:13">
      <c r="A3866" s="639">
        <v>60913</v>
      </c>
      <c r="B3866" s="639">
        <v>2300</v>
      </c>
      <c r="C3866" s="638">
        <v>5166.7560000000003</v>
      </c>
      <c r="D3866" s="633">
        <f t="shared" si="124"/>
        <v>5166.7560000000003</v>
      </c>
      <c r="E3866" s="608"/>
      <c r="F3866" s="760">
        <f t="shared" si="123"/>
        <v>2179.8283410642771</v>
      </c>
      <c r="M3866" s="443"/>
    </row>
    <row r="3867" spans="1:13">
      <c r="A3867" s="639">
        <v>60913</v>
      </c>
      <c r="B3867" s="639">
        <v>2400</v>
      </c>
      <c r="C3867" s="638">
        <v>4413.7129999999997</v>
      </c>
      <c r="D3867" s="633">
        <f t="shared" si="124"/>
        <v>4413.7129999999997</v>
      </c>
      <c r="E3867" s="608"/>
      <c r="F3867" s="760">
        <f t="shared" si="123"/>
        <v>1862.1232910406131</v>
      </c>
      <c r="M3867" s="443"/>
    </row>
    <row r="3868" spans="1:13">
      <c r="A3868" s="639">
        <v>61013</v>
      </c>
      <c r="B3868" s="639">
        <v>100</v>
      </c>
      <c r="C3868" s="638">
        <v>4174.1120000000001</v>
      </c>
      <c r="D3868" s="633">
        <f t="shared" si="124"/>
        <v>4174.1120000000001</v>
      </c>
      <c r="E3868" s="608"/>
      <c r="F3868" s="760">
        <f t="shared" si="123"/>
        <v>1761.036835565003</v>
      </c>
      <c r="M3868" s="443"/>
    </row>
    <row r="3869" spans="1:13">
      <c r="A3869" s="639">
        <v>61013</v>
      </c>
      <c r="B3869" s="639">
        <v>200</v>
      </c>
      <c r="C3869" s="638">
        <v>3978.0320000000002</v>
      </c>
      <c r="D3869" s="633">
        <f t="shared" si="124"/>
        <v>3978.0320000000002</v>
      </c>
      <c r="E3869" s="608"/>
      <c r="F3869" s="760">
        <f t="shared" si="123"/>
        <v>1678.3116708550992</v>
      </c>
      <c r="M3869" s="443"/>
    </row>
    <row r="3870" spans="1:13">
      <c r="A3870" s="639">
        <v>61013</v>
      </c>
      <c r="B3870" s="639">
        <v>300</v>
      </c>
      <c r="C3870" s="638">
        <v>3883.6610000000001</v>
      </c>
      <c r="D3870" s="633">
        <f t="shared" si="124"/>
        <v>3883.6610000000001</v>
      </c>
      <c r="E3870" s="608"/>
      <c r="F3870" s="760">
        <f t="shared" si="123"/>
        <v>1638.4970211262214</v>
      </c>
      <c r="M3870" s="443"/>
    </row>
    <row r="3871" spans="1:13">
      <c r="A3871" s="639">
        <v>61013</v>
      </c>
      <c r="B3871" s="639">
        <v>400</v>
      </c>
      <c r="C3871" s="638">
        <v>3913.4389999999999</v>
      </c>
      <c r="D3871" s="633">
        <f t="shared" si="124"/>
        <v>3913.4389999999999</v>
      </c>
      <c r="E3871" s="608"/>
      <c r="F3871" s="760">
        <f t="shared" si="123"/>
        <v>1651.060209389846</v>
      </c>
      <c r="M3871" s="443"/>
    </row>
    <row r="3872" spans="1:13">
      <c r="A3872" s="639">
        <v>61013</v>
      </c>
      <c r="B3872" s="639">
        <v>500</v>
      </c>
      <c r="C3872" s="638">
        <v>4201.8789999999999</v>
      </c>
      <c r="D3872" s="633">
        <f t="shared" si="124"/>
        <v>4201.8789999999999</v>
      </c>
      <c r="E3872" s="608"/>
      <c r="F3872" s="760">
        <f t="shared" si="123"/>
        <v>1772.7515930542922</v>
      </c>
      <c r="M3872" s="443"/>
    </row>
    <row r="3873" spans="1:13">
      <c r="A3873" s="639">
        <v>61013</v>
      </c>
      <c r="B3873" s="639">
        <v>600</v>
      </c>
      <c r="C3873" s="638">
        <v>4881.5020000000004</v>
      </c>
      <c r="D3873" s="633">
        <f t="shared" si="124"/>
        <v>4881.5020000000004</v>
      </c>
      <c r="E3873" s="608"/>
      <c r="F3873" s="760">
        <f t="shared" si="123"/>
        <v>2059.4811147578775</v>
      </c>
      <c r="M3873" s="443"/>
    </row>
    <row r="3874" spans="1:13">
      <c r="A3874" s="639">
        <v>61013</v>
      </c>
      <c r="B3874" s="639">
        <v>700</v>
      </c>
      <c r="C3874" s="638">
        <v>5528.8280000000004</v>
      </c>
      <c r="D3874" s="633">
        <f t="shared" si="124"/>
        <v>5528.8280000000004</v>
      </c>
      <c r="E3874" s="608"/>
      <c r="F3874" s="760">
        <f t="shared" si="123"/>
        <v>2332.5846947813534</v>
      </c>
      <c r="M3874" s="443"/>
    </row>
    <row r="3875" spans="1:13">
      <c r="A3875" s="639">
        <v>61013</v>
      </c>
      <c r="B3875" s="639">
        <v>800</v>
      </c>
      <c r="C3875" s="638">
        <v>5963.6180000000004</v>
      </c>
      <c r="D3875" s="633">
        <f t="shared" si="124"/>
        <v>5963.6180000000004</v>
      </c>
      <c r="E3875" s="608"/>
      <c r="F3875" s="760">
        <f t="shared" si="123"/>
        <v>2516.0204065531761</v>
      </c>
      <c r="M3875" s="443"/>
    </row>
    <row r="3876" spans="1:13">
      <c r="A3876" s="639">
        <v>61013</v>
      </c>
      <c r="B3876" s="639">
        <v>900</v>
      </c>
      <c r="C3876" s="638">
        <v>5767.5479999999998</v>
      </c>
      <c r="D3876" s="633">
        <f t="shared" si="124"/>
        <v>5767.5479999999998</v>
      </c>
      <c r="E3876" s="608"/>
      <c r="F3876" s="760">
        <f t="shared" si="123"/>
        <v>2433.2994607929209</v>
      </c>
      <c r="M3876" s="443"/>
    </row>
    <row r="3877" spans="1:13">
      <c r="A3877" s="639">
        <v>61013</v>
      </c>
      <c r="B3877" s="639">
        <v>1000</v>
      </c>
      <c r="C3877" s="638">
        <v>5393.0360000000001</v>
      </c>
      <c r="D3877" s="633">
        <f t="shared" si="124"/>
        <v>5393.0360000000001</v>
      </c>
      <c r="E3877" s="608"/>
      <c r="F3877" s="760">
        <f t="shared" si="123"/>
        <v>2275.2947337129767</v>
      </c>
      <c r="M3877" s="443"/>
    </row>
    <row r="3878" spans="1:13">
      <c r="A3878" s="639">
        <v>61013</v>
      </c>
      <c r="B3878" s="639">
        <v>1100</v>
      </c>
      <c r="C3878" s="638">
        <v>5438.067</v>
      </c>
      <c r="D3878" s="633">
        <f t="shared" si="124"/>
        <v>5438.067</v>
      </c>
      <c r="E3878" s="608"/>
      <c r="F3878" s="760">
        <f t="shared" si="123"/>
        <v>2294.2930858756231</v>
      </c>
      <c r="M3878" s="443"/>
    </row>
    <row r="3879" spans="1:13">
      <c r="A3879" s="639">
        <v>61013</v>
      </c>
      <c r="B3879" s="639">
        <v>1200</v>
      </c>
      <c r="C3879" s="638">
        <v>5554.21</v>
      </c>
      <c r="D3879" s="633">
        <f t="shared" si="124"/>
        <v>5554.21</v>
      </c>
      <c r="E3879" s="608"/>
      <c r="F3879" s="760">
        <f t="shared" si="123"/>
        <v>2343.2932327794501</v>
      </c>
      <c r="M3879" s="443"/>
    </row>
    <row r="3880" spans="1:13">
      <c r="A3880" s="639">
        <v>61013</v>
      </c>
      <c r="B3880" s="639">
        <v>1300</v>
      </c>
      <c r="C3880" s="638">
        <v>5739.4960000000001</v>
      </c>
      <c r="D3880" s="633">
        <f t="shared" si="124"/>
        <v>5739.4960000000001</v>
      </c>
      <c r="E3880" s="608"/>
      <c r="F3880" s="760">
        <f t="shared" si="123"/>
        <v>2421.4644632386462</v>
      </c>
      <c r="M3880" s="443"/>
    </row>
    <row r="3881" spans="1:13">
      <c r="A3881" s="639">
        <v>61013</v>
      </c>
      <c r="B3881" s="639">
        <v>1400</v>
      </c>
      <c r="C3881" s="638">
        <v>5728.9750000000004</v>
      </c>
      <c r="D3881" s="633">
        <f t="shared" si="124"/>
        <v>5728.9750000000004</v>
      </c>
      <c r="E3881" s="608"/>
      <c r="F3881" s="760">
        <f t="shared" si="123"/>
        <v>2417.0257063133458</v>
      </c>
      <c r="M3881" s="443"/>
    </row>
    <row r="3882" spans="1:13">
      <c r="A3882" s="639">
        <v>61013</v>
      </c>
      <c r="B3882" s="639">
        <v>1500</v>
      </c>
      <c r="C3882" s="638">
        <v>5938.1090000000004</v>
      </c>
      <c r="D3882" s="633">
        <f t="shared" si="124"/>
        <v>5938.1090000000004</v>
      </c>
      <c r="E3882" s="608"/>
      <c r="F3882" s="760">
        <f t="shared" si="123"/>
        <v>2505.2582878945423</v>
      </c>
      <c r="M3882" s="443"/>
    </row>
    <row r="3883" spans="1:13">
      <c r="A3883" s="639">
        <v>61013</v>
      </c>
      <c r="B3883" s="639">
        <v>1600</v>
      </c>
      <c r="C3883" s="638">
        <v>6304.4530000000004</v>
      </c>
      <c r="D3883" s="633">
        <f t="shared" si="124"/>
        <v>6304.4530000000004</v>
      </c>
      <c r="E3883" s="608"/>
      <c r="F3883" s="760">
        <f t="shared" si="123"/>
        <v>2659.8169769015035</v>
      </c>
      <c r="M3883" s="443"/>
    </row>
    <row r="3884" spans="1:13">
      <c r="A3884" s="639">
        <v>61013</v>
      </c>
      <c r="B3884" s="639">
        <v>1700</v>
      </c>
      <c r="C3884" s="638">
        <v>6504.2690000000002</v>
      </c>
      <c r="D3884" s="633">
        <f t="shared" si="124"/>
        <v>6504.2690000000002</v>
      </c>
      <c r="E3884" s="608"/>
      <c r="F3884" s="760">
        <f t="shared" si="123"/>
        <v>2744.1183412001274</v>
      </c>
      <c r="M3884" s="443"/>
    </row>
    <row r="3885" spans="1:13">
      <c r="A3885" s="639">
        <v>61013</v>
      </c>
      <c r="B3885" s="639">
        <v>1800</v>
      </c>
      <c r="C3885" s="638">
        <v>6602.6710000000003</v>
      </c>
      <c r="D3885" s="633">
        <f t="shared" si="124"/>
        <v>6602.6710000000003</v>
      </c>
      <c r="E3885" s="608"/>
      <c r="F3885" s="760">
        <f t="shared" si="123"/>
        <v>2785.633649532359</v>
      </c>
      <c r="M3885" s="443"/>
    </row>
    <row r="3886" spans="1:13">
      <c r="A3886" s="639">
        <v>61013</v>
      </c>
      <c r="B3886" s="639">
        <v>1900</v>
      </c>
      <c r="C3886" s="638">
        <v>6860.3779999999997</v>
      </c>
      <c r="D3886" s="633">
        <f t="shared" si="124"/>
        <v>6860.3779999999997</v>
      </c>
      <c r="E3886" s="608"/>
      <c r="F3886" s="760">
        <f t="shared" si="123"/>
        <v>2894.3589352417384</v>
      </c>
      <c r="M3886" s="443"/>
    </row>
    <row r="3887" spans="1:13">
      <c r="A3887" s="639">
        <v>61013</v>
      </c>
      <c r="B3887" s="639">
        <v>2000</v>
      </c>
      <c r="C3887" s="638">
        <v>6807.1109999999999</v>
      </c>
      <c r="D3887" s="633">
        <f t="shared" si="124"/>
        <v>6807.1109999999999</v>
      </c>
      <c r="E3887" s="608"/>
      <c r="F3887" s="760">
        <f t="shared" si="123"/>
        <v>2871.8858561484985</v>
      </c>
      <c r="M3887" s="443"/>
    </row>
    <row r="3888" spans="1:13">
      <c r="A3888" s="639">
        <v>61013</v>
      </c>
      <c r="B3888" s="639">
        <v>2100</v>
      </c>
      <c r="C3888" s="638">
        <v>6751.4520000000002</v>
      </c>
      <c r="D3888" s="633">
        <f t="shared" si="124"/>
        <v>6751.4520000000002</v>
      </c>
      <c r="E3888" s="608"/>
      <c r="F3888" s="760">
        <f t="shared" si="123"/>
        <v>2848.4036042993121</v>
      </c>
      <c r="M3888" s="443"/>
    </row>
    <row r="3889" spans="1:13">
      <c r="A3889" s="639">
        <v>61013</v>
      </c>
      <c r="B3889" s="639">
        <v>2200</v>
      </c>
      <c r="C3889" s="638">
        <v>5961.8459999999995</v>
      </c>
      <c r="D3889" s="633">
        <f t="shared" si="124"/>
        <v>5961.8459999999995</v>
      </c>
      <c r="E3889" s="608"/>
      <c r="F3889" s="760">
        <f t="shared" si="123"/>
        <v>2515.2728086754428</v>
      </c>
      <c r="M3889" s="443"/>
    </row>
    <row r="3890" spans="1:13">
      <c r="A3890" s="639">
        <v>61013</v>
      </c>
      <c r="B3890" s="639">
        <v>2300</v>
      </c>
      <c r="C3890" s="638">
        <v>5081.2460000000001</v>
      </c>
      <c r="D3890" s="633">
        <f t="shared" si="124"/>
        <v>5081.2460000000001</v>
      </c>
      <c r="E3890" s="608"/>
      <c r="F3890" s="760">
        <f t="shared" si="123"/>
        <v>2143.7521026190311</v>
      </c>
      <c r="M3890" s="443"/>
    </row>
    <row r="3891" spans="1:13">
      <c r="A3891" s="639">
        <v>61013</v>
      </c>
      <c r="B3891" s="639">
        <v>2400</v>
      </c>
      <c r="C3891" s="638">
        <v>4396.7939999999999</v>
      </c>
      <c r="D3891" s="633">
        <f t="shared" si="124"/>
        <v>4396.7939999999999</v>
      </c>
      <c r="E3891" s="608"/>
      <c r="F3891" s="760">
        <f t="shared" si="123"/>
        <v>1854.9852501301334</v>
      </c>
      <c r="M3891" s="443"/>
    </row>
    <row r="3892" spans="1:13">
      <c r="A3892" s="639">
        <v>61113</v>
      </c>
      <c r="B3892" s="639">
        <v>100</v>
      </c>
      <c r="C3892" s="638">
        <v>4130.2120000000004</v>
      </c>
      <c r="D3892" s="633">
        <f t="shared" si="124"/>
        <v>4130.2120000000004</v>
      </c>
      <c r="E3892" s="608"/>
      <c r="F3892" s="760">
        <f t="shared" si="123"/>
        <v>1742.5156466076144</v>
      </c>
      <c r="M3892" s="443"/>
    </row>
    <row r="3893" spans="1:13">
      <c r="A3893" s="639">
        <v>61113</v>
      </c>
      <c r="B3893" s="639">
        <v>200</v>
      </c>
      <c r="C3893" s="638">
        <v>4023.5070000000001</v>
      </c>
      <c r="D3893" s="633">
        <f t="shared" si="124"/>
        <v>4023.5070000000001</v>
      </c>
      <c r="E3893" s="608"/>
      <c r="F3893" s="760">
        <f t="shared" si="123"/>
        <v>1697.4973443821434</v>
      </c>
      <c r="M3893" s="443"/>
    </row>
    <row r="3894" spans="1:13">
      <c r="A3894" s="639">
        <v>61113</v>
      </c>
      <c r="B3894" s="639">
        <v>300</v>
      </c>
      <c r="C3894" s="638">
        <v>4172.6019999999999</v>
      </c>
      <c r="D3894" s="633">
        <f t="shared" si="124"/>
        <v>4172.6019999999999</v>
      </c>
      <c r="E3894" s="608"/>
      <c r="F3894" s="760">
        <f t="shared" si="123"/>
        <v>1760.399774168063</v>
      </c>
      <c r="M3894" s="443"/>
    </row>
    <row r="3895" spans="1:13">
      <c r="A3895" s="639">
        <v>61113</v>
      </c>
      <c r="B3895" s="639">
        <v>400</v>
      </c>
      <c r="C3895" s="638">
        <v>4187.335</v>
      </c>
      <c r="D3895" s="633">
        <f t="shared" si="124"/>
        <v>4187.335</v>
      </c>
      <c r="E3895" s="608"/>
      <c r="F3895" s="760">
        <f t="shared" si="123"/>
        <v>1766.6155526853572</v>
      </c>
      <c r="M3895" s="443"/>
    </row>
    <row r="3896" spans="1:13">
      <c r="A3896" s="639">
        <v>61113</v>
      </c>
      <c r="B3896" s="639">
        <v>500</v>
      </c>
      <c r="C3896" s="638">
        <v>4513.0990000000002</v>
      </c>
      <c r="D3896" s="633">
        <f t="shared" si="124"/>
        <v>4513.0990000000002</v>
      </c>
      <c r="E3896" s="608"/>
      <c r="F3896" s="760">
        <f t="shared" si="123"/>
        <v>1904.0537440182677</v>
      </c>
      <c r="M3896" s="443"/>
    </row>
    <row r="3897" spans="1:13">
      <c r="A3897" s="639">
        <v>61113</v>
      </c>
      <c r="B3897" s="639">
        <v>600</v>
      </c>
      <c r="C3897" s="638">
        <v>5208.3689999999997</v>
      </c>
      <c r="D3897" s="633">
        <f t="shared" si="124"/>
        <v>5208.3689999999997</v>
      </c>
      <c r="E3897" s="608"/>
      <c r="F3897" s="760">
        <f t="shared" si="123"/>
        <v>2197.384656237029</v>
      </c>
      <c r="M3897" s="443"/>
    </row>
    <row r="3898" spans="1:13">
      <c r="A3898" s="639">
        <v>61113</v>
      </c>
      <c r="B3898" s="639">
        <v>700</v>
      </c>
      <c r="C3898" s="638">
        <v>5870.2259999999997</v>
      </c>
      <c r="D3898" s="633">
        <f t="shared" si="124"/>
        <v>5870.2259999999997</v>
      </c>
      <c r="E3898" s="608"/>
      <c r="F3898" s="760">
        <f t="shared" si="123"/>
        <v>2476.618791994897</v>
      </c>
      <c r="M3898" s="443"/>
    </row>
    <row r="3899" spans="1:13">
      <c r="A3899" s="639">
        <v>61113</v>
      </c>
      <c r="B3899" s="639">
        <v>800</v>
      </c>
      <c r="C3899" s="638">
        <v>5705.8670000000002</v>
      </c>
      <c r="D3899" s="633">
        <f t="shared" si="124"/>
        <v>5705.8670000000002</v>
      </c>
      <c r="E3899" s="608"/>
      <c r="F3899" s="760">
        <f t="shared" si="123"/>
        <v>2407.2765574653426</v>
      </c>
      <c r="M3899" s="443"/>
    </row>
    <row r="3900" spans="1:13">
      <c r="A3900" s="639">
        <v>61113</v>
      </c>
      <c r="B3900" s="639">
        <v>900</v>
      </c>
      <c r="C3900" s="638">
        <v>5430.7550000000001</v>
      </c>
      <c r="D3900" s="633">
        <f t="shared" si="124"/>
        <v>5430.7550000000001</v>
      </c>
      <c r="E3900" s="608"/>
      <c r="F3900" s="760">
        <f t="shared" si="123"/>
        <v>2291.2081898925608</v>
      </c>
      <c r="M3900" s="443"/>
    </row>
    <row r="3901" spans="1:13">
      <c r="A3901" s="639">
        <v>61113</v>
      </c>
      <c r="B3901" s="639">
        <v>1000</v>
      </c>
      <c r="C3901" s="638">
        <v>5425.4250000000002</v>
      </c>
      <c r="D3901" s="633">
        <f t="shared" si="124"/>
        <v>5425.4250000000002</v>
      </c>
      <c r="E3901" s="608"/>
      <c r="F3901" s="760">
        <f t="shared" si="123"/>
        <v>2288.959489729853</v>
      </c>
      <c r="M3901" s="443"/>
    </row>
    <row r="3902" spans="1:13">
      <c r="A3902" s="639">
        <v>61113</v>
      </c>
      <c r="B3902" s="639">
        <v>1100</v>
      </c>
      <c r="C3902" s="638">
        <v>5396.5879999999997</v>
      </c>
      <c r="D3902" s="633">
        <f t="shared" si="124"/>
        <v>5396.5879999999997</v>
      </c>
      <c r="E3902" s="608"/>
      <c r="F3902" s="760">
        <f t="shared" si="123"/>
        <v>2276.7933046281619</v>
      </c>
      <c r="M3902" s="443"/>
    </row>
    <row r="3903" spans="1:13">
      <c r="A3903" s="639">
        <v>61113</v>
      </c>
      <c r="B3903" s="639">
        <v>1200</v>
      </c>
      <c r="C3903" s="638">
        <v>5423.9470000000001</v>
      </c>
      <c r="D3903" s="633">
        <f t="shared" si="124"/>
        <v>5423.9470000000001</v>
      </c>
      <c r="E3903" s="608"/>
      <c r="F3903" s="760">
        <f t="shared" si="123"/>
        <v>2288.3359289717887</v>
      </c>
      <c r="M3903" s="443"/>
    </row>
    <row r="3904" spans="1:13">
      <c r="A3904" s="639">
        <v>61113</v>
      </c>
      <c r="B3904" s="639">
        <v>1300</v>
      </c>
      <c r="C3904" s="638">
        <v>5330.4049999999997</v>
      </c>
      <c r="D3904" s="633">
        <f t="shared" si="124"/>
        <v>5330.4049999999997</v>
      </c>
      <c r="E3904" s="608"/>
      <c r="F3904" s="760">
        <f t="shared" si="123"/>
        <v>2248.8710301687806</v>
      </c>
      <c r="M3904" s="443"/>
    </row>
    <row r="3905" spans="1:13">
      <c r="A3905" s="639">
        <v>61113</v>
      </c>
      <c r="B3905" s="639">
        <v>1400</v>
      </c>
      <c r="C3905" s="638">
        <v>5407.7030000000004</v>
      </c>
      <c r="D3905" s="633">
        <f t="shared" si="124"/>
        <v>5407.7030000000004</v>
      </c>
      <c r="E3905" s="608"/>
      <c r="F3905" s="760">
        <f t="shared" si="123"/>
        <v>2281.4826671625906</v>
      </c>
      <c r="M3905" s="443"/>
    </row>
    <row r="3906" spans="1:13">
      <c r="A3906" s="639">
        <v>61113</v>
      </c>
      <c r="B3906" s="639">
        <v>1500</v>
      </c>
      <c r="C3906" s="638">
        <v>5673.2449999999999</v>
      </c>
      <c r="D3906" s="633">
        <f t="shared" si="124"/>
        <v>5673.2449999999999</v>
      </c>
      <c r="E3906" s="608"/>
      <c r="F3906" s="760">
        <f t="shared" si="123"/>
        <v>2393.5134999216543</v>
      </c>
      <c r="M3906" s="443"/>
    </row>
    <row r="3907" spans="1:13">
      <c r="A3907" s="639">
        <v>61113</v>
      </c>
      <c r="B3907" s="639">
        <v>1600</v>
      </c>
      <c r="C3907" s="638">
        <v>6043.8549999999996</v>
      </c>
      <c r="D3907" s="633">
        <f t="shared" si="124"/>
        <v>6043.8549999999996</v>
      </c>
      <c r="E3907" s="608"/>
      <c r="F3907" s="760">
        <f t="shared" si="123"/>
        <v>2549.8719928487108</v>
      </c>
      <c r="M3907" s="443"/>
    </row>
    <row r="3908" spans="1:13">
      <c r="A3908" s="639">
        <v>61113</v>
      </c>
      <c r="B3908" s="639">
        <v>1700</v>
      </c>
      <c r="C3908" s="638">
        <v>6437.027</v>
      </c>
      <c r="D3908" s="633">
        <f t="shared" si="124"/>
        <v>6437.027</v>
      </c>
      <c r="E3908" s="608"/>
      <c r="F3908" s="760">
        <f t="shared" ref="F3908:F3971" si="125">(D3908/(MAX($D$3652:$D$4371)))*$M$9</f>
        <v>2715.749279972958</v>
      </c>
      <c r="M3908" s="443"/>
    </row>
    <row r="3909" spans="1:13">
      <c r="A3909" s="639">
        <v>61113</v>
      </c>
      <c r="B3909" s="639">
        <v>1800</v>
      </c>
      <c r="C3909" s="638">
        <v>6599.4809999999998</v>
      </c>
      <c r="D3909" s="633">
        <f t="shared" ref="D3909:D3972" si="126">C3909</f>
        <v>6599.4809999999998</v>
      </c>
      <c r="E3909" s="608"/>
      <c r="F3909" s="760">
        <f t="shared" si="125"/>
        <v>2784.2878045944526</v>
      </c>
      <c r="M3909" s="443"/>
    </row>
    <row r="3910" spans="1:13">
      <c r="A3910" s="639">
        <v>61113</v>
      </c>
      <c r="B3910" s="639">
        <v>1900</v>
      </c>
      <c r="C3910" s="638">
        <v>6497.7939999999999</v>
      </c>
      <c r="D3910" s="633">
        <f t="shared" si="126"/>
        <v>6497.7939999999999</v>
      </c>
      <c r="E3910" s="608"/>
      <c r="F3910" s="760">
        <f t="shared" si="125"/>
        <v>2741.3865713026539</v>
      </c>
      <c r="M3910" s="443"/>
    </row>
    <row r="3911" spans="1:13">
      <c r="A3911" s="639">
        <v>61113</v>
      </c>
      <c r="B3911" s="639">
        <v>2000</v>
      </c>
      <c r="C3911" s="638">
        <v>6547.7240000000002</v>
      </c>
      <c r="D3911" s="633">
        <f t="shared" si="126"/>
        <v>6547.7240000000002</v>
      </c>
      <c r="E3911" s="608"/>
      <c r="F3911" s="760">
        <f t="shared" si="125"/>
        <v>2762.4517868981529</v>
      </c>
      <c r="M3911" s="443"/>
    </row>
    <row r="3912" spans="1:13">
      <c r="A3912" s="639">
        <v>61113</v>
      </c>
      <c r="B3912" s="639">
        <v>2100</v>
      </c>
      <c r="C3912" s="638">
        <v>6848.6040000000003</v>
      </c>
      <c r="D3912" s="633">
        <f t="shared" si="126"/>
        <v>6848.6040000000003</v>
      </c>
      <c r="E3912" s="608"/>
      <c r="F3912" s="760">
        <f t="shared" si="125"/>
        <v>2889.3915439254674</v>
      </c>
      <c r="M3912" s="443"/>
    </row>
    <row r="3913" spans="1:13">
      <c r="A3913" s="639">
        <v>61113</v>
      </c>
      <c r="B3913" s="639">
        <v>2200</v>
      </c>
      <c r="C3913" s="638">
        <v>6319.7889999999998</v>
      </c>
      <c r="D3913" s="633">
        <f t="shared" si="126"/>
        <v>6319.7889999999998</v>
      </c>
      <c r="E3913" s="608"/>
      <c r="F3913" s="760">
        <f t="shared" si="125"/>
        <v>2666.2871580826086</v>
      </c>
      <c r="M3913" s="443"/>
    </row>
    <row r="3914" spans="1:13">
      <c r="A3914" s="639">
        <v>61113</v>
      </c>
      <c r="B3914" s="639">
        <v>2300</v>
      </c>
      <c r="C3914" s="638">
        <v>5318.8630000000003</v>
      </c>
      <c r="D3914" s="633">
        <f t="shared" si="126"/>
        <v>5318.8630000000003</v>
      </c>
      <c r="E3914" s="608"/>
      <c r="F3914" s="760">
        <f t="shared" si="125"/>
        <v>2244.0015184843578</v>
      </c>
      <c r="M3914" s="443"/>
    </row>
    <row r="3915" spans="1:13">
      <c r="A3915" s="639">
        <v>61113</v>
      </c>
      <c r="B3915" s="639">
        <v>2400</v>
      </c>
      <c r="C3915" s="638">
        <v>4521.59</v>
      </c>
      <c r="D3915" s="633">
        <f t="shared" si="126"/>
        <v>4521.59</v>
      </c>
      <c r="E3915" s="608"/>
      <c r="F3915" s="760">
        <f t="shared" si="125"/>
        <v>1907.6360541649008</v>
      </c>
      <c r="M3915" s="443"/>
    </row>
    <row r="3916" spans="1:13">
      <c r="A3916" s="639">
        <v>61213</v>
      </c>
      <c r="B3916" s="639">
        <v>100</v>
      </c>
      <c r="C3916" s="638">
        <v>4159.2470000000003</v>
      </c>
      <c r="D3916" s="633">
        <f t="shared" si="126"/>
        <v>4159.2470000000003</v>
      </c>
      <c r="E3916" s="608"/>
      <c r="F3916" s="760">
        <f t="shared" si="125"/>
        <v>1754.7653669123472</v>
      </c>
      <c r="M3916" s="443"/>
    </row>
    <row r="3917" spans="1:13">
      <c r="A3917" s="639">
        <v>61213</v>
      </c>
      <c r="B3917" s="639">
        <v>200</v>
      </c>
      <c r="C3917" s="638">
        <v>3987.3530000000001</v>
      </c>
      <c r="D3917" s="633">
        <f t="shared" si="126"/>
        <v>3987.3530000000001</v>
      </c>
      <c r="E3917" s="608"/>
      <c r="F3917" s="760">
        <f t="shared" si="125"/>
        <v>1682.2441538225667</v>
      </c>
      <c r="M3917" s="443"/>
    </row>
    <row r="3918" spans="1:13">
      <c r="A3918" s="639">
        <v>61213</v>
      </c>
      <c r="B3918" s="639">
        <v>300</v>
      </c>
      <c r="C3918" s="638">
        <v>4136.4579999999996</v>
      </c>
      <c r="D3918" s="633">
        <f t="shared" si="126"/>
        <v>4136.4579999999996</v>
      </c>
      <c r="E3918" s="608"/>
      <c r="F3918" s="760">
        <f t="shared" si="125"/>
        <v>1745.1508025581345</v>
      </c>
      <c r="M3918" s="443"/>
    </row>
    <row r="3919" spans="1:13">
      <c r="A3919" s="639">
        <v>61213</v>
      </c>
      <c r="B3919" s="639">
        <v>400</v>
      </c>
      <c r="C3919" s="638">
        <v>4127.8019999999997</v>
      </c>
      <c r="D3919" s="633">
        <f t="shared" si="126"/>
        <v>4127.8019999999997</v>
      </c>
      <c r="E3919" s="608"/>
      <c r="F3919" s="760">
        <f t="shared" si="125"/>
        <v>1741.4988797422996</v>
      </c>
      <c r="M3919" s="443"/>
    </row>
    <row r="3920" spans="1:13">
      <c r="A3920" s="639">
        <v>61213</v>
      </c>
      <c r="B3920" s="639">
        <v>500</v>
      </c>
      <c r="C3920" s="638">
        <v>4416.4089999999997</v>
      </c>
      <c r="D3920" s="633">
        <f t="shared" si="126"/>
        <v>4416.4089999999997</v>
      </c>
      <c r="E3920" s="608"/>
      <c r="F3920" s="760">
        <f t="shared" si="125"/>
        <v>1863.2607198658775</v>
      </c>
      <c r="M3920" s="443"/>
    </row>
    <row r="3921" spans="1:13">
      <c r="A3921" s="639">
        <v>61213</v>
      </c>
      <c r="B3921" s="639">
        <v>600</v>
      </c>
      <c r="C3921" s="638">
        <v>4966.0079999999998</v>
      </c>
      <c r="D3921" s="633">
        <f t="shared" si="126"/>
        <v>4966.0079999999998</v>
      </c>
      <c r="E3921" s="608"/>
      <c r="F3921" s="760">
        <f t="shared" si="125"/>
        <v>2095.1337706584031</v>
      </c>
      <c r="M3921" s="443"/>
    </row>
    <row r="3922" spans="1:13">
      <c r="A3922" s="639">
        <v>61213</v>
      </c>
      <c r="B3922" s="639">
        <v>700</v>
      </c>
      <c r="C3922" s="638">
        <v>5554.4449999999997</v>
      </c>
      <c r="D3922" s="633">
        <f t="shared" si="126"/>
        <v>5554.4449999999997</v>
      </c>
      <c r="E3922" s="608"/>
      <c r="F3922" s="760">
        <f t="shared" si="125"/>
        <v>2343.3923780961923</v>
      </c>
      <c r="M3922" s="443"/>
    </row>
    <row r="3923" spans="1:13">
      <c r="A3923" s="639">
        <v>61213</v>
      </c>
      <c r="B3923" s="639">
        <v>800</v>
      </c>
      <c r="C3923" s="638">
        <v>5625.2030000000004</v>
      </c>
      <c r="D3923" s="633">
        <f t="shared" si="126"/>
        <v>5625.2030000000004</v>
      </c>
      <c r="E3923" s="608"/>
      <c r="F3923" s="760">
        <f t="shared" si="125"/>
        <v>2373.2448220198121</v>
      </c>
      <c r="M3923" s="443"/>
    </row>
    <row r="3924" spans="1:13">
      <c r="A3924" s="639">
        <v>61213</v>
      </c>
      <c r="B3924" s="639">
        <v>900</v>
      </c>
      <c r="C3924" s="638">
        <v>5573.0320000000002</v>
      </c>
      <c r="D3924" s="633">
        <f t="shared" si="126"/>
        <v>5573.0320000000002</v>
      </c>
      <c r="E3924" s="608"/>
      <c r="F3924" s="760">
        <f t="shared" si="125"/>
        <v>2351.2341398080598</v>
      </c>
      <c r="M3924" s="443"/>
    </row>
    <row r="3925" spans="1:13">
      <c r="A3925" s="639">
        <v>61213</v>
      </c>
      <c r="B3925" s="639">
        <v>1000</v>
      </c>
      <c r="C3925" s="638">
        <v>5485.8770000000004</v>
      </c>
      <c r="D3925" s="633">
        <f t="shared" si="126"/>
        <v>5485.8770000000004</v>
      </c>
      <c r="E3925" s="608"/>
      <c r="F3925" s="760">
        <f t="shared" si="125"/>
        <v>2314.4638841456176</v>
      </c>
      <c r="M3925" s="443"/>
    </row>
    <row r="3926" spans="1:13">
      <c r="A3926" s="639">
        <v>61213</v>
      </c>
      <c r="B3926" s="639">
        <v>1100</v>
      </c>
      <c r="C3926" s="638">
        <v>5501.2079999999996</v>
      </c>
      <c r="D3926" s="633">
        <f t="shared" si="126"/>
        <v>5501.2079999999996</v>
      </c>
      <c r="E3926" s="608"/>
      <c r="F3926" s="760">
        <f t="shared" si="125"/>
        <v>2320.9319558518978</v>
      </c>
      <c r="M3926" s="443"/>
    </row>
    <row r="3927" spans="1:13">
      <c r="A3927" s="639">
        <v>61213</v>
      </c>
      <c r="B3927" s="639">
        <v>1200</v>
      </c>
      <c r="C3927" s="638">
        <v>5585.9970000000003</v>
      </c>
      <c r="D3927" s="633">
        <f t="shared" si="126"/>
        <v>5585.9970000000003</v>
      </c>
      <c r="E3927" s="608"/>
      <c r="F3927" s="760">
        <f t="shared" si="125"/>
        <v>2356.7040080274801</v>
      </c>
      <c r="M3927" s="443"/>
    </row>
    <row r="3928" spans="1:13">
      <c r="A3928" s="639">
        <v>61213</v>
      </c>
      <c r="B3928" s="639">
        <v>1300</v>
      </c>
      <c r="C3928" s="638">
        <v>5698.0460000000003</v>
      </c>
      <c r="D3928" s="633">
        <f t="shared" si="126"/>
        <v>5698.0460000000003</v>
      </c>
      <c r="E3928" s="608"/>
      <c r="F3928" s="760">
        <f t="shared" si="125"/>
        <v>2403.9769169451665</v>
      </c>
      <c r="M3928" s="443"/>
    </row>
    <row r="3929" spans="1:13">
      <c r="A3929" s="639">
        <v>61213</v>
      </c>
      <c r="B3929" s="639">
        <v>1400</v>
      </c>
      <c r="C3929" s="638">
        <v>5679.1149999999998</v>
      </c>
      <c r="D3929" s="633">
        <f t="shared" si="126"/>
        <v>5679.1149999999998</v>
      </c>
      <c r="E3929" s="608"/>
      <c r="F3929" s="760">
        <f t="shared" si="125"/>
        <v>2395.9900233653871</v>
      </c>
      <c r="M3929" s="443"/>
    </row>
    <row r="3930" spans="1:13">
      <c r="A3930" s="639">
        <v>61213</v>
      </c>
      <c r="B3930" s="639">
        <v>1500</v>
      </c>
      <c r="C3930" s="638">
        <v>5816.9290000000001</v>
      </c>
      <c r="D3930" s="633">
        <f t="shared" si="126"/>
        <v>5816.9290000000001</v>
      </c>
      <c r="E3930" s="608"/>
      <c r="F3930" s="760">
        <f t="shared" si="125"/>
        <v>2454.1330560527117</v>
      </c>
      <c r="M3930" s="443"/>
    </row>
    <row r="3931" spans="1:13">
      <c r="A3931" s="639">
        <v>61213</v>
      </c>
      <c r="B3931" s="639">
        <v>1600</v>
      </c>
      <c r="C3931" s="638">
        <v>6296.2920000000004</v>
      </c>
      <c r="D3931" s="633">
        <f t="shared" si="126"/>
        <v>6296.2920000000004</v>
      </c>
      <c r="E3931" s="608"/>
      <c r="F3931" s="760">
        <f t="shared" si="125"/>
        <v>2656.3738920932747</v>
      </c>
      <c r="M3931" s="443"/>
    </row>
    <row r="3932" spans="1:13">
      <c r="A3932" s="639">
        <v>61213</v>
      </c>
      <c r="B3932" s="639">
        <v>1700</v>
      </c>
      <c r="C3932" s="638">
        <v>6703.1719999999996</v>
      </c>
      <c r="D3932" s="633">
        <f t="shared" si="126"/>
        <v>6703.1719999999996</v>
      </c>
      <c r="E3932" s="608"/>
      <c r="F3932" s="760">
        <f t="shared" si="125"/>
        <v>2828.0345153958328</v>
      </c>
      <c r="M3932" s="443"/>
    </row>
    <row r="3933" spans="1:13">
      <c r="A3933" s="639">
        <v>61213</v>
      </c>
      <c r="B3933" s="639">
        <v>1800</v>
      </c>
      <c r="C3933" s="638">
        <v>6861.41</v>
      </c>
      <c r="D3933" s="633">
        <f t="shared" si="126"/>
        <v>6861.41</v>
      </c>
      <c r="E3933" s="608"/>
      <c r="F3933" s="760">
        <f t="shared" si="125"/>
        <v>2894.7943308454746</v>
      </c>
      <c r="M3933" s="443"/>
    </row>
    <row r="3934" spans="1:13">
      <c r="A3934" s="639">
        <v>61213</v>
      </c>
      <c r="B3934" s="639">
        <v>1900</v>
      </c>
      <c r="C3934" s="638">
        <v>7012.0219999999999</v>
      </c>
      <c r="D3934" s="633">
        <f t="shared" si="126"/>
        <v>7012.0219999999999</v>
      </c>
      <c r="E3934" s="608"/>
      <c r="F3934" s="760">
        <f t="shared" si="125"/>
        <v>2958.3367752930881</v>
      </c>
      <c r="M3934" s="443"/>
    </row>
    <row r="3935" spans="1:13">
      <c r="A3935" s="639">
        <v>61213</v>
      </c>
      <c r="B3935" s="639">
        <v>2000</v>
      </c>
      <c r="C3935" s="638">
        <v>6887.357</v>
      </c>
      <c r="D3935" s="633">
        <f t="shared" si="126"/>
        <v>6887.357</v>
      </c>
      <c r="E3935" s="608"/>
      <c r="F3935" s="760">
        <f t="shared" si="125"/>
        <v>2905.7412394987177</v>
      </c>
      <c r="M3935" s="443"/>
    </row>
    <row r="3936" spans="1:13">
      <c r="A3936" s="639">
        <v>61213</v>
      </c>
      <c r="B3936" s="639">
        <v>2100</v>
      </c>
      <c r="C3936" s="638">
        <v>6998.45</v>
      </c>
      <c r="D3936" s="633">
        <f t="shared" si="126"/>
        <v>6998.45</v>
      </c>
      <c r="E3936" s="608"/>
      <c r="F3936" s="760">
        <f t="shared" si="125"/>
        <v>2952.610816829997</v>
      </c>
      <c r="M3936" s="443"/>
    </row>
    <row r="3937" spans="1:13">
      <c r="A3937" s="639">
        <v>61213</v>
      </c>
      <c r="B3937" s="639">
        <v>2200</v>
      </c>
      <c r="C3937" s="638">
        <v>6374.2839999999997</v>
      </c>
      <c r="D3937" s="633">
        <f t="shared" si="126"/>
        <v>6374.2839999999997</v>
      </c>
      <c r="E3937" s="608"/>
      <c r="F3937" s="760">
        <f t="shared" si="125"/>
        <v>2689.2783241926973</v>
      </c>
      <c r="M3937" s="443"/>
    </row>
    <row r="3938" spans="1:13">
      <c r="A3938" s="639">
        <v>61213</v>
      </c>
      <c r="B3938" s="639">
        <v>2300</v>
      </c>
      <c r="C3938" s="638">
        <v>5371.5640000000003</v>
      </c>
      <c r="D3938" s="633">
        <f t="shared" si="126"/>
        <v>5371.5640000000003</v>
      </c>
      <c r="E3938" s="608"/>
      <c r="F3938" s="760">
        <f t="shared" si="125"/>
        <v>2266.2358050274861</v>
      </c>
      <c r="M3938" s="443"/>
    </row>
    <row r="3939" spans="1:13">
      <c r="A3939" s="639">
        <v>61213</v>
      </c>
      <c r="B3939" s="639">
        <v>2400</v>
      </c>
      <c r="C3939" s="638">
        <v>4603.9769999999999</v>
      </c>
      <c r="D3939" s="633">
        <f t="shared" si="126"/>
        <v>4603.9769999999999</v>
      </c>
      <c r="E3939" s="608"/>
      <c r="F3939" s="760">
        <f t="shared" si="125"/>
        <v>1942.3947146348862</v>
      </c>
      <c r="M3939" s="443"/>
    </row>
    <row r="3940" spans="1:13">
      <c r="A3940" s="639">
        <v>61313</v>
      </c>
      <c r="B3940" s="639">
        <v>100</v>
      </c>
      <c r="C3940" s="638">
        <v>4185.6319999999996</v>
      </c>
      <c r="D3940" s="633">
        <f t="shared" si="126"/>
        <v>4185.6319999999996</v>
      </c>
      <c r="E3940" s="608"/>
      <c r="F3940" s="760">
        <f t="shared" si="125"/>
        <v>1765.8970655601988</v>
      </c>
      <c r="M3940" s="443"/>
    </row>
    <row r="3941" spans="1:13">
      <c r="A3941" s="639">
        <v>61313</v>
      </c>
      <c r="B3941" s="639">
        <v>200</v>
      </c>
      <c r="C3941" s="638">
        <v>3981.93</v>
      </c>
      <c r="D3941" s="633">
        <f t="shared" si="126"/>
        <v>3981.93</v>
      </c>
      <c r="E3941" s="608"/>
      <c r="F3941" s="760">
        <f t="shared" si="125"/>
        <v>1679.9562174281264</v>
      </c>
      <c r="M3941" s="443"/>
    </row>
    <row r="3942" spans="1:13">
      <c r="A3942" s="639">
        <v>61313</v>
      </c>
      <c r="B3942" s="639">
        <v>300</v>
      </c>
      <c r="C3942" s="638">
        <v>3947.3389999999999</v>
      </c>
      <c r="D3942" s="633">
        <f t="shared" si="126"/>
        <v>3947.3389999999999</v>
      </c>
      <c r="E3942" s="608"/>
      <c r="F3942" s="760">
        <f t="shared" si="125"/>
        <v>1665.3624486986268</v>
      </c>
      <c r="M3942" s="443"/>
    </row>
    <row r="3943" spans="1:13">
      <c r="A3943" s="639">
        <v>61313</v>
      </c>
      <c r="B3943" s="639">
        <v>400</v>
      </c>
      <c r="C3943" s="638">
        <v>3990.2260000000001</v>
      </c>
      <c r="D3943" s="633">
        <f t="shared" si="126"/>
        <v>3990.2260000000001</v>
      </c>
      <c r="E3943" s="608"/>
      <c r="F3943" s="760">
        <f t="shared" si="125"/>
        <v>1683.4562580566117</v>
      </c>
      <c r="M3943" s="443"/>
    </row>
    <row r="3944" spans="1:13">
      <c r="A3944" s="639">
        <v>61313</v>
      </c>
      <c r="B3944" s="639">
        <v>500</v>
      </c>
      <c r="C3944" s="638">
        <v>4333.3379999999997</v>
      </c>
      <c r="D3944" s="633">
        <f t="shared" si="126"/>
        <v>4333.3379999999997</v>
      </c>
      <c r="E3944" s="608"/>
      <c r="F3944" s="760">
        <f t="shared" si="125"/>
        <v>1828.2134832399267</v>
      </c>
      <c r="M3944" s="443"/>
    </row>
    <row r="3945" spans="1:13">
      <c r="A3945" s="639">
        <v>61313</v>
      </c>
      <c r="B3945" s="639">
        <v>600</v>
      </c>
      <c r="C3945" s="638">
        <v>5076.2110000000002</v>
      </c>
      <c r="D3945" s="633">
        <f t="shared" si="126"/>
        <v>5076.2110000000002</v>
      </c>
      <c r="E3945" s="608"/>
      <c r="F3945" s="760">
        <f t="shared" si="125"/>
        <v>2141.6278614709568</v>
      </c>
      <c r="M3945" s="443"/>
    </row>
    <row r="3946" spans="1:13">
      <c r="A3946" s="639">
        <v>61313</v>
      </c>
      <c r="B3946" s="639">
        <v>700</v>
      </c>
      <c r="C3946" s="638">
        <v>5726.58</v>
      </c>
      <c r="D3946" s="633">
        <f t="shared" si="126"/>
        <v>5726.58</v>
      </c>
      <c r="E3946" s="608"/>
      <c r="F3946" s="760">
        <f t="shared" si="125"/>
        <v>2416.0152678725044</v>
      </c>
      <c r="M3946" s="443"/>
    </row>
    <row r="3947" spans="1:13">
      <c r="A3947" s="639">
        <v>61313</v>
      </c>
      <c r="B3947" s="639">
        <v>800</v>
      </c>
      <c r="C3947" s="638">
        <v>6030.0349999999999</v>
      </c>
      <c r="D3947" s="633">
        <f t="shared" si="126"/>
        <v>6030.0349999999999</v>
      </c>
      <c r="E3947" s="608"/>
      <c r="F3947" s="760">
        <f t="shared" si="125"/>
        <v>2544.0414044343356</v>
      </c>
      <c r="M3947" s="443"/>
    </row>
    <row r="3948" spans="1:13">
      <c r="A3948" s="639">
        <v>61313</v>
      </c>
      <c r="B3948" s="639">
        <v>900</v>
      </c>
      <c r="C3948" s="638">
        <v>6012.57</v>
      </c>
      <c r="D3948" s="633">
        <f t="shared" si="126"/>
        <v>6012.57</v>
      </c>
      <c r="E3948" s="608"/>
      <c r="F3948" s="760">
        <f t="shared" si="125"/>
        <v>2536.6730088730415</v>
      </c>
      <c r="M3948" s="443"/>
    </row>
    <row r="3949" spans="1:13">
      <c r="A3949" s="639">
        <v>61313</v>
      </c>
      <c r="B3949" s="639">
        <v>1000</v>
      </c>
      <c r="C3949" s="638">
        <v>5824.5569999999998</v>
      </c>
      <c r="D3949" s="633">
        <f t="shared" si="126"/>
        <v>5824.5569999999998</v>
      </c>
      <c r="E3949" s="608"/>
      <c r="F3949" s="760">
        <f t="shared" si="125"/>
        <v>2457.3512708446701</v>
      </c>
      <c r="M3949" s="443"/>
    </row>
    <row r="3950" spans="1:13">
      <c r="A3950" s="639">
        <v>61313</v>
      </c>
      <c r="B3950" s="639">
        <v>1100</v>
      </c>
      <c r="C3950" s="638">
        <v>5427.1710000000003</v>
      </c>
      <c r="D3950" s="633">
        <f t="shared" si="126"/>
        <v>5427.1710000000003</v>
      </c>
      <c r="E3950" s="608"/>
      <c r="F3950" s="760">
        <f t="shared" si="125"/>
        <v>2289.6961183385001</v>
      </c>
      <c r="M3950" s="443"/>
    </row>
    <row r="3951" spans="1:13">
      <c r="A3951" s="639">
        <v>61313</v>
      </c>
      <c r="B3951" s="639">
        <v>1200</v>
      </c>
      <c r="C3951" s="638">
        <v>5309.3010000000004</v>
      </c>
      <c r="D3951" s="633">
        <f t="shared" si="126"/>
        <v>5309.3010000000004</v>
      </c>
      <c r="E3951" s="608"/>
      <c r="F3951" s="760">
        <f t="shared" si="125"/>
        <v>2239.9673588303585</v>
      </c>
      <c r="M3951" s="443"/>
    </row>
    <row r="3952" spans="1:13">
      <c r="A3952" s="639">
        <v>61313</v>
      </c>
      <c r="B3952" s="639">
        <v>1300</v>
      </c>
      <c r="C3952" s="638">
        <v>5463.4669999999996</v>
      </c>
      <c r="D3952" s="633">
        <f t="shared" si="126"/>
        <v>5463.4669999999996</v>
      </c>
      <c r="E3952" s="608"/>
      <c r="F3952" s="760">
        <f t="shared" si="125"/>
        <v>2305.0092179830867</v>
      </c>
      <c r="M3952" s="443"/>
    </row>
    <row r="3953" spans="1:13">
      <c r="A3953" s="639">
        <v>61313</v>
      </c>
      <c r="B3953" s="639">
        <v>1400</v>
      </c>
      <c r="C3953" s="638">
        <v>5538.11</v>
      </c>
      <c r="D3953" s="633">
        <f t="shared" si="126"/>
        <v>5538.11</v>
      </c>
      <c r="E3953" s="608"/>
      <c r="F3953" s="760">
        <f t="shared" si="125"/>
        <v>2336.5007238451908</v>
      </c>
      <c r="M3953" s="443"/>
    </row>
    <row r="3954" spans="1:13">
      <c r="A3954" s="639">
        <v>61313</v>
      </c>
      <c r="B3954" s="639">
        <v>1500</v>
      </c>
      <c r="C3954" s="638">
        <v>5870.7969999999996</v>
      </c>
      <c r="D3954" s="633">
        <f t="shared" si="126"/>
        <v>5870.7969999999996</v>
      </c>
      <c r="E3954" s="608"/>
      <c r="F3954" s="760">
        <f t="shared" si="125"/>
        <v>2476.8596940198327</v>
      </c>
      <c r="M3954" s="443"/>
    </row>
    <row r="3955" spans="1:13">
      <c r="A3955" s="639">
        <v>61313</v>
      </c>
      <c r="B3955" s="639">
        <v>1600</v>
      </c>
      <c r="C3955" s="638">
        <v>6119.5659999999998</v>
      </c>
      <c r="D3955" s="633">
        <f t="shared" si="126"/>
        <v>6119.5659999999998</v>
      </c>
      <c r="E3955" s="608"/>
      <c r="F3955" s="760">
        <f t="shared" si="125"/>
        <v>2581.8140825332866</v>
      </c>
      <c r="M3955" s="443"/>
    </row>
    <row r="3956" spans="1:13">
      <c r="A3956" s="639">
        <v>61313</v>
      </c>
      <c r="B3956" s="639">
        <v>1700</v>
      </c>
      <c r="C3956" s="638">
        <v>6327.5720000000001</v>
      </c>
      <c r="D3956" s="633">
        <f t="shared" si="126"/>
        <v>6327.5720000000001</v>
      </c>
      <c r="E3956" s="608"/>
      <c r="F3956" s="760">
        <f t="shared" si="125"/>
        <v>2669.5707665941204</v>
      </c>
      <c r="M3956" s="443"/>
    </row>
    <row r="3957" spans="1:13">
      <c r="A3957" s="639">
        <v>61313</v>
      </c>
      <c r="B3957" s="639">
        <v>1800</v>
      </c>
      <c r="C3957" s="638">
        <v>6413.9139999999998</v>
      </c>
      <c r="D3957" s="633">
        <f t="shared" si="126"/>
        <v>6413.9139999999998</v>
      </c>
      <c r="E3957" s="608"/>
      <c r="F3957" s="760">
        <f t="shared" si="125"/>
        <v>2705.9980216501308</v>
      </c>
      <c r="M3957" s="443"/>
    </row>
    <row r="3958" spans="1:13">
      <c r="A3958" s="639">
        <v>61313</v>
      </c>
      <c r="B3958" s="639">
        <v>1900</v>
      </c>
      <c r="C3958" s="638">
        <v>6456.51</v>
      </c>
      <c r="D3958" s="633">
        <f t="shared" si="126"/>
        <v>6456.51</v>
      </c>
      <c r="E3958" s="608"/>
      <c r="F3958" s="760">
        <f t="shared" si="125"/>
        <v>2723.9690595733409</v>
      </c>
      <c r="M3958" s="443"/>
    </row>
    <row r="3959" spans="1:13">
      <c r="A3959" s="639">
        <v>61313</v>
      </c>
      <c r="B3959" s="639">
        <v>2000</v>
      </c>
      <c r="C3959" s="638">
        <v>6529.6629999999996</v>
      </c>
      <c r="D3959" s="633">
        <f t="shared" si="126"/>
        <v>6529.6629999999996</v>
      </c>
      <c r="E3959" s="608"/>
      <c r="F3959" s="760">
        <f t="shared" si="125"/>
        <v>2754.8319419378017</v>
      </c>
      <c r="M3959" s="443"/>
    </row>
    <row r="3960" spans="1:13">
      <c r="A3960" s="639">
        <v>61313</v>
      </c>
      <c r="B3960" s="639">
        <v>2100</v>
      </c>
      <c r="C3960" s="638">
        <v>6788.23</v>
      </c>
      <c r="D3960" s="633">
        <f t="shared" si="126"/>
        <v>6788.23</v>
      </c>
      <c r="E3960" s="608"/>
      <c r="F3960" s="760">
        <f t="shared" si="125"/>
        <v>2863.9200573169619</v>
      </c>
      <c r="M3960" s="443"/>
    </row>
    <row r="3961" spans="1:13">
      <c r="A3961" s="639">
        <v>61313</v>
      </c>
      <c r="B3961" s="639">
        <v>2200</v>
      </c>
      <c r="C3961" s="638">
        <v>6324.56</v>
      </c>
      <c r="D3961" s="633">
        <f t="shared" si="126"/>
        <v>6324.56</v>
      </c>
      <c r="E3961" s="608"/>
      <c r="F3961" s="760">
        <f t="shared" si="125"/>
        <v>2668.3000189599597</v>
      </c>
      <c r="M3961" s="443"/>
    </row>
    <row r="3962" spans="1:13">
      <c r="A3962" s="639">
        <v>61313</v>
      </c>
      <c r="B3962" s="639">
        <v>2300</v>
      </c>
      <c r="C3962" s="638">
        <v>5312.31</v>
      </c>
      <c r="D3962" s="633">
        <f t="shared" si="126"/>
        <v>5312.31</v>
      </c>
      <c r="E3962" s="608"/>
      <c r="F3962" s="760">
        <f t="shared" si="125"/>
        <v>2241.2368407796248</v>
      </c>
      <c r="M3962" s="443"/>
    </row>
    <row r="3963" spans="1:13">
      <c r="A3963" s="639">
        <v>61313</v>
      </c>
      <c r="B3963" s="639">
        <v>2400</v>
      </c>
      <c r="C3963" s="638">
        <v>4542.9049999999997</v>
      </c>
      <c r="D3963" s="633">
        <f t="shared" si="126"/>
        <v>4542.9049999999997</v>
      </c>
      <c r="E3963" s="608"/>
      <c r="F3963" s="760">
        <f t="shared" si="125"/>
        <v>1916.6287453409082</v>
      </c>
      <c r="M3963" s="443"/>
    </row>
    <row r="3964" spans="1:13">
      <c r="A3964" s="639">
        <v>61413</v>
      </c>
      <c r="B3964" s="639">
        <v>100</v>
      </c>
      <c r="C3964" s="638">
        <v>4218.7190000000001</v>
      </c>
      <c r="D3964" s="633">
        <f t="shared" si="126"/>
        <v>4218.7190000000001</v>
      </c>
      <c r="E3964" s="608"/>
      <c r="F3964" s="760">
        <f t="shared" si="125"/>
        <v>1779.8563042625481</v>
      </c>
      <c r="M3964" s="443"/>
    </row>
    <row r="3965" spans="1:13">
      <c r="A3965" s="639">
        <v>61413</v>
      </c>
      <c r="B3965" s="639">
        <v>200</v>
      </c>
      <c r="C3965" s="638">
        <v>3987.7649999999999</v>
      </c>
      <c r="D3965" s="633">
        <f t="shared" si="126"/>
        <v>3987.7649999999999</v>
      </c>
      <c r="E3965" s="608"/>
      <c r="F3965" s="760">
        <f t="shared" si="125"/>
        <v>1682.4179745480892</v>
      </c>
      <c r="M3965" s="443"/>
    </row>
    <row r="3966" spans="1:13">
      <c r="A3966" s="639">
        <v>61413</v>
      </c>
      <c r="B3966" s="639">
        <v>300</v>
      </c>
      <c r="C3966" s="638">
        <v>3909.3470000000002</v>
      </c>
      <c r="D3966" s="633">
        <f t="shared" si="126"/>
        <v>3909.3470000000002</v>
      </c>
      <c r="E3966" s="608"/>
      <c r="F3966" s="760">
        <f t="shared" si="125"/>
        <v>1649.3338151936359</v>
      </c>
      <c r="M3966" s="443"/>
    </row>
    <row r="3967" spans="1:13">
      <c r="A3967" s="639">
        <v>61413</v>
      </c>
      <c r="B3967" s="639">
        <v>400</v>
      </c>
      <c r="C3967" s="638">
        <v>3961.3290000000002</v>
      </c>
      <c r="D3967" s="633">
        <f t="shared" si="126"/>
        <v>3961.3290000000002</v>
      </c>
      <c r="E3967" s="608"/>
      <c r="F3967" s="760">
        <f t="shared" si="125"/>
        <v>1671.2647592570293</v>
      </c>
      <c r="M3967" s="443"/>
    </row>
    <row r="3968" spans="1:13">
      <c r="A3968" s="639">
        <v>61413</v>
      </c>
      <c r="B3968" s="639">
        <v>500</v>
      </c>
      <c r="C3968" s="638">
        <v>4239.7370000000001</v>
      </c>
      <c r="D3968" s="633">
        <f t="shared" si="126"/>
        <v>4239.7370000000001</v>
      </c>
      <c r="E3968" s="608"/>
      <c r="F3968" s="760">
        <f t="shared" si="125"/>
        <v>1788.7236926339924</v>
      </c>
      <c r="M3968" s="443"/>
    </row>
    <row r="3969" spans="1:13">
      <c r="A3969" s="639">
        <v>61413</v>
      </c>
      <c r="B3969" s="639">
        <v>600</v>
      </c>
      <c r="C3969" s="638">
        <v>4827.9949999999999</v>
      </c>
      <c r="D3969" s="633">
        <f t="shared" si="126"/>
        <v>4827.9949999999999</v>
      </c>
      <c r="E3969" s="608"/>
      <c r="F3969" s="760">
        <f t="shared" si="125"/>
        <v>2036.9067808730711</v>
      </c>
      <c r="M3969" s="443"/>
    </row>
    <row r="3970" spans="1:13">
      <c r="A3970" s="639">
        <v>61413</v>
      </c>
      <c r="B3970" s="639">
        <v>700</v>
      </c>
      <c r="C3970" s="638">
        <v>5407.58</v>
      </c>
      <c r="D3970" s="633">
        <f t="shared" si="126"/>
        <v>5407.58</v>
      </c>
      <c r="E3970" s="608"/>
      <c r="F3970" s="760">
        <f t="shared" si="125"/>
        <v>2281.4307740819117</v>
      </c>
      <c r="M3970" s="443"/>
    </row>
    <row r="3971" spans="1:13">
      <c r="A3971" s="639">
        <v>61413</v>
      </c>
      <c r="B3971" s="639">
        <v>800</v>
      </c>
      <c r="C3971" s="638">
        <v>5451.8639999999996</v>
      </c>
      <c r="D3971" s="633">
        <f t="shared" si="126"/>
        <v>5451.8639999999996</v>
      </c>
      <c r="E3971" s="608"/>
      <c r="F3971" s="760">
        <f t="shared" si="125"/>
        <v>2300.1139707058073</v>
      </c>
      <c r="M3971" s="443"/>
    </row>
    <row r="3972" spans="1:13">
      <c r="A3972" s="639">
        <v>61413</v>
      </c>
      <c r="B3972" s="639">
        <v>900</v>
      </c>
      <c r="C3972" s="638">
        <v>5340.8810000000003</v>
      </c>
      <c r="D3972" s="633">
        <f t="shared" si="126"/>
        <v>5340.8810000000003</v>
      </c>
      <c r="E3972" s="608"/>
      <c r="F3972" s="760">
        <f t="shared" ref="F3972:F4035" si="127">(D3972/(MAX($D$3652:$D$4371)))*$M$9</f>
        <v>2253.2908018206622</v>
      </c>
      <c r="M3972" s="443"/>
    </row>
    <row r="3973" spans="1:13">
      <c r="A3973" s="639">
        <v>61413</v>
      </c>
      <c r="B3973" s="639">
        <v>1000</v>
      </c>
      <c r="C3973" s="638">
        <v>5282.8280000000004</v>
      </c>
      <c r="D3973" s="633">
        <f t="shared" ref="D3973:D4036" si="128">C3973</f>
        <v>5282.8280000000004</v>
      </c>
      <c r="E3973" s="608"/>
      <c r="F3973" s="760">
        <f t="shared" si="127"/>
        <v>2228.7985334255991</v>
      </c>
      <c r="M3973" s="443"/>
    </row>
    <row r="3974" spans="1:13">
      <c r="A3974" s="639">
        <v>61413</v>
      </c>
      <c r="B3974" s="639">
        <v>1100</v>
      </c>
      <c r="C3974" s="638">
        <v>5358.2359999999999</v>
      </c>
      <c r="D3974" s="633">
        <f t="shared" si="128"/>
        <v>5358.2359999999999</v>
      </c>
      <c r="E3974" s="608"/>
      <c r="F3974" s="760">
        <f t="shared" si="127"/>
        <v>2260.6127889358213</v>
      </c>
      <c r="M3974" s="443"/>
    </row>
    <row r="3975" spans="1:13">
      <c r="A3975" s="639">
        <v>61413</v>
      </c>
      <c r="B3975" s="639">
        <v>1200</v>
      </c>
      <c r="C3975" s="638">
        <v>5307.7219999999998</v>
      </c>
      <c r="D3975" s="633">
        <f t="shared" si="128"/>
        <v>5307.7219999999998</v>
      </c>
      <c r="E3975" s="608"/>
      <c r="F3975" s="760">
        <f t="shared" si="127"/>
        <v>2239.3011866808433</v>
      </c>
      <c r="M3975" s="443"/>
    </row>
    <row r="3976" spans="1:13">
      <c r="A3976" s="639">
        <v>61413</v>
      </c>
      <c r="B3976" s="639">
        <v>1300</v>
      </c>
      <c r="C3976" s="638">
        <v>5316.5110000000004</v>
      </c>
      <c r="D3976" s="633">
        <f t="shared" si="128"/>
        <v>5316.5110000000004</v>
      </c>
      <c r="E3976" s="608"/>
      <c r="F3976" s="760">
        <f t="shared" si="127"/>
        <v>2243.0092215270051</v>
      </c>
      <c r="M3976" s="443"/>
    </row>
    <row r="3977" spans="1:13">
      <c r="A3977" s="639">
        <v>61413</v>
      </c>
      <c r="B3977" s="639">
        <v>1400</v>
      </c>
      <c r="C3977" s="638">
        <v>5385.4120000000003</v>
      </c>
      <c r="D3977" s="633">
        <f t="shared" si="128"/>
        <v>5385.4120000000003</v>
      </c>
      <c r="E3977" s="608"/>
      <c r="F3977" s="760">
        <f t="shared" si="127"/>
        <v>2272.0782065008784</v>
      </c>
      <c r="M3977" s="443"/>
    </row>
    <row r="3978" spans="1:13">
      <c r="A3978" s="639">
        <v>61413</v>
      </c>
      <c r="B3978" s="639">
        <v>1500</v>
      </c>
      <c r="C3978" s="638">
        <v>5615.9629999999997</v>
      </c>
      <c r="D3978" s="633">
        <f t="shared" si="128"/>
        <v>5615.9629999999997</v>
      </c>
      <c r="E3978" s="608"/>
      <c r="F3978" s="760">
        <f t="shared" si="127"/>
        <v>2369.3465125444977</v>
      </c>
      <c r="M3978" s="443"/>
    </row>
    <row r="3979" spans="1:13">
      <c r="A3979" s="639">
        <v>61413</v>
      </c>
      <c r="B3979" s="639">
        <v>1600</v>
      </c>
      <c r="C3979" s="638">
        <v>5968.2190000000001</v>
      </c>
      <c r="D3979" s="633">
        <f t="shared" si="128"/>
        <v>5968.2190000000001</v>
      </c>
      <c r="E3979" s="608"/>
      <c r="F3979" s="760">
        <f t="shared" si="127"/>
        <v>2517.961545286501</v>
      </c>
      <c r="M3979" s="443"/>
    </row>
    <row r="3980" spans="1:13">
      <c r="A3980" s="639">
        <v>61413</v>
      </c>
      <c r="B3980" s="639">
        <v>1700</v>
      </c>
      <c r="C3980" s="638">
        <v>6390.1989999999996</v>
      </c>
      <c r="D3980" s="633">
        <f t="shared" si="128"/>
        <v>6390.1989999999996</v>
      </c>
      <c r="E3980" s="608"/>
      <c r="F3980" s="760">
        <f t="shared" si="127"/>
        <v>2695.9927825584568</v>
      </c>
      <c r="M3980" s="443"/>
    </row>
    <row r="3981" spans="1:13">
      <c r="A3981" s="639">
        <v>61413</v>
      </c>
      <c r="B3981" s="639">
        <v>1800</v>
      </c>
      <c r="C3981" s="638">
        <v>6547.8950000000004</v>
      </c>
      <c r="D3981" s="633">
        <f t="shared" si="128"/>
        <v>6547.8950000000004</v>
      </c>
      <c r="E3981" s="608"/>
      <c r="F3981" s="760">
        <f t="shared" si="127"/>
        <v>2762.5239309371441</v>
      </c>
      <c r="M3981" s="443"/>
    </row>
    <row r="3982" spans="1:13">
      <c r="A3982" s="639">
        <v>61413</v>
      </c>
      <c r="B3982" s="639">
        <v>1900</v>
      </c>
      <c r="C3982" s="638">
        <v>6450.3729999999996</v>
      </c>
      <c r="D3982" s="633">
        <f t="shared" si="128"/>
        <v>6450.3729999999996</v>
      </c>
      <c r="E3982" s="608"/>
      <c r="F3982" s="760">
        <f t="shared" si="127"/>
        <v>2721.3798901739901</v>
      </c>
      <c r="M3982" s="443"/>
    </row>
    <row r="3983" spans="1:13">
      <c r="A3983" s="639">
        <v>61413</v>
      </c>
      <c r="B3983" s="639">
        <v>2000</v>
      </c>
      <c r="C3983" s="638">
        <v>6342.4889999999996</v>
      </c>
      <c r="D3983" s="633">
        <f t="shared" si="128"/>
        <v>6342.4889999999996</v>
      </c>
      <c r="E3983" s="608"/>
      <c r="F3983" s="760">
        <f t="shared" si="127"/>
        <v>2675.8641737849484</v>
      </c>
      <c r="M3983" s="443"/>
    </row>
    <row r="3984" spans="1:13">
      <c r="A3984" s="639">
        <v>61413</v>
      </c>
      <c r="B3984" s="639">
        <v>2100</v>
      </c>
      <c r="C3984" s="638">
        <v>6639.3649999999998</v>
      </c>
      <c r="D3984" s="633">
        <f t="shared" si="128"/>
        <v>6639.3649999999998</v>
      </c>
      <c r="E3984" s="608"/>
      <c r="F3984" s="760">
        <f t="shared" si="127"/>
        <v>2801.1146633729604</v>
      </c>
      <c r="M3984" s="443"/>
    </row>
    <row r="3985" spans="1:13">
      <c r="A3985" s="639">
        <v>61413</v>
      </c>
      <c r="B3985" s="639">
        <v>2200</v>
      </c>
      <c r="C3985" s="638">
        <v>6237.7129999999997</v>
      </c>
      <c r="D3985" s="633">
        <f t="shared" si="128"/>
        <v>6237.7129999999997</v>
      </c>
      <c r="E3985" s="608"/>
      <c r="F3985" s="760">
        <f t="shared" si="127"/>
        <v>2631.6597069466943</v>
      </c>
      <c r="M3985" s="443"/>
    </row>
    <row r="3986" spans="1:13">
      <c r="A3986" s="639">
        <v>61413</v>
      </c>
      <c r="B3986" s="639">
        <v>2300</v>
      </c>
      <c r="C3986" s="638">
        <v>5445.1980000000003</v>
      </c>
      <c r="D3986" s="633">
        <f t="shared" si="128"/>
        <v>5445.1980000000003</v>
      </c>
      <c r="E3986" s="608"/>
      <c r="F3986" s="760">
        <f t="shared" si="127"/>
        <v>2297.3016188700453</v>
      </c>
      <c r="M3986" s="443"/>
    </row>
    <row r="3987" spans="1:13">
      <c r="A3987" s="639">
        <v>61413</v>
      </c>
      <c r="B3987" s="639">
        <v>2400</v>
      </c>
      <c r="C3987" s="638">
        <v>4707.37</v>
      </c>
      <c r="D3987" s="633">
        <f t="shared" si="128"/>
        <v>4707.37</v>
      </c>
      <c r="E3987" s="608"/>
      <c r="F3987" s="760">
        <f t="shared" si="127"/>
        <v>1986.0157007367382</v>
      </c>
      <c r="M3987" s="443"/>
    </row>
    <row r="3988" spans="1:13">
      <c r="A3988" s="639">
        <v>61513</v>
      </c>
      <c r="B3988" s="639">
        <v>100</v>
      </c>
      <c r="C3988" s="638">
        <v>4291.0619999999999</v>
      </c>
      <c r="D3988" s="633">
        <f t="shared" si="128"/>
        <v>4291.0619999999999</v>
      </c>
      <c r="E3988" s="608"/>
      <c r="F3988" s="760">
        <f t="shared" si="127"/>
        <v>1810.3774517054721</v>
      </c>
      <c r="M3988" s="443"/>
    </row>
    <row r="3989" spans="1:13">
      <c r="A3989" s="639">
        <v>61513</v>
      </c>
      <c r="B3989" s="639">
        <v>200</v>
      </c>
      <c r="C3989" s="638">
        <v>4049.3739999999998</v>
      </c>
      <c r="D3989" s="633">
        <f t="shared" si="128"/>
        <v>4049.3739999999998</v>
      </c>
      <c r="E3989" s="608"/>
      <c r="F3989" s="760">
        <f t="shared" si="127"/>
        <v>1708.4105014381976</v>
      </c>
      <c r="M3989" s="443"/>
    </row>
    <row r="3990" spans="1:13">
      <c r="A3990" s="639">
        <v>61513</v>
      </c>
      <c r="B3990" s="639">
        <v>300</v>
      </c>
      <c r="C3990" s="638">
        <v>3984.5230000000001</v>
      </c>
      <c r="D3990" s="633">
        <f t="shared" si="128"/>
        <v>3984.5230000000001</v>
      </c>
      <c r="E3990" s="608"/>
      <c r="F3990" s="760">
        <f t="shared" si="127"/>
        <v>1681.0501910720104</v>
      </c>
      <c r="M3990" s="443"/>
    </row>
    <row r="3991" spans="1:13">
      <c r="A3991" s="639">
        <v>61513</v>
      </c>
      <c r="B3991" s="639">
        <v>400</v>
      </c>
      <c r="C3991" s="638">
        <v>3964.1419999999998</v>
      </c>
      <c r="D3991" s="633">
        <f t="shared" si="128"/>
        <v>3964.1419999999998</v>
      </c>
      <c r="E3991" s="608"/>
      <c r="F3991" s="760">
        <f t="shared" si="127"/>
        <v>1672.4515497931825</v>
      </c>
      <c r="M3991" s="443"/>
    </row>
    <row r="3992" spans="1:13">
      <c r="A3992" s="639">
        <v>61513</v>
      </c>
      <c r="B3992" s="639">
        <v>500</v>
      </c>
      <c r="C3992" s="638">
        <v>3961.3890000000001</v>
      </c>
      <c r="D3992" s="633">
        <f t="shared" si="128"/>
        <v>3961.3890000000001</v>
      </c>
      <c r="E3992" s="608"/>
      <c r="F3992" s="760">
        <f t="shared" si="127"/>
        <v>1671.290072954921</v>
      </c>
      <c r="M3992" s="443"/>
    </row>
    <row r="3993" spans="1:13">
      <c r="A3993" s="639">
        <v>61513</v>
      </c>
      <c r="B3993" s="639">
        <v>600</v>
      </c>
      <c r="C3993" s="638">
        <v>4225.125</v>
      </c>
      <c r="D3993" s="633">
        <f t="shared" si="128"/>
        <v>4225.125</v>
      </c>
      <c r="E3993" s="608"/>
      <c r="F3993" s="760">
        <f t="shared" si="127"/>
        <v>1782.5589634074465</v>
      </c>
      <c r="M3993" s="443"/>
    </row>
    <row r="3994" spans="1:13">
      <c r="A3994" s="639">
        <v>61513</v>
      </c>
      <c r="B3994" s="639">
        <v>700</v>
      </c>
      <c r="C3994" s="638">
        <v>4670.4840000000004</v>
      </c>
      <c r="D3994" s="633">
        <f t="shared" si="128"/>
        <v>4670.4840000000004</v>
      </c>
      <c r="E3994" s="608"/>
      <c r="F3994" s="760">
        <f t="shared" si="127"/>
        <v>1970.4536830628831</v>
      </c>
      <c r="M3994" s="443"/>
    </row>
    <row r="3995" spans="1:13">
      <c r="A3995" s="639">
        <v>61513</v>
      </c>
      <c r="B3995" s="639">
        <v>800</v>
      </c>
      <c r="C3995" s="638">
        <v>5122.451</v>
      </c>
      <c r="D3995" s="633">
        <f t="shared" si="128"/>
        <v>5122.451</v>
      </c>
      <c r="E3995" s="608"/>
      <c r="F3995" s="760">
        <f t="shared" si="127"/>
        <v>2161.1362846461197</v>
      </c>
      <c r="M3995" s="443"/>
    </row>
    <row r="3996" spans="1:13">
      <c r="A3996" s="639">
        <v>61513</v>
      </c>
      <c r="B3996" s="639">
        <v>900</v>
      </c>
      <c r="C3996" s="638">
        <v>5448.0770000000002</v>
      </c>
      <c r="D3996" s="633">
        <f t="shared" si="128"/>
        <v>5448.0770000000002</v>
      </c>
      <c r="E3996" s="608"/>
      <c r="F3996" s="760">
        <f t="shared" si="127"/>
        <v>2298.5162544738796</v>
      </c>
      <c r="M3996" s="443"/>
    </row>
    <row r="3997" spans="1:13">
      <c r="A3997" s="639">
        <v>61513</v>
      </c>
      <c r="B3997" s="639">
        <v>1000</v>
      </c>
      <c r="C3997" s="638">
        <v>5448.7290000000003</v>
      </c>
      <c r="D3997" s="633">
        <f t="shared" si="128"/>
        <v>5448.7290000000003</v>
      </c>
      <c r="E3997" s="608"/>
      <c r="F3997" s="760">
        <f t="shared" si="127"/>
        <v>2298.7913299909687</v>
      </c>
      <c r="M3997" s="443"/>
    </row>
    <row r="3998" spans="1:13">
      <c r="A3998" s="639">
        <v>61513</v>
      </c>
      <c r="B3998" s="639">
        <v>1100</v>
      </c>
      <c r="C3998" s="638">
        <v>5551.9179999999997</v>
      </c>
      <c r="D3998" s="633">
        <f t="shared" si="128"/>
        <v>5551.9179999999997</v>
      </c>
      <c r="E3998" s="608"/>
      <c r="F3998" s="760">
        <f t="shared" si="127"/>
        <v>2342.3262495199888</v>
      </c>
      <c r="M3998" s="443"/>
    </row>
    <row r="3999" spans="1:13">
      <c r="A3999" s="639">
        <v>61513</v>
      </c>
      <c r="B3999" s="639">
        <v>1200</v>
      </c>
      <c r="C3999" s="638">
        <v>5652.3209999999999</v>
      </c>
      <c r="D3999" s="633">
        <f t="shared" si="128"/>
        <v>5652.3209999999999</v>
      </c>
      <c r="E3999" s="608"/>
      <c r="F3999" s="760">
        <f t="shared" si="127"/>
        <v>2384.6857696769066</v>
      </c>
      <c r="M3999" s="443"/>
    </row>
    <row r="4000" spans="1:13">
      <c r="A4000" s="639">
        <v>61513</v>
      </c>
      <c r="B4000" s="639">
        <v>1300</v>
      </c>
      <c r="C4000" s="638">
        <v>5642.768</v>
      </c>
      <c r="D4000" s="633">
        <f t="shared" si="128"/>
        <v>5642.768</v>
      </c>
      <c r="E4000" s="608"/>
      <c r="F4000" s="760">
        <f t="shared" si="127"/>
        <v>2380.6554070775915</v>
      </c>
      <c r="M4000" s="443"/>
    </row>
    <row r="4001" spans="1:13">
      <c r="A4001" s="639">
        <v>61513</v>
      </c>
      <c r="B4001" s="639">
        <v>1400</v>
      </c>
      <c r="C4001" s="638">
        <v>5734.3239999999996</v>
      </c>
      <c r="D4001" s="633">
        <f t="shared" si="128"/>
        <v>5734.3239999999996</v>
      </c>
      <c r="E4001" s="608"/>
      <c r="F4001" s="760">
        <f t="shared" si="127"/>
        <v>2419.2824224803858</v>
      </c>
      <c r="M4001" s="443"/>
    </row>
    <row r="4002" spans="1:13">
      <c r="A4002" s="639">
        <v>61513</v>
      </c>
      <c r="B4002" s="639">
        <v>1500</v>
      </c>
      <c r="C4002" s="638">
        <v>5847.4440000000004</v>
      </c>
      <c r="D4002" s="633">
        <f t="shared" si="128"/>
        <v>5847.4440000000004</v>
      </c>
      <c r="E4002" s="608"/>
      <c r="F4002" s="760">
        <f t="shared" si="127"/>
        <v>2467.0071809054389</v>
      </c>
      <c r="M4002" s="443"/>
    </row>
    <row r="4003" spans="1:13">
      <c r="A4003" s="639">
        <v>61513</v>
      </c>
      <c r="B4003" s="639">
        <v>1600</v>
      </c>
      <c r="C4003" s="638">
        <v>6127.1589999999997</v>
      </c>
      <c r="D4003" s="633">
        <f t="shared" si="128"/>
        <v>6127.1589999999997</v>
      </c>
      <c r="E4003" s="608"/>
      <c r="F4003" s="760">
        <f t="shared" si="127"/>
        <v>2585.0175310014743</v>
      </c>
      <c r="M4003" s="443"/>
    </row>
    <row r="4004" spans="1:13">
      <c r="A4004" s="639">
        <v>61513</v>
      </c>
      <c r="B4004" s="639">
        <v>1700</v>
      </c>
      <c r="C4004" s="638">
        <v>6438.2619999999997</v>
      </c>
      <c r="D4004" s="633">
        <f t="shared" si="128"/>
        <v>6438.2619999999997</v>
      </c>
      <c r="E4004" s="608"/>
      <c r="F4004" s="760">
        <f t="shared" si="127"/>
        <v>2716.2703202545608</v>
      </c>
      <c r="M4004" s="443"/>
    </row>
    <row r="4005" spans="1:13">
      <c r="A4005" s="639">
        <v>61513</v>
      </c>
      <c r="B4005" s="639">
        <v>1800</v>
      </c>
      <c r="C4005" s="638">
        <v>6584.1869999999999</v>
      </c>
      <c r="D4005" s="633">
        <f t="shared" si="128"/>
        <v>6584.1869999999999</v>
      </c>
      <c r="E4005" s="608"/>
      <c r="F4005" s="760">
        <f t="shared" si="127"/>
        <v>2777.8353430018719</v>
      </c>
      <c r="M4005" s="443"/>
    </row>
    <row r="4006" spans="1:13">
      <c r="A4006" s="639">
        <v>61513</v>
      </c>
      <c r="B4006" s="639">
        <v>1900</v>
      </c>
      <c r="C4006" s="638">
        <v>6537.942</v>
      </c>
      <c r="D4006" s="633">
        <f t="shared" si="128"/>
        <v>6537.942</v>
      </c>
      <c r="E4006" s="608"/>
      <c r="F4006" s="760">
        <f t="shared" si="127"/>
        <v>2758.3248103518849</v>
      </c>
      <c r="M4006" s="443"/>
    </row>
    <row r="4007" spans="1:13">
      <c r="A4007" s="639">
        <v>61513</v>
      </c>
      <c r="B4007" s="639">
        <v>2000</v>
      </c>
      <c r="C4007" s="638">
        <v>6359.0259999999998</v>
      </c>
      <c r="D4007" s="633">
        <f t="shared" si="128"/>
        <v>6359.0259999999998</v>
      </c>
      <c r="E4007" s="608"/>
      <c r="F4007" s="760">
        <f t="shared" si="127"/>
        <v>2682.8410508188513</v>
      </c>
      <c r="M4007" s="443"/>
    </row>
    <row r="4008" spans="1:13">
      <c r="A4008" s="639">
        <v>61513</v>
      </c>
      <c r="B4008" s="639">
        <v>2100</v>
      </c>
      <c r="C4008" s="638">
        <v>6667.4059999999999</v>
      </c>
      <c r="D4008" s="633">
        <f t="shared" si="128"/>
        <v>6667.4059999999999</v>
      </c>
      <c r="E4008" s="608"/>
      <c r="F4008" s="760">
        <f t="shared" si="127"/>
        <v>2812.9450200826222</v>
      </c>
      <c r="M4008" s="443"/>
    </row>
    <row r="4009" spans="1:13">
      <c r="A4009" s="639">
        <v>61513</v>
      </c>
      <c r="B4009" s="639">
        <v>2200</v>
      </c>
      <c r="C4009" s="638">
        <v>6355.2950000000001</v>
      </c>
      <c r="D4009" s="633">
        <f t="shared" si="128"/>
        <v>6355.2950000000001</v>
      </c>
      <c r="E4009" s="608"/>
      <c r="F4009" s="760">
        <f t="shared" si="127"/>
        <v>2681.2669607049556</v>
      </c>
      <c r="M4009" s="443"/>
    </row>
    <row r="4010" spans="1:13">
      <c r="A4010" s="639">
        <v>61513</v>
      </c>
      <c r="B4010" s="639">
        <v>2300</v>
      </c>
      <c r="C4010" s="638">
        <v>5616.3469999999998</v>
      </c>
      <c r="D4010" s="633">
        <f t="shared" si="128"/>
        <v>5616.3469999999998</v>
      </c>
      <c r="E4010" s="608"/>
      <c r="F4010" s="760">
        <f t="shared" si="127"/>
        <v>2369.5085202110045</v>
      </c>
      <c r="M4010" s="443"/>
    </row>
    <row r="4011" spans="1:13">
      <c r="A4011" s="639">
        <v>61513</v>
      </c>
      <c r="B4011" s="639">
        <v>2400</v>
      </c>
      <c r="C4011" s="638">
        <v>4964.46</v>
      </c>
      <c r="D4011" s="633">
        <f t="shared" si="128"/>
        <v>4964.46</v>
      </c>
      <c r="E4011" s="608"/>
      <c r="F4011" s="760">
        <f t="shared" si="127"/>
        <v>2094.4806772527986</v>
      </c>
      <c r="M4011" s="443"/>
    </row>
    <row r="4012" spans="1:13">
      <c r="A4012" s="639">
        <v>61613</v>
      </c>
      <c r="B4012" s="639">
        <v>100</v>
      </c>
      <c r="C4012" s="638">
        <v>4470.5720000000001</v>
      </c>
      <c r="D4012" s="633">
        <f t="shared" si="128"/>
        <v>4470.5720000000001</v>
      </c>
      <c r="E4012" s="608"/>
      <c r="F4012" s="760">
        <f t="shared" si="127"/>
        <v>1886.1118168476328</v>
      </c>
      <c r="M4012" s="443"/>
    </row>
    <row r="4013" spans="1:13">
      <c r="A4013" s="639">
        <v>61613</v>
      </c>
      <c r="B4013" s="639">
        <v>200</v>
      </c>
      <c r="C4013" s="638">
        <v>4171.2449999999999</v>
      </c>
      <c r="D4013" s="633">
        <f t="shared" si="128"/>
        <v>4171.2449999999999</v>
      </c>
      <c r="E4013" s="608"/>
      <c r="F4013" s="760">
        <f t="shared" si="127"/>
        <v>1759.827262700747</v>
      </c>
      <c r="M4013" s="443"/>
    </row>
    <row r="4014" spans="1:13">
      <c r="A4014" s="639">
        <v>61613</v>
      </c>
      <c r="B4014" s="639">
        <v>300</v>
      </c>
      <c r="C4014" s="638">
        <v>4066.029</v>
      </c>
      <c r="D4014" s="633">
        <f t="shared" si="128"/>
        <v>4066.029</v>
      </c>
      <c r="E4014" s="608"/>
      <c r="F4014" s="760">
        <f t="shared" si="127"/>
        <v>1715.4371620779541</v>
      </c>
      <c r="M4014" s="443"/>
    </row>
    <row r="4015" spans="1:13">
      <c r="A4015" s="639">
        <v>61613</v>
      </c>
      <c r="B4015" s="639">
        <v>400</v>
      </c>
      <c r="C4015" s="638">
        <v>3988.36</v>
      </c>
      <c r="D4015" s="633">
        <f t="shared" si="128"/>
        <v>3988.36</v>
      </c>
      <c r="E4015" s="608"/>
      <c r="F4015" s="760">
        <f t="shared" si="127"/>
        <v>1682.6690020521814</v>
      </c>
      <c r="M4015" s="443"/>
    </row>
    <row r="4016" spans="1:13">
      <c r="A4016" s="639">
        <v>61613</v>
      </c>
      <c r="B4016" s="639">
        <v>500</v>
      </c>
      <c r="C4016" s="638">
        <v>4039.518</v>
      </c>
      <c r="D4016" s="633">
        <f t="shared" si="128"/>
        <v>4039.518</v>
      </c>
      <c r="E4016" s="608"/>
      <c r="F4016" s="760">
        <f t="shared" si="127"/>
        <v>1704.2523046645297</v>
      </c>
      <c r="M4016" s="443"/>
    </row>
    <row r="4017" spans="1:13">
      <c r="A4017" s="639">
        <v>61613</v>
      </c>
      <c r="B4017" s="639">
        <v>600</v>
      </c>
      <c r="C4017" s="638">
        <v>4121.2709999999997</v>
      </c>
      <c r="D4017" s="633">
        <f t="shared" si="128"/>
        <v>4121.2709999999997</v>
      </c>
      <c r="E4017" s="608"/>
      <c r="F4017" s="760">
        <f t="shared" si="127"/>
        <v>1738.7434837267936</v>
      </c>
      <c r="M4017" s="443"/>
    </row>
    <row r="4018" spans="1:13">
      <c r="A4018" s="639">
        <v>61613</v>
      </c>
      <c r="B4018" s="639">
        <v>700</v>
      </c>
      <c r="C4018" s="638">
        <v>4597.93</v>
      </c>
      <c r="D4018" s="633">
        <f t="shared" si="128"/>
        <v>4597.93</v>
      </c>
      <c r="E4018" s="608"/>
      <c r="F4018" s="760">
        <f t="shared" si="127"/>
        <v>1939.8435157823733</v>
      </c>
      <c r="M4018" s="443"/>
    </row>
    <row r="4019" spans="1:13">
      <c r="A4019" s="639">
        <v>61613</v>
      </c>
      <c r="B4019" s="639">
        <v>800</v>
      </c>
      <c r="C4019" s="638">
        <v>5270.884</v>
      </c>
      <c r="D4019" s="633">
        <f t="shared" si="128"/>
        <v>5270.884</v>
      </c>
      <c r="E4019" s="608"/>
      <c r="F4019" s="760">
        <f t="shared" si="127"/>
        <v>2223.7594199653013</v>
      </c>
      <c r="M4019" s="443"/>
    </row>
    <row r="4020" spans="1:13">
      <c r="A4020" s="639">
        <v>61613</v>
      </c>
      <c r="B4020" s="639">
        <v>900</v>
      </c>
      <c r="C4020" s="638">
        <v>5935.7380000000003</v>
      </c>
      <c r="D4020" s="633">
        <f t="shared" si="128"/>
        <v>5935.7380000000003</v>
      </c>
      <c r="E4020" s="608"/>
      <c r="F4020" s="760">
        <f t="shared" si="127"/>
        <v>2504.2579749328575</v>
      </c>
      <c r="M4020" s="443"/>
    </row>
    <row r="4021" spans="1:13">
      <c r="A4021" s="639">
        <v>61613</v>
      </c>
      <c r="B4021" s="639">
        <v>1000</v>
      </c>
      <c r="C4021" s="638">
        <v>6301.0590000000002</v>
      </c>
      <c r="D4021" s="633">
        <f t="shared" si="128"/>
        <v>6301.0590000000002</v>
      </c>
      <c r="E4021" s="608"/>
      <c r="F4021" s="760">
        <f t="shared" si="127"/>
        <v>2658.3850653907662</v>
      </c>
      <c r="M4021" s="443"/>
    </row>
    <row r="4022" spans="1:13">
      <c r="A4022" s="639">
        <v>61613</v>
      </c>
      <c r="B4022" s="639">
        <v>1100</v>
      </c>
      <c r="C4022" s="638">
        <v>6185.1890000000003</v>
      </c>
      <c r="D4022" s="633">
        <f t="shared" si="128"/>
        <v>6185.1890000000003</v>
      </c>
      <c r="E4022" s="608"/>
      <c r="F4022" s="760">
        <f t="shared" si="127"/>
        <v>2609.5000958123464</v>
      </c>
      <c r="M4022" s="443"/>
    </row>
    <row r="4023" spans="1:13">
      <c r="A4023" s="639">
        <v>61613</v>
      </c>
      <c r="B4023" s="639">
        <v>1200</v>
      </c>
      <c r="C4023" s="638">
        <v>6289.1260000000002</v>
      </c>
      <c r="D4023" s="633">
        <f t="shared" si="128"/>
        <v>6289.1260000000002</v>
      </c>
      <c r="E4023" s="608"/>
      <c r="F4023" s="760">
        <f t="shared" si="127"/>
        <v>2653.3505927750821</v>
      </c>
      <c r="M4023" s="443"/>
    </row>
    <row r="4024" spans="1:13">
      <c r="A4024" s="639">
        <v>61613</v>
      </c>
      <c r="B4024" s="639">
        <v>1300</v>
      </c>
      <c r="C4024" s="638">
        <v>6443.6279999999997</v>
      </c>
      <c r="D4024" s="633">
        <f t="shared" si="128"/>
        <v>6443.6279999999997</v>
      </c>
      <c r="E4024" s="608"/>
      <c r="F4024" s="760">
        <f t="shared" si="127"/>
        <v>2718.5342086360042</v>
      </c>
      <c r="M4024" s="443"/>
    </row>
    <row r="4025" spans="1:13">
      <c r="A4025" s="639">
        <v>61613</v>
      </c>
      <c r="B4025" s="639">
        <v>1400</v>
      </c>
      <c r="C4025" s="638">
        <v>6477.2929999999997</v>
      </c>
      <c r="D4025" s="633">
        <f t="shared" si="128"/>
        <v>6477.2929999999997</v>
      </c>
      <c r="E4025" s="608"/>
      <c r="F4025" s="760">
        <f t="shared" si="127"/>
        <v>2732.7373026280425</v>
      </c>
      <c r="M4025" s="443"/>
    </row>
    <row r="4026" spans="1:13">
      <c r="A4026" s="639">
        <v>61613</v>
      </c>
      <c r="B4026" s="639">
        <v>1500</v>
      </c>
      <c r="C4026" s="638">
        <v>6623.7759999999998</v>
      </c>
      <c r="D4026" s="633">
        <f t="shared" si="128"/>
        <v>6623.7759999999998</v>
      </c>
      <c r="E4026" s="608"/>
      <c r="F4026" s="760">
        <f t="shared" si="127"/>
        <v>2794.5377427657459</v>
      </c>
      <c r="M4026" s="443"/>
    </row>
    <row r="4027" spans="1:13">
      <c r="A4027" s="639">
        <v>61613</v>
      </c>
      <c r="B4027" s="639">
        <v>1600</v>
      </c>
      <c r="C4027" s="638">
        <v>6969.3959999999997</v>
      </c>
      <c r="D4027" s="633">
        <f t="shared" si="128"/>
        <v>6969.3959999999997</v>
      </c>
      <c r="E4027" s="608"/>
      <c r="F4027" s="760">
        <f t="shared" si="127"/>
        <v>2940.3530805209316</v>
      </c>
      <c r="M4027" s="443"/>
    </row>
    <row r="4028" spans="1:13">
      <c r="A4028" s="639">
        <v>61613</v>
      </c>
      <c r="B4028" s="639">
        <v>1700</v>
      </c>
      <c r="C4028" s="638">
        <v>7317.0680000000002</v>
      </c>
      <c r="D4028" s="633">
        <f t="shared" si="128"/>
        <v>7317.0680000000002</v>
      </c>
      <c r="E4028" s="608"/>
      <c r="F4028" s="760">
        <f t="shared" si="127"/>
        <v>3087.034146744013</v>
      </c>
      <c r="M4028" s="443"/>
    </row>
    <row r="4029" spans="1:13">
      <c r="A4029" s="639">
        <v>61613</v>
      </c>
      <c r="B4029" s="639">
        <v>1800</v>
      </c>
      <c r="C4029" s="638">
        <v>7337.81</v>
      </c>
      <c r="D4029" s="633">
        <f t="shared" si="128"/>
        <v>7337.81</v>
      </c>
      <c r="E4029" s="608"/>
      <c r="F4029" s="760">
        <f t="shared" si="127"/>
        <v>3095.7850921051554</v>
      </c>
      <c r="M4029" s="443"/>
    </row>
    <row r="4030" spans="1:13">
      <c r="A4030" s="639">
        <v>61613</v>
      </c>
      <c r="B4030" s="639">
        <v>1900</v>
      </c>
      <c r="C4030" s="638">
        <v>7368.2389999999996</v>
      </c>
      <c r="D4030" s="633">
        <f t="shared" si="128"/>
        <v>7368.2389999999996</v>
      </c>
      <c r="E4030" s="608"/>
      <c r="F4030" s="760">
        <f t="shared" si="127"/>
        <v>3108.6229339909037</v>
      </c>
      <c r="M4030" s="443"/>
    </row>
    <row r="4031" spans="1:13">
      <c r="A4031" s="639">
        <v>61613</v>
      </c>
      <c r="B4031" s="639">
        <v>2000</v>
      </c>
      <c r="C4031" s="638">
        <v>7335.6369999999997</v>
      </c>
      <c r="D4031" s="633">
        <f t="shared" si="128"/>
        <v>7335.6369999999997</v>
      </c>
      <c r="E4031" s="608"/>
      <c r="F4031" s="760">
        <f t="shared" si="127"/>
        <v>3094.8683143465128</v>
      </c>
      <c r="M4031" s="443"/>
    </row>
    <row r="4032" spans="1:13">
      <c r="A4032" s="639">
        <v>61613</v>
      </c>
      <c r="B4032" s="639">
        <v>2100</v>
      </c>
      <c r="C4032" s="638">
        <v>7506.3190000000004</v>
      </c>
      <c r="D4032" s="633">
        <f t="shared" si="128"/>
        <v>7506.3190000000004</v>
      </c>
      <c r="E4032" s="608"/>
      <c r="F4032" s="760">
        <f t="shared" si="127"/>
        <v>3166.8781907388825</v>
      </c>
      <c r="M4032" s="443"/>
    </row>
    <row r="4033" spans="1:13">
      <c r="A4033" s="639">
        <v>61613</v>
      </c>
      <c r="B4033" s="639">
        <v>2200</v>
      </c>
      <c r="C4033" s="638">
        <v>6932.8509999999997</v>
      </c>
      <c r="D4033" s="633">
        <f t="shared" si="128"/>
        <v>6932.8509999999997</v>
      </c>
      <c r="E4033" s="608"/>
      <c r="F4033" s="760">
        <f t="shared" si="127"/>
        <v>2924.9349290300943</v>
      </c>
      <c r="M4033" s="443"/>
    </row>
    <row r="4034" spans="1:13">
      <c r="A4034" s="639">
        <v>61613</v>
      </c>
      <c r="B4034" s="639">
        <v>2300</v>
      </c>
      <c r="C4034" s="638">
        <v>5772.027</v>
      </c>
      <c r="D4034" s="633">
        <f t="shared" si="128"/>
        <v>5772.027</v>
      </c>
      <c r="E4034" s="608"/>
      <c r="F4034" s="760">
        <f t="shared" si="127"/>
        <v>2435.1891283405325</v>
      </c>
      <c r="M4034" s="443"/>
    </row>
    <row r="4035" spans="1:13">
      <c r="A4035" s="639">
        <v>61613</v>
      </c>
      <c r="B4035" s="639">
        <v>2400</v>
      </c>
      <c r="C4035" s="638">
        <v>4969.5519999999997</v>
      </c>
      <c r="D4035" s="633">
        <f t="shared" si="128"/>
        <v>4969.5519999999997</v>
      </c>
      <c r="E4035" s="608"/>
      <c r="F4035" s="760">
        <f t="shared" si="127"/>
        <v>2096.6289664138699</v>
      </c>
      <c r="M4035" s="443"/>
    </row>
    <row r="4036" spans="1:13">
      <c r="A4036" s="639">
        <v>61713</v>
      </c>
      <c r="B4036" s="639">
        <v>100</v>
      </c>
      <c r="C4036" s="638">
        <v>4523.3760000000002</v>
      </c>
      <c r="D4036" s="633">
        <f t="shared" si="128"/>
        <v>4523.3760000000002</v>
      </c>
      <c r="E4036" s="608"/>
      <c r="F4036" s="760">
        <f t="shared" ref="F4036:F4099" si="129">(D4036/(MAX($D$3652:$D$4371)))*$M$9</f>
        <v>1908.3895585721421</v>
      </c>
      <c r="M4036" s="443"/>
    </row>
    <row r="4037" spans="1:13">
      <c r="A4037" s="639">
        <v>61713</v>
      </c>
      <c r="B4037" s="639">
        <v>200</v>
      </c>
      <c r="C4037" s="638">
        <v>4256.2030000000004</v>
      </c>
      <c r="D4037" s="633">
        <f t="shared" ref="D4037:D4100" si="130">C4037</f>
        <v>4256.2030000000004</v>
      </c>
      <c r="E4037" s="608"/>
      <c r="F4037" s="760">
        <f t="shared" si="129"/>
        <v>1795.6706151253902</v>
      </c>
      <c r="M4037" s="443"/>
    </row>
    <row r="4038" spans="1:13">
      <c r="A4038" s="639">
        <v>61713</v>
      </c>
      <c r="B4038" s="639">
        <v>300</v>
      </c>
      <c r="C4038" s="638">
        <v>4115.2020000000002</v>
      </c>
      <c r="D4038" s="633">
        <f t="shared" si="130"/>
        <v>4115.2020000000002</v>
      </c>
      <c r="E4038" s="608"/>
      <c r="F4038" s="760">
        <f t="shared" si="129"/>
        <v>1736.1830031850536</v>
      </c>
      <c r="M4038" s="443"/>
    </row>
    <row r="4039" spans="1:13">
      <c r="A4039" s="639">
        <v>61713</v>
      </c>
      <c r="B4039" s="639">
        <v>400</v>
      </c>
      <c r="C4039" s="638">
        <v>4130.7619999999997</v>
      </c>
      <c r="D4039" s="633">
        <f t="shared" si="130"/>
        <v>4130.7619999999997</v>
      </c>
      <c r="E4039" s="608"/>
      <c r="F4039" s="760">
        <f t="shared" si="129"/>
        <v>1742.7476888382876</v>
      </c>
      <c r="M4039" s="443"/>
    </row>
    <row r="4040" spans="1:13">
      <c r="A4040" s="639">
        <v>61713</v>
      </c>
      <c r="B4040" s="639">
        <v>500</v>
      </c>
      <c r="C4040" s="638">
        <v>4339.2179999999998</v>
      </c>
      <c r="D4040" s="633">
        <f t="shared" si="130"/>
        <v>4339.2179999999998</v>
      </c>
      <c r="E4040" s="608"/>
      <c r="F4040" s="760">
        <f t="shared" si="129"/>
        <v>1830.6942256333084</v>
      </c>
      <c r="M4040" s="443"/>
    </row>
    <row r="4041" spans="1:13">
      <c r="A4041" s="639">
        <v>61713</v>
      </c>
      <c r="B4041" s="639">
        <v>600</v>
      </c>
      <c r="C4041" s="638">
        <v>4795.9880000000003</v>
      </c>
      <c r="D4041" s="633">
        <f t="shared" si="130"/>
        <v>4795.9880000000003</v>
      </c>
      <c r="E4041" s="608"/>
      <c r="F4041" s="760">
        <f t="shared" si="129"/>
        <v>2023.4031887327717</v>
      </c>
      <c r="M4041" s="443"/>
    </row>
    <row r="4042" spans="1:13">
      <c r="A4042" s="639">
        <v>61713</v>
      </c>
      <c r="B4042" s="639">
        <v>700</v>
      </c>
      <c r="C4042" s="638">
        <v>5485.6009999999997</v>
      </c>
      <c r="D4042" s="633">
        <f t="shared" si="130"/>
        <v>5485.6009999999997</v>
      </c>
      <c r="E4042" s="608"/>
      <c r="F4042" s="760">
        <f t="shared" si="129"/>
        <v>2314.3474411353159</v>
      </c>
      <c r="M4042" s="443"/>
    </row>
    <row r="4043" spans="1:13">
      <c r="A4043" s="639">
        <v>61713</v>
      </c>
      <c r="B4043" s="639">
        <v>800</v>
      </c>
      <c r="C4043" s="638">
        <v>5652.5320000000002</v>
      </c>
      <c r="D4043" s="633">
        <f t="shared" si="130"/>
        <v>5652.5320000000002</v>
      </c>
      <c r="E4043" s="608"/>
      <c r="F4043" s="760">
        <f t="shared" si="129"/>
        <v>2384.7747895144926</v>
      </c>
      <c r="M4043" s="443"/>
    </row>
    <row r="4044" spans="1:13">
      <c r="A4044" s="639">
        <v>61713</v>
      </c>
      <c r="B4044" s="639">
        <v>900</v>
      </c>
      <c r="C4044" s="638">
        <v>5563.4459999999999</v>
      </c>
      <c r="D4044" s="633">
        <f t="shared" si="130"/>
        <v>5563.4459999999999</v>
      </c>
      <c r="E4044" s="608"/>
      <c r="F4044" s="760">
        <f t="shared" si="129"/>
        <v>2347.1898546749039</v>
      </c>
      <c r="M4044" s="443"/>
    </row>
    <row r="4045" spans="1:13">
      <c r="A4045" s="639">
        <v>61713</v>
      </c>
      <c r="B4045" s="639">
        <v>1000</v>
      </c>
      <c r="C4045" s="638">
        <v>5685.8590000000004</v>
      </c>
      <c r="D4045" s="633">
        <f t="shared" si="130"/>
        <v>5685.8590000000004</v>
      </c>
      <c r="E4045" s="608"/>
      <c r="F4045" s="760">
        <f t="shared" si="129"/>
        <v>2398.8352830084082</v>
      </c>
      <c r="M4045" s="443"/>
    </row>
    <row r="4046" spans="1:13">
      <c r="A4046" s="639">
        <v>61713</v>
      </c>
      <c r="B4046" s="639">
        <v>1100</v>
      </c>
      <c r="C4046" s="638">
        <v>5857.0940000000001</v>
      </c>
      <c r="D4046" s="633">
        <f t="shared" si="130"/>
        <v>5857.0940000000001</v>
      </c>
      <c r="E4046" s="608"/>
      <c r="F4046" s="760">
        <f t="shared" si="129"/>
        <v>2471.0784673163453</v>
      </c>
      <c r="M4046" s="443"/>
    </row>
    <row r="4047" spans="1:13">
      <c r="A4047" s="639">
        <v>61713</v>
      </c>
      <c r="B4047" s="639">
        <v>1200</v>
      </c>
      <c r="C4047" s="638">
        <v>5747.567</v>
      </c>
      <c r="D4047" s="633">
        <f t="shared" si="130"/>
        <v>5747.567</v>
      </c>
      <c r="E4047" s="608"/>
      <c r="F4047" s="760">
        <f t="shared" si="129"/>
        <v>2424.8695775000374</v>
      </c>
      <c r="M4047" s="443"/>
    </row>
    <row r="4048" spans="1:13">
      <c r="A4048" s="639">
        <v>61713</v>
      </c>
      <c r="B4048" s="639">
        <v>1300</v>
      </c>
      <c r="C4048" s="638">
        <v>5692.7860000000001</v>
      </c>
      <c r="D4048" s="633">
        <f t="shared" si="130"/>
        <v>5692.7860000000001</v>
      </c>
      <c r="E4048" s="608"/>
      <c r="F4048" s="760">
        <f t="shared" si="129"/>
        <v>2401.757749429999</v>
      </c>
      <c r="M4048" s="443"/>
    </row>
    <row r="4049" spans="1:13">
      <c r="A4049" s="639">
        <v>61713</v>
      </c>
      <c r="B4049" s="639">
        <v>1400</v>
      </c>
      <c r="C4049" s="638">
        <v>5870.4979999999996</v>
      </c>
      <c r="D4049" s="633">
        <f t="shared" si="130"/>
        <v>5870.4979999999996</v>
      </c>
      <c r="E4049" s="608"/>
      <c r="F4049" s="760">
        <f t="shared" si="129"/>
        <v>2476.7335474253391</v>
      </c>
      <c r="M4049" s="443"/>
    </row>
    <row r="4050" spans="1:13">
      <c r="A4050" s="639">
        <v>61713</v>
      </c>
      <c r="B4050" s="639">
        <v>1500</v>
      </c>
      <c r="C4050" s="638">
        <v>6139.7709999999997</v>
      </c>
      <c r="D4050" s="633">
        <f t="shared" si="130"/>
        <v>6139.7709999999997</v>
      </c>
      <c r="E4050" s="608"/>
      <c r="F4050" s="760">
        <f t="shared" si="129"/>
        <v>2590.3384702982989</v>
      </c>
      <c r="M4050" s="443"/>
    </row>
    <row r="4051" spans="1:13">
      <c r="A4051" s="639">
        <v>61713</v>
      </c>
      <c r="B4051" s="639">
        <v>1600</v>
      </c>
      <c r="C4051" s="638">
        <v>6655.549</v>
      </c>
      <c r="D4051" s="633">
        <f t="shared" si="130"/>
        <v>6655.549</v>
      </c>
      <c r="E4051" s="608"/>
      <c r="F4051" s="760">
        <f t="shared" si="129"/>
        <v>2807.9426114842677</v>
      </c>
      <c r="M4051" s="443"/>
    </row>
    <row r="4052" spans="1:13">
      <c r="A4052" s="639">
        <v>61713</v>
      </c>
      <c r="B4052" s="639">
        <v>1700</v>
      </c>
      <c r="C4052" s="638">
        <v>7073.098</v>
      </c>
      <c r="D4052" s="633">
        <f t="shared" si="130"/>
        <v>7073.098</v>
      </c>
      <c r="E4052" s="608"/>
      <c r="F4052" s="760">
        <f t="shared" si="129"/>
        <v>2984.1044321669256</v>
      </c>
      <c r="M4052" s="443"/>
    </row>
    <row r="4053" spans="1:13">
      <c r="A4053" s="639">
        <v>61713</v>
      </c>
      <c r="B4053" s="639">
        <v>1800</v>
      </c>
      <c r="C4053" s="638">
        <v>7046.4870000000001</v>
      </c>
      <c r="D4053" s="633">
        <f t="shared" si="130"/>
        <v>7046.4870000000001</v>
      </c>
      <c r="E4053" s="608"/>
      <c r="F4053" s="760">
        <f t="shared" si="129"/>
        <v>2972.8773852570157</v>
      </c>
      <c r="M4053" s="443"/>
    </row>
    <row r="4054" spans="1:13">
      <c r="A4054" s="639">
        <v>61713</v>
      </c>
      <c r="B4054" s="639">
        <v>1900</v>
      </c>
      <c r="C4054" s="638">
        <v>7014.77</v>
      </c>
      <c r="D4054" s="633">
        <f t="shared" si="130"/>
        <v>7014.77</v>
      </c>
      <c r="E4054" s="608"/>
      <c r="F4054" s="760">
        <f t="shared" si="129"/>
        <v>2959.496142656526</v>
      </c>
      <c r="M4054" s="443"/>
    </row>
    <row r="4055" spans="1:13">
      <c r="A4055" s="639">
        <v>61713</v>
      </c>
      <c r="B4055" s="639">
        <v>2000</v>
      </c>
      <c r="C4055" s="638">
        <v>7022.4319999999998</v>
      </c>
      <c r="D4055" s="633">
        <f t="shared" si="130"/>
        <v>7022.4319999999998</v>
      </c>
      <c r="E4055" s="608"/>
      <c r="F4055" s="760">
        <f t="shared" si="129"/>
        <v>2962.7287018772886</v>
      </c>
      <c r="M4055" s="443"/>
    </row>
    <row r="4056" spans="1:13">
      <c r="A4056" s="639">
        <v>61713</v>
      </c>
      <c r="B4056" s="639">
        <v>2100</v>
      </c>
      <c r="C4056" s="638">
        <v>7179.1549999999997</v>
      </c>
      <c r="D4056" s="633">
        <f t="shared" si="130"/>
        <v>7179.1549999999997</v>
      </c>
      <c r="E4056" s="608"/>
      <c r="F4056" s="760">
        <f t="shared" si="129"/>
        <v>3028.8493464551666</v>
      </c>
      <c r="M4056" s="443"/>
    </row>
    <row r="4057" spans="1:13">
      <c r="A4057" s="639">
        <v>61713</v>
      </c>
      <c r="B4057" s="639">
        <v>2200</v>
      </c>
      <c r="C4057" s="638">
        <v>6444.51</v>
      </c>
      <c r="D4057" s="633">
        <f t="shared" si="130"/>
        <v>6444.51</v>
      </c>
      <c r="E4057" s="608"/>
      <c r="F4057" s="760">
        <f t="shared" si="129"/>
        <v>2718.9063199950115</v>
      </c>
      <c r="M4057" s="443"/>
    </row>
    <row r="4058" spans="1:13">
      <c r="A4058" s="639">
        <v>61713</v>
      </c>
      <c r="B4058" s="639">
        <v>2300</v>
      </c>
      <c r="C4058" s="638">
        <v>5386.73</v>
      </c>
      <c r="D4058" s="633">
        <f t="shared" si="130"/>
        <v>5386.73</v>
      </c>
      <c r="E4058" s="608"/>
      <c r="F4058" s="760">
        <f t="shared" si="129"/>
        <v>2272.6342640645644</v>
      </c>
      <c r="M4058" s="443"/>
    </row>
    <row r="4059" spans="1:13">
      <c r="A4059" s="639">
        <v>61713</v>
      </c>
      <c r="B4059" s="639">
        <v>2400</v>
      </c>
      <c r="C4059" s="638">
        <v>4589.6750000000002</v>
      </c>
      <c r="D4059" s="633">
        <f t="shared" si="130"/>
        <v>4589.6750000000002</v>
      </c>
      <c r="E4059" s="608"/>
      <c r="F4059" s="760">
        <f t="shared" si="129"/>
        <v>1936.3607728474476</v>
      </c>
      <c r="M4059" s="443"/>
    </row>
    <row r="4060" spans="1:13">
      <c r="A4060" s="639">
        <v>61813</v>
      </c>
      <c r="B4060" s="639">
        <v>100</v>
      </c>
      <c r="C4060" s="638">
        <v>4193.4949999999999</v>
      </c>
      <c r="D4060" s="633">
        <f t="shared" si="130"/>
        <v>4193.4949999999999</v>
      </c>
      <c r="E4060" s="608"/>
      <c r="F4060" s="760">
        <f t="shared" si="129"/>
        <v>1769.2144256688996</v>
      </c>
      <c r="M4060" s="443"/>
    </row>
    <row r="4061" spans="1:13">
      <c r="A4061" s="639">
        <v>61813</v>
      </c>
      <c r="B4061" s="639">
        <v>200</v>
      </c>
      <c r="C4061" s="638">
        <v>4028.3519999999999</v>
      </c>
      <c r="D4061" s="633">
        <f t="shared" si="130"/>
        <v>4028.3519999999999</v>
      </c>
      <c r="E4061" s="608"/>
      <c r="F4061" s="760">
        <f t="shared" si="129"/>
        <v>1699.541425486894</v>
      </c>
      <c r="M4061" s="443"/>
    </row>
    <row r="4062" spans="1:13">
      <c r="A4062" s="639">
        <v>61813</v>
      </c>
      <c r="B4062" s="639">
        <v>300</v>
      </c>
      <c r="C4062" s="638">
        <v>3963.6990000000001</v>
      </c>
      <c r="D4062" s="633">
        <f t="shared" si="130"/>
        <v>3963.6990000000001</v>
      </c>
      <c r="E4062" s="608"/>
      <c r="F4062" s="760">
        <f t="shared" si="129"/>
        <v>1672.2646503237493</v>
      </c>
      <c r="M4062" s="443"/>
    </row>
    <row r="4063" spans="1:13">
      <c r="A4063" s="639">
        <v>61813</v>
      </c>
      <c r="B4063" s="639">
        <v>400</v>
      </c>
      <c r="C4063" s="638">
        <v>4037.4810000000002</v>
      </c>
      <c r="D4063" s="633">
        <f t="shared" si="130"/>
        <v>4037.4810000000002</v>
      </c>
      <c r="E4063" s="608"/>
      <c r="F4063" s="760">
        <f t="shared" si="129"/>
        <v>1703.3929046211083</v>
      </c>
      <c r="M4063" s="443"/>
    </row>
    <row r="4064" spans="1:13">
      <c r="A4064" s="639">
        <v>61813</v>
      </c>
      <c r="B4064" s="639">
        <v>500</v>
      </c>
      <c r="C4064" s="638">
        <v>4330.2709999999997</v>
      </c>
      <c r="D4064" s="633">
        <f t="shared" si="130"/>
        <v>4330.2709999999997</v>
      </c>
      <c r="E4064" s="608"/>
      <c r="F4064" s="760">
        <f t="shared" si="129"/>
        <v>1826.919531382699</v>
      </c>
      <c r="M4064" s="443"/>
    </row>
    <row r="4065" spans="1:13">
      <c r="A4065" s="639">
        <v>61813</v>
      </c>
      <c r="B4065" s="639">
        <v>600</v>
      </c>
      <c r="C4065" s="638">
        <v>4927.59</v>
      </c>
      <c r="D4065" s="633">
        <f t="shared" si="130"/>
        <v>4927.59</v>
      </c>
      <c r="E4065" s="608"/>
      <c r="F4065" s="760">
        <f t="shared" si="129"/>
        <v>2078.9254098983815</v>
      </c>
      <c r="M4065" s="443"/>
    </row>
    <row r="4066" spans="1:13">
      <c r="A4066" s="639">
        <v>61813</v>
      </c>
      <c r="B4066" s="639">
        <v>700</v>
      </c>
      <c r="C4066" s="638">
        <v>5669.8950000000004</v>
      </c>
      <c r="D4066" s="633">
        <f t="shared" si="130"/>
        <v>5669.8950000000004</v>
      </c>
      <c r="E4066" s="608"/>
      <c r="F4066" s="760">
        <f t="shared" si="129"/>
        <v>2392.1001517893706</v>
      </c>
      <c r="M4066" s="443"/>
    </row>
    <row r="4067" spans="1:13">
      <c r="A4067" s="639">
        <v>61813</v>
      </c>
      <c r="B4067" s="639">
        <v>800</v>
      </c>
      <c r="C4067" s="638">
        <v>5841.9009999999998</v>
      </c>
      <c r="D4067" s="633">
        <f t="shared" si="130"/>
        <v>5841.9009999999998</v>
      </c>
      <c r="E4067" s="608"/>
      <c r="F4067" s="760">
        <f t="shared" si="129"/>
        <v>2464.6686171152151</v>
      </c>
      <c r="M4067" s="443"/>
    </row>
    <row r="4068" spans="1:13">
      <c r="A4068" s="639">
        <v>61813</v>
      </c>
      <c r="B4068" s="639">
        <v>900</v>
      </c>
      <c r="C4068" s="638">
        <v>5416.3149999999996</v>
      </c>
      <c r="D4068" s="633">
        <f t="shared" si="130"/>
        <v>5416.3149999999996</v>
      </c>
      <c r="E4068" s="608"/>
      <c r="F4068" s="760">
        <f t="shared" si="129"/>
        <v>2285.1160265999711</v>
      </c>
      <c r="M4068" s="443"/>
    </row>
    <row r="4069" spans="1:13">
      <c r="A4069" s="639">
        <v>61813</v>
      </c>
      <c r="B4069" s="639">
        <v>1000</v>
      </c>
      <c r="C4069" s="638">
        <v>5359.2749999999996</v>
      </c>
      <c r="D4069" s="633">
        <f t="shared" si="130"/>
        <v>5359.2749999999996</v>
      </c>
      <c r="E4069" s="608"/>
      <c r="F4069" s="760">
        <f t="shared" si="129"/>
        <v>2261.0511378043116</v>
      </c>
      <c r="M4069" s="443"/>
    </row>
    <row r="4070" spans="1:13">
      <c r="A4070" s="639">
        <v>61813</v>
      </c>
      <c r="B4070" s="639">
        <v>1100</v>
      </c>
      <c r="C4070" s="638">
        <v>5409.652</v>
      </c>
      <c r="D4070" s="633">
        <f t="shared" si="130"/>
        <v>5409.652</v>
      </c>
      <c r="E4070" s="608"/>
      <c r="F4070" s="760">
        <f t="shared" si="129"/>
        <v>2282.3049404491039</v>
      </c>
      <c r="M4070" s="443"/>
    </row>
    <row r="4071" spans="1:13">
      <c r="A4071" s="639">
        <v>61813</v>
      </c>
      <c r="B4071" s="639">
        <v>1200</v>
      </c>
      <c r="C4071" s="638">
        <v>5315.9949999999999</v>
      </c>
      <c r="D4071" s="633">
        <f t="shared" si="130"/>
        <v>5315.9949999999999</v>
      </c>
      <c r="E4071" s="608"/>
      <c r="F4071" s="760">
        <f t="shared" si="129"/>
        <v>2242.7915237251368</v>
      </c>
      <c r="M4071" s="443"/>
    </row>
    <row r="4072" spans="1:13">
      <c r="A4072" s="639">
        <v>61813</v>
      </c>
      <c r="B4072" s="639">
        <v>1300</v>
      </c>
      <c r="C4072" s="638">
        <v>5240.6989999999996</v>
      </c>
      <c r="D4072" s="633">
        <f t="shared" si="130"/>
        <v>5240.6989999999996</v>
      </c>
      <c r="E4072" s="608"/>
      <c r="F4072" s="760">
        <f t="shared" si="129"/>
        <v>2211.0245204509783</v>
      </c>
      <c r="M4072" s="443"/>
    </row>
    <row r="4073" spans="1:13">
      <c r="A4073" s="639">
        <v>61813</v>
      </c>
      <c r="B4073" s="639">
        <v>1400</v>
      </c>
      <c r="C4073" s="638">
        <v>5326.6660000000002</v>
      </c>
      <c r="D4073" s="633">
        <f t="shared" si="130"/>
        <v>5326.6660000000002</v>
      </c>
      <c r="E4073" s="608"/>
      <c r="F4073" s="760">
        <f t="shared" si="129"/>
        <v>2247.2935648951661</v>
      </c>
      <c r="M4073" s="443"/>
    </row>
    <row r="4074" spans="1:13">
      <c r="A4074" s="639">
        <v>61813</v>
      </c>
      <c r="B4074" s="639">
        <v>1500</v>
      </c>
      <c r="C4074" s="638">
        <v>5648.5630000000001</v>
      </c>
      <c r="D4074" s="633">
        <f t="shared" si="130"/>
        <v>5648.5630000000001</v>
      </c>
      <c r="E4074" s="608"/>
      <c r="F4074" s="760">
        <f t="shared" si="129"/>
        <v>2383.1002883989599</v>
      </c>
      <c r="M4074" s="443"/>
    </row>
    <row r="4075" spans="1:13">
      <c r="A4075" s="639">
        <v>61813</v>
      </c>
      <c r="B4075" s="639">
        <v>1600</v>
      </c>
      <c r="C4075" s="638">
        <v>6077.5230000000001</v>
      </c>
      <c r="D4075" s="633">
        <f t="shared" si="130"/>
        <v>6077.5230000000001</v>
      </c>
      <c r="E4075" s="608"/>
      <c r="F4075" s="760">
        <f t="shared" si="129"/>
        <v>2564.0763525256448</v>
      </c>
      <c r="M4075" s="443"/>
    </row>
    <row r="4076" spans="1:13">
      <c r="A4076" s="639">
        <v>61813</v>
      </c>
      <c r="B4076" s="639">
        <v>1700</v>
      </c>
      <c r="C4076" s="638">
        <v>6493.942</v>
      </c>
      <c r="D4076" s="633">
        <f t="shared" si="130"/>
        <v>6493.942</v>
      </c>
      <c r="E4076" s="608"/>
      <c r="F4076" s="760">
        <f t="shared" si="129"/>
        <v>2739.76143189801</v>
      </c>
      <c r="M4076" s="443"/>
    </row>
    <row r="4077" spans="1:13">
      <c r="A4077" s="639">
        <v>61813</v>
      </c>
      <c r="B4077" s="639">
        <v>1800</v>
      </c>
      <c r="C4077" s="638">
        <v>6588.375</v>
      </c>
      <c r="D4077" s="633">
        <f t="shared" si="130"/>
        <v>6588.375</v>
      </c>
      <c r="E4077" s="608"/>
      <c r="F4077" s="760">
        <f t="shared" si="129"/>
        <v>2779.6022391147089</v>
      </c>
      <c r="M4077" s="443"/>
    </row>
    <row r="4078" spans="1:13">
      <c r="A4078" s="639">
        <v>61813</v>
      </c>
      <c r="B4078" s="639">
        <v>1900</v>
      </c>
      <c r="C4078" s="638">
        <v>6510.6859999999997</v>
      </c>
      <c r="D4078" s="633">
        <f t="shared" si="130"/>
        <v>6510.6859999999997</v>
      </c>
      <c r="E4078" s="608"/>
      <c r="F4078" s="760">
        <f t="shared" si="129"/>
        <v>2746.8256411896391</v>
      </c>
      <c r="M4078" s="443"/>
    </row>
    <row r="4079" spans="1:13">
      <c r="A4079" s="639">
        <v>61813</v>
      </c>
      <c r="B4079" s="639">
        <v>2000</v>
      </c>
      <c r="C4079" s="638">
        <v>6508.518</v>
      </c>
      <c r="D4079" s="633">
        <f t="shared" si="130"/>
        <v>6508.518</v>
      </c>
      <c r="E4079" s="608"/>
      <c r="F4079" s="760">
        <f t="shared" si="129"/>
        <v>2745.9109729058209</v>
      </c>
      <c r="M4079" s="443"/>
    </row>
    <row r="4080" spans="1:13">
      <c r="A4080" s="639">
        <v>61813</v>
      </c>
      <c r="B4080" s="639">
        <v>2100</v>
      </c>
      <c r="C4080" s="638">
        <v>6678.9189999999999</v>
      </c>
      <c r="D4080" s="633">
        <f t="shared" si="130"/>
        <v>6678.9189999999999</v>
      </c>
      <c r="E4080" s="608"/>
      <c r="F4080" s="760">
        <f t="shared" si="129"/>
        <v>2817.802296813064</v>
      </c>
      <c r="M4080" s="443"/>
    </row>
    <row r="4081" spans="1:13">
      <c r="A4081" s="639">
        <v>61813</v>
      </c>
      <c r="B4081" s="639">
        <v>2200</v>
      </c>
      <c r="C4081" s="638">
        <v>6263.4530000000004</v>
      </c>
      <c r="D4081" s="633">
        <f t="shared" si="130"/>
        <v>6263.4530000000004</v>
      </c>
      <c r="E4081" s="608"/>
      <c r="F4081" s="760">
        <f t="shared" si="129"/>
        <v>2642.5192833422116</v>
      </c>
      <c r="M4081" s="443"/>
    </row>
    <row r="4082" spans="1:13">
      <c r="A4082" s="639">
        <v>61813</v>
      </c>
      <c r="B4082" s="639">
        <v>2300</v>
      </c>
      <c r="C4082" s="638">
        <v>5241.6170000000002</v>
      </c>
      <c r="D4082" s="633">
        <f t="shared" si="130"/>
        <v>5241.6170000000002</v>
      </c>
      <c r="E4082" s="608"/>
      <c r="F4082" s="760">
        <f t="shared" si="129"/>
        <v>2211.4118200287207</v>
      </c>
      <c r="M4082" s="443"/>
    </row>
    <row r="4083" spans="1:13">
      <c r="A4083" s="639">
        <v>61813</v>
      </c>
      <c r="B4083" s="639">
        <v>2400</v>
      </c>
      <c r="C4083" s="638">
        <v>4454.7150000000001</v>
      </c>
      <c r="D4083" s="633">
        <f t="shared" si="130"/>
        <v>4454.7150000000001</v>
      </c>
      <c r="E4083" s="608"/>
      <c r="F4083" s="760">
        <f t="shared" si="129"/>
        <v>1879.4218283898351</v>
      </c>
      <c r="M4083" s="443"/>
    </row>
    <row r="4084" spans="1:13">
      <c r="A4084" s="639">
        <v>61913</v>
      </c>
      <c r="B4084" s="639">
        <v>100</v>
      </c>
      <c r="C4084" s="638">
        <v>4123.0249999999996</v>
      </c>
      <c r="D4084" s="633">
        <f t="shared" si="130"/>
        <v>4123.0249999999996</v>
      </c>
      <c r="E4084" s="608"/>
      <c r="F4084" s="760">
        <f t="shared" si="129"/>
        <v>1739.4834874951596</v>
      </c>
      <c r="M4084" s="443"/>
    </row>
    <row r="4085" spans="1:13">
      <c r="A4085" s="639">
        <v>61913</v>
      </c>
      <c r="B4085" s="639">
        <v>200</v>
      </c>
      <c r="C4085" s="638">
        <v>3949.087</v>
      </c>
      <c r="D4085" s="633">
        <f t="shared" si="130"/>
        <v>3949.087</v>
      </c>
      <c r="E4085" s="608"/>
      <c r="F4085" s="760">
        <f t="shared" si="129"/>
        <v>1666.0999210972034</v>
      </c>
      <c r="M4085" s="443"/>
    </row>
    <row r="4086" spans="1:13">
      <c r="A4086" s="639">
        <v>61913</v>
      </c>
      <c r="B4086" s="639">
        <v>300</v>
      </c>
      <c r="C4086" s="638">
        <v>3920.7730000000001</v>
      </c>
      <c r="D4086" s="633">
        <f t="shared" si="130"/>
        <v>3920.7730000000001</v>
      </c>
      <c r="E4086" s="608"/>
      <c r="F4086" s="760">
        <f t="shared" si="129"/>
        <v>1654.1543870621351</v>
      </c>
      <c r="M4086" s="443"/>
    </row>
    <row r="4087" spans="1:13">
      <c r="A4087" s="639">
        <v>61913</v>
      </c>
      <c r="B4087" s="639">
        <v>400</v>
      </c>
      <c r="C4087" s="638">
        <v>4001.9380000000001</v>
      </c>
      <c r="D4087" s="633">
        <f t="shared" si="130"/>
        <v>4001.9380000000001</v>
      </c>
      <c r="E4087" s="608"/>
      <c r="F4087" s="760">
        <f t="shared" si="129"/>
        <v>1688.3974918850613</v>
      </c>
      <c r="M4087" s="443"/>
    </row>
    <row r="4088" spans="1:13">
      <c r="A4088" s="639">
        <v>61913</v>
      </c>
      <c r="B4088" s="639">
        <v>500</v>
      </c>
      <c r="C4088" s="638">
        <v>4228.9669999999996</v>
      </c>
      <c r="D4088" s="633">
        <f t="shared" si="130"/>
        <v>4228.9669999999996</v>
      </c>
      <c r="E4088" s="608"/>
      <c r="F4088" s="760">
        <f t="shared" si="129"/>
        <v>1784.1798838624413</v>
      </c>
      <c r="M4088" s="443"/>
    </row>
    <row r="4089" spans="1:13">
      <c r="A4089" s="639">
        <v>61913</v>
      </c>
      <c r="B4089" s="639">
        <v>600</v>
      </c>
      <c r="C4089" s="638">
        <v>4850.152</v>
      </c>
      <c r="D4089" s="633">
        <f t="shared" si="130"/>
        <v>4850.152</v>
      </c>
      <c r="E4089" s="608"/>
      <c r="F4089" s="760">
        <f t="shared" si="129"/>
        <v>2046.2547076094913</v>
      </c>
      <c r="M4089" s="443"/>
    </row>
    <row r="4090" spans="1:13">
      <c r="A4090" s="639">
        <v>61913</v>
      </c>
      <c r="B4090" s="639">
        <v>700</v>
      </c>
      <c r="C4090" s="638">
        <v>5425.9440000000004</v>
      </c>
      <c r="D4090" s="633">
        <f t="shared" si="130"/>
        <v>5425.9440000000004</v>
      </c>
      <c r="E4090" s="608"/>
      <c r="F4090" s="760">
        <f t="shared" si="129"/>
        <v>2289.1784532166162</v>
      </c>
      <c r="M4090" s="443"/>
    </row>
    <row r="4091" spans="1:13">
      <c r="A4091" s="639">
        <v>61913</v>
      </c>
      <c r="B4091" s="639">
        <v>800</v>
      </c>
      <c r="C4091" s="638">
        <v>5528.5690000000004</v>
      </c>
      <c r="D4091" s="633">
        <f t="shared" si="130"/>
        <v>5528.5690000000004</v>
      </c>
      <c r="E4091" s="608"/>
      <c r="F4091" s="760">
        <f t="shared" si="129"/>
        <v>2332.4754239854542</v>
      </c>
      <c r="M4091" s="443"/>
    </row>
    <row r="4092" spans="1:13">
      <c r="A4092" s="639">
        <v>61913</v>
      </c>
      <c r="B4092" s="639">
        <v>900</v>
      </c>
      <c r="C4092" s="638">
        <v>5336.4309999999996</v>
      </c>
      <c r="D4092" s="633">
        <f t="shared" si="130"/>
        <v>5336.4309999999996</v>
      </c>
      <c r="E4092" s="608"/>
      <c r="F4092" s="760">
        <f t="shared" si="129"/>
        <v>2251.4133692270316</v>
      </c>
      <c r="M4092" s="443"/>
    </row>
    <row r="4093" spans="1:13">
      <c r="A4093" s="639">
        <v>61913</v>
      </c>
      <c r="B4093" s="639">
        <v>1000</v>
      </c>
      <c r="C4093" s="638">
        <v>5212.9080000000004</v>
      </c>
      <c r="D4093" s="633">
        <f t="shared" si="130"/>
        <v>5212.9080000000004</v>
      </c>
      <c r="E4093" s="608"/>
      <c r="F4093" s="760">
        <f t="shared" si="129"/>
        <v>2199.2996374825325</v>
      </c>
      <c r="M4093" s="443"/>
    </row>
    <row r="4094" spans="1:13">
      <c r="A4094" s="639">
        <v>61913</v>
      </c>
      <c r="B4094" s="639">
        <v>1100</v>
      </c>
      <c r="C4094" s="638">
        <v>5169.7190000000001</v>
      </c>
      <c r="D4094" s="633">
        <f t="shared" si="130"/>
        <v>5169.7190000000001</v>
      </c>
      <c r="E4094" s="608"/>
      <c r="F4094" s="760">
        <f t="shared" si="129"/>
        <v>2181.0784158451597</v>
      </c>
      <c r="M4094" s="443"/>
    </row>
    <row r="4095" spans="1:13">
      <c r="A4095" s="639">
        <v>61913</v>
      </c>
      <c r="B4095" s="639">
        <v>1200</v>
      </c>
      <c r="C4095" s="638">
        <v>5138.4179999999997</v>
      </c>
      <c r="D4095" s="633">
        <f t="shared" si="130"/>
        <v>5138.4179999999997</v>
      </c>
      <c r="E4095" s="608"/>
      <c r="F4095" s="760">
        <f t="shared" si="129"/>
        <v>2167.8726815500518</v>
      </c>
      <c r="M4095" s="443"/>
    </row>
    <row r="4096" spans="1:13">
      <c r="A4096" s="639">
        <v>61913</v>
      </c>
      <c r="B4096" s="639">
        <v>1300</v>
      </c>
      <c r="C4096" s="638">
        <v>5102.55</v>
      </c>
      <c r="D4096" s="633">
        <f t="shared" si="130"/>
        <v>5102.55</v>
      </c>
      <c r="E4096" s="608"/>
      <c r="F4096" s="760">
        <f t="shared" si="129"/>
        <v>2152.7401529504255</v>
      </c>
      <c r="M4096" s="443"/>
    </row>
    <row r="4097" spans="1:13">
      <c r="A4097" s="639">
        <v>61913</v>
      </c>
      <c r="B4097" s="639">
        <v>1400</v>
      </c>
      <c r="C4097" s="638">
        <v>5069.5</v>
      </c>
      <c r="D4097" s="633">
        <f t="shared" si="130"/>
        <v>5069.5</v>
      </c>
      <c r="E4097" s="608"/>
      <c r="F4097" s="760">
        <f t="shared" si="129"/>
        <v>2138.7965243617759</v>
      </c>
      <c r="M4097" s="443"/>
    </row>
    <row r="4098" spans="1:13">
      <c r="A4098" s="639">
        <v>61913</v>
      </c>
      <c r="B4098" s="639">
        <v>1500</v>
      </c>
      <c r="C4098" s="638">
        <v>5320.9129999999996</v>
      </c>
      <c r="D4098" s="633">
        <f t="shared" si="130"/>
        <v>5320.9129999999996</v>
      </c>
      <c r="E4098" s="608"/>
      <c r="F4098" s="760">
        <f t="shared" si="129"/>
        <v>2244.8664031623221</v>
      </c>
      <c r="M4098" s="443"/>
    </row>
    <row r="4099" spans="1:13">
      <c r="A4099" s="639">
        <v>61913</v>
      </c>
      <c r="B4099" s="639">
        <v>1600</v>
      </c>
      <c r="C4099" s="638">
        <v>5691.5119999999997</v>
      </c>
      <c r="D4099" s="633">
        <f t="shared" si="130"/>
        <v>5691.5119999999997</v>
      </c>
      <c r="E4099" s="608"/>
      <c r="F4099" s="760">
        <f t="shared" si="129"/>
        <v>2401.2202552447657</v>
      </c>
      <c r="M4099" s="443"/>
    </row>
    <row r="4100" spans="1:13">
      <c r="A4100" s="639">
        <v>61913</v>
      </c>
      <c r="B4100" s="639">
        <v>1700</v>
      </c>
      <c r="C4100" s="638">
        <v>6243.1880000000001</v>
      </c>
      <c r="D4100" s="633">
        <f t="shared" si="130"/>
        <v>6243.1880000000001</v>
      </c>
      <c r="E4100" s="608"/>
      <c r="F4100" s="760">
        <f t="shared" ref="F4100:F4163" si="131">(D4100/(MAX($D$3652:$D$4371)))*$M$9</f>
        <v>2633.9695818793075</v>
      </c>
      <c r="M4100" s="443"/>
    </row>
    <row r="4101" spans="1:13">
      <c r="A4101" s="639">
        <v>61913</v>
      </c>
      <c r="B4101" s="639">
        <v>1800</v>
      </c>
      <c r="C4101" s="638">
        <v>6403.8969999999999</v>
      </c>
      <c r="D4101" s="633">
        <f t="shared" ref="D4101:D4164" si="132">C4101</f>
        <v>6403.8969999999999</v>
      </c>
      <c r="E4101" s="608"/>
      <c r="F4101" s="760">
        <f t="shared" si="131"/>
        <v>2701.7718997871198</v>
      </c>
      <c r="M4101" s="443"/>
    </row>
    <row r="4102" spans="1:13">
      <c r="A4102" s="639">
        <v>61913</v>
      </c>
      <c r="B4102" s="639">
        <v>1900</v>
      </c>
      <c r="C4102" s="638">
        <v>6466.299</v>
      </c>
      <c r="D4102" s="633">
        <f t="shared" si="132"/>
        <v>6466.299</v>
      </c>
      <c r="E4102" s="608"/>
      <c r="F4102" s="760">
        <f t="shared" si="131"/>
        <v>2728.098989384363</v>
      </c>
      <c r="M4102" s="443"/>
    </row>
    <row r="4103" spans="1:13">
      <c r="A4103" s="639">
        <v>61913</v>
      </c>
      <c r="B4103" s="639">
        <v>2000</v>
      </c>
      <c r="C4103" s="638">
        <v>6555.81</v>
      </c>
      <c r="D4103" s="633">
        <f t="shared" si="132"/>
        <v>6555.81</v>
      </c>
      <c r="E4103" s="608"/>
      <c r="F4103" s="760">
        <f t="shared" si="131"/>
        <v>2765.8632295840175</v>
      </c>
      <c r="M4103" s="443"/>
    </row>
    <row r="4104" spans="1:13">
      <c r="A4104" s="639">
        <v>61913</v>
      </c>
      <c r="B4104" s="639">
        <v>2100</v>
      </c>
      <c r="C4104" s="638">
        <v>6842.0929999999998</v>
      </c>
      <c r="D4104" s="633">
        <f t="shared" si="132"/>
        <v>6842.0929999999998</v>
      </c>
      <c r="E4104" s="608"/>
      <c r="F4104" s="760">
        <f t="shared" si="131"/>
        <v>2886.6445858092588</v>
      </c>
      <c r="M4104" s="443"/>
    </row>
    <row r="4105" spans="1:13">
      <c r="A4105" s="639">
        <v>61913</v>
      </c>
      <c r="B4105" s="639">
        <v>2200</v>
      </c>
      <c r="C4105" s="638">
        <v>6313.3180000000002</v>
      </c>
      <c r="D4105" s="633">
        <f t="shared" si="132"/>
        <v>6313.3180000000002</v>
      </c>
      <c r="E4105" s="608"/>
      <c r="F4105" s="760">
        <f t="shared" si="131"/>
        <v>2663.5570757649948</v>
      </c>
      <c r="M4105" s="443"/>
    </row>
    <row r="4106" spans="1:13">
      <c r="A4106" s="639">
        <v>61913</v>
      </c>
      <c r="B4106" s="639">
        <v>2300</v>
      </c>
      <c r="C4106" s="638">
        <v>5300.4849999999997</v>
      </c>
      <c r="D4106" s="633">
        <f t="shared" si="132"/>
        <v>5300.4849999999997</v>
      </c>
      <c r="E4106" s="608"/>
      <c r="F4106" s="760">
        <f t="shared" si="131"/>
        <v>2236.2479328201457</v>
      </c>
      <c r="M4106" s="443"/>
    </row>
    <row r="4107" spans="1:13">
      <c r="A4107" s="639">
        <v>61913</v>
      </c>
      <c r="B4107" s="639">
        <v>2400</v>
      </c>
      <c r="C4107" s="638">
        <v>4613.3360000000002</v>
      </c>
      <c r="D4107" s="633">
        <f t="shared" si="132"/>
        <v>4613.3360000000002</v>
      </c>
      <c r="E4107" s="608"/>
      <c r="F4107" s="760">
        <f t="shared" si="131"/>
        <v>1946.3432296110188</v>
      </c>
      <c r="M4107" s="443"/>
    </row>
    <row r="4108" spans="1:13">
      <c r="A4108" s="639">
        <v>62013</v>
      </c>
      <c r="B4108" s="639">
        <v>100</v>
      </c>
      <c r="C4108" s="638">
        <v>4179.9340000000002</v>
      </c>
      <c r="D4108" s="633">
        <f t="shared" si="132"/>
        <v>4179.9340000000002</v>
      </c>
      <c r="E4108" s="608"/>
      <c r="F4108" s="760">
        <f t="shared" si="131"/>
        <v>1763.4931080504225</v>
      </c>
      <c r="M4108" s="443"/>
    </row>
    <row r="4109" spans="1:13">
      <c r="A4109" s="639">
        <v>62013</v>
      </c>
      <c r="B4109" s="639">
        <v>200</v>
      </c>
      <c r="C4109" s="638">
        <v>3963.4879999999998</v>
      </c>
      <c r="D4109" s="633">
        <f t="shared" si="132"/>
        <v>3963.4879999999998</v>
      </c>
      <c r="E4109" s="608"/>
      <c r="F4109" s="760">
        <f t="shared" si="131"/>
        <v>1672.1756304861638</v>
      </c>
      <c r="M4109" s="443"/>
    </row>
    <row r="4110" spans="1:13">
      <c r="A4110" s="639">
        <v>62013</v>
      </c>
      <c r="B4110" s="639">
        <v>300</v>
      </c>
      <c r="C4110" s="638">
        <v>3911.4479999999999</v>
      </c>
      <c r="D4110" s="633">
        <f t="shared" si="132"/>
        <v>3911.4479999999999</v>
      </c>
      <c r="E4110" s="608"/>
      <c r="F4110" s="760">
        <f t="shared" si="131"/>
        <v>1650.2202165148083</v>
      </c>
      <c r="M4110" s="443"/>
    </row>
    <row r="4111" spans="1:13">
      <c r="A4111" s="639">
        <v>62013</v>
      </c>
      <c r="B4111" s="639">
        <v>400</v>
      </c>
      <c r="C4111" s="638">
        <v>3971.056</v>
      </c>
      <c r="D4111" s="633">
        <f t="shared" si="132"/>
        <v>3971.056</v>
      </c>
      <c r="E4111" s="608"/>
      <c r="F4111" s="760">
        <f t="shared" si="131"/>
        <v>1675.3685315802302</v>
      </c>
      <c r="M4111" s="443"/>
    </row>
    <row r="4112" spans="1:13">
      <c r="A4112" s="639">
        <v>62013</v>
      </c>
      <c r="B4112" s="639">
        <v>500</v>
      </c>
      <c r="C4112" s="638">
        <v>4230.3500000000004</v>
      </c>
      <c r="D4112" s="633">
        <f t="shared" si="132"/>
        <v>4230.3500000000004</v>
      </c>
      <c r="E4112" s="608"/>
      <c r="F4112" s="760">
        <f t="shared" si="131"/>
        <v>1784.7633645988442</v>
      </c>
      <c r="M4112" s="443"/>
    </row>
    <row r="4113" spans="1:13">
      <c r="A4113" s="639">
        <v>62013</v>
      </c>
      <c r="B4113" s="639">
        <v>600</v>
      </c>
      <c r="C4113" s="638">
        <v>4755.6469999999999</v>
      </c>
      <c r="D4113" s="633">
        <f t="shared" si="132"/>
        <v>4755.6469999999999</v>
      </c>
      <c r="E4113" s="608"/>
      <c r="F4113" s="760">
        <f t="shared" si="131"/>
        <v>2006.3835239553225</v>
      </c>
      <c r="M4113" s="443"/>
    </row>
    <row r="4114" spans="1:13">
      <c r="A4114" s="639">
        <v>62013</v>
      </c>
      <c r="B4114" s="639">
        <v>700</v>
      </c>
      <c r="C4114" s="638">
        <v>5404.5290000000005</v>
      </c>
      <c r="D4114" s="633">
        <f t="shared" si="132"/>
        <v>5404.5290000000005</v>
      </c>
      <c r="E4114" s="608"/>
      <c r="F4114" s="760">
        <f t="shared" si="131"/>
        <v>2280.143572544122</v>
      </c>
      <c r="M4114" s="443"/>
    </row>
    <row r="4115" spans="1:13">
      <c r="A4115" s="639">
        <v>62013</v>
      </c>
      <c r="B4115" s="639">
        <v>800</v>
      </c>
      <c r="C4115" s="638">
        <v>5547.8969999999999</v>
      </c>
      <c r="D4115" s="633">
        <f t="shared" si="132"/>
        <v>5547.8969999999999</v>
      </c>
      <c r="E4115" s="608"/>
      <c r="F4115" s="760">
        <f t="shared" si="131"/>
        <v>2340.6298098662837</v>
      </c>
      <c r="M4115" s="443"/>
    </row>
    <row r="4116" spans="1:13">
      <c r="A4116" s="639">
        <v>62013</v>
      </c>
      <c r="B4116" s="639">
        <v>900</v>
      </c>
      <c r="C4116" s="638">
        <v>5369.143</v>
      </c>
      <c r="D4116" s="633">
        <f t="shared" si="132"/>
        <v>5369.143</v>
      </c>
      <c r="E4116" s="608"/>
      <c r="F4116" s="760">
        <f t="shared" si="131"/>
        <v>2265.214397317558</v>
      </c>
      <c r="M4116" s="443"/>
    </row>
    <row r="4117" spans="1:13">
      <c r="A4117" s="639">
        <v>62013</v>
      </c>
      <c r="B4117" s="639">
        <v>1000</v>
      </c>
      <c r="C4117" s="638">
        <v>5367.1059999999998</v>
      </c>
      <c r="D4117" s="633">
        <f t="shared" si="132"/>
        <v>5367.1059999999998</v>
      </c>
      <c r="E4117" s="608"/>
      <c r="F4117" s="760">
        <f t="shared" si="131"/>
        <v>2264.3549972741362</v>
      </c>
      <c r="M4117" s="443"/>
    </row>
    <row r="4118" spans="1:13">
      <c r="A4118" s="639">
        <v>62013</v>
      </c>
      <c r="B4118" s="639">
        <v>1100</v>
      </c>
      <c r="C4118" s="638">
        <v>5265.7650000000003</v>
      </c>
      <c r="D4118" s="633">
        <f t="shared" si="132"/>
        <v>5265.7650000000003</v>
      </c>
      <c r="E4118" s="608"/>
      <c r="F4118" s="760">
        <f t="shared" si="131"/>
        <v>2221.599739640179</v>
      </c>
      <c r="M4118" s="443"/>
    </row>
    <row r="4119" spans="1:13">
      <c r="A4119" s="639">
        <v>62013</v>
      </c>
      <c r="B4119" s="639">
        <v>1200</v>
      </c>
      <c r="C4119" s="638">
        <v>5334.5770000000002</v>
      </c>
      <c r="D4119" s="633">
        <f t="shared" si="132"/>
        <v>5334.5770000000002</v>
      </c>
      <c r="E4119" s="608"/>
      <c r="F4119" s="760">
        <f t="shared" si="131"/>
        <v>2250.6311759621799</v>
      </c>
      <c r="M4119" s="443"/>
    </row>
    <row r="4120" spans="1:13">
      <c r="A4120" s="639">
        <v>62013</v>
      </c>
      <c r="B4120" s="639">
        <v>1300</v>
      </c>
      <c r="C4120" s="638">
        <v>5400.3980000000001</v>
      </c>
      <c r="D4120" s="633">
        <f t="shared" si="132"/>
        <v>5400.3980000000001</v>
      </c>
      <c r="E4120" s="608"/>
      <c r="F4120" s="760">
        <f t="shared" si="131"/>
        <v>2278.4007244442819</v>
      </c>
      <c r="M4120" s="443"/>
    </row>
    <row r="4121" spans="1:13">
      <c r="A4121" s="639">
        <v>62013</v>
      </c>
      <c r="B4121" s="639">
        <v>1400</v>
      </c>
      <c r="C4121" s="638">
        <v>5421.8969999999999</v>
      </c>
      <c r="D4121" s="633">
        <f t="shared" si="132"/>
        <v>5421.8969999999999</v>
      </c>
      <c r="E4121" s="608"/>
      <c r="F4121" s="760">
        <f t="shared" si="131"/>
        <v>2287.471044293824</v>
      </c>
      <c r="M4121" s="443"/>
    </row>
    <row r="4122" spans="1:13">
      <c r="A4122" s="639">
        <v>62013</v>
      </c>
      <c r="B4122" s="639">
        <v>1500</v>
      </c>
      <c r="C4122" s="638">
        <v>5789.6409999999996</v>
      </c>
      <c r="D4122" s="633">
        <f t="shared" si="132"/>
        <v>5789.6409999999996</v>
      </c>
      <c r="E4122" s="608"/>
      <c r="F4122" s="760">
        <f t="shared" si="131"/>
        <v>2442.6203862515904</v>
      </c>
      <c r="M4122" s="443"/>
    </row>
    <row r="4123" spans="1:13">
      <c r="A4123" s="639">
        <v>62013</v>
      </c>
      <c r="B4123" s="639">
        <v>1600</v>
      </c>
      <c r="C4123" s="638">
        <v>6240.4759999999997</v>
      </c>
      <c r="D4123" s="633">
        <f t="shared" si="132"/>
        <v>6240.4759999999997</v>
      </c>
      <c r="E4123" s="608"/>
      <c r="F4123" s="760">
        <f t="shared" si="131"/>
        <v>2632.8254027346047</v>
      </c>
      <c r="M4123" s="443"/>
    </row>
    <row r="4124" spans="1:13">
      <c r="A4124" s="639">
        <v>62013</v>
      </c>
      <c r="B4124" s="639">
        <v>1700</v>
      </c>
      <c r="C4124" s="638">
        <v>6743.7160000000003</v>
      </c>
      <c r="D4124" s="633">
        <f t="shared" si="132"/>
        <v>6743.7160000000003</v>
      </c>
      <c r="E4124" s="608"/>
      <c r="F4124" s="760">
        <f t="shared" si="131"/>
        <v>2845.1398248511487</v>
      </c>
      <c r="M4124" s="443"/>
    </row>
    <row r="4125" spans="1:13">
      <c r="A4125" s="639">
        <v>62013</v>
      </c>
      <c r="B4125" s="639">
        <v>1800</v>
      </c>
      <c r="C4125" s="638">
        <v>6931.9269999999997</v>
      </c>
      <c r="D4125" s="633">
        <f t="shared" si="132"/>
        <v>6931.9269999999997</v>
      </c>
      <c r="E4125" s="608"/>
      <c r="F4125" s="760">
        <f t="shared" si="131"/>
        <v>2924.5450980825626</v>
      </c>
      <c r="M4125" s="443"/>
    </row>
    <row r="4126" spans="1:13">
      <c r="A4126" s="639">
        <v>62013</v>
      </c>
      <c r="B4126" s="639">
        <v>1900</v>
      </c>
      <c r="C4126" s="638">
        <v>6876.69</v>
      </c>
      <c r="D4126" s="633">
        <f t="shared" si="132"/>
        <v>6876.69</v>
      </c>
      <c r="E4126" s="608"/>
      <c r="F4126" s="760">
        <f t="shared" si="131"/>
        <v>2901.2408859085476</v>
      </c>
      <c r="M4126" s="443"/>
    </row>
    <row r="4127" spans="1:13">
      <c r="A4127" s="639">
        <v>62013</v>
      </c>
      <c r="B4127" s="639">
        <v>2000</v>
      </c>
      <c r="C4127" s="638">
        <v>6914.6629999999996</v>
      </c>
      <c r="D4127" s="633">
        <f t="shared" si="132"/>
        <v>6914.6629999999996</v>
      </c>
      <c r="E4127" s="608"/>
      <c r="F4127" s="760">
        <f t="shared" si="131"/>
        <v>2917.2615034092059</v>
      </c>
      <c r="M4127" s="443"/>
    </row>
    <row r="4128" spans="1:13">
      <c r="A4128" s="639">
        <v>62013</v>
      </c>
      <c r="B4128" s="639">
        <v>2100</v>
      </c>
      <c r="C4128" s="638">
        <v>7245.0420000000004</v>
      </c>
      <c r="D4128" s="633">
        <f t="shared" si="132"/>
        <v>7245.0420000000004</v>
      </c>
      <c r="E4128" s="608"/>
      <c r="F4128" s="760">
        <f t="shared" si="131"/>
        <v>3056.6467400049496</v>
      </c>
      <c r="M4128" s="443"/>
    </row>
    <row r="4129" spans="1:13">
      <c r="A4129" s="639">
        <v>62013</v>
      </c>
      <c r="B4129" s="639">
        <v>2200</v>
      </c>
      <c r="C4129" s="638">
        <v>6717.509</v>
      </c>
      <c r="D4129" s="633">
        <f t="shared" si="132"/>
        <v>6717.509</v>
      </c>
      <c r="E4129" s="608"/>
      <c r="F4129" s="760">
        <f t="shared" si="131"/>
        <v>2834.083223507042</v>
      </c>
      <c r="M4129" s="443"/>
    </row>
    <row r="4130" spans="1:13">
      <c r="A4130" s="639">
        <v>62013</v>
      </c>
      <c r="B4130" s="639">
        <v>2300</v>
      </c>
      <c r="C4130" s="638">
        <v>5658.7209999999995</v>
      </c>
      <c r="D4130" s="633">
        <f t="shared" si="132"/>
        <v>5658.7209999999995</v>
      </c>
      <c r="E4130" s="608"/>
      <c r="F4130" s="760">
        <f t="shared" si="131"/>
        <v>2387.3858974520153</v>
      </c>
      <c r="M4130" s="443"/>
    </row>
    <row r="4131" spans="1:13">
      <c r="A4131" s="639">
        <v>62013</v>
      </c>
      <c r="B4131" s="639">
        <v>2400</v>
      </c>
      <c r="C4131" s="638">
        <v>4846.835</v>
      </c>
      <c r="D4131" s="633">
        <f t="shared" si="132"/>
        <v>4846.835</v>
      </c>
      <c r="E4131" s="608"/>
      <c r="F4131" s="760">
        <f t="shared" si="131"/>
        <v>2044.8552820110483</v>
      </c>
      <c r="M4131" s="443"/>
    </row>
    <row r="4132" spans="1:13">
      <c r="A4132" s="639">
        <v>62113</v>
      </c>
      <c r="B4132" s="639">
        <v>100</v>
      </c>
      <c r="C4132" s="638">
        <v>4392.8310000000001</v>
      </c>
      <c r="D4132" s="633">
        <f t="shared" si="132"/>
        <v>4392.8310000000001</v>
      </c>
      <c r="E4132" s="608"/>
      <c r="F4132" s="760">
        <f t="shared" si="131"/>
        <v>1853.3132803843903</v>
      </c>
      <c r="M4132" s="443"/>
    </row>
    <row r="4133" spans="1:13">
      <c r="A4133" s="639">
        <v>62113</v>
      </c>
      <c r="B4133" s="639">
        <v>200</v>
      </c>
      <c r="C4133" s="638">
        <v>4145.424</v>
      </c>
      <c r="D4133" s="633">
        <f t="shared" si="132"/>
        <v>4145.424</v>
      </c>
      <c r="E4133" s="608"/>
      <c r="F4133" s="760">
        <f t="shared" si="131"/>
        <v>1748.9335128130765</v>
      </c>
      <c r="M4133" s="443"/>
    </row>
    <row r="4134" spans="1:13">
      <c r="A4134" s="639">
        <v>62113</v>
      </c>
      <c r="B4134" s="639">
        <v>300</v>
      </c>
      <c r="C4134" s="638">
        <v>4007.5410000000002</v>
      </c>
      <c r="D4134" s="633">
        <f t="shared" si="132"/>
        <v>4007.5410000000002</v>
      </c>
      <c r="E4134" s="608"/>
      <c r="F4134" s="760">
        <f t="shared" si="131"/>
        <v>1690.7613693731762</v>
      </c>
      <c r="M4134" s="443"/>
    </row>
    <row r="4135" spans="1:13">
      <c r="A4135" s="639">
        <v>62113</v>
      </c>
      <c r="B4135" s="639">
        <v>400</v>
      </c>
      <c r="C4135" s="638">
        <v>4040.9630000000002</v>
      </c>
      <c r="D4135" s="633">
        <f t="shared" si="132"/>
        <v>4040.9630000000002</v>
      </c>
      <c r="E4135" s="608"/>
      <c r="F4135" s="760">
        <f t="shared" si="131"/>
        <v>1704.8619428887537</v>
      </c>
      <c r="M4135" s="443"/>
    </row>
    <row r="4136" spans="1:13">
      <c r="A4136" s="639">
        <v>62113</v>
      </c>
      <c r="B4136" s="639">
        <v>500</v>
      </c>
      <c r="C4136" s="638">
        <v>4193.9870000000001</v>
      </c>
      <c r="D4136" s="633">
        <f t="shared" si="132"/>
        <v>4193.9870000000001</v>
      </c>
      <c r="E4136" s="608"/>
      <c r="F4136" s="760">
        <f t="shared" si="131"/>
        <v>1769.4219979916111</v>
      </c>
      <c r="M4136" s="443"/>
    </row>
    <row r="4137" spans="1:13">
      <c r="A4137" s="639">
        <v>62113</v>
      </c>
      <c r="B4137" s="639">
        <v>600</v>
      </c>
      <c r="C4137" s="638">
        <v>4730.6210000000001</v>
      </c>
      <c r="D4137" s="633">
        <f t="shared" si="132"/>
        <v>4730.6210000000001</v>
      </c>
      <c r="E4137" s="608"/>
      <c r="F4137" s="760">
        <f t="shared" si="131"/>
        <v>1995.8251805647164</v>
      </c>
      <c r="M4137" s="443"/>
    </row>
    <row r="4138" spans="1:13">
      <c r="A4138" s="639">
        <v>62113</v>
      </c>
      <c r="B4138" s="639">
        <v>700</v>
      </c>
      <c r="C4138" s="638">
        <v>5322.8810000000003</v>
      </c>
      <c r="D4138" s="633">
        <f t="shared" si="132"/>
        <v>5322.8810000000003</v>
      </c>
      <c r="E4138" s="608"/>
      <c r="F4138" s="760">
        <f t="shared" si="131"/>
        <v>2245.696692453168</v>
      </c>
      <c r="M4138" s="443"/>
    </row>
    <row r="4139" spans="1:13">
      <c r="A4139" s="639">
        <v>62113</v>
      </c>
      <c r="B4139" s="639">
        <v>800</v>
      </c>
      <c r="C4139" s="638">
        <v>5529.7139999999999</v>
      </c>
      <c r="D4139" s="633">
        <f t="shared" si="132"/>
        <v>5529.7139999999999</v>
      </c>
      <c r="E4139" s="608"/>
      <c r="F4139" s="760">
        <f t="shared" si="131"/>
        <v>2332.9584937202198</v>
      </c>
      <c r="M4139" s="443"/>
    </row>
    <row r="4140" spans="1:13">
      <c r="A4140" s="639">
        <v>62113</v>
      </c>
      <c r="B4140" s="639">
        <v>900</v>
      </c>
      <c r="C4140" s="638">
        <v>5672.7209999999995</v>
      </c>
      <c r="D4140" s="633">
        <f t="shared" si="132"/>
        <v>5672.7209999999995</v>
      </c>
      <c r="E4140" s="608"/>
      <c r="F4140" s="760">
        <f t="shared" si="131"/>
        <v>2393.2924269600667</v>
      </c>
      <c r="M4140" s="443"/>
    </row>
    <row r="4141" spans="1:13">
      <c r="A4141" s="639">
        <v>62113</v>
      </c>
      <c r="B4141" s="639">
        <v>1000</v>
      </c>
      <c r="C4141" s="638">
        <v>5789.0309999999999</v>
      </c>
      <c r="D4141" s="633">
        <f t="shared" si="132"/>
        <v>5789.0309999999999</v>
      </c>
      <c r="E4141" s="608"/>
      <c r="F4141" s="760">
        <f t="shared" si="131"/>
        <v>2442.3630303230252</v>
      </c>
      <c r="M4141" s="443"/>
    </row>
    <row r="4142" spans="1:13">
      <c r="A4142" s="639">
        <v>62113</v>
      </c>
      <c r="B4142" s="639">
        <v>1100</v>
      </c>
      <c r="C4142" s="638">
        <v>5934.47</v>
      </c>
      <c r="D4142" s="633">
        <f t="shared" si="132"/>
        <v>5934.47</v>
      </c>
      <c r="E4142" s="608"/>
      <c r="F4142" s="760">
        <f t="shared" si="131"/>
        <v>2503.7230121174143</v>
      </c>
      <c r="M4142" s="443"/>
    </row>
    <row r="4143" spans="1:13">
      <c r="A4143" s="639">
        <v>62113</v>
      </c>
      <c r="B4143" s="639">
        <v>1200</v>
      </c>
      <c r="C4143" s="638">
        <v>6061.6369999999997</v>
      </c>
      <c r="D4143" s="633">
        <f t="shared" si="132"/>
        <v>6061.6369999999997</v>
      </c>
      <c r="E4143" s="608"/>
      <c r="F4143" s="760">
        <f t="shared" si="131"/>
        <v>2557.3741291138658</v>
      </c>
      <c r="M4143" s="443"/>
    </row>
    <row r="4144" spans="1:13">
      <c r="A4144" s="639">
        <v>62113</v>
      </c>
      <c r="B4144" s="639">
        <v>1300</v>
      </c>
      <c r="C4144" s="638">
        <v>6160.4210000000003</v>
      </c>
      <c r="D4144" s="633">
        <f t="shared" si="132"/>
        <v>6160.4210000000003</v>
      </c>
      <c r="E4144" s="608"/>
      <c r="F4144" s="760">
        <f t="shared" si="131"/>
        <v>2599.0506013226745</v>
      </c>
      <c r="M4144" s="443"/>
    </row>
    <row r="4145" spans="1:13">
      <c r="A4145" s="639">
        <v>62113</v>
      </c>
      <c r="B4145" s="639">
        <v>1400</v>
      </c>
      <c r="C4145" s="638">
        <v>6366.8950000000004</v>
      </c>
      <c r="D4145" s="633">
        <f t="shared" si="132"/>
        <v>6366.8950000000004</v>
      </c>
      <c r="E4145" s="608"/>
      <c r="F4145" s="760">
        <f t="shared" si="131"/>
        <v>2686.1609422973415</v>
      </c>
      <c r="M4145" s="443"/>
    </row>
    <row r="4146" spans="1:13">
      <c r="A4146" s="639">
        <v>62113</v>
      </c>
      <c r="B4146" s="639">
        <v>1500</v>
      </c>
      <c r="C4146" s="638">
        <v>6738.7550000000001</v>
      </c>
      <c r="D4146" s="633">
        <f t="shared" si="132"/>
        <v>6738.7550000000001</v>
      </c>
      <c r="E4146" s="608"/>
      <c r="F4146" s="760">
        <f t="shared" si="131"/>
        <v>2843.0468039304742</v>
      </c>
      <c r="M4146" s="443"/>
    </row>
    <row r="4147" spans="1:13">
      <c r="A4147" s="639">
        <v>62113</v>
      </c>
      <c r="B4147" s="639">
        <v>1600</v>
      </c>
      <c r="C4147" s="638">
        <v>7164.116</v>
      </c>
      <c r="D4147" s="633">
        <f t="shared" si="132"/>
        <v>7164.116</v>
      </c>
      <c r="E4147" s="608"/>
      <c r="F4147" s="760">
        <f t="shared" si="131"/>
        <v>3022.504468078625</v>
      </c>
      <c r="M4147" s="443"/>
    </row>
    <row r="4148" spans="1:13">
      <c r="A4148" s="639">
        <v>62113</v>
      </c>
      <c r="B4148" s="639">
        <v>1700</v>
      </c>
      <c r="C4148" s="638">
        <v>7595.0460000000003</v>
      </c>
      <c r="D4148" s="633">
        <f t="shared" si="132"/>
        <v>7595.0460000000003</v>
      </c>
      <c r="E4148" s="608"/>
      <c r="F4148" s="760">
        <f t="shared" si="131"/>
        <v>3204.3116652860858</v>
      </c>
      <c r="M4148" s="443"/>
    </row>
    <row r="4149" spans="1:13">
      <c r="A4149" s="639">
        <v>62113</v>
      </c>
      <c r="B4149" s="639">
        <v>1800</v>
      </c>
      <c r="C4149" s="638">
        <v>7677.4790000000003</v>
      </c>
      <c r="D4149" s="633">
        <f t="shared" si="132"/>
        <v>7677.4790000000003</v>
      </c>
      <c r="E4149" s="608"/>
      <c r="F4149" s="760">
        <f t="shared" si="131"/>
        <v>3239.0897329244549</v>
      </c>
      <c r="M4149" s="443"/>
    </row>
    <row r="4150" spans="1:13">
      <c r="A4150" s="639">
        <v>62113</v>
      </c>
      <c r="B4150" s="639">
        <v>1900</v>
      </c>
      <c r="C4150" s="638">
        <v>7451.02</v>
      </c>
      <c r="D4150" s="633">
        <f t="shared" si="132"/>
        <v>7451.02</v>
      </c>
      <c r="E4150" s="608"/>
      <c r="F4150" s="760">
        <f t="shared" si="131"/>
        <v>3143.5478210770452</v>
      </c>
      <c r="M4150" s="443"/>
    </row>
    <row r="4151" spans="1:13">
      <c r="A4151" s="639">
        <v>62113</v>
      </c>
      <c r="B4151" s="639">
        <v>2000</v>
      </c>
      <c r="C4151" s="638">
        <v>7289.8519999999999</v>
      </c>
      <c r="D4151" s="633">
        <f t="shared" si="132"/>
        <v>7289.8519999999999</v>
      </c>
      <c r="E4151" s="608"/>
      <c r="F4151" s="760">
        <f t="shared" si="131"/>
        <v>3075.5518533803615</v>
      </c>
      <c r="M4151" s="443"/>
    </row>
    <row r="4152" spans="1:13">
      <c r="A4152" s="639">
        <v>62113</v>
      </c>
      <c r="B4152" s="639">
        <v>2100</v>
      </c>
      <c r="C4152" s="638">
        <v>7292.6390000000001</v>
      </c>
      <c r="D4152" s="633">
        <f t="shared" si="132"/>
        <v>7292.6390000000001</v>
      </c>
      <c r="E4152" s="608"/>
      <c r="F4152" s="760">
        <f t="shared" si="131"/>
        <v>3076.7276746474286</v>
      </c>
      <c r="M4152" s="443"/>
    </row>
    <row r="4153" spans="1:13">
      <c r="A4153" s="639">
        <v>62113</v>
      </c>
      <c r="B4153" s="639">
        <v>2200</v>
      </c>
      <c r="C4153" s="638">
        <v>6898.4970000000003</v>
      </c>
      <c r="D4153" s="633">
        <f t="shared" si="132"/>
        <v>6898.4970000000003</v>
      </c>
      <c r="E4153" s="608"/>
      <c r="F4153" s="760">
        <f t="shared" si="131"/>
        <v>2910.4411494072669</v>
      </c>
      <c r="M4153" s="443"/>
    </row>
    <row r="4154" spans="1:13">
      <c r="A4154" s="639">
        <v>62113</v>
      </c>
      <c r="B4154" s="639">
        <v>2300</v>
      </c>
      <c r="C4154" s="638">
        <v>6039.585</v>
      </c>
      <c r="D4154" s="633">
        <f t="shared" si="132"/>
        <v>6039.585</v>
      </c>
      <c r="E4154" s="608"/>
      <c r="F4154" s="760">
        <f t="shared" si="131"/>
        <v>2548.0705013487554</v>
      </c>
      <c r="M4154" s="443"/>
    </row>
    <row r="4155" spans="1:13">
      <c r="A4155" s="639">
        <v>62113</v>
      </c>
      <c r="B4155" s="639">
        <v>2400</v>
      </c>
      <c r="C4155" s="638">
        <v>5205.0690000000004</v>
      </c>
      <c r="D4155" s="633">
        <f t="shared" si="132"/>
        <v>5205.0690000000004</v>
      </c>
      <c r="E4155" s="608"/>
      <c r="F4155" s="760">
        <f t="shared" si="131"/>
        <v>2195.9924028529886</v>
      </c>
      <c r="M4155" s="443"/>
    </row>
    <row r="4156" spans="1:13">
      <c r="A4156" s="639">
        <v>62213</v>
      </c>
      <c r="B4156" s="639">
        <v>100</v>
      </c>
      <c r="C4156" s="638">
        <v>4700.5110000000004</v>
      </c>
      <c r="D4156" s="633">
        <f t="shared" si="132"/>
        <v>4700.5110000000004</v>
      </c>
      <c r="E4156" s="608"/>
      <c r="F4156" s="760">
        <f t="shared" si="131"/>
        <v>1983.121923172758</v>
      </c>
      <c r="M4156" s="443"/>
    </row>
    <row r="4157" spans="1:13">
      <c r="A4157" s="639">
        <v>62213</v>
      </c>
      <c r="B4157" s="639">
        <v>200</v>
      </c>
      <c r="C4157" s="638">
        <v>4423.4579999999996</v>
      </c>
      <c r="D4157" s="633">
        <f t="shared" si="132"/>
        <v>4423.4579999999996</v>
      </c>
      <c r="E4157" s="608"/>
      <c r="F4157" s="760">
        <f t="shared" si="131"/>
        <v>1866.2346574731814</v>
      </c>
      <c r="M4157" s="443"/>
    </row>
    <row r="4158" spans="1:13">
      <c r="A4158" s="639">
        <v>62213</v>
      </c>
      <c r="B4158" s="639">
        <v>300</v>
      </c>
      <c r="C4158" s="638">
        <v>4216.3450000000003</v>
      </c>
      <c r="D4158" s="633">
        <f t="shared" si="132"/>
        <v>4216.3450000000003</v>
      </c>
      <c r="E4158" s="608"/>
      <c r="F4158" s="760">
        <f t="shared" si="131"/>
        <v>1778.8547256159688</v>
      </c>
      <c r="M4158" s="443"/>
    </row>
    <row r="4159" spans="1:13">
      <c r="A4159" s="639">
        <v>62213</v>
      </c>
      <c r="B4159" s="639">
        <v>400</v>
      </c>
      <c r="C4159" s="638">
        <v>4176.6459999999997</v>
      </c>
      <c r="D4159" s="633">
        <f t="shared" si="132"/>
        <v>4176.6459999999997</v>
      </c>
      <c r="E4159" s="608"/>
      <c r="F4159" s="760">
        <f t="shared" si="131"/>
        <v>1762.1059174059601</v>
      </c>
      <c r="M4159" s="443"/>
    </row>
    <row r="4160" spans="1:13">
      <c r="A4160" s="639">
        <v>62213</v>
      </c>
      <c r="B4160" s="639">
        <v>500</v>
      </c>
      <c r="C4160" s="638">
        <v>4156.1809999999996</v>
      </c>
      <c r="D4160" s="633">
        <f t="shared" si="132"/>
        <v>4156.1809999999996</v>
      </c>
      <c r="E4160" s="608"/>
      <c r="F4160" s="760">
        <f t="shared" si="131"/>
        <v>1753.471836950084</v>
      </c>
      <c r="M4160" s="443"/>
    </row>
    <row r="4161" spans="1:13">
      <c r="A4161" s="639">
        <v>62213</v>
      </c>
      <c r="B4161" s="639">
        <v>600</v>
      </c>
      <c r="C4161" s="638">
        <v>4363.1009999999997</v>
      </c>
      <c r="D4161" s="633">
        <f t="shared" si="132"/>
        <v>4363.1009999999997</v>
      </c>
      <c r="E4161" s="608"/>
      <c r="F4161" s="760">
        <f t="shared" si="131"/>
        <v>1840.7703430790787</v>
      </c>
      <c r="M4161" s="443"/>
    </row>
    <row r="4162" spans="1:13">
      <c r="A4162" s="639">
        <v>62213</v>
      </c>
      <c r="B4162" s="639">
        <v>700</v>
      </c>
      <c r="C4162" s="638">
        <v>4868.5389999999998</v>
      </c>
      <c r="D4162" s="633">
        <f t="shared" si="132"/>
        <v>4868.5389999999998</v>
      </c>
      <c r="E4162" s="608"/>
      <c r="F4162" s="760">
        <f t="shared" si="131"/>
        <v>2054.0120903283869</v>
      </c>
      <c r="M4162" s="443"/>
    </row>
    <row r="4163" spans="1:13">
      <c r="A4163" s="639">
        <v>62213</v>
      </c>
      <c r="B4163" s="639">
        <v>800</v>
      </c>
      <c r="C4163" s="638">
        <v>5555.7160000000003</v>
      </c>
      <c r="D4163" s="633">
        <f t="shared" si="132"/>
        <v>5555.7160000000003</v>
      </c>
      <c r="E4163" s="608"/>
      <c r="F4163" s="760">
        <f t="shared" si="131"/>
        <v>2343.9286065965302</v>
      </c>
      <c r="M4163" s="443"/>
    </row>
    <row r="4164" spans="1:13">
      <c r="A4164" s="639">
        <v>62213</v>
      </c>
      <c r="B4164" s="639">
        <v>900</v>
      </c>
      <c r="C4164" s="638">
        <v>6005.5</v>
      </c>
      <c r="D4164" s="633">
        <f t="shared" si="132"/>
        <v>6005.5</v>
      </c>
      <c r="E4164" s="608"/>
      <c r="F4164" s="760">
        <f t="shared" ref="F4164:F4227" si="133">(D4164/(MAX($D$3652:$D$4371)))*$M$9</f>
        <v>2533.6902114714758</v>
      </c>
      <c r="M4164" s="443"/>
    </row>
    <row r="4165" spans="1:13">
      <c r="A4165" s="639">
        <v>62213</v>
      </c>
      <c r="B4165" s="639">
        <v>1000</v>
      </c>
      <c r="C4165" s="638">
        <v>6517.7529999999997</v>
      </c>
      <c r="D4165" s="633">
        <f t="shared" ref="D4165:D4228" si="134">C4165</f>
        <v>6517.7529999999997</v>
      </c>
      <c r="E4165" s="608"/>
      <c r="F4165" s="760">
        <f t="shared" si="133"/>
        <v>2749.8071729063099</v>
      </c>
      <c r="M4165" s="443"/>
    </row>
    <row r="4166" spans="1:13">
      <c r="A4166" s="639">
        <v>62213</v>
      </c>
      <c r="B4166" s="639">
        <v>1100</v>
      </c>
      <c r="C4166" s="638">
        <v>6676.3819999999996</v>
      </c>
      <c r="D4166" s="633">
        <f t="shared" si="134"/>
        <v>6676.3819999999996</v>
      </c>
      <c r="E4166" s="608"/>
      <c r="F4166" s="760">
        <f t="shared" si="133"/>
        <v>2816.731949287212</v>
      </c>
      <c r="M4166" s="443"/>
    </row>
    <row r="4167" spans="1:13">
      <c r="A4167" s="639">
        <v>62213</v>
      </c>
      <c r="B4167" s="639">
        <v>1200</v>
      </c>
      <c r="C4167" s="638">
        <v>6782.9229999999998</v>
      </c>
      <c r="D4167" s="633">
        <f t="shared" si="134"/>
        <v>6782.9229999999998</v>
      </c>
      <c r="E4167" s="608"/>
      <c r="F4167" s="760">
        <f t="shared" si="133"/>
        <v>2861.6810607384459</v>
      </c>
      <c r="M4167" s="443"/>
    </row>
    <row r="4168" spans="1:13">
      <c r="A4168" s="639">
        <v>62213</v>
      </c>
      <c r="B4168" s="639">
        <v>1300</v>
      </c>
      <c r="C4168" s="638">
        <v>6866.5150000000003</v>
      </c>
      <c r="D4168" s="633">
        <f t="shared" si="134"/>
        <v>6866.5150000000003</v>
      </c>
      <c r="E4168" s="608"/>
      <c r="F4168" s="760">
        <f t="shared" si="133"/>
        <v>2896.9481046410892</v>
      </c>
      <c r="M4168" s="443"/>
    </row>
    <row r="4169" spans="1:13">
      <c r="A4169" s="639">
        <v>62213</v>
      </c>
      <c r="B4169" s="639">
        <v>1400</v>
      </c>
      <c r="C4169" s="638">
        <v>6688.558</v>
      </c>
      <c r="D4169" s="633">
        <f t="shared" si="134"/>
        <v>6688.558</v>
      </c>
      <c r="E4169" s="608"/>
      <c r="F4169" s="760">
        <f t="shared" si="133"/>
        <v>2821.8689423793576</v>
      </c>
      <c r="M4169" s="443"/>
    </row>
    <row r="4170" spans="1:13">
      <c r="A4170" s="639">
        <v>62213</v>
      </c>
      <c r="B4170" s="639">
        <v>1500</v>
      </c>
      <c r="C4170" s="638">
        <v>6783.4679999999998</v>
      </c>
      <c r="D4170" s="633">
        <f t="shared" si="134"/>
        <v>6783.4679999999998</v>
      </c>
      <c r="E4170" s="608"/>
      <c r="F4170" s="760">
        <f t="shared" si="133"/>
        <v>2861.9109934942953</v>
      </c>
      <c r="M4170" s="443"/>
    </row>
    <row r="4171" spans="1:13">
      <c r="A4171" s="639">
        <v>62213</v>
      </c>
      <c r="B4171" s="639">
        <v>1600</v>
      </c>
      <c r="C4171" s="638">
        <v>7428.9989999999998</v>
      </c>
      <c r="D4171" s="633">
        <f t="shared" si="134"/>
        <v>7428.9989999999998</v>
      </c>
      <c r="E4171" s="608"/>
      <c r="F4171" s="760">
        <f t="shared" si="133"/>
        <v>3134.2572720558455</v>
      </c>
      <c r="M4171" s="443"/>
    </row>
    <row r="4172" spans="1:13">
      <c r="A4172" s="639">
        <v>62213</v>
      </c>
      <c r="B4172" s="639">
        <v>1700</v>
      </c>
      <c r="C4172" s="638">
        <v>7965.549</v>
      </c>
      <c r="D4172" s="633">
        <f t="shared" si="134"/>
        <v>7965.549</v>
      </c>
      <c r="E4172" s="608"/>
      <c r="F4172" s="760">
        <f t="shared" si="133"/>
        <v>3360.625015451903</v>
      </c>
      <c r="M4172" s="443"/>
    </row>
    <row r="4173" spans="1:13">
      <c r="A4173" s="639">
        <v>62213</v>
      </c>
      <c r="B4173" s="639">
        <v>1800</v>
      </c>
      <c r="C4173" s="638">
        <v>8089.808</v>
      </c>
      <c r="D4173" s="633">
        <f t="shared" si="134"/>
        <v>8089.808</v>
      </c>
      <c r="E4173" s="608"/>
      <c r="F4173" s="760">
        <f t="shared" si="133"/>
        <v>3413.04926189054</v>
      </c>
      <c r="M4173" s="443"/>
    </row>
    <row r="4174" spans="1:13">
      <c r="A4174" s="639">
        <v>62213</v>
      </c>
      <c r="B4174" s="639">
        <v>1900</v>
      </c>
      <c r="C4174" s="638">
        <v>8050.085</v>
      </c>
      <c r="D4174" s="633">
        <f t="shared" si="134"/>
        <v>8050.085</v>
      </c>
      <c r="E4174" s="608"/>
      <c r="F4174" s="760">
        <f t="shared" si="133"/>
        <v>3396.2903282013745</v>
      </c>
      <c r="M4174" s="443"/>
    </row>
    <row r="4175" spans="1:13">
      <c r="A4175" s="639">
        <v>62213</v>
      </c>
      <c r="B4175" s="639">
        <v>2000</v>
      </c>
      <c r="C4175" s="638">
        <v>8057.7219999999998</v>
      </c>
      <c r="D4175" s="633">
        <f t="shared" si="134"/>
        <v>8057.7219999999998</v>
      </c>
      <c r="E4175" s="608"/>
      <c r="F4175" s="760">
        <f t="shared" si="133"/>
        <v>3399.5123400480161</v>
      </c>
      <c r="M4175" s="443"/>
    </row>
    <row r="4176" spans="1:13">
      <c r="A4176" s="639">
        <v>62213</v>
      </c>
      <c r="B4176" s="639">
        <v>2100</v>
      </c>
      <c r="C4176" s="638">
        <v>8187.0839999999998</v>
      </c>
      <c r="D4176" s="633">
        <f t="shared" si="134"/>
        <v>8187.0839999999998</v>
      </c>
      <c r="E4176" s="608"/>
      <c r="F4176" s="760">
        <f t="shared" si="133"/>
        <v>3454.0895164923377</v>
      </c>
      <c r="M4176" s="443"/>
    </row>
    <row r="4177" spans="1:13">
      <c r="A4177" s="639">
        <v>62213</v>
      </c>
      <c r="B4177" s="639">
        <v>2200</v>
      </c>
      <c r="C4177" s="638">
        <v>7653.2209999999995</v>
      </c>
      <c r="D4177" s="633">
        <f t="shared" si="134"/>
        <v>7653.2209999999995</v>
      </c>
      <c r="E4177" s="608"/>
      <c r="F4177" s="760">
        <f t="shared" si="133"/>
        <v>3228.8554048668616</v>
      </c>
      <c r="M4177" s="443"/>
    </row>
    <row r="4178" spans="1:13">
      <c r="A4178" s="639">
        <v>62213</v>
      </c>
      <c r="B4178" s="639">
        <v>2300</v>
      </c>
      <c r="C4178" s="638">
        <v>6744.7259999999997</v>
      </c>
      <c r="D4178" s="633">
        <f t="shared" si="134"/>
        <v>6744.7259999999997</v>
      </c>
      <c r="E4178" s="608"/>
      <c r="F4178" s="760">
        <f t="shared" si="133"/>
        <v>2845.5659387656583</v>
      </c>
      <c r="M4178" s="443"/>
    </row>
    <row r="4179" spans="1:13">
      <c r="A4179" s="639">
        <v>62213</v>
      </c>
      <c r="B4179" s="639">
        <v>2400</v>
      </c>
      <c r="C4179" s="638">
        <v>5913.7979999999998</v>
      </c>
      <c r="D4179" s="633">
        <f t="shared" si="134"/>
        <v>5913.7979999999998</v>
      </c>
      <c r="E4179" s="608"/>
      <c r="F4179" s="760">
        <f t="shared" si="133"/>
        <v>2495.0015994038117</v>
      </c>
      <c r="M4179" s="443"/>
    </row>
    <row r="4180" spans="1:13">
      <c r="A4180" s="639">
        <v>62313</v>
      </c>
      <c r="B4180" s="639">
        <v>100</v>
      </c>
      <c r="C4180" s="638">
        <v>5248.8050000000003</v>
      </c>
      <c r="D4180" s="633">
        <f t="shared" si="134"/>
        <v>5248.8050000000003</v>
      </c>
      <c r="E4180" s="608"/>
      <c r="F4180" s="760">
        <f t="shared" si="133"/>
        <v>2214.4444010361403</v>
      </c>
      <c r="M4180" s="443"/>
    </row>
    <row r="4181" spans="1:13">
      <c r="A4181" s="639">
        <v>62313</v>
      </c>
      <c r="B4181" s="639">
        <v>200</v>
      </c>
      <c r="C4181" s="638">
        <v>4819.875</v>
      </c>
      <c r="D4181" s="633">
        <f t="shared" si="134"/>
        <v>4819.875</v>
      </c>
      <c r="E4181" s="608"/>
      <c r="F4181" s="760">
        <f t="shared" si="133"/>
        <v>2033.4809937584014</v>
      </c>
      <c r="M4181" s="443"/>
    </row>
    <row r="4182" spans="1:13">
      <c r="A4182" s="639">
        <v>62313</v>
      </c>
      <c r="B4182" s="639">
        <v>300</v>
      </c>
      <c r="C4182" s="638">
        <v>4561.5839999999998</v>
      </c>
      <c r="D4182" s="633">
        <f t="shared" si="134"/>
        <v>4561.5839999999998</v>
      </c>
      <c r="E4182" s="608"/>
      <c r="F4182" s="760">
        <f t="shared" si="133"/>
        <v>1924.5093213895429</v>
      </c>
      <c r="M4182" s="443"/>
    </row>
    <row r="4183" spans="1:13">
      <c r="A4183" s="639">
        <v>62313</v>
      </c>
      <c r="B4183" s="639">
        <v>400</v>
      </c>
      <c r="C4183" s="638">
        <v>4361.2250000000004</v>
      </c>
      <c r="D4183" s="633">
        <f t="shared" si="134"/>
        <v>4361.2250000000004</v>
      </c>
      <c r="E4183" s="608"/>
      <c r="F4183" s="760">
        <f t="shared" si="133"/>
        <v>1839.978868125</v>
      </c>
      <c r="M4183" s="443"/>
    </row>
    <row r="4184" spans="1:13">
      <c r="A4184" s="639">
        <v>62313</v>
      </c>
      <c r="B4184" s="639">
        <v>500</v>
      </c>
      <c r="C4184" s="638">
        <v>4306.0469999999996</v>
      </c>
      <c r="D4184" s="633">
        <f t="shared" si="134"/>
        <v>4306.0469999999996</v>
      </c>
      <c r="E4184" s="608"/>
      <c r="F4184" s="760">
        <f t="shared" si="133"/>
        <v>1816.6995477539112</v>
      </c>
      <c r="M4184" s="443"/>
    </row>
    <row r="4185" spans="1:13">
      <c r="A4185" s="639">
        <v>62313</v>
      </c>
      <c r="B4185" s="639">
        <v>600</v>
      </c>
      <c r="C4185" s="638">
        <v>4431.1509999999998</v>
      </c>
      <c r="D4185" s="633">
        <f t="shared" si="134"/>
        <v>4431.1509999999998</v>
      </c>
      <c r="E4185" s="608"/>
      <c r="F4185" s="760">
        <f t="shared" si="133"/>
        <v>1869.4802954378554</v>
      </c>
      <c r="M4185" s="443"/>
    </row>
    <row r="4186" spans="1:13">
      <c r="A4186" s="639">
        <v>62313</v>
      </c>
      <c r="B4186" s="639">
        <v>700</v>
      </c>
      <c r="C4186" s="638">
        <v>4939.2</v>
      </c>
      <c r="D4186" s="633">
        <f t="shared" si="134"/>
        <v>4939.2</v>
      </c>
      <c r="E4186" s="608"/>
      <c r="F4186" s="760">
        <f t="shared" si="133"/>
        <v>2083.823610440415</v>
      </c>
      <c r="M4186" s="443"/>
    </row>
    <row r="4187" spans="1:13">
      <c r="A4187" s="639">
        <v>62313</v>
      </c>
      <c r="B4187" s="639">
        <v>800</v>
      </c>
      <c r="C4187" s="638">
        <v>5845.357</v>
      </c>
      <c r="D4187" s="633">
        <f t="shared" si="134"/>
        <v>5845.357</v>
      </c>
      <c r="E4187" s="608"/>
      <c r="F4187" s="760">
        <f t="shared" si="133"/>
        <v>2466.1266861137742</v>
      </c>
      <c r="M4187" s="443"/>
    </row>
    <row r="4188" spans="1:13">
      <c r="A4188" s="639">
        <v>62313</v>
      </c>
      <c r="B4188" s="639">
        <v>900</v>
      </c>
      <c r="C4188" s="638">
        <v>6947.7139999999999</v>
      </c>
      <c r="D4188" s="633">
        <f t="shared" si="134"/>
        <v>6947.7139999999999</v>
      </c>
      <c r="E4188" s="608"/>
      <c r="F4188" s="760">
        <f t="shared" si="133"/>
        <v>2931.2055538928207</v>
      </c>
      <c r="M4188" s="443"/>
    </row>
    <row r="4189" spans="1:13">
      <c r="A4189" s="639">
        <v>62313</v>
      </c>
      <c r="B4189" s="639">
        <v>1000</v>
      </c>
      <c r="C4189" s="638">
        <v>7941.0169999999998</v>
      </c>
      <c r="D4189" s="633">
        <f t="shared" si="134"/>
        <v>7941.0169999999998</v>
      </c>
      <c r="E4189" s="608"/>
      <c r="F4189" s="760">
        <f t="shared" si="133"/>
        <v>3350.275088173938</v>
      </c>
      <c r="M4189" s="443"/>
    </row>
    <row r="4190" spans="1:13">
      <c r="A4190" s="639">
        <v>62313</v>
      </c>
      <c r="B4190" s="639">
        <v>1100</v>
      </c>
      <c r="C4190" s="638">
        <v>8647.94</v>
      </c>
      <c r="D4190" s="633">
        <f t="shared" si="134"/>
        <v>8647.94</v>
      </c>
      <c r="E4190" s="608"/>
      <c r="F4190" s="760">
        <f t="shared" si="133"/>
        <v>3648.5223424182223</v>
      </c>
      <c r="M4190" s="443"/>
    </row>
    <row r="4191" spans="1:13">
      <c r="A4191" s="639">
        <v>62313</v>
      </c>
      <c r="B4191" s="639">
        <v>1200</v>
      </c>
      <c r="C4191" s="638">
        <v>9032.9269999999997</v>
      </c>
      <c r="D4191" s="633">
        <f t="shared" si="134"/>
        <v>9032.9269999999997</v>
      </c>
      <c r="E4191" s="608"/>
      <c r="F4191" s="760">
        <f t="shared" si="133"/>
        <v>3810.9464192550831</v>
      </c>
      <c r="M4191" s="443"/>
    </row>
    <row r="4192" spans="1:13">
      <c r="A4192" s="639">
        <v>62313</v>
      </c>
      <c r="B4192" s="639">
        <v>1300</v>
      </c>
      <c r="C4192" s="638">
        <v>9249.83</v>
      </c>
      <c r="D4192" s="633">
        <f t="shared" si="134"/>
        <v>9249.83</v>
      </c>
      <c r="E4192" s="608"/>
      <c r="F4192" s="760">
        <f t="shared" si="133"/>
        <v>3902.4567028182837</v>
      </c>
      <c r="M4192" s="443"/>
    </row>
    <row r="4193" spans="1:13">
      <c r="A4193" s="639">
        <v>62313</v>
      </c>
      <c r="B4193" s="639">
        <v>1400</v>
      </c>
      <c r="C4193" s="638">
        <v>9386.009</v>
      </c>
      <c r="D4193" s="633">
        <f t="shared" si="134"/>
        <v>9386.009</v>
      </c>
      <c r="E4193" s="608"/>
      <c r="F4193" s="760">
        <f t="shared" si="133"/>
        <v>3959.909937238061</v>
      </c>
      <c r="M4193" s="443"/>
    </row>
    <row r="4194" spans="1:13">
      <c r="A4194" s="639">
        <v>62313</v>
      </c>
      <c r="B4194" s="639">
        <v>1500</v>
      </c>
      <c r="C4194" s="638">
        <v>9703.2659999999996</v>
      </c>
      <c r="D4194" s="633">
        <f t="shared" si="134"/>
        <v>9703.2659999999996</v>
      </c>
      <c r="E4194" s="608"/>
      <c r="F4194" s="760">
        <f t="shared" si="133"/>
        <v>4093.7590681049005</v>
      </c>
      <c r="M4194" s="443"/>
    </row>
    <row r="4195" spans="1:13">
      <c r="A4195" s="639">
        <v>62313</v>
      </c>
      <c r="B4195" s="639">
        <v>1600</v>
      </c>
      <c r="C4195" s="638">
        <v>10017.696</v>
      </c>
      <c r="D4195" s="633">
        <f t="shared" si="134"/>
        <v>10017.696</v>
      </c>
      <c r="E4195" s="608"/>
      <c r="F4195" s="760">
        <f t="shared" si="133"/>
        <v>4226.415501906079</v>
      </c>
      <c r="M4195" s="443"/>
    </row>
    <row r="4196" spans="1:13">
      <c r="A4196" s="639">
        <v>62313</v>
      </c>
      <c r="B4196" s="639">
        <v>1700</v>
      </c>
      <c r="C4196" s="638">
        <v>10492.739</v>
      </c>
      <c r="D4196" s="633">
        <f t="shared" si="134"/>
        <v>10492.739</v>
      </c>
      <c r="E4196" s="608"/>
      <c r="F4196" s="760">
        <f t="shared" si="133"/>
        <v>4426.8337516984429</v>
      </c>
      <c r="M4196" s="443"/>
    </row>
    <row r="4197" spans="1:13">
      <c r="A4197" s="639">
        <v>62313</v>
      </c>
      <c r="B4197" s="639">
        <v>1800</v>
      </c>
      <c r="C4197" s="638">
        <v>10615.638000000001</v>
      </c>
      <c r="D4197" s="633">
        <f t="shared" si="134"/>
        <v>10615.638000000001</v>
      </c>
      <c r="E4197" s="608"/>
      <c r="F4197" s="760">
        <f t="shared" si="133"/>
        <v>4478.6842209848701</v>
      </c>
      <c r="M4197" s="443"/>
    </row>
    <row r="4198" spans="1:13">
      <c r="A4198" s="639">
        <v>62313</v>
      </c>
      <c r="B4198" s="639">
        <v>1900</v>
      </c>
      <c r="C4198" s="638">
        <v>10511.934999999999</v>
      </c>
      <c r="D4198" s="633">
        <f t="shared" si="134"/>
        <v>10511.934999999999</v>
      </c>
      <c r="E4198" s="608"/>
      <c r="F4198" s="760">
        <f t="shared" si="133"/>
        <v>4434.9324474439109</v>
      </c>
      <c r="M4198" s="443"/>
    </row>
    <row r="4199" spans="1:13">
      <c r="A4199" s="639">
        <v>62313</v>
      </c>
      <c r="B4199" s="639">
        <v>2000</v>
      </c>
      <c r="C4199" s="638">
        <v>10308.789000000001</v>
      </c>
      <c r="D4199" s="633">
        <f t="shared" si="134"/>
        <v>10308.789000000001</v>
      </c>
      <c r="E4199" s="608"/>
      <c r="F4199" s="760">
        <f t="shared" si="133"/>
        <v>4349.2261729123011</v>
      </c>
      <c r="M4199" s="443"/>
    </row>
    <row r="4200" spans="1:13">
      <c r="A4200" s="639">
        <v>62313</v>
      </c>
      <c r="B4200" s="639">
        <v>2100</v>
      </c>
      <c r="C4200" s="638">
        <v>10272.019</v>
      </c>
      <c r="D4200" s="633">
        <f t="shared" si="134"/>
        <v>10272.019</v>
      </c>
      <c r="E4200" s="608"/>
      <c r="F4200" s="760">
        <f t="shared" si="133"/>
        <v>4333.7130950543697</v>
      </c>
      <c r="M4200" s="443"/>
    </row>
    <row r="4201" spans="1:13">
      <c r="A4201" s="639">
        <v>62313</v>
      </c>
      <c r="B4201" s="639">
        <v>2200</v>
      </c>
      <c r="C4201" s="638">
        <v>9512.1810000000005</v>
      </c>
      <c r="D4201" s="633">
        <f t="shared" si="134"/>
        <v>9512.1810000000005</v>
      </c>
      <c r="E4201" s="608"/>
      <c r="F4201" s="760">
        <f t="shared" si="133"/>
        <v>4013.1412687444767</v>
      </c>
      <c r="M4201" s="443"/>
    </row>
    <row r="4202" spans="1:13">
      <c r="A4202" s="639">
        <v>62313</v>
      </c>
      <c r="B4202" s="639">
        <v>2300</v>
      </c>
      <c r="C4202" s="638">
        <v>8095.5680000000002</v>
      </c>
      <c r="D4202" s="633">
        <f t="shared" si="134"/>
        <v>8095.5680000000002</v>
      </c>
      <c r="E4202" s="608"/>
      <c r="F4202" s="760">
        <f t="shared" si="133"/>
        <v>3415.4793768881377</v>
      </c>
      <c r="M4202" s="443"/>
    </row>
    <row r="4203" spans="1:13">
      <c r="A4203" s="639">
        <v>62313</v>
      </c>
      <c r="B4203" s="639">
        <v>2400</v>
      </c>
      <c r="C4203" s="638">
        <v>6968.5349999999999</v>
      </c>
      <c r="D4203" s="633">
        <f t="shared" si="134"/>
        <v>6968.5349999999999</v>
      </c>
      <c r="E4203" s="608"/>
      <c r="F4203" s="760">
        <f t="shared" si="133"/>
        <v>2939.989828956187</v>
      </c>
      <c r="M4203" s="443"/>
    </row>
    <row r="4204" spans="1:13">
      <c r="A4204" s="639">
        <v>62413</v>
      </c>
      <c r="B4204" s="639">
        <v>100</v>
      </c>
      <c r="C4204" s="638">
        <v>6253.9229999999998</v>
      </c>
      <c r="D4204" s="633">
        <f t="shared" si="134"/>
        <v>6253.9229999999998</v>
      </c>
      <c r="E4204" s="608"/>
      <c r="F4204" s="760">
        <f t="shared" si="133"/>
        <v>2638.4986243270878</v>
      </c>
      <c r="M4204" s="443"/>
    </row>
    <row r="4205" spans="1:13">
      <c r="A4205" s="639">
        <v>62413</v>
      </c>
      <c r="B4205" s="639">
        <v>200</v>
      </c>
      <c r="C4205" s="638">
        <v>5825.8879999999999</v>
      </c>
      <c r="D4205" s="633">
        <f t="shared" si="134"/>
        <v>5825.8879999999999</v>
      </c>
      <c r="E4205" s="608"/>
      <c r="F4205" s="760">
        <f t="shared" si="133"/>
        <v>2457.9128130428994</v>
      </c>
      <c r="M4205" s="443"/>
    </row>
    <row r="4206" spans="1:13">
      <c r="A4206" s="639">
        <v>62413</v>
      </c>
      <c r="B4206" s="639">
        <v>300</v>
      </c>
      <c r="C4206" s="638">
        <v>5458.5619999999999</v>
      </c>
      <c r="D4206" s="633">
        <f t="shared" si="134"/>
        <v>5458.5619999999999</v>
      </c>
      <c r="E4206" s="608"/>
      <c r="F4206" s="760">
        <f t="shared" si="133"/>
        <v>2302.9398231804448</v>
      </c>
      <c r="M4206" s="443"/>
    </row>
    <row r="4207" spans="1:13">
      <c r="A4207" s="639">
        <v>62413</v>
      </c>
      <c r="B4207" s="639">
        <v>400</v>
      </c>
      <c r="C4207" s="638">
        <v>5318.8019999999997</v>
      </c>
      <c r="D4207" s="633">
        <f t="shared" si="134"/>
        <v>5318.8019999999997</v>
      </c>
      <c r="E4207" s="608"/>
      <c r="F4207" s="760">
        <f t="shared" si="133"/>
        <v>2243.9757828915008</v>
      </c>
      <c r="M4207" s="443"/>
    </row>
    <row r="4208" spans="1:13">
      <c r="A4208" s="639">
        <v>62413</v>
      </c>
      <c r="B4208" s="639">
        <v>500</v>
      </c>
      <c r="C4208" s="638">
        <v>5430.89</v>
      </c>
      <c r="D4208" s="633">
        <f t="shared" si="134"/>
        <v>5430.89</v>
      </c>
      <c r="E4208" s="608"/>
      <c r="F4208" s="760">
        <f t="shared" si="133"/>
        <v>2291.2651457128172</v>
      </c>
      <c r="M4208" s="443"/>
    </row>
    <row r="4209" spans="1:13">
      <c r="A4209" s="639">
        <v>62413</v>
      </c>
      <c r="B4209" s="639">
        <v>600</v>
      </c>
      <c r="C4209" s="638">
        <v>5857.6719999999996</v>
      </c>
      <c r="D4209" s="633">
        <f t="shared" si="134"/>
        <v>5857.6719999999996</v>
      </c>
      <c r="E4209" s="608"/>
      <c r="F4209" s="760">
        <f t="shared" si="133"/>
        <v>2471.3223226060345</v>
      </c>
      <c r="M4209" s="443"/>
    </row>
    <row r="4210" spans="1:13">
      <c r="A4210" s="639">
        <v>62413</v>
      </c>
      <c r="B4210" s="639">
        <v>700</v>
      </c>
      <c r="C4210" s="638">
        <v>6746.6610000000001</v>
      </c>
      <c r="D4210" s="633">
        <f t="shared" si="134"/>
        <v>6746.6610000000001</v>
      </c>
      <c r="E4210" s="608"/>
      <c r="F4210" s="760">
        <f t="shared" si="133"/>
        <v>2846.382305522664</v>
      </c>
      <c r="M4210" s="443"/>
    </row>
    <row r="4211" spans="1:13">
      <c r="A4211" s="639">
        <v>62413</v>
      </c>
      <c r="B4211" s="639">
        <v>800</v>
      </c>
      <c r="C4211" s="638">
        <v>7387.34</v>
      </c>
      <c r="D4211" s="633">
        <f t="shared" si="134"/>
        <v>7387.34</v>
      </c>
      <c r="E4211" s="608"/>
      <c r="F4211" s="760">
        <f t="shared" si="133"/>
        <v>3116.6815497147104</v>
      </c>
      <c r="M4211" s="443"/>
    </row>
    <row r="4212" spans="1:13">
      <c r="A4212" s="639">
        <v>62413</v>
      </c>
      <c r="B4212" s="639">
        <v>900</v>
      </c>
      <c r="C4212" s="638">
        <v>7718.31</v>
      </c>
      <c r="D4212" s="633">
        <f t="shared" si="134"/>
        <v>7718.31</v>
      </c>
      <c r="E4212" s="608"/>
      <c r="F4212" s="760">
        <f t="shared" si="133"/>
        <v>3256.3161262346862</v>
      </c>
      <c r="M4212" s="443"/>
    </row>
    <row r="4213" spans="1:13">
      <c r="A4213" s="639">
        <v>62413</v>
      </c>
      <c r="B4213" s="639">
        <v>1000</v>
      </c>
      <c r="C4213" s="638">
        <v>8242.1910000000007</v>
      </c>
      <c r="D4213" s="633">
        <f t="shared" si="134"/>
        <v>8242.1910000000007</v>
      </c>
      <c r="E4213" s="608"/>
      <c r="F4213" s="760">
        <f t="shared" si="133"/>
        <v>3477.338882320922</v>
      </c>
      <c r="M4213" s="443"/>
    </row>
    <row r="4214" spans="1:13">
      <c r="A4214" s="639">
        <v>62413</v>
      </c>
      <c r="B4214" s="639">
        <v>1100</v>
      </c>
      <c r="C4214" s="638">
        <v>8814.9110000000001</v>
      </c>
      <c r="D4214" s="633">
        <f t="shared" si="134"/>
        <v>8814.9110000000001</v>
      </c>
      <c r="E4214" s="608"/>
      <c r="F4214" s="760">
        <f t="shared" si="133"/>
        <v>3718.9665665959938</v>
      </c>
      <c r="M4214" s="443"/>
    </row>
    <row r="4215" spans="1:13">
      <c r="A4215" s="639">
        <v>62413</v>
      </c>
      <c r="B4215" s="639">
        <v>1200</v>
      </c>
      <c r="C4215" s="638">
        <v>9248.0570000000007</v>
      </c>
      <c r="D4215" s="633">
        <f t="shared" si="134"/>
        <v>9248.0570000000007</v>
      </c>
      <c r="E4215" s="608"/>
      <c r="F4215" s="760">
        <f t="shared" si="133"/>
        <v>3901.7086830455855</v>
      </c>
      <c r="M4215" s="443"/>
    </row>
    <row r="4216" spans="1:13">
      <c r="A4216" s="639">
        <v>62413</v>
      </c>
      <c r="B4216" s="639">
        <v>1300</v>
      </c>
      <c r="C4216" s="638">
        <v>9398.5139999999992</v>
      </c>
      <c r="D4216" s="633">
        <f t="shared" si="134"/>
        <v>9398.5139999999992</v>
      </c>
      <c r="E4216" s="608"/>
      <c r="F4216" s="760">
        <f t="shared" si="133"/>
        <v>3965.1857337736451</v>
      </c>
      <c r="M4216" s="443"/>
    </row>
    <row r="4217" spans="1:13">
      <c r="A4217" s="639">
        <v>62413</v>
      </c>
      <c r="B4217" s="639">
        <v>1400</v>
      </c>
      <c r="C4217" s="638">
        <v>9476.482</v>
      </c>
      <c r="D4217" s="633">
        <f t="shared" si="134"/>
        <v>9476.482</v>
      </c>
      <c r="E4217" s="608"/>
      <c r="F4217" s="760">
        <f t="shared" si="133"/>
        <v>3998.0800403939115</v>
      </c>
      <c r="M4217" s="443"/>
    </row>
    <row r="4218" spans="1:13">
      <c r="A4218" s="639">
        <v>62413</v>
      </c>
      <c r="B4218" s="639">
        <v>1500</v>
      </c>
      <c r="C4218" s="638">
        <v>9681.5750000000007</v>
      </c>
      <c r="D4218" s="633">
        <f t="shared" si="134"/>
        <v>9681.5750000000007</v>
      </c>
      <c r="E4218" s="608"/>
      <c r="F4218" s="760">
        <f t="shared" si="133"/>
        <v>4084.6077444221055</v>
      </c>
      <c r="M4218" s="443"/>
    </row>
    <row r="4219" spans="1:13">
      <c r="A4219" s="639">
        <v>62413</v>
      </c>
      <c r="B4219" s="639">
        <v>1600</v>
      </c>
      <c r="C4219" s="638">
        <v>10130.989</v>
      </c>
      <c r="D4219" s="633">
        <f t="shared" si="134"/>
        <v>10130.989</v>
      </c>
      <c r="E4219" s="608"/>
      <c r="F4219" s="760">
        <f t="shared" si="133"/>
        <v>4274.213248160052</v>
      </c>
      <c r="M4219" s="443"/>
    </row>
    <row r="4220" spans="1:13">
      <c r="A4220" s="639">
        <v>62413</v>
      </c>
      <c r="B4220" s="639">
        <v>1700</v>
      </c>
      <c r="C4220" s="638">
        <v>10600.529</v>
      </c>
      <c r="D4220" s="633">
        <f t="shared" si="134"/>
        <v>10600.529</v>
      </c>
      <c r="E4220" s="608"/>
      <c r="F4220" s="760">
        <f t="shared" si="133"/>
        <v>4472.3098099607878</v>
      </c>
      <c r="M4220" s="443"/>
    </row>
    <row r="4221" spans="1:13">
      <c r="A4221" s="639">
        <v>62413</v>
      </c>
      <c r="B4221" s="639">
        <v>1800</v>
      </c>
      <c r="C4221" s="638">
        <v>10728.682000000001</v>
      </c>
      <c r="D4221" s="633">
        <f t="shared" si="134"/>
        <v>10728.682000000001</v>
      </c>
      <c r="E4221" s="608"/>
      <c r="F4221" s="760">
        <f t="shared" si="133"/>
        <v>4526.3769153925932</v>
      </c>
      <c r="M4221" s="443"/>
    </row>
    <row r="4222" spans="1:13">
      <c r="A4222" s="639">
        <v>62413</v>
      </c>
      <c r="B4222" s="639">
        <v>1900</v>
      </c>
      <c r="C4222" s="638">
        <v>10777.628000000001</v>
      </c>
      <c r="D4222" s="633">
        <f t="shared" si="134"/>
        <v>10777.628000000001</v>
      </c>
      <c r="E4222" s="608"/>
      <c r="F4222" s="760">
        <f t="shared" si="133"/>
        <v>4547.0269863426693</v>
      </c>
      <c r="M4222" s="443"/>
    </row>
    <row r="4223" spans="1:13">
      <c r="A4223" s="639">
        <v>62413</v>
      </c>
      <c r="B4223" s="639">
        <v>2000</v>
      </c>
      <c r="C4223" s="638">
        <v>10673.282999999999</v>
      </c>
      <c r="D4223" s="633">
        <f t="shared" si="134"/>
        <v>10673.282999999999</v>
      </c>
      <c r="E4223" s="608"/>
      <c r="F4223" s="760">
        <f t="shared" si="133"/>
        <v>4503.0043562342698</v>
      </c>
      <c r="M4223" s="443"/>
    </row>
    <row r="4224" spans="1:13">
      <c r="A4224" s="639">
        <v>62413</v>
      </c>
      <c r="B4224" s="639">
        <v>2100</v>
      </c>
      <c r="C4224" s="638">
        <v>10718.311</v>
      </c>
      <c r="D4224" s="633">
        <f t="shared" si="134"/>
        <v>10718.311</v>
      </c>
      <c r="E4224" s="608"/>
      <c r="F4224" s="760">
        <f t="shared" si="133"/>
        <v>4522.0014427120213</v>
      </c>
      <c r="M4224" s="443"/>
    </row>
    <row r="4225" spans="1:13">
      <c r="A4225" s="639">
        <v>62413</v>
      </c>
      <c r="B4225" s="639">
        <v>2200</v>
      </c>
      <c r="C4225" s="638">
        <v>9887.3709999999992</v>
      </c>
      <c r="D4225" s="633">
        <f t="shared" si="134"/>
        <v>9887.3709999999992</v>
      </c>
      <c r="E4225" s="608"/>
      <c r="F4225" s="760">
        <f t="shared" si="133"/>
        <v>4171.4320406105962</v>
      </c>
      <c r="M4225" s="443"/>
    </row>
    <row r="4226" spans="1:13">
      <c r="A4226" s="639">
        <v>62413</v>
      </c>
      <c r="B4226" s="639">
        <v>2300</v>
      </c>
      <c r="C4226" s="638">
        <v>8484.5820000000003</v>
      </c>
      <c r="D4226" s="633">
        <f t="shared" si="134"/>
        <v>8484.5820000000003</v>
      </c>
      <c r="E4226" s="608"/>
      <c r="F4226" s="760">
        <f t="shared" si="133"/>
        <v>3579.6024247484934</v>
      </c>
      <c r="M4226" s="443"/>
    </row>
    <row r="4227" spans="1:13">
      <c r="A4227" s="639">
        <v>62413</v>
      </c>
      <c r="B4227" s="639">
        <v>2400</v>
      </c>
      <c r="C4227" s="638">
        <v>7318.3050000000003</v>
      </c>
      <c r="D4227" s="633">
        <f t="shared" si="134"/>
        <v>7318.3050000000003</v>
      </c>
      <c r="E4227" s="608"/>
      <c r="F4227" s="760">
        <f t="shared" si="133"/>
        <v>3087.5560308155455</v>
      </c>
      <c r="M4227" s="443"/>
    </row>
    <row r="4228" spans="1:13">
      <c r="A4228" s="639">
        <v>62513</v>
      </c>
      <c r="B4228" s="639">
        <v>100</v>
      </c>
      <c r="C4228" s="638">
        <v>6583.9979999999996</v>
      </c>
      <c r="D4228" s="633">
        <f t="shared" si="134"/>
        <v>6583.9979999999996</v>
      </c>
      <c r="E4228" s="608"/>
      <c r="F4228" s="760">
        <f t="shared" ref="F4228:F4291" si="135">(D4228/(MAX($D$3652:$D$4371)))*$M$9</f>
        <v>2777.7556048535134</v>
      </c>
      <c r="M4228" s="443"/>
    </row>
    <row r="4229" spans="1:13">
      <c r="A4229" s="639">
        <v>62513</v>
      </c>
      <c r="B4229" s="639">
        <v>200</v>
      </c>
      <c r="C4229" s="638">
        <v>6089.277</v>
      </c>
      <c r="D4229" s="633">
        <f t="shared" ref="D4229:D4292" si="136">C4229</f>
        <v>6089.277</v>
      </c>
      <c r="E4229" s="608"/>
      <c r="F4229" s="760">
        <f t="shared" si="135"/>
        <v>2569.0353059426184</v>
      </c>
      <c r="M4229" s="443"/>
    </row>
    <row r="4230" spans="1:13">
      <c r="A4230" s="639">
        <v>62513</v>
      </c>
      <c r="B4230" s="639">
        <v>300</v>
      </c>
      <c r="C4230" s="638">
        <v>5692.2969999999996</v>
      </c>
      <c r="D4230" s="633">
        <f t="shared" si="136"/>
        <v>5692.2969999999996</v>
      </c>
      <c r="E4230" s="608"/>
      <c r="F4230" s="760">
        <f t="shared" si="135"/>
        <v>2401.5514427921817</v>
      </c>
      <c r="M4230" s="443"/>
    </row>
    <row r="4231" spans="1:13">
      <c r="A4231" s="639">
        <v>62513</v>
      </c>
      <c r="B4231" s="639">
        <v>400</v>
      </c>
      <c r="C4231" s="638">
        <v>5530.2340000000004</v>
      </c>
      <c r="D4231" s="633">
        <f t="shared" si="136"/>
        <v>5530.2340000000004</v>
      </c>
      <c r="E4231" s="608"/>
      <c r="F4231" s="760">
        <f t="shared" si="135"/>
        <v>2333.1778791019474</v>
      </c>
      <c r="M4231" s="443"/>
    </row>
    <row r="4232" spans="1:13">
      <c r="A4232" s="639">
        <v>62513</v>
      </c>
      <c r="B4232" s="639">
        <v>500</v>
      </c>
      <c r="C4232" s="638">
        <v>5699.2929999999997</v>
      </c>
      <c r="D4232" s="633">
        <f t="shared" si="136"/>
        <v>5699.2929999999997</v>
      </c>
      <c r="E4232" s="608"/>
      <c r="F4232" s="760">
        <f t="shared" si="135"/>
        <v>2404.5030199663479</v>
      </c>
      <c r="M4232" s="443"/>
    </row>
    <row r="4233" spans="1:13">
      <c r="A4233" s="639">
        <v>62513</v>
      </c>
      <c r="B4233" s="639">
        <v>600</v>
      </c>
      <c r="C4233" s="638">
        <v>6213.4059999999999</v>
      </c>
      <c r="D4233" s="633">
        <f t="shared" si="136"/>
        <v>6213.4059999999999</v>
      </c>
      <c r="E4233" s="608"/>
      <c r="F4233" s="760">
        <f t="shared" si="135"/>
        <v>2621.4047060358234</v>
      </c>
      <c r="M4233" s="443"/>
    </row>
    <row r="4234" spans="1:13">
      <c r="A4234" s="639">
        <v>62513</v>
      </c>
      <c r="B4234" s="639">
        <v>700</v>
      </c>
      <c r="C4234" s="638">
        <v>6911.6570000000002</v>
      </c>
      <c r="D4234" s="633">
        <f t="shared" si="136"/>
        <v>6911.6570000000002</v>
      </c>
      <c r="E4234" s="608"/>
      <c r="F4234" s="760">
        <f t="shared" si="135"/>
        <v>2915.993287144835</v>
      </c>
      <c r="M4234" s="443"/>
    </row>
    <row r="4235" spans="1:13">
      <c r="A4235" s="639">
        <v>62513</v>
      </c>
      <c r="B4235" s="639">
        <v>800</v>
      </c>
      <c r="C4235" s="638">
        <v>7010.2809999999999</v>
      </c>
      <c r="D4235" s="633">
        <f t="shared" si="136"/>
        <v>7010.2809999999999</v>
      </c>
      <c r="E4235" s="608"/>
      <c r="F4235" s="760">
        <f t="shared" si="135"/>
        <v>2957.6022561592658</v>
      </c>
      <c r="M4235" s="443"/>
    </row>
    <row r="4236" spans="1:13">
      <c r="A4236" s="639">
        <v>62513</v>
      </c>
      <c r="B4236" s="639">
        <v>900</v>
      </c>
      <c r="C4236" s="638">
        <v>6905.0839999999998</v>
      </c>
      <c r="D4236" s="633">
        <f t="shared" si="136"/>
        <v>6905.0839999999998</v>
      </c>
      <c r="E4236" s="608"/>
      <c r="F4236" s="760">
        <f t="shared" si="135"/>
        <v>2913.220171540805</v>
      </c>
      <c r="M4236" s="443"/>
    </row>
    <row r="4237" spans="1:13">
      <c r="A4237" s="639">
        <v>62513</v>
      </c>
      <c r="B4237" s="639">
        <v>1000</v>
      </c>
      <c r="C4237" s="638">
        <v>7042.9830000000002</v>
      </c>
      <c r="D4237" s="633">
        <f t="shared" si="136"/>
        <v>7042.9830000000002</v>
      </c>
      <c r="E4237" s="608"/>
      <c r="F4237" s="760">
        <f t="shared" si="135"/>
        <v>2971.3990653001429</v>
      </c>
      <c r="M4237" s="443"/>
    </row>
    <row r="4238" spans="1:13">
      <c r="A4238" s="639">
        <v>62513</v>
      </c>
      <c r="B4238" s="639">
        <v>1100</v>
      </c>
      <c r="C4238" s="638">
        <v>7621.4859999999999</v>
      </c>
      <c r="D4238" s="633">
        <f t="shared" si="136"/>
        <v>7621.4859999999999</v>
      </c>
      <c r="E4238" s="608"/>
      <c r="F4238" s="760">
        <f t="shared" si="135"/>
        <v>3215.466568157005</v>
      </c>
      <c r="M4238" s="443"/>
    </row>
    <row r="4239" spans="1:13">
      <c r="A4239" s="639">
        <v>62513</v>
      </c>
      <c r="B4239" s="639">
        <v>1200</v>
      </c>
      <c r="C4239" s="638">
        <v>7943.63</v>
      </c>
      <c r="D4239" s="633">
        <f t="shared" si="136"/>
        <v>7943.63</v>
      </c>
      <c r="E4239" s="608"/>
      <c r="F4239" s="760">
        <f t="shared" si="135"/>
        <v>3351.377499717119</v>
      </c>
      <c r="M4239" s="443"/>
    </row>
    <row r="4240" spans="1:13">
      <c r="A4240" s="639">
        <v>62513</v>
      </c>
      <c r="B4240" s="639">
        <v>1300</v>
      </c>
      <c r="C4240" s="638">
        <v>8181.0739999999996</v>
      </c>
      <c r="D4240" s="633">
        <f t="shared" si="136"/>
        <v>8181.0739999999996</v>
      </c>
      <c r="E4240" s="608"/>
      <c r="F4240" s="760">
        <f t="shared" si="135"/>
        <v>3451.5539277535245</v>
      </c>
      <c r="M4240" s="443"/>
    </row>
    <row r="4241" spans="1:13">
      <c r="A4241" s="639">
        <v>62513</v>
      </c>
      <c r="B4241" s="639">
        <v>1400</v>
      </c>
      <c r="C4241" s="638">
        <v>8259.3719999999994</v>
      </c>
      <c r="D4241" s="633">
        <f t="shared" si="136"/>
        <v>8259.3719999999994</v>
      </c>
      <c r="E4241" s="608"/>
      <c r="F4241" s="760">
        <f t="shared" si="135"/>
        <v>3484.5874597121942</v>
      </c>
      <c r="M4241" s="443"/>
    </row>
    <row r="4242" spans="1:13">
      <c r="A4242" s="639">
        <v>62513</v>
      </c>
      <c r="B4242" s="639">
        <v>1500</v>
      </c>
      <c r="C4242" s="638">
        <v>8544.9290000000001</v>
      </c>
      <c r="D4242" s="633">
        <f t="shared" si="136"/>
        <v>8544.9290000000001</v>
      </c>
      <c r="E4242" s="608"/>
      <c r="F4242" s="760">
        <f t="shared" si="135"/>
        <v>3605.0625201929474</v>
      </c>
      <c r="M4242" s="443"/>
    </row>
    <row r="4243" spans="1:13">
      <c r="A4243" s="639">
        <v>62513</v>
      </c>
      <c r="B4243" s="639">
        <v>1600</v>
      </c>
      <c r="C4243" s="638">
        <v>8621.5810000000001</v>
      </c>
      <c r="D4243" s="633">
        <f t="shared" si="136"/>
        <v>8621.5810000000001</v>
      </c>
      <c r="E4243" s="608"/>
      <c r="F4243" s="760">
        <f t="shared" si="135"/>
        <v>3637.4016130394571</v>
      </c>
      <c r="M4243" s="443"/>
    </row>
    <row r="4244" spans="1:13">
      <c r="A4244" s="639">
        <v>62513</v>
      </c>
      <c r="B4244" s="639">
        <v>1700</v>
      </c>
      <c r="C4244" s="638">
        <v>8968.1890000000003</v>
      </c>
      <c r="D4244" s="633">
        <f t="shared" si="136"/>
        <v>8968.1890000000003</v>
      </c>
      <c r="E4244" s="608"/>
      <c r="F4244" s="760">
        <f t="shared" si="135"/>
        <v>3783.6337830199259</v>
      </c>
      <c r="M4244" s="443"/>
    </row>
    <row r="4245" spans="1:13">
      <c r="A4245" s="639">
        <v>62513</v>
      </c>
      <c r="B4245" s="639">
        <v>1800</v>
      </c>
      <c r="C4245" s="638">
        <v>9302.9989999999998</v>
      </c>
      <c r="D4245" s="633">
        <f t="shared" si="136"/>
        <v>9302.9989999999998</v>
      </c>
      <c r="E4245" s="608"/>
      <c r="F4245" s="760">
        <f t="shared" si="135"/>
        <v>3924.8884362049666</v>
      </c>
      <c r="M4245" s="443"/>
    </row>
    <row r="4246" spans="1:13">
      <c r="A4246" s="639">
        <v>62513</v>
      </c>
      <c r="B4246" s="639">
        <v>1900</v>
      </c>
      <c r="C4246" s="638">
        <v>9170.0470000000005</v>
      </c>
      <c r="D4246" s="633">
        <f t="shared" si="136"/>
        <v>9170.0470000000005</v>
      </c>
      <c r="E4246" s="608"/>
      <c r="F4246" s="760">
        <f t="shared" si="135"/>
        <v>3868.7966568367951</v>
      </c>
      <c r="M4246" s="443"/>
    </row>
    <row r="4247" spans="1:13">
      <c r="A4247" s="639">
        <v>62513</v>
      </c>
      <c r="B4247" s="639">
        <v>2000</v>
      </c>
      <c r="C4247" s="638">
        <v>8887.2530000000006</v>
      </c>
      <c r="D4247" s="633">
        <f t="shared" si="136"/>
        <v>8887.2530000000006</v>
      </c>
      <c r="E4247" s="608"/>
      <c r="F4247" s="760">
        <f t="shared" si="135"/>
        <v>3749.4872921439533</v>
      </c>
      <c r="M4247" s="443"/>
    </row>
    <row r="4248" spans="1:13">
      <c r="A4248" s="639">
        <v>62513</v>
      </c>
      <c r="B4248" s="639">
        <v>2100</v>
      </c>
      <c r="C4248" s="638">
        <v>9061.0519999999997</v>
      </c>
      <c r="D4248" s="633">
        <f t="shared" si="136"/>
        <v>9061.0519999999997</v>
      </c>
      <c r="E4248" s="608"/>
      <c r="F4248" s="760">
        <f t="shared" si="135"/>
        <v>3822.8122151417929</v>
      </c>
      <c r="M4248" s="443"/>
    </row>
    <row r="4249" spans="1:13">
      <c r="A4249" s="639">
        <v>62513</v>
      </c>
      <c r="B4249" s="639">
        <v>2200</v>
      </c>
      <c r="C4249" s="638">
        <v>8224.73</v>
      </c>
      <c r="D4249" s="633">
        <f t="shared" si="136"/>
        <v>8224.73</v>
      </c>
      <c r="E4249" s="608"/>
      <c r="F4249" s="760">
        <f t="shared" si="135"/>
        <v>3469.9721743394871</v>
      </c>
      <c r="M4249" s="443"/>
    </row>
    <row r="4250" spans="1:13">
      <c r="A4250" s="639">
        <v>62513</v>
      </c>
      <c r="B4250" s="639">
        <v>2300</v>
      </c>
      <c r="C4250" s="638">
        <v>7022.9859999999999</v>
      </c>
      <c r="D4250" s="633">
        <f t="shared" si="136"/>
        <v>7022.9859999999999</v>
      </c>
      <c r="E4250" s="608"/>
      <c r="F4250" s="760">
        <f t="shared" si="135"/>
        <v>2962.9624316878217</v>
      </c>
      <c r="M4250" s="443"/>
    </row>
    <row r="4251" spans="1:13">
      <c r="A4251" s="639">
        <v>62513</v>
      </c>
      <c r="B4251" s="639">
        <v>2400</v>
      </c>
      <c r="C4251" s="638">
        <v>5957.0370000000003</v>
      </c>
      <c r="D4251" s="633">
        <f t="shared" si="136"/>
        <v>5957.0370000000003</v>
      </c>
      <c r="E4251" s="608"/>
      <c r="F4251" s="760">
        <f t="shared" si="135"/>
        <v>2513.2439157894278</v>
      </c>
      <c r="M4251" s="443"/>
    </row>
    <row r="4252" spans="1:13">
      <c r="A4252" s="639">
        <v>62613</v>
      </c>
      <c r="B4252" s="639">
        <v>100</v>
      </c>
      <c r="C4252" s="638">
        <v>5378.134</v>
      </c>
      <c r="D4252" s="633">
        <f t="shared" si="136"/>
        <v>5378.134</v>
      </c>
      <c r="E4252" s="608"/>
      <c r="F4252" s="760">
        <f t="shared" si="135"/>
        <v>2269.0076549466212</v>
      </c>
      <c r="M4252" s="443"/>
    </row>
    <row r="4253" spans="1:13">
      <c r="A4253" s="639">
        <v>62613</v>
      </c>
      <c r="B4253" s="639">
        <v>200</v>
      </c>
      <c r="C4253" s="638">
        <v>5062.7569999999996</v>
      </c>
      <c r="D4253" s="633">
        <f t="shared" si="136"/>
        <v>5062.7569999999996</v>
      </c>
      <c r="E4253" s="608"/>
      <c r="F4253" s="760">
        <f t="shared" si="135"/>
        <v>2135.9516866137196</v>
      </c>
      <c r="M4253" s="443"/>
    </row>
    <row r="4254" spans="1:13">
      <c r="A4254" s="639">
        <v>62613</v>
      </c>
      <c r="B4254" s="639">
        <v>300</v>
      </c>
      <c r="C4254" s="638">
        <v>4814.2039999999997</v>
      </c>
      <c r="D4254" s="633">
        <f t="shared" si="136"/>
        <v>4814.2039999999997</v>
      </c>
      <c r="E4254" s="608"/>
      <c r="F4254" s="760">
        <f t="shared" si="135"/>
        <v>2031.0884274126759</v>
      </c>
      <c r="M4254" s="443"/>
    </row>
    <row r="4255" spans="1:13">
      <c r="A4255" s="639">
        <v>62613</v>
      </c>
      <c r="B4255" s="639">
        <v>400</v>
      </c>
      <c r="C4255" s="638">
        <v>4735.5609999999997</v>
      </c>
      <c r="D4255" s="633">
        <f t="shared" si="136"/>
        <v>4735.5609999999997</v>
      </c>
      <c r="E4255" s="608"/>
      <c r="F4255" s="760">
        <f t="shared" si="135"/>
        <v>1997.9093416911285</v>
      </c>
      <c r="M4255" s="443"/>
    </row>
    <row r="4256" spans="1:13">
      <c r="A4256" s="639">
        <v>62613</v>
      </c>
      <c r="B4256" s="639">
        <v>500</v>
      </c>
      <c r="C4256" s="638">
        <v>4948.8320000000003</v>
      </c>
      <c r="D4256" s="633">
        <f t="shared" si="136"/>
        <v>4948.8320000000003</v>
      </c>
      <c r="E4256" s="608"/>
      <c r="F4256" s="760">
        <f t="shared" si="135"/>
        <v>2087.8873027419545</v>
      </c>
      <c r="M4256" s="443"/>
    </row>
    <row r="4257" spans="1:13">
      <c r="A4257" s="639">
        <v>62613</v>
      </c>
      <c r="B4257" s="639">
        <v>600</v>
      </c>
      <c r="C4257" s="638">
        <v>5577.4930000000004</v>
      </c>
      <c r="D4257" s="633">
        <f t="shared" si="136"/>
        <v>5577.4930000000004</v>
      </c>
      <c r="E4257" s="608"/>
      <c r="F4257" s="760">
        <f t="shared" si="135"/>
        <v>2353.1162132463037</v>
      </c>
      <c r="M4257" s="443"/>
    </row>
    <row r="4258" spans="1:13">
      <c r="A4258" s="639">
        <v>62613</v>
      </c>
      <c r="B4258" s="639">
        <v>700</v>
      </c>
      <c r="C4258" s="638">
        <v>6228.4719999999998</v>
      </c>
      <c r="D4258" s="633">
        <f t="shared" si="136"/>
        <v>6228.4719999999998</v>
      </c>
      <c r="E4258" s="608"/>
      <c r="F4258" s="760">
        <f t="shared" si="135"/>
        <v>2627.7609755764161</v>
      </c>
      <c r="M4258" s="443"/>
    </row>
    <row r="4259" spans="1:13">
      <c r="A4259" s="639">
        <v>62613</v>
      </c>
      <c r="B4259" s="639">
        <v>800</v>
      </c>
      <c r="C4259" s="638">
        <v>6564.0479999999998</v>
      </c>
      <c r="D4259" s="633">
        <f t="shared" si="136"/>
        <v>6564.0479999999998</v>
      </c>
      <c r="E4259" s="608"/>
      <c r="F4259" s="760">
        <f t="shared" si="135"/>
        <v>2769.3388003045402</v>
      </c>
      <c r="M4259" s="443"/>
    </row>
    <row r="4260" spans="1:13">
      <c r="A4260" s="639">
        <v>62613</v>
      </c>
      <c r="B4260" s="639">
        <v>900</v>
      </c>
      <c r="C4260" s="638">
        <v>7094.5349999999999</v>
      </c>
      <c r="D4260" s="633">
        <f t="shared" si="136"/>
        <v>7094.5349999999999</v>
      </c>
      <c r="E4260" s="608"/>
      <c r="F4260" s="760">
        <f t="shared" si="135"/>
        <v>2993.1485945286463</v>
      </c>
      <c r="M4260" s="443"/>
    </row>
    <row r="4261" spans="1:13">
      <c r="A4261" s="639">
        <v>62613</v>
      </c>
      <c r="B4261" s="639">
        <v>1000</v>
      </c>
      <c r="C4261" s="638">
        <v>7710.81</v>
      </c>
      <c r="D4261" s="633">
        <f t="shared" si="136"/>
        <v>7710.81</v>
      </c>
      <c r="E4261" s="608"/>
      <c r="F4261" s="760">
        <f t="shared" si="135"/>
        <v>3253.1519139982302</v>
      </c>
      <c r="M4261" s="443"/>
    </row>
    <row r="4262" spans="1:13">
      <c r="A4262" s="639">
        <v>62613</v>
      </c>
      <c r="B4262" s="639">
        <v>1100</v>
      </c>
      <c r="C4262" s="638">
        <v>7988.067</v>
      </c>
      <c r="D4262" s="633">
        <f t="shared" si="136"/>
        <v>7988.067</v>
      </c>
      <c r="E4262" s="608"/>
      <c r="F4262" s="760">
        <f t="shared" si="135"/>
        <v>3370.1252462706379</v>
      </c>
      <c r="M4262" s="443"/>
    </row>
    <row r="4263" spans="1:13">
      <c r="A4263" s="639">
        <v>62613</v>
      </c>
      <c r="B4263" s="639">
        <v>1200</v>
      </c>
      <c r="C4263" s="638">
        <v>8347.9889999999996</v>
      </c>
      <c r="D4263" s="633">
        <f t="shared" si="136"/>
        <v>8347.9889999999996</v>
      </c>
      <c r="E4263" s="608"/>
      <c r="F4263" s="760">
        <f t="shared" si="135"/>
        <v>3521.9745258132634</v>
      </c>
      <c r="M4263" s="443"/>
    </row>
    <row r="4264" spans="1:13">
      <c r="A4264" s="639">
        <v>62613</v>
      </c>
      <c r="B4264" s="639">
        <v>1300</v>
      </c>
      <c r="C4264" s="638">
        <v>8534.9539999999997</v>
      </c>
      <c r="D4264" s="633">
        <f t="shared" si="136"/>
        <v>8534.9539999999997</v>
      </c>
      <c r="E4264" s="608"/>
      <c r="F4264" s="760">
        <f t="shared" si="135"/>
        <v>3600.8541179184613</v>
      </c>
      <c r="M4264" s="443"/>
    </row>
    <row r="4265" spans="1:13">
      <c r="A4265" s="639">
        <v>62613</v>
      </c>
      <c r="B4265" s="639">
        <v>1400</v>
      </c>
      <c r="C4265" s="638">
        <v>8812.6270000000004</v>
      </c>
      <c r="D4265" s="633">
        <f t="shared" si="136"/>
        <v>8812.6270000000004</v>
      </c>
      <c r="E4265" s="608"/>
      <c r="F4265" s="760">
        <f t="shared" si="135"/>
        <v>3718.0029584962517</v>
      </c>
      <c r="M4265" s="443"/>
    </row>
    <row r="4266" spans="1:13">
      <c r="A4266" s="639">
        <v>62613</v>
      </c>
      <c r="B4266" s="639">
        <v>1500</v>
      </c>
      <c r="C4266" s="638">
        <v>9226.6730000000007</v>
      </c>
      <c r="D4266" s="633">
        <f t="shared" si="136"/>
        <v>9226.6730000000007</v>
      </c>
      <c r="E4266" s="608"/>
      <c r="F4266" s="760">
        <f t="shared" si="135"/>
        <v>3892.6868811170025</v>
      </c>
      <c r="M4266" s="443"/>
    </row>
    <row r="4267" spans="1:13">
      <c r="A4267" s="639">
        <v>62613</v>
      </c>
      <c r="B4267" s="639">
        <v>1600</v>
      </c>
      <c r="C4267" s="638">
        <v>9796.8690000000006</v>
      </c>
      <c r="D4267" s="633">
        <f t="shared" si="136"/>
        <v>9796.8690000000006</v>
      </c>
      <c r="E4267" s="608"/>
      <c r="F4267" s="760">
        <f t="shared" si="135"/>
        <v>4133.2497025007651</v>
      </c>
      <c r="M4267" s="443"/>
    </row>
    <row r="4268" spans="1:13">
      <c r="A4268" s="639">
        <v>62613</v>
      </c>
      <c r="B4268" s="639">
        <v>1700</v>
      </c>
      <c r="C4268" s="638">
        <v>10330.370999999999</v>
      </c>
      <c r="D4268" s="633">
        <f t="shared" si="136"/>
        <v>10330.370999999999</v>
      </c>
      <c r="E4268" s="608"/>
      <c r="F4268" s="760">
        <f t="shared" si="135"/>
        <v>4358.3315100439258</v>
      </c>
      <c r="M4268" s="443"/>
    </row>
    <row r="4269" spans="1:13">
      <c r="A4269" s="639">
        <v>62613</v>
      </c>
      <c r="B4269" s="639">
        <v>1800</v>
      </c>
      <c r="C4269" s="638">
        <v>10391.341</v>
      </c>
      <c r="D4269" s="633">
        <f t="shared" si="136"/>
        <v>10391.341</v>
      </c>
      <c r="E4269" s="608"/>
      <c r="F4269" s="760">
        <f t="shared" si="135"/>
        <v>4384.0544460514893</v>
      </c>
      <c r="M4269" s="443"/>
    </row>
    <row r="4270" spans="1:13">
      <c r="A4270" s="639">
        <v>62613</v>
      </c>
      <c r="B4270" s="639">
        <v>1900</v>
      </c>
      <c r="C4270" s="638">
        <v>10335.114</v>
      </c>
      <c r="D4270" s="633">
        <f t="shared" si="136"/>
        <v>10335.114</v>
      </c>
      <c r="E4270" s="608"/>
      <c r="F4270" s="760">
        <f t="shared" si="135"/>
        <v>4360.3325578622607</v>
      </c>
      <c r="M4270" s="443"/>
    </row>
    <row r="4271" spans="1:13">
      <c r="A4271" s="639">
        <v>62613</v>
      </c>
      <c r="B4271" s="639">
        <v>2000</v>
      </c>
      <c r="C4271" s="638">
        <v>9938.5280000000002</v>
      </c>
      <c r="D4271" s="633">
        <f t="shared" si="136"/>
        <v>9938.5280000000002</v>
      </c>
      <c r="E4271" s="608"/>
      <c r="F4271" s="760">
        <f t="shared" si="135"/>
        <v>4193.0149213279801</v>
      </c>
      <c r="M4271" s="443"/>
    </row>
    <row r="4272" spans="1:13">
      <c r="A4272" s="639">
        <v>62613</v>
      </c>
      <c r="B4272" s="639">
        <v>2100</v>
      </c>
      <c r="C4272" s="638">
        <v>9905.3209999999999</v>
      </c>
      <c r="D4272" s="633">
        <f t="shared" si="136"/>
        <v>9905.3209999999999</v>
      </c>
      <c r="E4272" s="608"/>
      <c r="F4272" s="760">
        <f t="shared" si="135"/>
        <v>4179.0050552298471</v>
      </c>
      <c r="M4272" s="443"/>
    </row>
    <row r="4273" spans="1:13">
      <c r="A4273" s="639">
        <v>62613</v>
      </c>
      <c r="B4273" s="639">
        <v>2200</v>
      </c>
      <c r="C4273" s="638">
        <v>9166.6959999999999</v>
      </c>
      <c r="D4273" s="633">
        <f t="shared" si="136"/>
        <v>9166.6959999999999</v>
      </c>
      <c r="E4273" s="608"/>
      <c r="F4273" s="760">
        <f t="shared" si="135"/>
        <v>3867.3828868095466</v>
      </c>
      <c r="M4273" s="443"/>
    </row>
    <row r="4274" spans="1:13">
      <c r="A4274" s="639">
        <v>62613</v>
      </c>
      <c r="B4274" s="639">
        <v>2300</v>
      </c>
      <c r="C4274" s="638">
        <v>7724.1090000000004</v>
      </c>
      <c r="D4274" s="633">
        <f t="shared" si="136"/>
        <v>7724.1090000000004</v>
      </c>
      <c r="E4274" s="608"/>
      <c r="F4274" s="760">
        <f t="shared" si="135"/>
        <v>3258.7626951359139</v>
      </c>
      <c r="M4274" s="443"/>
    </row>
    <row r="4275" spans="1:13">
      <c r="A4275" s="639">
        <v>62613</v>
      </c>
      <c r="B4275" s="639">
        <v>2400</v>
      </c>
      <c r="C4275" s="638">
        <v>6466.777</v>
      </c>
      <c r="D4275" s="633">
        <f t="shared" si="136"/>
        <v>6466.777</v>
      </c>
      <c r="E4275" s="608"/>
      <c r="F4275" s="760">
        <f t="shared" si="135"/>
        <v>2728.3006551775666</v>
      </c>
      <c r="M4275" s="443"/>
    </row>
    <row r="4276" spans="1:13">
      <c r="A4276" s="639">
        <v>62713</v>
      </c>
      <c r="B4276" s="639">
        <v>100</v>
      </c>
      <c r="C4276" s="638">
        <v>5685.6260000000002</v>
      </c>
      <c r="D4276" s="633">
        <f t="shared" si="136"/>
        <v>5685.6260000000002</v>
      </c>
      <c r="E4276" s="608"/>
      <c r="F4276" s="760">
        <f t="shared" si="135"/>
        <v>2398.7369814815952</v>
      </c>
      <c r="M4276" s="443"/>
    </row>
    <row r="4277" spans="1:13">
      <c r="A4277" s="639">
        <v>62713</v>
      </c>
      <c r="B4277" s="639">
        <v>200</v>
      </c>
      <c r="C4277" s="638">
        <v>5208.1009999999997</v>
      </c>
      <c r="D4277" s="633">
        <f t="shared" si="136"/>
        <v>5208.1009999999997</v>
      </c>
      <c r="E4277" s="608"/>
      <c r="F4277" s="760">
        <f t="shared" si="135"/>
        <v>2197.2715883864466</v>
      </c>
      <c r="M4277" s="443"/>
    </row>
    <row r="4278" spans="1:13">
      <c r="A4278" s="639">
        <v>62713</v>
      </c>
      <c r="B4278" s="639">
        <v>300</v>
      </c>
      <c r="C4278" s="638">
        <v>4931.9939999999997</v>
      </c>
      <c r="D4278" s="633">
        <f t="shared" si="136"/>
        <v>4931.9939999999997</v>
      </c>
      <c r="E4278" s="608"/>
      <c r="F4278" s="760">
        <f t="shared" si="135"/>
        <v>2080.7834353236281</v>
      </c>
      <c r="M4278" s="443"/>
    </row>
    <row r="4279" spans="1:13">
      <c r="A4279" s="639">
        <v>62713</v>
      </c>
      <c r="B4279" s="639">
        <v>400</v>
      </c>
      <c r="C4279" s="638">
        <v>4848.482</v>
      </c>
      <c r="D4279" s="633">
        <f t="shared" si="136"/>
        <v>4848.482</v>
      </c>
      <c r="E4279" s="608"/>
      <c r="F4279" s="760">
        <f t="shared" si="135"/>
        <v>2045.5501430181741</v>
      </c>
      <c r="M4279" s="443"/>
    </row>
    <row r="4280" spans="1:13">
      <c r="A4280" s="639">
        <v>62713</v>
      </c>
      <c r="B4280" s="639">
        <v>500</v>
      </c>
      <c r="C4280" s="638">
        <v>5000.8010000000004</v>
      </c>
      <c r="D4280" s="633">
        <f t="shared" si="136"/>
        <v>5000.8010000000004</v>
      </c>
      <c r="E4280" s="608"/>
      <c r="F4280" s="760">
        <f t="shared" si="135"/>
        <v>2109.8127621708049</v>
      </c>
      <c r="M4280" s="443"/>
    </row>
    <row r="4281" spans="1:13">
      <c r="A4281" s="639">
        <v>62713</v>
      </c>
      <c r="B4281" s="639">
        <v>600</v>
      </c>
      <c r="C4281" s="638">
        <v>5472.009</v>
      </c>
      <c r="D4281" s="633">
        <f t="shared" si="136"/>
        <v>5472.009</v>
      </c>
      <c r="E4281" s="608"/>
      <c r="F4281" s="760">
        <f t="shared" si="135"/>
        <v>2308.6130447729283</v>
      </c>
      <c r="M4281" s="443"/>
    </row>
    <row r="4282" spans="1:13">
      <c r="A4282" s="639">
        <v>62713</v>
      </c>
      <c r="B4282" s="639">
        <v>700</v>
      </c>
      <c r="C4282" s="638">
        <v>6196.2889999999998</v>
      </c>
      <c r="D4282" s="633">
        <f t="shared" si="136"/>
        <v>6196.2889999999998</v>
      </c>
      <c r="E4282" s="608"/>
      <c r="F4282" s="760">
        <f t="shared" si="135"/>
        <v>2614.1831299223009</v>
      </c>
      <c r="M4282" s="443"/>
    </row>
    <row r="4283" spans="1:13">
      <c r="A4283" s="639">
        <v>62713</v>
      </c>
      <c r="B4283" s="639">
        <v>800</v>
      </c>
      <c r="C4283" s="638">
        <v>6430.5619999999999</v>
      </c>
      <c r="D4283" s="633">
        <f t="shared" si="136"/>
        <v>6430.5619999999999</v>
      </c>
      <c r="E4283" s="608"/>
      <c r="F4283" s="760">
        <f t="shared" si="135"/>
        <v>2713.021729025133</v>
      </c>
      <c r="M4283" s="443"/>
    </row>
    <row r="4284" spans="1:13">
      <c r="A4284" s="639">
        <v>62713</v>
      </c>
      <c r="B4284" s="639">
        <v>900</v>
      </c>
      <c r="C4284" s="638">
        <v>6379.692</v>
      </c>
      <c r="D4284" s="633">
        <f t="shared" si="136"/>
        <v>6379.692</v>
      </c>
      <c r="E4284" s="608"/>
      <c r="F4284" s="760">
        <f t="shared" si="135"/>
        <v>2691.5599321626646</v>
      </c>
      <c r="M4284" s="443"/>
    </row>
    <row r="4285" spans="1:13">
      <c r="A4285" s="639">
        <v>62713</v>
      </c>
      <c r="B4285" s="639">
        <v>1000</v>
      </c>
      <c r="C4285" s="638">
        <v>6466.6989999999996</v>
      </c>
      <c r="D4285" s="633">
        <f t="shared" si="136"/>
        <v>6466.6989999999996</v>
      </c>
      <c r="E4285" s="608"/>
      <c r="F4285" s="760">
        <f t="shared" si="135"/>
        <v>2728.267747370307</v>
      </c>
      <c r="M4285" s="443"/>
    </row>
    <row r="4286" spans="1:13">
      <c r="A4286" s="639">
        <v>62713</v>
      </c>
      <c r="B4286" s="639">
        <v>1100</v>
      </c>
      <c r="C4286" s="638">
        <v>6472.4880000000003</v>
      </c>
      <c r="D4286" s="633">
        <f t="shared" si="136"/>
        <v>6472.4880000000003</v>
      </c>
      <c r="E4286" s="608"/>
      <c r="F4286" s="760">
        <f t="shared" si="135"/>
        <v>2730.7100973218867</v>
      </c>
      <c r="M4286" s="443"/>
    </row>
    <row r="4287" spans="1:13">
      <c r="A4287" s="639">
        <v>62713</v>
      </c>
      <c r="B4287" s="639">
        <v>1200</v>
      </c>
      <c r="C4287" s="638">
        <v>6572.7079999999996</v>
      </c>
      <c r="D4287" s="633">
        <f t="shared" si="136"/>
        <v>6572.7079999999996</v>
      </c>
      <c r="E4287" s="608"/>
      <c r="F4287" s="760">
        <f t="shared" si="135"/>
        <v>2772.9924107002348</v>
      </c>
      <c r="M4287" s="443"/>
    </row>
    <row r="4288" spans="1:13">
      <c r="A4288" s="639">
        <v>62713</v>
      </c>
      <c r="B4288" s="639">
        <v>1300</v>
      </c>
      <c r="C4288" s="638">
        <v>6719.6239999999998</v>
      </c>
      <c r="D4288" s="633">
        <f t="shared" si="136"/>
        <v>6719.6239999999998</v>
      </c>
      <c r="E4288" s="608"/>
      <c r="F4288" s="760">
        <f t="shared" si="135"/>
        <v>2834.9755313577225</v>
      </c>
      <c r="M4288" s="443"/>
    </row>
    <row r="4289" spans="1:13">
      <c r="A4289" s="639">
        <v>62713</v>
      </c>
      <c r="B4289" s="639">
        <v>1400</v>
      </c>
      <c r="C4289" s="638">
        <v>6873.7380000000003</v>
      </c>
      <c r="D4289" s="633">
        <f t="shared" si="136"/>
        <v>6873.7380000000003</v>
      </c>
      <c r="E4289" s="608"/>
      <c r="F4289" s="760">
        <f t="shared" si="135"/>
        <v>2899.9954519722787</v>
      </c>
      <c r="M4289" s="443"/>
    </row>
    <row r="4290" spans="1:13">
      <c r="A4290" s="639">
        <v>62713</v>
      </c>
      <c r="B4290" s="639">
        <v>1500</v>
      </c>
      <c r="C4290" s="638">
        <v>6947.2579999999998</v>
      </c>
      <c r="D4290" s="633">
        <f t="shared" si="136"/>
        <v>6947.2579999999998</v>
      </c>
      <c r="E4290" s="608"/>
      <c r="F4290" s="760">
        <f t="shared" si="135"/>
        <v>2931.0131697888437</v>
      </c>
      <c r="M4290" s="443"/>
    </row>
    <row r="4291" spans="1:13">
      <c r="A4291" s="639">
        <v>62713</v>
      </c>
      <c r="B4291" s="639">
        <v>1600</v>
      </c>
      <c r="C4291" s="638">
        <v>7195.31</v>
      </c>
      <c r="D4291" s="633">
        <f t="shared" si="136"/>
        <v>7195.31</v>
      </c>
      <c r="E4291" s="608"/>
      <c r="F4291" s="760">
        <f t="shared" si="135"/>
        <v>3035.6650596124928</v>
      </c>
      <c r="M4291" s="443"/>
    </row>
    <row r="4292" spans="1:13">
      <c r="A4292" s="639">
        <v>62713</v>
      </c>
      <c r="B4292" s="639">
        <v>1700</v>
      </c>
      <c r="C4292" s="638">
        <v>7565.1090000000004</v>
      </c>
      <c r="D4292" s="633">
        <f t="shared" si="136"/>
        <v>7565.1090000000004</v>
      </c>
      <c r="E4292" s="608"/>
      <c r="F4292" s="760">
        <f t="shared" ref="F4292:F4355" si="137">(D4292/(MAX($D$3652:$D$4371)))*$M$9</f>
        <v>3191.6813957230484</v>
      </c>
      <c r="M4292" s="443"/>
    </row>
    <row r="4293" spans="1:13">
      <c r="A4293" s="639">
        <v>62713</v>
      </c>
      <c r="B4293" s="639">
        <v>1800</v>
      </c>
      <c r="C4293" s="638">
        <v>7626.8109999999997</v>
      </c>
      <c r="D4293" s="633">
        <f t="shared" ref="D4293:D4356" si="138">C4293</f>
        <v>7626.8109999999997</v>
      </c>
      <c r="E4293" s="608"/>
      <c r="F4293" s="760">
        <f t="shared" si="137"/>
        <v>3217.7131588448883</v>
      </c>
      <c r="M4293" s="443"/>
    </row>
    <row r="4294" spans="1:13">
      <c r="A4294" s="639">
        <v>62713</v>
      </c>
      <c r="B4294" s="639">
        <v>1900</v>
      </c>
      <c r="C4294" s="638">
        <v>7692.7</v>
      </c>
      <c r="D4294" s="633">
        <f t="shared" si="138"/>
        <v>7692.7</v>
      </c>
      <c r="E4294" s="608"/>
      <c r="F4294" s="760">
        <f t="shared" si="137"/>
        <v>3245.5113961846009</v>
      </c>
      <c r="M4294" s="443"/>
    </row>
    <row r="4295" spans="1:13">
      <c r="A4295" s="639">
        <v>62713</v>
      </c>
      <c r="B4295" s="639">
        <v>2000</v>
      </c>
      <c r="C4295" s="638">
        <v>7851.8729999999996</v>
      </c>
      <c r="D4295" s="633">
        <f t="shared" si="138"/>
        <v>7851.8729999999996</v>
      </c>
      <c r="E4295" s="608"/>
      <c r="F4295" s="760">
        <f t="shared" si="137"/>
        <v>3312.6656834263877</v>
      </c>
      <c r="M4295" s="443"/>
    </row>
    <row r="4296" spans="1:13">
      <c r="A4296" s="639">
        <v>62713</v>
      </c>
      <c r="B4296" s="639">
        <v>2100</v>
      </c>
      <c r="C4296" s="638">
        <v>8164.9170000000004</v>
      </c>
      <c r="D4296" s="633">
        <f t="shared" si="138"/>
        <v>8164.9170000000004</v>
      </c>
      <c r="E4296" s="608"/>
      <c r="F4296" s="760">
        <f t="shared" si="137"/>
        <v>3444.7373708062692</v>
      </c>
      <c r="M4296" s="443"/>
    </row>
    <row r="4297" spans="1:13">
      <c r="A4297" s="639">
        <v>62713</v>
      </c>
      <c r="B4297" s="639">
        <v>2200</v>
      </c>
      <c r="C4297" s="638">
        <v>7595.26</v>
      </c>
      <c r="D4297" s="633">
        <f t="shared" si="138"/>
        <v>7595.26</v>
      </c>
      <c r="E4297" s="608"/>
      <c r="F4297" s="760">
        <f t="shared" si="137"/>
        <v>3204.4019508085657</v>
      </c>
      <c r="M4297" s="443"/>
    </row>
    <row r="4298" spans="1:13">
      <c r="A4298" s="639">
        <v>62713</v>
      </c>
      <c r="B4298" s="639">
        <v>2300</v>
      </c>
      <c r="C4298" s="638">
        <v>6573.4170000000004</v>
      </c>
      <c r="D4298" s="633">
        <f t="shared" si="138"/>
        <v>6573.4170000000004</v>
      </c>
      <c r="E4298" s="608"/>
      <c r="F4298" s="760">
        <f t="shared" si="137"/>
        <v>2773.2915342303213</v>
      </c>
      <c r="M4298" s="443"/>
    </row>
    <row r="4299" spans="1:13">
      <c r="A4299" s="639">
        <v>62713</v>
      </c>
      <c r="B4299" s="639">
        <v>2400</v>
      </c>
      <c r="C4299" s="638">
        <v>5552.2020000000002</v>
      </c>
      <c r="D4299" s="633">
        <f t="shared" si="138"/>
        <v>5552.2020000000002</v>
      </c>
      <c r="E4299" s="608"/>
      <c r="F4299" s="760">
        <f t="shared" si="137"/>
        <v>2342.4460676900094</v>
      </c>
      <c r="M4299" s="443"/>
    </row>
    <row r="4300" spans="1:13">
      <c r="A4300" s="639">
        <v>62813</v>
      </c>
      <c r="B4300" s="639">
        <v>100</v>
      </c>
      <c r="C4300" s="638">
        <v>4983.1360000000004</v>
      </c>
      <c r="D4300" s="633">
        <f t="shared" si="138"/>
        <v>4983.1360000000004</v>
      </c>
      <c r="E4300" s="608"/>
      <c r="F4300" s="760">
        <f t="shared" si="137"/>
        <v>2102.359987616539</v>
      </c>
      <c r="M4300" s="443"/>
    </row>
    <row r="4301" spans="1:13">
      <c r="A4301" s="639">
        <v>62813</v>
      </c>
      <c r="B4301" s="639">
        <v>200</v>
      </c>
      <c r="C4301" s="638">
        <v>4660.4139999999998</v>
      </c>
      <c r="D4301" s="633">
        <f t="shared" si="138"/>
        <v>4660.4139999999998</v>
      </c>
      <c r="E4301" s="608"/>
      <c r="F4301" s="760">
        <f t="shared" si="137"/>
        <v>1966.2052007667346</v>
      </c>
      <c r="M4301" s="443"/>
    </row>
    <row r="4302" spans="1:13">
      <c r="A4302" s="639">
        <v>62813</v>
      </c>
      <c r="B4302" s="639">
        <v>300</v>
      </c>
      <c r="C4302" s="638">
        <v>4463.3590000000004</v>
      </c>
      <c r="D4302" s="633">
        <f t="shared" si="138"/>
        <v>4463.3590000000004</v>
      </c>
      <c r="E4302" s="608"/>
      <c r="F4302" s="760">
        <f t="shared" si="137"/>
        <v>1883.068688466092</v>
      </c>
      <c r="M4302" s="443"/>
    </row>
    <row r="4303" spans="1:13">
      <c r="A4303" s="639">
        <v>62813</v>
      </c>
      <c r="B4303" s="639">
        <v>400</v>
      </c>
      <c r="C4303" s="638">
        <v>4422.9480000000003</v>
      </c>
      <c r="D4303" s="633">
        <f t="shared" si="138"/>
        <v>4422.9480000000003</v>
      </c>
      <c r="E4303" s="608"/>
      <c r="F4303" s="760">
        <f t="shared" si="137"/>
        <v>1866.0194910411028</v>
      </c>
      <c r="M4303" s="443"/>
    </row>
    <row r="4304" spans="1:13">
      <c r="A4304" s="639">
        <v>62813</v>
      </c>
      <c r="B4304" s="639">
        <v>500</v>
      </c>
      <c r="C4304" s="638">
        <v>4657.1670000000004</v>
      </c>
      <c r="D4304" s="633">
        <f t="shared" si="138"/>
        <v>4657.1670000000004</v>
      </c>
      <c r="E4304" s="608"/>
      <c r="F4304" s="760">
        <f t="shared" si="137"/>
        <v>1964.835307815832</v>
      </c>
      <c r="M4304" s="443"/>
    </row>
    <row r="4305" spans="1:13">
      <c r="A4305" s="639">
        <v>62813</v>
      </c>
      <c r="B4305" s="639">
        <v>600</v>
      </c>
      <c r="C4305" s="638">
        <v>5148.6400000000003</v>
      </c>
      <c r="D4305" s="633">
        <f t="shared" si="138"/>
        <v>5148.6400000000003</v>
      </c>
      <c r="E4305" s="608"/>
      <c r="F4305" s="760">
        <f t="shared" si="137"/>
        <v>2172.185291880859</v>
      </c>
      <c r="M4305" s="443"/>
    </row>
    <row r="4306" spans="1:13">
      <c r="A4306" s="639">
        <v>62813</v>
      </c>
      <c r="B4306" s="639">
        <v>700</v>
      </c>
      <c r="C4306" s="638">
        <v>5981.2160000000003</v>
      </c>
      <c r="D4306" s="633">
        <f t="shared" si="138"/>
        <v>5981.2160000000003</v>
      </c>
      <c r="E4306" s="608"/>
      <c r="F4306" s="760">
        <f t="shared" si="137"/>
        <v>2523.4449141447967</v>
      </c>
      <c r="M4306" s="443"/>
    </row>
    <row r="4307" spans="1:13">
      <c r="A4307" s="639">
        <v>62813</v>
      </c>
      <c r="B4307" s="639">
        <v>800</v>
      </c>
      <c r="C4307" s="638">
        <v>6404.6959999999999</v>
      </c>
      <c r="D4307" s="633">
        <f t="shared" si="138"/>
        <v>6404.6959999999999</v>
      </c>
      <c r="E4307" s="608"/>
      <c r="F4307" s="760">
        <f t="shared" si="137"/>
        <v>2702.1089938640439</v>
      </c>
      <c r="M4307" s="443"/>
    </row>
    <row r="4308" spans="1:13">
      <c r="A4308" s="639">
        <v>62813</v>
      </c>
      <c r="B4308" s="639">
        <v>900</v>
      </c>
      <c r="C4308" s="638">
        <v>6741.0420000000004</v>
      </c>
      <c r="D4308" s="633">
        <f t="shared" si="138"/>
        <v>6741.0420000000004</v>
      </c>
      <c r="E4308" s="608"/>
      <c r="F4308" s="760">
        <f t="shared" si="137"/>
        <v>2844.0116777151111</v>
      </c>
      <c r="M4308" s="443"/>
    </row>
    <row r="4309" spans="1:13">
      <c r="A4309" s="639">
        <v>62813</v>
      </c>
      <c r="B4309" s="639">
        <v>1000</v>
      </c>
      <c r="C4309" s="638">
        <v>6456.116</v>
      </c>
      <c r="D4309" s="633">
        <f t="shared" si="138"/>
        <v>6456.116</v>
      </c>
      <c r="E4309" s="608"/>
      <c r="F4309" s="760">
        <f t="shared" si="137"/>
        <v>2723.8028329571853</v>
      </c>
      <c r="M4309" s="443"/>
    </row>
    <row r="4310" spans="1:13">
      <c r="A4310" s="639">
        <v>62813</v>
      </c>
      <c r="B4310" s="639">
        <v>1100</v>
      </c>
      <c r="C4310" s="638">
        <v>6305.6660000000002</v>
      </c>
      <c r="D4310" s="633">
        <f t="shared" si="138"/>
        <v>6305.6660000000002</v>
      </c>
      <c r="E4310" s="608"/>
      <c r="F4310" s="760">
        <f t="shared" si="137"/>
        <v>2660.3287354938798</v>
      </c>
      <c r="M4310" s="443"/>
    </row>
    <row r="4311" spans="1:13">
      <c r="A4311" s="639">
        <v>62813</v>
      </c>
      <c r="B4311" s="639">
        <v>1200</v>
      </c>
      <c r="C4311" s="638">
        <v>6249.9679999999998</v>
      </c>
      <c r="D4311" s="633">
        <f t="shared" si="138"/>
        <v>6249.9679999999998</v>
      </c>
      <c r="E4311" s="608"/>
      <c r="F4311" s="760">
        <f t="shared" si="137"/>
        <v>2636.8300297410638</v>
      </c>
      <c r="M4311" s="443"/>
    </row>
    <row r="4312" spans="1:13">
      <c r="A4312" s="639">
        <v>62813</v>
      </c>
      <c r="B4312" s="639">
        <v>1300</v>
      </c>
      <c r="C4312" s="638">
        <v>6337.9229999999998</v>
      </c>
      <c r="D4312" s="633">
        <f t="shared" si="138"/>
        <v>6337.9229999999998</v>
      </c>
      <c r="E4312" s="608"/>
      <c r="F4312" s="760">
        <f t="shared" si="137"/>
        <v>2673.9378013753944</v>
      </c>
      <c r="M4312" s="443"/>
    </row>
    <row r="4313" spans="1:13">
      <c r="A4313" s="639">
        <v>62813</v>
      </c>
      <c r="B4313" s="639">
        <v>1400</v>
      </c>
      <c r="C4313" s="638">
        <v>6376.7449999999999</v>
      </c>
      <c r="D4313" s="633">
        <f t="shared" si="138"/>
        <v>6376.7449999999999</v>
      </c>
      <c r="E4313" s="608"/>
      <c r="F4313" s="760">
        <f t="shared" si="137"/>
        <v>2690.3166077012202</v>
      </c>
      <c r="M4313" s="443"/>
    </row>
    <row r="4314" spans="1:13">
      <c r="A4314" s="639">
        <v>62813</v>
      </c>
      <c r="B4314" s="639">
        <v>1500</v>
      </c>
      <c r="C4314" s="638">
        <v>6338.6660000000002</v>
      </c>
      <c r="D4314" s="633">
        <f t="shared" si="138"/>
        <v>6338.6660000000002</v>
      </c>
      <c r="E4314" s="608"/>
      <c r="F4314" s="760">
        <f t="shared" si="137"/>
        <v>2674.251269334286</v>
      </c>
      <c r="M4314" s="443"/>
    </row>
    <row r="4315" spans="1:13">
      <c r="A4315" s="639">
        <v>62813</v>
      </c>
      <c r="B4315" s="639">
        <v>1600</v>
      </c>
      <c r="C4315" s="638">
        <v>6422.3620000000001</v>
      </c>
      <c r="D4315" s="633">
        <f t="shared" si="138"/>
        <v>6422.3620000000001</v>
      </c>
      <c r="E4315" s="608"/>
      <c r="F4315" s="760">
        <f t="shared" si="137"/>
        <v>2709.5621903132746</v>
      </c>
      <c r="M4315" s="443"/>
    </row>
    <row r="4316" spans="1:13">
      <c r="A4316" s="639">
        <v>62813</v>
      </c>
      <c r="B4316" s="639">
        <v>1700</v>
      </c>
      <c r="C4316" s="638">
        <v>6622.424</v>
      </c>
      <c r="D4316" s="633">
        <f t="shared" si="138"/>
        <v>6622.424</v>
      </c>
      <c r="E4316" s="608"/>
      <c r="F4316" s="760">
        <f t="shared" si="137"/>
        <v>2793.9673407732539</v>
      </c>
      <c r="M4316" s="443"/>
    </row>
    <row r="4317" spans="1:13">
      <c r="A4317" s="639">
        <v>62813</v>
      </c>
      <c r="B4317" s="639">
        <v>1800</v>
      </c>
      <c r="C4317" s="638">
        <v>6844.5</v>
      </c>
      <c r="D4317" s="633">
        <f t="shared" si="138"/>
        <v>6844.5</v>
      </c>
      <c r="E4317" s="608"/>
      <c r="F4317" s="760">
        <f t="shared" si="137"/>
        <v>2887.6600869896793</v>
      </c>
      <c r="M4317" s="443"/>
    </row>
    <row r="4318" spans="1:13">
      <c r="A4318" s="639">
        <v>62813</v>
      </c>
      <c r="B4318" s="639">
        <v>1900</v>
      </c>
      <c r="C4318" s="638">
        <v>6726.3670000000002</v>
      </c>
      <c r="D4318" s="633">
        <f t="shared" si="138"/>
        <v>6726.3670000000002</v>
      </c>
      <c r="E4318" s="608"/>
      <c r="F4318" s="760">
        <f t="shared" si="137"/>
        <v>2837.8203691057793</v>
      </c>
      <c r="M4318" s="443"/>
    </row>
    <row r="4319" spans="1:13">
      <c r="A4319" s="639">
        <v>62813</v>
      </c>
      <c r="B4319" s="639">
        <v>2000</v>
      </c>
      <c r="C4319" s="638">
        <v>6801.2280000000001</v>
      </c>
      <c r="D4319" s="633">
        <f t="shared" si="138"/>
        <v>6801.2280000000001</v>
      </c>
      <c r="E4319" s="608"/>
      <c r="F4319" s="760">
        <f t="shared" si="137"/>
        <v>2869.4038480702229</v>
      </c>
      <c r="M4319" s="443"/>
    </row>
    <row r="4320" spans="1:13">
      <c r="A4320" s="639">
        <v>62813</v>
      </c>
      <c r="B4320" s="639">
        <v>2100</v>
      </c>
      <c r="C4320" s="638">
        <v>6921.5690000000004</v>
      </c>
      <c r="D4320" s="633">
        <f t="shared" si="138"/>
        <v>6921.5690000000004</v>
      </c>
      <c r="E4320" s="608"/>
      <c r="F4320" s="760">
        <f t="shared" si="137"/>
        <v>2920.175110036535</v>
      </c>
      <c r="M4320" s="443"/>
    </row>
    <row r="4321" spans="1:13">
      <c r="A4321" s="639">
        <v>62813</v>
      </c>
      <c r="B4321" s="639">
        <v>2200</v>
      </c>
      <c r="C4321" s="638">
        <v>6543.1869999999999</v>
      </c>
      <c r="D4321" s="633">
        <f t="shared" si="138"/>
        <v>6543.1869999999999</v>
      </c>
      <c r="E4321" s="608"/>
      <c r="F4321" s="760">
        <f t="shared" si="137"/>
        <v>2760.5376494425795</v>
      </c>
      <c r="M4321" s="443"/>
    </row>
    <row r="4322" spans="1:13">
      <c r="A4322" s="639">
        <v>62813</v>
      </c>
      <c r="B4322" s="639">
        <v>2300</v>
      </c>
      <c r="C4322" s="638">
        <v>5812.0469999999996</v>
      </c>
      <c r="D4322" s="633">
        <f t="shared" si="138"/>
        <v>5812.0469999999996</v>
      </c>
      <c r="E4322" s="608"/>
      <c r="F4322" s="760">
        <f t="shared" si="137"/>
        <v>2452.0733648342612</v>
      </c>
      <c r="M4322" s="443"/>
    </row>
    <row r="4323" spans="1:13">
      <c r="A4323" s="639">
        <v>62813</v>
      </c>
      <c r="B4323" s="639">
        <v>2400</v>
      </c>
      <c r="C4323" s="638">
        <v>5122.7719999999999</v>
      </c>
      <c r="D4323" s="633">
        <f t="shared" si="138"/>
        <v>5122.7719999999999</v>
      </c>
      <c r="E4323" s="608"/>
      <c r="F4323" s="760">
        <f t="shared" si="137"/>
        <v>2161.2717129298399</v>
      </c>
      <c r="M4323" s="443"/>
    </row>
    <row r="4324" spans="1:13">
      <c r="A4324" s="639">
        <v>62913</v>
      </c>
      <c r="B4324" s="639">
        <v>100</v>
      </c>
      <c r="C4324" s="638">
        <v>4676.62</v>
      </c>
      <c r="D4324" s="633">
        <f t="shared" si="138"/>
        <v>4676.62</v>
      </c>
      <c r="E4324" s="608"/>
      <c r="F4324" s="760">
        <f t="shared" si="137"/>
        <v>1973.0424305672689</v>
      </c>
      <c r="M4324" s="443"/>
    </row>
    <row r="4325" spans="1:13">
      <c r="A4325" s="639">
        <v>62913</v>
      </c>
      <c r="B4325" s="639">
        <v>200</v>
      </c>
      <c r="C4325" s="638">
        <v>4394.9459999999999</v>
      </c>
      <c r="D4325" s="633">
        <f t="shared" si="138"/>
        <v>4394.9459999999999</v>
      </c>
      <c r="E4325" s="608"/>
      <c r="F4325" s="760">
        <f t="shared" si="137"/>
        <v>1854.2055882350705</v>
      </c>
      <c r="M4325" s="443"/>
    </row>
    <row r="4326" spans="1:13">
      <c r="A4326" s="639">
        <v>62913</v>
      </c>
      <c r="B4326" s="639">
        <v>300</v>
      </c>
      <c r="C4326" s="638">
        <v>4281.7569999999996</v>
      </c>
      <c r="D4326" s="633">
        <f t="shared" si="138"/>
        <v>4281.7569999999996</v>
      </c>
      <c r="E4326" s="608"/>
      <c r="F4326" s="760">
        <f t="shared" si="137"/>
        <v>1806.4517190574425</v>
      </c>
      <c r="M4326" s="443"/>
    </row>
    <row r="4327" spans="1:13">
      <c r="A4327" s="639">
        <v>62913</v>
      </c>
      <c r="B4327" s="639">
        <v>400</v>
      </c>
      <c r="C4327" s="638">
        <v>4193.973</v>
      </c>
      <c r="D4327" s="633">
        <f t="shared" si="138"/>
        <v>4193.973</v>
      </c>
      <c r="E4327" s="608"/>
      <c r="F4327" s="760">
        <f t="shared" si="137"/>
        <v>1769.4160914621029</v>
      </c>
      <c r="M4327" s="443"/>
    </row>
    <row r="4328" spans="1:13">
      <c r="A4328" s="639">
        <v>62913</v>
      </c>
      <c r="B4328" s="639">
        <v>500</v>
      </c>
      <c r="C4328" s="638">
        <v>4213.2920000000004</v>
      </c>
      <c r="D4328" s="633">
        <f t="shared" si="138"/>
        <v>4213.2920000000004</v>
      </c>
      <c r="E4328" s="608"/>
      <c r="F4328" s="760">
        <f t="shared" si="137"/>
        <v>1777.5666802882488</v>
      </c>
      <c r="M4328" s="443"/>
    </row>
    <row r="4329" spans="1:13">
      <c r="A4329" s="639">
        <v>62913</v>
      </c>
      <c r="B4329" s="639">
        <v>600</v>
      </c>
      <c r="C4329" s="638">
        <v>4367.2520000000004</v>
      </c>
      <c r="D4329" s="633">
        <f t="shared" si="138"/>
        <v>4367.2520000000004</v>
      </c>
      <c r="E4329" s="608"/>
      <c r="F4329" s="760">
        <f t="shared" si="137"/>
        <v>1842.5216290782159</v>
      </c>
      <c r="M4329" s="443"/>
    </row>
    <row r="4330" spans="1:13">
      <c r="A4330" s="639">
        <v>62913</v>
      </c>
      <c r="B4330" s="639">
        <v>700</v>
      </c>
      <c r="C4330" s="638">
        <v>4855.76</v>
      </c>
      <c r="D4330" s="633">
        <f t="shared" si="138"/>
        <v>4855.76</v>
      </c>
      <c r="E4330" s="608"/>
      <c r="F4330" s="760">
        <f t="shared" si="137"/>
        <v>2048.6206945724311</v>
      </c>
      <c r="M4330" s="443"/>
    </row>
    <row r="4331" spans="1:13">
      <c r="A4331" s="639">
        <v>62913</v>
      </c>
      <c r="B4331" s="639">
        <v>800</v>
      </c>
      <c r="C4331" s="638">
        <v>5462.951</v>
      </c>
      <c r="D4331" s="633">
        <f t="shared" si="138"/>
        <v>5462.951</v>
      </c>
      <c r="E4331" s="608"/>
      <c r="F4331" s="760">
        <f t="shared" si="137"/>
        <v>2304.7915201812189</v>
      </c>
      <c r="M4331" s="443"/>
    </row>
    <row r="4332" spans="1:13">
      <c r="A4332" s="639">
        <v>62913</v>
      </c>
      <c r="B4332" s="639">
        <v>900</v>
      </c>
      <c r="C4332" s="638">
        <v>5744.415</v>
      </c>
      <c r="D4332" s="633">
        <f t="shared" si="138"/>
        <v>5744.415</v>
      </c>
      <c r="E4332" s="608"/>
      <c r="F4332" s="760">
        <f t="shared" si="137"/>
        <v>2423.5397645707963</v>
      </c>
      <c r="M4332" s="443"/>
    </row>
    <row r="4333" spans="1:13">
      <c r="A4333" s="639">
        <v>62913</v>
      </c>
      <c r="B4333" s="639">
        <v>1000</v>
      </c>
      <c r="C4333" s="638">
        <v>6094.0230000000001</v>
      </c>
      <c r="D4333" s="633">
        <f t="shared" si="138"/>
        <v>6094.0230000000001</v>
      </c>
      <c r="E4333" s="608"/>
      <c r="F4333" s="760">
        <f t="shared" si="137"/>
        <v>2571.0376194458472</v>
      </c>
      <c r="M4333" s="443"/>
    </row>
    <row r="4334" spans="1:13">
      <c r="A4334" s="639">
        <v>62913</v>
      </c>
      <c r="B4334" s="639">
        <v>1100</v>
      </c>
      <c r="C4334" s="638">
        <v>6199.9579999999996</v>
      </c>
      <c r="D4334" s="633">
        <f t="shared" si="138"/>
        <v>6199.9579999999996</v>
      </c>
      <c r="E4334" s="608"/>
      <c r="F4334" s="760">
        <f t="shared" si="137"/>
        <v>2615.7310625483751</v>
      </c>
      <c r="M4334" s="443"/>
    </row>
    <row r="4335" spans="1:13">
      <c r="A4335" s="639">
        <v>62913</v>
      </c>
      <c r="B4335" s="639">
        <v>1200</v>
      </c>
      <c r="C4335" s="638">
        <v>6306.3050000000003</v>
      </c>
      <c r="D4335" s="633">
        <f t="shared" si="138"/>
        <v>6306.3050000000003</v>
      </c>
      <c r="E4335" s="608"/>
      <c r="F4335" s="760">
        <f t="shared" si="137"/>
        <v>2660.598326376426</v>
      </c>
      <c r="M4335" s="443"/>
    </row>
    <row r="4336" spans="1:13">
      <c r="A4336" s="639">
        <v>62913</v>
      </c>
      <c r="B4336" s="639">
        <v>1300</v>
      </c>
      <c r="C4336" s="638">
        <v>6390.5039999999999</v>
      </c>
      <c r="D4336" s="633">
        <f t="shared" si="138"/>
        <v>6390.5039999999999</v>
      </c>
      <c r="E4336" s="608"/>
      <c r="F4336" s="760">
        <f t="shared" si="137"/>
        <v>2696.1214605227397</v>
      </c>
      <c r="M4336" s="443"/>
    </row>
    <row r="4337" spans="1:13">
      <c r="A4337" s="639">
        <v>62913</v>
      </c>
      <c r="B4337" s="639">
        <v>1400</v>
      </c>
      <c r="C4337" s="638">
        <v>6660.19</v>
      </c>
      <c r="D4337" s="633">
        <f t="shared" si="138"/>
        <v>6660.19</v>
      </c>
      <c r="E4337" s="608"/>
      <c r="F4337" s="760">
        <f t="shared" si="137"/>
        <v>2809.9006260161864</v>
      </c>
      <c r="M4337" s="443"/>
    </row>
    <row r="4338" spans="1:13">
      <c r="A4338" s="639">
        <v>62913</v>
      </c>
      <c r="B4338" s="639">
        <v>1500</v>
      </c>
      <c r="C4338" s="638">
        <v>7036.567</v>
      </c>
      <c r="D4338" s="633">
        <f t="shared" si="138"/>
        <v>7036.567</v>
      </c>
      <c r="E4338" s="608"/>
      <c r="F4338" s="760">
        <f t="shared" si="137"/>
        <v>2968.6921872055964</v>
      </c>
      <c r="M4338" s="443"/>
    </row>
    <row r="4339" spans="1:13">
      <c r="A4339" s="639">
        <v>62913</v>
      </c>
      <c r="B4339" s="639">
        <v>1600</v>
      </c>
      <c r="C4339" s="638">
        <v>7206.6570000000002</v>
      </c>
      <c r="D4339" s="633">
        <f t="shared" si="138"/>
        <v>7206.6570000000002</v>
      </c>
      <c r="E4339" s="608"/>
      <c r="F4339" s="760">
        <f t="shared" si="137"/>
        <v>3040.4523017787678</v>
      </c>
      <c r="M4339" s="443"/>
    </row>
    <row r="4340" spans="1:13">
      <c r="A4340" s="639">
        <v>62913</v>
      </c>
      <c r="B4340" s="639">
        <v>1700</v>
      </c>
      <c r="C4340" s="638">
        <v>7258.9970000000003</v>
      </c>
      <c r="D4340" s="633">
        <f t="shared" si="138"/>
        <v>7258.9970000000003</v>
      </c>
      <c r="E4340" s="608"/>
      <c r="F4340" s="760">
        <f t="shared" si="137"/>
        <v>3062.5342842395817</v>
      </c>
      <c r="M4340" s="443"/>
    </row>
    <row r="4341" spans="1:13">
      <c r="A4341" s="639">
        <v>62913</v>
      </c>
      <c r="B4341" s="639">
        <v>1800</v>
      </c>
      <c r="C4341" s="638">
        <v>7201.0959999999995</v>
      </c>
      <c r="D4341" s="633">
        <f t="shared" si="138"/>
        <v>7201.0959999999995</v>
      </c>
      <c r="E4341" s="608"/>
      <c r="F4341" s="760">
        <f t="shared" si="137"/>
        <v>3038.1061438791771</v>
      </c>
      <c r="M4341" s="443"/>
    </row>
    <row r="4342" spans="1:13">
      <c r="A4342" s="639">
        <v>62913</v>
      </c>
      <c r="B4342" s="639">
        <v>1900</v>
      </c>
      <c r="C4342" s="638">
        <v>6786.0379999999996</v>
      </c>
      <c r="D4342" s="633">
        <f t="shared" si="138"/>
        <v>6786.0379999999996</v>
      </c>
      <c r="E4342" s="608"/>
      <c r="F4342" s="760">
        <f t="shared" si="137"/>
        <v>2862.9952635539871</v>
      </c>
      <c r="M4342" s="443"/>
    </row>
    <row r="4343" spans="1:13">
      <c r="A4343" s="639">
        <v>62913</v>
      </c>
      <c r="B4343" s="639">
        <v>2000</v>
      </c>
      <c r="C4343" s="638">
        <v>6528.558</v>
      </c>
      <c r="D4343" s="633">
        <f t="shared" si="138"/>
        <v>6528.558</v>
      </c>
      <c r="E4343" s="608"/>
      <c r="F4343" s="760">
        <f t="shared" si="137"/>
        <v>2754.3657480016309</v>
      </c>
      <c r="M4343" s="443"/>
    </row>
    <row r="4344" spans="1:13">
      <c r="A4344" s="639">
        <v>62913</v>
      </c>
      <c r="B4344" s="639">
        <v>2100</v>
      </c>
      <c r="C4344" s="638">
        <v>6618.74</v>
      </c>
      <c r="D4344" s="633">
        <f t="shared" si="138"/>
        <v>6618.74</v>
      </c>
      <c r="E4344" s="608"/>
      <c r="F4344" s="760">
        <f t="shared" si="137"/>
        <v>2792.4130797227067</v>
      </c>
      <c r="M4344" s="443"/>
    </row>
    <row r="4345" spans="1:13">
      <c r="A4345" s="639">
        <v>62913</v>
      </c>
      <c r="B4345" s="639">
        <v>2200</v>
      </c>
      <c r="C4345" s="638">
        <v>6276.3770000000004</v>
      </c>
      <c r="D4345" s="633">
        <f t="shared" si="138"/>
        <v>6276.3770000000004</v>
      </c>
      <c r="E4345" s="608"/>
      <c r="F4345" s="760">
        <f t="shared" si="137"/>
        <v>2647.9718538680722</v>
      </c>
      <c r="M4345" s="443"/>
    </row>
    <row r="4346" spans="1:13">
      <c r="A4346" s="639">
        <v>62913</v>
      </c>
      <c r="B4346" s="639">
        <v>2300</v>
      </c>
      <c r="C4346" s="638">
        <v>5631.5950000000003</v>
      </c>
      <c r="D4346" s="633">
        <f t="shared" si="138"/>
        <v>5631.5950000000003</v>
      </c>
      <c r="E4346" s="608"/>
      <c r="F4346" s="760">
        <f t="shared" si="137"/>
        <v>2375.941574635202</v>
      </c>
      <c r="M4346" s="443"/>
    </row>
    <row r="4347" spans="1:13">
      <c r="A4347" s="639">
        <v>62913</v>
      </c>
      <c r="B4347" s="639">
        <v>2400</v>
      </c>
      <c r="C4347" s="638">
        <v>4970.4880000000003</v>
      </c>
      <c r="D4347" s="633">
        <f t="shared" si="138"/>
        <v>4970.4880000000003</v>
      </c>
      <c r="E4347" s="608"/>
      <c r="F4347" s="760">
        <f t="shared" si="137"/>
        <v>2097.0238601009796</v>
      </c>
      <c r="M4347" s="443"/>
    </row>
    <row r="4348" spans="1:13">
      <c r="A4348" s="639">
        <v>63013</v>
      </c>
      <c r="B4348" s="639">
        <v>100</v>
      </c>
      <c r="C4348" s="638">
        <v>4565.5450000000001</v>
      </c>
      <c r="D4348" s="633">
        <f t="shared" si="138"/>
        <v>4565.5450000000001</v>
      </c>
      <c r="E4348" s="608"/>
      <c r="F4348" s="760">
        <f t="shared" si="137"/>
        <v>1926.1804473453567</v>
      </c>
      <c r="M4348" s="443"/>
    </row>
    <row r="4349" spans="1:13">
      <c r="A4349" s="639">
        <v>63013</v>
      </c>
      <c r="B4349" s="639">
        <v>200</v>
      </c>
      <c r="C4349" s="638">
        <v>4308.9719999999998</v>
      </c>
      <c r="D4349" s="633">
        <f t="shared" si="138"/>
        <v>4308.9719999999998</v>
      </c>
      <c r="E4349" s="608"/>
      <c r="F4349" s="760">
        <f t="shared" si="137"/>
        <v>1817.9335905261289</v>
      </c>
      <c r="M4349" s="443"/>
    </row>
    <row r="4350" spans="1:13">
      <c r="A4350" s="639">
        <v>63013</v>
      </c>
      <c r="B4350" s="639">
        <v>300</v>
      </c>
      <c r="C4350" s="638">
        <v>4160.8559999999998</v>
      </c>
      <c r="D4350" s="633">
        <f t="shared" si="138"/>
        <v>4160.8559999999998</v>
      </c>
      <c r="E4350" s="608"/>
      <c r="F4350" s="760">
        <f t="shared" si="137"/>
        <v>1755.4441959108083</v>
      </c>
      <c r="M4350" s="443"/>
    </row>
    <row r="4351" spans="1:13">
      <c r="A4351" s="639">
        <v>63013</v>
      </c>
      <c r="B4351" s="639">
        <v>400</v>
      </c>
      <c r="C4351" s="638">
        <v>4100.308</v>
      </c>
      <c r="D4351" s="633">
        <f t="shared" si="138"/>
        <v>4100.308</v>
      </c>
      <c r="E4351" s="608"/>
      <c r="F4351" s="760">
        <f t="shared" si="137"/>
        <v>1729.8992995784172</v>
      </c>
      <c r="M4351" s="443"/>
    </row>
    <row r="4352" spans="1:13">
      <c r="A4352" s="639">
        <v>63013</v>
      </c>
      <c r="B4352" s="639">
        <v>500</v>
      </c>
      <c r="C4352" s="638">
        <v>4058.49</v>
      </c>
      <c r="D4352" s="633">
        <f t="shared" si="138"/>
        <v>4058.49</v>
      </c>
      <c r="E4352" s="608"/>
      <c r="F4352" s="760">
        <f t="shared" si="137"/>
        <v>1712.2564959378685</v>
      </c>
      <c r="M4352" s="443"/>
    </row>
    <row r="4353" spans="1:13">
      <c r="A4353" s="639">
        <v>63013</v>
      </c>
      <c r="B4353" s="639">
        <v>600</v>
      </c>
      <c r="C4353" s="638">
        <v>4151.5739999999996</v>
      </c>
      <c r="D4353" s="633">
        <f t="shared" si="138"/>
        <v>4151.5739999999996</v>
      </c>
      <c r="E4353" s="608"/>
      <c r="F4353" s="760">
        <f t="shared" si="137"/>
        <v>1751.5281668469702</v>
      </c>
      <c r="M4353" s="443"/>
    </row>
    <row r="4354" spans="1:13">
      <c r="A4354" s="639">
        <v>63013</v>
      </c>
      <c r="B4354" s="639">
        <v>700</v>
      </c>
      <c r="C4354" s="638">
        <v>4584.6000000000004</v>
      </c>
      <c r="D4354" s="633">
        <f t="shared" si="138"/>
        <v>4584.6000000000004</v>
      </c>
      <c r="E4354" s="608"/>
      <c r="F4354" s="760">
        <f t="shared" si="137"/>
        <v>1934.2196559007791</v>
      </c>
      <c r="M4354" s="443"/>
    </row>
    <row r="4355" spans="1:13">
      <c r="A4355" s="639">
        <v>63013</v>
      </c>
      <c r="B4355" s="639">
        <v>800</v>
      </c>
      <c r="C4355" s="638">
        <v>5237.7969999999996</v>
      </c>
      <c r="D4355" s="633">
        <f t="shared" si="138"/>
        <v>5237.7969999999996</v>
      </c>
      <c r="E4355" s="608"/>
      <c r="F4355" s="760">
        <f t="shared" si="137"/>
        <v>2209.8001812629523</v>
      </c>
      <c r="M4355" s="443"/>
    </row>
    <row r="4356" spans="1:13">
      <c r="A4356" s="639">
        <v>63013</v>
      </c>
      <c r="B4356" s="639">
        <v>900</v>
      </c>
      <c r="C4356" s="638">
        <v>5726.2150000000001</v>
      </c>
      <c r="D4356" s="633">
        <f t="shared" si="138"/>
        <v>5726.2150000000001</v>
      </c>
      <c r="E4356" s="608"/>
      <c r="F4356" s="760">
        <f t="shared" ref="F4356:F4371" si="139">(D4356/(MAX($D$3652:$D$4371)))*$M$9</f>
        <v>2415.8612762103303</v>
      </c>
      <c r="M4356" s="443"/>
    </row>
    <row r="4357" spans="1:13">
      <c r="A4357" s="639">
        <v>63013</v>
      </c>
      <c r="B4357" s="639">
        <v>1000</v>
      </c>
      <c r="C4357" s="638">
        <v>6038.4380000000001</v>
      </c>
      <c r="D4357" s="633">
        <f t="shared" ref="D4357:D4420" si="140">C4357</f>
        <v>6038.4380000000001</v>
      </c>
      <c r="E4357" s="608"/>
      <c r="F4357" s="760">
        <f t="shared" si="139"/>
        <v>2547.5865878240606</v>
      </c>
      <c r="M4357" s="443"/>
    </row>
    <row r="4358" spans="1:13">
      <c r="A4358" s="639">
        <v>63013</v>
      </c>
      <c r="B4358" s="639">
        <v>1100</v>
      </c>
      <c r="C4358" s="638">
        <v>6181.8739999999998</v>
      </c>
      <c r="D4358" s="633">
        <f t="shared" si="140"/>
        <v>6181.8739999999998</v>
      </c>
      <c r="E4358" s="608"/>
      <c r="F4358" s="760">
        <f t="shared" si="139"/>
        <v>2608.1015140038326</v>
      </c>
      <c r="M4358" s="443"/>
    </row>
    <row r="4359" spans="1:13">
      <c r="A4359" s="639">
        <v>63013</v>
      </c>
      <c r="B4359" s="639">
        <v>1200</v>
      </c>
      <c r="C4359" s="638">
        <v>6467.4570000000003</v>
      </c>
      <c r="D4359" s="633">
        <f t="shared" si="140"/>
        <v>6467.4570000000003</v>
      </c>
      <c r="E4359" s="608"/>
      <c r="F4359" s="760">
        <f t="shared" si="139"/>
        <v>2728.587543753672</v>
      </c>
      <c r="M4359" s="443"/>
    </row>
    <row r="4360" spans="1:13">
      <c r="A4360" s="639">
        <v>63013</v>
      </c>
      <c r="B4360" s="639">
        <v>1300</v>
      </c>
      <c r="C4360" s="638">
        <v>6600.4030000000002</v>
      </c>
      <c r="D4360" s="633">
        <f t="shared" si="140"/>
        <v>6600.4030000000002</v>
      </c>
      <c r="E4360" s="608"/>
      <c r="F4360" s="760">
        <f t="shared" si="139"/>
        <v>2784.6767917520547</v>
      </c>
      <c r="M4360" s="443"/>
    </row>
    <row r="4361" spans="1:13">
      <c r="A4361" s="639">
        <v>63013</v>
      </c>
      <c r="B4361" s="639">
        <v>1400</v>
      </c>
      <c r="C4361" s="638">
        <v>6709.1580000000004</v>
      </c>
      <c r="D4361" s="633">
        <f t="shared" si="140"/>
        <v>6709.1580000000004</v>
      </c>
      <c r="E4361" s="608"/>
      <c r="F4361" s="760">
        <f t="shared" si="139"/>
        <v>2830.5599786554899</v>
      </c>
      <c r="M4361" s="443"/>
    </row>
    <row r="4362" spans="1:13">
      <c r="A4362" s="639">
        <v>63013</v>
      </c>
      <c r="B4362" s="639">
        <v>1500</v>
      </c>
      <c r="C4362" s="638">
        <v>6924.3959999999997</v>
      </c>
      <c r="D4362" s="633">
        <f t="shared" si="140"/>
        <v>6924.3959999999997</v>
      </c>
      <c r="E4362" s="608"/>
      <c r="F4362" s="760">
        <f t="shared" si="139"/>
        <v>2921.3678071021968</v>
      </c>
      <c r="M4362" s="443"/>
    </row>
    <row r="4363" spans="1:13">
      <c r="A4363" s="639">
        <v>63013</v>
      </c>
      <c r="B4363" s="639">
        <v>1600</v>
      </c>
      <c r="C4363" s="638">
        <v>7122.2939999999999</v>
      </c>
      <c r="D4363" s="633">
        <f t="shared" si="140"/>
        <v>7122.2939999999999</v>
      </c>
      <c r="E4363" s="608"/>
      <c r="F4363" s="760">
        <f t="shared" si="139"/>
        <v>3004.8599768582171</v>
      </c>
      <c r="M4363" s="443"/>
    </row>
    <row r="4364" spans="1:13">
      <c r="A4364" s="639">
        <v>63013</v>
      </c>
      <c r="B4364" s="639">
        <v>1700</v>
      </c>
      <c r="C4364" s="638">
        <v>7550.8850000000002</v>
      </c>
      <c r="D4364" s="633">
        <f t="shared" si="140"/>
        <v>7550.8850000000002</v>
      </c>
      <c r="E4364" s="608"/>
      <c r="F4364" s="760">
        <f t="shared" si="139"/>
        <v>3185.6803617428682</v>
      </c>
      <c r="M4364" s="443"/>
    </row>
    <row r="4365" spans="1:13">
      <c r="A4365" s="639">
        <v>63013</v>
      </c>
      <c r="B4365" s="639">
        <v>1800</v>
      </c>
      <c r="C4365" s="638">
        <v>7627.2539999999999</v>
      </c>
      <c r="D4365" s="633">
        <f t="shared" si="140"/>
        <v>7627.2539999999999</v>
      </c>
      <c r="E4365" s="608"/>
      <c r="F4365" s="760">
        <f t="shared" si="139"/>
        <v>3217.900058314322</v>
      </c>
      <c r="M4365" s="443"/>
    </row>
    <row r="4366" spans="1:13">
      <c r="A4366" s="639">
        <v>63013</v>
      </c>
      <c r="B4366" s="639">
        <v>1900</v>
      </c>
      <c r="C4366" s="638">
        <v>7322.3739999999998</v>
      </c>
      <c r="D4366" s="633">
        <f t="shared" si="140"/>
        <v>7322.3739999999998</v>
      </c>
      <c r="E4366" s="608"/>
      <c r="F4366" s="760">
        <f t="shared" si="139"/>
        <v>3089.2727214275642</v>
      </c>
      <c r="M4366" s="443"/>
    </row>
    <row r="4367" spans="1:13">
      <c r="A4367" s="639">
        <v>63013</v>
      </c>
      <c r="B4367" s="639">
        <v>2000</v>
      </c>
      <c r="C4367" s="638">
        <v>6925.4269999999997</v>
      </c>
      <c r="D4367" s="633">
        <f t="shared" si="140"/>
        <v>6925.4269999999997</v>
      </c>
      <c r="E4367" s="608"/>
      <c r="F4367" s="760">
        <f t="shared" si="139"/>
        <v>2921.8027808109678</v>
      </c>
      <c r="M4367" s="443"/>
    </row>
    <row r="4368" spans="1:13">
      <c r="A4368" s="639">
        <v>63013</v>
      </c>
      <c r="B4368" s="639">
        <v>2100</v>
      </c>
      <c r="C4368" s="638">
        <v>6900.1319999999996</v>
      </c>
      <c r="D4368" s="633">
        <f t="shared" si="140"/>
        <v>6900.1319999999996</v>
      </c>
      <c r="E4368" s="608"/>
      <c r="F4368" s="760">
        <f t="shared" si="139"/>
        <v>2911.1309476748143</v>
      </c>
      <c r="M4368" s="443"/>
    </row>
    <row r="4369" spans="1:13">
      <c r="A4369" s="639">
        <v>63013</v>
      </c>
      <c r="B4369" s="639">
        <v>2200</v>
      </c>
      <c r="C4369" s="638">
        <v>6589.7190000000001</v>
      </c>
      <c r="D4369" s="633">
        <f t="shared" si="140"/>
        <v>6589.7190000000001</v>
      </c>
      <c r="E4369" s="608"/>
      <c r="F4369" s="760">
        <f t="shared" si="139"/>
        <v>2780.169265947482</v>
      </c>
      <c r="M4369" s="443"/>
    </row>
    <row r="4370" spans="1:13">
      <c r="A4370" s="639">
        <v>63013</v>
      </c>
      <c r="B4370" s="639">
        <v>2300</v>
      </c>
      <c r="C4370" s="638">
        <v>5874.8310000000001</v>
      </c>
      <c r="D4370" s="633">
        <f t="shared" si="140"/>
        <v>5874.8310000000001</v>
      </c>
      <c r="E4370" s="608"/>
      <c r="F4370" s="760">
        <f t="shared" si="139"/>
        <v>2478.5616183080815</v>
      </c>
      <c r="M4370" s="443"/>
    </row>
    <row r="4371" spans="1:13">
      <c r="A4371" s="639">
        <v>63013</v>
      </c>
      <c r="B4371" s="639">
        <v>2400</v>
      </c>
      <c r="C4371" s="638">
        <v>5142.2669999999998</v>
      </c>
      <c r="D4371" s="633">
        <f t="shared" si="140"/>
        <v>5142.2669999999998</v>
      </c>
      <c r="E4371" s="608"/>
      <c r="F4371" s="760">
        <f t="shared" si="139"/>
        <v>2169.4965552698013</v>
      </c>
      <c r="M4371" s="443"/>
    </row>
    <row r="4372" spans="1:13">
      <c r="A4372" s="639">
        <v>70113</v>
      </c>
      <c r="B4372" s="639">
        <v>100</v>
      </c>
      <c r="C4372" s="638">
        <v>4677.732</v>
      </c>
      <c r="D4372" s="633">
        <f t="shared" si="140"/>
        <v>4677.732</v>
      </c>
      <c r="E4372" s="608"/>
      <c r="F4372" s="760">
        <f t="shared" ref="F4372:F4435" si="141">(D4372/(MAX($D$4372:$D$5115)))*$M$10</f>
        <v>1973.5115777681945</v>
      </c>
      <c r="M4372" s="443"/>
    </row>
    <row r="4373" spans="1:13">
      <c r="A4373" s="639">
        <v>70113</v>
      </c>
      <c r="B4373" s="639">
        <v>200</v>
      </c>
      <c r="C4373" s="638">
        <v>4397.4089999999997</v>
      </c>
      <c r="D4373" s="633">
        <f t="shared" si="140"/>
        <v>4397.4089999999997</v>
      </c>
      <c r="E4373" s="608"/>
      <c r="F4373" s="760">
        <f t="shared" si="141"/>
        <v>1855.2447155335228</v>
      </c>
      <c r="M4373" s="443"/>
    </row>
    <row r="4374" spans="1:13">
      <c r="A4374" s="639">
        <v>70113</v>
      </c>
      <c r="B4374" s="639">
        <v>300</v>
      </c>
      <c r="C4374" s="638">
        <v>4219.5739999999996</v>
      </c>
      <c r="D4374" s="633">
        <f t="shared" si="140"/>
        <v>4219.5739999999996</v>
      </c>
      <c r="E4374" s="608"/>
      <c r="F4374" s="760">
        <f t="shared" si="141"/>
        <v>1780.2170244575041</v>
      </c>
      <c r="M4374" s="443"/>
    </row>
    <row r="4375" spans="1:13">
      <c r="A4375" s="639">
        <v>70113</v>
      </c>
      <c r="B4375" s="639">
        <v>400</v>
      </c>
      <c r="C4375" s="638">
        <v>4146.558</v>
      </c>
      <c r="D4375" s="633">
        <f t="shared" si="140"/>
        <v>4146.558</v>
      </c>
      <c r="E4375" s="608"/>
      <c r="F4375" s="760">
        <f t="shared" si="141"/>
        <v>1749.4119417032289</v>
      </c>
      <c r="M4375" s="443"/>
    </row>
    <row r="4376" spans="1:13">
      <c r="A4376" s="639">
        <v>70113</v>
      </c>
      <c r="B4376" s="639">
        <v>500</v>
      </c>
      <c r="C4376" s="638">
        <v>4123.2070000000003</v>
      </c>
      <c r="D4376" s="633">
        <f t="shared" si="140"/>
        <v>4123.2070000000003</v>
      </c>
      <c r="E4376" s="608"/>
      <c r="F4376" s="760">
        <f t="shared" si="141"/>
        <v>1739.5602723787649</v>
      </c>
      <c r="M4376" s="443"/>
    </row>
    <row r="4377" spans="1:13">
      <c r="A4377" s="639">
        <v>70113</v>
      </c>
      <c r="B4377" s="639">
        <v>600</v>
      </c>
      <c r="C4377" s="638">
        <v>4168.2520000000004</v>
      </c>
      <c r="D4377" s="633">
        <f t="shared" si="140"/>
        <v>4168.2520000000004</v>
      </c>
      <c r="E4377" s="608"/>
      <c r="F4377" s="760">
        <f t="shared" si="141"/>
        <v>1758.5645310709192</v>
      </c>
      <c r="M4377" s="443"/>
    </row>
    <row r="4378" spans="1:13">
      <c r="A4378" s="639">
        <v>70113</v>
      </c>
      <c r="B4378" s="639">
        <v>700</v>
      </c>
      <c r="C4378" s="638">
        <v>4458.7879999999996</v>
      </c>
      <c r="D4378" s="633">
        <f t="shared" si="140"/>
        <v>4458.7879999999996</v>
      </c>
      <c r="E4378" s="608"/>
      <c r="F4378" s="760">
        <f t="shared" si="141"/>
        <v>1881.1402065817131</v>
      </c>
      <c r="M4378" s="443"/>
    </row>
    <row r="4379" spans="1:13">
      <c r="A4379" s="639">
        <v>70113</v>
      </c>
      <c r="B4379" s="639">
        <v>800</v>
      </c>
      <c r="C4379" s="638">
        <v>4860.1120000000001</v>
      </c>
      <c r="D4379" s="633">
        <f t="shared" si="140"/>
        <v>4860.1120000000001</v>
      </c>
      <c r="E4379" s="608"/>
      <c r="F4379" s="760">
        <f t="shared" si="141"/>
        <v>2050.4567814595052</v>
      </c>
      <c r="M4379" s="443"/>
    </row>
    <row r="4380" spans="1:13">
      <c r="A4380" s="639">
        <v>70113</v>
      </c>
      <c r="B4380" s="639">
        <v>900</v>
      </c>
      <c r="C4380" s="638">
        <v>5373.5820000000003</v>
      </c>
      <c r="D4380" s="633">
        <f t="shared" si="140"/>
        <v>5373.5820000000003</v>
      </c>
      <c r="E4380" s="608"/>
      <c r="F4380" s="760">
        <f t="shared" si="141"/>
        <v>2267.0871890665753</v>
      </c>
      <c r="M4380" s="443"/>
    </row>
    <row r="4381" spans="1:13">
      <c r="A4381" s="639">
        <v>70113</v>
      </c>
      <c r="B4381" s="639">
        <v>1000</v>
      </c>
      <c r="C4381" s="638">
        <v>5765.6379999999999</v>
      </c>
      <c r="D4381" s="633">
        <f t="shared" si="140"/>
        <v>5765.6379999999999</v>
      </c>
      <c r="E4381" s="608"/>
      <c r="F4381" s="760">
        <f t="shared" si="141"/>
        <v>2432.4936414100375</v>
      </c>
      <c r="M4381" s="443"/>
    </row>
    <row r="4382" spans="1:13">
      <c r="A4382" s="639">
        <v>70113</v>
      </c>
      <c r="B4382" s="639">
        <v>1100</v>
      </c>
      <c r="C4382" s="638">
        <v>6144.8829999999998</v>
      </c>
      <c r="D4382" s="633">
        <f t="shared" si="140"/>
        <v>6144.8829999999998</v>
      </c>
      <c r="E4382" s="608"/>
      <c r="F4382" s="760">
        <f t="shared" si="141"/>
        <v>2592.4951973586676</v>
      </c>
      <c r="M4382" s="443"/>
    </row>
    <row r="4383" spans="1:13">
      <c r="A4383" s="639">
        <v>70113</v>
      </c>
      <c r="B4383" s="639">
        <v>1200</v>
      </c>
      <c r="C4383" s="638">
        <v>6121.2389999999996</v>
      </c>
      <c r="D4383" s="633">
        <f t="shared" si="140"/>
        <v>6121.2389999999996</v>
      </c>
      <c r="E4383" s="608"/>
      <c r="F4383" s="760">
        <f t="shared" si="141"/>
        <v>2582.5199128094987</v>
      </c>
      <c r="M4383" s="443"/>
    </row>
    <row r="4384" spans="1:13">
      <c r="A4384" s="639">
        <v>70113</v>
      </c>
      <c r="B4384" s="639">
        <v>1300</v>
      </c>
      <c r="C4384" s="638">
        <v>6095.9930000000004</v>
      </c>
      <c r="D4384" s="633">
        <f t="shared" si="140"/>
        <v>6095.9930000000004</v>
      </c>
      <c r="E4384" s="608"/>
      <c r="F4384" s="760">
        <f t="shared" si="141"/>
        <v>2571.8687525266237</v>
      </c>
      <c r="M4384" s="443"/>
    </row>
    <row r="4385" spans="1:13">
      <c r="A4385" s="639">
        <v>70113</v>
      </c>
      <c r="B4385" s="639">
        <v>1400</v>
      </c>
      <c r="C4385" s="638">
        <v>6027.7060000000001</v>
      </c>
      <c r="D4385" s="633">
        <f t="shared" si="140"/>
        <v>6027.7060000000001</v>
      </c>
      <c r="E4385" s="608"/>
      <c r="F4385" s="760">
        <f t="shared" si="141"/>
        <v>2543.0588110611752</v>
      </c>
      <c r="M4385" s="443"/>
    </row>
    <row r="4386" spans="1:13">
      <c r="A4386" s="639">
        <v>70113</v>
      </c>
      <c r="B4386" s="639">
        <v>1500</v>
      </c>
      <c r="C4386" s="638">
        <v>6097.1610000000001</v>
      </c>
      <c r="D4386" s="633">
        <f t="shared" si="140"/>
        <v>6097.1610000000001</v>
      </c>
      <c r="E4386" s="608"/>
      <c r="F4386" s="760">
        <f t="shared" si="141"/>
        <v>2572.3615258455811</v>
      </c>
      <c r="M4386" s="443"/>
    </row>
    <row r="4387" spans="1:13">
      <c r="A4387" s="639">
        <v>70113</v>
      </c>
      <c r="B4387" s="639">
        <v>1600</v>
      </c>
      <c r="C4387" s="638">
        <v>6297.723</v>
      </c>
      <c r="D4387" s="633">
        <f t="shared" si="140"/>
        <v>6297.723</v>
      </c>
      <c r="E4387" s="608"/>
      <c r="F4387" s="760">
        <f t="shared" si="141"/>
        <v>2656.977623787991</v>
      </c>
      <c r="M4387" s="443"/>
    </row>
    <row r="4388" spans="1:13">
      <c r="A4388" s="639">
        <v>70113</v>
      </c>
      <c r="B4388" s="639">
        <v>1700</v>
      </c>
      <c r="C4388" s="638">
        <v>6558.3779999999997</v>
      </c>
      <c r="D4388" s="633">
        <f t="shared" si="140"/>
        <v>6558.3779999999997</v>
      </c>
      <c r="E4388" s="608"/>
      <c r="F4388" s="760">
        <f t="shared" si="141"/>
        <v>2766.9466558537802</v>
      </c>
      <c r="M4388" s="443"/>
    </row>
    <row r="4389" spans="1:13">
      <c r="A4389" s="639">
        <v>70113</v>
      </c>
      <c r="B4389" s="639">
        <v>1800</v>
      </c>
      <c r="C4389" s="638">
        <v>6597.0730000000003</v>
      </c>
      <c r="D4389" s="633">
        <f t="shared" si="140"/>
        <v>6597.0730000000003</v>
      </c>
      <c r="E4389" s="608"/>
      <c r="F4389" s="760">
        <f t="shared" si="141"/>
        <v>2783.2718815190688</v>
      </c>
      <c r="M4389" s="443"/>
    </row>
    <row r="4390" spans="1:13">
      <c r="A4390" s="639">
        <v>70113</v>
      </c>
      <c r="B4390" s="639">
        <v>1900</v>
      </c>
      <c r="C4390" s="638">
        <v>6467.39</v>
      </c>
      <c r="D4390" s="633">
        <f t="shared" si="140"/>
        <v>6467.39</v>
      </c>
      <c r="E4390" s="608"/>
      <c r="F4390" s="760">
        <f t="shared" si="141"/>
        <v>2728.5592767910266</v>
      </c>
      <c r="M4390" s="443"/>
    </row>
    <row r="4391" spans="1:13">
      <c r="A4391" s="639">
        <v>70113</v>
      </c>
      <c r="B4391" s="639">
        <v>2000</v>
      </c>
      <c r="C4391" s="638">
        <v>6495.9189999999999</v>
      </c>
      <c r="D4391" s="633">
        <f t="shared" si="140"/>
        <v>6495.9189999999999</v>
      </c>
      <c r="E4391" s="608"/>
      <c r="F4391" s="760">
        <f t="shared" si="141"/>
        <v>2740.59551824354</v>
      </c>
      <c r="M4391" s="443"/>
    </row>
    <row r="4392" spans="1:13">
      <c r="A4392" s="639">
        <v>70113</v>
      </c>
      <c r="B4392" s="639">
        <v>2100</v>
      </c>
      <c r="C4392" s="638">
        <v>6568.86</v>
      </c>
      <c r="D4392" s="633">
        <f t="shared" si="140"/>
        <v>6568.86</v>
      </c>
      <c r="E4392" s="608"/>
      <c r="F4392" s="760">
        <f t="shared" si="141"/>
        <v>2771.368958875451</v>
      </c>
      <c r="M4392" s="443"/>
    </row>
    <row r="4393" spans="1:13">
      <c r="A4393" s="639">
        <v>70113</v>
      </c>
      <c r="B4393" s="639">
        <v>2200</v>
      </c>
      <c r="C4393" s="638">
        <v>6182.7619999999997</v>
      </c>
      <c r="D4393" s="633">
        <f t="shared" si="140"/>
        <v>6182.7619999999997</v>
      </c>
      <c r="E4393" s="608"/>
      <c r="F4393" s="760">
        <f t="shared" si="141"/>
        <v>2608.4761567326291</v>
      </c>
      <c r="M4393" s="443"/>
    </row>
    <row r="4394" spans="1:13">
      <c r="A4394" s="639">
        <v>70113</v>
      </c>
      <c r="B4394" s="639">
        <v>2300</v>
      </c>
      <c r="C4394" s="638">
        <v>5437.1729999999998</v>
      </c>
      <c r="D4394" s="633">
        <f t="shared" si="140"/>
        <v>5437.1729999999998</v>
      </c>
      <c r="E4394" s="608"/>
      <c r="F4394" s="760">
        <f t="shared" si="141"/>
        <v>2293.9159117770378</v>
      </c>
      <c r="M4394" s="443"/>
    </row>
    <row r="4395" spans="1:13">
      <c r="A4395" s="639">
        <v>70113</v>
      </c>
      <c r="B4395" s="639">
        <v>2400</v>
      </c>
      <c r="C4395" s="638">
        <v>4782.2830000000004</v>
      </c>
      <c r="D4395" s="633">
        <f t="shared" si="140"/>
        <v>4782.2830000000004</v>
      </c>
      <c r="E4395" s="608"/>
      <c r="F4395" s="760">
        <f t="shared" si="141"/>
        <v>2017.6211182393549</v>
      </c>
      <c r="M4395" s="443"/>
    </row>
    <row r="4396" spans="1:13">
      <c r="A4396" s="639">
        <v>70213</v>
      </c>
      <c r="B4396" s="639">
        <v>100</v>
      </c>
      <c r="C4396" s="638">
        <v>4352.0590000000002</v>
      </c>
      <c r="D4396" s="633">
        <f t="shared" si="140"/>
        <v>4352.0590000000002</v>
      </c>
      <c r="E4396" s="608"/>
      <c r="F4396" s="760">
        <f t="shared" si="141"/>
        <v>1836.1117788770862</v>
      </c>
      <c r="M4396" s="443"/>
    </row>
    <row r="4397" spans="1:13">
      <c r="A4397" s="639">
        <v>70213</v>
      </c>
      <c r="B4397" s="639">
        <v>200</v>
      </c>
      <c r="C4397" s="638">
        <v>4123.3090000000002</v>
      </c>
      <c r="D4397" s="633">
        <f t="shared" si="140"/>
        <v>4123.3090000000002</v>
      </c>
      <c r="E4397" s="608"/>
      <c r="F4397" s="760">
        <f t="shared" si="141"/>
        <v>1739.6033056651804</v>
      </c>
      <c r="M4397" s="443"/>
    </row>
    <row r="4398" spans="1:13">
      <c r="A4398" s="639">
        <v>70213</v>
      </c>
      <c r="B4398" s="639">
        <v>300</v>
      </c>
      <c r="C4398" s="638">
        <v>4035.6010000000001</v>
      </c>
      <c r="D4398" s="633">
        <f t="shared" si="140"/>
        <v>4035.6010000000001</v>
      </c>
      <c r="E4398" s="608"/>
      <c r="F4398" s="760">
        <f t="shared" si="141"/>
        <v>1702.5997420871702</v>
      </c>
      <c r="M4398" s="443"/>
    </row>
    <row r="4399" spans="1:13">
      <c r="A4399" s="639">
        <v>70213</v>
      </c>
      <c r="B4399" s="639">
        <v>400</v>
      </c>
      <c r="C4399" s="638">
        <v>4069.7750000000001</v>
      </c>
      <c r="D4399" s="633">
        <f t="shared" si="140"/>
        <v>4069.7750000000001</v>
      </c>
      <c r="E4399" s="608"/>
      <c r="F4399" s="760">
        <f t="shared" si="141"/>
        <v>1717.0175806163229</v>
      </c>
      <c r="M4399" s="443"/>
    </row>
    <row r="4400" spans="1:13">
      <c r="A4400" s="639">
        <v>70213</v>
      </c>
      <c r="B4400" s="639">
        <v>500</v>
      </c>
      <c r="C4400" s="638">
        <v>4326.0879999999997</v>
      </c>
      <c r="D4400" s="633">
        <f t="shared" si="140"/>
        <v>4326.0879999999997</v>
      </c>
      <c r="E4400" s="608"/>
      <c r="F4400" s="760">
        <f t="shared" si="141"/>
        <v>1825.1547447446865</v>
      </c>
      <c r="M4400" s="443"/>
    </row>
    <row r="4401" spans="1:13">
      <c r="A4401" s="639">
        <v>70213</v>
      </c>
      <c r="B4401" s="639">
        <v>600</v>
      </c>
      <c r="C4401" s="638">
        <v>4749.7560000000003</v>
      </c>
      <c r="D4401" s="633">
        <f t="shared" si="140"/>
        <v>4749.7560000000003</v>
      </c>
      <c r="E4401" s="608"/>
      <c r="F4401" s="760">
        <f t="shared" si="141"/>
        <v>2003.898140717328</v>
      </c>
      <c r="M4401" s="443"/>
    </row>
    <row r="4402" spans="1:13">
      <c r="A4402" s="639">
        <v>70213</v>
      </c>
      <c r="B4402" s="639">
        <v>700</v>
      </c>
      <c r="C4402" s="638">
        <v>5194.72</v>
      </c>
      <c r="D4402" s="633">
        <f t="shared" si="140"/>
        <v>5194.72</v>
      </c>
      <c r="E4402" s="608"/>
      <c r="F4402" s="760">
        <f t="shared" si="141"/>
        <v>2191.6262118616446</v>
      </c>
      <c r="M4402" s="443"/>
    </row>
    <row r="4403" spans="1:13">
      <c r="A4403" s="639">
        <v>70213</v>
      </c>
      <c r="B4403" s="639">
        <v>800</v>
      </c>
      <c r="C4403" s="638">
        <v>5404.6859999999997</v>
      </c>
      <c r="D4403" s="633">
        <f t="shared" si="140"/>
        <v>5404.6859999999997</v>
      </c>
      <c r="E4403" s="608"/>
      <c r="F4403" s="760">
        <f t="shared" si="141"/>
        <v>2280.209810053605</v>
      </c>
      <c r="M4403" s="443"/>
    </row>
    <row r="4404" spans="1:13">
      <c r="A4404" s="639">
        <v>70213</v>
      </c>
      <c r="B4404" s="639">
        <v>900</v>
      </c>
      <c r="C4404" s="638">
        <v>5496.54</v>
      </c>
      <c r="D4404" s="633">
        <f t="shared" si="140"/>
        <v>5496.54</v>
      </c>
      <c r="E4404" s="608"/>
      <c r="F4404" s="760">
        <f t="shared" si="141"/>
        <v>2318.9625501559281</v>
      </c>
      <c r="M4404" s="443"/>
    </row>
    <row r="4405" spans="1:13">
      <c r="A4405" s="639">
        <v>70213</v>
      </c>
      <c r="B4405" s="639">
        <v>1000</v>
      </c>
      <c r="C4405" s="638">
        <v>5687.9769999999999</v>
      </c>
      <c r="D4405" s="633">
        <f t="shared" si="140"/>
        <v>5687.9769999999999</v>
      </c>
      <c r="E4405" s="608"/>
      <c r="F4405" s="760">
        <f t="shared" si="141"/>
        <v>2399.7288565439835</v>
      </c>
      <c r="M4405" s="443"/>
    </row>
    <row r="4406" spans="1:13">
      <c r="A4406" s="639">
        <v>70213</v>
      </c>
      <c r="B4406" s="639">
        <v>1100</v>
      </c>
      <c r="C4406" s="638">
        <v>5636.1350000000002</v>
      </c>
      <c r="D4406" s="633">
        <f t="shared" si="140"/>
        <v>5636.1350000000002</v>
      </c>
      <c r="E4406" s="608"/>
      <c r="F4406" s="760">
        <f t="shared" si="141"/>
        <v>2377.8569777756702</v>
      </c>
      <c r="M4406" s="443"/>
    </row>
    <row r="4407" spans="1:13">
      <c r="A4407" s="639">
        <v>70213</v>
      </c>
      <c r="B4407" s="639">
        <v>1200</v>
      </c>
      <c r="C4407" s="638">
        <v>5839.4290000000001</v>
      </c>
      <c r="D4407" s="633">
        <f t="shared" si="140"/>
        <v>5839.4290000000001</v>
      </c>
      <c r="E4407" s="608"/>
      <c r="F4407" s="760">
        <f t="shared" si="141"/>
        <v>2463.6256927620798</v>
      </c>
      <c r="M4407" s="443"/>
    </row>
    <row r="4408" spans="1:13">
      <c r="A4408" s="639">
        <v>70213</v>
      </c>
      <c r="B4408" s="639">
        <v>1300</v>
      </c>
      <c r="C4408" s="638">
        <v>5855.7939999999999</v>
      </c>
      <c r="D4408" s="633">
        <f t="shared" si="140"/>
        <v>5855.7939999999999</v>
      </c>
      <c r="E4408" s="608"/>
      <c r="F4408" s="760">
        <f t="shared" si="141"/>
        <v>2470.5300038620267</v>
      </c>
      <c r="M4408" s="443"/>
    </row>
    <row r="4409" spans="1:13">
      <c r="A4409" s="639">
        <v>70213</v>
      </c>
      <c r="B4409" s="639">
        <v>1400</v>
      </c>
      <c r="C4409" s="638">
        <v>5976.9390000000003</v>
      </c>
      <c r="D4409" s="633">
        <f t="shared" si="140"/>
        <v>5976.9390000000003</v>
      </c>
      <c r="E4409" s="608"/>
      <c r="F4409" s="760">
        <f t="shared" si="141"/>
        <v>2521.6404693800869</v>
      </c>
      <c r="M4409" s="443"/>
    </row>
    <row r="4410" spans="1:13">
      <c r="A4410" s="639">
        <v>70213</v>
      </c>
      <c r="B4410" s="639">
        <v>1500</v>
      </c>
      <c r="C4410" s="638">
        <v>6279.067</v>
      </c>
      <c r="D4410" s="633">
        <f t="shared" si="140"/>
        <v>6279.067</v>
      </c>
      <c r="E4410" s="608"/>
      <c r="F4410" s="760">
        <f t="shared" si="141"/>
        <v>2649.106751323548</v>
      </c>
      <c r="M4410" s="443"/>
    </row>
    <row r="4411" spans="1:13">
      <c r="A4411" s="639">
        <v>70213</v>
      </c>
      <c r="B4411" s="639">
        <v>1600</v>
      </c>
      <c r="C4411" s="638">
        <v>6689.3959999999997</v>
      </c>
      <c r="D4411" s="633">
        <f t="shared" si="140"/>
        <v>6689.3959999999997</v>
      </c>
      <c r="E4411" s="608"/>
      <c r="F4411" s="760">
        <f t="shared" si="141"/>
        <v>2822.2224903599108</v>
      </c>
      <c r="M4411" s="443"/>
    </row>
    <row r="4412" spans="1:13">
      <c r="A4412" s="639">
        <v>70213</v>
      </c>
      <c r="B4412" s="639">
        <v>1700</v>
      </c>
      <c r="C4412" s="638">
        <v>7392.9350000000004</v>
      </c>
      <c r="D4412" s="633">
        <f t="shared" si="140"/>
        <v>7392.9350000000004</v>
      </c>
      <c r="E4412" s="608"/>
      <c r="F4412" s="760">
        <f t="shared" si="141"/>
        <v>3119.0420520431067</v>
      </c>
      <c r="M4412" s="443"/>
    </row>
    <row r="4413" spans="1:13">
      <c r="A4413" s="639">
        <v>70213</v>
      </c>
      <c r="B4413" s="639">
        <v>1800</v>
      </c>
      <c r="C4413" s="638">
        <v>7462.0249999999996</v>
      </c>
      <c r="D4413" s="633">
        <f t="shared" si="140"/>
        <v>7462.0249999999996</v>
      </c>
      <c r="E4413" s="608"/>
      <c r="F4413" s="760">
        <f t="shared" si="141"/>
        <v>3148.1907751653389</v>
      </c>
      <c r="M4413" s="443"/>
    </row>
    <row r="4414" spans="1:13">
      <c r="A4414" s="639">
        <v>70213</v>
      </c>
      <c r="B4414" s="639">
        <v>1900</v>
      </c>
      <c r="C4414" s="638">
        <v>7434.3540000000003</v>
      </c>
      <c r="D4414" s="633">
        <f t="shared" si="140"/>
        <v>7434.3540000000003</v>
      </c>
      <c r="E4414" s="608"/>
      <c r="F4414" s="760">
        <f t="shared" si="141"/>
        <v>3136.5165195926756</v>
      </c>
      <c r="M4414" s="443"/>
    </row>
    <row r="4415" spans="1:13">
      <c r="A4415" s="639">
        <v>70213</v>
      </c>
      <c r="B4415" s="639">
        <v>2000</v>
      </c>
      <c r="C4415" s="638">
        <v>7375.1180000000004</v>
      </c>
      <c r="D4415" s="633">
        <f t="shared" si="140"/>
        <v>7375.1180000000004</v>
      </c>
      <c r="E4415" s="608"/>
      <c r="F4415" s="760">
        <f t="shared" si="141"/>
        <v>3111.5251494541822</v>
      </c>
      <c r="M4415" s="443"/>
    </row>
    <row r="4416" spans="1:13">
      <c r="A4416" s="639">
        <v>70213</v>
      </c>
      <c r="B4416" s="639">
        <v>2100</v>
      </c>
      <c r="C4416" s="638">
        <v>7505.8180000000002</v>
      </c>
      <c r="D4416" s="633">
        <f t="shared" si="140"/>
        <v>7505.8180000000002</v>
      </c>
      <c r="E4416" s="608"/>
      <c r="F4416" s="760">
        <f t="shared" si="141"/>
        <v>3166.6668213614876</v>
      </c>
      <c r="M4416" s="443"/>
    </row>
    <row r="4417" spans="1:13">
      <c r="A4417" s="639">
        <v>70213</v>
      </c>
      <c r="B4417" s="639">
        <v>2200</v>
      </c>
      <c r="C4417" s="638">
        <v>7050.5780000000004</v>
      </c>
      <c r="D4417" s="633">
        <f t="shared" si="140"/>
        <v>7050.5780000000004</v>
      </c>
      <c r="E4417" s="608"/>
      <c r="F4417" s="760">
        <f t="shared" si="141"/>
        <v>2974.6033575582615</v>
      </c>
      <c r="M4417" s="443"/>
    </row>
    <row r="4418" spans="1:13">
      <c r="A4418" s="639">
        <v>70213</v>
      </c>
      <c r="B4418" s="639">
        <v>2300</v>
      </c>
      <c r="C4418" s="638">
        <v>6050.48</v>
      </c>
      <c r="D4418" s="633">
        <f t="shared" si="140"/>
        <v>6050.48</v>
      </c>
      <c r="E4418" s="608"/>
      <c r="F4418" s="760">
        <f t="shared" si="141"/>
        <v>2552.6670469909141</v>
      </c>
      <c r="M4418" s="443"/>
    </row>
    <row r="4419" spans="1:13">
      <c r="A4419" s="639">
        <v>70213</v>
      </c>
      <c r="B4419" s="639">
        <v>2400</v>
      </c>
      <c r="C4419" s="638">
        <v>5142.5249999999996</v>
      </c>
      <c r="D4419" s="633">
        <f t="shared" si="140"/>
        <v>5142.5249999999996</v>
      </c>
      <c r="E4419" s="608"/>
      <c r="F4419" s="760">
        <f t="shared" si="141"/>
        <v>2169.6054041707357</v>
      </c>
      <c r="M4419" s="443"/>
    </row>
    <row r="4420" spans="1:13">
      <c r="A4420" s="639">
        <v>70313</v>
      </c>
      <c r="B4420" s="639">
        <v>100</v>
      </c>
      <c r="C4420" s="638">
        <v>4641.3710000000001</v>
      </c>
      <c r="D4420" s="633">
        <f t="shared" si="140"/>
        <v>4641.3710000000001</v>
      </c>
      <c r="E4420" s="608"/>
      <c r="F4420" s="760">
        <f t="shared" si="141"/>
        <v>1958.1710549508912</v>
      </c>
      <c r="M4420" s="443"/>
    </row>
    <row r="4421" spans="1:13">
      <c r="A4421" s="639">
        <v>70313</v>
      </c>
      <c r="B4421" s="639">
        <v>200</v>
      </c>
      <c r="C4421" s="638">
        <v>4358.3069999999998</v>
      </c>
      <c r="D4421" s="633">
        <f t="shared" ref="D4421:D4484" si="142">C4421</f>
        <v>4358.3069999999998</v>
      </c>
      <c r="E4421" s="608"/>
      <c r="F4421" s="760">
        <f t="shared" si="141"/>
        <v>1838.7477786175364</v>
      </c>
      <c r="M4421" s="443"/>
    </row>
    <row r="4422" spans="1:13">
      <c r="A4422" s="639">
        <v>70313</v>
      </c>
      <c r="B4422" s="639">
        <v>300</v>
      </c>
      <c r="C4422" s="638">
        <v>4201.2209999999995</v>
      </c>
      <c r="D4422" s="633">
        <f t="shared" si="142"/>
        <v>4201.2209999999995</v>
      </c>
      <c r="E4422" s="608"/>
      <c r="F4422" s="760">
        <f t="shared" si="141"/>
        <v>1772.4739861674141</v>
      </c>
      <c r="M4422" s="443"/>
    </row>
    <row r="4423" spans="1:13">
      <c r="A4423" s="639">
        <v>70313</v>
      </c>
      <c r="B4423" s="639">
        <v>400</v>
      </c>
      <c r="C4423" s="638">
        <v>4158.7569999999996</v>
      </c>
      <c r="D4423" s="633">
        <f t="shared" si="142"/>
        <v>4158.7569999999996</v>
      </c>
      <c r="E4423" s="608"/>
      <c r="F4423" s="760">
        <f t="shared" si="141"/>
        <v>1754.5586383795655</v>
      </c>
      <c r="M4423" s="443"/>
    </row>
    <row r="4424" spans="1:13">
      <c r="A4424" s="639">
        <v>70313</v>
      </c>
      <c r="B4424" s="639">
        <v>500</v>
      </c>
      <c r="C4424" s="638">
        <v>4334.37</v>
      </c>
      <c r="D4424" s="633">
        <f t="shared" si="142"/>
        <v>4334.37</v>
      </c>
      <c r="E4424" s="608"/>
      <c r="F4424" s="760">
        <f t="shared" si="141"/>
        <v>1828.6488788436636</v>
      </c>
      <c r="M4424" s="443"/>
    </row>
    <row r="4425" spans="1:13">
      <c r="A4425" s="639">
        <v>70313</v>
      </c>
      <c r="B4425" s="639">
        <v>600</v>
      </c>
      <c r="C4425" s="638">
        <v>4798.38</v>
      </c>
      <c r="D4425" s="633">
        <f t="shared" si="142"/>
        <v>4798.38</v>
      </c>
      <c r="E4425" s="608"/>
      <c r="F4425" s="760">
        <f t="shared" si="141"/>
        <v>2024.4123614887192</v>
      </c>
      <c r="M4425" s="443"/>
    </row>
    <row r="4426" spans="1:13">
      <c r="A4426" s="639">
        <v>70313</v>
      </c>
      <c r="B4426" s="639">
        <v>700</v>
      </c>
      <c r="C4426" s="638">
        <v>5386.549</v>
      </c>
      <c r="D4426" s="633">
        <f t="shared" si="142"/>
        <v>5386.549</v>
      </c>
      <c r="E4426" s="608"/>
      <c r="F4426" s="760">
        <f t="shared" si="141"/>
        <v>2272.5579010759252</v>
      </c>
      <c r="M4426" s="443"/>
    </row>
    <row r="4427" spans="1:13">
      <c r="A4427" s="639">
        <v>70313</v>
      </c>
      <c r="B4427" s="639">
        <v>800</v>
      </c>
      <c r="C4427" s="638">
        <v>4556.2629999999999</v>
      </c>
      <c r="D4427" s="633">
        <f t="shared" si="142"/>
        <v>4556.2629999999999</v>
      </c>
      <c r="E4427" s="608"/>
      <c r="F4427" s="760">
        <f t="shared" si="141"/>
        <v>1922.2644182815191</v>
      </c>
      <c r="M4427" s="443"/>
    </row>
    <row r="4428" spans="1:13">
      <c r="A4428" s="639">
        <v>70313</v>
      </c>
      <c r="B4428" s="639">
        <v>900</v>
      </c>
      <c r="C4428" s="638">
        <v>5463.6880000000001</v>
      </c>
      <c r="D4428" s="633">
        <f t="shared" si="142"/>
        <v>5463.6880000000001</v>
      </c>
      <c r="E4428" s="608"/>
      <c r="F4428" s="760">
        <f t="shared" si="141"/>
        <v>2305.1024567703216</v>
      </c>
      <c r="M4428" s="443"/>
    </row>
    <row r="4429" spans="1:13">
      <c r="A4429" s="639">
        <v>70313</v>
      </c>
      <c r="B4429" s="639">
        <v>1000</v>
      </c>
      <c r="C4429" s="638">
        <v>5943.4920000000002</v>
      </c>
      <c r="D4429" s="633">
        <f t="shared" si="142"/>
        <v>5943.4920000000002</v>
      </c>
      <c r="E4429" s="608"/>
      <c r="F4429" s="760">
        <f t="shared" si="141"/>
        <v>2507.5293484903882</v>
      </c>
      <c r="M4429" s="443"/>
    </row>
    <row r="4430" spans="1:13">
      <c r="A4430" s="639">
        <v>70313</v>
      </c>
      <c r="B4430" s="639">
        <v>1100</v>
      </c>
      <c r="C4430" s="638">
        <v>6306.9449999999997</v>
      </c>
      <c r="D4430" s="633">
        <f t="shared" si="142"/>
        <v>6306.9449999999997</v>
      </c>
      <c r="E4430" s="608"/>
      <c r="F4430" s="760">
        <f t="shared" si="141"/>
        <v>2660.8683391539366</v>
      </c>
      <c r="M4430" s="443"/>
    </row>
    <row r="4431" spans="1:13">
      <c r="A4431" s="639">
        <v>70313</v>
      </c>
      <c r="B4431" s="639">
        <v>1200</v>
      </c>
      <c r="C4431" s="638">
        <v>6601.9030000000002</v>
      </c>
      <c r="D4431" s="633">
        <f t="shared" si="142"/>
        <v>6601.9030000000002</v>
      </c>
      <c r="E4431" s="608"/>
      <c r="F4431" s="760">
        <f t="shared" si="141"/>
        <v>2785.309634199346</v>
      </c>
      <c r="M4431" s="443"/>
    </row>
    <row r="4432" spans="1:13">
      <c r="A4432" s="639">
        <v>70313</v>
      </c>
      <c r="B4432" s="639">
        <v>1300</v>
      </c>
      <c r="C4432" s="638">
        <v>6877.06</v>
      </c>
      <c r="D4432" s="633">
        <f t="shared" si="142"/>
        <v>6877.06</v>
      </c>
      <c r="E4432" s="608"/>
      <c r="F4432" s="760">
        <f t="shared" si="141"/>
        <v>2901.3969870455471</v>
      </c>
      <c r="M4432" s="443"/>
    </row>
    <row r="4433" spans="1:13">
      <c r="A4433" s="639">
        <v>70313</v>
      </c>
      <c r="B4433" s="639">
        <v>1400</v>
      </c>
      <c r="C4433" s="638">
        <v>7354.0020000000004</v>
      </c>
      <c r="D4433" s="633">
        <f t="shared" si="142"/>
        <v>7354.0020000000004</v>
      </c>
      <c r="E4433" s="608"/>
      <c r="F4433" s="760">
        <f t="shared" si="141"/>
        <v>3102.6164153761815</v>
      </c>
      <c r="M4433" s="443"/>
    </row>
    <row r="4434" spans="1:13">
      <c r="A4434" s="639">
        <v>70313</v>
      </c>
      <c r="B4434" s="639">
        <v>1500</v>
      </c>
      <c r="C4434" s="638">
        <v>7793.1019999999999</v>
      </c>
      <c r="D4434" s="633">
        <f t="shared" si="142"/>
        <v>7793.1019999999999</v>
      </c>
      <c r="E4434" s="608"/>
      <c r="F4434" s="760">
        <f t="shared" si="141"/>
        <v>3287.8704944465549</v>
      </c>
      <c r="M4434" s="443"/>
    </row>
    <row r="4435" spans="1:13">
      <c r="A4435" s="639">
        <v>70313</v>
      </c>
      <c r="B4435" s="639">
        <v>1600</v>
      </c>
      <c r="C4435" s="638">
        <v>8346.0550000000003</v>
      </c>
      <c r="D4435" s="633">
        <f t="shared" si="142"/>
        <v>8346.0550000000003</v>
      </c>
      <c r="E4435" s="608"/>
      <c r="F4435" s="760">
        <f t="shared" si="141"/>
        <v>3521.158580951223</v>
      </c>
      <c r="M4435" s="443"/>
    </row>
    <row r="4436" spans="1:13">
      <c r="A4436" s="639">
        <v>70313</v>
      </c>
      <c r="B4436" s="639">
        <v>1700</v>
      </c>
      <c r="C4436" s="638">
        <v>9006.5400000000009</v>
      </c>
      <c r="D4436" s="633">
        <f t="shared" si="142"/>
        <v>9006.5400000000009</v>
      </c>
      <c r="E4436" s="608"/>
      <c r="F4436" s="760">
        <f t="shared" ref="F4436:F4499" si="143">(D4436/(MAX($D$4372:$D$5115)))*$M$10</f>
        <v>3799.813876817303</v>
      </c>
      <c r="M4436" s="443"/>
    </row>
    <row r="4437" spans="1:13">
      <c r="A4437" s="639">
        <v>70313</v>
      </c>
      <c r="B4437" s="639">
        <v>1800</v>
      </c>
      <c r="C4437" s="638">
        <v>8839.3860000000004</v>
      </c>
      <c r="D4437" s="633">
        <f t="shared" si="142"/>
        <v>8839.3860000000004</v>
      </c>
      <c r="E4437" s="608"/>
      <c r="F4437" s="760">
        <f t="shared" si="143"/>
        <v>3729.2924458609618</v>
      </c>
      <c r="M4437" s="443"/>
    </row>
    <row r="4438" spans="1:13">
      <c r="A4438" s="639">
        <v>70313</v>
      </c>
      <c r="B4438" s="639">
        <v>1900</v>
      </c>
      <c r="C4438" s="638">
        <v>8785.4689999999991</v>
      </c>
      <c r="D4438" s="633">
        <f t="shared" si="142"/>
        <v>8785.4689999999991</v>
      </c>
      <c r="E4438" s="608"/>
      <c r="F4438" s="760">
        <f t="shared" si="143"/>
        <v>3706.5451350405619</v>
      </c>
      <c r="M4438" s="443"/>
    </row>
    <row r="4439" spans="1:13">
      <c r="A4439" s="639">
        <v>70313</v>
      </c>
      <c r="B4439" s="639">
        <v>2000</v>
      </c>
      <c r="C4439" s="638">
        <v>8704.4410000000007</v>
      </c>
      <c r="D4439" s="633">
        <f t="shared" si="142"/>
        <v>8704.4410000000007</v>
      </c>
      <c r="E4439" s="608"/>
      <c r="F4439" s="760">
        <f t="shared" si="143"/>
        <v>3672.3598298278225</v>
      </c>
      <c r="M4439" s="443"/>
    </row>
    <row r="4440" spans="1:13">
      <c r="A4440" s="639">
        <v>70313</v>
      </c>
      <c r="B4440" s="639">
        <v>2100</v>
      </c>
      <c r="C4440" s="638">
        <v>8767.5499999999993</v>
      </c>
      <c r="D4440" s="633">
        <f t="shared" si="142"/>
        <v>8767.5499999999993</v>
      </c>
      <c r="E4440" s="608"/>
      <c r="F4440" s="760">
        <f t="shared" si="143"/>
        <v>3698.9851991652217</v>
      </c>
      <c r="M4440" s="443"/>
    </row>
    <row r="4441" spans="1:13">
      <c r="A4441" s="639">
        <v>70313</v>
      </c>
      <c r="B4441" s="639">
        <v>2200</v>
      </c>
      <c r="C4441" s="638">
        <v>8134.0339999999997</v>
      </c>
      <c r="D4441" s="633">
        <f t="shared" si="142"/>
        <v>8134.0339999999997</v>
      </c>
      <c r="E4441" s="608"/>
      <c r="F4441" s="760">
        <f t="shared" si="143"/>
        <v>3431.7079886064735</v>
      </c>
      <c r="M4441" s="443"/>
    </row>
    <row r="4442" spans="1:13">
      <c r="A4442" s="639">
        <v>70313</v>
      </c>
      <c r="B4442" s="639">
        <v>2300</v>
      </c>
      <c r="C4442" s="638">
        <v>6867.8940000000002</v>
      </c>
      <c r="D4442" s="633">
        <f t="shared" si="142"/>
        <v>6867.8940000000002</v>
      </c>
      <c r="E4442" s="608"/>
      <c r="F4442" s="760">
        <f t="shared" si="143"/>
        <v>2897.5298977976327</v>
      </c>
      <c r="M4442" s="443"/>
    </row>
    <row r="4443" spans="1:13">
      <c r="A4443" s="639">
        <v>70313</v>
      </c>
      <c r="B4443" s="639">
        <v>2400</v>
      </c>
      <c r="C4443" s="638">
        <v>5902.5780000000004</v>
      </c>
      <c r="D4443" s="633">
        <f t="shared" si="142"/>
        <v>5902.5780000000004</v>
      </c>
      <c r="E4443" s="608"/>
      <c r="F4443" s="760">
        <f t="shared" si="143"/>
        <v>2490.2679378980743</v>
      </c>
      <c r="M4443" s="443"/>
    </row>
    <row r="4444" spans="1:13">
      <c r="A4444" s="639">
        <v>70413</v>
      </c>
      <c r="B4444" s="639">
        <v>100</v>
      </c>
      <c r="C4444" s="638">
        <v>5363.491</v>
      </c>
      <c r="D4444" s="633">
        <f t="shared" si="142"/>
        <v>5363.491</v>
      </c>
      <c r="E4444" s="608"/>
      <c r="F4444" s="760">
        <f t="shared" si="143"/>
        <v>2262.8298469761653</v>
      </c>
      <c r="M4444" s="443"/>
    </row>
    <row r="4445" spans="1:13">
      <c r="A4445" s="639">
        <v>70413</v>
      </c>
      <c r="B4445" s="639">
        <v>200</v>
      </c>
      <c r="C4445" s="638">
        <v>5048.5060000000003</v>
      </c>
      <c r="D4445" s="633">
        <f t="shared" si="142"/>
        <v>5048.5060000000003</v>
      </c>
      <c r="E4445" s="608"/>
      <c r="F4445" s="760">
        <f t="shared" si="143"/>
        <v>2129.9392614694893</v>
      </c>
      <c r="M4445" s="443"/>
    </row>
    <row r="4446" spans="1:13">
      <c r="A4446" s="639">
        <v>70413</v>
      </c>
      <c r="B4446" s="639">
        <v>300</v>
      </c>
      <c r="C4446" s="638">
        <v>4787.1490000000003</v>
      </c>
      <c r="D4446" s="633">
        <f t="shared" si="142"/>
        <v>4787.1490000000003</v>
      </c>
      <c r="E4446" s="608"/>
      <c r="F4446" s="760">
        <f t="shared" si="143"/>
        <v>2019.6740591383675</v>
      </c>
      <c r="M4446" s="443"/>
    </row>
    <row r="4447" spans="1:13">
      <c r="A4447" s="639">
        <v>70413</v>
      </c>
      <c r="B4447" s="639">
        <v>400</v>
      </c>
      <c r="C4447" s="638">
        <v>4703.6220000000003</v>
      </c>
      <c r="D4447" s="633">
        <f t="shared" si="142"/>
        <v>4703.6220000000003</v>
      </c>
      <c r="E4447" s="608"/>
      <c r="F4447" s="760">
        <f t="shared" si="143"/>
        <v>1984.4344384084402</v>
      </c>
      <c r="M4447" s="443"/>
    </row>
    <row r="4448" spans="1:13">
      <c r="A4448" s="639">
        <v>70413</v>
      </c>
      <c r="B4448" s="639">
        <v>500</v>
      </c>
      <c r="C4448" s="638">
        <v>4898.97</v>
      </c>
      <c r="D4448" s="633">
        <f t="shared" si="142"/>
        <v>4898.97</v>
      </c>
      <c r="E4448" s="608"/>
      <c r="F4448" s="760">
        <f t="shared" si="143"/>
        <v>2066.8507760040661</v>
      </c>
      <c r="M4448" s="443"/>
    </row>
    <row r="4449" spans="1:13">
      <c r="A4449" s="639">
        <v>70413</v>
      </c>
      <c r="B4449" s="639">
        <v>600</v>
      </c>
      <c r="C4449" s="638">
        <v>5307.8969999999999</v>
      </c>
      <c r="D4449" s="633">
        <f t="shared" si="142"/>
        <v>5307.8969999999999</v>
      </c>
      <c r="E4449" s="608"/>
      <c r="F4449" s="760">
        <f t="shared" si="143"/>
        <v>2239.3750182996941</v>
      </c>
      <c r="M4449" s="443"/>
    </row>
    <row r="4450" spans="1:13">
      <c r="A4450" s="639">
        <v>70413</v>
      </c>
      <c r="B4450" s="639">
        <v>700</v>
      </c>
      <c r="C4450" s="638">
        <v>5975.8950000000004</v>
      </c>
      <c r="D4450" s="633">
        <f t="shared" si="142"/>
        <v>5975.8950000000004</v>
      </c>
      <c r="E4450" s="608"/>
      <c r="F4450" s="760">
        <f t="shared" si="143"/>
        <v>2521.2000110367726</v>
      </c>
      <c r="M4450" s="443"/>
    </row>
    <row r="4451" spans="1:13">
      <c r="A4451" s="639">
        <v>70413</v>
      </c>
      <c r="B4451" s="639">
        <v>800</v>
      </c>
      <c r="C4451" s="638">
        <v>6386.0569999999998</v>
      </c>
      <c r="D4451" s="633">
        <f t="shared" si="142"/>
        <v>6386.0569999999998</v>
      </c>
      <c r="E4451" s="608"/>
      <c r="F4451" s="760">
        <f t="shared" si="143"/>
        <v>2694.2452936140039</v>
      </c>
      <c r="M4451" s="443"/>
    </row>
    <row r="4452" spans="1:13">
      <c r="A4452" s="639">
        <v>70413</v>
      </c>
      <c r="B4452" s="639">
        <v>900</v>
      </c>
      <c r="C4452" s="638">
        <v>6501.0720000000001</v>
      </c>
      <c r="D4452" s="633">
        <f t="shared" si="142"/>
        <v>6501.0720000000001</v>
      </c>
      <c r="E4452" s="608"/>
      <c r="F4452" s="760">
        <f t="shared" si="143"/>
        <v>2742.7695429974679</v>
      </c>
      <c r="M4452" s="443"/>
    </row>
    <row r="4453" spans="1:13">
      <c r="A4453" s="639">
        <v>70413</v>
      </c>
      <c r="B4453" s="639">
        <v>1000</v>
      </c>
      <c r="C4453" s="638">
        <v>6650.6</v>
      </c>
      <c r="D4453" s="633">
        <f t="shared" si="142"/>
        <v>6650.6</v>
      </c>
      <c r="E4453" s="608"/>
      <c r="F4453" s="760">
        <f t="shared" si="143"/>
        <v>2805.8546533031717</v>
      </c>
      <c r="M4453" s="443"/>
    </row>
    <row r="4454" spans="1:13">
      <c r="A4454" s="639">
        <v>70413</v>
      </c>
      <c r="B4454" s="639">
        <v>1100</v>
      </c>
      <c r="C4454" s="638">
        <v>6891.06</v>
      </c>
      <c r="D4454" s="633">
        <f t="shared" si="142"/>
        <v>6891.06</v>
      </c>
      <c r="E4454" s="608"/>
      <c r="F4454" s="760">
        <f t="shared" si="143"/>
        <v>2907.3035165535975</v>
      </c>
      <c r="M4454" s="443"/>
    </row>
    <row r="4455" spans="1:13">
      <c r="A4455" s="639">
        <v>70413</v>
      </c>
      <c r="B4455" s="639">
        <v>1200</v>
      </c>
      <c r="C4455" s="638">
        <v>7176.6639999999998</v>
      </c>
      <c r="D4455" s="633">
        <f t="shared" si="142"/>
        <v>7176.6639999999998</v>
      </c>
      <c r="E4455" s="608"/>
      <c r="F4455" s="760">
        <f t="shared" si="143"/>
        <v>3027.7984060976987</v>
      </c>
      <c r="M4455" s="443"/>
    </row>
    <row r="4456" spans="1:13">
      <c r="A4456" s="639">
        <v>70413</v>
      </c>
      <c r="B4456" s="639">
        <v>1300</v>
      </c>
      <c r="C4456" s="638">
        <v>7379.8069999999998</v>
      </c>
      <c r="D4456" s="633">
        <f t="shared" si="142"/>
        <v>7379.8069999999998</v>
      </c>
      <c r="E4456" s="608"/>
      <c r="F4456" s="760">
        <f t="shared" si="143"/>
        <v>3113.5034149444141</v>
      </c>
      <c r="M4456" s="443"/>
    </row>
    <row r="4457" spans="1:13">
      <c r="A4457" s="639">
        <v>70413</v>
      </c>
      <c r="B4457" s="639">
        <v>1400</v>
      </c>
      <c r="C4457" s="638">
        <v>7749.4269999999997</v>
      </c>
      <c r="D4457" s="633">
        <f t="shared" si="142"/>
        <v>7749.4269999999997</v>
      </c>
      <c r="E4457" s="608"/>
      <c r="F4457" s="760">
        <f t="shared" si="143"/>
        <v>3269.4442318562596</v>
      </c>
      <c r="M4457" s="443"/>
    </row>
    <row r="4458" spans="1:13">
      <c r="A4458" s="639">
        <v>70413</v>
      </c>
      <c r="B4458" s="639">
        <v>1500</v>
      </c>
      <c r="C4458" s="638">
        <v>8117.4440000000004</v>
      </c>
      <c r="D4458" s="633">
        <f t="shared" si="142"/>
        <v>8117.4440000000004</v>
      </c>
      <c r="E4458" s="608"/>
      <c r="F4458" s="760">
        <f t="shared" si="143"/>
        <v>3424.7087511394329</v>
      </c>
      <c r="M4458" s="443"/>
    </row>
    <row r="4459" spans="1:13">
      <c r="A4459" s="639">
        <v>70413</v>
      </c>
      <c r="B4459" s="639">
        <v>1600</v>
      </c>
      <c r="C4459" s="638">
        <v>8703.19</v>
      </c>
      <c r="D4459" s="633">
        <f t="shared" si="142"/>
        <v>8703.19</v>
      </c>
      <c r="E4459" s="608"/>
      <c r="F4459" s="760">
        <f t="shared" si="143"/>
        <v>3671.8320392267815</v>
      </c>
      <c r="M4459" s="443"/>
    </row>
    <row r="4460" spans="1:13">
      <c r="A4460" s="639">
        <v>70413</v>
      </c>
      <c r="B4460" s="639">
        <v>1700</v>
      </c>
      <c r="C4460" s="638">
        <v>9252.5759999999991</v>
      </c>
      <c r="D4460" s="633">
        <f t="shared" si="142"/>
        <v>9252.5759999999991</v>
      </c>
      <c r="E4460" s="608"/>
      <c r="F4460" s="760">
        <f t="shared" si="143"/>
        <v>3903.6152263917911</v>
      </c>
      <c r="M4460" s="443"/>
    </row>
    <row r="4461" spans="1:13">
      <c r="A4461" s="639">
        <v>70413</v>
      </c>
      <c r="B4461" s="639">
        <v>1800</v>
      </c>
      <c r="C4461" s="638">
        <v>9254.1309999999994</v>
      </c>
      <c r="D4461" s="633">
        <f t="shared" si="142"/>
        <v>9254.1309999999994</v>
      </c>
      <c r="E4461" s="608"/>
      <c r="F4461" s="760">
        <f t="shared" si="143"/>
        <v>3904.2712730621497</v>
      </c>
      <c r="M4461" s="443"/>
    </row>
    <row r="4462" spans="1:13">
      <c r="A4462" s="639">
        <v>70413</v>
      </c>
      <c r="B4462" s="639">
        <v>1900</v>
      </c>
      <c r="C4462" s="638">
        <v>9281.2369999999992</v>
      </c>
      <c r="D4462" s="633">
        <f t="shared" si="142"/>
        <v>9281.2369999999992</v>
      </c>
      <c r="E4462" s="608"/>
      <c r="F4462" s="760">
        <f t="shared" si="143"/>
        <v>3915.7071579796666</v>
      </c>
      <c r="M4462" s="443"/>
    </row>
    <row r="4463" spans="1:13">
      <c r="A4463" s="639">
        <v>70413</v>
      </c>
      <c r="B4463" s="639">
        <v>2000</v>
      </c>
      <c r="C4463" s="638">
        <v>9175.5139999999992</v>
      </c>
      <c r="D4463" s="633">
        <f t="shared" si="142"/>
        <v>9175.5139999999992</v>
      </c>
      <c r="E4463" s="608"/>
      <c r="F4463" s="760">
        <f t="shared" si="143"/>
        <v>3871.1031566096894</v>
      </c>
      <c r="M4463" s="443"/>
    </row>
    <row r="4464" spans="1:13">
      <c r="A4464" s="639">
        <v>70413</v>
      </c>
      <c r="B4464" s="639">
        <v>2100</v>
      </c>
      <c r="C4464" s="638">
        <v>9139.3330000000005</v>
      </c>
      <c r="D4464" s="633">
        <f t="shared" si="142"/>
        <v>9139.3330000000005</v>
      </c>
      <c r="E4464" s="608"/>
      <c r="F4464" s="760">
        <f t="shared" si="143"/>
        <v>3855.8385748860615</v>
      </c>
      <c r="M4464" s="443"/>
    </row>
    <row r="4465" spans="1:13">
      <c r="A4465" s="639">
        <v>70413</v>
      </c>
      <c r="B4465" s="639">
        <v>2200</v>
      </c>
      <c r="C4465" s="638">
        <v>8549.8790000000008</v>
      </c>
      <c r="D4465" s="633">
        <f t="shared" si="142"/>
        <v>8549.8790000000008</v>
      </c>
      <c r="E4465" s="608"/>
      <c r="F4465" s="760">
        <f t="shared" si="143"/>
        <v>3607.1509002690095</v>
      </c>
      <c r="M4465" s="443"/>
    </row>
    <row r="4466" spans="1:13">
      <c r="A4466" s="639">
        <v>70413</v>
      </c>
      <c r="B4466" s="639">
        <v>2300</v>
      </c>
      <c r="C4466" s="638">
        <v>7411.2740000000003</v>
      </c>
      <c r="D4466" s="633">
        <f t="shared" si="142"/>
        <v>7411.2740000000003</v>
      </c>
      <c r="E4466" s="608"/>
      <c r="F4466" s="760">
        <f t="shared" si="143"/>
        <v>3126.7791838036892</v>
      </c>
      <c r="M4466" s="443"/>
    </row>
    <row r="4467" spans="1:13">
      <c r="A4467" s="639">
        <v>70413</v>
      </c>
      <c r="B4467" s="639">
        <v>2400</v>
      </c>
      <c r="C4467" s="638">
        <v>6334.7380000000003</v>
      </c>
      <c r="D4467" s="633">
        <f t="shared" si="142"/>
        <v>6334.7380000000003</v>
      </c>
      <c r="E4467" s="608"/>
      <c r="F4467" s="760">
        <f t="shared" si="143"/>
        <v>2672.594065912313</v>
      </c>
      <c r="M4467" s="443"/>
    </row>
    <row r="4468" spans="1:13">
      <c r="A4468" s="639">
        <v>70513</v>
      </c>
      <c r="B4468" s="639">
        <v>100</v>
      </c>
      <c r="C4468" s="638">
        <v>5690.402</v>
      </c>
      <c r="D4468" s="633">
        <f t="shared" si="142"/>
        <v>5690.402</v>
      </c>
      <c r="E4468" s="608"/>
      <c r="F4468" s="760">
        <f t="shared" si="143"/>
        <v>2400.7519518337708</v>
      </c>
      <c r="M4468" s="443"/>
    </row>
    <row r="4469" spans="1:13">
      <c r="A4469" s="639">
        <v>70513</v>
      </c>
      <c r="B4469" s="639">
        <v>200</v>
      </c>
      <c r="C4469" s="638">
        <v>5192.5140000000001</v>
      </c>
      <c r="D4469" s="633">
        <f t="shared" si="142"/>
        <v>5192.5140000000001</v>
      </c>
      <c r="E4469" s="608"/>
      <c r="F4469" s="760">
        <f t="shared" si="143"/>
        <v>2190.6955115691617</v>
      </c>
      <c r="M4469" s="443"/>
    </row>
    <row r="4470" spans="1:13">
      <c r="A4470" s="639">
        <v>70513</v>
      </c>
      <c r="B4470" s="639">
        <v>300</v>
      </c>
      <c r="C4470" s="638">
        <v>4987.1710000000003</v>
      </c>
      <c r="D4470" s="633">
        <f t="shared" si="142"/>
        <v>4987.1710000000003</v>
      </c>
      <c r="E4470" s="608"/>
      <c r="F4470" s="760">
        <f t="shared" si="143"/>
        <v>2104.0623337997527</v>
      </c>
      <c r="M4470" s="443"/>
    </row>
    <row r="4471" spans="1:13">
      <c r="A4471" s="639">
        <v>70513</v>
      </c>
      <c r="B4471" s="639">
        <v>400</v>
      </c>
      <c r="C4471" s="638">
        <v>4845.9350000000004</v>
      </c>
      <c r="D4471" s="633">
        <f t="shared" si="142"/>
        <v>4845.9350000000004</v>
      </c>
      <c r="E4471" s="608"/>
      <c r="F4471" s="760">
        <f t="shared" si="143"/>
        <v>2044.4755765426739</v>
      </c>
      <c r="M4471" s="443"/>
    </row>
    <row r="4472" spans="1:13">
      <c r="A4472" s="639">
        <v>70513</v>
      </c>
      <c r="B4472" s="639">
        <v>500</v>
      </c>
      <c r="C4472" s="638">
        <v>4944.1729999999998</v>
      </c>
      <c r="D4472" s="633">
        <f t="shared" si="142"/>
        <v>4944.1729999999998</v>
      </c>
      <c r="E4472" s="608"/>
      <c r="F4472" s="760">
        <f t="shared" si="143"/>
        <v>2085.921694100668</v>
      </c>
      <c r="M4472" s="443"/>
    </row>
    <row r="4473" spans="1:13">
      <c r="A4473" s="639">
        <v>70513</v>
      </c>
      <c r="B4473" s="639">
        <v>600</v>
      </c>
      <c r="C4473" s="638">
        <v>5362.7209999999995</v>
      </c>
      <c r="D4473" s="633">
        <f t="shared" si="142"/>
        <v>5362.7209999999995</v>
      </c>
      <c r="E4473" s="608"/>
      <c r="F4473" s="760">
        <f t="shared" si="143"/>
        <v>2262.5049878532218</v>
      </c>
      <c r="M4473" s="443"/>
    </row>
    <row r="4474" spans="1:13">
      <c r="A4474" s="639">
        <v>70513</v>
      </c>
      <c r="B4474" s="639">
        <v>700</v>
      </c>
      <c r="C4474" s="638">
        <v>5971.4080000000004</v>
      </c>
      <c r="D4474" s="633">
        <f t="shared" si="142"/>
        <v>5971.4080000000004</v>
      </c>
      <c r="E4474" s="608"/>
      <c r="F4474" s="760">
        <f t="shared" si="143"/>
        <v>2519.306968329442</v>
      </c>
      <c r="M4474" s="443"/>
    </row>
    <row r="4475" spans="1:13">
      <c r="A4475" s="639">
        <v>70513</v>
      </c>
      <c r="B4475" s="639">
        <v>800</v>
      </c>
      <c r="C4475" s="638">
        <v>6274.3940000000002</v>
      </c>
      <c r="D4475" s="633">
        <f t="shared" si="142"/>
        <v>6274.3940000000002</v>
      </c>
      <c r="E4475" s="608"/>
      <c r="F4475" s="760">
        <f t="shared" si="143"/>
        <v>2647.1352361527534</v>
      </c>
      <c r="M4475" s="443"/>
    </row>
    <row r="4476" spans="1:13">
      <c r="A4476" s="639">
        <v>70513</v>
      </c>
      <c r="B4476" s="639">
        <v>900</v>
      </c>
      <c r="C4476" s="638">
        <v>6665.4229999999998</v>
      </c>
      <c r="D4476" s="633">
        <f t="shared" si="142"/>
        <v>6665.4229999999998</v>
      </c>
      <c r="E4476" s="608"/>
      <c r="F4476" s="760">
        <f t="shared" si="143"/>
        <v>2812.1084023673034</v>
      </c>
      <c r="M4476" s="443"/>
    </row>
    <row r="4477" spans="1:13">
      <c r="A4477" s="639">
        <v>70513</v>
      </c>
      <c r="B4477" s="639">
        <v>1000</v>
      </c>
      <c r="C4477" s="638">
        <v>6913.7020000000002</v>
      </c>
      <c r="D4477" s="633">
        <f t="shared" si="142"/>
        <v>6913.7020000000002</v>
      </c>
      <c r="E4477" s="608"/>
      <c r="F4477" s="760">
        <f t="shared" si="143"/>
        <v>2916.8560623479757</v>
      </c>
      <c r="M4477" s="443"/>
    </row>
    <row r="4478" spans="1:13">
      <c r="A4478" s="639">
        <v>70513</v>
      </c>
      <c r="B4478" s="639">
        <v>1100</v>
      </c>
      <c r="C4478" s="638">
        <v>7003.4859999999999</v>
      </c>
      <c r="D4478" s="633">
        <f t="shared" si="142"/>
        <v>7003.4859999999999</v>
      </c>
      <c r="E4478" s="608"/>
      <c r="F4478" s="760">
        <f t="shared" si="143"/>
        <v>2954.7354798730366</v>
      </c>
      <c r="M4478" s="443"/>
    </row>
    <row r="4479" spans="1:13">
      <c r="A4479" s="639">
        <v>70513</v>
      </c>
      <c r="B4479" s="639">
        <v>1200</v>
      </c>
      <c r="C4479" s="638">
        <v>6768.3059999999996</v>
      </c>
      <c r="D4479" s="633">
        <f t="shared" si="142"/>
        <v>6768.3059999999996</v>
      </c>
      <c r="E4479" s="608"/>
      <c r="F4479" s="760">
        <f t="shared" si="143"/>
        <v>2855.5142220370763</v>
      </c>
      <c r="M4479" s="443"/>
    </row>
    <row r="4480" spans="1:13">
      <c r="A4480" s="639">
        <v>70513</v>
      </c>
      <c r="B4480" s="639">
        <v>1300</v>
      </c>
      <c r="C4480" s="638">
        <v>6930.5690000000004</v>
      </c>
      <c r="D4480" s="633">
        <f t="shared" si="142"/>
        <v>6930.5690000000004</v>
      </c>
      <c r="E4480" s="608"/>
      <c r="F4480" s="760">
        <f t="shared" si="143"/>
        <v>2923.9721647202828</v>
      </c>
      <c r="M4480" s="443"/>
    </row>
    <row r="4481" spans="1:13">
      <c r="A4481" s="639">
        <v>70513</v>
      </c>
      <c r="B4481" s="639">
        <v>1400</v>
      </c>
      <c r="C4481" s="638">
        <v>7102.7139999999999</v>
      </c>
      <c r="D4481" s="633">
        <f t="shared" si="142"/>
        <v>7102.7139999999999</v>
      </c>
      <c r="E4481" s="608"/>
      <c r="F4481" s="760">
        <f t="shared" si="143"/>
        <v>2996.5992734462434</v>
      </c>
      <c r="M4481" s="443"/>
    </row>
    <row r="4482" spans="1:13">
      <c r="A4482" s="639">
        <v>70513</v>
      </c>
      <c r="B4482" s="639">
        <v>1500</v>
      </c>
      <c r="C4482" s="638">
        <v>7589.9579999999996</v>
      </c>
      <c r="D4482" s="633">
        <f t="shared" si="142"/>
        <v>7589.9579999999996</v>
      </c>
      <c r="E4482" s="608"/>
      <c r="F4482" s="760">
        <f t="shared" si="143"/>
        <v>3202.1650637048742</v>
      </c>
      <c r="M4482" s="443"/>
    </row>
    <row r="4483" spans="1:13">
      <c r="A4483" s="639">
        <v>70513</v>
      </c>
      <c r="B4483" s="639">
        <v>1600</v>
      </c>
      <c r="C4483" s="638">
        <v>7738.1509999999998</v>
      </c>
      <c r="D4483" s="633">
        <f t="shared" si="142"/>
        <v>7738.1509999999998</v>
      </c>
      <c r="E4483" s="608"/>
      <c r="F4483" s="760">
        <f t="shared" si="143"/>
        <v>3264.6869442324896</v>
      </c>
      <c r="M4483" s="443"/>
    </row>
    <row r="4484" spans="1:13">
      <c r="A4484" s="639">
        <v>70513</v>
      </c>
      <c r="B4484" s="639">
        <v>1700</v>
      </c>
      <c r="C4484" s="638">
        <v>8118.2150000000001</v>
      </c>
      <c r="D4484" s="633">
        <f t="shared" si="142"/>
        <v>8118.2150000000001</v>
      </c>
      <c r="E4484" s="608"/>
      <c r="F4484" s="760">
        <f t="shared" si="143"/>
        <v>3425.0340321573408</v>
      </c>
      <c r="M4484" s="443"/>
    </row>
    <row r="4485" spans="1:13">
      <c r="A4485" s="639">
        <v>70513</v>
      </c>
      <c r="B4485" s="639">
        <v>1800</v>
      </c>
      <c r="C4485" s="638">
        <v>7969.076</v>
      </c>
      <c r="D4485" s="633">
        <f t="shared" ref="D4485:D4548" si="144">C4485</f>
        <v>7969.076</v>
      </c>
      <c r="E4485" s="608"/>
      <c r="F4485" s="760">
        <f t="shared" si="143"/>
        <v>3362.1130389929672</v>
      </c>
      <c r="M4485" s="443"/>
    </row>
    <row r="4486" spans="1:13">
      <c r="A4486" s="639">
        <v>70513</v>
      </c>
      <c r="B4486" s="639">
        <v>1900</v>
      </c>
      <c r="C4486" s="638">
        <v>8013.3379999999997</v>
      </c>
      <c r="D4486" s="633">
        <f t="shared" si="144"/>
        <v>8013.3379999999997</v>
      </c>
      <c r="E4486" s="608"/>
      <c r="F4486" s="760">
        <f t="shared" si="143"/>
        <v>3380.7869539276353</v>
      </c>
      <c r="M4486" s="443"/>
    </row>
    <row r="4487" spans="1:13">
      <c r="A4487" s="639">
        <v>70513</v>
      </c>
      <c r="B4487" s="639">
        <v>2000</v>
      </c>
      <c r="C4487" s="638">
        <v>8002.6120000000001</v>
      </c>
      <c r="D4487" s="633">
        <f t="shared" si="144"/>
        <v>8002.6120000000001</v>
      </c>
      <c r="E4487" s="608"/>
      <c r="F4487" s="760">
        <f t="shared" si="143"/>
        <v>3376.2617085345387</v>
      </c>
      <c r="M4487" s="443"/>
    </row>
    <row r="4488" spans="1:13">
      <c r="A4488" s="639">
        <v>70513</v>
      </c>
      <c r="B4488" s="639">
        <v>2100</v>
      </c>
      <c r="C4488" s="638">
        <v>8013.1049999999996</v>
      </c>
      <c r="D4488" s="633">
        <f t="shared" si="144"/>
        <v>8013.1049999999996</v>
      </c>
      <c r="E4488" s="608"/>
      <c r="F4488" s="760">
        <f t="shared" si="143"/>
        <v>3380.6886524008228</v>
      </c>
      <c r="M4488" s="443"/>
    </row>
    <row r="4489" spans="1:13">
      <c r="A4489" s="639">
        <v>70513</v>
      </c>
      <c r="B4489" s="639">
        <v>2200</v>
      </c>
      <c r="C4489" s="638">
        <v>7600.2920000000004</v>
      </c>
      <c r="D4489" s="633">
        <f t="shared" si="144"/>
        <v>7600.2920000000004</v>
      </c>
      <c r="E4489" s="608"/>
      <c r="F4489" s="760">
        <f t="shared" si="143"/>
        <v>3206.5249262717462</v>
      </c>
      <c r="M4489" s="443"/>
    </row>
    <row r="4490" spans="1:13">
      <c r="A4490" s="639">
        <v>70513</v>
      </c>
      <c r="B4490" s="639">
        <v>2300</v>
      </c>
      <c r="C4490" s="638">
        <v>6665.5590000000002</v>
      </c>
      <c r="D4490" s="633">
        <f t="shared" si="144"/>
        <v>6665.5590000000002</v>
      </c>
      <c r="E4490" s="608"/>
      <c r="F4490" s="760">
        <f t="shared" si="143"/>
        <v>2812.1657800825246</v>
      </c>
      <c r="M4490" s="443"/>
    </row>
    <row r="4491" spans="1:13">
      <c r="A4491" s="639">
        <v>70513</v>
      </c>
      <c r="B4491" s="639">
        <v>2400</v>
      </c>
      <c r="C4491" s="638">
        <v>5774.0020000000004</v>
      </c>
      <c r="D4491" s="633">
        <f t="shared" si="144"/>
        <v>5774.0020000000004</v>
      </c>
      <c r="E4491" s="608"/>
      <c r="F4491" s="760">
        <f t="shared" si="143"/>
        <v>2436.022370896133</v>
      </c>
      <c r="M4491" s="443"/>
    </row>
    <row r="4492" spans="1:13">
      <c r="A4492" s="639">
        <v>70613</v>
      </c>
      <c r="B4492" s="639">
        <v>100</v>
      </c>
      <c r="C4492" s="638">
        <v>5176.9840000000004</v>
      </c>
      <c r="D4492" s="633">
        <f t="shared" si="144"/>
        <v>5176.9840000000004</v>
      </c>
      <c r="E4492" s="608"/>
      <c r="F4492" s="760">
        <f t="shared" si="143"/>
        <v>2184.1434827648736</v>
      </c>
      <c r="M4492" s="443"/>
    </row>
    <row r="4493" spans="1:13">
      <c r="A4493" s="639">
        <v>70613</v>
      </c>
      <c r="B4493" s="639">
        <v>200</v>
      </c>
      <c r="C4493" s="638">
        <v>4764.4260000000004</v>
      </c>
      <c r="D4493" s="633">
        <f t="shared" si="144"/>
        <v>4764.4260000000004</v>
      </c>
      <c r="E4493" s="608"/>
      <c r="F4493" s="760">
        <f t="shared" si="143"/>
        <v>2010.0873398518361</v>
      </c>
      <c r="M4493" s="443"/>
    </row>
    <row r="4494" spans="1:13">
      <c r="A4494" s="639">
        <v>70613</v>
      </c>
      <c r="B4494" s="639">
        <v>300</v>
      </c>
      <c r="C4494" s="638">
        <v>4562.9660000000003</v>
      </c>
      <c r="D4494" s="633">
        <f t="shared" si="144"/>
        <v>4562.9660000000003</v>
      </c>
      <c r="E4494" s="608"/>
      <c r="F4494" s="760">
        <f t="shared" si="143"/>
        <v>1925.092380230981</v>
      </c>
      <c r="M4494" s="443"/>
    </row>
    <row r="4495" spans="1:13">
      <c r="A4495" s="639">
        <v>70613</v>
      </c>
      <c r="B4495" s="639">
        <v>400</v>
      </c>
      <c r="C4495" s="638">
        <v>4466.9560000000001</v>
      </c>
      <c r="D4495" s="633">
        <f t="shared" si="144"/>
        <v>4466.9560000000001</v>
      </c>
      <c r="E4495" s="608"/>
      <c r="F4495" s="760">
        <f t="shared" si="143"/>
        <v>1884.5862446546964</v>
      </c>
      <c r="M4495" s="443"/>
    </row>
    <row r="4496" spans="1:13">
      <c r="A4496" s="639">
        <v>70613</v>
      </c>
      <c r="B4496" s="639">
        <v>500</v>
      </c>
      <c r="C4496" s="638">
        <v>4481.8109999999997</v>
      </c>
      <c r="D4496" s="633">
        <f t="shared" si="144"/>
        <v>4481.8109999999997</v>
      </c>
      <c r="E4496" s="608"/>
      <c r="F4496" s="760">
        <f t="shared" si="143"/>
        <v>1890.8534943577033</v>
      </c>
      <c r="M4496" s="443"/>
    </row>
    <row r="4497" spans="1:13">
      <c r="A4497" s="639">
        <v>70613</v>
      </c>
      <c r="B4497" s="639">
        <v>600</v>
      </c>
      <c r="C4497" s="638">
        <v>4602.3329999999996</v>
      </c>
      <c r="D4497" s="633">
        <f t="shared" si="144"/>
        <v>4602.3329999999996</v>
      </c>
      <c r="E4497" s="608"/>
      <c r="F4497" s="760">
        <f t="shared" si="143"/>
        <v>1941.7011193126555</v>
      </c>
      <c r="M4497" s="443"/>
    </row>
    <row r="4498" spans="1:13">
      <c r="A4498" s="639">
        <v>70613</v>
      </c>
      <c r="B4498" s="639">
        <v>700</v>
      </c>
      <c r="C4498" s="638">
        <v>5077.9120000000003</v>
      </c>
      <c r="D4498" s="633">
        <f t="shared" si="144"/>
        <v>5077.9120000000003</v>
      </c>
      <c r="E4498" s="608"/>
      <c r="F4498" s="760">
        <f t="shared" si="143"/>
        <v>2142.3455048061855</v>
      </c>
      <c r="M4498" s="443"/>
    </row>
    <row r="4499" spans="1:13">
      <c r="A4499" s="639">
        <v>70613</v>
      </c>
      <c r="B4499" s="639">
        <v>800</v>
      </c>
      <c r="C4499" s="638">
        <v>5774.34</v>
      </c>
      <c r="D4499" s="633">
        <f t="shared" si="144"/>
        <v>5774.34</v>
      </c>
      <c r="E4499" s="608"/>
      <c r="F4499" s="760">
        <f t="shared" si="143"/>
        <v>2436.1649713942561</v>
      </c>
      <c r="M4499" s="443"/>
    </row>
    <row r="4500" spans="1:13">
      <c r="A4500" s="639">
        <v>70613</v>
      </c>
      <c r="B4500" s="639">
        <v>900</v>
      </c>
      <c r="C4500" s="638">
        <v>6613.3869999999997</v>
      </c>
      <c r="D4500" s="633">
        <f t="shared" si="144"/>
        <v>6613.3869999999997</v>
      </c>
      <c r="E4500" s="608"/>
      <c r="F4500" s="760">
        <f t="shared" ref="F4500:F4563" si="145">(D4500/(MAX($D$4372:$D$5115)))*$M$10</f>
        <v>2790.1546759758071</v>
      </c>
      <c r="M4500" s="443"/>
    </row>
    <row r="4501" spans="1:13">
      <c r="A4501" s="639">
        <v>70613</v>
      </c>
      <c r="B4501" s="639">
        <v>1000</v>
      </c>
      <c r="C4501" s="638">
        <v>7408.6639999999998</v>
      </c>
      <c r="D4501" s="633">
        <f t="shared" si="144"/>
        <v>7408.6639999999998</v>
      </c>
      <c r="E4501" s="608"/>
      <c r="F4501" s="760">
        <f t="shared" si="145"/>
        <v>3125.6780379454017</v>
      </c>
      <c r="M4501" s="443"/>
    </row>
    <row r="4502" spans="1:13">
      <c r="A4502" s="639">
        <v>70613</v>
      </c>
      <c r="B4502" s="639">
        <v>1100</v>
      </c>
      <c r="C4502" s="638">
        <v>8049.442</v>
      </c>
      <c r="D4502" s="633">
        <f t="shared" si="144"/>
        <v>8049.442</v>
      </c>
      <c r="E4502" s="608"/>
      <c r="F4502" s="760">
        <f t="shared" si="145"/>
        <v>3396.0190497389699</v>
      </c>
      <c r="M4502" s="443"/>
    </row>
    <row r="4503" spans="1:13">
      <c r="A4503" s="639">
        <v>70613</v>
      </c>
      <c r="B4503" s="639">
        <v>1200</v>
      </c>
      <c r="C4503" s="638">
        <v>8469.0400000000009</v>
      </c>
      <c r="D4503" s="633">
        <f t="shared" si="144"/>
        <v>8469.0400000000009</v>
      </c>
      <c r="E4503" s="608"/>
      <c r="F4503" s="760">
        <f t="shared" si="145"/>
        <v>3573.0453332046282</v>
      </c>
      <c r="M4503" s="443"/>
    </row>
    <row r="4504" spans="1:13">
      <c r="A4504" s="639">
        <v>70613</v>
      </c>
      <c r="B4504" s="639">
        <v>1300</v>
      </c>
      <c r="C4504" s="638">
        <v>8679.9459999999999</v>
      </c>
      <c r="D4504" s="633">
        <f t="shared" si="144"/>
        <v>8679.9459999999999</v>
      </c>
      <c r="E4504" s="608"/>
      <c r="F4504" s="760">
        <f t="shared" si="145"/>
        <v>3662.025512663557</v>
      </c>
      <c r="M4504" s="443"/>
    </row>
    <row r="4505" spans="1:13">
      <c r="A4505" s="639">
        <v>70613</v>
      </c>
      <c r="B4505" s="639">
        <v>1400</v>
      </c>
      <c r="C4505" s="638">
        <v>9007.9110000000001</v>
      </c>
      <c r="D4505" s="633">
        <f t="shared" si="144"/>
        <v>9007.9110000000001</v>
      </c>
      <c r="E4505" s="608"/>
      <c r="F4505" s="760">
        <f t="shared" si="145"/>
        <v>3800.3922948141267</v>
      </c>
      <c r="M4505" s="443"/>
    </row>
    <row r="4506" spans="1:13">
      <c r="A4506" s="639">
        <v>70613</v>
      </c>
      <c r="B4506" s="639">
        <v>1500</v>
      </c>
      <c r="C4506" s="638">
        <v>9190.4</v>
      </c>
      <c r="D4506" s="633">
        <f t="shared" si="144"/>
        <v>9190.4</v>
      </c>
      <c r="E4506" s="608"/>
      <c r="F4506" s="760">
        <f t="shared" si="145"/>
        <v>3877.3834850566068</v>
      </c>
      <c r="M4506" s="443"/>
    </row>
    <row r="4507" spans="1:13">
      <c r="A4507" s="639">
        <v>70613</v>
      </c>
      <c r="B4507" s="639">
        <v>1600</v>
      </c>
      <c r="C4507" s="638">
        <v>9360.8340000000007</v>
      </c>
      <c r="D4507" s="633">
        <f t="shared" si="144"/>
        <v>9360.8340000000007</v>
      </c>
      <c r="E4507" s="608"/>
      <c r="F4507" s="760">
        <f t="shared" si="145"/>
        <v>3949.2887314976915</v>
      </c>
      <c r="M4507" s="443"/>
    </row>
    <row r="4508" spans="1:13">
      <c r="A4508" s="639">
        <v>70613</v>
      </c>
      <c r="B4508" s="639">
        <v>1700</v>
      </c>
      <c r="C4508" s="638">
        <v>9621.9570000000003</v>
      </c>
      <c r="D4508" s="633">
        <f t="shared" si="144"/>
        <v>9621.9570000000003</v>
      </c>
      <c r="E4508" s="608"/>
      <c r="F4508" s="760">
        <f t="shared" si="145"/>
        <v>4059.4552104070353</v>
      </c>
      <c r="M4508" s="443"/>
    </row>
    <row r="4509" spans="1:13">
      <c r="A4509" s="639">
        <v>70613</v>
      </c>
      <c r="B4509" s="639">
        <v>1800</v>
      </c>
      <c r="C4509" s="638">
        <v>9437.5249999999996</v>
      </c>
      <c r="D4509" s="633">
        <f t="shared" si="144"/>
        <v>9437.5249999999996</v>
      </c>
      <c r="E4509" s="608"/>
      <c r="F4509" s="760">
        <f t="shared" si="145"/>
        <v>3981.6442782478302</v>
      </c>
      <c r="M4509" s="443"/>
    </row>
    <row r="4510" spans="1:13">
      <c r="A4510" s="639">
        <v>70613</v>
      </c>
      <c r="B4510" s="639">
        <v>1900</v>
      </c>
      <c r="C4510" s="638">
        <v>9483.1640000000007</v>
      </c>
      <c r="D4510" s="633">
        <f t="shared" si="144"/>
        <v>9483.1640000000007</v>
      </c>
      <c r="E4510" s="608"/>
      <c r="F4510" s="760">
        <f t="shared" si="145"/>
        <v>4000.8991425491117</v>
      </c>
      <c r="M4510" s="443"/>
    </row>
    <row r="4511" spans="1:13">
      <c r="A4511" s="639">
        <v>70613</v>
      </c>
      <c r="B4511" s="639">
        <v>2000</v>
      </c>
      <c r="C4511" s="638">
        <v>8985.1550000000007</v>
      </c>
      <c r="D4511" s="633">
        <f t="shared" si="144"/>
        <v>8985.1550000000007</v>
      </c>
      <c r="E4511" s="608"/>
      <c r="F4511" s="760">
        <f t="shared" si="145"/>
        <v>3790.7916529937547</v>
      </c>
      <c r="M4511" s="443"/>
    </row>
    <row r="4512" spans="1:13">
      <c r="A4512" s="639">
        <v>70613</v>
      </c>
      <c r="B4512" s="639">
        <v>2100</v>
      </c>
      <c r="C4512" s="638">
        <v>9031.8209999999999</v>
      </c>
      <c r="D4512" s="633">
        <f t="shared" si="144"/>
        <v>9031.8209999999999</v>
      </c>
      <c r="E4512" s="608"/>
      <c r="F4512" s="760">
        <f t="shared" si="145"/>
        <v>3810.4798034239479</v>
      </c>
      <c r="M4512" s="443"/>
    </row>
    <row r="4513" spans="1:13">
      <c r="A4513" s="639">
        <v>70613</v>
      </c>
      <c r="B4513" s="639">
        <v>2200</v>
      </c>
      <c r="C4513" s="638">
        <v>8654.4470000000001</v>
      </c>
      <c r="D4513" s="633">
        <f t="shared" si="144"/>
        <v>8654.4470000000001</v>
      </c>
      <c r="E4513" s="608"/>
      <c r="F4513" s="760">
        <f t="shared" si="145"/>
        <v>3651.2676129545716</v>
      </c>
      <c r="M4513" s="443"/>
    </row>
    <row r="4514" spans="1:13">
      <c r="A4514" s="639">
        <v>70613</v>
      </c>
      <c r="B4514" s="639">
        <v>2300</v>
      </c>
      <c r="C4514" s="638">
        <v>7747.6419999999998</v>
      </c>
      <c r="D4514" s="633">
        <f t="shared" si="144"/>
        <v>7747.6419999999998</v>
      </c>
      <c r="E4514" s="608"/>
      <c r="F4514" s="760">
        <f t="shared" si="145"/>
        <v>3268.6911493439829</v>
      </c>
      <c r="M4514" s="443"/>
    </row>
    <row r="4515" spans="1:13">
      <c r="A4515" s="639">
        <v>70613</v>
      </c>
      <c r="B4515" s="639">
        <v>2400</v>
      </c>
      <c r="C4515" s="638">
        <v>6835.482</v>
      </c>
      <c r="D4515" s="633">
        <f t="shared" si="144"/>
        <v>6835.482</v>
      </c>
      <c r="E4515" s="608"/>
      <c r="F4515" s="760">
        <f t="shared" si="145"/>
        <v>2883.8554381965646</v>
      </c>
      <c r="M4515" s="443"/>
    </row>
    <row r="4516" spans="1:13">
      <c r="A4516" s="639">
        <v>70713</v>
      </c>
      <c r="B4516" s="639">
        <v>100</v>
      </c>
      <c r="C4516" s="638">
        <v>6168.8869999999997</v>
      </c>
      <c r="D4516" s="633">
        <f t="shared" si="144"/>
        <v>6168.8869999999997</v>
      </c>
      <c r="E4516" s="608"/>
      <c r="F4516" s="760">
        <f t="shared" si="145"/>
        <v>2602.6223640951862</v>
      </c>
      <c r="M4516" s="443"/>
    </row>
    <row r="4517" spans="1:13">
      <c r="A4517" s="639">
        <v>70713</v>
      </c>
      <c r="B4517" s="639">
        <v>200</v>
      </c>
      <c r="C4517" s="638">
        <v>5737.1490000000003</v>
      </c>
      <c r="D4517" s="633">
        <f t="shared" si="144"/>
        <v>5737.1490000000003</v>
      </c>
      <c r="E4517" s="608"/>
      <c r="F4517" s="760">
        <f t="shared" si="145"/>
        <v>2420.4742757561185</v>
      </c>
      <c r="M4517" s="443"/>
    </row>
    <row r="4518" spans="1:13">
      <c r="A4518" s="639">
        <v>70713</v>
      </c>
      <c r="B4518" s="639">
        <v>300</v>
      </c>
      <c r="C4518" s="638">
        <v>5329.1369999999997</v>
      </c>
      <c r="D4518" s="633">
        <f t="shared" si="144"/>
        <v>5329.1369999999997</v>
      </c>
      <c r="E4518" s="608"/>
      <c r="F4518" s="760">
        <f t="shared" si="145"/>
        <v>2248.3360673533375</v>
      </c>
      <c r="M4518" s="443"/>
    </row>
    <row r="4519" spans="1:13">
      <c r="A4519" s="639">
        <v>70713</v>
      </c>
      <c r="B4519" s="639">
        <v>400</v>
      </c>
      <c r="C4519" s="638">
        <v>5097.1329999999998</v>
      </c>
      <c r="D4519" s="633">
        <f t="shared" si="144"/>
        <v>5097.1329999999998</v>
      </c>
      <c r="E4519" s="608"/>
      <c r="F4519" s="760">
        <f t="shared" si="145"/>
        <v>2150.4547479257744</v>
      </c>
      <c r="M4519" s="443"/>
    </row>
    <row r="4520" spans="1:13">
      <c r="A4520" s="639">
        <v>70713</v>
      </c>
      <c r="B4520" s="639">
        <v>500</v>
      </c>
      <c r="C4520" s="638">
        <v>5049.8739999999998</v>
      </c>
      <c r="D4520" s="633">
        <f t="shared" si="144"/>
        <v>5049.8739999999998</v>
      </c>
      <c r="E4520" s="608"/>
      <c r="F4520" s="760">
        <f t="shared" si="145"/>
        <v>2130.5164137814186</v>
      </c>
      <c r="M4520" s="443"/>
    </row>
    <row r="4521" spans="1:13">
      <c r="A4521" s="639">
        <v>70713</v>
      </c>
      <c r="B4521" s="639">
        <v>600</v>
      </c>
      <c r="C4521" s="638">
        <v>5166.2039999999997</v>
      </c>
      <c r="D4521" s="633">
        <f t="shared" si="144"/>
        <v>5166.2039999999997</v>
      </c>
      <c r="E4521" s="608"/>
      <c r="F4521" s="760">
        <f t="shared" si="145"/>
        <v>2179.5954550436741</v>
      </c>
      <c r="M4521" s="443"/>
    </row>
    <row r="4522" spans="1:13">
      <c r="A4522" s="639">
        <v>70713</v>
      </c>
      <c r="B4522" s="639">
        <v>700</v>
      </c>
      <c r="C4522" s="638">
        <v>5553.201</v>
      </c>
      <c r="D4522" s="633">
        <f t="shared" si="144"/>
        <v>5553.201</v>
      </c>
      <c r="E4522" s="608"/>
      <c r="F4522" s="760">
        <f t="shared" si="145"/>
        <v>2342.8675407599058</v>
      </c>
      <c r="M4522" s="443"/>
    </row>
    <row r="4523" spans="1:13">
      <c r="A4523" s="639">
        <v>70713</v>
      </c>
      <c r="B4523" s="639">
        <v>800</v>
      </c>
      <c r="C4523" s="638">
        <v>6211.93</v>
      </c>
      <c r="D4523" s="633">
        <f t="shared" si="144"/>
        <v>6211.93</v>
      </c>
      <c r="E4523" s="608"/>
      <c r="F4523" s="760">
        <f t="shared" si="145"/>
        <v>2620.7819890676892</v>
      </c>
      <c r="M4523" s="443"/>
    </row>
    <row r="4524" spans="1:13">
      <c r="A4524" s="639">
        <v>70713</v>
      </c>
      <c r="B4524" s="639">
        <v>900</v>
      </c>
      <c r="C4524" s="638">
        <v>6804.6310000000003</v>
      </c>
      <c r="D4524" s="633">
        <f t="shared" si="144"/>
        <v>6804.6310000000003</v>
      </c>
      <c r="E4524" s="608"/>
      <c r="F4524" s="760">
        <f t="shared" si="145"/>
        <v>2870.8395566356444</v>
      </c>
      <c r="M4524" s="443"/>
    </row>
    <row r="4525" spans="1:13">
      <c r="A4525" s="639">
        <v>70713</v>
      </c>
      <c r="B4525" s="639">
        <v>1000</v>
      </c>
      <c r="C4525" s="638">
        <v>7323.5479999999998</v>
      </c>
      <c r="D4525" s="633">
        <f t="shared" si="144"/>
        <v>7323.5479999999998</v>
      </c>
      <c r="E4525" s="608"/>
      <c r="F4525" s="760">
        <f t="shared" si="145"/>
        <v>3089.7680261163109</v>
      </c>
      <c r="M4525" s="443"/>
    </row>
    <row r="4526" spans="1:13">
      <c r="A4526" s="639">
        <v>70713</v>
      </c>
      <c r="B4526" s="639">
        <v>1100</v>
      </c>
      <c r="C4526" s="638">
        <v>7814.47</v>
      </c>
      <c r="D4526" s="633">
        <f t="shared" si="144"/>
        <v>7814.47</v>
      </c>
      <c r="E4526" s="608"/>
      <c r="F4526" s="760">
        <f t="shared" si="145"/>
        <v>3296.8855460557002</v>
      </c>
      <c r="M4526" s="443"/>
    </row>
    <row r="4527" spans="1:13">
      <c r="A4527" s="639">
        <v>70713</v>
      </c>
      <c r="B4527" s="639">
        <v>1200</v>
      </c>
      <c r="C4527" s="638">
        <v>7921.6109999999999</v>
      </c>
      <c r="D4527" s="633">
        <f t="shared" si="144"/>
        <v>7921.6109999999999</v>
      </c>
      <c r="E4527" s="608"/>
      <c r="F4527" s="760">
        <f t="shared" si="145"/>
        <v>3342.0877944858494</v>
      </c>
      <c r="M4527" s="443"/>
    </row>
    <row r="4528" spans="1:13">
      <c r="A4528" s="639">
        <v>70713</v>
      </c>
      <c r="B4528" s="639">
        <v>1300</v>
      </c>
      <c r="C4528" s="638">
        <v>8235.1479999999992</v>
      </c>
      <c r="D4528" s="633">
        <f t="shared" si="144"/>
        <v>8235.1479999999992</v>
      </c>
      <c r="E4528" s="608"/>
      <c r="F4528" s="760">
        <f t="shared" si="145"/>
        <v>3474.3674760834069</v>
      </c>
      <c r="M4528" s="443"/>
    </row>
    <row r="4529" spans="1:13">
      <c r="A4529" s="639">
        <v>70713</v>
      </c>
      <c r="B4529" s="639">
        <v>1400</v>
      </c>
      <c r="C4529" s="638">
        <v>8556.5910000000003</v>
      </c>
      <c r="D4529" s="633">
        <f t="shared" si="144"/>
        <v>8556.5910000000003</v>
      </c>
      <c r="E4529" s="608"/>
      <c r="F4529" s="760">
        <f t="shared" si="145"/>
        <v>3609.9826592731547</v>
      </c>
      <c r="M4529" s="443"/>
    </row>
    <row r="4530" spans="1:13">
      <c r="A4530" s="639">
        <v>70713</v>
      </c>
      <c r="B4530" s="639">
        <v>1500</v>
      </c>
      <c r="C4530" s="638">
        <v>8730.4650000000001</v>
      </c>
      <c r="D4530" s="633">
        <f t="shared" si="144"/>
        <v>8730.4650000000001</v>
      </c>
      <c r="E4530" s="608"/>
      <c r="F4530" s="760">
        <f t="shared" si="145"/>
        <v>3683.3392243933595</v>
      </c>
      <c r="M4530" s="443"/>
    </row>
    <row r="4531" spans="1:13">
      <c r="A4531" s="639">
        <v>70713</v>
      </c>
      <c r="B4531" s="639">
        <v>1600</v>
      </c>
      <c r="C4531" s="638">
        <v>8891.2260000000006</v>
      </c>
      <c r="D4531" s="633">
        <f t="shared" si="144"/>
        <v>8891.2260000000006</v>
      </c>
      <c r="E4531" s="608"/>
      <c r="F4531" s="760">
        <f t="shared" si="145"/>
        <v>3751.1634808393451</v>
      </c>
      <c r="M4531" s="443"/>
    </row>
    <row r="4532" spans="1:13">
      <c r="A4532" s="639">
        <v>70713</v>
      </c>
      <c r="B4532" s="639">
        <v>1700</v>
      </c>
      <c r="C4532" s="638">
        <v>8945.1890000000003</v>
      </c>
      <c r="D4532" s="633">
        <f t="shared" si="144"/>
        <v>8945.1890000000003</v>
      </c>
      <c r="E4532" s="608"/>
      <c r="F4532" s="760">
        <f t="shared" si="145"/>
        <v>3773.9301988281281</v>
      </c>
      <c r="M4532" s="443"/>
    </row>
    <row r="4533" spans="1:13">
      <c r="A4533" s="639">
        <v>70713</v>
      </c>
      <c r="B4533" s="639">
        <v>1800</v>
      </c>
      <c r="C4533" s="638">
        <v>8911.6350000000002</v>
      </c>
      <c r="D4533" s="633">
        <f t="shared" si="144"/>
        <v>8911.6350000000002</v>
      </c>
      <c r="E4533" s="608"/>
      <c r="F4533" s="760">
        <f t="shared" si="145"/>
        <v>3759.7739351771893</v>
      </c>
      <c r="M4533" s="443"/>
    </row>
    <row r="4534" spans="1:13">
      <c r="A4534" s="639">
        <v>70713</v>
      </c>
      <c r="B4534" s="639">
        <v>1900</v>
      </c>
      <c r="C4534" s="638">
        <v>8485.8709999999992</v>
      </c>
      <c r="D4534" s="633">
        <f t="shared" si="144"/>
        <v>8485.8709999999992</v>
      </c>
      <c r="E4534" s="608"/>
      <c r="F4534" s="760">
        <f t="shared" si="145"/>
        <v>3580.1462473581992</v>
      </c>
      <c r="M4534" s="443"/>
    </row>
    <row r="4535" spans="1:13">
      <c r="A4535" s="639">
        <v>70713</v>
      </c>
      <c r="B4535" s="639">
        <v>2000</v>
      </c>
      <c r="C4535" s="638">
        <v>8431.0869999999995</v>
      </c>
      <c r="D4535" s="633">
        <f t="shared" si="144"/>
        <v>8431.0869999999995</v>
      </c>
      <c r="E4535" s="608"/>
      <c r="F4535" s="760">
        <f t="shared" si="145"/>
        <v>3557.0331536032659</v>
      </c>
      <c r="M4535" s="443"/>
    </row>
    <row r="4536" spans="1:13">
      <c r="A4536" s="639">
        <v>70713</v>
      </c>
      <c r="B4536" s="639">
        <v>2100</v>
      </c>
      <c r="C4536" s="638">
        <v>8383.8189999999995</v>
      </c>
      <c r="D4536" s="633">
        <f t="shared" si="144"/>
        <v>8383.8189999999995</v>
      </c>
      <c r="E4536" s="608"/>
      <c r="F4536" s="760">
        <f t="shared" si="145"/>
        <v>3537.0910224042259</v>
      </c>
      <c r="M4536" s="443"/>
    </row>
    <row r="4537" spans="1:13">
      <c r="A4537" s="639">
        <v>70713</v>
      </c>
      <c r="B4537" s="639">
        <v>2200</v>
      </c>
      <c r="C4537" s="638">
        <v>7626.3149999999996</v>
      </c>
      <c r="D4537" s="633">
        <f t="shared" si="144"/>
        <v>7626.3149999999996</v>
      </c>
      <c r="E4537" s="608"/>
      <c r="F4537" s="760">
        <f t="shared" si="145"/>
        <v>3217.5038989423178</v>
      </c>
      <c r="M4537" s="443"/>
    </row>
    <row r="4538" spans="1:13">
      <c r="A4538" s="639">
        <v>70713</v>
      </c>
      <c r="B4538" s="639">
        <v>2300</v>
      </c>
      <c r="C4538" s="638">
        <v>6644.3630000000003</v>
      </c>
      <c r="D4538" s="633">
        <f t="shared" si="144"/>
        <v>6644.3630000000003</v>
      </c>
      <c r="E4538" s="608"/>
      <c r="F4538" s="760">
        <f t="shared" si="145"/>
        <v>2803.2232944073353</v>
      </c>
      <c r="M4538" s="443"/>
    </row>
    <row r="4539" spans="1:13">
      <c r="A4539" s="639">
        <v>70713</v>
      </c>
      <c r="B4539" s="639">
        <v>2400</v>
      </c>
      <c r="C4539" s="638">
        <v>5735.0349999999999</v>
      </c>
      <c r="D4539" s="633">
        <f t="shared" si="144"/>
        <v>5735.0349999999999</v>
      </c>
      <c r="E4539" s="608"/>
      <c r="F4539" s="760">
        <f t="shared" si="145"/>
        <v>2419.5823898004023</v>
      </c>
      <c r="M4539" s="443"/>
    </row>
    <row r="4540" spans="1:13">
      <c r="A4540" s="639">
        <v>70813</v>
      </c>
      <c r="B4540" s="639">
        <v>100</v>
      </c>
      <c r="C4540" s="638">
        <v>5159.9830000000002</v>
      </c>
      <c r="D4540" s="633">
        <f t="shared" si="144"/>
        <v>5159.9830000000002</v>
      </c>
      <c r="E4540" s="608"/>
      <c r="F4540" s="760">
        <f t="shared" si="145"/>
        <v>2176.9708464672754</v>
      </c>
      <c r="M4540" s="443"/>
    </row>
    <row r="4541" spans="1:13">
      <c r="A4541" s="639">
        <v>70813</v>
      </c>
      <c r="B4541" s="639">
        <v>200</v>
      </c>
      <c r="C4541" s="638">
        <v>4856.8379999999997</v>
      </c>
      <c r="D4541" s="633">
        <f t="shared" si="144"/>
        <v>4856.8379999999997</v>
      </c>
      <c r="E4541" s="608"/>
      <c r="F4541" s="760">
        <f t="shared" si="145"/>
        <v>2049.075497344551</v>
      </c>
      <c r="M4541" s="443"/>
    </row>
    <row r="4542" spans="1:13">
      <c r="A4542" s="639">
        <v>70813</v>
      </c>
      <c r="B4542" s="639">
        <v>300</v>
      </c>
      <c r="C4542" s="638">
        <v>4700.8339999999998</v>
      </c>
      <c r="D4542" s="633">
        <f t="shared" si="144"/>
        <v>4700.8339999999998</v>
      </c>
      <c r="E4542" s="608"/>
      <c r="F4542" s="760">
        <f t="shared" si="145"/>
        <v>1983.2581952464081</v>
      </c>
      <c r="M4542" s="443"/>
    </row>
    <row r="4543" spans="1:13">
      <c r="A4543" s="639">
        <v>70813</v>
      </c>
      <c r="B4543" s="639">
        <v>400</v>
      </c>
      <c r="C4543" s="638">
        <v>4671.2110000000002</v>
      </c>
      <c r="D4543" s="633">
        <f t="shared" si="144"/>
        <v>4671.2110000000002</v>
      </c>
      <c r="E4543" s="608"/>
      <c r="F4543" s="760">
        <f t="shared" si="145"/>
        <v>1970.7604007023372</v>
      </c>
      <c r="M4543" s="443"/>
    </row>
    <row r="4544" spans="1:13">
      <c r="A4544" s="639">
        <v>70813</v>
      </c>
      <c r="B4544" s="639">
        <v>500</v>
      </c>
      <c r="C4544" s="638">
        <v>4847.558</v>
      </c>
      <c r="D4544" s="633">
        <f t="shared" si="144"/>
        <v>4847.558</v>
      </c>
      <c r="E4544" s="608"/>
      <c r="F4544" s="760">
        <f t="shared" si="145"/>
        <v>2045.1603120706429</v>
      </c>
      <c r="M4544" s="443"/>
    </row>
    <row r="4545" spans="1:13">
      <c r="A4545" s="639">
        <v>70813</v>
      </c>
      <c r="B4545" s="639">
        <v>600</v>
      </c>
      <c r="C4545" s="638">
        <v>5236.7939999999999</v>
      </c>
      <c r="D4545" s="633">
        <f t="shared" si="144"/>
        <v>5236.7939999999999</v>
      </c>
      <c r="E4545" s="608"/>
      <c r="F4545" s="760">
        <f t="shared" si="145"/>
        <v>2209.3770206131976</v>
      </c>
      <c r="M4545" s="443"/>
    </row>
    <row r="4546" spans="1:13">
      <c r="A4546" s="639">
        <v>70813</v>
      </c>
      <c r="B4546" s="639">
        <v>700</v>
      </c>
      <c r="C4546" s="638">
        <v>5776.43</v>
      </c>
      <c r="D4546" s="633">
        <f t="shared" si="144"/>
        <v>5776.43</v>
      </c>
      <c r="E4546" s="608"/>
      <c r="F4546" s="760">
        <f t="shared" si="145"/>
        <v>2437.0467318708152</v>
      </c>
      <c r="M4546" s="443"/>
    </row>
    <row r="4547" spans="1:13">
      <c r="A4547" s="639">
        <v>70813</v>
      </c>
      <c r="B4547" s="639">
        <v>800</v>
      </c>
      <c r="C4547" s="638">
        <v>6406.5079999999998</v>
      </c>
      <c r="D4547" s="633">
        <f t="shared" si="144"/>
        <v>6406.5079999999998</v>
      </c>
      <c r="E4547" s="608"/>
      <c r="F4547" s="760">
        <f t="shared" si="145"/>
        <v>2702.8734675403721</v>
      </c>
      <c r="M4547" s="443"/>
    </row>
    <row r="4548" spans="1:13">
      <c r="A4548" s="639">
        <v>70813</v>
      </c>
      <c r="B4548" s="639">
        <v>900</v>
      </c>
      <c r="C4548" s="638">
        <v>6641.143</v>
      </c>
      <c r="D4548" s="633">
        <f t="shared" si="144"/>
        <v>6641.143</v>
      </c>
      <c r="E4548" s="608"/>
      <c r="F4548" s="760">
        <f t="shared" si="145"/>
        <v>2801.8647926204835</v>
      </c>
      <c r="M4548" s="443"/>
    </row>
    <row r="4549" spans="1:13">
      <c r="A4549" s="639">
        <v>70813</v>
      </c>
      <c r="B4549" s="639">
        <v>1000</v>
      </c>
      <c r="C4549" s="638">
        <v>6800.79</v>
      </c>
      <c r="D4549" s="633">
        <f t="shared" ref="D4549:D4612" si="146">C4549</f>
        <v>6800.79</v>
      </c>
      <c r="E4549" s="608"/>
      <c r="F4549" s="760">
        <f t="shared" si="145"/>
        <v>2869.2190580756137</v>
      </c>
      <c r="M4549" s="443"/>
    </row>
    <row r="4550" spans="1:13">
      <c r="A4550" s="639">
        <v>70813</v>
      </c>
      <c r="B4550" s="639">
        <v>1100</v>
      </c>
      <c r="C4550" s="638">
        <v>7359.8410000000003</v>
      </c>
      <c r="D4550" s="633">
        <f t="shared" si="146"/>
        <v>7359.8410000000003</v>
      </c>
      <c r="E4550" s="608"/>
      <c r="F4550" s="760">
        <f t="shared" si="145"/>
        <v>3105.0798600760036</v>
      </c>
      <c r="M4550" s="443"/>
    </row>
    <row r="4551" spans="1:13">
      <c r="A4551" s="639">
        <v>70813</v>
      </c>
      <c r="B4551" s="639">
        <v>1200</v>
      </c>
      <c r="C4551" s="638">
        <v>7992.6769999999997</v>
      </c>
      <c r="D4551" s="633">
        <f t="shared" si="146"/>
        <v>7992.6769999999997</v>
      </c>
      <c r="E4551" s="608"/>
      <c r="F4551" s="760">
        <f t="shared" si="145"/>
        <v>3372.0701820586469</v>
      </c>
      <c r="M4551" s="443"/>
    </row>
    <row r="4552" spans="1:13">
      <c r="A4552" s="639">
        <v>70813</v>
      </c>
      <c r="B4552" s="639">
        <v>1300</v>
      </c>
      <c r="C4552" s="638">
        <v>8385.0609999999997</v>
      </c>
      <c r="D4552" s="633">
        <f t="shared" si="146"/>
        <v>8385.0609999999997</v>
      </c>
      <c r="E4552" s="608"/>
      <c r="F4552" s="760">
        <f t="shared" si="145"/>
        <v>3537.6150159505833</v>
      </c>
      <c r="M4552" s="443"/>
    </row>
    <row r="4553" spans="1:13">
      <c r="A4553" s="639">
        <v>70813</v>
      </c>
      <c r="B4553" s="639">
        <v>1400</v>
      </c>
      <c r="C4553" s="638">
        <v>8904.6280000000006</v>
      </c>
      <c r="D4553" s="633">
        <f t="shared" si="146"/>
        <v>8904.6280000000006</v>
      </c>
      <c r="E4553" s="608"/>
      <c r="F4553" s="760">
        <f t="shared" si="145"/>
        <v>3756.8177171584093</v>
      </c>
      <c r="M4553" s="443"/>
    </row>
    <row r="4554" spans="1:13">
      <c r="A4554" s="639">
        <v>70813</v>
      </c>
      <c r="B4554" s="639">
        <v>1500</v>
      </c>
      <c r="C4554" s="638">
        <v>9240.0889999999999</v>
      </c>
      <c r="D4554" s="633">
        <f t="shared" si="146"/>
        <v>9240.0889999999999</v>
      </c>
      <c r="E4554" s="608"/>
      <c r="F4554" s="760">
        <f t="shared" si="145"/>
        <v>3898.3470239655749</v>
      </c>
      <c r="M4554" s="443"/>
    </row>
    <row r="4555" spans="1:13">
      <c r="A4555" s="639">
        <v>70813</v>
      </c>
      <c r="B4555" s="639">
        <v>1600</v>
      </c>
      <c r="C4555" s="638">
        <v>9389.1669999999995</v>
      </c>
      <c r="D4555" s="633">
        <f t="shared" si="146"/>
        <v>9389.1669999999995</v>
      </c>
      <c r="E4555" s="608"/>
      <c r="F4555" s="760">
        <f t="shared" si="145"/>
        <v>3961.2422815370919</v>
      </c>
      <c r="M4555" s="443"/>
    </row>
    <row r="4556" spans="1:13">
      <c r="A4556" s="639">
        <v>70813</v>
      </c>
      <c r="B4556" s="639">
        <v>1700</v>
      </c>
      <c r="C4556" s="638">
        <v>9444.848</v>
      </c>
      <c r="D4556" s="633">
        <f t="shared" si="146"/>
        <v>9444.848</v>
      </c>
      <c r="E4556" s="608"/>
      <c r="F4556" s="760">
        <f t="shared" si="145"/>
        <v>3984.7338150755058</v>
      </c>
      <c r="M4556" s="443"/>
    </row>
    <row r="4557" spans="1:13">
      <c r="A4557" s="639">
        <v>70813</v>
      </c>
      <c r="B4557" s="639">
        <v>1800</v>
      </c>
      <c r="C4557" s="638">
        <v>9059.4339999999993</v>
      </c>
      <c r="D4557" s="633">
        <f t="shared" si="146"/>
        <v>9059.4339999999993</v>
      </c>
      <c r="E4557" s="608"/>
      <c r="F4557" s="760">
        <f t="shared" si="145"/>
        <v>3822.1295890886486</v>
      </c>
      <c r="M4557" s="443"/>
    </row>
    <row r="4558" spans="1:13">
      <c r="A4558" s="639">
        <v>70813</v>
      </c>
      <c r="B4558" s="639">
        <v>1900</v>
      </c>
      <c r="C4558" s="638">
        <v>8995.4290000000001</v>
      </c>
      <c r="D4558" s="633">
        <f t="shared" si="146"/>
        <v>8995.4290000000001</v>
      </c>
      <c r="E4558" s="608"/>
      <c r="F4558" s="760">
        <f t="shared" si="145"/>
        <v>3795.126201862734</v>
      </c>
      <c r="M4558" s="443"/>
    </row>
    <row r="4559" spans="1:13">
      <c r="A4559" s="639">
        <v>70813</v>
      </c>
      <c r="B4559" s="639">
        <v>2000</v>
      </c>
      <c r="C4559" s="638">
        <v>9024.134</v>
      </c>
      <c r="D4559" s="633">
        <f t="shared" si="146"/>
        <v>9024.134</v>
      </c>
      <c r="E4559" s="608"/>
      <c r="F4559" s="760">
        <f t="shared" si="145"/>
        <v>3807.2366968290626</v>
      </c>
      <c r="M4559" s="443"/>
    </row>
    <row r="4560" spans="1:13">
      <c r="A4560" s="639">
        <v>70813</v>
      </c>
      <c r="B4560" s="639">
        <v>2100</v>
      </c>
      <c r="C4560" s="638">
        <v>8686.7139999999999</v>
      </c>
      <c r="D4560" s="633">
        <f t="shared" si="146"/>
        <v>8686.7139999999999</v>
      </c>
      <c r="E4560" s="608"/>
      <c r="F4560" s="760">
        <f t="shared" si="145"/>
        <v>3664.8808977857352</v>
      </c>
      <c r="M4560" s="443"/>
    </row>
    <row r="4561" spans="1:13">
      <c r="A4561" s="639">
        <v>70813</v>
      </c>
      <c r="B4561" s="639">
        <v>2200</v>
      </c>
      <c r="C4561" s="638">
        <v>7842.8050000000003</v>
      </c>
      <c r="D4561" s="633">
        <f t="shared" si="146"/>
        <v>7842.8050000000003</v>
      </c>
      <c r="E4561" s="608"/>
      <c r="F4561" s="760">
        <f t="shared" si="145"/>
        <v>3308.8399398850306</v>
      </c>
      <c r="M4561" s="443"/>
    </row>
    <row r="4562" spans="1:13">
      <c r="A4562" s="639">
        <v>70813</v>
      </c>
      <c r="B4562" s="639">
        <v>2300</v>
      </c>
      <c r="C4562" s="638">
        <v>6656.2089999999998</v>
      </c>
      <c r="D4562" s="633">
        <f t="shared" si="146"/>
        <v>6656.2089999999998</v>
      </c>
      <c r="E4562" s="608"/>
      <c r="F4562" s="760">
        <f t="shared" si="145"/>
        <v>2808.2210621610761</v>
      </c>
      <c r="M4562" s="443"/>
    </row>
    <row r="4563" spans="1:13">
      <c r="A4563" s="639">
        <v>70813</v>
      </c>
      <c r="B4563" s="639">
        <v>2400</v>
      </c>
      <c r="C4563" s="638">
        <v>5784.5529999999999</v>
      </c>
      <c r="D4563" s="633">
        <f t="shared" si="146"/>
        <v>5784.5529999999999</v>
      </c>
      <c r="E4563" s="608"/>
      <c r="F4563" s="760">
        <f t="shared" si="145"/>
        <v>2440.4737846703792</v>
      </c>
      <c r="M4563" s="443"/>
    </row>
    <row r="4564" spans="1:13">
      <c r="A4564" s="639">
        <v>70913</v>
      </c>
      <c r="B4564" s="639">
        <v>100</v>
      </c>
      <c r="C4564" s="638">
        <v>5161.9759999999997</v>
      </c>
      <c r="D4564" s="633">
        <f t="shared" si="146"/>
        <v>5161.9759999999997</v>
      </c>
      <c r="E4564" s="608"/>
      <c r="F4564" s="760">
        <f t="shared" ref="F4564:F4627" si="147">(D4564/(MAX($D$4372:$D$5115)))*$M$10</f>
        <v>2177.8116831322427</v>
      </c>
      <c r="M4564" s="443"/>
    </row>
    <row r="4565" spans="1:13">
      <c r="A4565" s="639">
        <v>70913</v>
      </c>
      <c r="B4565" s="639">
        <v>200</v>
      </c>
      <c r="C4565" s="638">
        <v>4838.6210000000001</v>
      </c>
      <c r="D4565" s="633">
        <f t="shared" si="146"/>
        <v>4838.6210000000001</v>
      </c>
      <c r="E4565" s="608"/>
      <c r="F4565" s="760">
        <f t="shared" si="147"/>
        <v>2041.389836769682</v>
      </c>
      <c r="M4565" s="443"/>
    </row>
    <row r="4566" spans="1:13">
      <c r="A4566" s="639">
        <v>70913</v>
      </c>
      <c r="B4566" s="639">
        <v>300</v>
      </c>
      <c r="C4566" s="638">
        <v>4683.5339999999997</v>
      </c>
      <c r="D4566" s="633">
        <f t="shared" si="146"/>
        <v>4683.5339999999997</v>
      </c>
      <c r="E4566" s="608"/>
      <c r="F4566" s="760">
        <f t="shared" si="147"/>
        <v>1975.9594123543163</v>
      </c>
      <c r="M4566" s="443"/>
    </row>
    <row r="4567" spans="1:13">
      <c r="A4567" s="639">
        <v>70913</v>
      </c>
      <c r="B4567" s="639">
        <v>400</v>
      </c>
      <c r="C4567" s="638">
        <v>4662.59</v>
      </c>
      <c r="D4567" s="633">
        <f t="shared" si="146"/>
        <v>4662.59</v>
      </c>
      <c r="E4567" s="608"/>
      <c r="F4567" s="760">
        <f t="shared" si="147"/>
        <v>1967.1232442102723</v>
      </c>
      <c r="M4567" s="443"/>
    </row>
    <row r="4568" spans="1:13">
      <c r="A4568" s="639">
        <v>70913</v>
      </c>
      <c r="B4568" s="639">
        <v>500</v>
      </c>
      <c r="C4568" s="638">
        <v>4853.4719999999998</v>
      </c>
      <c r="D4568" s="633">
        <f t="shared" si="146"/>
        <v>4853.4719999999998</v>
      </c>
      <c r="E4568" s="608"/>
      <c r="F4568" s="760">
        <f t="shared" si="147"/>
        <v>2047.6553988928295</v>
      </c>
      <c r="M4568" s="443"/>
    </row>
    <row r="4569" spans="1:13">
      <c r="A4569" s="639">
        <v>70913</v>
      </c>
      <c r="B4569" s="639">
        <v>600</v>
      </c>
      <c r="C4569" s="638">
        <v>5366.9030000000002</v>
      </c>
      <c r="D4569" s="633">
        <f t="shared" si="146"/>
        <v>5366.9030000000002</v>
      </c>
      <c r="E4569" s="608"/>
      <c r="F4569" s="760">
        <f t="shared" si="147"/>
        <v>2264.26935259627</v>
      </c>
      <c r="M4569" s="443"/>
    </row>
    <row r="4570" spans="1:13">
      <c r="A4570" s="639">
        <v>70913</v>
      </c>
      <c r="B4570" s="639">
        <v>700</v>
      </c>
      <c r="C4570" s="638">
        <v>6046.71</v>
      </c>
      <c r="D4570" s="633">
        <f t="shared" si="146"/>
        <v>6046.71</v>
      </c>
      <c r="E4570" s="608"/>
      <c r="F4570" s="760">
        <f t="shared" si="147"/>
        <v>2551.0765029733893</v>
      </c>
      <c r="M4570" s="443"/>
    </row>
    <row r="4571" spans="1:13">
      <c r="A4571" s="639">
        <v>70913</v>
      </c>
      <c r="B4571" s="639">
        <v>800</v>
      </c>
      <c r="C4571" s="638">
        <v>6501.8580000000002</v>
      </c>
      <c r="D4571" s="633">
        <f t="shared" si="146"/>
        <v>6501.8580000000002</v>
      </c>
      <c r="E4571" s="608"/>
      <c r="F4571" s="760">
        <f t="shared" si="147"/>
        <v>2743.1011524398486</v>
      </c>
      <c r="M4571" s="443"/>
    </row>
    <row r="4572" spans="1:13">
      <c r="A4572" s="639">
        <v>70913</v>
      </c>
      <c r="B4572" s="639">
        <v>900</v>
      </c>
      <c r="C4572" s="638">
        <v>6521.7219999999998</v>
      </c>
      <c r="D4572" s="633">
        <f t="shared" si="146"/>
        <v>6521.7219999999998</v>
      </c>
      <c r="E4572" s="608"/>
      <c r="F4572" s="760">
        <f t="shared" si="147"/>
        <v>2751.481674021843</v>
      </c>
      <c r="M4572" s="443"/>
    </row>
    <row r="4573" spans="1:13">
      <c r="A4573" s="639">
        <v>70913</v>
      </c>
      <c r="B4573" s="639">
        <v>1000</v>
      </c>
      <c r="C4573" s="638">
        <v>6614.0129999999999</v>
      </c>
      <c r="D4573" s="633">
        <f t="shared" si="146"/>
        <v>6614.0129999999999</v>
      </c>
      <c r="E4573" s="608"/>
      <c r="F4573" s="760">
        <f t="shared" si="147"/>
        <v>2790.41878222381</v>
      </c>
      <c r="M4573" s="443"/>
    </row>
    <row r="4574" spans="1:13">
      <c r="A4574" s="639">
        <v>70913</v>
      </c>
      <c r="B4574" s="639">
        <v>1100</v>
      </c>
      <c r="C4574" s="638">
        <v>6763.9459999999999</v>
      </c>
      <c r="D4574" s="633">
        <f t="shared" si="146"/>
        <v>6763.9459999999999</v>
      </c>
      <c r="E4574" s="608"/>
      <c r="F4574" s="760">
        <f t="shared" si="147"/>
        <v>2853.6747599902828</v>
      </c>
      <c r="M4574" s="443"/>
    </row>
    <row r="4575" spans="1:13">
      <c r="A4575" s="639">
        <v>70913</v>
      </c>
      <c r="B4575" s="639">
        <v>1200</v>
      </c>
      <c r="C4575" s="638">
        <v>6819.1490000000003</v>
      </c>
      <c r="D4575" s="633">
        <f t="shared" si="146"/>
        <v>6819.1490000000003</v>
      </c>
      <c r="E4575" s="608"/>
      <c r="F4575" s="760">
        <f t="shared" si="147"/>
        <v>2876.9646277354932</v>
      </c>
      <c r="M4575" s="443"/>
    </row>
    <row r="4576" spans="1:13">
      <c r="A4576" s="639">
        <v>70913</v>
      </c>
      <c r="B4576" s="639">
        <v>1300</v>
      </c>
      <c r="C4576" s="638">
        <v>6887.8450000000003</v>
      </c>
      <c r="D4576" s="633">
        <f t="shared" si="146"/>
        <v>6887.8450000000003</v>
      </c>
      <c r="E4576" s="608"/>
      <c r="F4576" s="760">
        <f t="shared" si="147"/>
        <v>2905.9471242415702</v>
      </c>
      <c r="M4576" s="443"/>
    </row>
    <row r="4577" spans="1:13">
      <c r="A4577" s="639">
        <v>70913</v>
      </c>
      <c r="B4577" s="639">
        <v>1400</v>
      </c>
      <c r="C4577" s="638">
        <v>6890.8159999999998</v>
      </c>
      <c r="D4577" s="633">
        <f t="shared" si="146"/>
        <v>6890.8159999999998</v>
      </c>
      <c r="E4577" s="608"/>
      <c r="F4577" s="760">
        <f t="shared" si="147"/>
        <v>2907.2005741821717</v>
      </c>
      <c r="M4577" s="443"/>
    </row>
    <row r="4578" spans="1:13">
      <c r="A4578" s="639">
        <v>70913</v>
      </c>
      <c r="B4578" s="639">
        <v>1500</v>
      </c>
      <c r="C4578" s="638">
        <v>6936.75</v>
      </c>
      <c r="D4578" s="633">
        <f t="shared" si="146"/>
        <v>6936.75</v>
      </c>
      <c r="E4578" s="608"/>
      <c r="F4578" s="760">
        <f t="shared" si="147"/>
        <v>2926.5798974980871</v>
      </c>
      <c r="M4578" s="443"/>
    </row>
    <row r="4579" spans="1:13">
      <c r="A4579" s="639">
        <v>70913</v>
      </c>
      <c r="B4579" s="639">
        <v>1600</v>
      </c>
      <c r="C4579" s="638">
        <v>7099.7349999999997</v>
      </c>
      <c r="D4579" s="633">
        <f t="shared" si="146"/>
        <v>7099.7349999999997</v>
      </c>
      <c r="E4579" s="608"/>
      <c r="F4579" s="760">
        <f t="shared" si="147"/>
        <v>2995.342448345923</v>
      </c>
      <c r="M4579" s="443"/>
    </row>
    <row r="4580" spans="1:13">
      <c r="A4580" s="639">
        <v>70913</v>
      </c>
      <c r="B4580" s="639">
        <v>1700</v>
      </c>
      <c r="C4580" s="638">
        <v>7547.0959999999995</v>
      </c>
      <c r="D4580" s="633">
        <f t="shared" si="146"/>
        <v>7547.0959999999995</v>
      </c>
      <c r="E4580" s="608"/>
      <c r="F4580" s="760">
        <f t="shared" si="147"/>
        <v>3184.0818017210108</v>
      </c>
      <c r="M4580" s="443"/>
    </row>
    <row r="4581" spans="1:13">
      <c r="A4581" s="639">
        <v>70913</v>
      </c>
      <c r="B4581" s="639">
        <v>1800</v>
      </c>
      <c r="C4581" s="638">
        <v>7947.0339999999997</v>
      </c>
      <c r="D4581" s="633">
        <f t="shared" si="146"/>
        <v>7947.0339999999997</v>
      </c>
      <c r="E4581" s="608"/>
      <c r="F4581" s="760">
        <f t="shared" si="147"/>
        <v>3352.8136301775057</v>
      </c>
      <c r="M4581" s="443"/>
    </row>
    <row r="4582" spans="1:13">
      <c r="A4582" s="639">
        <v>70913</v>
      </c>
      <c r="B4582" s="639">
        <v>1900</v>
      </c>
      <c r="C4582" s="638">
        <v>8176.08</v>
      </c>
      <c r="D4582" s="633">
        <f t="shared" si="146"/>
        <v>8176.08</v>
      </c>
      <c r="E4582" s="608"/>
      <c r="F4582" s="760">
        <f t="shared" si="147"/>
        <v>3449.4469842990106</v>
      </c>
      <c r="M4582" s="443"/>
    </row>
    <row r="4583" spans="1:13">
      <c r="A4583" s="639">
        <v>70913</v>
      </c>
      <c r="B4583" s="639">
        <v>2000</v>
      </c>
      <c r="C4583" s="638">
        <v>8237.9359999999997</v>
      </c>
      <c r="D4583" s="633">
        <f t="shared" si="146"/>
        <v>8237.9359999999997</v>
      </c>
      <c r="E4583" s="608"/>
      <c r="F4583" s="760">
        <f t="shared" si="147"/>
        <v>3475.5437192454392</v>
      </c>
      <c r="M4583" s="443"/>
    </row>
    <row r="4584" spans="1:13">
      <c r="A4584" s="639">
        <v>70913</v>
      </c>
      <c r="B4584" s="639">
        <v>2100</v>
      </c>
      <c r="C4584" s="638">
        <v>8387.8189999999995</v>
      </c>
      <c r="D4584" s="633">
        <f t="shared" si="146"/>
        <v>8387.8189999999995</v>
      </c>
      <c r="E4584" s="608"/>
      <c r="F4584" s="760">
        <f t="shared" si="147"/>
        <v>3538.7786022636692</v>
      </c>
      <c r="M4584" s="443"/>
    </row>
    <row r="4585" spans="1:13">
      <c r="A4585" s="639">
        <v>70913</v>
      </c>
      <c r="B4585" s="639">
        <v>2200</v>
      </c>
      <c r="C4585" s="638">
        <v>7885.741</v>
      </c>
      <c r="D4585" s="633">
        <f t="shared" si="146"/>
        <v>7885.741</v>
      </c>
      <c r="E4585" s="608"/>
      <c r="F4585" s="760">
        <f t="shared" si="147"/>
        <v>3326.954422096293</v>
      </c>
      <c r="M4585" s="443"/>
    </row>
    <row r="4586" spans="1:13">
      <c r="A4586" s="639">
        <v>70913</v>
      </c>
      <c r="B4586" s="639">
        <v>2300</v>
      </c>
      <c r="C4586" s="638">
        <v>6764.0140000000001</v>
      </c>
      <c r="D4586" s="633">
        <f t="shared" si="146"/>
        <v>6764.0140000000001</v>
      </c>
      <c r="E4586" s="608"/>
      <c r="F4586" s="760">
        <f t="shared" si="147"/>
        <v>2853.7034488478935</v>
      </c>
      <c r="M4586" s="443"/>
    </row>
    <row r="4587" spans="1:13">
      <c r="A4587" s="639">
        <v>70913</v>
      </c>
      <c r="B4587" s="639">
        <v>2400</v>
      </c>
      <c r="C4587" s="638">
        <v>5851.0820000000003</v>
      </c>
      <c r="D4587" s="633">
        <f t="shared" si="146"/>
        <v>5851.0820000000003</v>
      </c>
      <c r="E4587" s="608"/>
      <c r="F4587" s="760">
        <f t="shared" si="147"/>
        <v>2468.5420347876029</v>
      </c>
      <c r="M4587" s="443"/>
    </row>
    <row r="4588" spans="1:13">
      <c r="A4588" s="639">
        <v>71013</v>
      </c>
      <c r="B4588" s="639">
        <v>100</v>
      </c>
      <c r="C4588" s="638">
        <v>5278.2830000000004</v>
      </c>
      <c r="D4588" s="633">
        <f t="shared" si="146"/>
        <v>5278.2830000000004</v>
      </c>
      <c r="E4588" s="608"/>
      <c r="F4588" s="760">
        <f t="shared" si="147"/>
        <v>2226.8810208103068</v>
      </c>
      <c r="M4588" s="443"/>
    </row>
    <row r="4589" spans="1:13">
      <c r="A4589" s="639">
        <v>71013</v>
      </c>
      <c r="B4589" s="639">
        <v>200</v>
      </c>
      <c r="C4589" s="638">
        <v>4925.2929999999997</v>
      </c>
      <c r="D4589" s="633">
        <f t="shared" si="146"/>
        <v>4925.2929999999997</v>
      </c>
      <c r="E4589" s="608"/>
      <c r="F4589" s="760">
        <f t="shared" si="147"/>
        <v>2077.9563171640962</v>
      </c>
      <c r="M4589" s="443"/>
    </row>
    <row r="4590" spans="1:13">
      <c r="A4590" s="639">
        <v>71013</v>
      </c>
      <c r="B4590" s="639">
        <v>300</v>
      </c>
      <c r="C4590" s="638">
        <v>4774.5039999999999</v>
      </c>
      <c r="D4590" s="633">
        <f t="shared" si="146"/>
        <v>4774.5039999999999</v>
      </c>
      <c r="E4590" s="608"/>
      <c r="F4590" s="760">
        <f t="shared" si="147"/>
        <v>2014.3391973077028</v>
      </c>
      <c r="M4590" s="443"/>
    </row>
    <row r="4591" spans="1:13">
      <c r="A4591" s="639">
        <v>71013</v>
      </c>
      <c r="B4591" s="639">
        <v>400</v>
      </c>
      <c r="C4591" s="638">
        <v>4742.5839999999998</v>
      </c>
      <c r="D4591" s="633">
        <f t="shared" si="146"/>
        <v>4742.5839999999998</v>
      </c>
      <c r="E4591" s="608"/>
      <c r="F4591" s="760">
        <f t="shared" si="147"/>
        <v>2000.8723100293462</v>
      </c>
      <c r="M4591" s="443"/>
    </row>
    <row r="4592" spans="1:13">
      <c r="A4592" s="639">
        <v>71013</v>
      </c>
      <c r="B4592" s="639">
        <v>500</v>
      </c>
      <c r="C4592" s="638">
        <v>4965.6289999999999</v>
      </c>
      <c r="D4592" s="633">
        <f t="shared" si="146"/>
        <v>4965.6289999999999</v>
      </c>
      <c r="E4592" s="608"/>
      <c r="F4592" s="760">
        <f t="shared" si="147"/>
        <v>2094.9738724667213</v>
      </c>
      <c r="M4592" s="443"/>
    </row>
    <row r="4593" spans="1:13">
      <c r="A4593" s="639">
        <v>71013</v>
      </c>
      <c r="B4593" s="639">
        <v>600</v>
      </c>
      <c r="C4593" s="638">
        <v>5512.9960000000001</v>
      </c>
      <c r="D4593" s="633">
        <f t="shared" si="146"/>
        <v>5512.9960000000001</v>
      </c>
      <c r="E4593" s="608"/>
      <c r="F4593" s="760">
        <f t="shared" si="147"/>
        <v>2325.9052536976778</v>
      </c>
      <c r="M4593" s="443"/>
    </row>
    <row r="4594" spans="1:13">
      <c r="A4594" s="639">
        <v>71013</v>
      </c>
      <c r="B4594" s="639">
        <v>700</v>
      </c>
      <c r="C4594" s="638">
        <v>6280.3729999999996</v>
      </c>
      <c r="D4594" s="633">
        <f t="shared" si="146"/>
        <v>6280.3729999999996</v>
      </c>
      <c r="E4594" s="608"/>
      <c r="F4594" s="760">
        <f t="shared" si="147"/>
        <v>2649.6577461476563</v>
      </c>
      <c r="M4594" s="443"/>
    </row>
    <row r="4595" spans="1:13">
      <c r="A4595" s="639">
        <v>71013</v>
      </c>
      <c r="B4595" s="639">
        <v>800</v>
      </c>
      <c r="C4595" s="638">
        <v>6692.9769999999999</v>
      </c>
      <c r="D4595" s="633">
        <f t="shared" si="146"/>
        <v>6692.9769999999999</v>
      </c>
      <c r="E4595" s="608"/>
      <c r="F4595" s="760">
        <f t="shared" si="147"/>
        <v>2823.733296229078</v>
      </c>
      <c r="M4595" s="443"/>
    </row>
    <row r="4596" spans="1:13">
      <c r="A4596" s="639">
        <v>71013</v>
      </c>
      <c r="B4596" s="639">
        <v>900</v>
      </c>
      <c r="C4596" s="638">
        <v>6996.4449999999997</v>
      </c>
      <c r="D4596" s="633">
        <f t="shared" si="146"/>
        <v>6996.4449999999997</v>
      </c>
      <c r="E4596" s="608"/>
      <c r="F4596" s="760">
        <f t="shared" si="147"/>
        <v>2951.7649174254516</v>
      </c>
      <c r="M4596" s="443"/>
    </row>
    <row r="4597" spans="1:13">
      <c r="A4597" s="639">
        <v>71013</v>
      </c>
      <c r="B4597" s="639">
        <v>1000</v>
      </c>
      <c r="C4597" s="638">
        <v>7434.5619999999999</v>
      </c>
      <c r="D4597" s="633">
        <f t="shared" si="146"/>
        <v>7434.5619999999999</v>
      </c>
      <c r="E4597" s="608"/>
      <c r="F4597" s="760">
        <f t="shared" si="147"/>
        <v>3136.6042737453672</v>
      </c>
      <c r="M4597" s="443"/>
    </row>
    <row r="4598" spans="1:13">
      <c r="A4598" s="639">
        <v>71013</v>
      </c>
      <c r="B4598" s="639">
        <v>1100</v>
      </c>
      <c r="C4598" s="638">
        <v>8024.4390000000003</v>
      </c>
      <c r="D4598" s="633">
        <f t="shared" si="146"/>
        <v>8024.4390000000003</v>
      </c>
      <c r="E4598" s="608"/>
      <c r="F4598" s="760">
        <f t="shared" si="147"/>
        <v>3385.4704099325554</v>
      </c>
      <c r="M4598" s="443"/>
    </row>
    <row r="4599" spans="1:13">
      <c r="A4599" s="639">
        <v>71013</v>
      </c>
      <c r="B4599" s="639">
        <v>1200</v>
      </c>
      <c r="C4599" s="638">
        <v>8434.1970000000001</v>
      </c>
      <c r="D4599" s="633">
        <f t="shared" si="146"/>
        <v>8434.1970000000001</v>
      </c>
      <c r="E4599" s="608"/>
      <c r="F4599" s="760">
        <f t="shared" si="147"/>
        <v>3558.3452469439831</v>
      </c>
      <c r="M4599" s="443"/>
    </row>
    <row r="4600" spans="1:13">
      <c r="A4600" s="639">
        <v>71013</v>
      </c>
      <c r="B4600" s="639">
        <v>1300</v>
      </c>
      <c r="C4600" s="638">
        <v>8784.5300000000007</v>
      </c>
      <c r="D4600" s="633">
        <f t="shared" si="146"/>
        <v>8784.5300000000007</v>
      </c>
      <c r="E4600" s="608"/>
      <c r="F4600" s="760">
        <f t="shared" si="147"/>
        <v>3706.1489756685583</v>
      </c>
      <c r="M4600" s="443"/>
    </row>
    <row r="4601" spans="1:13">
      <c r="A4601" s="639">
        <v>71013</v>
      </c>
      <c r="B4601" s="639">
        <v>1400</v>
      </c>
      <c r="C4601" s="638">
        <v>9107.6779999999999</v>
      </c>
      <c r="D4601" s="633">
        <f t="shared" si="146"/>
        <v>9107.6779999999999</v>
      </c>
      <c r="E4601" s="608"/>
      <c r="F4601" s="760">
        <f t="shared" si="147"/>
        <v>3842.4834897733926</v>
      </c>
      <c r="M4601" s="443"/>
    </row>
    <row r="4602" spans="1:13">
      <c r="A4602" s="639">
        <v>71013</v>
      </c>
      <c r="B4602" s="639">
        <v>1500</v>
      </c>
      <c r="C4602" s="638">
        <v>9389.3889999999992</v>
      </c>
      <c r="D4602" s="633">
        <f t="shared" si="146"/>
        <v>9389.3889999999992</v>
      </c>
      <c r="E4602" s="608"/>
      <c r="F4602" s="760">
        <f t="shared" si="147"/>
        <v>3961.3359422192907</v>
      </c>
      <c r="M4602" s="443"/>
    </row>
    <row r="4603" spans="1:13">
      <c r="A4603" s="639">
        <v>71013</v>
      </c>
      <c r="B4603" s="639">
        <v>1600</v>
      </c>
      <c r="C4603" s="638">
        <v>9374.7939999999999</v>
      </c>
      <c r="D4603" s="633">
        <f t="shared" si="146"/>
        <v>9374.7939999999999</v>
      </c>
      <c r="E4603" s="608"/>
      <c r="F4603" s="760">
        <f t="shared" si="147"/>
        <v>3955.1783852071476</v>
      </c>
      <c r="M4603" s="443"/>
    </row>
    <row r="4604" spans="1:13">
      <c r="A4604" s="639">
        <v>71013</v>
      </c>
      <c r="B4604" s="639">
        <v>1700</v>
      </c>
      <c r="C4604" s="638">
        <v>9446.0370000000003</v>
      </c>
      <c r="D4604" s="633">
        <f t="shared" si="146"/>
        <v>9446.0370000000003</v>
      </c>
      <c r="E4604" s="608"/>
      <c r="F4604" s="760">
        <f t="shared" si="147"/>
        <v>3985.2354481887255</v>
      </c>
      <c r="M4604" s="443"/>
    </row>
    <row r="4605" spans="1:13">
      <c r="A4605" s="639">
        <v>71013</v>
      </c>
      <c r="B4605" s="639">
        <v>1800</v>
      </c>
      <c r="C4605" s="638">
        <v>9287.9419999999991</v>
      </c>
      <c r="D4605" s="633">
        <f t="shared" si="146"/>
        <v>9287.9419999999991</v>
      </c>
      <c r="E4605" s="608"/>
      <c r="F4605" s="760">
        <f t="shared" si="147"/>
        <v>3918.5359637190581</v>
      </c>
      <c r="M4605" s="443"/>
    </row>
    <row r="4606" spans="1:13">
      <c r="A4606" s="639">
        <v>71013</v>
      </c>
      <c r="B4606" s="639">
        <v>1900</v>
      </c>
      <c r="C4606" s="638">
        <v>9202.2279999999992</v>
      </c>
      <c r="D4606" s="633">
        <f t="shared" si="146"/>
        <v>9202.2279999999992</v>
      </c>
      <c r="E4606" s="608"/>
      <c r="F4606" s="760">
        <f t="shared" si="147"/>
        <v>3882.3736587009803</v>
      </c>
      <c r="M4606" s="443"/>
    </row>
    <row r="4607" spans="1:13">
      <c r="A4607" s="639">
        <v>71013</v>
      </c>
      <c r="B4607" s="639">
        <v>2000</v>
      </c>
      <c r="C4607" s="638">
        <v>8532.259</v>
      </c>
      <c r="D4607" s="633">
        <f t="shared" si="146"/>
        <v>8532.259</v>
      </c>
      <c r="E4607" s="608"/>
      <c r="F4607" s="760">
        <f t="shared" si="147"/>
        <v>3599.7171109881619</v>
      </c>
      <c r="M4607" s="443"/>
    </row>
    <row r="4608" spans="1:13">
      <c r="A4608" s="639">
        <v>71013</v>
      </c>
      <c r="B4608" s="639">
        <v>2100</v>
      </c>
      <c r="C4608" s="638">
        <v>8292.6360000000004</v>
      </c>
      <c r="D4608" s="633">
        <f t="shared" si="146"/>
        <v>8292.6360000000004</v>
      </c>
      <c r="E4608" s="608"/>
      <c r="F4608" s="760">
        <f t="shared" si="147"/>
        <v>3498.6213738233246</v>
      </c>
      <c r="M4608" s="443"/>
    </row>
    <row r="4609" spans="1:13">
      <c r="A4609" s="639">
        <v>71013</v>
      </c>
      <c r="B4609" s="639">
        <v>2200</v>
      </c>
      <c r="C4609" s="638">
        <v>7531.4319999999998</v>
      </c>
      <c r="D4609" s="633">
        <f t="shared" si="146"/>
        <v>7531.4319999999998</v>
      </c>
      <c r="E4609" s="608"/>
      <c r="F4609" s="760">
        <f t="shared" si="147"/>
        <v>3177.4732389914316</v>
      </c>
      <c r="M4609" s="443"/>
    </row>
    <row r="4610" spans="1:13">
      <c r="A4610" s="639">
        <v>71013</v>
      </c>
      <c r="B4610" s="639">
        <v>2300</v>
      </c>
      <c r="C4610" s="638">
        <v>6306.9470000000001</v>
      </c>
      <c r="D4610" s="633">
        <f t="shared" si="146"/>
        <v>6306.9470000000001</v>
      </c>
      <c r="E4610" s="608"/>
      <c r="F4610" s="760">
        <f t="shared" si="147"/>
        <v>2660.8691829438667</v>
      </c>
      <c r="M4610" s="443"/>
    </row>
    <row r="4611" spans="1:13">
      <c r="A4611" s="639">
        <v>71013</v>
      </c>
      <c r="B4611" s="639">
        <v>2400</v>
      </c>
      <c r="C4611" s="638">
        <v>5308.6040000000003</v>
      </c>
      <c r="D4611" s="633">
        <f t="shared" si="146"/>
        <v>5308.6040000000003</v>
      </c>
      <c r="E4611" s="608"/>
      <c r="F4611" s="760">
        <f t="shared" si="147"/>
        <v>2239.673298039851</v>
      </c>
      <c r="M4611" s="443"/>
    </row>
    <row r="4612" spans="1:13">
      <c r="A4612" s="639">
        <v>71113</v>
      </c>
      <c r="B4612" s="639">
        <v>100</v>
      </c>
      <c r="C4612" s="638">
        <v>4837.5529999999999</v>
      </c>
      <c r="D4612" s="633">
        <f t="shared" si="146"/>
        <v>4837.5529999999999</v>
      </c>
      <c r="E4612" s="608"/>
      <c r="F4612" s="760">
        <f t="shared" si="147"/>
        <v>2040.9392529472107</v>
      </c>
      <c r="M4612" s="443"/>
    </row>
    <row r="4613" spans="1:13">
      <c r="A4613" s="639">
        <v>71113</v>
      </c>
      <c r="B4613" s="639">
        <v>200</v>
      </c>
      <c r="C4613" s="638">
        <v>4535.6319999999996</v>
      </c>
      <c r="D4613" s="633">
        <f t="shared" ref="D4613:D4676" si="148">C4613</f>
        <v>4535.6319999999996</v>
      </c>
      <c r="E4613" s="608"/>
      <c r="F4613" s="760">
        <f t="shared" si="147"/>
        <v>1913.5603032614758</v>
      </c>
      <c r="M4613" s="443"/>
    </row>
    <row r="4614" spans="1:13">
      <c r="A4614" s="639">
        <v>71113</v>
      </c>
      <c r="B4614" s="639">
        <v>300</v>
      </c>
      <c r="C4614" s="638">
        <v>4401.37</v>
      </c>
      <c r="D4614" s="633">
        <f t="shared" si="148"/>
        <v>4401.37</v>
      </c>
      <c r="E4614" s="608"/>
      <c r="F4614" s="760">
        <f t="shared" si="147"/>
        <v>1856.9158414893366</v>
      </c>
      <c r="M4614" s="443"/>
    </row>
    <row r="4615" spans="1:13">
      <c r="A4615" s="639">
        <v>71113</v>
      </c>
      <c r="B4615" s="639">
        <v>400</v>
      </c>
      <c r="C4615" s="638">
        <v>4330.6369999999997</v>
      </c>
      <c r="D4615" s="633">
        <f t="shared" si="148"/>
        <v>4330.6369999999997</v>
      </c>
      <c r="E4615" s="608"/>
      <c r="F4615" s="760">
        <f t="shared" si="147"/>
        <v>1827.0739449398382</v>
      </c>
      <c r="M4615" s="443"/>
    </row>
    <row r="4616" spans="1:13">
      <c r="A4616" s="639">
        <v>71113</v>
      </c>
      <c r="B4616" s="639">
        <v>500</v>
      </c>
      <c r="C4616" s="638">
        <v>4502.7830000000004</v>
      </c>
      <c r="D4616" s="633">
        <f t="shared" si="148"/>
        <v>4502.7830000000004</v>
      </c>
      <c r="E4616" s="608"/>
      <c r="F4616" s="760">
        <f t="shared" si="147"/>
        <v>1899.701475560764</v>
      </c>
      <c r="M4616" s="443"/>
    </row>
    <row r="4617" spans="1:13">
      <c r="A4617" s="639">
        <v>71113</v>
      </c>
      <c r="B4617" s="639">
        <v>600</v>
      </c>
      <c r="C4617" s="638">
        <v>4867.9970000000003</v>
      </c>
      <c r="D4617" s="633">
        <f t="shared" si="148"/>
        <v>4867.9970000000003</v>
      </c>
      <c r="E4617" s="608"/>
      <c r="F4617" s="760">
        <f t="shared" si="147"/>
        <v>2053.7834232574328</v>
      </c>
      <c r="M4617" s="443"/>
    </row>
    <row r="4618" spans="1:13">
      <c r="A4618" s="639">
        <v>71113</v>
      </c>
      <c r="B4618" s="639">
        <v>700</v>
      </c>
      <c r="C4618" s="638">
        <v>5526.2060000000001</v>
      </c>
      <c r="D4618" s="633">
        <f t="shared" si="148"/>
        <v>5526.2060000000001</v>
      </c>
      <c r="E4618" s="608"/>
      <c r="F4618" s="760">
        <f t="shared" si="147"/>
        <v>2331.4784861834887</v>
      </c>
      <c r="M4618" s="443"/>
    </row>
    <row r="4619" spans="1:13">
      <c r="A4619" s="639">
        <v>71113</v>
      </c>
      <c r="B4619" s="639">
        <v>800</v>
      </c>
      <c r="C4619" s="638">
        <v>5802.777</v>
      </c>
      <c r="D4619" s="633">
        <f t="shared" si="148"/>
        <v>5802.777</v>
      </c>
      <c r="E4619" s="608"/>
      <c r="F4619" s="760">
        <f t="shared" si="147"/>
        <v>2448.1623985100023</v>
      </c>
      <c r="M4619" s="443"/>
    </row>
    <row r="4620" spans="1:13">
      <c r="A4620" s="639">
        <v>71113</v>
      </c>
      <c r="B4620" s="639">
        <v>900</v>
      </c>
      <c r="C4620" s="638">
        <v>5980.0420000000004</v>
      </c>
      <c r="D4620" s="633">
        <f t="shared" si="148"/>
        <v>5980.0420000000004</v>
      </c>
      <c r="E4620" s="608"/>
      <c r="F4620" s="760">
        <f t="shared" si="147"/>
        <v>2522.9496094560504</v>
      </c>
      <c r="M4620" s="443"/>
    </row>
    <row r="4621" spans="1:13">
      <c r="A4621" s="639">
        <v>71113</v>
      </c>
      <c r="B4621" s="639">
        <v>1000</v>
      </c>
      <c r="C4621" s="638">
        <v>6084.8620000000001</v>
      </c>
      <c r="D4621" s="633">
        <f t="shared" si="148"/>
        <v>6084.8620000000001</v>
      </c>
      <c r="E4621" s="608"/>
      <c r="F4621" s="760">
        <f t="shared" si="147"/>
        <v>2567.1726396727586</v>
      </c>
      <c r="M4621" s="443"/>
    </row>
    <row r="4622" spans="1:13">
      <c r="A4622" s="639">
        <v>71113</v>
      </c>
      <c r="B4622" s="639">
        <v>1100</v>
      </c>
      <c r="C4622" s="638">
        <v>6288.3670000000002</v>
      </c>
      <c r="D4622" s="633">
        <f t="shared" si="148"/>
        <v>6288.3670000000002</v>
      </c>
      <c r="E4622" s="608"/>
      <c r="F4622" s="760">
        <f t="shared" si="147"/>
        <v>2653.0303744967532</v>
      </c>
      <c r="M4622" s="443"/>
    </row>
    <row r="4623" spans="1:13">
      <c r="A4623" s="639">
        <v>71113</v>
      </c>
      <c r="B4623" s="639">
        <v>1200</v>
      </c>
      <c r="C4623" s="638">
        <v>6383.6319999999996</v>
      </c>
      <c r="D4623" s="633">
        <f t="shared" si="148"/>
        <v>6383.6319999999996</v>
      </c>
      <c r="E4623" s="608"/>
      <c r="F4623" s="760">
        <f t="shared" si="147"/>
        <v>2693.2221983242162</v>
      </c>
      <c r="M4623" s="443"/>
    </row>
    <row r="4624" spans="1:13">
      <c r="A4624" s="639">
        <v>71113</v>
      </c>
      <c r="B4624" s="639">
        <v>1300</v>
      </c>
      <c r="C4624" s="638">
        <v>6588.8940000000002</v>
      </c>
      <c r="D4624" s="633">
        <f t="shared" si="148"/>
        <v>6588.8940000000002</v>
      </c>
      <c r="E4624" s="608"/>
      <c r="F4624" s="760">
        <f t="shared" si="147"/>
        <v>2779.8212026014726</v>
      </c>
      <c r="M4624" s="443"/>
    </row>
    <row r="4625" spans="1:13">
      <c r="A4625" s="639">
        <v>71113</v>
      </c>
      <c r="B4625" s="639">
        <v>1400</v>
      </c>
      <c r="C4625" s="638">
        <v>6702.9639999999999</v>
      </c>
      <c r="D4625" s="633">
        <f t="shared" si="148"/>
        <v>6702.9639999999999</v>
      </c>
      <c r="E4625" s="608"/>
      <c r="F4625" s="760">
        <f t="shared" si="147"/>
        <v>2827.9467612431426</v>
      </c>
      <c r="M4625" s="443"/>
    </row>
    <row r="4626" spans="1:13">
      <c r="A4626" s="639">
        <v>71113</v>
      </c>
      <c r="B4626" s="639">
        <v>1500</v>
      </c>
      <c r="C4626" s="638">
        <v>6924.6570000000002</v>
      </c>
      <c r="D4626" s="633">
        <f t="shared" si="148"/>
        <v>6924.6570000000002</v>
      </c>
      <c r="E4626" s="608"/>
      <c r="F4626" s="760">
        <f t="shared" si="147"/>
        <v>2921.4779216880256</v>
      </c>
      <c r="M4626" s="443"/>
    </row>
    <row r="4627" spans="1:13">
      <c r="A4627" s="639">
        <v>71113</v>
      </c>
      <c r="B4627" s="639">
        <v>1600</v>
      </c>
      <c r="C4627" s="638">
        <v>7325.1270000000004</v>
      </c>
      <c r="D4627" s="633">
        <f t="shared" si="148"/>
        <v>7325.1270000000004</v>
      </c>
      <c r="E4627" s="608"/>
      <c r="F4627" s="760">
        <f t="shared" si="147"/>
        <v>3090.4341982658261</v>
      </c>
      <c r="M4627" s="443"/>
    </row>
    <row r="4628" spans="1:13">
      <c r="A4628" s="639">
        <v>71113</v>
      </c>
      <c r="B4628" s="639">
        <v>1700</v>
      </c>
      <c r="C4628" s="638">
        <v>7765.92</v>
      </c>
      <c r="D4628" s="633">
        <f t="shared" si="148"/>
        <v>7765.92</v>
      </c>
      <c r="E4628" s="608"/>
      <c r="F4628" s="760">
        <f t="shared" ref="F4628:F4691" si="149">(D4628/(MAX($D$4372:$D$5115)))*$M$10</f>
        <v>3276.4025455117085</v>
      </c>
      <c r="M4628" s="443"/>
    </row>
    <row r="4629" spans="1:13">
      <c r="A4629" s="639">
        <v>71113</v>
      </c>
      <c r="B4629" s="639">
        <v>1800</v>
      </c>
      <c r="C4629" s="638">
        <v>7958.5879999999997</v>
      </c>
      <c r="D4629" s="633">
        <f t="shared" si="148"/>
        <v>7958.5879999999997</v>
      </c>
      <c r="E4629" s="608"/>
      <c r="F4629" s="760">
        <f t="shared" si="149"/>
        <v>3357.6882046015071</v>
      </c>
      <c r="M4629" s="443"/>
    </row>
    <row r="4630" spans="1:13">
      <c r="A4630" s="639">
        <v>71113</v>
      </c>
      <c r="B4630" s="639">
        <v>1900</v>
      </c>
      <c r="C4630" s="638">
        <v>7907.2669999999998</v>
      </c>
      <c r="D4630" s="633">
        <f t="shared" si="148"/>
        <v>7907.2669999999998</v>
      </c>
      <c r="E4630" s="608"/>
      <c r="F4630" s="760">
        <f t="shared" si="149"/>
        <v>3336.0361331098866</v>
      </c>
      <c r="M4630" s="443"/>
    </row>
    <row r="4631" spans="1:13">
      <c r="A4631" s="639">
        <v>71113</v>
      </c>
      <c r="B4631" s="639">
        <v>2000</v>
      </c>
      <c r="C4631" s="638">
        <v>7704.6629999999996</v>
      </c>
      <c r="D4631" s="633">
        <f t="shared" si="148"/>
        <v>7704.6629999999996</v>
      </c>
      <c r="E4631" s="608"/>
      <c r="F4631" s="760">
        <f t="shared" si="149"/>
        <v>3250.5585256492309</v>
      </c>
      <c r="M4631" s="443"/>
    </row>
    <row r="4632" spans="1:13">
      <c r="A4632" s="639">
        <v>71113</v>
      </c>
      <c r="B4632" s="639">
        <v>2100</v>
      </c>
      <c r="C4632" s="638">
        <v>7651.71</v>
      </c>
      <c r="D4632" s="633">
        <f t="shared" si="148"/>
        <v>7651.71</v>
      </c>
      <c r="E4632" s="608"/>
      <c r="F4632" s="760">
        <f t="shared" si="149"/>
        <v>3228.2179215749579</v>
      </c>
      <c r="M4632" s="443"/>
    </row>
    <row r="4633" spans="1:13">
      <c r="A4633" s="639">
        <v>71113</v>
      </c>
      <c r="B4633" s="639">
        <v>2200</v>
      </c>
      <c r="C4633" s="638">
        <v>7135.8580000000002</v>
      </c>
      <c r="D4633" s="633">
        <f t="shared" si="148"/>
        <v>7135.8580000000002</v>
      </c>
      <c r="E4633" s="608"/>
      <c r="F4633" s="760">
        <f t="shared" si="149"/>
        <v>3010.5825601615893</v>
      </c>
      <c r="M4633" s="443"/>
    </row>
    <row r="4634" spans="1:13">
      <c r="A4634" s="639">
        <v>71113</v>
      </c>
      <c r="B4634" s="639">
        <v>2300</v>
      </c>
      <c r="C4634" s="638">
        <v>6044.8220000000001</v>
      </c>
      <c r="D4634" s="633">
        <f t="shared" si="148"/>
        <v>6044.8220000000001</v>
      </c>
      <c r="E4634" s="608"/>
      <c r="F4634" s="760">
        <f t="shared" si="149"/>
        <v>2550.2799652797321</v>
      </c>
      <c r="M4634" s="443"/>
    </row>
    <row r="4635" spans="1:13">
      <c r="A4635" s="639">
        <v>71113</v>
      </c>
      <c r="B4635" s="639">
        <v>2400</v>
      </c>
      <c r="C4635" s="638">
        <v>5243.5029999999997</v>
      </c>
      <c r="D4635" s="633">
        <f t="shared" si="148"/>
        <v>5243.5029999999997</v>
      </c>
      <c r="E4635" s="608"/>
      <c r="F4635" s="760">
        <f t="shared" si="149"/>
        <v>2212.2075139324484</v>
      </c>
      <c r="M4635" s="443"/>
    </row>
    <row r="4636" spans="1:13">
      <c r="A4636" s="639">
        <v>71213</v>
      </c>
      <c r="B4636" s="639">
        <v>100</v>
      </c>
      <c r="C4636" s="638">
        <v>4739.6180000000004</v>
      </c>
      <c r="D4636" s="633">
        <f t="shared" si="148"/>
        <v>4739.6180000000004</v>
      </c>
      <c r="E4636" s="608"/>
      <c r="F4636" s="760">
        <f t="shared" si="149"/>
        <v>1999.6209695635694</v>
      </c>
      <c r="M4636" s="443"/>
    </row>
    <row r="4637" spans="1:13">
      <c r="A4637" s="639">
        <v>71213</v>
      </c>
      <c r="B4637" s="639">
        <v>200</v>
      </c>
      <c r="C4637" s="638">
        <v>4437.41</v>
      </c>
      <c r="D4637" s="633">
        <f t="shared" si="148"/>
        <v>4437.41</v>
      </c>
      <c r="E4637" s="608"/>
      <c r="F4637" s="760">
        <f t="shared" si="149"/>
        <v>1872.1209360229193</v>
      </c>
      <c r="M4637" s="443"/>
    </row>
    <row r="4638" spans="1:13">
      <c r="A4638" s="639">
        <v>71213</v>
      </c>
      <c r="B4638" s="639">
        <v>300</v>
      </c>
      <c r="C4638" s="638">
        <v>4313.848</v>
      </c>
      <c r="D4638" s="633">
        <f t="shared" si="148"/>
        <v>4313.848</v>
      </c>
      <c r="E4638" s="608"/>
      <c r="F4638" s="760">
        <f t="shared" si="149"/>
        <v>1819.9907503747907</v>
      </c>
      <c r="M4638" s="443"/>
    </row>
    <row r="4639" spans="1:13">
      <c r="A4639" s="639">
        <v>71213</v>
      </c>
      <c r="B4639" s="639">
        <v>400</v>
      </c>
      <c r="C4639" s="638">
        <v>4269.826</v>
      </c>
      <c r="D4639" s="633">
        <f t="shared" si="148"/>
        <v>4269.826</v>
      </c>
      <c r="E4639" s="608"/>
      <c r="F4639" s="760">
        <f t="shared" si="149"/>
        <v>1801.4180902316887</v>
      </c>
      <c r="M4639" s="443"/>
    </row>
    <row r="4640" spans="1:13">
      <c r="A4640" s="639">
        <v>71213</v>
      </c>
      <c r="B4640" s="639">
        <v>500</v>
      </c>
      <c r="C4640" s="638">
        <v>4470.5020000000004</v>
      </c>
      <c r="D4640" s="633">
        <f t="shared" si="148"/>
        <v>4470.5020000000004</v>
      </c>
      <c r="E4640" s="608"/>
      <c r="F4640" s="760">
        <f t="shared" si="149"/>
        <v>1886.082284200093</v>
      </c>
      <c r="M4640" s="443"/>
    </row>
    <row r="4641" spans="1:13">
      <c r="A4641" s="639">
        <v>71213</v>
      </c>
      <c r="B4641" s="639">
        <v>600</v>
      </c>
      <c r="C4641" s="638">
        <v>4806.5889999999999</v>
      </c>
      <c r="D4641" s="633">
        <f t="shared" si="148"/>
        <v>4806.5889999999999</v>
      </c>
      <c r="E4641" s="608"/>
      <c r="F4641" s="760">
        <f t="shared" si="149"/>
        <v>2027.8756972552612</v>
      </c>
      <c r="M4641" s="443"/>
    </row>
    <row r="4642" spans="1:13">
      <c r="A4642" s="639">
        <v>71213</v>
      </c>
      <c r="B4642" s="639">
        <v>700</v>
      </c>
      <c r="C4642" s="638">
        <v>5337.5919999999996</v>
      </c>
      <c r="D4642" s="633">
        <f t="shared" si="148"/>
        <v>5337.5919999999996</v>
      </c>
      <c r="E4642" s="608"/>
      <c r="F4642" s="760">
        <f t="shared" si="149"/>
        <v>2251.9031892812354</v>
      </c>
      <c r="M4642" s="443"/>
    </row>
    <row r="4643" spans="1:13">
      <c r="A4643" s="639">
        <v>71213</v>
      </c>
      <c r="B4643" s="639">
        <v>800</v>
      </c>
      <c r="C4643" s="638">
        <v>5639.76</v>
      </c>
      <c r="D4643" s="633">
        <f t="shared" si="148"/>
        <v>5639.76</v>
      </c>
      <c r="E4643" s="608"/>
      <c r="F4643" s="760">
        <f t="shared" si="149"/>
        <v>2379.3863470232905</v>
      </c>
      <c r="M4643" s="443"/>
    </row>
    <row r="4644" spans="1:13">
      <c r="A4644" s="639">
        <v>71213</v>
      </c>
      <c r="B4644" s="639">
        <v>900</v>
      </c>
      <c r="C4644" s="638">
        <v>5717.1450000000004</v>
      </c>
      <c r="D4644" s="633">
        <f t="shared" si="148"/>
        <v>5717.1450000000004</v>
      </c>
      <c r="E4644" s="608"/>
      <c r="F4644" s="760">
        <f t="shared" si="149"/>
        <v>2412.0346888790432</v>
      </c>
      <c r="M4644" s="443"/>
    </row>
    <row r="4645" spans="1:13">
      <c r="A4645" s="639">
        <v>71213</v>
      </c>
      <c r="B4645" s="639">
        <v>1000</v>
      </c>
      <c r="C4645" s="638">
        <v>5955.1490000000003</v>
      </c>
      <c r="D4645" s="633">
        <f t="shared" si="148"/>
        <v>5955.1490000000003</v>
      </c>
      <c r="E4645" s="608"/>
      <c r="F4645" s="760">
        <f t="shared" si="149"/>
        <v>2512.4473780957705</v>
      </c>
      <c r="M4645" s="443"/>
    </row>
    <row r="4646" spans="1:13">
      <c r="A4646" s="639">
        <v>71213</v>
      </c>
      <c r="B4646" s="639">
        <v>1100</v>
      </c>
      <c r="C4646" s="638">
        <v>6155.527</v>
      </c>
      <c r="D4646" s="633">
        <f t="shared" si="148"/>
        <v>6155.527</v>
      </c>
      <c r="E4646" s="608"/>
      <c r="F4646" s="760">
        <f t="shared" si="149"/>
        <v>2596.9858473646464</v>
      </c>
      <c r="M4646" s="443"/>
    </row>
    <row r="4647" spans="1:13">
      <c r="A4647" s="639">
        <v>71213</v>
      </c>
      <c r="B4647" s="639">
        <v>1200</v>
      </c>
      <c r="C4647" s="638">
        <v>6325.491</v>
      </c>
      <c r="D4647" s="633">
        <f t="shared" si="148"/>
        <v>6325.491</v>
      </c>
      <c r="E4647" s="608"/>
      <c r="F4647" s="760">
        <f t="shared" si="149"/>
        <v>2668.692803172245</v>
      </c>
      <c r="M4647" s="443"/>
    </row>
    <row r="4648" spans="1:13">
      <c r="A4648" s="639">
        <v>71213</v>
      </c>
      <c r="B4648" s="639">
        <v>1300</v>
      </c>
      <c r="C4648" s="638">
        <v>6556.223</v>
      </c>
      <c r="D4648" s="633">
        <f t="shared" si="148"/>
        <v>6556.223</v>
      </c>
      <c r="E4648" s="608"/>
      <c r="F4648" s="760">
        <f t="shared" si="149"/>
        <v>2766.0374722045049</v>
      </c>
      <c r="M4648" s="443"/>
    </row>
    <row r="4649" spans="1:13">
      <c r="A4649" s="639">
        <v>71213</v>
      </c>
      <c r="B4649" s="639">
        <v>1400</v>
      </c>
      <c r="C4649" s="638">
        <v>6810.826</v>
      </c>
      <c r="D4649" s="633">
        <f t="shared" si="148"/>
        <v>6810.826</v>
      </c>
      <c r="E4649" s="608"/>
      <c r="F4649" s="760">
        <f t="shared" si="149"/>
        <v>2873.4531959429573</v>
      </c>
      <c r="M4649" s="443"/>
    </row>
    <row r="4650" spans="1:13">
      <c r="A4650" s="639">
        <v>71213</v>
      </c>
      <c r="B4650" s="639">
        <v>1500</v>
      </c>
      <c r="C4650" s="638">
        <v>7087.2889999999998</v>
      </c>
      <c r="D4650" s="633">
        <f t="shared" si="148"/>
        <v>7087.2889999999998</v>
      </c>
      <c r="E4650" s="608"/>
      <c r="F4650" s="760">
        <f t="shared" si="149"/>
        <v>2990.0915436132655</v>
      </c>
      <c r="M4650" s="443"/>
    </row>
    <row r="4651" spans="1:13">
      <c r="A4651" s="639">
        <v>71213</v>
      </c>
      <c r="B4651" s="639">
        <v>1600</v>
      </c>
      <c r="C4651" s="638">
        <v>7680.817</v>
      </c>
      <c r="D4651" s="633">
        <f t="shared" si="148"/>
        <v>7680.817</v>
      </c>
      <c r="E4651" s="608"/>
      <c r="F4651" s="760">
        <f t="shared" si="149"/>
        <v>3240.4980183171606</v>
      </c>
      <c r="M4651" s="443"/>
    </row>
    <row r="4652" spans="1:13">
      <c r="A4652" s="639">
        <v>71213</v>
      </c>
      <c r="B4652" s="639">
        <v>1700</v>
      </c>
      <c r="C4652" s="638">
        <v>8327.4959999999992</v>
      </c>
      <c r="D4652" s="633">
        <f t="shared" si="148"/>
        <v>8327.4959999999992</v>
      </c>
      <c r="E4652" s="608"/>
      <c r="F4652" s="760">
        <f t="shared" si="149"/>
        <v>3513.3286322983713</v>
      </c>
      <c r="M4652" s="443"/>
    </row>
    <row r="4653" spans="1:13">
      <c r="A4653" s="639">
        <v>71213</v>
      </c>
      <c r="B4653" s="639">
        <v>1800</v>
      </c>
      <c r="C4653" s="638">
        <v>8514.277</v>
      </c>
      <c r="D4653" s="633">
        <f t="shared" si="148"/>
        <v>8514.277</v>
      </c>
      <c r="E4653" s="608"/>
      <c r="F4653" s="760">
        <f t="shared" si="149"/>
        <v>3592.1305957300347</v>
      </c>
      <c r="M4653" s="443"/>
    </row>
    <row r="4654" spans="1:13">
      <c r="A4654" s="639">
        <v>71213</v>
      </c>
      <c r="B4654" s="639">
        <v>1900</v>
      </c>
      <c r="C4654" s="638">
        <v>8424.1779999999999</v>
      </c>
      <c r="D4654" s="633">
        <f t="shared" si="148"/>
        <v>8424.1779999999999</v>
      </c>
      <c r="E4654" s="608"/>
      <c r="F4654" s="760">
        <f t="shared" si="149"/>
        <v>3554.1182812910429</v>
      </c>
      <c r="M4654" s="443"/>
    </row>
    <row r="4655" spans="1:13">
      <c r="A4655" s="639">
        <v>71213</v>
      </c>
      <c r="B4655" s="639">
        <v>2000</v>
      </c>
      <c r="C4655" s="638">
        <v>8177.8609999999999</v>
      </c>
      <c r="D4655" s="633">
        <f t="shared" si="148"/>
        <v>8177.8609999999999</v>
      </c>
      <c r="E4655" s="608"/>
      <c r="F4655" s="760">
        <f t="shared" si="149"/>
        <v>3450.1983792314272</v>
      </c>
      <c r="M4655" s="443"/>
    </row>
    <row r="4656" spans="1:13">
      <c r="A4656" s="639">
        <v>71213</v>
      </c>
      <c r="B4656" s="639">
        <v>2100</v>
      </c>
      <c r="C4656" s="638">
        <v>8133.3040000000001</v>
      </c>
      <c r="D4656" s="633">
        <f t="shared" si="148"/>
        <v>8133.3040000000001</v>
      </c>
      <c r="E4656" s="608"/>
      <c r="F4656" s="760">
        <f t="shared" si="149"/>
        <v>3431.4000052821252</v>
      </c>
      <c r="M4656" s="443"/>
    </row>
    <row r="4657" spans="1:13">
      <c r="A4657" s="639">
        <v>71213</v>
      </c>
      <c r="B4657" s="639">
        <v>2200</v>
      </c>
      <c r="C4657" s="638">
        <v>7594.03</v>
      </c>
      <c r="D4657" s="633">
        <f t="shared" si="148"/>
        <v>7594.03</v>
      </c>
      <c r="E4657" s="608"/>
      <c r="F4657" s="760">
        <f t="shared" si="149"/>
        <v>3203.8830200017869</v>
      </c>
      <c r="M4657" s="443"/>
    </row>
    <row r="4658" spans="1:13">
      <c r="A4658" s="639">
        <v>71213</v>
      </c>
      <c r="B4658" s="639">
        <v>2300</v>
      </c>
      <c r="C4658" s="638">
        <v>6652.2359999999999</v>
      </c>
      <c r="D4658" s="633">
        <f t="shared" si="148"/>
        <v>6652.2359999999999</v>
      </c>
      <c r="E4658" s="608"/>
      <c r="F4658" s="760">
        <f t="shared" si="149"/>
        <v>2806.5448734656838</v>
      </c>
      <c r="M4658" s="443"/>
    </row>
    <row r="4659" spans="1:13">
      <c r="A4659" s="639">
        <v>71213</v>
      </c>
      <c r="B4659" s="639">
        <v>2400</v>
      </c>
      <c r="C4659" s="638">
        <v>5677.5540000000001</v>
      </c>
      <c r="D4659" s="633">
        <f t="shared" si="148"/>
        <v>5677.5540000000001</v>
      </c>
      <c r="E4659" s="608"/>
      <c r="F4659" s="760">
        <f t="shared" si="149"/>
        <v>2395.3314453252397</v>
      </c>
      <c r="M4659" s="443"/>
    </row>
    <row r="4660" spans="1:13">
      <c r="A4660" s="639">
        <v>71313</v>
      </c>
      <c r="B4660" s="639">
        <v>100</v>
      </c>
      <c r="C4660" s="638">
        <v>5063.5569999999998</v>
      </c>
      <c r="D4660" s="633">
        <f t="shared" si="148"/>
        <v>5063.5569999999998</v>
      </c>
      <c r="E4660" s="608"/>
      <c r="F4660" s="760">
        <f t="shared" si="149"/>
        <v>2136.2892025856086</v>
      </c>
      <c r="M4660" s="443"/>
    </row>
    <row r="4661" spans="1:13">
      <c r="A4661" s="639">
        <v>71313</v>
      </c>
      <c r="B4661" s="639">
        <v>200</v>
      </c>
      <c r="C4661" s="638">
        <v>4611.0770000000002</v>
      </c>
      <c r="D4661" s="633">
        <f t="shared" si="148"/>
        <v>4611.0770000000002</v>
      </c>
      <c r="E4661" s="608"/>
      <c r="F4661" s="760">
        <f t="shared" si="149"/>
        <v>1945.3901688853985</v>
      </c>
      <c r="M4661" s="443"/>
    </row>
    <row r="4662" spans="1:13">
      <c r="A4662" s="639">
        <v>71313</v>
      </c>
      <c r="B4662" s="639">
        <v>300</v>
      </c>
      <c r="C4662" s="638">
        <v>4386.3100000000004</v>
      </c>
      <c r="D4662" s="633">
        <f t="shared" si="148"/>
        <v>4386.3100000000004</v>
      </c>
      <c r="E4662" s="608"/>
      <c r="F4662" s="760">
        <f t="shared" si="149"/>
        <v>1850.5621033185332</v>
      </c>
      <c r="M4662" s="443"/>
    </row>
    <row r="4663" spans="1:13">
      <c r="A4663" s="639">
        <v>71313</v>
      </c>
      <c r="B4663" s="639">
        <v>400</v>
      </c>
      <c r="C4663" s="638">
        <v>4309.5370000000003</v>
      </c>
      <c r="D4663" s="633">
        <f t="shared" si="148"/>
        <v>4309.5370000000003</v>
      </c>
      <c r="E4663" s="608"/>
      <c r="F4663" s="760">
        <f t="shared" si="149"/>
        <v>1818.1719611812757</v>
      </c>
      <c r="M4663" s="443"/>
    </row>
    <row r="4664" spans="1:13">
      <c r="A4664" s="639">
        <v>71313</v>
      </c>
      <c r="B4664" s="639">
        <v>500</v>
      </c>
      <c r="C4664" s="638">
        <v>4276.0829999999996</v>
      </c>
      <c r="D4664" s="633">
        <f t="shared" si="148"/>
        <v>4276.0829999999996</v>
      </c>
      <c r="E4664" s="608"/>
      <c r="F4664" s="760">
        <f t="shared" si="149"/>
        <v>1804.0578870268225</v>
      </c>
      <c r="M4664" s="443"/>
    </row>
    <row r="4665" spans="1:13">
      <c r="A4665" s="639">
        <v>71313</v>
      </c>
      <c r="B4665" s="639">
        <v>600</v>
      </c>
      <c r="C4665" s="638">
        <v>4381.2420000000002</v>
      </c>
      <c r="D4665" s="633">
        <f t="shared" si="148"/>
        <v>4381.2420000000002</v>
      </c>
      <c r="E4665" s="608"/>
      <c r="F4665" s="760">
        <f t="shared" si="149"/>
        <v>1848.4239396366186</v>
      </c>
      <c r="M4665" s="443"/>
    </row>
    <row r="4666" spans="1:13">
      <c r="A4666" s="639">
        <v>71313</v>
      </c>
      <c r="B4666" s="639">
        <v>700</v>
      </c>
      <c r="C4666" s="638">
        <v>4875.8180000000002</v>
      </c>
      <c r="D4666" s="633">
        <f t="shared" si="148"/>
        <v>4875.8180000000002</v>
      </c>
      <c r="E4666" s="608"/>
      <c r="F4666" s="760">
        <f t="shared" si="149"/>
        <v>2057.0830637776089</v>
      </c>
      <c r="M4666" s="443"/>
    </row>
    <row r="4667" spans="1:13">
      <c r="A4667" s="639">
        <v>71313</v>
      </c>
      <c r="B4667" s="639">
        <v>800</v>
      </c>
      <c r="C4667" s="638">
        <v>5517.8329999999996</v>
      </c>
      <c r="D4667" s="633">
        <f t="shared" si="148"/>
        <v>5517.8329999999996</v>
      </c>
      <c r="E4667" s="608"/>
      <c r="F4667" s="760">
        <f t="shared" si="149"/>
        <v>2327.9459596427091</v>
      </c>
      <c r="M4667" s="443"/>
    </row>
    <row r="4668" spans="1:13">
      <c r="A4668" s="639">
        <v>71313</v>
      </c>
      <c r="B4668" s="639">
        <v>900</v>
      </c>
      <c r="C4668" s="638">
        <v>6189.84</v>
      </c>
      <c r="D4668" s="633">
        <f t="shared" si="148"/>
        <v>6189.84</v>
      </c>
      <c r="E4668" s="608"/>
      <c r="F4668" s="760">
        <f t="shared" si="149"/>
        <v>2611.4623292939141</v>
      </c>
      <c r="M4668" s="443"/>
    </row>
    <row r="4669" spans="1:13">
      <c r="A4669" s="639">
        <v>71313</v>
      </c>
      <c r="B4669" s="639">
        <v>1000</v>
      </c>
      <c r="C4669" s="638">
        <v>6720.4639999999999</v>
      </c>
      <c r="D4669" s="633">
        <f t="shared" si="148"/>
        <v>6720.4639999999999</v>
      </c>
      <c r="E4669" s="608"/>
      <c r="F4669" s="760">
        <f t="shared" si="149"/>
        <v>2835.3299231282062</v>
      </c>
      <c r="M4669" s="443"/>
    </row>
    <row r="4670" spans="1:13">
      <c r="A4670" s="639">
        <v>71313</v>
      </c>
      <c r="B4670" s="639">
        <v>1100</v>
      </c>
      <c r="C4670" s="638">
        <v>7054.2240000000002</v>
      </c>
      <c r="D4670" s="633">
        <f t="shared" si="148"/>
        <v>7054.2240000000002</v>
      </c>
      <c r="E4670" s="608"/>
      <c r="F4670" s="760">
        <f t="shared" si="149"/>
        <v>2976.1415866001435</v>
      </c>
      <c r="M4670" s="443"/>
    </row>
    <row r="4671" spans="1:13">
      <c r="A4671" s="639">
        <v>71313</v>
      </c>
      <c r="B4671" s="639">
        <v>1200</v>
      </c>
      <c r="C4671" s="638">
        <v>7347.0320000000002</v>
      </c>
      <c r="D4671" s="633">
        <f t="shared" si="148"/>
        <v>7347.0320000000002</v>
      </c>
      <c r="E4671" s="608"/>
      <c r="F4671" s="760">
        <f t="shared" si="149"/>
        <v>3099.6758074711015</v>
      </c>
      <c r="M4671" s="443"/>
    </row>
    <row r="4672" spans="1:13">
      <c r="A4672" s="639">
        <v>71313</v>
      </c>
      <c r="B4672" s="639">
        <v>1300</v>
      </c>
      <c r="C4672" s="638">
        <v>7558.8509999999997</v>
      </c>
      <c r="D4672" s="633">
        <f t="shared" si="148"/>
        <v>7558.8509999999997</v>
      </c>
      <c r="E4672" s="608"/>
      <c r="F4672" s="760">
        <f t="shared" si="149"/>
        <v>3189.0411770329497</v>
      </c>
      <c r="M4672" s="443"/>
    </row>
    <row r="4673" spans="1:13">
      <c r="A4673" s="639">
        <v>71313</v>
      </c>
      <c r="B4673" s="639">
        <v>1400</v>
      </c>
      <c r="C4673" s="638">
        <v>7838.9920000000002</v>
      </c>
      <c r="D4673" s="633">
        <f t="shared" si="148"/>
        <v>7838.9920000000002</v>
      </c>
      <c r="E4673" s="608"/>
      <c r="F4673" s="760">
        <f t="shared" si="149"/>
        <v>3307.2312543840167</v>
      </c>
      <c r="M4673" s="443"/>
    </row>
    <row r="4674" spans="1:13">
      <c r="A4674" s="639">
        <v>71313</v>
      </c>
      <c r="B4674" s="639">
        <v>1500</v>
      </c>
      <c r="C4674" s="638">
        <v>8297.4789999999994</v>
      </c>
      <c r="D4674" s="633">
        <f t="shared" si="148"/>
        <v>8297.4789999999994</v>
      </c>
      <c r="E4674" s="608"/>
      <c r="F4674" s="760">
        <f t="shared" si="149"/>
        <v>3500.6646111381451</v>
      </c>
      <c r="M4674" s="443"/>
    </row>
    <row r="4675" spans="1:13">
      <c r="A4675" s="639">
        <v>71313</v>
      </c>
      <c r="B4675" s="639">
        <v>1600</v>
      </c>
      <c r="C4675" s="638">
        <v>8681.8670000000002</v>
      </c>
      <c r="D4675" s="633">
        <f t="shared" si="148"/>
        <v>8681.8670000000002</v>
      </c>
      <c r="E4675" s="608"/>
      <c r="F4675" s="760">
        <f t="shared" si="149"/>
        <v>3662.835972891055</v>
      </c>
      <c r="M4675" s="443"/>
    </row>
    <row r="4676" spans="1:13">
      <c r="A4676" s="639">
        <v>71313</v>
      </c>
      <c r="B4676" s="639">
        <v>1700</v>
      </c>
      <c r="C4676" s="638">
        <v>9055.616</v>
      </c>
      <c r="D4676" s="633">
        <f t="shared" si="148"/>
        <v>9055.616</v>
      </c>
      <c r="E4676" s="608"/>
      <c r="F4676" s="760">
        <f t="shared" si="149"/>
        <v>3820.5187941128106</v>
      </c>
      <c r="M4676" s="443"/>
    </row>
    <row r="4677" spans="1:13">
      <c r="A4677" s="639">
        <v>71313</v>
      </c>
      <c r="B4677" s="639">
        <v>1800</v>
      </c>
      <c r="C4677" s="638">
        <v>9342.7880000000005</v>
      </c>
      <c r="D4677" s="633">
        <f t="shared" ref="D4677:D4740" si="150">C4677</f>
        <v>9342.7880000000005</v>
      </c>
      <c r="E4677" s="608"/>
      <c r="F4677" s="760">
        <f t="shared" si="149"/>
        <v>3941.6752149618133</v>
      </c>
      <c r="M4677" s="443"/>
    </row>
    <row r="4678" spans="1:13">
      <c r="A4678" s="639">
        <v>71313</v>
      </c>
      <c r="B4678" s="639">
        <v>1900</v>
      </c>
      <c r="C4678" s="638">
        <v>9063.4</v>
      </c>
      <c r="D4678" s="633">
        <f t="shared" si="150"/>
        <v>9063.4</v>
      </c>
      <c r="E4678" s="608"/>
      <c r="F4678" s="760">
        <f t="shared" si="149"/>
        <v>3823.8028245192868</v>
      </c>
      <c r="M4678" s="443"/>
    </row>
    <row r="4679" spans="1:13">
      <c r="A4679" s="639">
        <v>71313</v>
      </c>
      <c r="B4679" s="639">
        <v>2000</v>
      </c>
      <c r="C4679" s="638">
        <v>8651.4750000000004</v>
      </c>
      <c r="D4679" s="633">
        <f t="shared" si="150"/>
        <v>8651.4750000000004</v>
      </c>
      <c r="E4679" s="608"/>
      <c r="F4679" s="760">
        <f t="shared" si="149"/>
        <v>3650.0137411190058</v>
      </c>
      <c r="M4679" s="443"/>
    </row>
    <row r="4680" spans="1:13">
      <c r="A4680" s="639">
        <v>71313</v>
      </c>
      <c r="B4680" s="639">
        <v>2100</v>
      </c>
      <c r="C4680" s="638">
        <v>8505.9650000000001</v>
      </c>
      <c r="D4680" s="633">
        <f t="shared" si="150"/>
        <v>8505.9650000000001</v>
      </c>
      <c r="E4680" s="608"/>
      <c r="F4680" s="760">
        <f t="shared" si="149"/>
        <v>3588.6238047821121</v>
      </c>
      <c r="M4680" s="443"/>
    </row>
    <row r="4681" spans="1:13">
      <c r="A4681" s="639">
        <v>71313</v>
      </c>
      <c r="B4681" s="639">
        <v>2200</v>
      </c>
      <c r="C4681" s="638">
        <v>8086.442</v>
      </c>
      <c r="D4681" s="633">
        <f t="shared" si="150"/>
        <v>8086.442</v>
      </c>
      <c r="E4681" s="608"/>
      <c r="F4681" s="760">
        <f t="shared" si="149"/>
        <v>3411.629163438819</v>
      </c>
      <c r="M4681" s="443"/>
    </row>
    <row r="4682" spans="1:13">
      <c r="A4682" s="639">
        <v>71313</v>
      </c>
      <c r="B4682" s="639">
        <v>2300</v>
      </c>
      <c r="C4682" s="638">
        <v>7079.5519999999997</v>
      </c>
      <c r="D4682" s="633">
        <f t="shared" si="150"/>
        <v>7079.5519999999997</v>
      </c>
      <c r="E4682" s="608"/>
      <c r="F4682" s="760">
        <f t="shared" si="149"/>
        <v>2986.8273422701373</v>
      </c>
      <c r="M4682" s="443"/>
    </row>
    <row r="4683" spans="1:13">
      <c r="A4683" s="639">
        <v>71313</v>
      </c>
      <c r="B4683" s="639">
        <v>2400</v>
      </c>
      <c r="C4683" s="638">
        <v>6040.0079999999998</v>
      </c>
      <c r="D4683" s="633">
        <f t="shared" si="150"/>
        <v>6040.0079999999998</v>
      </c>
      <c r="E4683" s="608"/>
      <c r="F4683" s="760">
        <f t="shared" si="149"/>
        <v>2548.2489629188922</v>
      </c>
      <c r="M4683" s="443"/>
    </row>
    <row r="4684" spans="1:13">
      <c r="A4684" s="639">
        <v>71413</v>
      </c>
      <c r="B4684" s="639">
        <v>100</v>
      </c>
      <c r="C4684" s="638">
        <v>5438.2929999999997</v>
      </c>
      <c r="D4684" s="633">
        <f t="shared" si="150"/>
        <v>5438.2929999999997</v>
      </c>
      <c r="E4684" s="608"/>
      <c r="F4684" s="760">
        <f t="shared" si="149"/>
        <v>2294.3884341376815</v>
      </c>
      <c r="M4684" s="443"/>
    </row>
    <row r="4685" spans="1:13">
      <c r="A4685" s="639">
        <v>71413</v>
      </c>
      <c r="B4685" s="639">
        <v>200</v>
      </c>
      <c r="C4685" s="638">
        <v>5021.28</v>
      </c>
      <c r="D4685" s="633">
        <f t="shared" si="150"/>
        <v>5021.28</v>
      </c>
      <c r="E4685" s="608"/>
      <c r="F4685" s="760">
        <f t="shared" si="149"/>
        <v>2118.4527491561889</v>
      </c>
      <c r="M4685" s="443"/>
    </row>
    <row r="4686" spans="1:13">
      <c r="A4686" s="639">
        <v>71413</v>
      </c>
      <c r="B4686" s="639">
        <v>300</v>
      </c>
      <c r="C4686" s="638">
        <v>4701.1210000000001</v>
      </c>
      <c r="D4686" s="633">
        <f t="shared" si="150"/>
        <v>4701.1210000000001</v>
      </c>
      <c r="E4686" s="608"/>
      <c r="F4686" s="760">
        <f t="shared" si="149"/>
        <v>1983.3792791013234</v>
      </c>
      <c r="M4686" s="443"/>
    </row>
    <row r="4687" spans="1:13">
      <c r="A4687" s="639">
        <v>71413</v>
      </c>
      <c r="B4687" s="639">
        <v>400</v>
      </c>
      <c r="C4687" s="638">
        <v>4546.3630000000003</v>
      </c>
      <c r="D4687" s="633">
        <f t="shared" si="150"/>
        <v>4546.3630000000003</v>
      </c>
      <c r="E4687" s="608"/>
      <c r="F4687" s="760">
        <f t="shared" si="149"/>
        <v>1918.0876581293974</v>
      </c>
      <c r="M4687" s="443"/>
    </row>
    <row r="4688" spans="1:13">
      <c r="A4688" s="639">
        <v>71413</v>
      </c>
      <c r="B4688" s="639">
        <v>500</v>
      </c>
      <c r="C4688" s="638">
        <v>4464.0839999999998</v>
      </c>
      <c r="D4688" s="633">
        <f t="shared" si="150"/>
        <v>4464.0839999999998</v>
      </c>
      <c r="E4688" s="608"/>
      <c r="F4688" s="760">
        <f t="shared" si="149"/>
        <v>1883.3745623156162</v>
      </c>
      <c r="M4688" s="443"/>
    </row>
    <row r="4689" spans="1:13">
      <c r="A4689" s="639">
        <v>71413</v>
      </c>
      <c r="B4689" s="639">
        <v>600</v>
      </c>
      <c r="C4689" s="638">
        <v>4503.5709999999999</v>
      </c>
      <c r="D4689" s="633">
        <f t="shared" si="150"/>
        <v>4503.5709999999999</v>
      </c>
      <c r="E4689" s="608"/>
      <c r="F4689" s="760">
        <f t="shared" si="149"/>
        <v>1900.0339287930742</v>
      </c>
      <c r="M4689" s="443"/>
    </row>
    <row r="4690" spans="1:13">
      <c r="A4690" s="639">
        <v>71413</v>
      </c>
      <c r="B4690" s="639">
        <v>700</v>
      </c>
      <c r="C4690" s="638">
        <v>5065.6949999999997</v>
      </c>
      <c r="D4690" s="633">
        <f t="shared" si="150"/>
        <v>5065.6949999999997</v>
      </c>
      <c r="E4690" s="608"/>
      <c r="F4690" s="760">
        <f t="shared" si="149"/>
        <v>2137.1912140204809</v>
      </c>
      <c r="M4690" s="443"/>
    </row>
    <row r="4691" spans="1:13">
      <c r="A4691" s="639">
        <v>71413</v>
      </c>
      <c r="B4691" s="639">
        <v>800</v>
      </c>
      <c r="C4691" s="638">
        <v>5994.9</v>
      </c>
      <c r="D4691" s="633">
        <f t="shared" si="150"/>
        <v>5994.9</v>
      </c>
      <c r="E4691" s="608"/>
      <c r="F4691" s="760">
        <f t="shared" si="149"/>
        <v>2529.2181248439515</v>
      </c>
      <c r="M4691" s="443"/>
    </row>
    <row r="4692" spans="1:13">
      <c r="A4692" s="639">
        <v>71413</v>
      </c>
      <c r="B4692" s="639">
        <v>900</v>
      </c>
      <c r="C4692" s="638">
        <v>6995.7089999999998</v>
      </c>
      <c r="D4692" s="633">
        <f t="shared" si="150"/>
        <v>6995.7089999999998</v>
      </c>
      <c r="E4692" s="608"/>
      <c r="F4692" s="760">
        <f t="shared" ref="F4692:F4755" si="151">(D4692/(MAX($D$4372:$D$5115)))*$M$10</f>
        <v>2951.4544027313145</v>
      </c>
      <c r="M4692" s="443"/>
    </row>
    <row r="4693" spans="1:13">
      <c r="A4693" s="639">
        <v>71413</v>
      </c>
      <c r="B4693" s="639">
        <v>1000</v>
      </c>
      <c r="C4693" s="638">
        <v>7761.7619999999997</v>
      </c>
      <c r="D4693" s="633">
        <f t="shared" si="150"/>
        <v>7761.7619999999997</v>
      </c>
      <c r="E4693" s="608"/>
      <c r="F4693" s="760">
        <f t="shared" si="151"/>
        <v>3274.6483062478169</v>
      </c>
      <c r="M4693" s="443"/>
    </row>
    <row r="4694" spans="1:13">
      <c r="A4694" s="639">
        <v>71413</v>
      </c>
      <c r="B4694" s="639">
        <v>1100</v>
      </c>
      <c r="C4694" s="638">
        <v>8219.4660000000003</v>
      </c>
      <c r="D4694" s="633">
        <f t="shared" si="150"/>
        <v>8219.4660000000003</v>
      </c>
      <c r="E4694" s="608"/>
      <c r="F4694" s="760">
        <f t="shared" si="151"/>
        <v>3467.7513192444608</v>
      </c>
      <c r="M4694" s="443"/>
    </row>
    <row r="4695" spans="1:13">
      <c r="A4695" s="639">
        <v>71413</v>
      </c>
      <c r="B4695" s="639">
        <v>1200</v>
      </c>
      <c r="C4695" s="638">
        <v>8561.8960000000006</v>
      </c>
      <c r="D4695" s="633">
        <f t="shared" si="150"/>
        <v>8561.8960000000006</v>
      </c>
      <c r="E4695" s="608"/>
      <c r="F4695" s="760">
        <f t="shared" si="151"/>
        <v>3612.2208120617411</v>
      </c>
      <c r="M4695" s="443"/>
    </row>
    <row r="4696" spans="1:13">
      <c r="A4696" s="639">
        <v>71413</v>
      </c>
      <c r="B4696" s="639">
        <v>1300</v>
      </c>
      <c r="C4696" s="638">
        <v>8816.5</v>
      </c>
      <c r="D4696" s="633">
        <f t="shared" si="150"/>
        <v>8816.5</v>
      </c>
      <c r="E4696" s="608"/>
      <c r="F4696" s="760">
        <f t="shared" si="151"/>
        <v>3719.6369576951579</v>
      </c>
      <c r="M4696" s="443"/>
    </row>
    <row r="4697" spans="1:13">
      <c r="A4697" s="639">
        <v>71413</v>
      </c>
      <c r="B4697" s="639">
        <v>1400</v>
      </c>
      <c r="C4697" s="638">
        <v>9094.384</v>
      </c>
      <c r="D4697" s="633">
        <f t="shared" si="150"/>
        <v>9094.384</v>
      </c>
      <c r="E4697" s="608"/>
      <c r="F4697" s="760">
        <f t="shared" si="151"/>
        <v>3836.8748181105334</v>
      </c>
      <c r="M4697" s="443"/>
    </row>
    <row r="4698" spans="1:13">
      <c r="A4698" s="639">
        <v>71413</v>
      </c>
      <c r="B4698" s="639">
        <v>1500</v>
      </c>
      <c r="C4698" s="638">
        <v>9554.91</v>
      </c>
      <c r="D4698" s="633">
        <f t="shared" si="150"/>
        <v>9554.91</v>
      </c>
      <c r="E4698" s="608"/>
      <c r="F4698" s="760">
        <f t="shared" si="151"/>
        <v>4031.1684186980142</v>
      </c>
      <c r="M4698" s="443"/>
    </row>
    <row r="4699" spans="1:13">
      <c r="A4699" s="639">
        <v>71413</v>
      </c>
      <c r="B4699" s="639">
        <v>1600</v>
      </c>
      <c r="C4699" s="638">
        <v>10037.871999999999</v>
      </c>
      <c r="D4699" s="633">
        <f t="shared" si="150"/>
        <v>10037.871999999999</v>
      </c>
      <c r="E4699" s="608"/>
      <c r="F4699" s="760">
        <f t="shared" si="151"/>
        <v>4234.9276547171103</v>
      </c>
      <c r="M4699" s="443"/>
    </row>
    <row r="4700" spans="1:13">
      <c r="A4700" s="639">
        <v>71413</v>
      </c>
      <c r="B4700" s="639">
        <v>1700</v>
      </c>
      <c r="C4700" s="638">
        <v>10498.941000000001</v>
      </c>
      <c r="D4700" s="633">
        <f t="shared" si="150"/>
        <v>10498.941000000001</v>
      </c>
      <c r="E4700" s="608"/>
      <c r="F4700" s="760">
        <f t="shared" si="151"/>
        <v>4429.4503442705109</v>
      </c>
      <c r="M4700" s="443"/>
    </row>
    <row r="4701" spans="1:13">
      <c r="A4701" s="639">
        <v>71413</v>
      </c>
      <c r="B4701" s="639">
        <v>1800</v>
      </c>
      <c r="C4701" s="638">
        <v>10713.59</v>
      </c>
      <c r="D4701" s="633">
        <f t="shared" si="150"/>
        <v>10713.59</v>
      </c>
      <c r="E4701" s="608"/>
      <c r="F4701" s="760">
        <f t="shared" si="151"/>
        <v>4520.0096765829148</v>
      </c>
      <c r="M4701" s="443"/>
    </row>
    <row r="4702" spans="1:13">
      <c r="A4702" s="639">
        <v>71413</v>
      </c>
      <c r="B4702" s="639">
        <v>1900</v>
      </c>
      <c r="C4702" s="638">
        <v>10605.99</v>
      </c>
      <c r="D4702" s="633">
        <f t="shared" si="150"/>
        <v>10605.99</v>
      </c>
      <c r="E4702" s="608"/>
      <c r="F4702" s="760">
        <f t="shared" si="151"/>
        <v>4474.6137783638933</v>
      </c>
      <c r="M4702" s="443"/>
    </row>
    <row r="4703" spans="1:13">
      <c r="A4703" s="639">
        <v>71413</v>
      </c>
      <c r="B4703" s="639">
        <v>2000</v>
      </c>
      <c r="C4703" s="638">
        <v>10354.597</v>
      </c>
      <c r="D4703" s="633">
        <f t="shared" si="150"/>
        <v>10354.597</v>
      </c>
      <c r="E4703" s="608"/>
      <c r="F4703" s="760">
        <f t="shared" si="151"/>
        <v>4368.5523374626446</v>
      </c>
      <c r="M4703" s="443"/>
    </row>
    <row r="4704" spans="1:13">
      <c r="A4704" s="639">
        <v>71413</v>
      </c>
      <c r="B4704" s="639">
        <v>2100</v>
      </c>
      <c r="C4704" s="638">
        <v>10333.057000000001</v>
      </c>
      <c r="D4704" s="633">
        <f t="shared" si="150"/>
        <v>10333.057000000001</v>
      </c>
      <c r="E4704" s="608"/>
      <c r="F4704" s="760">
        <f t="shared" si="151"/>
        <v>4359.4647199195433</v>
      </c>
      <c r="M4704" s="443"/>
    </row>
    <row r="4705" spans="1:13">
      <c r="A4705" s="639">
        <v>71413</v>
      </c>
      <c r="B4705" s="639">
        <v>2200</v>
      </c>
      <c r="C4705" s="638">
        <v>9705.7129999999997</v>
      </c>
      <c r="D4705" s="633">
        <f t="shared" si="150"/>
        <v>9705.7129999999997</v>
      </c>
      <c r="E4705" s="608"/>
      <c r="F4705" s="760">
        <f t="shared" si="151"/>
        <v>4094.7914450839157</v>
      </c>
      <c r="M4705" s="443"/>
    </row>
    <row r="4706" spans="1:13">
      <c r="A4706" s="639">
        <v>71413</v>
      </c>
      <c r="B4706" s="639">
        <v>2300</v>
      </c>
      <c r="C4706" s="638">
        <v>8342.0630000000001</v>
      </c>
      <c r="D4706" s="633">
        <f t="shared" si="150"/>
        <v>8342.0630000000001</v>
      </c>
      <c r="E4706" s="608"/>
      <c r="F4706" s="760">
        <f t="shared" si="151"/>
        <v>3519.4743762514991</v>
      </c>
      <c r="M4706" s="443"/>
    </row>
    <row r="4707" spans="1:13">
      <c r="A4707" s="639">
        <v>71413</v>
      </c>
      <c r="B4707" s="639">
        <v>2400</v>
      </c>
      <c r="C4707" s="638">
        <v>7188.0140000000001</v>
      </c>
      <c r="D4707" s="633">
        <f t="shared" si="150"/>
        <v>7188.0140000000001</v>
      </c>
      <c r="E4707" s="608"/>
      <c r="F4707" s="760">
        <f t="shared" si="151"/>
        <v>3032.5869139488686</v>
      </c>
      <c r="M4707" s="443"/>
    </row>
    <row r="4708" spans="1:13">
      <c r="A4708" s="639">
        <v>71513</v>
      </c>
      <c r="B4708" s="639">
        <v>100</v>
      </c>
      <c r="C4708" s="638">
        <v>6458.1149999999998</v>
      </c>
      <c r="D4708" s="633">
        <f t="shared" si="150"/>
        <v>6458.1149999999998</v>
      </c>
      <c r="E4708" s="608"/>
      <c r="F4708" s="760">
        <f t="shared" si="151"/>
        <v>2724.6462009919424</v>
      </c>
      <c r="M4708" s="443"/>
    </row>
    <row r="4709" spans="1:13">
      <c r="A4709" s="639">
        <v>71513</v>
      </c>
      <c r="B4709" s="639">
        <v>200</v>
      </c>
      <c r="C4709" s="638">
        <v>5854.6480000000001</v>
      </c>
      <c r="D4709" s="633">
        <f t="shared" si="150"/>
        <v>5854.6480000000001</v>
      </c>
      <c r="E4709" s="608"/>
      <c r="F4709" s="760">
        <f t="shared" si="151"/>
        <v>2470.0465122322962</v>
      </c>
      <c r="M4709" s="443"/>
    </row>
    <row r="4710" spans="1:13">
      <c r="A4710" s="639">
        <v>71513</v>
      </c>
      <c r="B4710" s="639">
        <v>300</v>
      </c>
      <c r="C4710" s="638">
        <v>5521.9309999999996</v>
      </c>
      <c r="D4710" s="633">
        <f t="shared" si="150"/>
        <v>5521.9309999999996</v>
      </c>
      <c r="E4710" s="608"/>
      <c r="F4710" s="760">
        <f t="shared" si="151"/>
        <v>2329.6748852087085</v>
      </c>
      <c r="M4710" s="443"/>
    </row>
    <row r="4711" spans="1:13">
      <c r="A4711" s="639">
        <v>71513</v>
      </c>
      <c r="B4711" s="639">
        <v>400</v>
      </c>
      <c r="C4711" s="638">
        <v>5368.5460000000003</v>
      </c>
      <c r="D4711" s="633">
        <f t="shared" si="150"/>
        <v>5368.5460000000003</v>
      </c>
      <c r="E4711" s="608"/>
      <c r="F4711" s="760">
        <f t="shared" si="151"/>
        <v>2264.9625260235366</v>
      </c>
      <c r="M4711" s="443"/>
    </row>
    <row r="4712" spans="1:13">
      <c r="A4712" s="639">
        <v>71513</v>
      </c>
      <c r="B4712" s="639">
        <v>500</v>
      </c>
      <c r="C4712" s="638">
        <v>5348.4589999999998</v>
      </c>
      <c r="D4712" s="633">
        <f t="shared" si="150"/>
        <v>5348.4589999999998</v>
      </c>
      <c r="E4712" s="608"/>
      <c r="F4712" s="760">
        <f t="shared" si="151"/>
        <v>2256.4879218643773</v>
      </c>
      <c r="M4712" s="443"/>
    </row>
    <row r="4713" spans="1:13">
      <c r="A4713" s="639">
        <v>71513</v>
      </c>
      <c r="B4713" s="639">
        <v>600</v>
      </c>
      <c r="C4713" s="638">
        <v>5722.8580000000002</v>
      </c>
      <c r="D4713" s="633">
        <f t="shared" si="150"/>
        <v>5722.8580000000002</v>
      </c>
      <c r="E4713" s="608"/>
      <c r="F4713" s="760">
        <f t="shared" si="151"/>
        <v>2414.4449748132924</v>
      </c>
      <c r="M4713" s="443"/>
    </row>
    <row r="4714" spans="1:13">
      <c r="A4714" s="639">
        <v>71513</v>
      </c>
      <c r="B4714" s="639">
        <v>700</v>
      </c>
      <c r="C4714" s="638">
        <v>6428.4949999999999</v>
      </c>
      <c r="D4714" s="633">
        <f t="shared" si="150"/>
        <v>6428.4949999999999</v>
      </c>
      <c r="E4714" s="608"/>
      <c r="F4714" s="760">
        <f t="shared" si="151"/>
        <v>2712.1496721327658</v>
      </c>
      <c r="M4714" s="443"/>
    </row>
    <row r="4715" spans="1:13">
      <c r="A4715" s="639">
        <v>71513</v>
      </c>
      <c r="B4715" s="639">
        <v>800</v>
      </c>
      <c r="C4715" s="638">
        <v>7317.357</v>
      </c>
      <c r="D4715" s="633">
        <f t="shared" si="150"/>
        <v>7317.357</v>
      </c>
      <c r="E4715" s="608"/>
      <c r="F4715" s="760">
        <f t="shared" si="151"/>
        <v>3087.1560743888576</v>
      </c>
      <c r="M4715" s="443"/>
    </row>
    <row r="4716" spans="1:13">
      <c r="A4716" s="639">
        <v>71513</v>
      </c>
      <c r="B4716" s="639">
        <v>900</v>
      </c>
      <c r="C4716" s="638">
        <v>7927.9650000000001</v>
      </c>
      <c r="D4716" s="633">
        <f t="shared" si="150"/>
        <v>7927.9650000000001</v>
      </c>
      <c r="E4716" s="608"/>
      <c r="F4716" s="760">
        <f t="shared" si="151"/>
        <v>3344.7685150925754</v>
      </c>
      <c r="M4716" s="443"/>
    </row>
    <row r="4717" spans="1:13">
      <c r="A4717" s="639">
        <v>71513</v>
      </c>
      <c r="B4717" s="639">
        <v>1000</v>
      </c>
      <c r="C4717" s="638">
        <v>8453.5619999999999</v>
      </c>
      <c r="D4717" s="633">
        <f t="shared" si="150"/>
        <v>8453.5619999999999</v>
      </c>
      <c r="E4717" s="608"/>
      <c r="F4717" s="760">
        <f t="shared" si="151"/>
        <v>3566.5152429385121</v>
      </c>
      <c r="M4717" s="443"/>
    </row>
    <row r="4718" spans="1:13">
      <c r="A4718" s="639">
        <v>71513</v>
      </c>
      <c r="B4718" s="639">
        <v>1100</v>
      </c>
      <c r="C4718" s="638">
        <v>8760.32</v>
      </c>
      <c r="D4718" s="633">
        <f t="shared" si="150"/>
        <v>8760.32</v>
      </c>
      <c r="E4718" s="608"/>
      <c r="F4718" s="760">
        <f t="shared" si="151"/>
        <v>3695.9348985692786</v>
      </c>
      <c r="M4718" s="443"/>
    </row>
    <row r="4719" spans="1:13">
      <c r="A4719" s="639">
        <v>71513</v>
      </c>
      <c r="B4719" s="639">
        <v>1200</v>
      </c>
      <c r="C4719" s="638">
        <v>9230.8739999999998</v>
      </c>
      <c r="D4719" s="633">
        <f t="shared" si="150"/>
        <v>9230.8739999999998</v>
      </c>
      <c r="E4719" s="608"/>
      <c r="F4719" s="760">
        <f t="shared" si="151"/>
        <v>3894.4592618643824</v>
      </c>
      <c r="M4719" s="443"/>
    </row>
    <row r="4720" spans="1:13">
      <c r="A4720" s="639">
        <v>71513</v>
      </c>
      <c r="B4720" s="639">
        <v>1300</v>
      </c>
      <c r="C4720" s="638">
        <v>9464.4050000000007</v>
      </c>
      <c r="D4720" s="633">
        <f t="shared" si="150"/>
        <v>9464.4050000000007</v>
      </c>
      <c r="E4720" s="608"/>
      <c r="F4720" s="760">
        <f t="shared" si="151"/>
        <v>3992.9848149032882</v>
      </c>
      <c r="M4720" s="443"/>
    </row>
    <row r="4721" spans="1:13">
      <c r="A4721" s="639">
        <v>71513</v>
      </c>
      <c r="B4721" s="639">
        <v>1400</v>
      </c>
      <c r="C4721" s="638">
        <v>9666.0120000000006</v>
      </c>
      <c r="D4721" s="633">
        <f t="shared" si="150"/>
        <v>9666.0120000000006</v>
      </c>
      <c r="E4721" s="608"/>
      <c r="F4721" s="760">
        <f t="shared" si="151"/>
        <v>4078.0417930839776</v>
      </c>
      <c r="M4721" s="443"/>
    </row>
    <row r="4722" spans="1:13">
      <c r="A4722" s="639">
        <v>71513</v>
      </c>
      <c r="B4722" s="639">
        <v>1500</v>
      </c>
      <c r="C4722" s="638">
        <v>10090.927</v>
      </c>
      <c r="D4722" s="633">
        <f t="shared" si="150"/>
        <v>10090.927</v>
      </c>
      <c r="E4722" s="608"/>
      <c r="F4722" s="760">
        <f t="shared" si="151"/>
        <v>4257.3112920778003</v>
      </c>
      <c r="M4722" s="443"/>
    </row>
    <row r="4723" spans="1:13">
      <c r="A4723" s="639">
        <v>71513</v>
      </c>
      <c r="B4723" s="639">
        <v>1600</v>
      </c>
      <c r="C4723" s="638">
        <v>10603.323</v>
      </c>
      <c r="D4723" s="633">
        <f t="shared" si="150"/>
        <v>10603.323</v>
      </c>
      <c r="E4723" s="608"/>
      <c r="F4723" s="760">
        <f t="shared" si="151"/>
        <v>4473.4885844926093</v>
      </c>
      <c r="M4723" s="443"/>
    </row>
    <row r="4724" spans="1:13">
      <c r="A4724" s="639">
        <v>71513</v>
      </c>
      <c r="B4724" s="639">
        <v>1700</v>
      </c>
      <c r="C4724" s="638">
        <v>11138.067999999999</v>
      </c>
      <c r="D4724" s="633">
        <f t="shared" si="150"/>
        <v>11138.067999999999</v>
      </c>
      <c r="E4724" s="608"/>
      <c r="F4724" s="760">
        <f t="shared" si="151"/>
        <v>4699.0948074770931</v>
      </c>
      <c r="M4724" s="443"/>
    </row>
    <row r="4725" spans="1:13">
      <c r="A4725" s="639">
        <v>71513</v>
      </c>
      <c r="B4725" s="639">
        <v>1800</v>
      </c>
      <c r="C4725" s="638">
        <v>11318.714</v>
      </c>
      <c r="D4725" s="633">
        <f t="shared" si="150"/>
        <v>11318.714</v>
      </c>
      <c r="E4725" s="608"/>
      <c r="F4725" s="760">
        <f t="shared" si="151"/>
        <v>4775.3084452993353</v>
      </c>
      <c r="M4725" s="443"/>
    </row>
    <row r="4726" spans="1:13">
      <c r="A4726" s="639">
        <v>71513</v>
      </c>
      <c r="B4726" s="639">
        <v>1900</v>
      </c>
      <c r="C4726" s="638">
        <v>11359.083000000001</v>
      </c>
      <c r="D4726" s="633">
        <f t="shared" si="150"/>
        <v>11359.083000000001</v>
      </c>
      <c r="E4726" s="608"/>
      <c r="F4726" s="760">
        <f t="shared" si="151"/>
        <v>4792.3399231358007</v>
      </c>
      <c r="M4726" s="443"/>
    </row>
    <row r="4727" spans="1:13">
      <c r="A4727" s="639">
        <v>71513</v>
      </c>
      <c r="B4727" s="639">
        <v>2000</v>
      </c>
      <c r="C4727" s="638">
        <v>11148.005999999999</v>
      </c>
      <c r="D4727" s="633">
        <f t="shared" si="150"/>
        <v>11148.005999999999</v>
      </c>
      <c r="E4727" s="608"/>
      <c r="F4727" s="760">
        <f t="shared" si="151"/>
        <v>4703.2875996378789</v>
      </c>
      <c r="M4727" s="443"/>
    </row>
    <row r="4728" spans="1:13">
      <c r="A4728" s="639">
        <v>71513</v>
      </c>
      <c r="B4728" s="639">
        <v>2100</v>
      </c>
      <c r="C4728" s="638">
        <v>11131.271000000001</v>
      </c>
      <c r="D4728" s="633">
        <f t="shared" si="150"/>
        <v>11131.271000000001</v>
      </c>
      <c r="E4728" s="608"/>
      <c r="F4728" s="760">
        <f t="shared" si="151"/>
        <v>4696.2271874009339</v>
      </c>
      <c r="M4728" s="443"/>
    </row>
    <row r="4729" spans="1:13">
      <c r="A4729" s="639">
        <v>71513</v>
      </c>
      <c r="B4729" s="639">
        <v>2200</v>
      </c>
      <c r="C4729" s="638">
        <v>10486.803</v>
      </c>
      <c r="D4729" s="633">
        <f t="shared" si="150"/>
        <v>10486.803</v>
      </c>
      <c r="E4729" s="608"/>
      <c r="F4729" s="760">
        <f t="shared" si="151"/>
        <v>4424.3293831870296</v>
      </c>
      <c r="M4729" s="443"/>
    </row>
    <row r="4730" spans="1:13">
      <c r="A4730" s="639">
        <v>71513</v>
      </c>
      <c r="B4730" s="639">
        <v>2300</v>
      </c>
      <c r="C4730" s="638">
        <v>9008.5540000000001</v>
      </c>
      <c r="D4730" s="633">
        <f t="shared" si="150"/>
        <v>9008.5540000000001</v>
      </c>
      <c r="E4730" s="608"/>
      <c r="F4730" s="760">
        <f t="shared" si="151"/>
        <v>3800.6635732765321</v>
      </c>
      <c r="M4730" s="443"/>
    </row>
    <row r="4731" spans="1:13">
      <c r="A4731" s="639">
        <v>71513</v>
      </c>
      <c r="B4731" s="639">
        <v>2400</v>
      </c>
      <c r="C4731" s="638">
        <v>7687.7709999999997</v>
      </c>
      <c r="D4731" s="633">
        <f t="shared" si="150"/>
        <v>7687.7709999999997</v>
      </c>
      <c r="E4731" s="608"/>
      <c r="F4731" s="760">
        <f t="shared" si="151"/>
        <v>3243.4318759028024</v>
      </c>
      <c r="M4731" s="443"/>
    </row>
    <row r="4732" spans="1:13">
      <c r="A4732" s="639">
        <v>71613</v>
      </c>
      <c r="B4732" s="639">
        <v>100</v>
      </c>
      <c r="C4732" s="638">
        <v>6924.5619999999999</v>
      </c>
      <c r="D4732" s="633">
        <f t="shared" si="150"/>
        <v>6924.5619999999999</v>
      </c>
      <c r="E4732" s="608"/>
      <c r="F4732" s="760">
        <f t="shared" si="151"/>
        <v>2921.437841666364</v>
      </c>
      <c r="M4732" s="443"/>
    </row>
    <row r="4733" spans="1:13">
      <c r="A4733" s="639">
        <v>71613</v>
      </c>
      <c r="B4733" s="639">
        <v>200</v>
      </c>
      <c r="C4733" s="638">
        <v>6322.107</v>
      </c>
      <c r="D4733" s="633">
        <f t="shared" si="150"/>
        <v>6322.107</v>
      </c>
      <c r="E4733" s="608"/>
      <c r="F4733" s="760">
        <f t="shared" si="151"/>
        <v>2667.2651106111562</v>
      </c>
      <c r="M4733" s="443"/>
    </row>
    <row r="4734" spans="1:13">
      <c r="A4734" s="639">
        <v>71613</v>
      </c>
      <c r="B4734" s="639">
        <v>300</v>
      </c>
      <c r="C4734" s="638">
        <v>5947.768</v>
      </c>
      <c r="D4734" s="633">
        <f t="shared" si="150"/>
        <v>5947.768</v>
      </c>
      <c r="E4734" s="608"/>
      <c r="F4734" s="760">
        <f t="shared" si="151"/>
        <v>2509.3333713601328</v>
      </c>
      <c r="M4734" s="443"/>
    </row>
    <row r="4735" spans="1:13">
      <c r="A4735" s="639">
        <v>71613</v>
      </c>
      <c r="B4735" s="639">
        <v>400</v>
      </c>
      <c r="C4735" s="638">
        <v>5705.5770000000002</v>
      </c>
      <c r="D4735" s="633">
        <f t="shared" si="150"/>
        <v>5705.5770000000002</v>
      </c>
      <c r="E4735" s="608"/>
      <c r="F4735" s="760">
        <f t="shared" si="151"/>
        <v>2407.1542079255332</v>
      </c>
      <c r="M4735" s="443"/>
    </row>
    <row r="4736" spans="1:13">
      <c r="A4736" s="639">
        <v>71613</v>
      </c>
      <c r="B4736" s="639">
        <v>500</v>
      </c>
      <c r="C4736" s="638">
        <v>5720.7439999999997</v>
      </c>
      <c r="D4736" s="633">
        <f t="shared" si="150"/>
        <v>5720.7439999999997</v>
      </c>
      <c r="E4736" s="608"/>
      <c r="F4736" s="760">
        <f t="shared" si="151"/>
        <v>2413.5530888575768</v>
      </c>
      <c r="M4736" s="443"/>
    </row>
    <row r="4737" spans="1:13">
      <c r="A4737" s="639">
        <v>71613</v>
      </c>
      <c r="B4737" s="639">
        <v>600</v>
      </c>
      <c r="C4737" s="638">
        <v>6085.683</v>
      </c>
      <c r="D4737" s="633">
        <f t="shared" si="150"/>
        <v>6085.683</v>
      </c>
      <c r="E4737" s="608"/>
      <c r="F4737" s="760">
        <f t="shared" si="151"/>
        <v>2567.5190154389088</v>
      </c>
      <c r="M4737" s="443"/>
    </row>
    <row r="4738" spans="1:13">
      <c r="A4738" s="639">
        <v>71613</v>
      </c>
      <c r="B4738" s="639">
        <v>700</v>
      </c>
      <c r="C4738" s="638">
        <v>7008.598</v>
      </c>
      <c r="D4738" s="633">
        <f t="shared" si="150"/>
        <v>7008.598</v>
      </c>
      <c r="E4738" s="608"/>
      <c r="F4738" s="760">
        <f t="shared" si="151"/>
        <v>2956.8922069334053</v>
      </c>
      <c r="M4738" s="443"/>
    </row>
    <row r="4739" spans="1:13">
      <c r="A4739" s="639">
        <v>71613</v>
      </c>
      <c r="B4739" s="639">
        <v>800</v>
      </c>
      <c r="C4739" s="638">
        <v>7643.2790000000005</v>
      </c>
      <c r="D4739" s="633">
        <f t="shared" si="150"/>
        <v>7643.2790000000005</v>
      </c>
      <c r="E4739" s="608"/>
      <c r="F4739" s="760">
        <f t="shared" si="151"/>
        <v>3224.6609251262166</v>
      </c>
      <c r="M4739" s="443"/>
    </row>
    <row r="4740" spans="1:13">
      <c r="A4740" s="639">
        <v>71613</v>
      </c>
      <c r="B4740" s="639">
        <v>900</v>
      </c>
      <c r="C4740" s="638">
        <v>8252.3089999999993</v>
      </c>
      <c r="D4740" s="633">
        <f t="shared" si="150"/>
        <v>8252.3089999999993</v>
      </c>
      <c r="E4740" s="608"/>
      <c r="F4740" s="760">
        <f t="shared" si="151"/>
        <v>3481.6076155753835</v>
      </c>
      <c r="M4740" s="443"/>
    </row>
    <row r="4741" spans="1:13">
      <c r="A4741" s="639">
        <v>71613</v>
      </c>
      <c r="B4741" s="639">
        <v>1000</v>
      </c>
      <c r="C4741" s="638">
        <v>8753.5310000000009</v>
      </c>
      <c r="D4741" s="633">
        <f t="shared" ref="D4741:D4804" si="152">C4741</f>
        <v>8753.5310000000009</v>
      </c>
      <c r="E4741" s="608"/>
      <c r="F4741" s="760">
        <f t="shared" si="151"/>
        <v>3693.0706536528392</v>
      </c>
      <c r="M4741" s="443"/>
    </row>
    <row r="4742" spans="1:13">
      <c r="A4742" s="639">
        <v>71613</v>
      </c>
      <c r="B4742" s="639">
        <v>1100</v>
      </c>
      <c r="C4742" s="638">
        <v>9188.0319999999992</v>
      </c>
      <c r="D4742" s="633">
        <f t="shared" si="152"/>
        <v>9188.0319999999992</v>
      </c>
      <c r="E4742" s="608"/>
      <c r="F4742" s="760">
        <f t="shared" si="151"/>
        <v>3876.3844377798164</v>
      </c>
      <c r="M4742" s="443"/>
    </row>
    <row r="4743" spans="1:13">
      <c r="A4743" s="639">
        <v>71613</v>
      </c>
      <c r="B4743" s="639">
        <v>1200</v>
      </c>
      <c r="C4743" s="638">
        <v>9571.5429999999997</v>
      </c>
      <c r="D4743" s="633">
        <f t="shared" si="152"/>
        <v>9571.5429999999997</v>
      </c>
      <c r="E4743" s="608"/>
      <c r="F4743" s="760">
        <f t="shared" si="151"/>
        <v>4038.185797648543</v>
      </c>
      <c r="M4743" s="443"/>
    </row>
    <row r="4744" spans="1:13">
      <c r="A4744" s="639">
        <v>71613</v>
      </c>
      <c r="B4744" s="639">
        <v>1300</v>
      </c>
      <c r="C4744" s="638">
        <v>9994.527</v>
      </c>
      <c r="D4744" s="633">
        <f t="shared" si="152"/>
        <v>9994.527</v>
      </c>
      <c r="E4744" s="608"/>
      <c r="F4744" s="760">
        <f t="shared" si="151"/>
        <v>4216.6406174652202</v>
      </c>
      <c r="M4744" s="443"/>
    </row>
    <row r="4745" spans="1:13">
      <c r="A4745" s="639">
        <v>71613</v>
      </c>
      <c r="B4745" s="639">
        <v>1400</v>
      </c>
      <c r="C4745" s="638">
        <v>10193.464</v>
      </c>
      <c r="D4745" s="633">
        <f t="shared" si="152"/>
        <v>10193.464</v>
      </c>
      <c r="E4745" s="608"/>
      <c r="F4745" s="760">
        <f t="shared" si="151"/>
        <v>4300.5711360897312</v>
      </c>
      <c r="M4745" s="443"/>
    </row>
    <row r="4746" spans="1:13">
      <c r="A4746" s="639">
        <v>71613</v>
      </c>
      <c r="B4746" s="639">
        <v>1500</v>
      </c>
      <c r="C4746" s="638">
        <v>10543.243</v>
      </c>
      <c r="D4746" s="633">
        <f t="shared" si="152"/>
        <v>10543.243</v>
      </c>
      <c r="E4746" s="608"/>
      <c r="F4746" s="760">
        <f t="shared" si="151"/>
        <v>4448.1411350037733</v>
      </c>
      <c r="M4746" s="443"/>
    </row>
    <row r="4747" spans="1:13">
      <c r="A4747" s="639">
        <v>71613</v>
      </c>
      <c r="B4747" s="639">
        <v>1600</v>
      </c>
      <c r="C4747" s="638">
        <v>10814.902</v>
      </c>
      <c r="D4747" s="633">
        <f t="shared" si="152"/>
        <v>10814.902</v>
      </c>
      <c r="E4747" s="608"/>
      <c r="F4747" s="760">
        <f t="shared" si="151"/>
        <v>4562.7526992628909</v>
      </c>
      <c r="M4747" s="443"/>
    </row>
    <row r="4748" spans="1:13">
      <c r="A4748" s="639">
        <v>71613</v>
      </c>
      <c r="B4748" s="639">
        <v>1700</v>
      </c>
      <c r="C4748" s="638">
        <v>11298.262000000001</v>
      </c>
      <c r="D4748" s="633">
        <f t="shared" si="152"/>
        <v>11298.262000000001</v>
      </c>
      <c r="E4748" s="608"/>
      <c r="F4748" s="760">
        <f t="shared" si="151"/>
        <v>4766.6798494780023</v>
      </c>
      <c r="M4748" s="443"/>
    </row>
    <row r="4749" spans="1:13">
      <c r="A4749" s="639">
        <v>71613</v>
      </c>
      <c r="B4749" s="639">
        <v>1800</v>
      </c>
      <c r="C4749" s="638">
        <v>11459.743</v>
      </c>
      <c r="D4749" s="633">
        <f t="shared" si="152"/>
        <v>11459.743</v>
      </c>
      <c r="E4749" s="608"/>
      <c r="F4749" s="760">
        <f t="shared" si="151"/>
        <v>4834.8078702986877</v>
      </c>
      <c r="M4749" s="443"/>
    </row>
    <row r="4750" spans="1:13">
      <c r="A4750" s="639">
        <v>71613</v>
      </c>
      <c r="B4750" s="639">
        <v>1900</v>
      </c>
      <c r="C4750" s="638">
        <v>11457.489</v>
      </c>
      <c r="D4750" s="633">
        <f t="shared" si="152"/>
        <v>11457.489</v>
      </c>
      <c r="E4750" s="608"/>
      <c r="F4750" s="760">
        <f t="shared" si="151"/>
        <v>4833.8569190478911</v>
      </c>
      <c r="M4750" s="443"/>
    </row>
    <row r="4751" spans="1:13">
      <c r="A4751" s="639">
        <v>71613</v>
      </c>
      <c r="B4751" s="639">
        <v>2000</v>
      </c>
      <c r="C4751" s="638">
        <v>11335.737999999999</v>
      </c>
      <c r="D4751" s="633">
        <f t="shared" si="152"/>
        <v>11335.737999999999</v>
      </c>
      <c r="E4751" s="608"/>
      <c r="F4751" s="760">
        <f t="shared" si="151"/>
        <v>4782.4907851811249</v>
      </c>
      <c r="M4751" s="443"/>
    </row>
    <row r="4752" spans="1:13">
      <c r="A4752" s="639">
        <v>71613</v>
      </c>
      <c r="B4752" s="639">
        <v>2100</v>
      </c>
      <c r="C4752" s="638">
        <v>11471.698</v>
      </c>
      <c r="D4752" s="633">
        <f t="shared" si="152"/>
        <v>11471.698</v>
      </c>
      <c r="E4752" s="608"/>
      <c r="F4752" s="760">
        <f t="shared" si="151"/>
        <v>4839.8516246035979</v>
      </c>
      <c r="M4752" s="443"/>
    </row>
    <row r="4753" spans="1:13">
      <c r="A4753" s="639">
        <v>71613</v>
      </c>
      <c r="B4753" s="639">
        <v>2200</v>
      </c>
      <c r="C4753" s="638">
        <v>10806.829</v>
      </c>
      <c r="D4753" s="633">
        <f t="shared" si="152"/>
        <v>10806.829</v>
      </c>
      <c r="E4753" s="608"/>
      <c r="F4753" s="760">
        <f t="shared" si="151"/>
        <v>4559.3467412115697</v>
      </c>
      <c r="M4753" s="443"/>
    </row>
    <row r="4754" spans="1:13">
      <c r="A4754" s="639">
        <v>71613</v>
      </c>
      <c r="B4754" s="639">
        <v>2300</v>
      </c>
      <c r="C4754" s="638">
        <v>9425.7900000000009</v>
      </c>
      <c r="D4754" s="633">
        <f t="shared" si="152"/>
        <v>9425.7900000000009</v>
      </c>
      <c r="E4754" s="608"/>
      <c r="F4754" s="760">
        <f t="shared" si="151"/>
        <v>3976.6933408351888</v>
      </c>
      <c r="M4754" s="443"/>
    </row>
    <row r="4755" spans="1:13">
      <c r="A4755" s="639">
        <v>71613</v>
      </c>
      <c r="B4755" s="639">
        <v>2400</v>
      </c>
      <c r="C4755" s="638">
        <v>8187.0950000000003</v>
      </c>
      <c r="D4755" s="633">
        <f t="shared" si="152"/>
        <v>8187.0950000000003</v>
      </c>
      <c r="E4755" s="608"/>
      <c r="F4755" s="760">
        <f t="shared" si="151"/>
        <v>3454.0941573369523</v>
      </c>
      <c r="M4755" s="443"/>
    </row>
    <row r="4756" spans="1:13">
      <c r="A4756" s="639">
        <v>71713</v>
      </c>
      <c r="B4756" s="639">
        <v>100</v>
      </c>
      <c r="C4756" s="638">
        <v>7429.4080000000004</v>
      </c>
      <c r="D4756" s="633">
        <f t="shared" si="152"/>
        <v>7429.4080000000004</v>
      </c>
      <c r="E4756" s="608"/>
      <c r="F4756" s="760">
        <f t="shared" ref="F4756:F4819" si="153">(D4756/(MAX($D$4372:$D$5115)))*$M$10</f>
        <v>3134.4298270964741</v>
      </c>
      <c r="M4756" s="443"/>
    </row>
    <row r="4757" spans="1:13">
      <c r="A4757" s="639">
        <v>71713</v>
      </c>
      <c r="B4757" s="639">
        <v>200</v>
      </c>
      <c r="C4757" s="638">
        <v>6978.1149999999998</v>
      </c>
      <c r="D4757" s="633">
        <f t="shared" si="152"/>
        <v>6978.1149999999998</v>
      </c>
      <c r="E4757" s="608"/>
      <c r="F4757" s="760">
        <f t="shared" si="153"/>
        <v>2944.0315827195536</v>
      </c>
      <c r="M4757" s="443"/>
    </row>
    <row r="4758" spans="1:13">
      <c r="A4758" s="639">
        <v>71713</v>
      </c>
      <c r="B4758" s="639">
        <v>300</v>
      </c>
      <c r="C4758" s="638">
        <v>6540.5919999999996</v>
      </c>
      <c r="D4758" s="633">
        <f t="shared" si="152"/>
        <v>6540.5919999999996</v>
      </c>
      <c r="E4758" s="608"/>
      <c r="F4758" s="760">
        <f t="shared" si="153"/>
        <v>2759.4428320087659</v>
      </c>
      <c r="M4758" s="443"/>
    </row>
    <row r="4759" spans="1:13">
      <c r="A4759" s="639">
        <v>71713</v>
      </c>
      <c r="B4759" s="639">
        <v>400</v>
      </c>
      <c r="C4759" s="638">
        <v>6293.2309999999998</v>
      </c>
      <c r="D4759" s="633">
        <f t="shared" si="152"/>
        <v>6293.2309999999998</v>
      </c>
      <c r="E4759" s="608"/>
      <c r="F4759" s="760">
        <f t="shared" si="153"/>
        <v>2655.0824716058364</v>
      </c>
      <c r="M4759" s="443"/>
    </row>
    <row r="4760" spans="1:13">
      <c r="A4760" s="639">
        <v>71713</v>
      </c>
      <c r="B4760" s="639">
        <v>500</v>
      </c>
      <c r="C4760" s="638">
        <v>6371.3310000000001</v>
      </c>
      <c r="D4760" s="633">
        <f t="shared" si="152"/>
        <v>6371.3310000000001</v>
      </c>
      <c r="E4760" s="608"/>
      <c r="F4760" s="760">
        <f t="shared" si="153"/>
        <v>2688.0324683614635</v>
      </c>
      <c r="M4760" s="443"/>
    </row>
    <row r="4761" spans="1:13">
      <c r="A4761" s="639">
        <v>71713</v>
      </c>
      <c r="B4761" s="639">
        <v>600</v>
      </c>
      <c r="C4761" s="638">
        <v>6795.3389999999999</v>
      </c>
      <c r="D4761" s="633">
        <f t="shared" si="152"/>
        <v>6795.3389999999999</v>
      </c>
      <c r="E4761" s="608"/>
      <c r="F4761" s="760">
        <f t="shared" si="153"/>
        <v>2866.919308622158</v>
      </c>
      <c r="M4761" s="443"/>
    </row>
    <row r="4762" spans="1:13">
      <c r="A4762" s="639">
        <v>71713</v>
      </c>
      <c r="B4762" s="639">
        <v>700</v>
      </c>
      <c r="C4762" s="638">
        <v>7437.1869999999999</v>
      </c>
      <c r="D4762" s="633">
        <f t="shared" si="152"/>
        <v>7437.1869999999999</v>
      </c>
      <c r="E4762" s="608"/>
      <c r="F4762" s="760">
        <f t="shared" si="153"/>
        <v>3137.7117480281263</v>
      </c>
      <c r="M4762" s="443"/>
    </row>
    <row r="4763" spans="1:13">
      <c r="A4763" s="639">
        <v>71713</v>
      </c>
      <c r="B4763" s="639">
        <v>800</v>
      </c>
      <c r="C4763" s="638">
        <v>8165.99</v>
      </c>
      <c r="D4763" s="633">
        <f t="shared" si="152"/>
        <v>8165.99</v>
      </c>
      <c r="E4763" s="608"/>
      <c r="F4763" s="760">
        <f t="shared" si="153"/>
        <v>3445.190064103565</v>
      </c>
      <c r="M4763" s="443"/>
    </row>
    <row r="4764" spans="1:13">
      <c r="A4764" s="639">
        <v>71713</v>
      </c>
      <c r="B4764" s="639">
        <v>900</v>
      </c>
      <c r="C4764" s="638">
        <v>8903.3639999999996</v>
      </c>
      <c r="D4764" s="633">
        <f t="shared" si="152"/>
        <v>8903.3639999999996</v>
      </c>
      <c r="E4764" s="608"/>
      <c r="F4764" s="760">
        <f t="shared" si="153"/>
        <v>3756.2844419228254</v>
      </c>
      <c r="M4764" s="443"/>
    </row>
    <row r="4765" spans="1:13">
      <c r="A4765" s="639">
        <v>71713</v>
      </c>
      <c r="B4765" s="639">
        <v>1000</v>
      </c>
      <c r="C4765" s="638">
        <v>9578.9920000000002</v>
      </c>
      <c r="D4765" s="633">
        <f t="shared" si="152"/>
        <v>9578.9920000000002</v>
      </c>
      <c r="E4765" s="608"/>
      <c r="F4765" s="760">
        <f t="shared" si="153"/>
        <v>4041.3284932417914</v>
      </c>
      <c r="M4765" s="443"/>
    </row>
    <row r="4766" spans="1:13">
      <c r="A4766" s="639">
        <v>71713</v>
      </c>
      <c r="B4766" s="639">
        <v>1100</v>
      </c>
      <c r="C4766" s="638">
        <v>10070.368</v>
      </c>
      <c r="D4766" s="633">
        <f t="shared" si="152"/>
        <v>10070.368</v>
      </c>
      <c r="E4766" s="608"/>
      <c r="F4766" s="760">
        <f t="shared" si="153"/>
        <v>4248.6375534952267</v>
      </c>
      <c r="M4766" s="443"/>
    </row>
    <row r="4767" spans="1:13">
      <c r="A4767" s="639">
        <v>71713</v>
      </c>
      <c r="B4767" s="639">
        <v>1200</v>
      </c>
      <c r="C4767" s="638">
        <v>10324.099</v>
      </c>
      <c r="D4767" s="633">
        <f t="shared" si="152"/>
        <v>10324.099</v>
      </c>
      <c r="E4767" s="608"/>
      <c r="F4767" s="760">
        <f t="shared" si="153"/>
        <v>4355.6853848243209</v>
      </c>
      <c r="M4767" s="443"/>
    </row>
    <row r="4768" spans="1:13">
      <c r="A4768" s="639">
        <v>71713</v>
      </c>
      <c r="B4768" s="639">
        <v>1300</v>
      </c>
      <c r="C4768" s="638">
        <v>10725.017</v>
      </c>
      <c r="D4768" s="633">
        <f t="shared" si="152"/>
        <v>10725.017</v>
      </c>
      <c r="E4768" s="608"/>
      <c r="F4768" s="760">
        <f t="shared" si="153"/>
        <v>4524.8306703463786</v>
      </c>
      <c r="M4768" s="443"/>
    </row>
    <row r="4769" spans="1:13">
      <c r="A4769" s="639">
        <v>71713</v>
      </c>
      <c r="B4769" s="639">
        <v>1400</v>
      </c>
      <c r="C4769" s="638">
        <v>10932.187</v>
      </c>
      <c r="D4769" s="633">
        <f t="shared" si="152"/>
        <v>10932.187</v>
      </c>
      <c r="E4769" s="608"/>
      <c r="F4769" s="760">
        <f t="shared" si="153"/>
        <v>4612.2346502165883</v>
      </c>
      <c r="M4769" s="443"/>
    </row>
    <row r="4770" spans="1:13">
      <c r="A4770" s="639">
        <v>71713</v>
      </c>
      <c r="B4770" s="639">
        <v>1500</v>
      </c>
      <c r="C4770" s="638">
        <v>11132.789000000001</v>
      </c>
      <c r="D4770" s="633">
        <f t="shared" si="152"/>
        <v>11132.789000000001</v>
      </c>
      <c r="E4770" s="608"/>
      <c r="F4770" s="760">
        <f t="shared" si="153"/>
        <v>4696.8676239575925</v>
      </c>
      <c r="M4770" s="443"/>
    </row>
    <row r="4771" spans="1:13">
      <c r="A4771" s="639">
        <v>71713</v>
      </c>
      <c r="B4771" s="639">
        <v>1600</v>
      </c>
      <c r="C4771" s="638">
        <v>11491.609</v>
      </c>
      <c r="D4771" s="633">
        <f t="shared" si="152"/>
        <v>11491.609</v>
      </c>
      <c r="E4771" s="608"/>
      <c r="F4771" s="760">
        <f t="shared" si="153"/>
        <v>4848.2519752489416</v>
      </c>
      <c r="M4771" s="443"/>
    </row>
    <row r="4772" spans="1:13">
      <c r="A4772" s="639">
        <v>71713</v>
      </c>
      <c r="B4772" s="639">
        <v>1700</v>
      </c>
      <c r="C4772" s="638">
        <v>11832.303</v>
      </c>
      <c r="D4772" s="633">
        <f t="shared" si="152"/>
        <v>11832.303</v>
      </c>
      <c r="E4772" s="608"/>
      <c r="F4772" s="760">
        <f t="shared" si="153"/>
        <v>4991.9890584072236</v>
      </c>
      <c r="M4772" s="443"/>
    </row>
    <row r="4773" spans="1:13">
      <c r="A4773" s="639">
        <v>71713</v>
      </c>
      <c r="B4773" s="639">
        <v>1800</v>
      </c>
      <c r="C4773" s="638">
        <v>11851.290999999999</v>
      </c>
      <c r="D4773" s="633">
        <f t="shared" si="152"/>
        <v>11851.290999999999</v>
      </c>
      <c r="E4773" s="608"/>
      <c r="F4773" s="760">
        <f t="shared" si="153"/>
        <v>5000</v>
      </c>
      <c r="M4773" s="443"/>
    </row>
    <row r="4774" spans="1:13">
      <c r="A4774" s="639">
        <v>71713</v>
      </c>
      <c r="B4774" s="639">
        <v>1900</v>
      </c>
      <c r="C4774" s="638">
        <v>11742.147999999999</v>
      </c>
      <c r="D4774" s="633">
        <f t="shared" si="152"/>
        <v>11742.147999999999</v>
      </c>
      <c r="E4774" s="608"/>
      <c r="F4774" s="760">
        <f t="shared" si="153"/>
        <v>4953.9531178501993</v>
      </c>
      <c r="M4774" s="443"/>
    </row>
    <row r="4775" spans="1:13">
      <c r="A4775" s="639">
        <v>71713</v>
      </c>
      <c r="B4775" s="639">
        <v>2000</v>
      </c>
      <c r="C4775" s="638">
        <v>11560.844999999999</v>
      </c>
      <c r="D4775" s="633">
        <f t="shared" si="152"/>
        <v>11560.844999999999</v>
      </c>
      <c r="E4775" s="608"/>
      <c r="F4775" s="760">
        <f t="shared" si="153"/>
        <v>4877.4622950360426</v>
      </c>
      <c r="M4775" s="443"/>
    </row>
    <row r="4776" spans="1:13">
      <c r="A4776" s="639">
        <v>71713</v>
      </c>
      <c r="B4776" s="639">
        <v>2100</v>
      </c>
      <c r="C4776" s="638">
        <v>11650.362999999999</v>
      </c>
      <c r="D4776" s="633">
        <f t="shared" si="152"/>
        <v>11650.362999999999</v>
      </c>
      <c r="E4776" s="608"/>
      <c r="F4776" s="760">
        <f t="shared" si="153"/>
        <v>4915.2294885004512</v>
      </c>
      <c r="M4776" s="443"/>
    </row>
    <row r="4777" spans="1:13">
      <c r="A4777" s="639">
        <v>71713</v>
      </c>
      <c r="B4777" s="639">
        <v>2200</v>
      </c>
      <c r="C4777" s="638">
        <v>11062.368</v>
      </c>
      <c r="D4777" s="633">
        <f t="shared" si="152"/>
        <v>11062.368</v>
      </c>
      <c r="E4777" s="608"/>
      <c r="F4777" s="760">
        <f t="shared" si="153"/>
        <v>4667.1573586371314</v>
      </c>
      <c r="M4777" s="443"/>
    </row>
    <row r="4778" spans="1:13">
      <c r="A4778" s="639">
        <v>71713</v>
      </c>
      <c r="B4778" s="639">
        <v>2300</v>
      </c>
      <c r="C4778" s="638">
        <v>9613.9179999999997</v>
      </c>
      <c r="D4778" s="633">
        <f t="shared" si="152"/>
        <v>9613.9179999999997</v>
      </c>
      <c r="E4778" s="608"/>
      <c r="F4778" s="760">
        <f t="shared" si="153"/>
        <v>4056.0635967845192</v>
      </c>
      <c r="M4778" s="443"/>
    </row>
    <row r="4779" spans="1:13">
      <c r="A4779" s="639">
        <v>71713</v>
      </c>
      <c r="B4779" s="639">
        <v>2400</v>
      </c>
      <c r="C4779" s="638">
        <v>8527.0280000000002</v>
      </c>
      <c r="D4779" s="633">
        <f t="shared" si="152"/>
        <v>8527.0280000000002</v>
      </c>
      <c r="E4779" s="608"/>
      <c r="F4779" s="760">
        <f t="shared" si="153"/>
        <v>3597.5101784269755</v>
      </c>
      <c r="M4779" s="443"/>
    </row>
    <row r="4780" spans="1:13">
      <c r="A4780" s="639">
        <v>71813</v>
      </c>
      <c r="B4780" s="639">
        <v>100</v>
      </c>
      <c r="C4780" s="638">
        <v>7752.0969999999998</v>
      </c>
      <c r="D4780" s="633">
        <f t="shared" si="152"/>
        <v>7752.0969999999998</v>
      </c>
      <c r="E4780" s="608"/>
      <c r="F4780" s="760">
        <f t="shared" si="153"/>
        <v>3270.5706914124376</v>
      </c>
      <c r="M4780" s="443"/>
    </row>
    <row r="4781" spans="1:13">
      <c r="A4781" s="639">
        <v>71813</v>
      </c>
      <c r="B4781" s="639">
        <v>200</v>
      </c>
      <c r="C4781" s="638">
        <v>7157.8090000000002</v>
      </c>
      <c r="D4781" s="633">
        <f t="shared" si="152"/>
        <v>7157.8090000000002</v>
      </c>
      <c r="E4781" s="608"/>
      <c r="F4781" s="760">
        <f t="shared" si="153"/>
        <v>3019.8435765352488</v>
      </c>
      <c r="M4781" s="443"/>
    </row>
    <row r="4782" spans="1:13">
      <c r="A4782" s="639">
        <v>71813</v>
      </c>
      <c r="B4782" s="639">
        <v>300</v>
      </c>
      <c r="C4782" s="638">
        <v>6719.26</v>
      </c>
      <c r="D4782" s="633">
        <f t="shared" si="152"/>
        <v>6719.26</v>
      </c>
      <c r="E4782" s="608"/>
      <c r="F4782" s="760">
        <f t="shared" si="153"/>
        <v>2834.8219615905141</v>
      </c>
      <c r="M4782" s="443"/>
    </row>
    <row r="4783" spans="1:13">
      <c r="A4783" s="639">
        <v>71813</v>
      </c>
      <c r="B4783" s="639">
        <v>400</v>
      </c>
      <c r="C4783" s="638">
        <v>6384.1660000000002</v>
      </c>
      <c r="D4783" s="633">
        <f t="shared" si="152"/>
        <v>6384.1660000000002</v>
      </c>
      <c r="E4783" s="608"/>
      <c r="F4783" s="760">
        <f t="shared" si="153"/>
        <v>2693.4474902354523</v>
      </c>
      <c r="M4783" s="443"/>
    </row>
    <row r="4784" spans="1:13">
      <c r="A4784" s="639">
        <v>71813</v>
      </c>
      <c r="B4784" s="639">
        <v>500</v>
      </c>
      <c r="C4784" s="638">
        <v>6376.1790000000001</v>
      </c>
      <c r="D4784" s="633">
        <f t="shared" si="152"/>
        <v>6376.1790000000001</v>
      </c>
      <c r="E4784" s="608"/>
      <c r="F4784" s="760">
        <f t="shared" si="153"/>
        <v>2690.077815151109</v>
      </c>
      <c r="M4784" s="443"/>
    </row>
    <row r="4785" spans="1:13">
      <c r="A4785" s="639">
        <v>71813</v>
      </c>
      <c r="B4785" s="639">
        <v>600</v>
      </c>
      <c r="C4785" s="638">
        <v>6726.6809999999996</v>
      </c>
      <c r="D4785" s="633">
        <f t="shared" si="152"/>
        <v>6726.6809999999996</v>
      </c>
      <c r="E4785" s="608"/>
      <c r="F4785" s="760">
        <f t="shared" si="153"/>
        <v>2837.9528441247453</v>
      </c>
      <c r="M4785" s="443"/>
    </row>
    <row r="4786" spans="1:13">
      <c r="A4786" s="639">
        <v>71813</v>
      </c>
      <c r="B4786" s="639">
        <v>700</v>
      </c>
      <c r="C4786" s="638">
        <v>7568.7709999999997</v>
      </c>
      <c r="D4786" s="633">
        <f t="shared" si="152"/>
        <v>7568.7709999999997</v>
      </c>
      <c r="E4786" s="608"/>
      <c r="F4786" s="760">
        <f t="shared" si="153"/>
        <v>3193.2263750843686</v>
      </c>
      <c r="M4786" s="443"/>
    </row>
    <row r="4787" spans="1:13">
      <c r="A4787" s="639">
        <v>71813</v>
      </c>
      <c r="B4787" s="639">
        <v>800</v>
      </c>
      <c r="C4787" s="638">
        <v>8120.741</v>
      </c>
      <c r="D4787" s="633">
        <f t="shared" si="152"/>
        <v>8120.741</v>
      </c>
      <c r="E4787" s="608"/>
      <c r="F4787" s="760">
        <f t="shared" si="153"/>
        <v>3426.099738838579</v>
      </c>
      <c r="M4787" s="443"/>
    </row>
    <row r="4788" spans="1:13">
      <c r="A4788" s="639">
        <v>71813</v>
      </c>
      <c r="B4788" s="639">
        <v>900</v>
      </c>
      <c r="C4788" s="638">
        <v>8845.1239999999998</v>
      </c>
      <c r="D4788" s="633">
        <f t="shared" si="152"/>
        <v>8845.1239999999998</v>
      </c>
      <c r="E4788" s="608"/>
      <c r="F4788" s="760">
        <f t="shared" si="153"/>
        <v>3731.713279169333</v>
      </c>
      <c r="M4788" s="443"/>
    </row>
    <row r="4789" spans="1:13">
      <c r="A4789" s="639">
        <v>71813</v>
      </c>
      <c r="B4789" s="639">
        <v>1000</v>
      </c>
      <c r="C4789" s="638">
        <v>9519.0259999999998</v>
      </c>
      <c r="D4789" s="633">
        <f t="shared" si="152"/>
        <v>9519.0259999999998</v>
      </c>
      <c r="E4789" s="608"/>
      <c r="F4789" s="760">
        <f t="shared" si="153"/>
        <v>4016.0291397789492</v>
      </c>
      <c r="M4789" s="443"/>
    </row>
    <row r="4790" spans="1:13">
      <c r="A4790" s="639">
        <v>71813</v>
      </c>
      <c r="B4790" s="639">
        <v>1100</v>
      </c>
      <c r="C4790" s="638">
        <v>9993.6020000000008</v>
      </c>
      <c r="D4790" s="633">
        <f t="shared" si="152"/>
        <v>9993.6020000000008</v>
      </c>
      <c r="E4790" s="608"/>
      <c r="F4790" s="760">
        <f t="shared" si="153"/>
        <v>4216.2503646227242</v>
      </c>
      <c r="M4790" s="443"/>
    </row>
    <row r="4791" spans="1:13">
      <c r="A4791" s="639">
        <v>71813</v>
      </c>
      <c r="B4791" s="639">
        <v>1200</v>
      </c>
      <c r="C4791" s="638">
        <v>10308.89</v>
      </c>
      <c r="D4791" s="633">
        <f t="shared" si="152"/>
        <v>10308.89</v>
      </c>
      <c r="E4791" s="608"/>
      <c r="F4791" s="760">
        <f t="shared" si="153"/>
        <v>4349.2687843037529</v>
      </c>
      <c r="M4791" s="443"/>
    </row>
    <row r="4792" spans="1:13">
      <c r="A4792" s="639">
        <v>71813</v>
      </c>
      <c r="B4792" s="639">
        <v>1300</v>
      </c>
      <c r="C4792" s="638">
        <v>10419.502</v>
      </c>
      <c r="D4792" s="633">
        <f t="shared" si="152"/>
        <v>10419.502</v>
      </c>
      <c r="E4792" s="608"/>
      <c r="F4792" s="760">
        <f t="shared" si="153"/>
        <v>4395.9354301569347</v>
      </c>
      <c r="M4792" s="443"/>
    </row>
    <row r="4793" spans="1:13">
      <c r="A4793" s="639">
        <v>71813</v>
      </c>
      <c r="B4793" s="639">
        <v>1400</v>
      </c>
      <c r="C4793" s="638">
        <v>10086.280000000001</v>
      </c>
      <c r="D4793" s="633">
        <f t="shared" si="152"/>
        <v>10086.280000000001</v>
      </c>
      <c r="E4793" s="608"/>
      <c r="F4793" s="760">
        <f t="shared" si="153"/>
        <v>4255.3507461760919</v>
      </c>
      <c r="M4793" s="443"/>
    </row>
    <row r="4794" spans="1:13">
      <c r="A4794" s="639">
        <v>71813</v>
      </c>
      <c r="B4794" s="639">
        <v>1500</v>
      </c>
      <c r="C4794" s="638">
        <v>10164.517</v>
      </c>
      <c r="D4794" s="633">
        <f t="shared" si="152"/>
        <v>10164.517</v>
      </c>
      <c r="E4794" s="608"/>
      <c r="F4794" s="760">
        <f t="shared" si="153"/>
        <v>4288.358542541906</v>
      </c>
      <c r="M4794" s="443"/>
    </row>
    <row r="4795" spans="1:13">
      <c r="A4795" s="639">
        <v>71813</v>
      </c>
      <c r="B4795" s="639">
        <v>1600</v>
      </c>
      <c r="C4795" s="638">
        <v>10922.611000000001</v>
      </c>
      <c r="D4795" s="633">
        <f t="shared" si="152"/>
        <v>10922.611000000001</v>
      </c>
      <c r="E4795" s="608"/>
      <c r="F4795" s="760">
        <f t="shared" si="153"/>
        <v>4608.1945840330818</v>
      </c>
      <c r="M4795" s="443"/>
    </row>
    <row r="4796" spans="1:13">
      <c r="A4796" s="639">
        <v>71813</v>
      </c>
      <c r="B4796" s="639">
        <v>1700</v>
      </c>
      <c r="C4796" s="638">
        <v>11264.636</v>
      </c>
      <c r="D4796" s="633">
        <f t="shared" si="152"/>
        <v>11264.636</v>
      </c>
      <c r="E4796" s="608"/>
      <c r="F4796" s="760">
        <f t="shared" si="153"/>
        <v>4752.4932093895932</v>
      </c>
      <c r="M4796" s="443"/>
    </row>
    <row r="4797" spans="1:13">
      <c r="A4797" s="639">
        <v>71813</v>
      </c>
      <c r="B4797" s="639">
        <v>1800</v>
      </c>
      <c r="C4797" s="638">
        <v>11350.656999999999</v>
      </c>
      <c r="D4797" s="633">
        <f t="shared" si="152"/>
        <v>11350.656999999999</v>
      </c>
      <c r="E4797" s="608"/>
      <c r="F4797" s="760">
        <f t="shared" si="153"/>
        <v>4788.785036161883</v>
      </c>
      <c r="M4797" s="443"/>
    </row>
    <row r="4798" spans="1:13">
      <c r="A4798" s="639">
        <v>71813</v>
      </c>
      <c r="B4798" s="639">
        <v>1900</v>
      </c>
      <c r="C4798" s="638">
        <v>11083.289000000001</v>
      </c>
      <c r="D4798" s="633">
        <f t="shared" si="152"/>
        <v>11083.289000000001</v>
      </c>
      <c r="E4798" s="608"/>
      <c r="F4798" s="760">
        <f t="shared" si="153"/>
        <v>4675.9838231969843</v>
      </c>
      <c r="M4798" s="443"/>
    </row>
    <row r="4799" spans="1:13">
      <c r="A4799" s="639">
        <v>71813</v>
      </c>
      <c r="B4799" s="639">
        <v>2000</v>
      </c>
      <c r="C4799" s="638">
        <v>10946.282999999999</v>
      </c>
      <c r="D4799" s="633">
        <f t="shared" si="152"/>
        <v>10946.282999999999</v>
      </c>
      <c r="E4799" s="608"/>
      <c r="F4799" s="760">
        <f t="shared" si="153"/>
        <v>4618.1816816412656</v>
      </c>
      <c r="M4799" s="443"/>
    </row>
    <row r="4800" spans="1:13">
      <c r="A4800" s="639">
        <v>71813</v>
      </c>
      <c r="B4800" s="639">
        <v>2100</v>
      </c>
      <c r="C4800" s="638">
        <v>11036.582</v>
      </c>
      <c r="D4800" s="633">
        <f t="shared" si="152"/>
        <v>11036.582</v>
      </c>
      <c r="E4800" s="608"/>
      <c r="F4800" s="760">
        <f t="shared" si="153"/>
        <v>4656.2783750732306</v>
      </c>
      <c r="M4800" s="443"/>
    </row>
    <row r="4801" spans="1:13">
      <c r="A4801" s="639">
        <v>71813</v>
      </c>
      <c r="B4801" s="639">
        <v>2200</v>
      </c>
      <c r="C4801" s="638">
        <v>10312.186</v>
      </c>
      <c r="D4801" s="633">
        <f t="shared" si="152"/>
        <v>10312.186</v>
      </c>
      <c r="E4801" s="608"/>
      <c r="F4801" s="760">
        <f t="shared" si="153"/>
        <v>4350.6593501079342</v>
      </c>
      <c r="M4801" s="443"/>
    </row>
    <row r="4802" spans="1:13">
      <c r="A4802" s="639">
        <v>71813</v>
      </c>
      <c r="B4802" s="639">
        <v>2300</v>
      </c>
      <c r="C4802" s="638">
        <v>9086.7160000000003</v>
      </c>
      <c r="D4802" s="633">
        <f t="shared" si="152"/>
        <v>9086.7160000000003</v>
      </c>
      <c r="E4802" s="608"/>
      <c r="F4802" s="760">
        <f t="shared" si="153"/>
        <v>3833.6397275199811</v>
      </c>
      <c r="M4802" s="443"/>
    </row>
    <row r="4803" spans="1:13">
      <c r="A4803" s="639">
        <v>71813</v>
      </c>
      <c r="B4803" s="639">
        <v>2400</v>
      </c>
      <c r="C4803" s="638">
        <v>8056.2030000000004</v>
      </c>
      <c r="D4803" s="633">
        <f t="shared" si="152"/>
        <v>8056.2030000000004</v>
      </c>
      <c r="E4803" s="608"/>
      <c r="F4803" s="760">
        <f t="shared" si="153"/>
        <v>3398.8714815963931</v>
      </c>
      <c r="M4803" s="443"/>
    </row>
    <row r="4804" spans="1:13">
      <c r="A4804" s="639">
        <v>71913</v>
      </c>
      <c r="B4804" s="639">
        <v>100</v>
      </c>
      <c r="C4804" s="638">
        <v>7413.1559999999999</v>
      </c>
      <c r="D4804" s="633">
        <f t="shared" si="152"/>
        <v>7413.1559999999999</v>
      </c>
      <c r="E4804" s="608"/>
      <c r="F4804" s="760">
        <f t="shared" si="153"/>
        <v>3127.5731901275567</v>
      </c>
      <c r="M4804" s="443"/>
    </row>
    <row r="4805" spans="1:13">
      <c r="A4805" s="639">
        <v>71913</v>
      </c>
      <c r="B4805" s="639">
        <v>200</v>
      </c>
      <c r="C4805" s="638">
        <v>6913.6840000000002</v>
      </c>
      <c r="D4805" s="633">
        <f t="shared" ref="D4805:D4868" si="154">C4805</f>
        <v>6913.6840000000002</v>
      </c>
      <c r="E4805" s="608"/>
      <c r="F4805" s="760">
        <f t="shared" si="153"/>
        <v>2916.8484682386079</v>
      </c>
      <c r="M4805" s="443"/>
    </row>
    <row r="4806" spans="1:13">
      <c r="A4806" s="639">
        <v>71913</v>
      </c>
      <c r="B4806" s="639">
        <v>300</v>
      </c>
      <c r="C4806" s="638">
        <v>6563.732</v>
      </c>
      <c r="D4806" s="633">
        <f t="shared" si="154"/>
        <v>6563.732</v>
      </c>
      <c r="E4806" s="608"/>
      <c r="F4806" s="760">
        <f t="shared" si="153"/>
        <v>2769.2054814956446</v>
      </c>
      <c r="M4806" s="443"/>
    </row>
    <row r="4807" spans="1:13">
      <c r="A4807" s="639">
        <v>71913</v>
      </c>
      <c r="B4807" s="639">
        <v>400</v>
      </c>
      <c r="C4807" s="638">
        <v>6322.2340000000004</v>
      </c>
      <c r="D4807" s="633">
        <f t="shared" si="154"/>
        <v>6322.2340000000004</v>
      </c>
      <c r="E4807" s="608"/>
      <c r="F4807" s="760">
        <f t="shared" si="153"/>
        <v>2667.3186912716938</v>
      </c>
      <c r="M4807" s="443"/>
    </row>
    <row r="4808" spans="1:13">
      <c r="A4808" s="639">
        <v>71913</v>
      </c>
      <c r="B4808" s="639">
        <v>500</v>
      </c>
      <c r="C4808" s="638">
        <v>6482.4759999999997</v>
      </c>
      <c r="D4808" s="633">
        <f t="shared" si="154"/>
        <v>6482.4759999999997</v>
      </c>
      <c r="E4808" s="608"/>
      <c r="F4808" s="760">
        <f t="shared" si="153"/>
        <v>2734.9239842309166</v>
      </c>
      <c r="M4808" s="443"/>
    </row>
    <row r="4809" spans="1:13">
      <c r="A4809" s="639">
        <v>71913</v>
      </c>
      <c r="B4809" s="639">
        <v>600</v>
      </c>
      <c r="C4809" s="638">
        <v>6859.4380000000001</v>
      </c>
      <c r="D4809" s="633">
        <f t="shared" si="154"/>
        <v>6859.4380000000001</v>
      </c>
      <c r="E4809" s="608"/>
      <c r="F4809" s="760">
        <f t="shared" si="153"/>
        <v>2893.9623539747699</v>
      </c>
      <c r="M4809" s="443"/>
    </row>
    <row r="4810" spans="1:13">
      <c r="A4810" s="639">
        <v>71913</v>
      </c>
      <c r="B4810" s="639">
        <v>700</v>
      </c>
      <c r="C4810" s="638">
        <v>7848.2420000000002</v>
      </c>
      <c r="D4810" s="633">
        <f t="shared" si="154"/>
        <v>7848.2420000000002</v>
      </c>
      <c r="E4810" s="608"/>
      <c r="F4810" s="760">
        <f t="shared" si="153"/>
        <v>3311.1337828089786</v>
      </c>
      <c r="M4810" s="443"/>
    </row>
    <row r="4811" spans="1:13">
      <c r="A4811" s="639">
        <v>71913</v>
      </c>
      <c r="B4811" s="639">
        <v>800</v>
      </c>
      <c r="C4811" s="638">
        <v>8666.48</v>
      </c>
      <c r="D4811" s="633">
        <f t="shared" si="154"/>
        <v>8666.48</v>
      </c>
      <c r="E4811" s="608"/>
      <c r="F4811" s="760">
        <f t="shared" si="153"/>
        <v>3656.3442750667418</v>
      </c>
      <c r="M4811" s="443"/>
    </row>
    <row r="4812" spans="1:13">
      <c r="A4812" s="639">
        <v>71913</v>
      </c>
      <c r="B4812" s="639">
        <v>900</v>
      </c>
      <c r="C4812" s="638">
        <v>9465.3389999999999</v>
      </c>
      <c r="D4812" s="633">
        <f t="shared" si="154"/>
        <v>9465.3389999999999</v>
      </c>
      <c r="E4812" s="608"/>
      <c r="F4812" s="760">
        <f t="shared" si="153"/>
        <v>3993.3788648004679</v>
      </c>
      <c r="M4812" s="443"/>
    </row>
    <row r="4813" spans="1:13">
      <c r="A4813" s="639">
        <v>71913</v>
      </c>
      <c r="B4813" s="639">
        <v>1000</v>
      </c>
      <c r="C4813" s="638">
        <v>9899.5349999999999</v>
      </c>
      <c r="D4813" s="633">
        <f t="shared" si="154"/>
        <v>9899.5349999999999</v>
      </c>
      <c r="E4813" s="608"/>
      <c r="F4813" s="760">
        <f t="shared" si="153"/>
        <v>4176.5639709631632</v>
      </c>
      <c r="M4813" s="443"/>
    </row>
    <row r="4814" spans="1:13">
      <c r="A4814" s="639">
        <v>71913</v>
      </c>
      <c r="B4814" s="639">
        <v>1100</v>
      </c>
      <c r="C4814" s="638">
        <v>10254.031000000001</v>
      </c>
      <c r="D4814" s="633">
        <f t="shared" si="154"/>
        <v>10254.031000000001</v>
      </c>
      <c r="E4814" s="608"/>
      <c r="F4814" s="760">
        <f t="shared" si="153"/>
        <v>4326.1240484264545</v>
      </c>
      <c r="M4814" s="443"/>
    </row>
    <row r="4815" spans="1:13">
      <c r="A4815" s="639">
        <v>71913</v>
      </c>
      <c r="B4815" s="639">
        <v>1200</v>
      </c>
      <c r="C4815" s="638">
        <v>10533.819</v>
      </c>
      <c r="D4815" s="633">
        <f t="shared" si="154"/>
        <v>10533.819</v>
      </c>
      <c r="E4815" s="608"/>
      <c r="F4815" s="760">
        <f t="shared" si="153"/>
        <v>4444.1651968549249</v>
      </c>
      <c r="M4815" s="443"/>
    </row>
    <row r="4816" spans="1:13">
      <c r="A4816" s="639">
        <v>71913</v>
      </c>
      <c r="B4816" s="639">
        <v>1300</v>
      </c>
      <c r="C4816" s="638">
        <v>10725.851000000001</v>
      </c>
      <c r="D4816" s="633">
        <f t="shared" si="154"/>
        <v>10725.851000000001</v>
      </c>
      <c r="E4816" s="608"/>
      <c r="F4816" s="760">
        <f t="shared" si="153"/>
        <v>4525.1825307470726</v>
      </c>
      <c r="M4816" s="443"/>
    </row>
    <row r="4817" spans="1:13">
      <c r="A4817" s="639">
        <v>71913</v>
      </c>
      <c r="B4817" s="639">
        <v>1400</v>
      </c>
      <c r="C4817" s="638">
        <v>10911.236999999999</v>
      </c>
      <c r="D4817" s="633">
        <f t="shared" si="154"/>
        <v>10911.236999999999</v>
      </c>
      <c r="E4817" s="608"/>
      <c r="F4817" s="760">
        <f t="shared" si="153"/>
        <v>4603.3959507027548</v>
      </c>
      <c r="M4817" s="443"/>
    </row>
    <row r="4818" spans="1:13">
      <c r="A4818" s="639">
        <v>71913</v>
      </c>
      <c r="B4818" s="639">
        <v>1500</v>
      </c>
      <c r="C4818" s="638">
        <v>11130.749</v>
      </c>
      <c r="D4818" s="633">
        <f t="shared" si="154"/>
        <v>11130.749</v>
      </c>
      <c r="E4818" s="608"/>
      <c r="F4818" s="760">
        <f t="shared" si="153"/>
        <v>4696.0069582292772</v>
      </c>
      <c r="M4818" s="443"/>
    </row>
    <row r="4819" spans="1:13">
      <c r="A4819" s="639">
        <v>71913</v>
      </c>
      <c r="B4819" s="639">
        <v>1600</v>
      </c>
      <c r="C4819" s="638">
        <v>11333.404</v>
      </c>
      <c r="D4819" s="633">
        <f t="shared" si="154"/>
        <v>11333.404</v>
      </c>
      <c r="E4819" s="608"/>
      <c r="F4819" s="760">
        <f t="shared" si="153"/>
        <v>4781.5060823331405</v>
      </c>
      <c r="M4819" s="443"/>
    </row>
    <row r="4820" spans="1:13">
      <c r="A4820" s="639">
        <v>71913</v>
      </c>
      <c r="B4820" s="639">
        <v>1700</v>
      </c>
      <c r="C4820" s="638">
        <v>10377.175999999999</v>
      </c>
      <c r="D4820" s="633">
        <f t="shared" si="154"/>
        <v>10377.175999999999</v>
      </c>
      <c r="E4820" s="608"/>
      <c r="F4820" s="760">
        <f t="shared" ref="F4820:F4883" si="155">(D4820/(MAX($D$4372:$D$5115)))*$M$10</f>
        <v>4378.0783038742356</v>
      </c>
      <c r="M4820" s="443"/>
    </row>
    <row r="4821" spans="1:13">
      <c r="A4821" s="639">
        <v>71913</v>
      </c>
      <c r="B4821" s="639">
        <v>1800</v>
      </c>
      <c r="C4821" s="638">
        <v>9801.5720000000001</v>
      </c>
      <c r="D4821" s="633">
        <f t="shared" si="154"/>
        <v>9801.5720000000001</v>
      </c>
      <c r="E4821" s="608"/>
      <c r="F4821" s="760">
        <f t="shared" si="155"/>
        <v>4135.2338745205061</v>
      </c>
      <c r="M4821" s="443"/>
    </row>
    <row r="4822" spans="1:13">
      <c r="A4822" s="639">
        <v>71913</v>
      </c>
      <c r="B4822" s="639">
        <v>1900</v>
      </c>
      <c r="C4822" s="638">
        <v>9412.0679999999993</v>
      </c>
      <c r="D4822" s="633">
        <f t="shared" si="154"/>
        <v>9412.0679999999993</v>
      </c>
      <c r="E4822" s="608"/>
      <c r="F4822" s="760">
        <f t="shared" si="155"/>
        <v>3970.9040981273683</v>
      </c>
      <c r="M4822" s="443"/>
    </row>
    <row r="4823" spans="1:13">
      <c r="A4823" s="639">
        <v>71913</v>
      </c>
      <c r="B4823" s="639">
        <v>2000</v>
      </c>
      <c r="C4823" s="638">
        <v>9039.2109999999993</v>
      </c>
      <c r="D4823" s="633">
        <f t="shared" si="154"/>
        <v>9039.2109999999993</v>
      </c>
      <c r="E4823" s="608"/>
      <c r="F4823" s="760">
        <f t="shared" si="155"/>
        <v>3813.5976072142689</v>
      </c>
      <c r="M4823" s="443"/>
    </row>
    <row r="4824" spans="1:13">
      <c r="A4824" s="639">
        <v>71913</v>
      </c>
      <c r="B4824" s="639">
        <v>2100</v>
      </c>
      <c r="C4824" s="638">
        <v>9022.7819999999992</v>
      </c>
      <c r="D4824" s="633">
        <f t="shared" si="154"/>
        <v>9022.7819999999992</v>
      </c>
      <c r="E4824" s="608"/>
      <c r="F4824" s="760">
        <f t="shared" si="155"/>
        <v>3806.6662948365711</v>
      </c>
      <c r="M4824" s="443"/>
    </row>
    <row r="4825" spans="1:13">
      <c r="A4825" s="639">
        <v>71913</v>
      </c>
      <c r="B4825" s="639">
        <v>2200</v>
      </c>
      <c r="C4825" s="638">
        <v>8502.7279999999992</v>
      </c>
      <c r="D4825" s="633">
        <f t="shared" si="154"/>
        <v>8502.7279999999992</v>
      </c>
      <c r="E4825" s="608"/>
      <c r="F4825" s="760">
        <f t="shared" si="155"/>
        <v>3587.2581307808578</v>
      </c>
      <c r="M4825" s="443"/>
    </row>
    <row r="4826" spans="1:13">
      <c r="A4826" s="639">
        <v>71913</v>
      </c>
      <c r="B4826" s="639">
        <v>2300</v>
      </c>
      <c r="C4826" s="638">
        <v>7651.9369999999999</v>
      </c>
      <c r="D4826" s="633">
        <f t="shared" si="154"/>
        <v>7651.9369999999999</v>
      </c>
      <c r="E4826" s="608"/>
      <c r="F4826" s="760">
        <f t="shared" si="155"/>
        <v>3228.3136917319812</v>
      </c>
      <c r="M4826" s="443"/>
    </row>
    <row r="4827" spans="1:13">
      <c r="A4827" s="639">
        <v>71913</v>
      </c>
      <c r="B4827" s="639">
        <v>2400</v>
      </c>
      <c r="C4827" s="638">
        <v>6779.5249999999996</v>
      </c>
      <c r="D4827" s="633">
        <f t="shared" si="154"/>
        <v>6779.5249999999996</v>
      </c>
      <c r="E4827" s="608"/>
      <c r="F4827" s="760">
        <f t="shared" si="155"/>
        <v>2860.2474616478489</v>
      </c>
      <c r="M4827" s="443"/>
    </row>
    <row r="4828" spans="1:13">
      <c r="A4828" s="639">
        <v>72013</v>
      </c>
      <c r="B4828" s="639">
        <v>100</v>
      </c>
      <c r="C4828" s="638">
        <v>6025.4170000000004</v>
      </c>
      <c r="D4828" s="633">
        <f t="shared" si="154"/>
        <v>6025.4170000000004</v>
      </c>
      <c r="E4828" s="608"/>
      <c r="F4828" s="760">
        <f t="shared" si="155"/>
        <v>2542.0930934866087</v>
      </c>
      <c r="M4828" s="443"/>
    </row>
    <row r="4829" spans="1:13">
      <c r="A4829" s="639">
        <v>72013</v>
      </c>
      <c r="B4829" s="639">
        <v>200</v>
      </c>
      <c r="C4829" s="638">
        <v>5555.9589999999998</v>
      </c>
      <c r="D4829" s="633">
        <f t="shared" si="154"/>
        <v>5555.9589999999998</v>
      </c>
      <c r="E4829" s="608"/>
      <c r="F4829" s="760">
        <f t="shared" si="155"/>
        <v>2344.0311270729917</v>
      </c>
      <c r="M4829" s="443"/>
    </row>
    <row r="4830" spans="1:13">
      <c r="A4830" s="639">
        <v>72013</v>
      </c>
      <c r="B4830" s="639">
        <v>300</v>
      </c>
      <c r="C4830" s="638">
        <v>5235.9549999999999</v>
      </c>
      <c r="D4830" s="633">
        <f t="shared" si="154"/>
        <v>5235.9549999999999</v>
      </c>
      <c r="E4830" s="608"/>
      <c r="F4830" s="760">
        <f t="shared" si="155"/>
        <v>2209.0230507376791</v>
      </c>
      <c r="M4830" s="443"/>
    </row>
    <row r="4831" spans="1:13">
      <c r="A4831" s="639">
        <v>72013</v>
      </c>
      <c r="B4831" s="639">
        <v>400</v>
      </c>
      <c r="C4831" s="638">
        <v>5089.63</v>
      </c>
      <c r="D4831" s="633">
        <f t="shared" si="154"/>
        <v>5089.63</v>
      </c>
      <c r="E4831" s="608"/>
      <c r="F4831" s="760">
        <f t="shared" si="155"/>
        <v>2147.289270004424</v>
      </c>
      <c r="M4831" s="443"/>
    </row>
    <row r="4832" spans="1:13">
      <c r="A4832" s="639">
        <v>72013</v>
      </c>
      <c r="B4832" s="639">
        <v>500</v>
      </c>
      <c r="C4832" s="638">
        <v>5033.5529999999999</v>
      </c>
      <c r="D4832" s="633">
        <f t="shared" si="154"/>
        <v>5033.5529999999999</v>
      </c>
      <c r="E4832" s="608"/>
      <c r="F4832" s="760">
        <f t="shared" si="155"/>
        <v>2123.6306660599257</v>
      </c>
      <c r="M4832" s="443"/>
    </row>
    <row r="4833" spans="1:13">
      <c r="A4833" s="639">
        <v>72013</v>
      </c>
      <c r="B4833" s="639">
        <v>600</v>
      </c>
      <c r="C4833" s="638">
        <v>5100.3519999999999</v>
      </c>
      <c r="D4833" s="633">
        <f t="shared" si="154"/>
        <v>5100.3519999999999</v>
      </c>
      <c r="E4833" s="608"/>
      <c r="F4833" s="760">
        <f t="shared" si="155"/>
        <v>2151.8128278176614</v>
      </c>
      <c r="M4833" s="443"/>
    </row>
    <row r="4834" spans="1:13">
      <c r="A4834" s="639">
        <v>72013</v>
      </c>
      <c r="B4834" s="639">
        <v>700</v>
      </c>
      <c r="C4834" s="638">
        <v>5528.433</v>
      </c>
      <c r="D4834" s="633">
        <f t="shared" si="154"/>
        <v>5528.433</v>
      </c>
      <c r="E4834" s="608"/>
      <c r="F4834" s="760">
        <f t="shared" si="155"/>
        <v>2332.4180462702334</v>
      </c>
      <c r="M4834" s="443"/>
    </row>
    <row r="4835" spans="1:13">
      <c r="A4835" s="639">
        <v>72013</v>
      </c>
      <c r="B4835" s="639">
        <v>800</v>
      </c>
      <c r="C4835" s="638">
        <v>6164.8829999999998</v>
      </c>
      <c r="D4835" s="633">
        <f t="shared" si="154"/>
        <v>6164.8829999999998</v>
      </c>
      <c r="E4835" s="608"/>
      <c r="F4835" s="760">
        <f t="shared" si="155"/>
        <v>2600.9330966558837</v>
      </c>
      <c r="M4835" s="443"/>
    </row>
    <row r="4836" spans="1:13">
      <c r="A4836" s="639">
        <v>72013</v>
      </c>
      <c r="B4836" s="639">
        <v>900</v>
      </c>
      <c r="C4836" s="638">
        <v>6677.6760000000004</v>
      </c>
      <c r="D4836" s="633">
        <f t="shared" si="154"/>
        <v>6677.6760000000004</v>
      </c>
      <c r="E4836" s="608"/>
      <c r="F4836" s="760">
        <f t="shared" si="155"/>
        <v>2817.2778813717432</v>
      </c>
      <c r="M4836" s="443"/>
    </row>
    <row r="4837" spans="1:13">
      <c r="A4837" s="639">
        <v>72013</v>
      </c>
      <c r="B4837" s="639">
        <v>1000</v>
      </c>
      <c r="C4837" s="638">
        <v>7288.7809999999999</v>
      </c>
      <c r="D4837" s="633">
        <f t="shared" si="154"/>
        <v>7288.7809999999999</v>
      </c>
      <c r="E4837" s="608"/>
      <c r="F4837" s="760">
        <f t="shared" si="155"/>
        <v>3075.1000038729958</v>
      </c>
      <c r="M4837" s="443"/>
    </row>
    <row r="4838" spans="1:13">
      <c r="A4838" s="639">
        <v>72013</v>
      </c>
      <c r="B4838" s="639">
        <v>1100</v>
      </c>
      <c r="C4838" s="638">
        <v>7913.8339999999998</v>
      </c>
      <c r="D4838" s="633">
        <f t="shared" si="154"/>
        <v>7913.8339999999998</v>
      </c>
      <c r="E4838" s="608"/>
      <c r="F4838" s="760">
        <f t="shared" si="155"/>
        <v>3338.8067173441277</v>
      </c>
      <c r="M4838" s="443"/>
    </row>
    <row r="4839" spans="1:13">
      <c r="A4839" s="639">
        <v>72013</v>
      </c>
      <c r="B4839" s="639">
        <v>1200</v>
      </c>
      <c r="C4839" s="638">
        <v>8103.2550000000001</v>
      </c>
      <c r="D4839" s="633">
        <f t="shared" si="154"/>
        <v>8103.2550000000001</v>
      </c>
      <c r="E4839" s="608"/>
      <c r="F4839" s="760">
        <f t="shared" si="155"/>
        <v>3418.7224834830231</v>
      </c>
      <c r="M4839" s="443"/>
    </row>
    <row r="4840" spans="1:13">
      <c r="A4840" s="639">
        <v>72013</v>
      </c>
      <c r="B4840" s="639">
        <v>1300</v>
      </c>
      <c r="C4840" s="638">
        <v>8215.9390000000003</v>
      </c>
      <c r="D4840" s="633">
        <f t="shared" si="154"/>
        <v>8215.9390000000003</v>
      </c>
      <c r="E4840" s="608"/>
      <c r="F4840" s="760">
        <f t="shared" si="155"/>
        <v>3466.2632957033966</v>
      </c>
      <c r="M4840" s="443"/>
    </row>
    <row r="4841" spans="1:13">
      <c r="A4841" s="639">
        <v>72013</v>
      </c>
      <c r="B4841" s="639">
        <v>1400</v>
      </c>
      <c r="C4841" s="638">
        <v>8362.8130000000001</v>
      </c>
      <c r="D4841" s="633">
        <f t="shared" si="154"/>
        <v>8362.8130000000001</v>
      </c>
      <c r="E4841" s="608"/>
      <c r="F4841" s="760">
        <f t="shared" si="155"/>
        <v>3528.2286967723603</v>
      </c>
      <c r="M4841" s="443"/>
    </row>
    <row r="4842" spans="1:13">
      <c r="A4842" s="639">
        <v>72013</v>
      </c>
      <c r="B4842" s="639">
        <v>1500</v>
      </c>
      <c r="C4842" s="638">
        <v>8601.6610000000001</v>
      </c>
      <c r="D4842" s="633">
        <f t="shared" si="154"/>
        <v>8601.6610000000001</v>
      </c>
      <c r="E4842" s="608"/>
      <c r="F4842" s="760">
        <f t="shared" si="155"/>
        <v>3628.9974653394302</v>
      </c>
      <c r="M4842" s="443"/>
    </row>
    <row r="4843" spans="1:13">
      <c r="A4843" s="639">
        <v>72013</v>
      </c>
      <c r="B4843" s="639">
        <v>1600</v>
      </c>
      <c r="C4843" s="638">
        <v>8945.357</v>
      </c>
      <c r="D4843" s="633">
        <f t="shared" si="154"/>
        <v>8945.357</v>
      </c>
      <c r="E4843" s="608"/>
      <c r="F4843" s="760">
        <f t="shared" si="155"/>
        <v>3774.0010771822244</v>
      </c>
      <c r="M4843" s="443"/>
    </row>
    <row r="4844" spans="1:13">
      <c r="A4844" s="639">
        <v>72013</v>
      </c>
      <c r="B4844" s="639">
        <v>1700</v>
      </c>
      <c r="C4844" s="638">
        <v>9356.3690000000006</v>
      </c>
      <c r="D4844" s="633">
        <f t="shared" si="154"/>
        <v>9356.3690000000006</v>
      </c>
      <c r="E4844" s="608"/>
      <c r="F4844" s="760">
        <f t="shared" si="155"/>
        <v>3947.4049704795875</v>
      </c>
      <c r="M4844" s="443"/>
    </row>
    <row r="4845" spans="1:13">
      <c r="A4845" s="639">
        <v>72013</v>
      </c>
      <c r="B4845" s="639">
        <v>1800</v>
      </c>
      <c r="C4845" s="638">
        <v>9360.3289999999997</v>
      </c>
      <c r="D4845" s="633">
        <f t="shared" si="154"/>
        <v>9360.3289999999997</v>
      </c>
      <c r="E4845" s="608"/>
      <c r="F4845" s="760">
        <f t="shared" si="155"/>
        <v>3949.0756745404365</v>
      </c>
      <c r="M4845" s="443"/>
    </row>
    <row r="4846" spans="1:13">
      <c r="A4846" s="639">
        <v>72013</v>
      </c>
      <c r="B4846" s="639">
        <v>1900</v>
      </c>
      <c r="C4846" s="638">
        <v>8891.8619999999992</v>
      </c>
      <c r="D4846" s="633">
        <f t="shared" si="154"/>
        <v>8891.8619999999992</v>
      </c>
      <c r="E4846" s="608"/>
      <c r="F4846" s="760">
        <f t="shared" si="155"/>
        <v>3751.431806036996</v>
      </c>
      <c r="M4846" s="443"/>
    </row>
    <row r="4847" spans="1:13">
      <c r="A4847" s="639">
        <v>72013</v>
      </c>
      <c r="B4847" s="639">
        <v>2000</v>
      </c>
      <c r="C4847" s="638">
        <v>8337.1880000000001</v>
      </c>
      <c r="D4847" s="633">
        <f t="shared" si="154"/>
        <v>8337.1880000000001</v>
      </c>
      <c r="E4847" s="608"/>
      <c r="F4847" s="760">
        <f t="shared" si="155"/>
        <v>3517.417638297803</v>
      </c>
      <c r="M4847" s="443"/>
    </row>
    <row r="4848" spans="1:13">
      <c r="A4848" s="639">
        <v>72013</v>
      </c>
      <c r="B4848" s="639">
        <v>2100</v>
      </c>
      <c r="C4848" s="638">
        <v>8307.2929999999997</v>
      </c>
      <c r="D4848" s="633">
        <f t="shared" si="154"/>
        <v>8307.2929999999997</v>
      </c>
      <c r="E4848" s="608"/>
      <c r="F4848" s="760">
        <f t="shared" si="155"/>
        <v>3504.8050883232891</v>
      </c>
      <c r="M4848" s="443"/>
    </row>
    <row r="4849" spans="1:13">
      <c r="A4849" s="639">
        <v>72013</v>
      </c>
      <c r="B4849" s="639">
        <v>2200</v>
      </c>
      <c r="C4849" s="638">
        <v>7765.2650000000003</v>
      </c>
      <c r="D4849" s="633">
        <f t="shared" si="154"/>
        <v>7765.2650000000003</v>
      </c>
      <c r="E4849" s="608"/>
      <c r="F4849" s="760">
        <f t="shared" si="155"/>
        <v>3276.1262043097249</v>
      </c>
      <c r="M4849" s="443"/>
    </row>
    <row r="4850" spans="1:13">
      <c r="A4850" s="639">
        <v>72013</v>
      </c>
      <c r="B4850" s="639">
        <v>2300</v>
      </c>
      <c r="C4850" s="638">
        <v>6884.3310000000001</v>
      </c>
      <c r="D4850" s="633">
        <f t="shared" si="154"/>
        <v>6884.3310000000001</v>
      </c>
      <c r="E4850" s="608"/>
      <c r="F4850" s="760">
        <f t="shared" si="155"/>
        <v>2904.4645853350494</v>
      </c>
      <c r="M4850" s="443"/>
    </row>
    <row r="4851" spans="1:13">
      <c r="A4851" s="639">
        <v>72013</v>
      </c>
      <c r="B4851" s="639">
        <v>2400</v>
      </c>
      <c r="C4851" s="638">
        <v>5974.8909999999996</v>
      </c>
      <c r="D4851" s="633">
        <f t="shared" si="154"/>
        <v>5974.8909999999996</v>
      </c>
      <c r="E4851" s="608"/>
      <c r="F4851" s="760">
        <f t="shared" si="155"/>
        <v>2520.7764284920518</v>
      </c>
      <c r="M4851" s="443"/>
    </row>
    <row r="4852" spans="1:13">
      <c r="A4852" s="639">
        <v>72113</v>
      </c>
      <c r="B4852" s="639">
        <v>100</v>
      </c>
      <c r="C4852" s="638">
        <v>5242.0320000000002</v>
      </c>
      <c r="D4852" s="633">
        <f t="shared" si="154"/>
        <v>5242.0320000000002</v>
      </c>
      <c r="E4852" s="608"/>
      <c r="F4852" s="760">
        <f t="shared" si="155"/>
        <v>2211.5869064391381</v>
      </c>
      <c r="M4852" s="443"/>
    </row>
    <row r="4853" spans="1:13">
      <c r="A4853" s="639">
        <v>72113</v>
      </c>
      <c r="B4853" s="639">
        <v>200</v>
      </c>
      <c r="C4853" s="638">
        <v>4809.8050000000003</v>
      </c>
      <c r="D4853" s="633">
        <f t="shared" si="154"/>
        <v>4809.8050000000003</v>
      </c>
      <c r="E4853" s="608"/>
      <c r="F4853" s="760">
        <f t="shared" si="155"/>
        <v>2029.2325114622536</v>
      </c>
      <c r="M4853" s="443"/>
    </row>
    <row r="4854" spans="1:13">
      <c r="A4854" s="639">
        <v>72113</v>
      </c>
      <c r="B4854" s="639">
        <v>300</v>
      </c>
      <c r="C4854" s="638">
        <v>4552.7610000000004</v>
      </c>
      <c r="D4854" s="633">
        <f t="shared" si="154"/>
        <v>4552.7610000000004</v>
      </c>
      <c r="E4854" s="608"/>
      <c r="F4854" s="760">
        <f t="shared" si="155"/>
        <v>1920.7869421145767</v>
      </c>
      <c r="M4854" s="443"/>
    </row>
    <row r="4855" spans="1:13">
      <c r="A4855" s="639">
        <v>72113</v>
      </c>
      <c r="B4855" s="639">
        <v>400</v>
      </c>
      <c r="C4855" s="638">
        <v>4415.7579999999998</v>
      </c>
      <c r="D4855" s="633">
        <f t="shared" si="154"/>
        <v>4415.7579999999998</v>
      </c>
      <c r="E4855" s="608"/>
      <c r="F4855" s="760">
        <f t="shared" si="155"/>
        <v>1862.9860662437536</v>
      </c>
      <c r="M4855" s="443"/>
    </row>
    <row r="4856" spans="1:13">
      <c r="A4856" s="639">
        <v>72113</v>
      </c>
      <c r="B4856" s="639">
        <v>500</v>
      </c>
      <c r="C4856" s="638">
        <v>4377.3469999999998</v>
      </c>
      <c r="D4856" s="633">
        <f t="shared" si="154"/>
        <v>4377.3469999999998</v>
      </c>
      <c r="E4856" s="608"/>
      <c r="F4856" s="760">
        <f t="shared" si="155"/>
        <v>1846.7806587484858</v>
      </c>
      <c r="M4856" s="443"/>
    </row>
    <row r="4857" spans="1:13">
      <c r="A4857" s="639">
        <v>72113</v>
      </c>
      <c r="B4857" s="639">
        <v>600</v>
      </c>
      <c r="C4857" s="638">
        <v>4426.5559999999996</v>
      </c>
      <c r="D4857" s="633">
        <f t="shared" si="154"/>
        <v>4426.5559999999996</v>
      </c>
      <c r="E4857" s="608"/>
      <c r="F4857" s="760">
        <f t="shared" si="155"/>
        <v>1867.5416880743203</v>
      </c>
      <c r="M4857" s="443"/>
    </row>
    <row r="4858" spans="1:13">
      <c r="A4858" s="639">
        <v>72113</v>
      </c>
      <c r="B4858" s="639">
        <v>700</v>
      </c>
      <c r="C4858" s="638">
        <v>4814.6139999999996</v>
      </c>
      <c r="D4858" s="633">
        <f t="shared" si="154"/>
        <v>4814.6139999999996</v>
      </c>
      <c r="E4858" s="608"/>
      <c r="F4858" s="760">
        <f t="shared" si="155"/>
        <v>2031.2614043482688</v>
      </c>
      <c r="M4858" s="443"/>
    </row>
    <row r="4859" spans="1:13">
      <c r="A4859" s="639">
        <v>72113</v>
      </c>
      <c r="B4859" s="639">
        <v>800</v>
      </c>
      <c r="C4859" s="638">
        <v>5326.69</v>
      </c>
      <c r="D4859" s="633">
        <f t="shared" si="154"/>
        <v>5326.69</v>
      </c>
      <c r="E4859" s="608"/>
      <c r="F4859" s="760">
        <f t="shared" si="155"/>
        <v>2247.3036903743227</v>
      </c>
      <c r="M4859" s="443"/>
    </row>
    <row r="4860" spans="1:13">
      <c r="A4860" s="639">
        <v>72113</v>
      </c>
      <c r="B4860" s="639">
        <v>900</v>
      </c>
      <c r="C4860" s="638">
        <v>5970.9549999999999</v>
      </c>
      <c r="D4860" s="633">
        <f t="shared" si="154"/>
        <v>5970.9549999999999</v>
      </c>
      <c r="E4860" s="608"/>
      <c r="F4860" s="760">
        <f t="shared" si="155"/>
        <v>2519.1158499103599</v>
      </c>
      <c r="M4860" s="443"/>
    </row>
    <row r="4861" spans="1:13">
      <c r="A4861" s="639">
        <v>72113</v>
      </c>
      <c r="B4861" s="639">
        <v>1000</v>
      </c>
      <c r="C4861" s="638">
        <v>6515.8289999999997</v>
      </c>
      <c r="D4861" s="633">
        <f t="shared" si="154"/>
        <v>6515.8289999999997</v>
      </c>
      <c r="E4861" s="608"/>
      <c r="F4861" s="760">
        <f t="shared" si="155"/>
        <v>2748.995446993918</v>
      </c>
      <c r="M4861" s="443"/>
    </row>
    <row r="4862" spans="1:13">
      <c r="A4862" s="639">
        <v>72113</v>
      </c>
      <c r="B4862" s="639">
        <v>1100</v>
      </c>
      <c r="C4862" s="638">
        <v>6754.1180000000004</v>
      </c>
      <c r="D4862" s="633">
        <f t="shared" si="154"/>
        <v>6754.1180000000004</v>
      </c>
      <c r="E4862" s="608"/>
      <c r="F4862" s="760">
        <f t="shared" si="155"/>
        <v>2849.5283762756312</v>
      </c>
      <c r="M4862" s="443"/>
    </row>
    <row r="4863" spans="1:13">
      <c r="A4863" s="639">
        <v>72113</v>
      </c>
      <c r="B4863" s="639">
        <v>1200</v>
      </c>
      <c r="C4863" s="638">
        <v>6858.39</v>
      </c>
      <c r="D4863" s="633">
        <f t="shared" si="154"/>
        <v>6858.39</v>
      </c>
      <c r="E4863" s="608"/>
      <c r="F4863" s="760">
        <f t="shared" si="155"/>
        <v>2893.520208051596</v>
      </c>
      <c r="M4863" s="443"/>
    </row>
    <row r="4864" spans="1:13">
      <c r="A4864" s="639">
        <v>72113</v>
      </c>
      <c r="B4864" s="639">
        <v>1300</v>
      </c>
      <c r="C4864" s="638">
        <v>7030.259</v>
      </c>
      <c r="D4864" s="633">
        <f t="shared" si="154"/>
        <v>7030.259</v>
      </c>
      <c r="E4864" s="608"/>
      <c r="F4864" s="760">
        <f t="shared" si="155"/>
        <v>2966.0308737672549</v>
      </c>
      <c r="M4864" s="443"/>
    </row>
    <row r="4865" spans="1:13">
      <c r="A4865" s="639">
        <v>72113</v>
      </c>
      <c r="B4865" s="639">
        <v>1400</v>
      </c>
      <c r="C4865" s="638">
        <v>7228.5439999999999</v>
      </c>
      <c r="D4865" s="633">
        <f t="shared" si="154"/>
        <v>7228.5439999999999</v>
      </c>
      <c r="E4865" s="608"/>
      <c r="F4865" s="760">
        <f t="shared" si="155"/>
        <v>3049.6863168746763</v>
      </c>
      <c r="M4865" s="443"/>
    </row>
    <row r="4866" spans="1:13">
      <c r="A4866" s="639">
        <v>72113</v>
      </c>
      <c r="B4866" s="639">
        <v>1500</v>
      </c>
      <c r="C4866" s="638">
        <v>7395.9</v>
      </c>
      <c r="D4866" s="633">
        <f t="shared" si="154"/>
        <v>7395.9</v>
      </c>
      <c r="E4866" s="608"/>
      <c r="F4866" s="760">
        <f t="shared" si="155"/>
        <v>3120.2929706139189</v>
      </c>
      <c r="M4866" s="443"/>
    </row>
    <row r="4867" spans="1:13">
      <c r="A4867" s="639">
        <v>72113</v>
      </c>
      <c r="B4867" s="639">
        <v>1600</v>
      </c>
      <c r="C4867" s="638">
        <v>7533.777</v>
      </c>
      <c r="D4867" s="633">
        <f t="shared" si="154"/>
        <v>7533.777</v>
      </c>
      <c r="E4867" s="608"/>
      <c r="F4867" s="760">
        <f t="shared" si="155"/>
        <v>3178.4625826840302</v>
      </c>
      <c r="M4867" s="443"/>
    </row>
    <row r="4868" spans="1:13">
      <c r="A4868" s="639">
        <v>72113</v>
      </c>
      <c r="B4868" s="639">
        <v>1700</v>
      </c>
      <c r="C4868" s="638">
        <v>7971.1530000000002</v>
      </c>
      <c r="D4868" s="633">
        <f t="shared" si="154"/>
        <v>7971.1530000000002</v>
      </c>
      <c r="E4868" s="608"/>
      <c r="F4868" s="760">
        <f t="shared" si="155"/>
        <v>3362.9893148349834</v>
      </c>
      <c r="M4868" s="443"/>
    </row>
    <row r="4869" spans="1:13">
      <c r="A4869" s="639">
        <v>72113</v>
      </c>
      <c r="B4869" s="639">
        <v>1800</v>
      </c>
      <c r="C4869" s="638">
        <v>8178.1639999999998</v>
      </c>
      <c r="D4869" s="633">
        <f t="shared" ref="D4869:D4932" si="156">C4869</f>
        <v>8178.1639999999998</v>
      </c>
      <c r="E4869" s="608"/>
      <c r="F4869" s="760">
        <f t="shared" si="155"/>
        <v>3450.32621340578</v>
      </c>
      <c r="M4869" s="443"/>
    </row>
    <row r="4870" spans="1:13">
      <c r="A4870" s="639">
        <v>72113</v>
      </c>
      <c r="B4870" s="639">
        <v>1900</v>
      </c>
      <c r="C4870" s="638">
        <v>8008.1109999999999</v>
      </c>
      <c r="D4870" s="633">
        <f t="shared" si="156"/>
        <v>8008.1109999999999</v>
      </c>
      <c r="E4870" s="608"/>
      <c r="F4870" s="760">
        <f t="shared" si="155"/>
        <v>3378.5817089463085</v>
      </c>
      <c r="M4870" s="443"/>
    </row>
    <row r="4871" spans="1:13">
      <c r="A4871" s="639">
        <v>72113</v>
      </c>
      <c r="B4871" s="639">
        <v>2000</v>
      </c>
      <c r="C4871" s="638">
        <v>7646.1859999999997</v>
      </c>
      <c r="D4871" s="633">
        <f t="shared" si="156"/>
        <v>7646.1859999999997</v>
      </c>
      <c r="E4871" s="608"/>
      <c r="F4871" s="760">
        <f t="shared" si="155"/>
        <v>3225.8873737890663</v>
      </c>
      <c r="M4871" s="443"/>
    </row>
    <row r="4872" spans="1:13">
      <c r="A4872" s="639">
        <v>72113</v>
      </c>
      <c r="B4872" s="639">
        <v>2100</v>
      </c>
      <c r="C4872" s="638">
        <v>7716.2910000000002</v>
      </c>
      <c r="D4872" s="633">
        <f t="shared" si="156"/>
        <v>7716.2910000000002</v>
      </c>
      <c r="E4872" s="608"/>
      <c r="F4872" s="760">
        <f t="shared" si="155"/>
        <v>3255.4643203006322</v>
      </c>
      <c r="M4872" s="443"/>
    </row>
    <row r="4873" spans="1:13">
      <c r="A4873" s="639">
        <v>72113</v>
      </c>
      <c r="B4873" s="639">
        <v>2200</v>
      </c>
      <c r="C4873" s="638">
        <v>6985.5969999999998</v>
      </c>
      <c r="D4873" s="633">
        <f t="shared" si="156"/>
        <v>6985.5969999999998</v>
      </c>
      <c r="E4873" s="608"/>
      <c r="F4873" s="760">
        <f t="shared" si="155"/>
        <v>2947.1882008466423</v>
      </c>
      <c r="M4873" s="443"/>
    </row>
    <row r="4874" spans="1:13">
      <c r="A4874" s="639">
        <v>72113</v>
      </c>
      <c r="B4874" s="639">
        <v>2300</v>
      </c>
      <c r="C4874" s="638">
        <v>5889.6679999999997</v>
      </c>
      <c r="D4874" s="633">
        <f t="shared" si="156"/>
        <v>5889.6679999999997</v>
      </c>
      <c r="E4874" s="608"/>
      <c r="F4874" s="760">
        <f t="shared" si="155"/>
        <v>2484.8212739017208</v>
      </c>
      <c r="M4874" s="443"/>
    </row>
    <row r="4875" spans="1:13">
      <c r="A4875" s="639">
        <v>72113</v>
      </c>
      <c r="B4875" s="639">
        <v>2400</v>
      </c>
      <c r="C4875" s="638">
        <v>5049.9669999999996</v>
      </c>
      <c r="D4875" s="633">
        <f t="shared" si="156"/>
        <v>5049.9669999999996</v>
      </c>
      <c r="E4875" s="608"/>
      <c r="F4875" s="760">
        <f t="shared" si="155"/>
        <v>2130.5556500131502</v>
      </c>
      <c r="M4875" s="443"/>
    </row>
    <row r="4876" spans="1:13">
      <c r="A4876" s="639">
        <v>72213</v>
      </c>
      <c r="B4876" s="639">
        <v>100</v>
      </c>
      <c r="C4876" s="638">
        <v>4614.2979999999998</v>
      </c>
      <c r="D4876" s="633">
        <f t="shared" si="156"/>
        <v>4614.2979999999998</v>
      </c>
      <c r="E4876" s="608"/>
      <c r="F4876" s="760">
        <f t="shared" si="155"/>
        <v>1946.7490925672148</v>
      </c>
      <c r="M4876" s="443"/>
    </row>
    <row r="4877" spans="1:13">
      <c r="A4877" s="639">
        <v>72213</v>
      </c>
      <c r="B4877" s="639">
        <v>200</v>
      </c>
      <c r="C4877" s="638">
        <v>4406.7529999999997</v>
      </c>
      <c r="D4877" s="633">
        <f t="shared" si="156"/>
        <v>4406.7529999999997</v>
      </c>
      <c r="E4877" s="608"/>
      <c r="F4877" s="760">
        <f t="shared" si="155"/>
        <v>1859.1869020851821</v>
      </c>
      <c r="M4877" s="443"/>
    </row>
    <row r="4878" spans="1:13">
      <c r="A4878" s="639">
        <v>72213</v>
      </c>
      <c r="B4878" s="639">
        <v>300</v>
      </c>
      <c r="C4878" s="638">
        <v>4264.1660000000002</v>
      </c>
      <c r="D4878" s="633">
        <f t="shared" si="156"/>
        <v>4264.1660000000002</v>
      </c>
      <c r="E4878" s="608"/>
      <c r="F4878" s="760">
        <f t="shared" si="155"/>
        <v>1799.0301647305766</v>
      </c>
      <c r="M4878" s="443"/>
    </row>
    <row r="4879" spans="1:13">
      <c r="A4879" s="639">
        <v>72213</v>
      </c>
      <c r="B4879" s="639">
        <v>400</v>
      </c>
      <c r="C4879" s="638">
        <v>4255.4520000000002</v>
      </c>
      <c r="D4879" s="633">
        <f t="shared" si="156"/>
        <v>4255.4520000000002</v>
      </c>
      <c r="E4879" s="608"/>
      <c r="F4879" s="760">
        <f t="shared" si="155"/>
        <v>1795.35377200678</v>
      </c>
      <c r="M4879" s="443"/>
    </row>
    <row r="4880" spans="1:13">
      <c r="A4880" s="639">
        <v>72213</v>
      </c>
      <c r="B4880" s="639">
        <v>500</v>
      </c>
      <c r="C4880" s="638">
        <v>4386.7309999999998</v>
      </c>
      <c r="D4880" s="633">
        <f t="shared" si="156"/>
        <v>4386.7309999999998</v>
      </c>
      <c r="E4880" s="608"/>
      <c r="F4880" s="760">
        <f t="shared" si="155"/>
        <v>1850.7397210987394</v>
      </c>
      <c r="M4880" s="443"/>
    </row>
    <row r="4881" spans="1:13">
      <c r="A4881" s="639">
        <v>72213</v>
      </c>
      <c r="B4881" s="639">
        <v>600</v>
      </c>
      <c r="C4881" s="638">
        <v>4736.7049999999999</v>
      </c>
      <c r="D4881" s="633">
        <f t="shared" si="156"/>
        <v>4736.7049999999999</v>
      </c>
      <c r="E4881" s="608"/>
      <c r="F4881" s="760">
        <f t="shared" si="155"/>
        <v>1998.3919895309295</v>
      </c>
      <c r="M4881" s="443"/>
    </row>
    <row r="4882" spans="1:13">
      <c r="A4882" s="639">
        <v>72213</v>
      </c>
      <c r="B4882" s="639">
        <v>700</v>
      </c>
      <c r="C4882" s="638">
        <v>5242.3069999999998</v>
      </c>
      <c r="D4882" s="633">
        <f t="shared" si="156"/>
        <v>5242.3069999999998</v>
      </c>
      <c r="E4882" s="608"/>
      <c r="F4882" s="760">
        <f t="shared" si="155"/>
        <v>2211.7029275544751</v>
      </c>
      <c r="M4882" s="443"/>
    </row>
    <row r="4883" spans="1:13">
      <c r="A4883" s="639">
        <v>72213</v>
      </c>
      <c r="B4883" s="639">
        <v>800</v>
      </c>
      <c r="C4883" s="638">
        <v>5433.5940000000001</v>
      </c>
      <c r="D4883" s="633">
        <f t="shared" si="156"/>
        <v>5433.5940000000001</v>
      </c>
      <c r="E4883" s="608"/>
      <c r="F4883" s="760">
        <f t="shared" si="155"/>
        <v>2292.4059496978011</v>
      </c>
      <c r="M4883" s="443"/>
    </row>
    <row r="4884" spans="1:13">
      <c r="A4884" s="639">
        <v>72213</v>
      </c>
      <c r="B4884" s="639">
        <v>900</v>
      </c>
      <c r="C4884" s="638">
        <v>5524.1369999999997</v>
      </c>
      <c r="D4884" s="633">
        <f t="shared" si="156"/>
        <v>5524.1369999999997</v>
      </c>
      <c r="E4884" s="608"/>
      <c r="F4884" s="760">
        <f t="shared" ref="F4884:F4947" si="157">(D4884/(MAX($D$4372:$D$5115)))*$M$10</f>
        <v>2330.6055855011914</v>
      </c>
      <c r="M4884" s="443"/>
    </row>
    <row r="4885" spans="1:13">
      <c r="A4885" s="639">
        <v>72213</v>
      </c>
      <c r="B4885" s="639">
        <v>1000</v>
      </c>
      <c r="C4885" s="638">
        <v>5600.835</v>
      </c>
      <c r="D4885" s="633">
        <f t="shared" si="156"/>
        <v>5600.835</v>
      </c>
      <c r="E4885" s="608"/>
      <c r="F4885" s="760">
        <f t="shared" si="157"/>
        <v>2362.9640855160842</v>
      </c>
      <c r="M4885" s="443"/>
    </row>
    <row r="4886" spans="1:13">
      <c r="A4886" s="639">
        <v>72213</v>
      </c>
      <c r="B4886" s="639">
        <v>1100</v>
      </c>
      <c r="C4886" s="638">
        <v>5833.4989999999998</v>
      </c>
      <c r="D4886" s="633">
        <f t="shared" si="156"/>
        <v>5833.4989999999998</v>
      </c>
      <c r="E4886" s="608"/>
      <c r="F4886" s="760">
        <f t="shared" si="157"/>
        <v>2461.1238556204553</v>
      </c>
      <c r="M4886" s="443"/>
    </row>
    <row r="4887" spans="1:13">
      <c r="A4887" s="639">
        <v>72213</v>
      </c>
      <c r="B4887" s="639">
        <v>1200</v>
      </c>
      <c r="C4887" s="638">
        <v>5988.0829999999996</v>
      </c>
      <c r="D4887" s="633">
        <f t="shared" si="156"/>
        <v>5988.0829999999996</v>
      </c>
      <c r="E4887" s="608"/>
      <c r="F4887" s="760">
        <f t="shared" si="157"/>
        <v>2526.3420668684953</v>
      </c>
      <c r="M4887" s="443"/>
    </row>
    <row r="4888" spans="1:13">
      <c r="A4888" s="639">
        <v>72213</v>
      </c>
      <c r="B4888" s="639">
        <v>1300</v>
      </c>
      <c r="C4888" s="638">
        <v>6237.6570000000002</v>
      </c>
      <c r="D4888" s="633">
        <f t="shared" si="156"/>
        <v>6237.6570000000002</v>
      </c>
      <c r="E4888" s="608"/>
      <c r="F4888" s="760">
        <f t="shared" si="157"/>
        <v>2631.6360808286627</v>
      </c>
      <c r="M4888" s="443"/>
    </row>
    <row r="4889" spans="1:13">
      <c r="A4889" s="639">
        <v>72213</v>
      </c>
      <c r="B4889" s="639">
        <v>1400</v>
      </c>
      <c r="C4889" s="638">
        <v>6434.38</v>
      </c>
      <c r="D4889" s="633">
        <f t="shared" si="156"/>
        <v>6434.38</v>
      </c>
      <c r="E4889" s="608"/>
      <c r="F4889" s="760">
        <f t="shared" si="157"/>
        <v>2714.6325240009714</v>
      </c>
      <c r="M4889" s="443"/>
    </row>
    <row r="4890" spans="1:13">
      <c r="A4890" s="639">
        <v>72213</v>
      </c>
      <c r="B4890" s="639">
        <v>1500</v>
      </c>
      <c r="C4890" s="638">
        <v>6628.3130000000001</v>
      </c>
      <c r="D4890" s="633">
        <f t="shared" si="156"/>
        <v>6628.3130000000001</v>
      </c>
      <c r="E4890" s="608"/>
      <c r="F4890" s="760">
        <f t="shared" si="157"/>
        <v>2796.4518802213197</v>
      </c>
      <c r="M4890" s="443"/>
    </row>
    <row r="4891" spans="1:13">
      <c r="A4891" s="639">
        <v>72213</v>
      </c>
      <c r="B4891" s="639">
        <v>1600</v>
      </c>
      <c r="C4891" s="638">
        <v>6872.4459999999999</v>
      </c>
      <c r="D4891" s="633">
        <f t="shared" si="156"/>
        <v>6872.4459999999999</v>
      </c>
      <c r="E4891" s="608"/>
      <c r="F4891" s="760">
        <f t="shared" si="157"/>
        <v>2899.4503636776785</v>
      </c>
      <c r="M4891" s="443"/>
    </row>
    <row r="4892" spans="1:13">
      <c r="A4892" s="639">
        <v>72213</v>
      </c>
      <c r="B4892" s="639">
        <v>1700</v>
      </c>
      <c r="C4892" s="638">
        <v>7324.7879999999996</v>
      </c>
      <c r="D4892" s="633">
        <f t="shared" si="156"/>
        <v>7324.7879999999996</v>
      </c>
      <c r="E4892" s="608"/>
      <c r="F4892" s="760">
        <f t="shared" si="157"/>
        <v>3090.2911758727382</v>
      </c>
      <c r="M4892" s="443"/>
    </row>
    <row r="4893" spans="1:13">
      <c r="A4893" s="639">
        <v>72213</v>
      </c>
      <c r="B4893" s="639">
        <v>1800</v>
      </c>
      <c r="C4893" s="638">
        <v>7354.9759999999997</v>
      </c>
      <c r="D4893" s="633">
        <f t="shared" si="156"/>
        <v>7354.9759999999997</v>
      </c>
      <c r="E4893" s="608"/>
      <c r="F4893" s="760">
        <f t="shared" si="157"/>
        <v>3103.027341071956</v>
      </c>
      <c r="M4893" s="443"/>
    </row>
    <row r="4894" spans="1:13">
      <c r="A4894" s="639">
        <v>72213</v>
      </c>
      <c r="B4894" s="639">
        <v>1900</v>
      </c>
      <c r="C4894" s="638">
        <v>7373.3410000000003</v>
      </c>
      <c r="D4894" s="633">
        <f t="shared" si="156"/>
        <v>7373.3410000000003</v>
      </c>
      <c r="E4894" s="608"/>
      <c r="F4894" s="760">
        <f t="shared" si="157"/>
        <v>3110.7754421016248</v>
      </c>
      <c r="M4894" s="443"/>
    </row>
    <row r="4895" spans="1:13">
      <c r="A4895" s="639">
        <v>72213</v>
      </c>
      <c r="B4895" s="639">
        <v>2000</v>
      </c>
      <c r="C4895" s="638">
        <v>7227.6120000000001</v>
      </c>
      <c r="D4895" s="633">
        <f t="shared" si="156"/>
        <v>7227.6120000000001</v>
      </c>
      <c r="E4895" s="608"/>
      <c r="F4895" s="760">
        <f t="shared" si="157"/>
        <v>3049.2931107674267</v>
      </c>
      <c r="M4895" s="443"/>
    </row>
    <row r="4896" spans="1:13">
      <c r="A4896" s="639">
        <v>72213</v>
      </c>
      <c r="B4896" s="639">
        <v>2100</v>
      </c>
      <c r="C4896" s="638">
        <v>7520.7839999999997</v>
      </c>
      <c r="D4896" s="633">
        <f t="shared" si="156"/>
        <v>7520.7839999999997</v>
      </c>
      <c r="E4896" s="608"/>
      <c r="F4896" s="760">
        <f t="shared" si="157"/>
        <v>3172.9809014055936</v>
      </c>
      <c r="M4896" s="443"/>
    </row>
    <row r="4897" spans="1:13">
      <c r="A4897" s="639">
        <v>72213</v>
      </c>
      <c r="B4897" s="639">
        <v>2200</v>
      </c>
      <c r="C4897" s="638">
        <v>6925.2030000000004</v>
      </c>
      <c r="D4897" s="633">
        <f t="shared" si="156"/>
        <v>6925.2030000000004</v>
      </c>
      <c r="E4897" s="608"/>
      <c r="F4897" s="760">
        <f t="shared" si="157"/>
        <v>2921.7082763388398</v>
      </c>
      <c r="M4897" s="443"/>
    </row>
    <row r="4898" spans="1:13">
      <c r="A4898" s="639">
        <v>72213</v>
      </c>
      <c r="B4898" s="639">
        <v>2300</v>
      </c>
      <c r="C4898" s="638">
        <v>5775.393</v>
      </c>
      <c r="D4898" s="633">
        <f t="shared" si="156"/>
        <v>5775.393</v>
      </c>
      <c r="E4898" s="608"/>
      <c r="F4898" s="760">
        <f t="shared" si="157"/>
        <v>2436.6092267922545</v>
      </c>
      <c r="M4898" s="443"/>
    </row>
    <row r="4899" spans="1:13">
      <c r="A4899" s="639">
        <v>72213</v>
      </c>
      <c r="B4899" s="639">
        <v>2400</v>
      </c>
      <c r="C4899" s="638">
        <v>4903.3990000000003</v>
      </c>
      <c r="D4899" s="633">
        <f t="shared" si="156"/>
        <v>4903.3990000000003</v>
      </c>
      <c r="E4899" s="608"/>
      <c r="F4899" s="760">
        <f t="shared" si="157"/>
        <v>2068.7193488034345</v>
      </c>
      <c r="M4899" s="443"/>
    </row>
    <row r="4900" spans="1:13">
      <c r="A4900" s="639">
        <v>72313</v>
      </c>
      <c r="B4900" s="639">
        <v>100</v>
      </c>
      <c r="C4900" s="638">
        <v>4507.308</v>
      </c>
      <c r="D4900" s="633">
        <f t="shared" si="156"/>
        <v>4507.308</v>
      </c>
      <c r="E4900" s="608"/>
      <c r="F4900" s="760">
        <f t="shared" si="157"/>
        <v>1901.6105502767591</v>
      </c>
      <c r="M4900" s="443"/>
    </row>
    <row r="4901" spans="1:13">
      <c r="A4901" s="639">
        <v>72313</v>
      </c>
      <c r="B4901" s="639">
        <v>200</v>
      </c>
      <c r="C4901" s="638">
        <v>4277.3500000000004</v>
      </c>
      <c r="D4901" s="633">
        <f t="shared" si="156"/>
        <v>4277.3500000000004</v>
      </c>
      <c r="E4901" s="608"/>
      <c r="F4901" s="760">
        <f t="shared" si="157"/>
        <v>1804.5924279473015</v>
      </c>
      <c r="M4901" s="443"/>
    </row>
    <row r="4902" spans="1:13">
      <c r="A4902" s="639">
        <v>72313</v>
      </c>
      <c r="B4902" s="639">
        <v>300</v>
      </c>
      <c r="C4902" s="638">
        <v>4141.55</v>
      </c>
      <c r="D4902" s="633">
        <f t="shared" si="156"/>
        <v>4141.55</v>
      </c>
      <c r="E4902" s="608"/>
      <c r="F4902" s="760">
        <f t="shared" si="157"/>
        <v>1747.299091719206</v>
      </c>
      <c r="M4902" s="443"/>
    </row>
    <row r="4903" spans="1:13">
      <c r="A4903" s="639">
        <v>72313</v>
      </c>
      <c r="B4903" s="639">
        <v>400</v>
      </c>
      <c r="C4903" s="638">
        <v>4153.1049999999996</v>
      </c>
      <c r="D4903" s="633">
        <f t="shared" si="156"/>
        <v>4153.1049999999996</v>
      </c>
      <c r="E4903" s="608"/>
      <c r="F4903" s="760">
        <f t="shared" si="157"/>
        <v>1752.1740880381722</v>
      </c>
      <c r="M4903" s="443"/>
    </row>
    <row r="4904" spans="1:13">
      <c r="A4904" s="639">
        <v>72313</v>
      </c>
      <c r="B4904" s="639">
        <v>500</v>
      </c>
      <c r="C4904" s="638">
        <v>4377.4350000000004</v>
      </c>
      <c r="D4904" s="633">
        <f t="shared" si="156"/>
        <v>4377.4350000000004</v>
      </c>
      <c r="E4904" s="608"/>
      <c r="F4904" s="760">
        <f t="shared" si="157"/>
        <v>1846.8177855053939</v>
      </c>
      <c r="M4904" s="443"/>
    </row>
    <row r="4905" spans="1:13">
      <c r="A4905" s="639">
        <v>72313</v>
      </c>
      <c r="B4905" s="639">
        <v>600</v>
      </c>
      <c r="C4905" s="638">
        <v>4795.8689999999997</v>
      </c>
      <c r="D4905" s="633">
        <f t="shared" si="156"/>
        <v>4795.8689999999997</v>
      </c>
      <c r="E4905" s="608"/>
      <c r="F4905" s="760">
        <f t="shared" si="157"/>
        <v>2023.3529832319532</v>
      </c>
      <c r="M4905" s="443"/>
    </row>
    <row r="4906" spans="1:13">
      <c r="A4906" s="639">
        <v>72313</v>
      </c>
      <c r="B4906" s="639">
        <v>700</v>
      </c>
      <c r="C4906" s="638">
        <v>5369.38</v>
      </c>
      <c r="D4906" s="633">
        <f t="shared" si="156"/>
        <v>5369.38</v>
      </c>
      <c r="E4906" s="608"/>
      <c r="F4906" s="760">
        <f t="shared" si="157"/>
        <v>2265.3143864242302</v>
      </c>
      <c r="M4906" s="443"/>
    </row>
    <row r="4907" spans="1:13">
      <c r="A4907" s="639">
        <v>72313</v>
      </c>
      <c r="B4907" s="639">
        <v>800</v>
      </c>
      <c r="C4907" s="638">
        <v>5773.7219999999998</v>
      </c>
      <c r="D4907" s="633">
        <f t="shared" si="156"/>
        <v>5773.7219999999998</v>
      </c>
      <c r="E4907" s="608"/>
      <c r="F4907" s="760">
        <f t="shared" si="157"/>
        <v>2435.9042403059721</v>
      </c>
      <c r="M4907" s="443"/>
    </row>
    <row r="4908" spans="1:13">
      <c r="A4908" s="639">
        <v>72313</v>
      </c>
      <c r="B4908" s="639">
        <v>900</v>
      </c>
      <c r="C4908" s="638">
        <v>6114.4189999999999</v>
      </c>
      <c r="D4908" s="633">
        <f t="shared" si="156"/>
        <v>6114.4189999999999</v>
      </c>
      <c r="E4908" s="608"/>
      <c r="F4908" s="760">
        <f t="shared" si="157"/>
        <v>2579.6425891491485</v>
      </c>
      <c r="M4908" s="443"/>
    </row>
    <row r="4909" spans="1:13">
      <c r="A4909" s="639">
        <v>72313</v>
      </c>
      <c r="B4909" s="639">
        <v>1000</v>
      </c>
      <c r="C4909" s="638">
        <v>6406.37</v>
      </c>
      <c r="D4909" s="633">
        <f t="shared" si="156"/>
        <v>6406.37</v>
      </c>
      <c r="E4909" s="608"/>
      <c r="F4909" s="760">
        <f t="shared" si="157"/>
        <v>2702.8152460352212</v>
      </c>
      <c r="M4909" s="443"/>
    </row>
    <row r="4910" spans="1:13">
      <c r="A4910" s="639">
        <v>72313</v>
      </c>
      <c r="B4910" s="639">
        <v>1100</v>
      </c>
      <c r="C4910" s="638">
        <v>6775.8069999999998</v>
      </c>
      <c r="D4910" s="633">
        <f t="shared" si="156"/>
        <v>6775.8069999999998</v>
      </c>
      <c r="E4910" s="608"/>
      <c r="F4910" s="760">
        <f t="shared" si="157"/>
        <v>2858.6788561684966</v>
      </c>
      <c r="M4910" s="443"/>
    </row>
    <row r="4911" spans="1:13">
      <c r="A4911" s="639">
        <v>72313</v>
      </c>
      <c r="B4911" s="639">
        <v>1200</v>
      </c>
      <c r="C4911" s="638">
        <v>7061.1090000000004</v>
      </c>
      <c r="D4911" s="633">
        <f t="shared" si="156"/>
        <v>7061.1090000000004</v>
      </c>
      <c r="E4911" s="608"/>
      <c r="F4911" s="760">
        <f t="shared" si="157"/>
        <v>2979.0463334332103</v>
      </c>
      <c r="M4911" s="443"/>
    </row>
    <row r="4912" spans="1:13">
      <c r="A4912" s="639">
        <v>72313</v>
      </c>
      <c r="B4912" s="639">
        <v>1300</v>
      </c>
      <c r="C4912" s="638">
        <v>7320.5469999999996</v>
      </c>
      <c r="D4912" s="633">
        <f t="shared" si="156"/>
        <v>7320.5469999999996</v>
      </c>
      <c r="E4912" s="608"/>
      <c r="F4912" s="760">
        <f t="shared" si="157"/>
        <v>3088.501919326764</v>
      </c>
      <c r="M4912" s="443"/>
    </row>
    <row r="4913" spans="1:13">
      <c r="A4913" s="639">
        <v>72313</v>
      </c>
      <c r="B4913" s="639">
        <v>1400</v>
      </c>
      <c r="C4913" s="638">
        <v>7098.0439999999999</v>
      </c>
      <c r="D4913" s="633">
        <f t="shared" si="156"/>
        <v>7098.0439999999999</v>
      </c>
      <c r="E4913" s="608"/>
      <c r="F4913" s="760">
        <f t="shared" si="157"/>
        <v>2994.6290239603436</v>
      </c>
      <c r="M4913" s="443"/>
    </row>
    <row r="4914" spans="1:13">
      <c r="A4914" s="639">
        <v>72313</v>
      </c>
      <c r="B4914" s="639">
        <v>1500</v>
      </c>
      <c r="C4914" s="638">
        <v>7267.3860000000004</v>
      </c>
      <c r="D4914" s="633">
        <f t="shared" si="156"/>
        <v>7267.3860000000004</v>
      </c>
      <c r="E4914" s="608"/>
      <c r="F4914" s="760">
        <f t="shared" si="157"/>
        <v>3066.0735610997995</v>
      </c>
      <c r="M4914" s="443"/>
    </row>
    <row r="4915" spans="1:13">
      <c r="A4915" s="639">
        <v>72313</v>
      </c>
      <c r="B4915" s="639">
        <v>1600</v>
      </c>
      <c r="C4915" s="638">
        <v>7648.8289999999997</v>
      </c>
      <c r="D4915" s="633">
        <f t="shared" si="156"/>
        <v>7648.8289999999997</v>
      </c>
      <c r="E4915" s="608"/>
      <c r="F4915" s="760">
        <f t="shared" si="157"/>
        <v>3227.0024421811936</v>
      </c>
      <c r="M4915" s="443"/>
    </row>
    <row r="4916" spans="1:13">
      <c r="A4916" s="639">
        <v>72313</v>
      </c>
      <c r="B4916" s="639">
        <v>1700</v>
      </c>
      <c r="C4916" s="638">
        <v>7865.433</v>
      </c>
      <c r="D4916" s="633">
        <f t="shared" si="156"/>
        <v>7865.433</v>
      </c>
      <c r="E4916" s="608"/>
      <c r="F4916" s="760">
        <f t="shared" si="157"/>
        <v>3318.3865791499006</v>
      </c>
      <c r="M4916" s="443"/>
    </row>
    <row r="4917" spans="1:13">
      <c r="A4917" s="639">
        <v>72313</v>
      </c>
      <c r="B4917" s="639">
        <v>1800</v>
      </c>
      <c r="C4917" s="638">
        <v>7534.0159999999996</v>
      </c>
      <c r="D4917" s="633">
        <f t="shared" si="156"/>
        <v>7534.0159999999996</v>
      </c>
      <c r="E4917" s="608"/>
      <c r="F4917" s="760">
        <f t="shared" si="157"/>
        <v>3178.563415580632</v>
      </c>
      <c r="M4917" s="443"/>
    </row>
    <row r="4918" spans="1:13">
      <c r="A4918" s="639">
        <v>72313</v>
      </c>
      <c r="B4918" s="639">
        <v>1900</v>
      </c>
      <c r="C4918" s="638">
        <v>7155.0889999999999</v>
      </c>
      <c r="D4918" s="633">
        <f t="shared" si="156"/>
        <v>7155.0889999999999</v>
      </c>
      <c r="E4918" s="608"/>
      <c r="F4918" s="760">
        <f t="shared" si="157"/>
        <v>3018.6960222308271</v>
      </c>
      <c r="M4918" s="443"/>
    </row>
    <row r="4919" spans="1:13">
      <c r="A4919" s="639">
        <v>72313</v>
      </c>
      <c r="B4919" s="639">
        <v>2000</v>
      </c>
      <c r="C4919" s="638">
        <v>6900.8280000000004</v>
      </c>
      <c r="D4919" s="633">
        <f t="shared" si="156"/>
        <v>6900.8280000000004</v>
      </c>
      <c r="E4919" s="608"/>
      <c r="F4919" s="760">
        <f t="shared" si="157"/>
        <v>2911.4245865703579</v>
      </c>
      <c r="M4919" s="443"/>
    </row>
    <row r="4920" spans="1:13">
      <c r="A4920" s="639">
        <v>72313</v>
      </c>
      <c r="B4920" s="639">
        <v>2100</v>
      </c>
      <c r="C4920" s="638">
        <v>7020.9089999999997</v>
      </c>
      <c r="D4920" s="633">
        <f t="shared" si="156"/>
        <v>7020.9089999999997</v>
      </c>
      <c r="E4920" s="608"/>
      <c r="F4920" s="760">
        <f t="shared" si="157"/>
        <v>2962.0861558458059</v>
      </c>
      <c r="M4920" s="443"/>
    </row>
    <row r="4921" spans="1:13">
      <c r="A4921" s="639">
        <v>72313</v>
      </c>
      <c r="B4921" s="639">
        <v>2200</v>
      </c>
      <c r="C4921" s="638">
        <v>6556.2610000000004</v>
      </c>
      <c r="D4921" s="633">
        <f t="shared" si="156"/>
        <v>6556.2610000000004</v>
      </c>
      <c r="E4921" s="608"/>
      <c r="F4921" s="760">
        <f t="shared" si="157"/>
        <v>2766.0535042131701</v>
      </c>
      <c r="M4921" s="443"/>
    </row>
    <row r="4922" spans="1:13">
      <c r="A4922" s="639">
        <v>72313</v>
      </c>
      <c r="B4922" s="639">
        <v>2300</v>
      </c>
      <c r="C4922" s="638">
        <v>5603.8869999999997</v>
      </c>
      <c r="D4922" s="633">
        <f t="shared" si="156"/>
        <v>5603.8869999999997</v>
      </c>
      <c r="E4922" s="608"/>
      <c r="F4922" s="760">
        <f t="shared" si="157"/>
        <v>2364.2517089488392</v>
      </c>
      <c r="M4922" s="443"/>
    </row>
    <row r="4923" spans="1:13">
      <c r="A4923" s="639">
        <v>72313</v>
      </c>
      <c r="B4923" s="639">
        <v>2400</v>
      </c>
      <c r="C4923" s="638">
        <v>4896.4399999999996</v>
      </c>
      <c r="D4923" s="633">
        <f t="shared" si="156"/>
        <v>4896.4399999999996</v>
      </c>
      <c r="E4923" s="608"/>
      <c r="F4923" s="760">
        <f t="shared" si="157"/>
        <v>2065.7833817429678</v>
      </c>
      <c r="M4923" s="443"/>
    </row>
    <row r="4924" spans="1:13">
      <c r="A4924" s="639">
        <v>72413</v>
      </c>
      <c r="B4924" s="639">
        <v>100</v>
      </c>
      <c r="C4924" s="638">
        <v>4446.8819999999996</v>
      </c>
      <c r="D4924" s="633">
        <f t="shared" si="156"/>
        <v>4446.8819999999996</v>
      </c>
      <c r="E4924" s="608"/>
      <c r="F4924" s="760">
        <f t="shared" si="157"/>
        <v>1876.1171251300807</v>
      </c>
      <c r="M4924" s="443"/>
    </row>
    <row r="4925" spans="1:13">
      <c r="A4925" s="639">
        <v>72413</v>
      </c>
      <c r="B4925" s="639">
        <v>200</v>
      </c>
      <c r="C4925" s="638">
        <v>4217.2969999999996</v>
      </c>
      <c r="D4925" s="633">
        <f t="shared" si="156"/>
        <v>4217.2969999999996</v>
      </c>
      <c r="E4925" s="608"/>
      <c r="F4925" s="760">
        <f t="shared" si="157"/>
        <v>1779.2563696225161</v>
      </c>
      <c r="M4925" s="443"/>
    </row>
    <row r="4926" spans="1:13">
      <c r="A4926" s="639">
        <v>72413</v>
      </c>
      <c r="B4926" s="639">
        <v>300</v>
      </c>
      <c r="C4926" s="638">
        <v>4109.0929999999998</v>
      </c>
      <c r="D4926" s="633">
        <f t="shared" si="156"/>
        <v>4109.0929999999998</v>
      </c>
      <c r="E4926" s="608"/>
      <c r="F4926" s="760">
        <f t="shared" si="157"/>
        <v>1733.6056468447196</v>
      </c>
      <c r="M4926" s="443"/>
    </row>
    <row r="4927" spans="1:13">
      <c r="A4927" s="639">
        <v>72413</v>
      </c>
      <c r="B4927" s="639">
        <v>400</v>
      </c>
      <c r="C4927" s="638">
        <v>4147.12</v>
      </c>
      <c r="D4927" s="633">
        <f t="shared" si="156"/>
        <v>4147.12</v>
      </c>
      <c r="E4927" s="608"/>
      <c r="F4927" s="760">
        <f t="shared" si="157"/>
        <v>1749.6490466734806</v>
      </c>
      <c r="M4927" s="443"/>
    </row>
    <row r="4928" spans="1:13">
      <c r="A4928" s="639">
        <v>72413</v>
      </c>
      <c r="B4928" s="639">
        <v>500</v>
      </c>
      <c r="C4928" s="638">
        <v>4350.5150000000003</v>
      </c>
      <c r="D4928" s="633">
        <f t="shared" si="156"/>
        <v>4350.5150000000003</v>
      </c>
      <c r="E4928" s="608"/>
      <c r="F4928" s="760">
        <f t="shared" si="157"/>
        <v>1835.4603730513413</v>
      </c>
      <c r="M4928" s="443"/>
    </row>
    <row r="4929" spans="1:13">
      <c r="A4929" s="639">
        <v>72413</v>
      </c>
      <c r="B4929" s="639">
        <v>600</v>
      </c>
      <c r="C4929" s="638">
        <v>4824.4859999999999</v>
      </c>
      <c r="D4929" s="633">
        <f t="shared" si="156"/>
        <v>4824.4859999999999</v>
      </c>
      <c r="E4929" s="608"/>
      <c r="F4929" s="760">
        <f t="shared" si="157"/>
        <v>2035.4263514413749</v>
      </c>
      <c r="M4929" s="443"/>
    </row>
    <row r="4930" spans="1:13">
      <c r="A4930" s="639">
        <v>72413</v>
      </c>
      <c r="B4930" s="639">
        <v>700</v>
      </c>
      <c r="C4930" s="638">
        <v>5229.9759999999997</v>
      </c>
      <c r="D4930" s="633">
        <f t="shared" si="156"/>
        <v>5229.9759999999997</v>
      </c>
      <c r="E4930" s="608"/>
      <c r="F4930" s="760">
        <f t="shared" si="157"/>
        <v>2206.5005407427766</v>
      </c>
      <c r="M4930" s="443"/>
    </row>
    <row r="4931" spans="1:13">
      <c r="A4931" s="639">
        <v>72413</v>
      </c>
      <c r="B4931" s="639">
        <v>800</v>
      </c>
      <c r="C4931" s="638">
        <v>5400.9979999999996</v>
      </c>
      <c r="D4931" s="633">
        <f t="shared" si="156"/>
        <v>5400.9979999999996</v>
      </c>
      <c r="E4931" s="608"/>
      <c r="F4931" s="760">
        <f t="shared" si="157"/>
        <v>2278.6538614231986</v>
      </c>
      <c r="M4931" s="443"/>
    </row>
    <row r="4932" spans="1:13">
      <c r="A4932" s="639">
        <v>72413</v>
      </c>
      <c r="B4932" s="639">
        <v>900</v>
      </c>
      <c r="C4932" s="638">
        <v>5385.1880000000001</v>
      </c>
      <c r="D4932" s="633">
        <f t="shared" si="156"/>
        <v>5385.1880000000001</v>
      </c>
      <c r="E4932" s="608"/>
      <c r="F4932" s="760">
        <f t="shared" si="157"/>
        <v>2271.9837020287496</v>
      </c>
      <c r="M4932" s="443"/>
    </row>
    <row r="4933" spans="1:13">
      <c r="A4933" s="639">
        <v>72413</v>
      </c>
      <c r="B4933" s="639">
        <v>1000</v>
      </c>
      <c r="C4933" s="638">
        <v>5296.6189999999997</v>
      </c>
      <c r="D4933" s="633">
        <f t="shared" ref="D4933:D4996" si="158">C4933</f>
        <v>5296.6189999999997</v>
      </c>
      <c r="E4933" s="608"/>
      <c r="F4933" s="760">
        <f t="shared" si="157"/>
        <v>2234.6168868859941</v>
      </c>
      <c r="M4933" s="443"/>
    </row>
    <row r="4934" spans="1:13">
      <c r="A4934" s="639">
        <v>72413</v>
      </c>
      <c r="B4934" s="639">
        <v>1100</v>
      </c>
      <c r="C4934" s="638">
        <v>5282.5649999999996</v>
      </c>
      <c r="D4934" s="633">
        <f t="shared" si="158"/>
        <v>5282.5649999999996</v>
      </c>
      <c r="E4934" s="608"/>
      <c r="F4934" s="760">
        <f t="shared" si="157"/>
        <v>2228.6875750498407</v>
      </c>
      <c r="M4934" s="443"/>
    </row>
    <row r="4935" spans="1:13">
      <c r="A4935" s="639">
        <v>72413</v>
      </c>
      <c r="B4935" s="639">
        <v>1200</v>
      </c>
      <c r="C4935" s="638">
        <v>5269.8819999999996</v>
      </c>
      <c r="D4935" s="633">
        <f t="shared" si="158"/>
        <v>5269.8819999999996</v>
      </c>
      <c r="E4935" s="608"/>
      <c r="F4935" s="760">
        <f t="shared" si="157"/>
        <v>2223.3366812105114</v>
      </c>
      <c r="M4935" s="443"/>
    </row>
    <row r="4936" spans="1:13">
      <c r="A4936" s="639">
        <v>72413</v>
      </c>
      <c r="B4936" s="639">
        <v>1300</v>
      </c>
      <c r="C4936" s="638">
        <v>5251.5349999999999</v>
      </c>
      <c r="D4936" s="633">
        <f t="shared" si="158"/>
        <v>5251.5349999999999</v>
      </c>
      <c r="E4936" s="608"/>
      <c r="F4936" s="760">
        <f t="shared" si="157"/>
        <v>2215.5961742902105</v>
      </c>
      <c r="M4936" s="443"/>
    </row>
    <row r="4937" spans="1:13">
      <c r="A4937" s="639">
        <v>72413</v>
      </c>
      <c r="B4937" s="639">
        <v>1400</v>
      </c>
      <c r="C4937" s="638">
        <v>5317.9179999999997</v>
      </c>
      <c r="D4937" s="633">
        <f t="shared" si="158"/>
        <v>5317.9179999999997</v>
      </c>
      <c r="E4937" s="608"/>
      <c r="F4937" s="760">
        <f t="shared" si="157"/>
        <v>2243.6028277425639</v>
      </c>
      <c r="M4937" s="443"/>
    </row>
    <row r="4938" spans="1:13">
      <c r="A4938" s="639">
        <v>72413</v>
      </c>
      <c r="B4938" s="639">
        <v>1500</v>
      </c>
      <c r="C4938" s="638">
        <v>5486.2569999999996</v>
      </c>
      <c r="D4938" s="633">
        <f t="shared" si="158"/>
        <v>5486.2569999999996</v>
      </c>
      <c r="E4938" s="608"/>
      <c r="F4938" s="760">
        <f t="shared" si="157"/>
        <v>2314.6242042322647</v>
      </c>
      <c r="M4938" s="443"/>
    </row>
    <row r="4939" spans="1:13">
      <c r="A4939" s="639">
        <v>72413</v>
      </c>
      <c r="B4939" s="639">
        <v>1600</v>
      </c>
      <c r="C4939" s="638">
        <v>5777.6090000000004</v>
      </c>
      <c r="D4939" s="633">
        <f t="shared" si="158"/>
        <v>5777.6090000000004</v>
      </c>
      <c r="E4939" s="608"/>
      <c r="F4939" s="760">
        <f t="shared" si="157"/>
        <v>2437.5441460343859</v>
      </c>
      <c r="M4939" s="443"/>
    </row>
    <row r="4940" spans="1:13">
      <c r="A4940" s="639">
        <v>72413</v>
      </c>
      <c r="B4940" s="639">
        <v>1700</v>
      </c>
      <c r="C4940" s="638">
        <v>6337.3</v>
      </c>
      <c r="D4940" s="633">
        <f t="shared" si="158"/>
        <v>6337.3</v>
      </c>
      <c r="E4940" s="608"/>
      <c r="F4940" s="760">
        <f t="shared" si="157"/>
        <v>2673.6749608122864</v>
      </c>
      <c r="M4940" s="443"/>
    </row>
    <row r="4941" spans="1:13">
      <c r="A4941" s="639">
        <v>72413</v>
      </c>
      <c r="B4941" s="639">
        <v>1800</v>
      </c>
      <c r="C4941" s="638">
        <v>6543.1949999999997</v>
      </c>
      <c r="D4941" s="633">
        <f t="shared" si="158"/>
        <v>6543.1949999999997</v>
      </c>
      <c r="E4941" s="608"/>
      <c r="F4941" s="760">
        <f t="shared" si="157"/>
        <v>2760.5410246022989</v>
      </c>
      <c r="M4941" s="443"/>
    </row>
    <row r="4942" spans="1:13">
      <c r="A4942" s="639">
        <v>72413</v>
      </c>
      <c r="B4942" s="639">
        <v>1900</v>
      </c>
      <c r="C4942" s="638">
        <v>6517.7780000000002</v>
      </c>
      <c r="D4942" s="633">
        <f t="shared" si="158"/>
        <v>6517.7780000000002</v>
      </c>
      <c r="E4942" s="608"/>
      <c r="F4942" s="760">
        <f t="shared" si="157"/>
        <v>2749.8177202804318</v>
      </c>
      <c r="M4942" s="443"/>
    </row>
    <row r="4943" spans="1:13">
      <c r="A4943" s="639">
        <v>72413</v>
      </c>
      <c r="B4943" s="639">
        <v>2000</v>
      </c>
      <c r="C4943" s="638">
        <v>6470.4859999999999</v>
      </c>
      <c r="D4943" s="633">
        <f t="shared" si="158"/>
        <v>6470.4859999999999</v>
      </c>
      <c r="E4943" s="608"/>
      <c r="F4943" s="760">
        <f t="shared" si="157"/>
        <v>2729.8654636022356</v>
      </c>
      <c r="M4943" s="443"/>
    </row>
    <row r="4944" spans="1:13">
      <c r="A4944" s="639">
        <v>72413</v>
      </c>
      <c r="B4944" s="639">
        <v>2100</v>
      </c>
      <c r="C4944" s="638">
        <v>6791.58</v>
      </c>
      <c r="D4944" s="633">
        <f t="shared" si="158"/>
        <v>6791.58</v>
      </c>
      <c r="E4944" s="608"/>
      <c r="F4944" s="760">
        <f t="shared" si="157"/>
        <v>2865.3334054492461</v>
      </c>
      <c r="M4944" s="443"/>
    </row>
    <row r="4945" spans="1:13">
      <c r="A4945" s="639">
        <v>72413</v>
      </c>
      <c r="B4945" s="639">
        <v>2200</v>
      </c>
      <c r="C4945" s="638">
        <v>6286.5569999999998</v>
      </c>
      <c r="D4945" s="633">
        <f t="shared" si="158"/>
        <v>6286.5569999999998</v>
      </c>
      <c r="E4945" s="608"/>
      <c r="F4945" s="760">
        <f t="shared" si="157"/>
        <v>2652.2667446103555</v>
      </c>
      <c r="M4945" s="443"/>
    </row>
    <row r="4946" spans="1:13">
      <c r="A4946" s="639">
        <v>72413</v>
      </c>
      <c r="B4946" s="639">
        <v>2300</v>
      </c>
      <c r="C4946" s="638">
        <v>5401.9139999999998</v>
      </c>
      <c r="D4946" s="633">
        <f t="shared" si="158"/>
        <v>5401.9139999999998</v>
      </c>
      <c r="E4946" s="608"/>
      <c r="F4946" s="760">
        <f t="shared" si="157"/>
        <v>2279.0403172110109</v>
      </c>
      <c r="M4946" s="443"/>
    </row>
    <row r="4947" spans="1:13">
      <c r="A4947" s="639">
        <v>72413</v>
      </c>
      <c r="B4947" s="639">
        <v>2400</v>
      </c>
      <c r="C4947" s="638">
        <v>4709.9870000000001</v>
      </c>
      <c r="D4947" s="633">
        <f t="shared" si="158"/>
        <v>4709.9870000000001</v>
      </c>
      <c r="E4947" s="608"/>
      <c r="F4947" s="760">
        <f t="shared" si="157"/>
        <v>1987.1197998597793</v>
      </c>
      <c r="M4947" s="443"/>
    </row>
    <row r="4948" spans="1:13">
      <c r="A4948" s="639">
        <v>72513</v>
      </c>
      <c r="B4948" s="639">
        <v>100</v>
      </c>
      <c r="C4948" s="638">
        <v>4299.54</v>
      </c>
      <c r="D4948" s="633">
        <f t="shared" si="158"/>
        <v>4299.54</v>
      </c>
      <c r="E4948" s="608"/>
      <c r="F4948" s="760">
        <f t="shared" ref="F4948:F5011" si="159">(D4948/(MAX($D$4372:$D$5115)))*$M$10</f>
        <v>1813.9542772175623</v>
      </c>
      <c r="M4948" s="443"/>
    </row>
    <row r="4949" spans="1:13">
      <c r="A4949" s="639">
        <v>72513</v>
      </c>
      <c r="B4949" s="639">
        <v>200</v>
      </c>
      <c r="C4949" s="638">
        <v>4117.0559999999996</v>
      </c>
      <c r="D4949" s="633">
        <f t="shared" si="158"/>
        <v>4117.0559999999996</v>
      </c>
      <c r="E4949" s="608"/>
      <c r="F4949" s="760">
        <f t="shared" si="159"/>
        <v>1736.9651964499058</v>
      </c>
      <c r="M4949" s="443"/>
    </row>
    <row r="4950" spans="1:13">
      <c r="A4950" s="639">
        <v>72513</v>
      </c>
      <c r="B4950" s="639">
        <v>300</v>
      </c>
      <c r="C4950" s="638">
        <v>4029.5189999999998</v>
      </c>
      <c r="D4950" s="633">
        <f t="shared" si="158"/>
        <v>4029.5189999999998</v>
      </c>
      <c r="E4950" s="608"/>
      <c r="F4950" s="760">
        <f t="shared" si="159"/>
        <v>1700.0337769108867</v>
      </c>
      <c r="M4950" s="443"/>
    </row>
    <row r="4951" spans="1:13">
      <c r="A4951" s="639">
        <v>72513</v>
      </c>
      <c r="B4951" s="639">
        <v>400</v>
      </c>
      <c r="C4951" s="638">
        <v>4042.7550000000001</v>
      </c>
      <c r="D4951" s="633">
        <f t="shared" si="158"/>
        <v>4042.7550000000001</v>
      </c>
      <c r="E4951" s="608"/>
      <c r="F4951" s="760">
        <f t="shared" si="159"/>
        <v>1705.6179786657844</v>
      </c>
      <c r="M4951" s="443"/>
    </row>
    <row r="4952" spans="1:13">
      <c r="A4952" s="639">
        <v>72513</v>
      </c>
      <c r="B4952" s="639">
        <v>500</v>
      </c>
      <c r="C4952" s="638">
        <v>4245.3770000000004</v>
      </c>
      <c r="D4952" s="633">
        <f t="shared" si="158"/>
        <v>4245.3770000000004</v>
      </c>
      <c r="E4952" s="608"/>
      <c r="F4952" s="760">
        <f t="shared" si="159"/>
        <v>1791.1031802358075</v>
      </c>
      <c r="M4952" s="443"/>
    </row>
    <row r="4953" spans="1:13">
      <c r="A4953" s="639">
        <v>72513</v>
      </c>
      <c r="B4953" s="639">
        <v>600</v>
      </c>
      <c r="C4953" s="638">
        <v>4631.116</v>
      </c>
      <c r="D4953" s="633">
        <f t="shared" si="158"/>
        <v>4631.116</v>
      </c>
      <c r="E4953" s="608"/>
      <c r="F4953" s="760">
        <f t="shared" si="159"/>
        <v>1953.8445220862438</v>
      </c>
      <c r="M4953" s="443"/>
    </row>
    <row r="4954" spans="1:13">
      <c r="A4954" s="639">
        <v>72513</v>
      </c>
      <c r="B4954" s="639">
        <v>700</v>
      </c>
      <c r="C4954" s="638">
        <v>5130.9040000000005</v>
      </c>
      <c r="D4954" s="633">
        <f t="shared" si="158"/>
        <v>5130.9040000000005</v>
      </c>
      <c r="E4954" s="608"/>
      <c r="F4954" s="760">
        <f t="shared" si="159"/>
        <v>2164.7025627840885</v>
      </c>
      <c r="M4954" s="443"/>
    </row>
    <row r="4955" spans="1:13">
      <c r="A4955" s="639">
        <v>72513</v>
      </c>
      <c r="B4955" s="639">
        <v>800</v>
      </c>
      <c r="C4955" s="638">
        <v>5344.1989999999996</v>
      </c>
      <c r="D4955" s="633">
        <f t="shared" si="158"/>
        <v>5344.1989999999996</v>
      </c>
      <c r="E4955" s="608"/>
      <c r="F4955" s="760">
        <f t="shared" si="159"/>
        <v>2254.6906493140705</v>
      </c>
      <c r="M4955" s="443"/>
    </row>
    <row r="4956" spans="1:13">
      <c r="A4956" s="639">
        <v>72513</v>
      </c>
      <c r="B4956" s="639">
        <v>900</v>
      </c>
      <c r="C4956" s="638">
        <v>5347.2650000000003</v>
      </c>
      <c r="D4956" s="633">
        <f t="shared" si="158"/>
        <v>5347.2650000000003</v>
      </c>
      <c r="E4956" s="608"/>
      <c r="F4956" s="760">
        <f t="shared" si="159"/>
        <v>2255.9841792763341</v>
      </c>
      <c r="M4956" s="443"/>
    </row>
    <row r="4957" spans="1:13">
      <c r="A4957" s="639">
        <v>72513</v>
      </c>
      <c r="B4957" s="639">
        <v>1000</v>
      </c>
      <c r="C4957" s="638">
        <v>5422.84</v>
      </c>
      <c r="D4957" s="633">
        <f t="shared" si="158"/>
        <v>5422.84</v>
      </c>
      <c r="E4957" s="608"/>
      <c r="F4957" s="760">
        <f t="shared" si="159"/>
        <v>2287.8688912456882</v>
      </c>
      <c r="M4957" s="443"/>
    </row>
    <row r="4958" spans="1:13">
      <c r="A4958" s="639">
        <v>72513</v>
      </c>
      <c r="B4958" s="639">
        <v>1100</v>
      </c>
      <c r="C4958" s="638">
        <v>5548.0829999999996</v>
      </c>
      <c r="D4958" s="633">
        <f t="shared" si="158"/>
        <v>5548.0829999999996</v>
      </c>
      <c r="E4958" s="608"/>
      <c r="F4958" s="760">
        <f t="shared" si="159"/>
        <v>2340.7082823297478</v>
      </c>
      <c r="M4958" s="443"/>
    </row>
    <row r="4959" spans="1:13">
      <c r="A4959" s="639">
        <v>72513</v>
      </c>
      <c r="B4959" s="639">
        <v>1200</v>
      </c>
      <c r="C4959" s="638">
        <v>5655.4120000000003</v>
      </c>
      <c r="D4959" s="633">
        <f t="shared" si="158"/>
        <v>5655.4120000000003</v>
      </c>
      <c r="E4959" s="608"/>
      <c r="F4959" s="760">
        <f t="shared" si="159"/>
        <v>2385.9898470132916</v>
      </c>
      <c r="M4959" s="443"/>
    </row>
    <row r="4960" spans="1:13">
      <c r="A4960" s="639">
        <v>72513</v>
      </c>
      <c r="B4960" s="639">
        <v>1300</v>
      </c>
      <c r="C4960" s="638">
        <v>5680.4840000000004</v>
      </c>
      <c r="D4960" s="633">
        <f t="shared" si="158"/>
        <v>5680.4840000000004</v>
      </c>
      <c r="E4960" s="608"/>
      <c r="F4960" s="760">
        <f t="shared" si="159"/>
        <v>2396.5675975722816</v>
      </c>
      <c r="M4960" s="443"/>
    </row>
    <row r="4961" spans="1:13">
      <c r="A4961" s="639">
        <v>72513</v>
      </c>
      <c r="B4961" s="639">
        <v>1400</v>
      </c>
      <c r="C4961" s="638">
        <v>5766.3339999999998</v>
      </c>
      <c r="D4961" s="633">
        <f t="shared" si="158"/>
        <v>5766.3339999999998</v>
      </c>
      <c r="E4961" s="608"/>
      <c r="F4961" s="760">
        <f t="shared" si="159"/>
        <v>2432.7872803055802</v>
      </c>
      <c r="M4961" s="443"/>
    </row>
    <row r="4962" spans="1:13">
      <c r="A4962" s="639">
        <v>72513</v>
      </c>
      <c r="B4962" s="639">
        <v>1500</v>
      </c>
      <c r="C4962" s="638">
        <v>5850.835</v>
      </c>
      <c r="D4962" s="633">
        <f t="shared" si="158"/>
        <v>5850.835</v>
      </c>
      <c r="E4962" s="608"/>
      <c r="F4962" s="760">
        <f t="shared" si="159"/>
        <v>2468.4378267312823</v>
      </c>
      <c r="M4962" s="443"/>
    </row>
    <row r="4963" spans="1:13">
      <c r="A4963" s="639">
        <v>72513</v>
      </c>
      <c r="B4963" s="639">
        <v>1600</v>
      </c>
      <c r="C4963" s="638">
        <v>6296.2370000000001</v>
      </c>
      <c r="D4963" s="633">
        <f t="shared" si="158"/>
        <v>6296.2370000000001</v>
      </c>
      <c r="E4963" s="608"/>
      <c r="F4963" s="760">
        <f t="shared" si="159"/>
        <v>2656.3506878702074</v>
      </c>
      <c r="M4963" s="443"/>
    </row>
    <row r="4964" spans="1:13">
      <c r="A4964" s="639">
        <v>72513</v>
      </c>
      <c r="B4964" s="639">
        <v>1700</v>
      </c>
      <c r="C4964" s="638">
        <v>6851.366</v>
      </c>
      <c r="D4964" s="633">
        <f t="shared" si="158"/>
        <v>6851.366</v>
      </c>
      <c r="E4964" s="608"/>
      <c r="F4964" s="760">
        <f t="shared" si="159"/>
        <v>2890.556817818413</v>
      </c>
      <c r="M4964" s="443"/>
    </row>
    <row r="4965" spans="1:13">
      <c r="A4965" s="639">
        <v>72513</v>
      </c>
      <c r="B4965" s="639">
        <v>1800</v>
      </c>
      <c r="C4965" s="638">
        <v>7045.9759999999997</v>
      </c>
      <c r="D4965" s="633">
        <f t="shared" si="158"/>
        <v>7045.9759999999997</v>
      </c>
      <c r="E4965" s="608"/>
      <c r="F4965" s="760">
        <f t="shared" si="159"/>
        <v>2972.6617969299718</v>
      </c>
      <c r="M4965" s="443"/>
    </row>
    <row r="4966" spans="1:13">
      <c r="A4966" s="639">
        <v>72513</v>
      </c>
      <c r="B4966" s="639">
        <v>1900</v>
      </c>
      <c r="C4966" s="638">
        <v>7005.3919999999998</v>
      </c>
      <c r="D4966" s="633">
        <f t="shared" si="158"/>
        <v>7005.3919999999998</v>
      </c>
      <c r="E4966" s="608"/>
      <c r="F4966" s="760">
        <f t="shared" si="159"/>
        <v>2955.5396116760612</v>
      </c>
      <c r="M4966" s="443"/>
    </row>
    <row r="4967" spans="1:13">
      <c r="A4967" s="639">
        <v>72513</v>
      </c>
      <c r="B4967" s="639">
        <v>2000</v>
      </c>
      <c r="C4967" s="638">
        <v>6903.8440000000001</v>
      </c>
      <c r="D4967" s="633">
        <f t="shared" si="158"/>
        <v>6903.8440000000001</v>
      </c>
      <c r="E4967" s="608"/>
      <c r="F4967" s="760">
        <f t="shared" si="159"/>
        <v>2912.6970217843777</v>
      </c>
      <c r="M4967" s="443"/>
    </row>
    <row r="4968" spans="1:13">
      <c r="A4968" s="639">
        <v>72513</v>
      </c>
      <c r="B4968" s="639">
        <v>2100</v>
      </c>
      <c r="C4968" s="638">
        <v>7080.375</v>
      </c>
      <c r="D4968" s="633">
        <f t="shared" si="158"/>
        <v>7080.375</v>
      </c>
      <c r="E4968" s="608"/>
      <c r="F4968" s="760">
        <f t="shared" si="159"/>
        <v>2987.174561826218</v>
      </c>
      <c r="M4968" s="443"/>
    </row>
    <row r="4969" spans="1:13">
      <c r="A4969" s="639">
        <v>72513</v>
      </c>
      <c r="B4969" s="639">
        <v>2200</v>
      </c>
      <c r="C4969" s="638">
        <v>6555.0389999999998</v>
      </c>
      <c r="D4969" s="633">
        <f t="shared" si="158"/>
        <v>6555.0389999999998</v>
      </c>
      <c r="E4969" s="608"/>
      <c r="F4969" s="760">
        <f t="shared" si="159"/>
        <v>2765.5379485661097</v>
      </c>
      <c r="M4969" s="443"/>
    </row>
    <row r="4970" spans="1:13">
      <c r="A4970" s="639">
        <v>72513</v>
      </c>
      <c r="B4970" s="639">
        <v>2300</v>
      </c>
      <c r="C4970" s="638">
        <v>5565.43</v>
      </c>
      <c r="D4970" s="633">
        <f t="shared" si="158"/>
        <v>5565.43</v>
      </c>
      <c r="E4970" s="608"/>
      <c r="F4970" s="760">
        <f t="shared" si="159"/>
        <v>2348.0268942851885</v>
      </c>
      <c r="M4970" s="443"/>
    </row>
    <row r="4971" spans="1:13">
      <c r="A4971" s="639">
        <v>72513</v>
      </c>
      <c r="B4971" s="639">
        <v>2400</v>
      </c>
      <c r="C4971" s="638">
        <v>4746.9309999999996</v>
      </c>
      <c r="D4971" s="633">
        <f t="shared" si="158"/>
        <v>4746.9309999999996</v>
      </c>
      <c r="E4971" s="608"/>
      <c r="F4971" s="760">
        <f t="shared" si="159"/>
        <v>2002.706287441596</v>
      </c>
      <c r="M4971" s="443"/>
    </row>
    <row r="4972" spans="1:13">
      <c r="A4972" s="639">
        <v>72613</v>
      </c>
      <c r="B4972" s="639">
        <v>100</v>
      </c>
      <c r="C4972" s="638">
        <v>4342.2730000000001</v>
      </c>
      <c r="D4972" s="633">
        <f t="shared" si="158"/>
        <v>4342.2730000000001</v>
      </c>
      <c r="E4972" s="608"/>
      <c r="F4972" s="760">
        <f t="shared" si="159"/>
        <v>1831.9831147509585</v>
      </c>
      <c r="M4972" s="443"/>
    </row>
    <row r="4973" spans="1:13">
      <c r="A4973" s="639">
        <v>72613</v>
      </c>
      <c r="B4973" s="639">
        <v>200</v>
      </c>
      <c r="C4973" s="638">
        <v>4138.9390000000003</v>
      </c>
      <c r="D4973" s="633">
        <f t="shared" si="158"/>
        <v>4138.9390000000003</v>
      </c>
      <c r="E4973" s="608"/>
      <c r="F4973" s="760">
        <f t="shared" si="159"/>
        <v>1746.1975239659546</v>
      </c>
      <c r="M4973" s="443"/>
    </row>
    <row r="4974" spans="1:13">
      <c r="A4974" s="639">
        <v>72613</v>
      </c>
      <c r="B4974" s="639">
        <v>300</v>
      </c>
      <c r="C4974" s="638">
        <v>4067.2460000000001</v>
      </c>
      <c r="D4974" s="633">
        <f t="shared" si="158"/>
        <v>4067.2460000000001</v>
      </c>
      <c r="E4974" s="608"/>
      <c r="F4974" s="760">
        <f t="shared" si="159"/>
        <v>1715.9506082501898</v>
      </c>
      <c r="M4974" s="443"/>
    </row>
    <row r="4975" spans="1:13">
      <c r="A4975" s="639">
        <v>72613</v>
      </c>
      <c r="B4975" s="639">
        <v>400</v>
      </c>
      <c r="C4975" s="638">
        <v>4083.75</v>
      </c>
      <c r="D4975" s="633">
        <f t="shared" si="158"/>
        <v>4083.75</v>
      </c>
      <c r="E4975" s="608"/>
      <c r="F4975" s="760">
        <f t="shared" si="159"/>
        <v>1722.9135627502524</v>
      </c>
      <c r="M4975" s="443"/>
    </row>
    <row r="4976" spans="1:13">
      <c r="A4976" s="639">
        <v>72613</v>
      </c>
      <c r="B4976" s="639">
        <v>500</v>
      </c>
      <c r="C4976" s="638">
        <v>4277.5050000000001</v>
      </c>
      <c r="D4976" s="633">
        <f t="shared" si="158"/>
        <v>4277.5050000000001</v>
      </c>
      <c r="E4976" s="608"/>
      <c r="F4976" s="760">
        <f t="shared" si="159"/>
        <v>1804.6578216668549</v>
      </c>
      <c r="M4976" s="443"/>
    </row>
    <row r="4977" spans="1:13">
      <c r="A4977" s="639">
        <v>72613</v>
      </c>
      <c r="B4977" s="639">
        <v>600</v>
      </c>
      <c r="C4977" s="638">
        <v>4599.3389999999999</v>
      </c>
      <c r="D4977" s="633">
        <f t="shared" si="158"/>
        <v>4599.3389999999999</v>
      </c>
      <c r="E4977" s="608"/>
      <c r="F4977" s="760">
        <f t="shared" si="159"/>
        <v>1940.4379657878624</v>
      </c>
      <c r="M4977" s="443"/>
    </row>
    <row r="4978" spans="1:13">
      <c r="A4978" s="639">
        <v>72613</v>
      </c>
      <c r="B4978" s="639">
        <v>700</v>
      </c>
      <c r="C4978" s="638">
        <v>5156.4189999999999</v>
      </c>
      <c r="D4978" s="633">
        <f t="shared" si="158"/>
        <v>5156.4189999999999</v>
      </c>
      <c r="E4978" s="608"/>
      <c r="F4978" s="760">
        <f t="shared" si="159"/>
        <v>2175.4672128125112</v>
      </c>
      <c r="M4978" s="443"/>
    </row>
    <row r="4979" spans="1:13">
      <c r="A4979" s="639">
        <v>72613</v>
      </c>
      <c r="B4979" s="639">
        <v>800</v>
      </c>
      <c r="C4979" s="638">
        <v>5397.5020000000004</v>
      </c>
      <c r="D4979" s="633">
        <f t="shared" si="158"/>
        <v>5397.5020000000004</v>
      </c>
      <c r="E4979" s="608"/>
      <c r="F4979" s="760">
        <f t="shared" si="159"/>
        <v>2277.1789166260455</v>
      </c>
      <c r="M4979" s="443"/>
    </row>
    <row r="4980" spans="1:13">
      <c r="A4980" s="639">
        <v>72613</v>
      </c>
      <c r="B4980" s="639">
        <v>900</v>
      </c>
      <c r="C4980" s="638">
        <v>5517.7240000000002</v>
      </c>
      <c r="D4980" s="633">
        <f t="shared" si="158"/>
        <v>5517.7240000000002</v>
      </c>
      <c r="E4980" s="608"/>
      <c r="F4980" s="760">
        <f t="shared" si="159"/>
        <v>2327.8999730915393</v>
      </c>
      <c r="M4980" s="443"/>
    </row>
    <row r="4981" spans="1:13">
      <c r="A4981" s="639">
        <v>72613</v>
      </c>
      <c r="B4981" s="639">
        <v>1000</v>
      </c>
      <c r="C4981" s="638">
        <v>5627.8280000000004</v>
      </c>
      <c r="D4981" s="633">
        <f t="shared" si="158"/>
        <v>5627.8280000000004</v>
      </c>
      <c r="E4981" s="608"/>
      <c r="F4981" s="760">
        <f t="shared" si="159"/>
        <v>2374.3522963025721</v>
      </c>
      <c r="M4981" s="443"/>
    </row>
    <row r="4982" spans="1:13">
      <c r="A4982" s="639">
        <v>72613</v>
      </c>
      <c r="B4982" s="639">
        <v>1100</v>
      </c>
      <c r="C4982" s="638">
        <v>5744.7780000000002</v>
      </c>
      <c r="D4982" s="633">
        <f t="shared" si="158"/>
        <v>5744.7780000000002</v>
      </c>
      <c r="E4982" s="608"/>
      <c r="F4982" s="760">
        <f t="shared" si="159"/>
        <v>2423.6929124430412</v>
      </c>
      <c r="M4982" s="443"/>
    </row>
    <row r="4983" spans="1:13">
      <c r="A4983" s="639">
        <v>72613</v>
      </c>
      <c r="B4983" s="639">
        <v>1200</v>
      </c>
      <c r="C4983" s="638">
        <v>5881.6310000000003</v>
      </c>
      <c r="D4983" s="633">
        <f t="shared" si="158"/>
        <v>5881.6310000000003</v>
      </c>
      <c r="E4983" s="608"/>
      <c r="F4983" s="760">
        <f t="shared" si="159"/>
        <v>2481.4305040691352</v>
      </c>
      <c r="M4983" s="443"/>
    </row>
    <row r="4984" spans="1:13">
      <c r="A4984" s="639">
        <v>72613</v>
      </c>
      <c r="B4984" s="639">
        <v>1300</v>
      </c>
      <c r="C4984" s="638">
        <v>6049.1760000000004</v>
      </c>
      <c r="D4984" s="633">
        <f t="shared" si="158"/>
        <v>6049.1760000000004</v>
      </c>
      <c r="E4984" s="608"/>
      <c r="F4984" s="760">
        <f t="shared" si="159"/>
        <v>2552.1168959567362</v>
      </c>
      <c r="M4984" s="443"/>
    </row>
    <row r="4985" spans="1:13">
      <c r="A4985" s="639">
        <v>72613</v>
      </c>
      <c r="B4985" s="639">
        <v>1400</v>
      </c>
      <c r="C4985" s="638">
        <v>5987.0460000000003</v>
      </c>
      <c r="D4985" s="633">
        <f t="shared" si="158"/>
        <v>5987.0460000000003</v>
      </c>
      <c r="E4985" s="608"/>
      <c r="F4985" s="760">
        <f t="shared" si="159"/>
        <v>2525.9045617899351</v>
      </c>
      <c r="M4985" s="443"/>
    </row>
    <row r="4986" spans="1:13">
      <c r="A4986" s="639">
        <v>72613</v>
      </c>
      <c r="B4986" s="639">
        <v>1500</v>
      </c>
      <c r="C4986" s="638">
        <v>6118.116</v>
      </c>
      <c r="D4986" s="633">
        <f t="shared" si="158"/>
        <v>6118.116</v>
      </c>
      <c r="E4986" s="608"/>
      <c r="F4986" s="760">
        <f t="shared" si="159"/>
        <v>2581.2023348342391</v>
      </c>
      <c r="M4986" s="443"/>
    </row>
    <row r="4987" spans="1:13">
      <c r="A4987" s="639">
        <v>72613</v>
      </c>
      <c r="B4987" s="639">
        <v>1600</v>
      </c>
      <c r="C4987" s="638">
        <v>6344.3280000000004</v>
      </c>
      <c r="D4987" s="633">
        <f t="shared" si="158"/>
        <v>6344.3280000000004</v>
      </c>
      <c r="E4987" s="608"/>
      <c r="F4987" s="760">
        <f t="shared" si="159"/>
        <v>2676.6400386253281</v>
      </c>
      <c r="M4987" s="443"/>
    </row>
    <row r="4988" spans="1:13">
      <c r="A4988" s="639">
        <v>72613</v>
      </c>
      <c r="B4988" s="639">
        <v>1700</v>
      </c>
      <c r="C4988" s="638">
        <v>6815.0709999999999</v>
      </c>
      <c r="D4988" s="633">
        <f t="shared" si="158"/>
        <v>6815.0709999999999</v>
      </c>
      <c r="E4988" s="608"/>
      <c r="F4988" s="760">
        <f t="shared" si="159"/>
        <v>2875.2441400687912</v>
      </c>
      <c r="M4988" s="443"/>
    </row>
    <row r="4989" spans="1:13">
      <c r="A4989" s="639">
        <v>72613</v>
      </c>
      <c r="B4989" s="639">
        <v>1800</v>
      </c>
      <c r="C4989" s="638">
        <v>7137.8410000000003</v>
      </c>
      <c r="D4989" s="633">
        <f t="shared" si="158"/>
        <v>7137.8410000000003</v>
      </c>
      <c r="E4989" s="608"/>
      <c r="F4989" s="760">
        <f t="shared" si="159"/>
        <v>3011.4191778769082</v>
      </c>
      <c r="M4989" s="443"/>
    </row>
    <row r="4990" spans="1:13">
      <c r="A4990" s="639">
        <v>72613</v>
      </c>
      <c r="B4990" s="639">
        <v>1900</v>
      </c>
      <c r="C4990" s="638">
        <v>7034.7120000000004</v>
      </c>
      <c r="D4990" s="633">
        <f t="shared" si="158"/>
        <v>7034.7120000000004</v>
      </c>
      <c r="E4990" s="608"/>
      <c r="F4990" s="760">
        <f t="shared" si="159"/>
        <v>2967.9095720457799</v>
      </c>
      <c r="M4990" s="443"/>
    </row>
    <row r="4991" spans="1:13">
      <c r="A4991" s="639">
        <v>72613</v>
      </c>
      <c r="B4991" s="639">
        <v>2000</v>
      </c>
      <c r="C4991" s="638">
        <v>6908.4129999999996</v>
      </c>
      <c r="D4991" s="633">
        <f t="shared" si="158"/>
        <v>6908.4129999999996</v>
      </c>
      <c r="E4991" s="608"/>
      <c r="F4991" s="760">
        <f t="shared" si="159"/>
        <v>2914.6246598788266</v>
      </c>
      <c r="M4991" s="443"/>
    </row>
    <row r="4992" spans="1:13">
      <c r="A4992" s="639">
        <v>72613</v>
      </c>
      <c r="B4992" s="639">
        <v>2100</v>
      </c>
      <c r="C4992" s="638">
        <v>7104.4250000000002</v>
      </c>
      <c r="D4992" s="633">
        <f t="shared" si="158"/>
        <v>7104.4250000000002</v>
      </c>
      <c r="E4992" s="608"/>
      <c r="F4992" s="760">
        <f t="shared" si="159"/>
        <v>2997.3211357311202</v>
      </c>
      <c r="M4992" s="443"/>
    </row>
    <row r="4993" spans="1:13">
      <c r="A4993" s="639">
        <v>72613</v>
      </c>
      <c r="B4993" s="639">
        <v>2200</v>
      </c>
      <c r="C4993" s="638">
        <v>6678.2780000000002</v>
      </c>
      <c r="D4993" s="633">
        <f t="shared" si="158"/>
        <v>6678.2780000000002</v>
      </c>
      <c r="E4993" s="608"/>
      <c r="F4993" s="760">
        <f t="shared" si="159"/>
        <v>2817.5318621405891</v>
      </c>
      <c r="M4993" s="443"/>
    </row>
    <row r="4994" spans="1:13">
      <c r="A4994" s="639">
        <v>72613</v>
      </c>
      <c r="B4994" s="639">
        <v>2300</v>
      </c>
      <c r="C4994" s="638">
        <v>5846.69</v>
      </c>
      <c r="D4994" s="633">
        <f t="shared" si="158"/>
        <v>5846.69</v>
      </c>
      <c r="E4994" s="608"/>
      <c r="F4994" s="760">
        <f t="shared" si="159"/>
        <v>2466.689072101934</v>
      </c>
      <c r="M4994" s="443"/>
    </row>
    <row r="4995" spans="1:13">
      <c r="A4995" s="639">
        <v>72613</v>
      </c>
      <c r="B4995" s="639">
        <v>2400</v>
      </c>
      <c r="C4995" s="638">
        <v>5035.6090000000004</v>
      </c>
      <c r="D4995" s="633">
        <f t="shared" si="158"/>
        <v>5035.6090000000004</v>
      </c>
      <c r="E4995" s="608"/>
      <c r="F4995" s="760">
        <f t="shared" si="159"/>
        <v>2124.4980821076797</v>
      </c>
      <c r="M4995" s="443"/>
    </row>
    <row r="4996" spans="1:13">
      <c r="A4996" s="639">
        <v>72713</v>
      </c>
      <c r="B4996" s="639">
        <v>100</v>
      </c>
      <c r="C4996" s="638">
        <v>4620.3540000000003</v>
      </c>
      <c r="D4996" s="633">
        <f t="shared" si="158"/>
        <v>4620.3540000000003</v>
      </c>
      <c r="E4996" s="608"/>
      <c r="F4996" s="760">
        <f t="shared" si="159"/>
        <v>1949.3040884744121</v>
      </c>
      <c r="M4996" s="443"/>
    </row>
    <row r="4997" spans="1:13">
      <c r="A4997" s="639">
        <v>72713</v>
      </c>
      <c r="B4997" s="639">
        <v>200</v>
      </c>
      <c r="C4997" s="638">
        <v>4376.4369999999999</v>
      </c>
      <c r="D4997" s="633">
        <f t="shared" ref="D4997:D5060" si="160">C4997</f>
        <v>4376.4369999999999</v>
      </c>
      <c r="E4997" s="608"/>
      <c r="F4997" s="760">
        <f t="shared" si="159"/>
        <v>1846.3967343304623</v>
      </c>
      <c r="M4997" s="443"/>
    </row>
    <row r="4998" spans="1:13">
      <c r="A4998" s="639">
        <v>72713</v>
      </c>
      <c r="B4998" s="639">
        <v>300</v>
      </c>
      <c r="C4998" s="638">
        <v>4241.6180000000004</v>
      </c>
      <c r="D4998" s="633">
        <f t="shared" si="160"/>
        <v>4241.6180000000004</v>
      </c>
      <c r="E4998" s="608"/>
      <c r="F4998" s="760">
        <f t="shared" si="159"/>
        <v>1789.5172770628958</v>
      </c>
      <c r="M4998" s="443"/>
    </row>
    <row r="4999" spans="1:13">
      <c r="A4999" s="639">
        <v>72713</v>
      </c>
      <c r="B4999" s="639">
        <v>400</v>
      </c>
      <c r="C4999" s="638">
        <v>4174.6769999999997</v>
      </c>
      <c r="D4999" s="633">
        <f t="shared" si="160"/>
        <v>4174.6769999999997</v>
      </c>
      <c r="E4999" s="608"/>
      <c r="F4999" s="760">
        <f t="shared" si="159"/>
        <v>1761.2752062201491</v>
      </c>
      <c r="M4999" s="443"/>
    </row>
    <row r="5000" spans="1:13">
      <c r="A5000" s="639">
        <v>72713</v>
      </c>
      <c r="B5000" s="639">
        <v>500</v>
      </c>
      <c r="C5000" s="638">
        <v>4189.6480000000001</v>
      </c>
      <c r="D5000" s="633">
        <f t="shared" si="160"/>
        <v>4189.6480000000001</v>
      </c>
      <c r="E5000" s="608"/>
      <c r="F5000" s="760">
        <f t="shared" si="159"/>
        <v>1767.5913957390803</v>
      </c>
      <c r="M5000" s="443"/>
    </row>
    <row r="5001" spans="1:13">
      <c r="A5001" s="639">
        <v>72713</v>
      </c>
      <c r="B5001" s="639">
        <v>600</v>
      </c>
      <c r="C5001" s="638">
        <v>4320.1109999999999</v>
      </c>
      <c r="D5001" s="633">
        <f t="shared" si="160"/>
        <v>4320.1109999999999</v>
      </c>
      <c r="E5001" s="608"/>
      <c r="F5001" s="760">
        <f t="shared" si="159"/>
        <v>1822.6330785397136</v>
      </c>
      <c r="M5001" s="443"/>
    </row>
    <row r="5002" spans="1:13">
      <c r="A5002" s="639">
        <v>72713</v>
      </c>
      <c r="B5002" s="639">
        <v>700</v>
      </c>
      <c r="C5002" s="638">
        <v>4713.2129999999997</v>
      </c>
      <c r="D5002" s="633">
        <f t="shared" si="160"/>
        <v>4713.2129999999997</v>
      </c>
      <c r="E5002" s="608"/>
      <c r="F5002" s="760">
        <f t="shared" si="159"/>
        <v>1988.4808330164201</v>
      </c>
      <c r="M5002" s="443"/>
    </row>
    <row r="5003" spans="1:13">
      <c r="A5003" s="639">
        <v>72713</v>
      </c>
      <c r="B5003" s="639">
        <v>800</v>
      </c>
      <c r="C5003" s="638">
        <v>5130.8549999999996</v>
      </c>
      <c r="D5003" s="633">
        <f t="shared" si="160"/>
        <v>5130.8549999999996</v>
      </c>
      <c r="E5003" s="608"/>
      <c r="F5003" s="760">
        <f t="shared" si="159"/>
        <v>2164.68188993081</v>
      </c>
      <c r="M5003" s="443"/>
    </row>
    <row r="5004" spans="1:13">
      <c r="A5004" s="639">
        <v>72713</v>
      </c>
      <c r="B5004" s="639">
        <v>900</v>
      </c>
      <c r="C5004" s="638">
        <v>5732.9989999999998</v>
      </c>
      <c r="D5004" s="633">
        <f t="shared" si="160"/>
        <v>5732.9989999999998</v>
      </c>
      <c r="E5004" s="608"/>
      <c r="F5004" s="760">
        <f t="shared" si="159"/>
        <v>2418.7234116519458</v>
      </c>
      <c r="M5004" s="443"/>
    </row>
    <row r="5005" spans="1:13">
      <c r="A5005" s="639">
        <v>72713</v>
      </c>
      <c r="B5005" s="639">
        <v>1000</v>
      </c>
      <c r="C5005" s="638">
        <v>6171.4470000000001</v>
      </c>
      <c r="D5005" s="633">
        <f t="shared" si="160"/>
        <v>6171.4470000000001</v>
      </c>
      <c r="E5005" s="608"/>
      <c r="F5005" s="760">
        <f t="shared" si="159"/>
        <v>2603.7024152052295</v>
      </c>
      <c r="M5005" s="443"/>
    </row>
    <row r="5006" spans="1:13">
      <c r="A5006" s="639">
        <v>72713</v>
      </c>
      <c r="B5006" s="639">
        <v>1100</v>
      </c>
      <c r="C5006" s="638">
        <v>6276.4589999999998</v>
      </c>
      <c r="D5006" s="633">
        <f t="shared" si="160"/>
        <v>6276.4589999999998</v>
      </c>
      <c r="E5006" s="608"/>
      <c r="F5006" s="760">
        <f t="shared" si="159"/>
        <v>2648.006449255191</v>
      </c>
      <c r="M5006" s="443"/>
    </row>
    <row r="5007" spans="1:13">
      <c r="A5007" s="639">
        <v>72713</v>
      </c>
      <c r="B5007" s="639">
        <v>1200</v>
      </c>
      <c r="C5007" s="638">
        <v>6525.152</v>
      </c>
      <c r="D5007" s="633">
        <f t="shared" si="160"/>
        <v>6525.152</v>
      </c>
      <c r="E5007" s="608"/>
      <c r="F5007" s="760">
        <f t="shared" si="159"/>
        <v>2752.9287737513155</v>
      </c>
      <c r="M5007" s="443"/>
    </row>
    <row r="5008" spans="1:13">
      <c r="A5008" s="639">
        <v>72713</v>
      </c>
      <c r="B5008" s="639">
        <v>1300</v>
      </c>
      <c r="C5008" s="638">
        <v>6560.6880000000001</v>
      </c>
      <c r="D5008" s="633">
        <f t="shared" si="160"/>
        <v>6560.6880000000001</v>
      </c>
      <c r="E5008" s="608"/>
      <c r="F5008" s="760">
        <f t="shared" si="159"/>
        <v>2767.9212332226089</v>
      </c>
      <c r="M5008" s="443"/>
    </row>
    <row r="5009" spans="1:13">
      <c r="A5009" s="639">
        <v>72713</v>
      </c>
      <c r="B5009" s="639">
        <v>1400</v>
      </c>
      <c r="C5009" s="638">
        <v>6527.1040000000003</v>
      </c>
      <c r="D5009" s="633">
        <f t="shared" si="160"/>
        <v>6527.1040000000003</v>
      </c>
      <c r="E5009" s="608"/>
      <c r="F5009" s="760">
        <f t="shared" si="159"/>
        <v>2753.7523127227237</v>
      </c>
      <c r="M5009" s="443"/>
    </row>
    <row r="5010" spans="1:13">
      <c r="A5010" s="639">
        <v>72713</v>
      </c>
      <c r="B5010" s="639">
        <v>1500</v>
      </c>
      <c r="C5010" s="638">
        <v>6557.2669999999998</v>
      </c>
      <c r="D5010" s="633">
        <f t="shared" si="160"/>
        <v>6557.2669999999998</v>
      </c>
      <c r="E5010" s="608"/>
      <c r="F5010" s="760">
        <f t="shared" si="159"/>
        <v>2766.4779305478201</v>
      </c>
      <c r="M5010" s="443"/>
    </row>
    <row r="5011" spans="1:13">
      <c r="A5011" s="639">
        <v>72713</v>
      </c>
      <c r="B5011" s="639">
        <v>1600</v>
      </c>
      <c r="C5011" s="638">
        <v>6622.9080000000004</v>
      </c>
      <c r="D5011" s="633">
        <f t="shared" si="160"/>
        <v>6622.9080000000004</v>
      </c>
      <c r="E5011" s="608"/>
      <c r="F5011" s="760">
        <f t="shared" si="159"/>
        <v>2794.1715379362468</v>
      </c>
      <c r="M5011" s="443"/>
    </row>
    <row r="5012" spans="1:13">
      <c r="A5012" s="639">
        <v>72713</v>
      </c>
      <c r="B5012" s="639">
        <v>1700</v>
      </c>
      <c r="C5012" s="638">
        <v>6681.5829999999996</v>
      </c>
      <c r="D5012" s="633">
        <f t="shared" si="160"/>
        <v>6681.5829999999996</v>
      </c>
      <c r="E5012" s="608"/>
      <c r="F5012" s="760">
        <f t="shared" ref="F5012:F5075" si="161">(D5012/(MAX($D$4372:$D$5115)))*$M$10</f>
        <v>2818.9262249994536</v>
      </c>
      <c r="M5012" s="443"/>
    </row>
    <row r="5013" spans="1:13">
      <c r="A5013" s="639">
        <v>72713</v>
      </c>
      <c r="B5013" s="639">
        <v>1800</v>
      </c>
      <c r="C5013" s="638">
        <v>6654.0739999999996</v>
      </c>
      <c r="D5013" s="633">
        <f t="shared" si="160"/>
        <v>6654.0739999999996</v>
      </c>
      <c r="E5013" s="608"/>
      <c r="F5013" s="760">
        <f t="shared" si="161"/>
        <v>2807.3203164110982</v>
      </c>
      <c r="M5013" s="443"/>
    </row>
    <row r="5014" spans="1:13">
      <c r="A5014" s="639">
        <v>72713</v>
      </c>
      <c r="B5014" s="639">
        <v>1900</v>
      </c>
      <c r="C5014" s="638">
        <v>6642.3879999999999</v>
      </c>
      <c r="D5014" s="633">
        <f t="shared" si="160"/>
        <v>6642.3879999999999</v>
      </c>
      <c r="E5014" s="608"/>
      <c r="F5014" s="760">
        <f t="shared" si="161"/>
        <v>2802.3900518517353</v>
      </c>
      <c r="M5014" s="443"/>
    </row>
    <row r="5015" spans="1:13">
      <c r="A5015" s="639">
        <v>72713</v>
      </c>
      <c r="B5015" s="639">
        <v>2000</v>
      </c>
      <c r="C5015" s="638">
        <v>6566.66</v>
      </c>
      <c r="D5015" s="633">
        <f t="shared" si="160"/>
        <v>6566.66</v>
      </c>
      <c r="E5015" s="608"/>
      <c r="F5015" s="760">
        <f t="shared" si="161"/>
        <v>2770.4407899527573</v>
      </c>
      <c r="M5015" s="443"/>
    </row>
    <row r="5016" spans="1:13">
      <c r="A5016" s="639">
        <v>72713</v>
      </c>
      <c r="B5016" s="639">
        <v>2100</v>
      </c>
      <c r="C5016" s="638">
        <v>6732.2209999999995</v>
      </c>
      <c r="D5016" s="633">
        <f t="shared" si="160"/>
        <v>6732.2209999999995</v>
      </c>
      <c r="E5016" s="608"/>
      <c r="F5016" s="760">
        <f t="shared" si="161"/>
        <v>2840.2901422300743</v>
      </c>
      <c r="M5016" s="443"/>
    </row>
    <row r="5017" spans="1:13">
      <c r="A5017" s="639">
        <v>72713</v>
      </c>
      <c r="B5017" s="639">
        <v>2200</v>
      </c>
      <c r="C5017" s="638">
        <v>6334.48</v>
      </c>
      <c r="D5017" s="633">
        <f t="shared" si="160"/>
        <v>6334.48</v>
      </c>
      <c r="E5017" s="608"/>
      <c r="F5017" s="760">
        <f t="shared" si="161"/>
        <v>2672.4852170113791</v>
      </c>
      <c r="M5017" s="443"/>
    </row>
    <row r="5018" spans="1:13">
      <c r="A5018" s="639">
        <v>72713</v>
      </c>
      <c r="B5018" s="639">
        <v>2300</v>
      </c>
      <c r="C5018" s="638">
        <v>5697.652</v>
      </c>
      <c r="D5018" s="633">
        <f t="shared" si="160"/>
        <v>5697.652</v>
      </c>
      <c r="E5018" s="608"/>
      <c r="F5018" s="760">
        <f t="shared" si="161"/>
        <v>2403.8106903290118</v>
      </c>
      <c r="M5018" s="443"/>
    </row>
    <row r="5019" spans="1:13">
      <c r="A5019" s="639">
        <v>72713</v>
      </c>
      <c r="B5019" s="639">
        <v>2400</v>
      </c>
      <c r="C5019" s="638">
        <v>5063.1009999999997</v>
      </c>
      <c r="D5019" s="633">
        <f t="shared" si="160"/>
        <v>5063.1009999999997</v>
      </c>
      <c r="E5019" s="608"/>
      <c r="F5019" s="760">
        <f t="shared" si="161"/>
        <v>2136.096818481632</v>
      </c>
      <c r="M5019" s="443"/>
    </row>
    <row r="5020" spans="1:13">
      <c r="A5020" s="639">
        <v>72813</v>
      </c>
      <c r="B5020" s="639">
        <v>100</v>
      </c>
      <c r="C5020" s="638">
        <v>4622.848</v>
      </c>
      <c r="D5020" s="633">
        <f t="shared" si="160"/>
        <v>4622.848</v>
      </c>
      <c r="E5020" s="608"/>
      <c r="F5020" s="760">
        <f t="shared" si="161"/>
        <v>1950.3562945167746</v>
      </c>
      <c r="M5020" s="443"/>
    </row>
    <row r="5021" spans="1:13">
      <c r="A5021" s="639">
        <v>72813</v>
      </c>
      <c r="B5021" s="639">
        <v>200</v>
      </c>
      <c r="C5021" s="638">
        <v>4373.6499999999996</v>
      </c>
      <c r="D5021" s="633">
        <f t="shared" si="160"/>
        <v>4373.6499999999996</v>
      </c>
      <c r="E5021" s="608"/>
      <c r="F5021" s="760">
        <f t="shared" si="161"/>
        <v>1845.2209130633953</v>
      </c>
      <c r="M5021" s="443"/>
    </row>
    <row r="5022" spans="1:13">
      <c r="A5022" s="639">
        <v>72813</v>
      </c>
      <c r="B5022" s="639">
        <v>300</v>
      </c>
      <c r="C5022" s="638">
        <v>4197.3220000000001</v>
      </c>
      <c r="D5022" s="633">
        <f t="shared" si="160"/>
        <v>4197.3220000000001</v>
      </c>
      <c r="E5022" s="608"/>
      <c r="F5022" s="760">
        <f t="shared" si="161"/>
        <v>1770.8290176994221</v>
      </c>
      <c r="M5022" s="443"/>
    </row>
    <row r="5023" spans="1:13">
      <c r="A5023" s="639">
        <v>72813</v>
      </c>
      <c r="B5023" s="639">
        <v>400</v>
      </c>
      <c r="C5023" s="638">
        <v>4143.799</v>
      </c>
      <c r="D5023" s="633">
        <f t="shared" si="160"/>
        <v>4143.799</v>
      </c>
      <c r="E5023" s="608"/>
      <c r="F5023" s="760">
        <f t="shared" si="161"/>
        <v>1748.2479334951781</v>
      </c>
      <c r="M5023" s="443"/>
    </row>
    <row r="5024" spans="1:13">
      <c r="A5024" s="639">
        <v>72813</v>
      </c>
      <c r="B5024" s="639">
        <v>500</v>
      </c>
      <c r="C5024" s="638">
        <v>4156.4189999999999</v>
      </c>
      <c r="D5024" s="633">
        <f t="shared" si="160"/>
        <v>4156.4189999999999</v>
      </c>
      <c r="E5024" s="608"/>
      <c r="F5024" s="760">
        <f t="shared" si="161"/>
        <v>1753.572247951721</v>
      </c>
      <c r="M5024" s="443"/>
    </row>
    <row r="5025" spans="1:13">
      <c r="A5025" s="639">
        <v>72813</v>
      </c>
      <c r="B5025" s="639">
        <v>600</v>
      </c>
      <c r="C5025" s="638">
        <v>4202.134</v>
      </c>
      <c r="D5025" s="633">
        <f t="shared" si="160"/>
        <v>4202.134</v>
      </c>
      <c r="E5025" s="608"/>
      <c r="F5025" s="760">
        <f t="shared" si="161"/>
        <v>1772.8591762703322</v>
      </c>
      <c r="M5025" s="443"/>
    </row>
    <row r="5026" spans="1:13">
      <c r="A5026" s="639">
        <v>72813</v>
      </c>
      <c r="B5026" s="639">
        <v>700</v>
      </c>
      <c r="C5026" s="638">
        <v>4611.5810000000001</v>
      </c>
      <c r="D5026" s="633">
        <f t="shared" si="160"/>
        <v>4611.5810000000001</v>
      </c>
      <c r="E5026" s="608"/>
      <c r="F5026" s="760">
        <f t="shared" si="161"/>
        <v>1945.6028039476882</v>
      </c>
      <c r="M5026" s="443"/>
    </row>
    <row r="5027" spans="1:13">
      <c r="A5027" s="639">
        <v>72813</v>
      </c>
      <c r="B5027" s="639">
        <v>800</v>
      </c>
      <c r="C5027" s="638">
        <v>5105.7969999999996</v>
      </c>
      <c r="D5027" s="633">
        <f t="shared" si="160"/>
        <v>5105.7969999999996</v>
      </c>
      <c r="E5027" s="608"/>
      <c r="F5027" s="760">
        <f t="shared" si="161"/>
        <v>2154.1100459013282</v>
      </c>
      <c r="M5027" s="443"/>
    </row>
    <row r="5028" spans="1:13">
      <c r="A5028" s="639">
        <v>72813</v>
      </c>
      <c r="B5028" s="639">
        <v>900</v>
      </c>
      <c r="C5028" s="638">
        <v>5582.1549999999997</v>
      </c>
      <c r="D5028" s="633">
        <f t="shared" si="160"/>
        <v>5582.1549999999997</v>
      </c>
      <c r="E5028" s="608"/>
      <c r="F5028" s="760">
        <f t="shared" si="161"/>
        <v>2355.0830875724851</v>
      </c>
      <c r="M5028" s="443"/>
    </row>
    <row r="5029" spans="1:13">
      <c r="A5029" s="639">
        <v>72813</v>
      </c>
      <c r="B5029" s="639">
        <v>1000</v>
      </c>
      <c r="C5029" s="638">
        <v>5752.9669999999996</v>
      </c>
      <c r="D5029" s="633">
        <f t="shared" si="160"/>
        <v>5752.9669999999996</v>
      </c>
      <c r="E5029" s="608"/>
      <c r="F5029" s="760">
        <f t="shared" si="161"/>
        <v>2427.1478103102863</v>
      </c>
      <c r="M5029" s="443"/>
    </row>
    <row r="5030" spans="1:13">
      <c r="A5030" s="639">
        <v>72813</v>
      </c>
      <c r="B5030" s="639">
        <v>1100</v>
      </c>
      <c r="C5030" s="638">
        <v>5816.3609999999999</v>
      </c>
      <c r="D5030" s="633">
        <f t="shared" si="160"/>
        <v>5816.3609999999999</v>
      </c>
      <c r="E5030" s="608"/>
      <c r="F5030" s="760">
        <f t="shared" si="161"/>
        <v>2453.8934197126709</v>
      </c>
      <c r="M5030" s="443"/>
    </row>
    <row r="5031" spans="1:13">
      <c r="A5031" s="639">
        <v>72813</v>
      </c>
      <c r="B5031" s="639">
        <v>1200</v>
      </c>
      <c r="C5031" s="638">
        <v>5828.8459999999995</v>
      </c>
      <c r="D5031" s="633">
        <f t="shared" si="160"/>
        <v>5828.8459999999995</v>
      </c>
      <c r="E5031" s="608"/>
      <c r="F5031" s="760">
        <f t="shared" si="161"/>
        <v>2459.160778348958</v>
      </c>
      <c r="M5031" s="443"/>
    </row>
    <row r="5032" spans="1:13">
      <c r="A5032" s="639">
        <v>72813</v>
      </c>
      <c r="B5032" s="639">
        <v>1300</v>
      </c>
      <c r="C5032" s="638">
        <v>6016.2430000000004</v>
      </c>
      <c r="D5032" s="633">
        <f t="shared" si="160"/>
        <v>6016.2430000000004</v>
      </c>
      <c r="E5032" s="608"/>
      <c r="F5032" s="760">
        <f t="shared" si="161"/>
        <v>2538.2226290789754</v>
      </c>
      <c r="M5032" s="443"/>
    </row>
    <row r="5033" spans="1:13">
      <c r="A5033" s="639">
        <v>72813</v>
      </c>
      <c r="B5033" s="639">
        <v>1400</v>
      </c>
      <c r="C5033" s="638">
        <v>5859.6469999999999</v>
      </c>
      <c r="D5033" s="633">
        <f t="shared" si="160"/>
        <v>5859.6469999999999</v>
      </c>
      <c r="E5033" s="608"/>
      <c r="F5033" s="760">
        <f t="shared" si="161"/>
        <v>2472.1555651616354</v>
      </c>
      <c r="M5033" s="443"/>
    </row>
    <row r="5034" spans="1:13">
      <c r="A5034" s="639">
        <v>72813</v>
      </c>
      <c r="B5034" s="639">
        <v>1500</v>
      </c>
      <c r="C5034" s="638">
        <v>6065.6360000000004</v>
      </c>
      <c r="D5034" s="633">
        <f t="shared" si="160"/>
        <v>6065.6360000000004</v>
      </c>
      <c r="E5034" s="608"/>
      <c r="F5034" s="760">
        <f t="shared" si="161"/>
        <v>2559.0612870783448</v>
      </c>
      <c r="M5034" s="443"/>
    </row>
    <row r="5035" spans="1:13">
      <c r="A5035" s="639">
        <v>72813</v>
      </c>
      <c r="B5035" s="639">
        <v>1600</v>
      </c>
      <c r="C5035" s="638">
        <v>6377.69</v>
      </c>
      <c r="D5035" s="633">
        <f t="shared" si="160"/>
        <v>6377.69</v>
      </c>
      <c r="E5035" s="608"/>
      <c r="F5035" s="760">
        <f t="shared" si="161"/>
        <v>2690.7152984430131</v>
      </c>
      <c r="M5035" s="443"/>
    </row>
    <row r="5036" spans="1:13">
      <c r="A5036" s="639">
        <v>72813</v>
      </c>
      <c r="B5036" s="639">
        <v>1700</v>
      </c>
      <c r="C5036" s="638">
        <v>6700.1559999999999</v>
      </c>
      <c r="D5036" s="633">
        <f t="shared" si="160"/>
        <v>6700.1559999999999</v>
      </c>
      <c r="E5036" s="608"/>
      <c r="F5036" s="760">
        <f t="shared" si="161"/>
        <v>2826.7620801818134</v>
      </c>
      <c r="M5036" s="443"/>
    </row>
    <row r="5037" spans="1:13">
      <c r="A5037" s="639">
        <v>72813</v>
      </c>
      <c r="B5037" s="639">
        <v>1800</v>
      </c>
      <c r="C5037" s="638">
        <v>6666.4809999999998</v>
      </c>
      <c r="D5037" s="633">
        <f t="shared" si="160"/>
        <v>6666.4809999999998</v>
      </c>
      <c r="E5037" s="608"/>
      <c r="F5037" s="760">
        <f t="shared" si="161"/>
        <v>2812.5547672401262</v>
      </c>
      <c r="M5037" s="443"/>
    </row>
    <row r="5038" spans="1:13">
      <c r="A5038" s="639">
        <v>72813</v>
      </c>
      <c r="B5038" s="639">
        <v>1900</v>
      </c>
      <c r="C5038" s="638">
        <v>6519.5360000000001</v>
      </c>
      <c r="D5038" s="633">
        <f t="shared" si="160"/>
        <v>6519.5360000000001</v>
      </c>
      <c r="E5038" s="608"/>
      <c r="F5038" s="760">
        <f t="shared" si="161"/>
        <v>2750.5594116286575</v>
      </c>
      <c r="M5038" s="443"/>
    </row>
    <row r="5039" spans="1:13">
      <c r="A5039" s="639">
        <v>72813</v>
      </c>
      <c r="B5039" s="639">
        <v>2000</v>
      </c>
      <c r="C5039" s="638">
        <v>6516.19</v>
      </c>
      <c r="D5039" s="633">
        <f t="shared" si="160"/>
        <v>6516.19</v>
      </c>
      <c r="E5039" s="608"/>
      <c r="F5039" s="760">
        <f t="shared" si="161"/>
        <v>2749.1477510762329</v>
      </c>
      <c r="M5039" s="443"/>
    </row>
    <row r="5040" spans="1:13">
      <c r="A5040" s="639">
        <v>72813</v>
      </c>
      <c r="B5040" s="639">
        <v>2100</v>
      </c>
      <c r="C5040" s="638">
        <v>6591.1149999999998</v>
      </c>
      <c r="D5040" s="633">
        <f t="shared" si="160"/>
        <v>6591.1149999999998</v>
      </c>
      <c r="E5040" s="608"/>
      <c r="F5040" s="760">
        <f t="shared" si="161"/>
        <v>2780.7582313184275</v>
      </c>
      <c r="M5040" s="443"/>
    </row>
    <row r="5041" spans="1:13">
      <c r="A5041" s="639">
        <v>72813</v>
      </c>
      <c r="B5041" s="639">
        <v>2200</v>
      </c>
      <c r="C5041" s="638">
        <v>6014.8370000000004</v>
      </c>
      <c r="D5041" s="633">
        <f t="shared" si="160"/>
        <v>6014.8370000000004</v>
      </c>
      <c r="E5041" s="608"/>
      <c r="F5041" s="760">
        <f t="shared" si="161"/>
        <v>2537.6294447583814</v>
      </c>
      <c r="M5041" s="443"/>
    </row>
    <row r="5042" spans="1:13">
      <c r="A5042" s="639">
        <v>72813</v>
      </c>
      <c r="B5042" s="639">
        <v>2300</v>
      </c>
      <c r="C5042" s="638">
        <v>5197.6629999999996</v>
      </c>
      <c r="D5042" s="633">
        <f t="shared" si="160"/>
        <v>5197.6629999999996</v>
      </c>
      <c r="E5042" s="608"/>
      <c r="F5042" s="760">
        <f t="shared" si="161"/>
        <v>2192.8678487432294</v>
      </c>
      <c r="M5042" s="443"/>
    </row>
    <row r="5043" spans="1:13">
      <c r="A5043" s="639">
        <v>72813</v>
      </c>
      <c r="B5043" s="639">
        <v>2400</v>
      </c>
      <c r="C5043" s="638">
        <v>4558.5360000000001</v>
      </c>
      <c r="D5043" s="633">
        <f t="shared" si="160"/>
        <v>4558.5360000000001</v>
      </c>
      <c r="E5043" s="608"/>
      <c r="F5043" s="760">
        <f t="shared" si="161"/>
        <v>1923.2233855366476</v>
      </c>
      <c r="M5043" s="443"/>
    </row>
    <row r="5044" spans="1:13">
      <c r="A5044" s="639">
        <v>72913</v>
      </c>
      <c r="B5044" s="639">
        <v>100</v>
      </c>
      <c r="C5044" s="638">
        <v>4227.5640000000003</v>
      </c>
      <c r="D5044" s="633">
        <f t="shared" si="160"/>
        <v>4227.5640000000003</v>
      </c>
      <c r="E5044" s="608"/>
      <c r="F5044" s="760">
        <f t="shared" si="161"/>
        <v>1783.5879652267422</v>
      </c>
      <c r="M5044" s="443"/>
    </row>
    <row r="5045" spans="1:13">
      <c r="A5045" s="639">
        <v>72913</v>
      </c>
      <c r="B5045" s="639">
        <v>200</v>
      </c>
      <c r="C5045" s="638">
        <v>4073.6030000000001</v>
      </c>
      <c r="D5045" s="633">
        <f t="shared" si="160"/>
        <v>4073.6030000000001</v>
      </c>
      <c r="E5045" s="608"/>
      <c r="F5045" s="760">
        <f t="shared" si="161"/>
        <v>1718.6325945418098</v>
      </c>
      <c r="M5045" s="443"/>
    </row>
    <row r="5046" spans="1:13">
      <c r="A5046" s="639">
        <v>72913</v>
      </c>
      <c r="B5046" s="639">
        <v>300</v>
      </c>
      <c r="C5046" s="638">
        <v>4026.7820000000002</v>
      </c>
      <c r="D5046" s="633">
        <f t="shared" si="160"/>
        <v>4026.7820000000002</v>
      </c>
      <c r="E5046" s="608"/>
      <c r="F5046" s="760">
        <f t="shared" si="161"/>
        <v>1698.8790503920629</v>
      </c>
      <c r="M5046" s="443"/>
    </row>
    <row r="5047" spans="1:13">
      <c r="A5047" s="639">
        <v>72913</v>
      </c>
      <c r="B5047" s="639">
        <v>400</v>
      </c>
      <c r="C5047" s="638">
        <v>4014.1610000000001</v>
      </c>
      <c r="D5047" s="633">
        <f t="shared" si="160"/>
        <v>4014.1610000000001</v>
      </c>
      <c r="E5047" s="608"/>
      <c r="F5047" s="760">
        <f t="shared" si="161"/>
        <v>1693.5543140405548</v>
      </c>
      <c r="M5047" s="443"/>
    </row>
    <row r="5048" spans="1:13">
      <c r="A5048" s="639">
        <v>72913</v>
      </c>
      <c r="B5048" s="639">
        <v>500</v>
      </c>
      <c r="C5048" s="638">
        <v>4238.1030000000001</v>
      </c>
      <c r="D5048" s="633">
        <f t="shared" si="160"/>
        <v>4238.1030000000001</v>
      </c>
      <c r="E5048" s="608"/>
      <c r="F5048" s="760">
        <f t="shared" si="161"/>
        <v>1788.0343162614099</v>
      </c>
      <c r="M5048" s="443"/>
    </row>
    <row r="5049" spans="1:13">
      <c r="A5049" s="639">
        <v>72913</v>
      </c>
      <c r="B5049" s="639">
        <v>600</v>
      </c>
      <c r="C5049" s="638">
        <v>4667.2330000000002</v>
      </c>
      <c r="D5049" s="633">
        <f t="shared" si="160"/>
        <v>4667.2330000000002</v>
      </c>
      <c r="E5049" s="608"/>
      <c r="F5049" s="760">
        <f t="shared" si="161"/>
        <v>1969.0821025321209</v>
      </c>
      <c r="M5049" s="443"/>
    </row>
    <row r="5050" spans="1:13">
      <c r="A5050" s="639">
        <v>72913</v>
      </c>
      <c r="B5050" s="639">
        <v>700</v>
      </c>
      <c r="C5050" s="638">
        <v>5040.3320000000003</v>
      </c>
      <c r="D5050" s="633">
        <f t="shared" si="160"/>
        <v>5040.3320000000003</v>
      </c>
      <c r="E5050" s="608"/>
      <c r="F5050" s="760">
        <f t="shared" si="161"/>
        <v>2126.4906920267172</v>
      </c>
      <c r="M5050" s="443"/>
    </row>
    <row r="5051" spans="1:13">
      <c r="A5051" s="639">
        <v>72913</v>
      </c>
      <c r="B5051" s="639">
        <v>800</v>
      </c>
      <c r="C5051" s="638">
        <v>5173.2129999999997</v>
      </c>
      <c r="D5051" s="633">
        <f t="shared" si="160"/>
        <v>5173.2129999999997</v>
      </c>
      <c r="E5051" s="608"/>
      <c r="F5051" s="760">
        <f t="shared" si="161"/>
        <v>2182.5525168523836</v>
      </c>
      <c r="M5051" s="443"/>
    </row>
    <row r="5052" spans="1:13">
      <c r="A5052" s="639">
        <v>72913</v>
      </c>
      <c r="B5052" s="639">
        <v>900</v>
      </c>
      <c r="C5052" s="638">
        <v>5368.8850000000002</v>
      </c>
      <c r="D5052" s="633">
        <f t="shared" si="160"/>
        <v>5368.8850000000002</v>
      </c>
      <c r="E5052" s="608"/>
      <c r="F5052" s="760">
        <f t="shared" si="161"/>
        <v>2265.1055484166241</v>
      </c>
      <c r="M5052" s="443"/>
    </row>
    <row r="5053" spans="1:13">
      <c r="A5053" s="639">
        <v>72913</v>
      </c>
      <c r="B5053" s="639">
        <v>1000</v>
      </c>
      <c r="C5053" s="638">
        <v>5418.3770000000004</v>
      </c>
      <c r="D5053" s="633">
        <f t="shared" si="160"/>
        <v>5418.3770000000004</v>
      </c>
      <c r="E5053" s="608"/>
      <c r="F5053" s="760">
        <f t="shared" si="161"/>
        <v>2285.9859740175143</v>
      </c>
      <c r="M5053" s="443"/>
    </row>
    <row r="5054" spans="1:13">
      <c r="A5054" s="639">
        <v>72913</v>
      </c>
      <c r="B5054" s="639">
        <v>1100</v>
      </c>
      <c r="C5054" s="638">
        <v>5438.9269999999997</v>
      </c>
      <c r="D5054" s="633">
        <f t="shared" si="160"/>
        <v>5438.9269999999997</v>
      </c>
      <c r="E5054" s="608"/>
      <c r="F5054" s="760">
        <f t="shared" si="161"/>
        <v>2294.6559155454033</v>
      </c>
      <c r="M5054" s="443"/>
    </row>
    <row r="5055" spans="1:13">
      <c r="A5055" s="639">
        <v>72913</v>
      </c>
      <c r="B5055" s="639">
        <v>1200</v>
      </c>
      <c r="C5055" s="638">
        <v>5434.223</v>
      </c>
      <c r="D5055" s="633">
        <f t="shared" si="160"/>
        <v>5434.223</v>
      </c>
      <c r="E5055" s="608"/>
      <c r="F5055" s="760">
        <f t="shared" si="161"/>
        <v>2292.6713216306985</v>
      </c>
      <c r="M5055" s="443"/>
    </row>
    <row r="5056" spans="1:13">
      <c r="A5056" s="639">
        <v>72913</v>
      </c>
      <c r="B5056" s="639">
        <v>1300</v>
      </c>
      <c r="C5056" s="638">
        <v>5379.8220000000001</v>
      </c>
      <c r="D5056" s="633">
        <f t="shared" si="160"/>
        <v>5379.8220000000001</v>
      </c>
      <c r="E5056" s="608"/>
      <c r="F5056" s="760">
        <f t="shared" si="161"/>
        <v>2269.7198136473066</v>
      </c>
      <c r="M5056" s="443"/>
    </row>
    <row r="5057" spans="1:13">
      <c r="A5057" s="639">
        <v>72913</v>
      </c>
      <c r="B5057" s="639">
        <v>1400</v>
      </c>
      <c r="C5057" s="638">
        <v>5347.1750000000002</v>
      </c>
      <c r="D5057" s="633">
        <f t="shared" si="160"/>
        <v>5347.1750000000002</v>
      </c>
      <c r="E5057" s="608"/>
      <c r="F5057" s="760">
        <f t="shared" si="161"/>
        <v>2255.9462087294964</v>
      </c>
      <c r="M5057" s="443"/>
    </row>
    <row r="5058" spans="1:13">
      <c r="A5058" s="639">
        <v>72913</v>
      </c>
      <c r="B5058" s="639">
        <v>1500</v>
      </c>
      <c r="C5058" s="638">
        <v>5487.616</v>
      </c>
      <c r="D5058" s="633">
        <f t="shared" si="160"/>
        <v>5487.616</v>
      </c>
      <c r="E5058" s="608"/>
      <c r="F5058" s="760">
        <f t="shared" si="161"/>
        <v>2315.1975594895107</v>
      </c>
      <c r="M5058" s="443"/>
    </row>
    <row r="5059" spans="1:13">
      <c r="A5059" s="639">
        <v>72913</v>
      </c>
      <c r="B5059" s="639">
        <v>1600</v>
      </c>
      <c r="C5059" s="638">
        <v>5597.585</v>
      </c>
      <c r="D5059" s="633">
        <f t="shared" si="160"/>
        <v>5597.585</v>
      </c>
      <c r="E5059" s="608"/>
      <c r="F5059" s="760">
        <f t="shared" si="161"/>
        <v>2361.592926880287</v>
      </c>
      <c r="M5059" s="443"/>
    </row>
    <row r="5060" spans="1:13">
      <c r="A5060" s="639">
        <v>72913</v>
      </c>
      <c r="B5060" s="639">
        <v>1700</v>
      </c>
      <c r="C5060" s="638">
        <v>6120.1670000000004</v>
      </c>
      <c r="D5060" s="633">
        <f t="shared" si="160"/>
        <v>6120.1670000000004</v>
      </c>
      <c r="E5060" s="608"/>
      <c r="F5060" s="760">
        <f t="shared" si="161"/>
        <v>2582.0676414071686</v>
      </c>
      <c r="M5060" s="443"/>
    </row>
    <row r="5061" spans="1:13">
      <c r="A5061" s="639">
        <v>72913</v>
      </c>
      <c r="B5061" s="639">
        <v>1800</v>
      </c>
      <c r="C5061" s="638">
        <v>6371.348</v>
      </c>
      <c r="D5061" s="633">
        <f t="shared" ref="D5061:D5124" si="162">C5061</f>
        <v>6371.348</v>
      </c>
      <c r="E5061" s="608"/>
      <c r="F5061" s="760">
        <f t="shared" si="161"/>
        <v>2688.0396405758665</v>
      </c>
      <c r="M5061" s="443"/>
    </row>
    <row r="5062" spans="1:13">
      <c r="A5062" s="639">
        <v>72913</v>
      </c>
      <c r="B5062" s="639">
        <v>1900</v>
      </c>
      <c r="C5062" s="638">
        <v>6352.9480000000003</v>
      </c>
      <c r="D5062" s="633">
        <f t="shared" si="162"/>
        <v>6352.9480000000003</v>
      </c>
      <c r="E5062" s="608"/>
      <c r="F5062" s="760">
        <f t="shared" si="161"/>
        <v>2680.2767732224279</v>
      </c>
      <c r="M5062" s="443"/>
    </row>
    <row r="5063" spans="1:13">
      <c r="A5063" s="639">
        <v>72913</v>
      </c>
      <c r="B5063" s="639">
        <v>2000</v>
      </c>
      <c r="C5063" s="638">
        <v>6413.5810000000001</v>
      </c>
      <c r="D5063" s="633">
        <f t="shared" si="162"/>
        <v>6413.5810000000001</v>
      </c>
      <c r="E5063" s="608"/>
      <c r="F5063" s="760">
        <f t="shared" si="161"/>
        <v>2705.8575306268322</v>
      </c>
      <c r="M5063" s="443"/>
    </row>
    <row r="5064" spans="1:13">
      <c r="A5064" s="639">
        <v>72913</v>
      </c>
      <c r="B5064" s="639">
        <v>2100</v>
      </c>
      <c r="C5064" s="638">
        <v>6680.2110000000002</v>
      </c>
      <c r="D5064" s="633">
        <f t="shared" si="162"/>
        <v>6680.2110000000002</v>
      </c>
      <c r="E5064" s="608"/>
      <c r="F5064" s="760">
        <f t="shared" si="161"/>
        <v>2818.3473851076651</v>
      </c>
      <c r="M5064" s="443"/>
    </row>
    <row r="5065" spans="1:13">
      <c r="A5065" s="639">
        <v>72913</v>
      </c>
      <c r="B5065" s="639">
        <v>2200</v>
      </c>
      <c r="C5065" s="638">
        <v>6106.2969999999996</v>
      </c>
      <c r="D5065" s="633">
        <f t="shared" si="162"/>
        <v>6106.2969999999996</v>
      </c>
      <c r="E5065" s="608"/>
      <c r="F5065" s="760">
        <f t="shared" si="161"/>
        <v>2576.2159582445493</v>
      </c>
      <c r="M5065" s="443"/>
    </row>
    <row r="5066" spans="1:13">
      <c r="A5066" s="639">
        <v>72913</v>
      </c>
      <c r="B5066" s="639">
        <v>2300</v>
      </c>
      <c r="C5066" s="638">
        <v>5249.5990000000002</v>
      </c>
      <c r="D5066" s="633">
        <f t="shared" si="162"/>
        <v>5249.5990000000002</v>
      </c>
      <c r="E5066" s="608"/>
      <c r="F5066" s="760">
        <f t="shared" si="161"/>
        <v>2214.77938563824</v>
      </c>
      <c r="M5066" s="443"/>
    </row>
    <row r="5067" spans="1:13">
      <c r="A5067" s="639">
        <v>72913</v>
      </c>
      <c r="B5067" s="639">
        <v>2400</v>
      </c>
      <c r="C5067" s="638">
        <v>4639.3760000000002</v>
      </c>
      <c r="D5067" s="633">
        <f t="shared" si="162"/>
        <v>4639.3760000000002</v>
      </c>
      <c r="E5067" s="608"/>
      <c r="F5067" s="760">
        <f t="shared" si="161"/>
        <v>1957.3293744959938</v>
      </c>
      <c r="M5067" s="443"/>
    </row>
    <row r="5068" spans="1:13">
      <c r="A5068" s="639">
        <v>73013</v>
      </c>
      <c r="B5068" s="639">
        <v>100</v>
      </c>
      <c r="C5068" s="638">
        <v>4271.5129999999999</v>
      </c>
      <c r="D5068" s="633">
        <f t="shared" si="162"/>
        <v>4271.5129999999999</v>
      </c>
      <c r="E5068" s="608"/>
      <c r="F5068" s="760">
        <f t="shared" si="161"/>
        <v>1802.1298270374089</v>
      </c>
      <c r="M5068" s="443"/>
    </row>
    <row r="5069" spans="1:13">
      <c r="A5069" s="639">
        <v>73013</v>
      </c>
      <c r="B5069" s="639">
        <v>200</v>
      </c>
      <c r="C5069" s="638">
        <v>4061.6909999999998</v>
      </c>
      <c r="D5069" s="633">
        <f t="shared" si="162"/>
        <v>4061.6909999999998</v>
      </c>
      <c r="E5069" s="608"/>
      <c r="F5069" s="760">
        <f t="shared" si="161"/>
        <v>1713.6069817203881</v>
      </c>
      <c r="M5069" s="443"/>
    </row>
    <row r="5070" spans="1:13">
      <c r="A5070" s="639">
        <v>73013</v>
      </c>
      <c r="B5070" s="639">
        <v>300</v>
      </c>
      <c r="C5070" s="638">
        <v>4028.1460000000002</v>
      </c>
      <c r="D5070" s="633">
        <f t="shared" si="162"/>
        <v>4028.1460000000002</v>
      </c>
      <c r="E5070" s="608"/>
      <c r="F5070" s="760">
        <f t="shared" si="161"/>
        <v>1699.454515124133</v>
      </c>
      <c r="M5070" s="443"/>
    </row>
    <row r="5071" spans="1:13">
      <c r="A5071" s="639">
        <v>73013</v>
      </c>
      <c r="B5071" s="639">
        <v>400</v>
      </c>
      <c r="C5071" s="638">
        <v>4076.0970000000002</v>
      </c>
      <c r="D5071" s="633">
        <f t="shared" si="162"/>
        <v>4076.0970000000002</v>
      </c>
      <c r="E5071" s="608"/>
      <c r="F5071" s="760">
        <f t="shared" si="161"/>
        <v>1719.6848005841728</v>
      </c>
      <c r="M5071" s="443"/>
    </row>
    <row r="5072" spans="1:13">
      <c r="A5072" s="639">
        <v>73013</v>
      </c>
      <c r="B5072" s="639">
        <v>500</v>
      </c>
      <c r="C5072" s="638">
        <v>4311.5569999999998</v>
      </c>
      <c r="D5072" s="633">
        <f t="shared" si="162"/>
        <v>4311.5569999999998</v>
      </c>
      <c r="E5072" s="608"/>
      <c r="F5072" s="760">
        <f t="shared" si="161"/>
        <v>1819.0241890102943</v>
      </c>
      <c r="M5072" s="443"/>
    </row>
    <row r="5073" spans="1:13">
      <c r="A5073" s="639">
        <v>73013</v>
      </c>
      <c r="B5073" s="639">
        <v>600</v>
      </c>
      <c r="C5073" s="638">
        <v>4753.1859999999997</v>
      </c>
      <c r="D5073" s="633">
        <f t="shared" si="162"/>
        <v>4753.1859999999997</v>
      </c>
      <c r="E5073" s="608"/>
      <c r="F5073" s="760">
        <f t="shared" si="161"/>
        <v>2005.3452404468003</v>
      </c>
      <c r="M5073" s="443"/>
    </row>
    <row r="5074" spans="1:13">
      <c r="A5074" s="639">
        <v>73013</v>
      </c>
      <c r="B5074" s="639">
        <v>700</v>
      </c>
      <c r="C5074" s="638">
        <v>5249.1509999999998</v>
      </c>
      <c r="D5074" s="633">
        <f t="shared" si="162"/>
        <v>5249.1509999999998</v>
      </c>
      <c r="E5074" s="608"/>
      <c r="F5074" s="760">
        <f t="shared" si="161"/>
        <v>2214.5903766939823</v>
      </c>
      <c r="M5074" s="443"/>
    </row>
    <row r="5075" spans="1:13">
      <c r="A5075" s="639">
        <v>73013</v>
      </c>
      <c r="B5075" s="639">
        <v>800</v>
      </c>
      <c r="C5075" s="638">
        <v>5343.4849999999997</v>
      </c>
      <c r="D5075" s="633">
        <f t="shared" si="162"/>
        <v>5343.4849999999997</v>
      </c>
      <c r="E5075" s="608"/>
      <c r="F5075" s="760">
        <f t="shared" si="161"/>
        <v>2254.38941630916</v>
      </c>
      <c r="M5075" s="443"/>
    </row>
    <row r="5076" spans="1:13">
      <c r="A5076" s="639">
        <v>73013</v>
      </c>
      <c r="B5076" s="639">
        <v>900</v>
      </c>
      <c r="C5076" s="638">
        <v>5400.674</v>
      </c>
      <c r="D5076" s="633">
        <f t="shared" si="162"/>
        <v>5400.674</v>
      </c>
      <c r="E5076" s="608"/>
      <c r="F5076" s="760">
        <f t="shared" ref="F5076:F5115" si="163">(D5076/(MAX($D$4372:$D$5115)))*$M$10</f>
        <v>2278.5171674545836</v>
      </c>
      <c r="M5076" s="443"/>
    </row>
    <row r="5077" spans="1:13">
      <c r="A5077" s="639">
        <v>73013</v>
      </c>
      <c r="B5077" s="639">
        <v>1000</v>
      </c>
      <c r="C5077" s="638">
        <v>5517.0379999999996</v>
      </c>
      <c r="D5077" s="633">
        <f t="shared" si="162"/>
        <v>5517.0379999999996</v>
      </c>
      <c r="E5077" s="608"/>
      <c r="F5077" s="760">
        <f t="shared" si="163"/>
        <v>2327.6105531456446</v>
      </c>
      <c r="M5077" s="443"/>
    </row>
    <row r="5078" spans="1:13">
      <c r="A5078" s="639">
        <v>73013</v>
      </c>
      <c r="B5078" s="639">
        <v>1100</v>
      </c>
      <c r="C5078" s="638">
        <v>5569.0169999999998</v>
      </c>
      <c r="D5078" s="633">
        <f t="shared" si="162"/>
        <v>5569.0169999999998</v>
      </c>
      <c r="E5078" s="608"/>
      <c r="F5078" s="760">
        <f t="shared" si="163"/>
        <v>2349.5402315241436</v>
      </c>
      <c r="M5078" s="443"/>
    </row>
    <row r="5079" spans="1:13">
      <c r="A5079" s="639">
        <v>73013</v>
      </c>
      <c r="B5079" s="639">
        <v>1200</v>
      </c>
      <c r="C5079" s="638">
        <v>5588.8270000000002</v>
      </c>
      <c r="D5079" s="633">
        <f t="shared" si="162"/>
        <v>5588.8270000000002</v>
      </c>
      <c r="E5079" s="608"/>
      <c r="F5079" s="760">
        <f t="shared" si="163"/>
        <v>2357.8979707780363</v>
      </c>
      <c r="M5079" s="443"/>
    </row>
    <row r="5080" spans="1:13">
      <c r="A5080" s="639">
        <v>73013</v>
      </c>
      <c r="B5080" s="639">
        <v>1300</v>
      </c>
      <c r="C5080" s="638">
        <v>5719.4470000000001</v>
      </c>
      <c r="D5080" s="633">
        <f t="shared" si="162"/>
        <v>5719.4470000000001</v>
      </c>
      <c r="E5080" s="608"/>
      <c r="F5080" s="760">
        <f t="shared" si="163"/>
        <v>2413.0058910881526</v>
      </c>
      <c r="M5080" s="443"/>
    </row>
    <row r="5081" spans="1:13">
      <c r="A5081" s="639">
        <v>73013</v>
      </c>
      <c r="B5081" s="639">
        <v>1400</v>
      </c>
      <c r="C5081" s="638">
        <v>5905.0529999999999</v>
      </c>
      <c r="D5081" s="633">
        <f t="shared" si="162"/>
        <v>5905.0529999999999</v>
      </c>
      <c r="E5081" s="608"/>
      <c r="F5081" s="760">
        <f t="shared" si="163"/>
        <v>2491.3121279361044</v>
      </c>
      <c r="M5081" s="443"/>
    </row>
    <row r="5082" spans="1:13">
      <c r="A5082" s="639">
        <v>73013</v>
      </c>
      <c r="B5082" s="639">
        <v>1500</v>
      </c>
      <c r="C5082" s="638">
        <v>6078.0969999999998</v>
      </c>
      <c r="D5082" s="633">
        <f t="shared" si="162"/>
        <v>6078.0969999999998</v>
      </c>
      <c r="E5082" s="608"/>
      <c r="F5082" s="760">
        <f t="shared" si="163"/>
        <v>2564.3185202354744</v>
      </c>
      <c r="M5082" s="443"/>
    </row>
    <row r="5083" spans="1:13">
      <c r="A5083" s="639">
        <v>73013</v>
      </c>
      <c r="B5083" s="639">
        <v>1600</v>
      </c>
      <c r="C5083" s="638">
        <v>6167.6959999999999</v>
      </c>
      <c r="D5083" s="633">
        <f t="shared" si="162"/>
        <v>6167.6959999999999</v>
      </c>
      <c r="E5083" s="608"/>
      <c r="F5083" s="760">
        <f t="shared" si="163"/>
        <v>2602.1198871920369</v>
      </c>
      <c r="M5083" s="443"/>
    </row>
    <row r="5084" spans="1:13">
      <c r="A5084" s="639">
        <v>73013</v>
      </c>
      <c r="B5084" s="639">
        <v>1700</v>
      </c>
      <c r="C5084" s="638">
        <v>6507.0280000000002</v>
      </c>
      <c r="D5084" s="633">
        <f t="shared" si="162"/>
        <v>6507.0280000000002</v>
      </c>
      <c r="E5084" s="608"/>
      <c r="F5084" s="760">
        <f t="shared" si="163"/>
        <v>2745.2823494081786</v>
      </c>
      <c r="M5084" s="443"/>
    </row>
    <row r="5085" spans="1:13">
      <c r="A5085" s="639">
        <v>73013</v>
      </c>
      <c r="B5085" s="639">
        <v>1800</v>
      </c>
      <c r="C5085" s="638">
        <v>6627.5150000000003</v>
      </c>
      <c r="D5085" s="633">
        <f t="shared" si="162"/>
        <v>6627.5150000000003</v>
      </c>
      <c r="E5085" s="608"/>
      <c r="F5085" s="760">
        <f t="shared" si="163"/>
        <v>2796.1152080393608</v>
      </c>
      <c r="M5085" s="443"/>
    </row>
    <row r="5086" spans="1:13">
      <c r="A5086" s="639">
        <v>73013</v>
      </c>
      <c r="B5086" s="639">
        <v>1900</v>
      </c>
      <c r="C5086" s="638">
        <v>6737.2259999999997</v>
      </c>
      <c r="D5086" s="633">
        <f t="shared" si="162"/>
        <v>6737.2259999999997</v>
      </c>
      <c r="E5086" s="608"/>
      <c r="F5086" s="760">
        <f t="shared" si="163"/>
        <v>2842.4017265292027</v>
      </c>
      <c r="M5086" s="443"/>
    </row>
    <row r="5087" spans="1:13">
      <c r="A5087" s="639">
        <v>73013</v>
      </c>
      <c r="B5087" s="639">
        <v>2000</v>
      </c>
      <c r="C5087" s="638">
        <v>6836.6019999999999</v>
      </c>
      <c r="D5087" s="633">
        <f t="shared" si="162"/>
        <v>6836.6019999999999</v>
      </c>
      <c r="E5087" s="608"/>
      <c r="F5087" s="760">
        <f t="shared" si="163"/>
        <v>2884.3279605572088</v>
      </c>
      <c r="M5087" s="443"/>
    </row>
    <row r="5088" spans="1:13">
      <c r="A5088" s="639">
        <v>73013</v>
      </c>
      <c r="B5088" s="639">
        <v>2100</v>
      </c>
      <c r="C5088" s="638">
        <v>7118.4520000000002</v>
      </c>
      <c r="D5088" s="633">
        <f t="shared" si="162"/>
        <v>7118.4520000000002</v>
      </c>
      <c r="E5088" s="608"/>
      <c r="F5088" s="760">
        <f t="shared" si="163"/>
        <v>3003.2390564032225</v>
      </c>
      <c r="M5088" s="443"/>
    </row>
    <row r="5089" spans="1:13">
      <c r="A5089" s="639">
        <v>73013</v>
      </c>
      <c r="B5089" s="639">
        <v>2200</v>
      </c>
      <c r="C5089" s="638">
        <v>6535.076</v>
      </c>
      <c r="D5089" s="633">
        <f t="shared" si="162"/>
        <v>6535.076</v>
      </c>
      <c r="E5089" s="608"/>
      <c r="F5089" s="760">
        <f t="shared" si="163"/>
        <v>2757.115659382594</v>
      </c>
      <c r="M5089" s="443"/>
    </row>
    <row r="5090" spans="1:13">
      <c r="A5090" s="639">
        <v>73013</v>
      </c>
      <c r="B5090" s="639">
        <v>2300</v>
      </c>
      <c r="C5090" s="638">
        <v>5442.0060000000003</v>
      </c>
      <c r="D5090" s="633">
        <f t="shared" si="162"/>
        <v>5442.0060000000003</v>
      </c>
      <c r="E5090" s="608"/>
      <c r="F5090" s="760">
        <f t="shared" si="163"/>
        <v>2295.9549301422098</v>
      </c>
      <c r="M5090" s="443"/>
    </row>
    <row r="5091" spans="1:13">
      <c r="A5091" s="639">
        <v>73013</v>
      </c>
      <c r="B5091" s="639">
        <v>2400</v>
      </c>
      <c r="C5091" s="638">
        <v>4760.6400000000003</v>
      </c>
      <c r="D5091" s="633">
        <f t="shared" si="162"/>
        <v>4760.6400000000003</v>
      </c>
      <c r="E5091" s="608"/>
      <c r="F5091" s="760">
        <f t="shared" si="163"/>
        <v>2008.4900455148729</v>
      </c>
      <c r="M5091" s="443"/>
    </row>
    <row r="5092" spans="1:13">
      <c r="A5092" s="639">
        <v>73113</v>
      </c>
      <c r="B5092" s="639">
        <v>100</v>
      </c>
      <c r="C5092" s="638">
        <v>4422.0079999999998</v>
      </c>
      <c r="D5092" s="633">
        <f t="shared" si="162"/>
        <v>4422.0079999999998</v>
      </c>
      <c r="E5092" s="608"/>
      <c r="F5092" s="760">
        <f t="shared" si="163"/>
        <v>1865.6229097741336</v>
      </c>
      <c r="M5092" s="443"/>
    </row>
    <row r="5093" spans="1:13">
      <c r="A5093" s="639">
        <v>73113</v>
      </c>
      <c r="B5093" s="639">
        <v>200</v>
      </c>
      <c r="C5093" s="638">
        <v>4218.6490000000003</v>
      </c>
      <c r="D5093" s="633">
        <f t="shared" si="162"/>
        <v>4218.6490000000003</v>
      </c>
      <c r="E5093" s="608"/>
      <c r="F5093" s="760">
        <f t="shared" si="163"/>
        <v>1779.8267716150083</v>
      </c>
      <c r="M5093" s="443"/>
    </row>
    <row r="5094" spans="1:13">
      <c r="A5094" s="639">
        <v>73113</v>
      </c>
      <c r="B5094" s="639">
        <v>300</v>
      </c>
      <c r="C5094" s="638">
        <v>4099.5770000000002</v>
      </c>
      <c r="D5094" s="633">
        <f t="shared" si="162"/>
        <v>4099.5770000000002</v>
      </c>
      <c r="E5094" s="608"/>
      <c r="F5094" s="760">
        <f t="shared" si="163"/>
        <v>1729.5908943591044</v>
      </c>
      <c r="M5094" s="443"/>
    </row>
    <row r="5095" spans="1:13">
      <c r="A5095" s="639">
        <v>73113</v>
      </c>
      <c r="B5095" s="639">
        <v>400</v>
      </c>
      <c r="C5095" s="638">
        <v>4136.2969999999996</v>
      </c>
      <c r="D5095" s="633">
        <f t="shared" si="162"/>
        <v>4136.2969999999996</v>
      </c>
      <c r="E5095" s="608"/>
      <c r="F5095" s="760">
        <f t="shared" si="163"/>
        <v>1745.082877468792</v>
      </c>
      <c r="M5095" s="443"/>
    </row>
    <row r="5096" spans="1:13">
      <c r="A5096" s="639">
        <v>73113</v>
      </c>
      <c r="B5096" s="639">
        <v>500</v>
      </c>
      <c r="C5096" s="638">
        <v>4353.8940000000002</v>
      </c>
      <c r="D5096" s="633">
        <f t="shared" si="162"/>
        <v>4353.8940000000002</v>
      </c>
      <c r="E5096" s="608"/>
      <c r="F5096" s="760">
        <f t="shared" si="163"/>
        <v>1836.8859561376057</v>
      </c>
      <c r="M5096" s="443"/>
    </row>
    <row r="5097" spans="1:13">
      <c r="A5097" s="639">
        <v>73113</v>
      </c>
      <c r="B5097" s="639">
        <v>600</v>
      </c>
      <c r="C5097" s="638">
        <v>4755.3440000000001</v>
      </c>
      <c r="D5097" s="633">
        <f t="shared" si="162"/>
        <v>4755.3440000000001</v>
      </c>
      <c r="E5097" s="608"/>
      <c r="F5097" s="760">
        <f t="shared" si="163"/>
        <v>2006.25568978097</v>
      </c>
      <c r="M5097" s="443"/>
    </row>
    <row r="5098" spans="1:13">
      <c r="A5098" s="639">
        <v>73113</v>
      </c>
      <c r="B5098" s="639">
        <v>700</v>
      </c>
      <c r="C5098" s="638">
        <v>5256.8630000000003</v>
      </c>
      <c r="D5098" s="633">
        <f t="shared" si="162"/>
        <v>5256.8630000000003</v>
      </c>
      <c r="E5098" s="608"/>
      <c r="F5098" s="760">
        <f t="shared" si="163"/>
        <v>2217.8440306629886</v>
      </c>
      <c r="M5098" s="443"/>
    </row>
    <row r="5099" spans="1:13">
      <c r="A5099" s="639">
        <v>73113</v>
      </c>
      <c r="B5099" s="639">
        <v>800</v>
      </c>
      <c r="C5099" s="638">
        <v>5445.7889999999998</v>
      </c>
      <c r="D5099" s="633">
        <f t="shared" si="162"/>
        <v>5445.7889999999998</v>
      </c>
      <c r="E5099" s="608"/>
      <c r="F5099" s="760">
        <f t="shared" si="163"/>
        <v>2297.5509587942784</v>
      </c>
      <c r="M5099" s="443"/>
    </row>
    <row r="5100" spans="1:13">
      <c r="A5100" s="639">
        <v>73113</v>
      </c>
      <c r="B5100" s="639">
        <v>900</v>
      </c>
      <c r="C5100" s="638">
        <v>5455.1270000000004</v>
      </c>
      <c r="D5100" s="633">
        <f t="shared" si="162"/>
        <v>5455.1270000000004</v>
      </c>
      <c r="E5100" s="608"/>
      <c r="F5100" s="760">
        <f t="shared" si="163"/>
        <v>2301.4906139761483</v>
      </c>
      <c r="M5100" s="443"/>
    </row>
    <row r="5101" spans="1:13">
      <c r="A5101" s="639">
        <v>73113</v>
      </c>
      <c r="B5101" s="639">
        <v>1000</v>
      </c>
      <c r="C5101" s="638">
        <v>5507.3410000000003</v>
      </c>
      <c r="D5101" s="633">
        <f t="shared" si="162"/>
        <v>5507.3410000000003</v>
      </c>
      <c r="E5101" s="608"/>
      <c r="F5101" s="760">
        <f t="shared" si="163"/>
        <v>2323.5194376713898</v>
      </c>
      <c r="M5101" s="443"/>
    </row>
    <row r="5102" spans="1:13">
      <c r="A5102" s="639">
        <v>73113</v>
      </c>
      <c r="B5102" s="639">
        <v>1100</v>
      </c>
      <c r="C5102" s="638">
        <v>5726.8339999999998</v>
      </c>
      <c r="D5102" s="633">
        <f t="shared" si="162"/>
        <v>5726.8339999999998</v>
      </c>
      <c r="E5102" s="608"/>
      <c r="F5102" s="760">
        <f t="shared" si="163"/>
        <v>2416.1224291935791</v>
      </c>
      <c r="M5102" s="443"/>
    </row>
    <row r="5103" spans="1:13">
      <c r="A5103" s="639">
        <v>73113</v>
      </c>
      <c r="B5103" s="639">
        <v>1200</v>
      </c>
      <c r="C5103" s="638">
        <v>5942.76</v>
      </c>
      <c r="D5103" s="633">
        <f t="shared" si="162"/>
        <v>5942.76</v>
      </c>
      <c r="E5103" s="608"/>
      <c r="F5103" s="760">
        <f t="shared" si="163"/>
        <v>2507.2205213761099</v>
      </c>
      <c r="M5103" s="443"/>
    </row>
    <row r="5104" spans="1:13">
      <c r="A5104" s="639">
        <v>73113</v>
      </c>
      <c r="B5104" s="639">
        <v>1300</v>
      </c>
      <c r="C5104" s="638">
        <v>5921.5259999999998</v>
      </c>
      <c r="D5104" s="633">
        <f t="shared" si="162"/>
        <v>5921.5259999999998</v>
      </c>
      <c r="E5104" s="608"/>
      <c r="F5104" s="760">
        <f t="shared" si="163"/>
        <v>2498.2620036922558</v>
      </c>
      <c r="M5104" s="443"/>
    </row>
    <row r="5105" spans="1:13">
      <c r="A5105" s="639">
        <v>73113</v>
      </c>
      <c r="B5105" s="639">
        <v>1400</v>
      </c>
      <c r="C5105" s="638">
        <v>6073.9859999999999</v>
      </c>
      <c r="D5105" s="633">
        <f t="shared" si="162"/>
        <v>6073.9859999999999</v>
      </c>
      <c r="E5105" s="608"/>
      <c r="F5105" s="760">
        <f t="shared" si="163"/>
        <v>2562.5841100349321</v>
      </c>
      <c r="M5105" s="443"/>
    </row>
    <row r="5106" spans="1:13">
      <c r="A5106" s="639">
        <v>73113</v>
      </c>
      <c r="B5106" s="639">
        <v>1500</v>
      </c>
      <c r="C5106" s="638">
        <v>6144.3190000000004</v>
      </c>
      <c r="D5106" s="633">
        <f t="shared" si="162"/>
        <v>6144.3190000000004</v>
      </c>
      <c r="E5106" s="608"/>
      <c r="F5106" s="760">
        <f t="shared" si="163"/>
        <v>2592.2572485984861</v>
      </c>
      <c r="M5106" s="443"/>
    </row>
    <row r="5107" spans="1:13">
      <c r="A5107" s="639">
        <v>73113</v>
      </c>
      <c r="B5107" s="639">
        <v>1600</v>
      </c>
      <c r="C5107" s="638">
        <v>6264.4449999999997</v>
      </c>
      <c r="D5107" s="633">
        <f t="shared" si="162"/>
        <v>6264.4449999999997</v>
      </c>
      <c r="E5107" s="608"/>
      <c r="F5107" s="760">
        <f t="shared" si="163"/>
        <v>2642.9378031473534</v>
      </c>
      <c r="M5107" s="443"/>
    </row>
    <row r="5108" spans="1:13">
      <c r="A5108" s="639">
        <v>73113</v>
      </c>
      <c r="B5108" s="639">
        <v>1700</v>
      </c>
      <c r="C5108" s="638">
        <v>6625.1220000000003</v>
      </c>
      <c r="D5108" s="633">
        <f t="shared" si="162"/>
        <v>6625.1220000000003</v>
      </c>
      <c r="E5108" s="608"/>
      <c r="F5108" s="760">
        <f t="shared" si="163"/>
        <v>2795.105613388449</v>
      </c>
      <c r="M5108" s="443"/>
    </row>
    <row r="5109" spans="1:13">
      <c r="A5109" s="639">
        <v>73113</v>
      </c>
      <c r="B5109" s="639">
        <v>1800</v>
      </c>
      <c r="C5109" s="638">
        <v>7019.8159999999998</v>
      </c>
      <c r="D5109" s="633">
        <f t="shared" si="162"/>
        <v>7019.8159999999998</v>
      </c>
      <c r="E5109" s="608"/>
      <c r="F5109" s="760">
        <f t="shared" si="163"/>
        <v>2961.6250246492132</v>
      </c>
      <c r="M5109" s="443"/>
    </row>
    <row r="5110" spans="1:13">
      <c r="A5110" s="639">
        <v>73113</v>
      </c>
      <c r="B5110" s="639">
        <v>1900</v>
      </c>
      <c r="C5110" s="638">
        <v>7042.1469999999999</v>
      </c>
      <c r="D5110" s="633">
        <f t="shared" si="162"/>
        <v>7042.1469999999999</v>
      </c>
      <c r="E5110" s="608"/>
      <c r="F5110" s="760">
        <f t="shared" si="163"/>
        <v>2971.0463611095201</v>
      </c>
      <c r="M5110" s="443"/>
    </row>
    <row r="5111" spans="1:13">
      <c r="A5111" s="639">
        <v>73113</v>
      </c>
      <c r="B5111" s="639">
        <v>2000</v>
      </c>
      <c r="C5111" s="638">
        <v>7140.9530000000004</v>
      </c>
      <c r="D5111" s="633">
        <f t="shared" si="162"/>
        <v>7140.9530000000004</v>
      </c>
      <c r="E5111" s="608"/>
      <c r="F5111" s="760">
        <f t="shared" si="163"/>
        <v>3012.7321150075554</v>
      </c>
      <c r="M5111" s="443"/>
    </row>
    <row r="5112" spans="1:13">
      <c r="A5112" s="639">
        <v>73113</v>
      </c>
      <c r="B5112" s="639">
        <v>2100</v>
      </c>
      <c r="C5112" s="638">
        <v>7021.4889999999996</v>
      </c>
      <c r="D5112" s="633">
        <f t="shared" si="162"/>
        <v>7021.4889999999996</v>
      </c>
      <c r="E5112" s="608"/>
      <c r="F5112" s="760">
        <f t="shared" si="163"/>
        <v>2962.3308549254257</v>
      </c>
      <c r="M5112" s="443"/>
    </row>
    <row r="5113" spans="1:13">
      <c r="A5113" s="639">
        <v>73113</v>
      </c>
      <c r="B5113" s="639">
        <v>2200</v>
      </c>
      <c r="C5113" s="638">
        <v>6329.8280000000004</v>
      </c>
      <c r="D5113" s="633">
        <f t="shared" si="162"/>
        <v>6329.8280000000004</v>
      </c>
      <c r="E5113" s="608"/>
      <c r="F5113" s="760">
        <f t="shared" si="163"/>
        <v>2670.5225616348466</v>
      </c>
      <c r="M5113" s="443"/>
    </row>
    <row r="5114" spans="1:13">
      <c r="A5114" s="639">
        <v>73113</v>
      </c>
      <c r="B5114" s="639">
        <v>2300</v>
      </c>
      <c r="C5114" s="638">
        <v>5499.1670000000004</v>
      </c>
      <c r="D5114" s="633">
        <f t="shared" si="162"/>
        <v>5499.1670000000004</v>
      </c>
      <c r="E5114" s="608"/>
      <c r="F5114" s="760">
        <f t="shared" si="163"/>
        <v>2320.0708682286177</v>
      </c>
      <c r="M5114" s="443"/>
    </row>
    <row r="5115" spans="1:13">
      <c r="A5115" s="639">
        <v>73113</v>
      </c>
      <c r="B5115" s="639">
        <v>2400</v>
      </c>
      <c r="C5115" s="638">
        <v>4786.2089999999998</v>
      </c>
      <c r="D5115" s="633">
        <f t="shared" si="162"/>
        <v>4786.2089999999998</v>
      </c>
      <c r="E5115" s="608"/>
      <c r="F5115" s="760">
        <f t="shared" si="163"/>
        <v>2019.2774778713981</v>
      </c>
      <c r="M5115" s="443"/>
    </row>
    <row r="5116" spans="1:13">
      <c r="A5116" s="639">
        <v>80113</v>
      </c>
      <c r="B5116" s="639">
        <v>100</v>
      </c>
      <c r="C5116" s="638">
        <v>4426.107</v>
      </c>
      <c r="D5116" s="633">
        <f t="shared" si="162"/>
        <v>4426.107</v>
      </c>
      <c r="E5116" s="608"/>
      <c r="F5116" s="760">
        <f t="shared" ref="F5116:F5179" si="164">(D5116/(MAX($D$5116:$D$5859)))*$M$11</f>
        <v>1867.2580941300923</v>
      </c>
      <c r="M5116" s="443"/>
    </row>
    <row r="5117" spans="1:13">
      <c r="A5117" s="639">
        <v>80113</v>
      </c>
      <c r="B5117" s="639">
        <v>200</v>
      </c>
      <c r="C5117" s="638">
        <v>4281.4530000000004</v>
      </c>
      <c r="D5117" s="633">
        <f t="shared" si="162"/>
        <v>4281.4530000000004</v>
      </c>
      <c r="E5117" s="608"/>
      <c r="F5117" s="760">
        <f t="shared" si="164"/>
        <v>1806.232377321101</v>
      </c>
      <c r="M5117" s="443"/>
    </row>
    <row r="5118" spans="1:13">
      <c r="A5118" s="639">
        <v>80113</v>
      </c>
      <c r="B5118" s="639">
        <v>300</v>
      </c>
      <c r="C5118" s="638">
        <v>4203.9189999999999</v>
      </c>
      <c r="D5118" s="633">
        <f t="shared" si="162"/>
        <v>4203.9189999999999</v>
      </c>
      <c r="E5118" s="608"/>
      <c r="F5118" s="760">
        <f t="shared" si="164"/>
        <v>1773.522822610769</v>
      </c>
      <c r="M5118" s="443"/>
    </row>
    <row r="5119" spans="1:13">
      <c r="A5119" s="639">
        <v>80113</v>
      </c>
      <c r="B5119" s="639">
        <v>400</v>
      </c>
      <c r="C5119" s="638">
        <v>4299.8639999999996</v>
      </c>
      <c r="D5119" s="633">
        <f t="shared" si="162"/>
        <v>4299.8639999999996</v>
      </c>
      <c r="E5119" s="608"/>
      <c r="F5119" s="760">
        <f t="shared" si="164"/>
        <v>1813.9994938347841</v>
      </c>
      <c r="M5119" s="443"/>
    </row>
    <row r="5120" spans="1:13">
      <c r="A5120" s="639">
        <v>80113</v>
      </c>
      <c r="B5120" s="639">
        <v>500</v>
      </c>
      <c r="C5120" s="638">
        <v>4493.6120000000001</v>
      </c>
      <c r="D5120" s="633">
        <f t="shared" si="162"/>
        <v>4493.6120000000001</v>
      </c>
      <c r="E5120" s="608"/>
      <c r="F5120" s="760">
        <f t="shared" si="164"/>
        <v>1895.7366775995501</v>
      </c>
      <c r="M5120" s="443"/>
    </row>
    <row r="5121" spans="1:13">
      <c r="A5121" s="639">
        <v>80113</v>
      </c>
      <c r="B5121" s="639">
        <v>600</v>
      </c>
      <c r="C5121" s="638">
        <v>4879.5020000000004</v>
      </c>
      <c r="D5121" s="633">
        <f t="shared" si="162"/>
        <v>4879.5020000000004</v>
      </c>
      <c r="E5121" s="608"/>
      <c r="F5121" s="760">
        <f t="shared" si="164"/>
        <v>2058.5335159823235</v>
      </c>
      <c r="M5121" s="443"/>
    </row>
    <row r="5122" spans="1:13">
      <c r="A5122" s="639">
        <v>80113</v>
      </c>
      <c r="B5122" s="639">
        <v>700</v>
      </c>
      <c r="C5122" s="638">
        <v>5335.7719999999999</v>
      </c>
      <c r="D5122" s="633">
        <f t="shared" si="162"/>
        <v>5335.7719999999999</v>
      </c>
      <c r="E5122" s="608"/>
      <c r="F5122" s="760">
        <f t="shared" si="164"/>
        <v>2251.0218246944123</v>
      </c>
      <c r="M5122" s="443"/>
    </row>
    <row r="5123" spans="1:13">
      <c r="A5123" s="639">
        <v>80113</v>
      </c>
      <c r="B5123" s="639">
        <v>800</v>
      </c>
      <c r="C5123" s="638">
        <v>5545.8509999999997</v>
      </c>
      <c r="D5123" s="633">
        <f t="shared" si="162"/>
        <v>5545.8509999999997</v>
      </c>
      <c r="E5123" s="608"/>
      <c r="F5123" s="760">
        <f t="shared" si="164"/>
        <v>2339.6486276968599</v>
      </c>
      <c r="M5123" s="443"/>
    </row>
    <row r="5124" spans="1:13">
      <c r="A5124" s="639">
        <v>80113</v>
      </c>
      <c r="B5124" s="639">
        <v>900</v>
      </c>
      <c r="C5124" s="638">
        <v>5619.7049999999999</v>
      </c>
      <c r="D5124" s="633">
        <f t="shared" si="162"/>
        <v>5619.7049999999999</v>
      </c>
      <c r="E5124" s="608"/>
      <c r="F5124" s="760">
        <f t="shared" si="164"/>
        <v>2370.8056872265743</v>
      </c>
      <c r="M5124" s="443"/>
    </row>
    <row r="5125" spans="1:13">
      <c r="A5125" s="639">
        <v>80113</v>
      </c>
      <c r="B5125" s="639">
        <v>1000</v>
      </c>
      <c r="C5125" s="638">
        <v>5761.6610000000001</v>
      </c>
      <c r="D5125" s="633">
        <f t="shared" ref="D5125:D5188" si="165">C5125</f>
        <v>5761.6610000000001</v>
      </c>
      <c r="E5125" s="608"/>
      <c r="F5125" s="760">
        <f t="shared" si="164"/>
        <v>2430.693188818906</v>
      </c>
      <c r="M5125" s="443"/>
    </row>
    <row r="5126" spans="1:13">
      <c r="A5126" s="639">
        <v>80113</v>
      </c>
      <c r="B5126" s="639">
        <v>1100</v>
      </c>
      <c r="C5126" s="638">
        <v>5881.36</v>
      </c>
      <c r="D5126" s="633">
        <f t="shared" si="165"/>
        <v>5881.36</v>
      </c>
      <c r="E5126" s="608"/>
      <c r="F5126" s="760">
        <f t="shared" si="164"/>
        <v>2481.1910476843327</v>
      </c>
      <c r="M5126" s="443"/>
    </row>
    <row r="5127" spans="1:13">
      <c r="A5127" s="639">
        <v>80113</v>
      </c>
      <c r="B5127" s="639">
        <v>1200</v>
      </c>
      <c r="C5127" s="638">
        <v>5977.643</v>
      </c>
      <c r="D5127" s="633">
        <f t="shared" si="165"/>
        <v>5977.643</v>
      </c>
      <c r="E5127" s="608"/>
      <c r="F5127" s="760">
        <f t="shared" si="164"/>
        <v>2521.8103122156981</v>
      </c>
      <c r="M5127" s="443"/>
    </row>
    <row r="5128" spans="1:13">
      <c r="A5128" s="639">
        <v>80113</v>
      </c>
      <c r="B5128" s="639">
        <v>1300</v>
      </c>
      <c r="C5128" s="638">
        <v>6045.6819999999998</v>
      </c>
      <c r="D5128" s="633">
        <f t="shared" si="165"/>
        <v>6045.6819999999998</v>
      </c>
      <c r="E5128" s="608"/>
      <c r="F5128" s="760">
        <f t="shared" si="164"/>
        <v>2550.5141762358217</v>
      </c>
      <c r="M5128" s="443"/>
    </row>
    <row r="5129" spans="1:13">
      <c r="A5129" s="639">
        <v>80113</v>
      </c>
      <c r="B5129" s="639">
        <v>1400</v>
      </c>
      <c r="C5129" s="638">
        <v>6173.5360000000001</v>
      </c>
      <c r="D5129" s="633">
        <f t="shared" si="165"/>
        <v>6173.5360000000001</v>
      </c>
      <c r="E5129" s="608"/>
      <c r="F5129" s="760">
        <f t="shared" si="164"/>
        <v>2604.4524150463408</v>
      </c>
      <c r="M5129" s="443"/>
    </row>
    <row r="5130" spans="1:13">
      <c r="A5130" s="639">
        <v>80113</v>
      </c>
      <c r="B5130" s="639">
        <v>1500</v>
      </c>
      <c r="C5130" s="638">
        <v>6363.1279999999997</v>
      </c>
      <c r="D5130" s="633">
        <f t="shared" si="165"/>
        <v>6363.1279999999997</v>
      </c>
      <c r="E5130" s="608"/>
      <c r="F5130" s="760">
        <f t="shared" si="164"/>
        <v>2684.4362917538651</v>
      </c>
      <c r="M5130" s="443"/>
    </row>
    <row r="5131" spans="1:13">
      <c r="A5131" s="639">
        <v>80113</v>
      </c>
      <c r="B5131" s="639">
        <v>1600</v>
      </c>
      <c r="C5131" s="638">
        <v>6667.15</v>
      </c>
      <c r="D5131" s="633">
        <f t="shared" si="165"/>
        <v>6667.15</v>
      </c>
      <c r="E5131" s="608"/>
      <c r="F5131" s="760">
        <f t="shared" si="164"/>
        <v>2812.6951748521769</v>
      </c>
      <c r="M5131" s="443"/>
    </row>
    <row r="5132" spans="1:13">
      <c r="A5132" s="639">
        <v>80113</v>
      </c>
      <c r="B5132" s="639">
        <v>1700</v>
      </c>
      <c r="C5132" s="638">
        <v>7060.7269999999999</v>
      </c>
      <c r="D5132" s="633">
        <f t="shared" si="165"/>
        <v>7060.7269999999999</v>
      </c>
      <c r="E5132" s="608"/>
      <c r="F5132" s="760">
        <f t="shared" si="164"/>
        <v>2978.7349562929421</v>
      </c>
      <c r="M5132" s="443"/>
    </row>
    <row r="5133" spans="1:13">
      <c r="A5133" s="639">
        <v>80113</v>
      </c>
      <c r="B5133" s="639">
        <v>1800</v>
      </c>
      <c r="C5133" s="638">
        <v>7262.12</v>
      </c>
      <c r="D5133" s="633">
        <f t="shared" si="165"/>
        <v>7262.12</v>
      </c>
      <c r="E5133" s="608"/>
      <c r="F5133" s="760">
        <f t="shared" si="164"/>
        <v>3063.6973644207033</v>
      </c>
      <c r="M5133" s="443"/>
    </row>
    <row r="5134" spans="1:13">
      <c r="A5134" s="639">
        <v>80113</v>
      </c>
      <c r="B5134" s="639">
        <v>1900</v>
      </c>
      <c r="C5134" s="638">
        <v>7179.7830000000004</v>
      </c>
      <c r="D5134" s="633">
        <f t="shared" si="165"/>
        <v>7179.7830000000004</v>
      </c>
      <c r="E5134" s="608"/>
      <c r="F5134" s="760">
        <f t="shared" si="164"/>
        <v>3028.9615503754512</v>
      </c>
      <c r="M5134" s="443"/>
    </row>
    <row r="5135" spans="1:13">
      <c r="A5135" s="639">
        <v>80113</v>
      </c>
      <c r="B5135" s="639">
        <v>2000</v>
      </c>
      <c r="C5135" s="638">
        <v>7125.6279999999997</v>
      </c>
      <c r="D5135" s="633">
        <f t="shared" si="165"/>
        <v>7125.6279999999997</v>
      </c>
      <c r="E5135" s="608"/>
      <c r="F5135" s="760">
        <f t="shared" si="164"/>
        <v>3006.1149806726366</v>
      </c>
      <c r="M5135" s="443"/>
    </row>
    <row r="5136" spans="1:13">
      <c r="A5136" s="639">
        <v>80113</v>
      </c>
      <c r="B5136" s="639">
        <v>2100</v>
      </c>
      <c r="C5136" s="638">
        <v>7386.7020000000002</v>
      </c>
      <c r="D5136" s="633">
        <f t="shared" si="165"/>
        <v>7386.7020000000002</v>
      </c>
      <c r="E5136" s="608"/>
      <c r="F5136" s="760">
        <f t="shared" si="164"/>
        <v>3116.2552325162819</v>
      </c>
      <c r="M5136" s="443"/>
    </row>
    <row r="5137" spans="1:13">
      <c r="A5137" s="639">
        <v>80113</v>
      </c>
      <c r="B5137" s="639">
        <v>2200</v>
      </c>
      <c r="C5137" s="638">
        <v>6784.7740000000003</v>
      </c>
      <c r="D5137" s="633">
        <f t="shared" si="165"/>
        <v>6784.7740000000003</v>
      </c>
      <c r="E5137" s="608"/>
      <c r="F5137" s="760">
        <f t="shared" si="164"/>
        <v>2862.3176458100547</v>
      </c>
      <c r="M5137" s="443"/>
    </row>
    <row r="5138" spans="1:13">
      <c r="A5138" s="639">
        <v>80113</v>
      </c>
      <c r="B5138" s="639">
        <v>2300</v>
      </c>
      <c r="C5138" s="638">
        <v>5811.4440000000004</v>
      </c>
      <c r="D5138" s="633">
        <f t="shared" si="165"/>
        <v>5811.4440000000004</v>
      </c>
      <c r="E5138" s="608"/>
      <c r="F5138" s="760">
        <f t="shared" si="164"/>
        <v>2451.6953267473559</v>
      </c>
      <c r="M5138" s="443"/>
    </row>
    <row r="5139" spans="1:13">
      <c r="A5139" s="639">
        <v>80113</v>
      </c>
      <c r="B5139" s="639">
        <v>2400</v>
      </c>
      <c r="C5139" s="638">
        <v>4993.7070000000003</v>
      </c>
      <c r="D5139" s="633">
        <f t="shared" si="165"/>
        <v>4993.7070000000003</v>
      </c>
      <c r="E5139" s="608"/>
      <c r="F5139" s="760">
        <f t="shared" si="164"/>
        <v>2106.7136007927738</v>
      </c>
      <c r="M5139" s="443"/>
    </row>
    <row r="5140" spans="1:13">
      <c r="A5140" s="639">
        <v>80213</v>
      </c>
      <c r="B5140" s="639">
        <v>100</v>
      </c>
      <c r="C5140" s="638">
        <v>4569.4769999999999</v>
      </c>
      <c r="D5140" s="633">
        <f t="shared" si="165"/>
        <v>4569.4769999999999</v>
      </c>
      <c r="E5140" s="608"/>
      <c r="F5140" s="760">
        <f t="shared" si="164"/>
        <v>1927.742125120629</v>
      </c>
      <c r="M5140" s="443"/>
    </row>
    <row r="5141" spans="1:13">
      <c r="A5141" s="639">
        <v>80213</v>
      </c>
      <c r="B5141" s="639">
        <v>200</v>
      </c>
      <c r="C5141" s="638">
        <v>4341.4440000000004</v>
      </c>
      <c r="D5141" s="633">
        <f t="shared" si="165"/>
        <v>4341.4440000000004</v>
      </c>
      <c r="E5141" s="608"/>
      <c r="F5141" s="760">
        <f t="shared" si="164"/>
        <v>1831.5410018810039</v>
      </c>
      <c r="M5141" s="443"/>
    </row>
    <row r="5142" spans="1:13">
      <c r="A5142" s="639">
        <v>80213</v>
      </c>
      <c r="B5142" s="639">
        <v>300</v>
      </c>
      <c r="C5142" s="638">
        <v>4221.665</v>
      </c>
      <c r="D5142" s="633">
        <f t="shared" si="165"/>
        <v>4221.665</v>
      </c>
      <c r="E5142" s="608"/>
      <c r="F5142" s="760">
        <f t="shared" si="164"/>
        <v>1781.0093931203462</v>
      </c>
      <c r="M5142" s="443"/>
    </row>
    <row r="5143" spans="1:13">
      <c r="A5143" s="639">
        <v>80213</v>
      </c>
      <c r="B5143" s="639">
        <v>400</v>
      </c>
      <c r="C5143" s="638">
        <v>4162.4279999999999</v>
      </c>
      <c r="D5143" s="633">
        <f t="shared" si="165"/>
        <v>4162.4279999999999</v>
      </c>
      <c r="E5143" s="608"/>
      <c r="F5143" s="760">
        <f t="shared" si="164"/>
        <v>1756.0188613229936</v>
      </c>
      <c r="M5143" s="443"/>
    </row>
    <row r="5144" spans="1:13">
      <c r="A5144" s="639">
        <v>80213</v>
      </c>
      <c r="B5144" s="639">
        <v>500</v>
      </c>
      <c r="C5144" s="638">
        <v>4340.25</v>
      </c>
      <c r="D5144" s="633">
        <f t="shared" si="165"/>
        <v>4340.25</v>
      </c>
      <c r="E5144" s="608"/>
      <c r="F5144" s="760">
        <f t="shared" si="164"/>
        <v>1831.0372846946839</v>
      </c>
      <c r="M5144" s="443"/>
    </row>
    <row r="5145" spans="1:13">
      <c r="A5145" s="639">
        <v>80213</v>
      </c>
      <c r="B5145" s="639">
        <v>600</v>
      </c>
      <c r="C5145" s="638">
        <v>4726.5050000000001</v>
      </c>
      <c r="D5145" s="633">
        <f t="shared" si="165"/>
        <v>4726.5050000000001</v>
      </c>
      <c r="E5145" s="608"/>
      <c r="F5145" s="760">
        <f t="shared" si="164"/>
        <v>1993.9881069744476</v>
      </c>
      <c r="M5145" s="443"/>
    </row>
    <row r="5146" spans="1:13">
      <c r="A5146" s="639">
        <v>80213</v>
      </c>
      <c r="B5146" s="639">
        <v>700</v>
      </c>
      <c r="C5146" s="638">
        <v>5116.625</v>
      </c>
      <c r="D5146" s="633">
        <f t="shared" si="165"/>
        <v>5116.625</v>
      </c>
      <c r="E5146" s="608"/>
      <c r="F5146" s="760">
        <f t="shared" si="164"/>
        <v>2158.5694710675507</v>
      </c>
      <c r="M5146" s="443"/>
    </row>
    <row r="5147" spans="1:13">
      <c r="A5147" s="639">
        <v>80213</v>
      </c>
      <c r="B5147" s="639">
        <v>800</v>
      </c>
      <c r="C5147" s="638">
        <v>5309.741</v>
      </c>
      <c r="D5147" s="633">
        <f t="shared" si="165"/>
        <v>5309.741</v>
      </c>
      <c r="E5147" s="608"/>
      <c r="F5147" s="760">
        <f t="shared" si="164"/>
        <v>2240.0400306599931</v>
      </c>
      <c r="M5147" s="443"/>
    </row>
    <row r="5148" spans="1:13">
      <c r="A5148" s="639">
        <v>80213</v>
      </c>
      <c r="B5148" s="639">
        <v>900</v>
      </c>
      <c r="C5148" s="638">
        <v>5403.5649999999996</v>
      </c>
      <c r="D5148" s="633">
        <f t="shared" si="165"/>
        <v>5403.5649999999996</v>
      </c>
      <c r="E5148" s="608"/>
      <c r="F5148" s="760">
        <f t="shared" si="164"/>
        <v>2279.6219077867008</v>
      </c>
      <c r="M5148" s="443"/>
    </row>
    <row r="5149" spans="1:13">
      <c r="A5149" s="639">
        <v>80213</v>
      </c>
      <c r="B5149" s="639">
        <v>1000</v>
      </c>
      <c r="C5149" s="638">
        <v>5593.1909999999998</v>
      </c>
      <c r="D5149" s="633">
        <f t="shared" si="165"/>
        <v>5593.1909999999998</v>
      </c>
      <c r="E5149" s="608"/>
      <c r="F5149" s="760">
        <f t="shared" si="164"/>
        <v>2359.6201281996987</v>
      </c>
      <c r="M5149" s="443"/>
    </row>
    <row r="5150" spans="1:13">
      <c r="A5150" s="639">
        <v>80213</v>
      </c>
      <c r="B5150" s="639">
        <v>1100</v>
      </c>
      <c r="C5150" s="638">
        <v>5778.1229999999996</v>
      </c>
      <c r="D5150" s="633">
        <f t="shared" si="165"/>
        <v>5778.1229999999996</v>
      </c>
      <c r="E5150" s="608"/>
      <c r="F5150" s="760">
        <f t="shared" si="164"/>
        <v>2437.6380735100283</v>
      </c>
      <c r="M5150" s="443"/>
    </row>
    <row r="5151" spans="1:13">
      <c r="A5151" s="639">
        <v>80213</v>
      </c>
      <c r="B5151" s="639">
        <v>1200</v>
      </c>
      <c r="C5151" s="638">
        <v>5896.5119999999997</v>
      </c>
      <c r="D5151" s="633">
        <f t="shared" si="165"/>
        <v>5896.5119999999997</v>
      </c>
      <c r="E5151" s="608"/>
      <c r="F5151" s="760">
        <f t="shared" si="164"/>
        <v>2487.5832778410504</v>
      </c>
      <c r="M5151" s="443"/>
    </row>
    <row r="5152" spans="1:13">
      <c r="A5152" s="639">
        <v>80213</v>
      </c>
      <c r="B5152" s="639">
        <v>1300</v>
      </c>
      <c r="C5152" s="638">
        <v>5991.7830000000004</v>
      </c>
      <c r="D5152" s="633">
        <f t="shared" si="165"/>
        <v>5991.7830000000004</v>
      </c>
      <c r="E5152" s="608"/>
      <c r="F5152" s="760">
        <f t="shared" si="164"/>
        <v>2527.7756061977461</v>
      </c>
      <c r="M5152" s="443"/>
    </row>
    <row r="5153" spans="1:13">
      <c r="A5153" s="639">
        <v>80213</v>
      </c>
      <c r="B5153" s="639">
        <v>1400</v>
      </c>
      <c r="C5153" s="638">
        <v>6199.4870000000001</v>
      </c>
      <c r="D5153" s="633">
        <f t="shared" si="165"/>
        <v>6199.4870000000001</v>
      </c>
      <c r="E5153" s="608"/>
      <c r="F5153" s="760">
        <f t="shared" si="164"/>
        <v>2615.4004591855287</v>
      </c>
      <c r="M5153" s="443"/>
    </row>
    <row r="5154" spans="1:13">
      <c r="A5154" s="639">
        <v>80213</v>
      </c>
      <c r="B5154" s="639">
        <v>1500</v>
      </c>
      <c r="C5154" s="638">
        <v>6315.62</v>
      </c>
      <c r="D5154" s="633">
        <f t="shared" si="165"/>
        <v>6315.62</v>
      </c>
      <c r="E5154" s="608"/>
      <c r="F5154" s="760">
        <f t="shared" si="164"/>
        <v>2664.3939164710418</v>
      </c>
      <c r="M5154" s="443"/>
    </row>
    <row r="5155" spans="1:13">
      <c r="A5155" s="639">
        <v>80213</v>
      </c>
      <c r="B5155" s="639">
        <v>1600</v>
      </c>
      <c r="C5155" s="638">
        <v>6634.2889999999998</v>
      </c>
      <c r="D5155" s="633">
        <f t="shared" si="165"/>
        <v>6634.2889999999998</v>
      </c>
      <c r="E5155" s="608"/>
      <c r="F5155" s="760">
        <f t="shared" si="164"/>
        <v>2798.8319835124266</v>
      </c>
      <c r="M5155" s="443"/>
    </row>
    <row r="5156" spans="1:13">
      <c r="A5156" s="639">
        <v>80213</v>
      </c>
      <c r="B5156" s="639">
        <v>1700</v>
      </c>
      <c r="C5156" s="638">
        <v>6768.4690000000001</v>
      </c>
      <c r="D5156" s="633">
        <f t="shared" si="165"/>
        <v>6768.4690000000001</v>
      </c>
      <c r="E5156" s="608"/>
      <c r="F5156" s="760">
        <f t="shared" si="164"/>
        <v>2855.4389952883225</v>
      </c>
      <c r="M5156" s="443"/>
    </row>
    <row r="5157" spans="1:13">
      <c r="A5157" s="639">
        <v>80213</v>
      </c>
      <c r="B5157" s="639">
        <v>1800</v>
      </c>
      <c r="C5157" s="638">
        <v>6905.7460000000001</v>
      </c>
      <c r="D5157" s="633">
        <f t="shared" si="165"/>
        <v>6905.7460000000001</v>
      </c>
      <c r="E5157" s="608"/>
      <c r="F5157" s="760">
        <f t="shared" si="164"/>
        <v>2913.3525498833419</v>
      </c>
      <c r="M5157" s="443"/>
    </row>
    <row r="5158" spans="1:13">
      <c r="A5158" s="639">
        <v>80213</v>
      </c>
      <c r="B5158" s="639">
        <v>1900</v>
      </c>
      <c r="C5158" s="638">
        <v>6725.0739999999996</v>
      </c>
      <c r="D5158" s="633">
        <f t="shared" si="165"/>
        <v>6725.0739999999996</v>
      </c>
      <c r="E5158" s="608"/>
      <c r="F5158" s="760">
        <f t="shared" si="164"/>
        <v>2837.1317864940534</v>
      </c>
      <c r="M5158" s="443"/>
    </row>
    <row r="5159" spans="1:13">
      <c r="A5159" s="639">
        <v>80213</v>
      </c>
      <c r="B5159" s="639">
        <v>2000</v>
      </c>
      <c r="C5159" s="638">
        <v>6670.3729999999996</v>
      </c>
      <c r="D5159" s="633">
        <f t="shared" si="165"/>
        <v>6670.3729999999996</v>
      </c>
      <c r="E5159" s="608"/>
      <c r="F5159" s="760">
        <f t="shared" si="164"/>
        <v>2814.0548737562885</v>
      </c>
      <c r="M5159" s="443"/>
    </row>
    <row r="5160" spans="1:13">
      <c r="A5160" s="639">
        <v>80213</v>
      </c>
      <c r="B5160" s="639">
        <v>2100</v>
      </c>
      <c r="C5160" s="638">
        <v>6770.42</v>
      </c>
      <c r="D5160" s="633">
        <f t="shared" si="165"/>
        <v>6770.42</v>
      </c>
      <c r="E5160" s="608"/>
      <c r="F5160" s="760">
        <f t="shared" si="164"/>
        <v>2856.262070858264</v>
      </c>
      <c r="M5160" s="443"/>
    </row>
    <row r="5161" spans="1:13">
      <c r="A5161" s="639">
        <v>80213</v>
      </c>
      <c r="B5161" s="639">
        <v>2200</v>
      </c>
      <c r="C5161" s="638">
        <v>6374.1030000000001</v>
      </c>
      <c r="D5161" s="633">
        <f t="shared" si="165"/>
        <v>6374.1030000000001</v>
      </c>
      <c r="E5161" s="608"/>
      <c r="F5161" s="760">
        <f t="shared" si="164"/>
        <v>2689.0663555058441</v>
      </c>
      <c r="M5161" s="443"/>
    </row>
    <row r="5162" spans="1:13">
      <c r="A5162" s="639">
        <v>80213</v>
      </c>
      <c r="B5162" s="639">
        <v>2300</v>
      </c>
      <c r="C5162" s="638">
        <v>5524.1530000000002</v>
      </c>
      <c r="D5162" s="633">
        <f t="shared" si="165"/>
        <v>5524.1530000000002</v>
      </c>
      <c r="E5162" s="608"/>
      <c r="F5162" s="760">
        <f t="shared" si="164"/>
        <v>2330.4948123628806</v>
      </c>
      <c r="M5162" s="443"/>
    </row>
    <row r="5163" spans="1:13">
      <c r="A5163" s="639">
        <v>80213</v>
      </c>
      <c r="B5163" s="639">
        <v>2400</v>
      </c>
      <c r="C5163" s="638">
        <v>4940.2910000000002</v>
      </c>
      <c r="D5163" s="633">
        <f t="shared" si="165"/>
        <v>4940.2910000000002</v>
      </c>
      <c r="E5163" s="608"/>
      <c r="F5163" s="760">
        <f t="shared" si="164"/>
        <v>2084.1787957471538</v>
      </c>
      <c r="M5163" s="443"/>
    </row>
    <row r="5164" spans="1:13">
      <c r="A5164" s="639">
        <v>80313</v>
      </c>
      <c r="B5164" s="639">
        <v>100</v>
      </c>
      <c r="C5164" s="638">
        <v>4556.3530000000001</v>
      </c>
      <c r="D5164" s="633">
        <f t="shared" si="165"/>
        <v>4556.3530000000001</v>
      </c>
      <c r="E5164" s="608"/>
      <c r="F5164" s="760">
        <f t="shared" si="164"/>
        <v>1922.2054548080125</v>
      </c>
      <c r="M5164" s="443"/>
    </row>
    <row r="5165" spans="1:13">
      <c r="A5165" s="639">
        <v>80313</v>
      </c>
      <c r="B5165" s="639">
        <v>200</v>
      </c>
      <c r="C5165" s="638">
        <v>4342.5119999999997</v>
      </c>
      <c r="D5165" s="633">
        <f t="shared" si="165"/>
        <v>4342.5119999999997</v>
      </c>
      <c r="E5165" s="608"/>
      <c r="F5165" s="760">
        <f t="shared" si="164"/>
        <v>1831.9915629823352</v>
      </c>
      <c r="M5165" s="443"/>
    </row>
    <row r="5166" spans="1:13">
      <c r="A5166" s="639">
        <v>80313</v>
      </c>
      <c r="B5166" s="639">
        <v>300</v>
      </c>
      <c r="C5166" s="638">
        <v>4219.4399999999996</v>
      </c>
      <c r="D5166" s="633">
        <f t="shared" si="165"/>
        <v>4219.4399999999996</v>
      </c>
      <c r="E5166" s="608"/>
      <c r="F5166" s="760">
        <f t="shared" si="164"/>
        <v>1780.0707241592388</v>
      </c>
      <c r="M5166" s="443"/>
    </row>
    <row r="5167" spans="1:13">
      <c r="A5167" s="639">
        <v>80313</v>
      </c>
      <c r="B5167" s="639">
        <v>400</v>
      </c>
      <c r="C5167" s="638">
        <v>4109.7470000000003</v>
      </c>
      <c r="D5167" s="633">
        <f t="shared" si="165"/>
        <v>4109.7470000000003</v>
      </c>
      <c r="E5167" s="608"/>
      <c r="F5167" s="760">
        <f t="shared" si="164"/>
        <v>1733.7941334398072</v>
      </c>
      <c r="M5167" s="443"/>
    </row>
    <row r="5168" spans="1:13">
      <c r="A5168" s="639">
        <v>80313</v>
      </c>
      <c r="B5168" s="639">
        <v>500</v>
      </c>
      <c r="C5168" s="638">
        <v>4145.0569999999998</v>
      </c>
      <c r="D5168" s="633">
        <f t="shared" si="165"/>
        <v>4145.0569999999998</v>
      </c>
      <c r="E5168" s="608"/>
      <c r="F5168" s="760">
        <f t="shared" si="164"/>
        <v>1748.6904934473112</v>
      </c>
      <c r="M5168" s="443"/>
    </row>
    <row r="5169" spans="1:13">
      <c r="A5169" s="639">
        <v>80313</v>
      </c>
      <c r="B5169" s="639">
        <v>600</v>
      </c>
      <c r="C5169" s="638">
        <v>4275.7120000000004</v>
      </c>
      <c r="D5169" s="633">
        <f t="shared" si="165"/>
        <v>4275.7120000000004</v>
      </c>
      <c r="E5169" s="608"/>
      <c r="F5169" s="760">
        <f t="shared" si="164"/>
        <v>1803.8104004645993</v>
      </c>
      <c r="M5169" s="443"/>
    </row>
    <row r="5170" spans="1:13">
      <c r="A5170" s="639">
        <v>80313</v>
      </c>
      <c r="B5170" s="639">
        <v>700</v>
      </c>
      <c r="C5170" s="638">
        <v>4663.8549999999996</v>
      </c>
      <c r="D5170" s="633">
        <f t="shared" si="165"/>
        <v>4663.8549999999996</v>
      </c>
      <c r="E5170" s="608"/>
      <c r="F5170" s="760">
        <f t="shared" si="164"/>
        <v>1967.55772027181</v>
      </c>
      <c r="M5170" s="443"/>
    </row>
    <row r="5171" spans="1:13">
      <c r="A5171" s="639">
        <v>80313</v>
      </c>
      <c r="B5171" s="639">
        <v>800</v>
      </c>
      <c r="C5171" s="638">
        <v>5155.7700000000004</v>
      </c>
      <c r="D5171" s="633">
        <f t="shared" si="165"/>
        <v>5155.7700000000004</v>
      </c>
      <c r="E5171" s="608"/>
      <c r="F5171" s="760">
        <f t="shared" si="164"/>
        <v>2175.0837166776823</v>
      </c>
      <c r="M5171" s="443"/>
    </row>
    <row r="5172" spans="1:13">
      <c r="A5172" s="639">
        <v>80313</v>
      </c>
      <c r="B5172" s="639">
        <v>900</v>
      </c>
      <c r="C5172" s="638">
        <v>5589.2820000000002</v>
      </c>
      <c r="D5172" s="633">
        <f t="shared" si="165"/>
        <v>5589.2820000000002</v>
      </c>
      <c r="E5172" s="608"/>
      <c r="F5172" s="760">
        <f t="shared" si="164"/>
        <v>2357.9710239439828</v>
      </c>
      <c r="M5172" s="443"/>
    </row>
    <row r="5173" spans="1:13">
      <c r="A5173" s="639">
        <v>80313</v>
      </c>
      <c r="B5173" s="639">
        <v>1000</v>
      </c>
      <c r="C5173" s="638">
        <v>5686.2389999999996</v>
      </c>
      <c r="D5173" s="633">
        <f t="shared" si="165"/>
        <v>5686.2389999999996</v>
      </c>
      <c r="E5173" s="608"/>
      <c r="F5173" s="760">
        <f t="shared" si="164"/>
        <v>2398.8746313426682</v>
      </c>
      <c r="M5173" s="443"/>
    </row>
    <row r="5174" spans="1:13">
      <c r="A5174" s="639">
        <v>80313</v>
      </c>
      <c r="B5174" s="639">
        <v>1100</v>
      </c>
      <c r="C5174" s="638">
        <v>5802.8990000000003</v>
      </c>
      <c r="D5174" s="633">
        <f t="shared" si="165"/>
        <v>5802.8990000000003</v>
      </c>
      <c r="E5174" s="608"/>
      <c r="F5174" s="760">
        <f t="shared" si="164"/>
        <v>2448.0904160630143</v>
      </c>
      <c r="M5174" s="443"/>
    </row>
    <row r="5175" spans="1:13">
      <c r="A5175" s="639">
        <v>80313</v>
      </c>
      <c r="B5175" s="639">
        <v>1200</v>
      </c>
      <c r="C5175" s="638">
        <v>5928.8450000000003</v>
      </c>
      <c r="D5175" s="633">
        <f t="shared" si="165"/>
        <v>5928.8450000000003</v>
      </c>
      <c r="E5175" s="608"/>
      <c r="F5175" s="760">
        <f t="shared" si="164"/>
        <v>2501.2237198722778</v>
      </c>
      <c r="M5175" s="443"/>
    </row>
    <row r="5176" spans="1:13">
      <c r="A5176" s="639">
        <v>80313</v>
      </c>
      <c r="B5176" s="639">
        <v>1300</v>
      </c>
      <c r="C5176" s="638">
        <v>5897.5069999999996</v>
      </c>
      <c r="D5176" s="633">
        <f t="shared" si="165"/>
        <v>5897.5069999999996</v>
      </c>
      <c r="E5176" s="608"/>
      <c r="F5176" s="760">
        <f t="shared" si="164"/>
        <v>2488.003042162984</v>
      </c>
      <c r="M5176" s="443"/>
    </row>
    <row r="5177" spans="1:13">
      <c r="A5177" s="639">
        <v>80313</v>
      </c>
      <c r="B5177" s="639">
        <v>1400</v>
      </c>
      <c r="C5177" s="638">
        <v>5919.3590000000004</v>
      </c>
      <c r="D5177" s="633">
        <f t="shared" si="165"/>
        <v>5919.3590000000004</v>
      </c>
      <c r="E5177" s="608"/>
      <c r="F5177" s="760">
        <f t="shared" si="164"/>
        <v>2497.2218260452828</v>
      </c>
      <c r="M5177" s="443"/>
    </row>
    <row r="5178" spans="1:13">
      <c r="A5178" s="639">
        <v>80313</v>
      </c>
      <c r="B5178" s="639">
        <v>1500</v>
      </c>
      <c r="C5178" s="638">
        <v>6042.8720000000003</v>
      </c>
      <c r="D5178" s="633">
        <f t="shared" si="165"/>
        <v>6042.8720000000003</v>
      </c>
      <c r="E5178" s="608"/>
      <c r="F5178" s="760">
        <f t="shared" si="164"/>
        <v>2549.3287111658392</v>
      </c>
      <c r="M5178" s="443"/>
    </row>
    <row r="5179" spans="1:13">
      <c r="A5179" s="639">
        <v>80313</v>
      </c>
      <c r="B5179" s="639">
        <v>1600</v>
      </c>
      <c r="C5179" s="638">
        <v>6306.9129999999996</v>
      </c>
      <c r="D5179" s="633">
        <f t="shared" si="165"/>
        <v>6306.9129999999996</v>
      </c>
      <c r="E5179" s="608"/>
      <c r="F5179" s="760">
        <f t="shared" si="164"/>
        <v>2660.720662248857</v>
      </c>
      <c r="M5179" s="443"/>
    </row>
    <row r="5180" spans="1:13">
      <c r="A5180" s="639">
        <v>80313</v>
      </c>
      <c r="B5180" s="639">
        <v>1700</v>
      </c>
      <c r="C5180" s="638">
        <v>6522.8850000000002</v>
      </c>
      <c r="D5180" s="633">
        <f t="shared" si="165"/>
        <v>6522.8850000000002</v>
      </c>
      <c r="E5180" s="608"/>
      <c r="F5180" s="760">
        <f t="shared" ref="F5180:F5243" si="166">(D5180/(MAX($D$5116:$D$5859)))*$M$11</f>
        <v>2751.8335669087455</v>
      </c>
      <c r="M5180" s="443"/>
    </row>
    <row r="5181" spans="1:13">
      <c r="A5181" s="639">
        <v>80313</v>
      </c>
      <c r="B5181" s="639">
        <v>1800</v>
      </c>
      <c r="C5181" s="638">
        <v>6642.0379999999996</v>
      </c>
      <c r="D5181" s="633">
        <f t="shared" si="165"/>
        <v>6642.0379999999996</v>
      </c>
      <c r="E5181" s="608"/>
      <c r="F5181" s="760">
        <f t="shared" si="166"/>
        <v>2802.1010827392215</v>
      </c>
      <c r="M5181" s="443"/>
    </row>
    <row r="5182" spans="1:13">
      <c r="A5182" s="639">
        <v>80313</v>
      </c>
      <c r="B5182" s="639">
        <v>1900</v>
      </c>
      <c r="C5182" s="638">
        <v>6379.2280000000001</v>
      </c>
      <c r="D5182" s="633">
        <f t="shared" si="165"/>
        <v>6379.2280000000001</v>
      </c>
      <c r="E5182" s="608"/>
      <c r="F5182" s="760">
        <f t="shared" si="166"/>
        <v>2691.2284581690683</v>
      </c>
      <c r="M5182" s="443"/>
    </row>
    <row r="5183" spans="1:13">
      <c r="A5183" s="639">
        <v>80313</v>
      </c>
      <c r="B5183" s="639">
        <v>2000</v>
      </c>
      <c r="C5183" s="638">
        <v>6095.5029999999997</v>
      </c>
      <c r="D5183" s="633">
        <f t="shared" si="165"/>
        <v>6095.5029999999997</v>
      </c>
      <c r="E5183" s="608"/>
      <c r="F5183" s="760">
        <f t="shared" si="166"/>
        <v>2571.532345364506</v>
      </c>
      <c r="M5183" s="443"/>
    </row>
    <row r="5184" spans="1:13">
      <c r="A5184" s="639">
        <v>80313</v>
      </c>
      <c r="B5184" s="639">
        <v>2100</v>
      </c>
      <c r="C5184" s="638">
        <v>6279.1189999999997</v>
      </c>
      <c r="D5184" s="633">
        <f t="shared" si="165"/>
        <v>6279.1189999999997</v>
      </c>
      <c r="E5184" s="608"/>
      <c r="F5184" s="760">
        <f t="shared" si="166"/>
        <v>2648.9951048982889</v>
      </c>
      <c r="M5184" s="443"/>
    </row>
    <row r="5185" spans="1:13">
      <c r="A5185" s="639">
        <v>80313</v>
      </c>
      <c r="B5185" s="639">
        <v>2200</v>
      </c>
      <c r="C5185" s="638">
        <v>5930.3410000000003</v>
      </c>
      <c r="D5185" s="633">
        <f t="shared" si="165"/>
        <v>5930.3410000000003</v>
      </c>
      <c r="E5185" s="608"/>
      <c r="F5185" s="760">
        <f t="shared" si="166"/>
        <v>2501.8548429130938</v>
      </c>
      <c r="M5185" s="443"/>
    </row>
    <row r="5186" spans="1:13">
      <c r="A5186" s="639">
        <v>80313</v>
      </c>
      <c r="B5186" s="639">
        <v>2300</v>
      </c>
      <c r="C5186" s="638">
        <v>5346.0690000000004</v>
      </c>
      <c r="D5186" s="633">
        <f t="shared" si="165"/>
        <v>5346.0690000000004</v>
      </c>
      <c r="E5186" s="608"/>
      <c r="F5186" s="760">
        <f t="shared" si="166"/>
        <v>2255.3658580843094</v>
      </c>
      <c r="M5186" s="443"/>
    </row>
    <row r="5187" spans="1:13">
      <c r="A5187" s="639">
        <v>80313</v>
      </c>
      <c r="B5187" s="639">
        <v>2400</v>
      </c>
      <c r="C5187" s="638">
        <v>4824.7179999999998</v>
      </c>
      <c r="D5187" s="633">
        <f t="shared" si="165"/>
        <v>4824.7179999999998</v>
      </c>
      <c r="E5187" s="608"/>
      <c r="F5187" s="760">
        <f t="shared" si="166"/>
        <v>2035.4215877282566</v>
      </c>
      <c r="M5187" s="443"/>
    </row>
    <row r="5188" spans="1:13">
      <c r="A5188" s="639">
        <v>80413</v>
      </c>
      <c r="B5188" s="639">
        <v>100</v>
      </c>
      <c r="C5188" s="638">
        <v>4473.3860000000004</v>
      </c>
      <c r="D5188" s="633">
        <f t="shared" si="165"/>
        <v>4473.3860000000004</v>
      </c>
      <c r="E5188" s="608"/>
      <c r="F5188" s="760">
        <f t="shared" si="166"/>
        <v>1887.203860337818</v>
      </c>
      <c r="M5188" s="443"/>
    </row>
    <row r="5189" spans="1:13">
      <c r="A5189" s="639">
        <v>80413</v>
      </c>
      <c r="B5189" s="639">
        <v>200</v>
      </c>
      <c r="C5189" s="638">
        <v>4205.9629999999997</v>
      </c>
      <c r="D5189" s="633">
        <f t="shared" ref="D5189:D5252" si="167">C5189</f>
        <v>4205.9629999999997</v>
      </c>
      <c r="E5189" s="608"/>
      <c r="F5189" s="760">
        <f t="shared" si="166"/>
        <v>1774.3851324339164</v>
      </c>
      <c r="M5189" s="443"/>
    </row>
    <row r="5190" spans="1:13">
      <c r="A5190" s="639">
        <v>80413</v>
      </c>
      <c r="B5190" s="639">
        <v>300</v>
      </c>
      <c r="C5190" s="638">
        <v>4056.2040000000002</v>
      </c>
      <c r="D5190" s="633">
        <f t="shared" si="167"/>
        <v>4056.2040000000002</v>
      </c>
      <c r="E5190" s="608"/>
      <c r="F5190" s="760">
        <f t="shared" si="166"/>
        <v>1711.2057504355087</v>
      </c>
      <c r="M5190" s="443"/>
    </row>
    <row r="5191" spans="1:13">
      <c r="A5191" s="639">
        <v>80413</v>
      </c>
      <c r="B5191" s="639">
        <v>400</v>
      </c>
      <c r="C5191" s="638">
        <v>3994.076</v>
      </c>
      <c r="D5191" s="633">
        <f t="shared" si="167"/>
        <v>3994.076</v>
      </c>
      <c r="E5191" s="608"/>
      <c r="F5191" s="760">
        <f t="shared" si="166"/>
        <v>1684.9955817992522</v>
      </c>
      <c r="M5191" s="443"/>
    </row>
    <row r="5192" spans="1:13">
      <c r="A5192" s="639">
        <v>80413</v>
      </c>
      <c r="B5192" s="639">
        <v>500</v>
      </c>
      <c r="C5192" s="638">
        <v>4023.2379999999998</v>
      </c>
      <c r="D5192" s="633">
        <f t="shared" si="167"/>
        <v>4023.2379999999998</v>
      </c>
      <c r="E5192" s="608"/>
      <c r="F5192" s="760">
        <f t="shared" si="166"/>
        <v>1697.2982623582675</v>
      </c>
      <c r="M5192" s="443"/>
    </row>
    <row r="5193" spans="1:13">
      <c r="A5193" s="639">
        <v>80413</v>
      </c>
      <c r="B5193" s="639">
        <v>600</v>
      </c>
      <c r="C5193" s="638">
        <v>4081.9830000000002</v>
      </c>
      <c r="D5193" s="633">
        <f t="shared" si="167"/>
        <v>4081.9830000000002</v>
      </c>
      <c r="E5193" s="608"/>
      <c r="F5193" s="760">
        <f t="shared" si="166"/>
        <v>1722.0812322999504</v>
      </c>
      <c r="M5193" s="443"/>
    </row>
    <row r="5194" spans="1:13">
      <c r="A5194" s="639">
        <v>80413</v>
      </c>
      <c r="B5194" s="639">
        <v>700</v>
      </c>
      <c r="C5194" s="638">
        <v>4435.0609999999997</v>
      </c>
      <c r="D5194" s="633">
        <f t="shared" si="167"/>
        <v>4435.0609999999997</v>
      </c>
      <c r="E5194" s="608"/>
      <c r="F5194" s="760">
        <f t="shared" si="166"/>
        <v>1871.0355511538019</v>
      </c>
      <c r="M5194" s="443"/>
    </row>
    <row r="5195" spans="1:13">
      <c r="A5195" s="639">
        <v>80413</v>
      </c>
      <c r="B5195" s="639">
        <v>800</v>
      </c>
      <c r="C5195" s="638">
        <v>4803.1850000000004</v>
      </c>
      <c r="D5195" s="633">
        <f t="shared" si="167"/>
        <v>4803.1850000000004</v>
      </c>
      <c r="E5195" s="608"/>
      <c r="F5195" s="760">
        <f t="shared" si="166"/>
        <v>2026.3373815531907</v>
      </c>
      <c r="M5195" s="443"/>
    </row>
    <row r="5196" spans="1:13">
      <c r="A5196" s="639">
        <v>80413</v>
      </c>
      <c r="B5196" s="639">
        <v>900</v>
      </c>
      <c r="C5196" s="638">
        <v>5302.35</v>
      </c>
      <c r="D5196" s="633">
        <f t="shared" si="167"/>
        <v>5302.35</v>
      </c>
      <c r="E5196" s="608"/>
      <c r="F5196" s="760">
        <f t="shared" si="166"/>
        <v>2236.921962214356</v>
      </c>
      <c r="M5196" s="443"/>
    </row>
    <row r="5197" spans="1:13">
      <c r="A5197" s="639">
        <v>80413</v>
      </c>
      <c r="B5197" s="639">
        <v>1000</v>
      </c>
      <c r="C5197" s="638">
        <v>5403.9740000000002</v>
      </c>
      <c r="D5197" s="633">
        <f t="shared" si="167"/>
        <v>5403.9740000000002</v>
      </c>
      <c r="E5197" s="608"/>
      <c r="F5197" s="760">
        <f t="shared" si="166"/>
        <v>2279.7944541260686</v>
      </c>
      <c r="M5197" s="443"/>
    </row>
    <row r="5198" spans="1:13">
      <c r="A5198" s="639">
        <v>80413</v>
      </c>
      <c r="B5198" s="639">
        <v>1100</v>
      </c>
      <c r="C5198" s="638">
        <v>5452.87</v>
      </c>
      <c r="D5198" s="633">
        <f t="shared" si="167"/>
        <v>5452.87</v>
      </c>
      <c r="E5198" s="608"/>
      <c r="F5198" s="760">
        <f t="shared" si="166"/>
        <v>2300.422390091147</v>
      </c>
      <c r="M5198" s="443"/>
    </row>
    <row r="5199" spans="1:13">
      <c r="A5199" s="639">
        <v>80413</v>
      </c>
      <c r="B5199" s="639">
        <v>1200</v>
      </c>
      <c r="C5199" s="638">
        <v>5505.607</v>
      </c>
      <c r="D5199" s="633">
        <f t="shared" si="167"/>
        <v>5505.607</v>
      </c>
      <c r="E5199" s="608"/>
      <c r="F5199" s="760">
        <f t="shared" si="166"/>
        <v>2322.6707429009953</v>
      </c>
      <c r="M5199" s="443"/>
    </row>
    <row r="5200" spans="1:13">
      <c r="A5200" s="639">
        <v>80413</v>
      </c>
      <c r="B5200" s="639">
        <v>1300</v>
      </c>
      <c r="C5200" s="638">
        <v>5441.116</v>
      </c>
      <c r="D5200" s="633">
        <f t="shared" si="167"/>
        <v>5441.116</v>
      </c>
      <c r="E5200" s="608"/>
      <c r="F5200" s="760">
        <f t="shared" si="166"/>
        <v>2295.4636867343588</v>
      </c>
      <c r="M5200" s="443"/>
    </row>
    <row r="5201" spans="1:13">
      <c r="A5201" s="639">
        <v>80413</v>
      </c>
      <c r="B5201" s="639">
        <v>1400</v>
      </c>
      <c r="C5201" s="638">
        <v>5367.8720000000003</v>
      </c>
      <c r="D5201" s="633">
        <f t="shared" si="167"/>
        <v>5367.8720000000003</v>
      </c>
      <c r="E5201" s="608"/>
      <c r="F5201" s="760">
        <f t="shared" si="166"/>
        <v>2264.5639701557798</v>
      </c>
      <c r="M5201" s="443"/>
    </row>
    <row r="5202" spans="1:13">
      <c r="A5202" s="639">
        <v>80413</v>
      </c>
      <c r="B5202" s="639">
        <v>1500</v>
      </c>
      <c r="C5202" s="638">
        <v>5413.5050000000001</v>
      </c>
      <c r="D5202" s="633">
        <f t="shared" si="167"/>
        <v>5413.5050000000001</v>
      </c>
      <c r="E5202" s="608"/>
      <c r="F5202" s="760">
        <f t="shared" si="166"/>
        <v>2283.815332269131</v>
      </c>
      <c r="M5202" s="443"/>
    </row>
    <row r="5203" spans="1:13">
      <c r="A5203" s="639">
        <v>80413</v>
      </c>
      <c r="B5203" s="639">
        <v>1600</v>
      </c>
      <c r="C5203" s="638">
        <v>5659.1270000000004</v>
      </c>
      <c r="D5203" s="633">
        <f t="shared" si="167"/>
        <v>5659.1270000000004</v>
      </c>
      <c r="E5203" s="608"/>
      <c r="F5203" s="760">
        <f t="shared" si="166"/>
        <v>2387.4367918489424</v>
      </c>
      <c r="M5203" s="443"/>
    </row>
    <row r="5204" spans="1:13">
      <c r="A5204" s="639">
        <v>80413</v>
      </c>
      <c r="B5204" s="639">
        <v>1700</v>
      </c>
      <c r="C5204" s="638">
        <v>6130.1419999999998</v>
      </c>
      <c r="D5204" s="633">
        <f t="shared" si="167"/>
        <v>6130.1419999999998</v>
      </c>
      <c r="E5204" s="608"/>
      <c r="F5204" s="760">
        <f t="shared" si="166"/>
        <v>2586.145628125762</v>
      </c>
      <c r="M5204" s="443"/>
    </row>
    <row r="5205" spans="1:13">
      <c r="A5205" s="639">
        <v>80413</v>
      </c>
      <c r="B5205" s="639">
        <v>1800</v>
      </c>
      <c r="C5205" s="638">
        <v>6292.2839999999997</v>
      </c>
      <c r="D5205" s="633">
        <f t="shared" si="167"/>
        <v>6292.2839999999997</v>
      </c>
      <c r="E5205" s="608"/>
      <c r="F5205" s="760">
        <f t="shared" si="166"/>
        <v>2654.5490720322109</v>
      </c>
      <c r="M5205" s="443"/>
    </row>
    <row r="5206" spans="1:13">
      <c r="A5206" s="639">
        <v>80413</v>
      </c>
      <c r="B5206" s="639">
        <v>1900</v>
      </c>
      <c r="C5206" s="638">
        <v>6134.0950000000003</v>
      </c>
      <c r="D5206" s="633">
        <f t="shared" si="167"/>
        <v>6134.0950000000003</v>
      </c>
      <c r="E5206" s="608"/>
      <c r="F5206" s="760">
        <f t="shared" si="166"/>
        <v>2587.8132948238549</v>
      </c>
      <c r="M5206" s="443"/>
    </row>
    <row r="5207" spans="1:13">
      <c r="A5207" s="639">
        <v>80413</v>
      </c>
      <c r="B5207" s="639">
        <v>2000</v>
      </c>
      <c r="C5207" s="638">
        <v>5987.8770000000004</v>
      </c>
      <c r="D5207" s="633">
        <f t="shared" si="167"/>
        <v>5987.8770000000004</v>
      </c>
      <c r="E5207" s="608"/>
      <c r="F5207" s="760">
        <f t="shared" si="166"/>
        <v>2526.1277675631013</v>
      </c>
      <c r="M5207" s="443"/>
    </row>
    <row r="5208" spans="1:13">
      <c r="A5208" s="639">
        <v>80413</v>
      </c>
      <c r="B5208" s="639">
        <v>2100</v>
      </c>
      <c r="C5208" s="638">
        <v>6254.6859999999997</v>
      </c>
      <c r="D5208" s="633">
        <f t="shared" si="167"/>
        <v>6254.6859999999997</v>
      </c>
      <c r="E5208" s="608"/>
      <c r="F5208" s="760">
        <f t="shared" si="166"/>
        <v>2638.6874650211057</v>
      </c>
      <c r="M5208" s="443"/>
    </row>
    <row r="5209" spans="1:13">
      <c r="A5209" s="639">
        <v>80413</v>
      </c>
      <c r="B5209" s="639">
        <v>2200</v>
      </c>
      <c r="C5209" s="638">
        <v>5792.59</v>
      </c>
      <c r="D5209" s="633">
        <f t="shared" si="167"/>
        <v>5792.59</v>
      </c>
      <c r="E5209" s="608"/>
      <c r="F5209" s="760">
        <f t="shared" si="166"/>
        <v>2443.7413201888321</v>
      </c>
      <c r="M5209" s="443"/>
    </row>
    <row r="5210" spans="1:13">
      <c r="A5210" s="639">
        <v>80413</v>
      </c>
      <c r="B5210" s="639">
        <v>2300</v>
      </c>
      <c r="C5210" s="638">
        <v>5198.0619999999999</v>
      </c>
      <c r="D5210" s="633">
        <f t="shared" si="167"/>
        <v>5198.0619999999999</v>
      </c>
      <c r="E5210" s="608"/>
      <c r="F5210" s="760">
        <f t="shared" si="166"/>
        <v>2192.9255987914562</v>
      </c>
      <c r="M5210" s="443"/>
    </row>
    <row r="5211" spans="1:13">
      <c r="A5211" s="639">
        <v>80413</v>
      </c>
      <c r="B5211" s="639">
        <v>2400</v>
      </c>
      <c r="C5211" s="638">
        <v>4641.3810000000003</v>
      </c>
      <c r="D5211" s="633">
        <f t="shared" si="167"/>
        <v>4641.3810000000003</v>
      </c>
      <c r="E5211" s="608"/>
      <c r="F5211" s="760">
        <f t="shared" si="166"/>
        <v>1958.0765309540918</v>
      </c>
      <c r="M5211" s="443"/>
    </row>
    <row r="5212" spans="1:13">
      <c r="A5212" s="639">
        <v>80513</v>
      </c>
      <c r="B5212" s="639">
        <v>100</v>
      </c>
      <c r="C5212" s="638">
        <v>4348.8599999999997</v>
      </c>
      <c r="D5212" s="633">
        <f t="shared" si="167"/>
        <v>4348.8599999999997</v>
      </c>
      <c r="E5212" s="608"/>
      <c r="F5212" s="760">
        <f t="shared" si="166"/>
        <v>1834.6696171689009</v>
      </c>
      <c r="M5212" s="443"/>
    </row>
    <row r="5213" spans="1:13">
      <c r="A5213" s="639">
        <v>80513</v>
      </c>
      <c r="B5213" s="639">
        <v>200</v>
      </c>
      <c r="C5213" s="638">
        <v>4135.9319999999998</v>
      </c>
      <c r="D5213" s="633">
        <f t="shared" si="167"/>
        <v>4135.9319999999998</v>
      </c>
      <c r="E5213" s="608"/>
      <c r="F5213" s="760">
        <f t="shared" si="166"/>
        <v>1744.8408960225454</v>
      </c>
      <c r="M5213" s="443"/>
    </row>
    <row r="5214" spans="1:13">
      <c r="A5214" s="639">
        <v>80513</v>
      </c>
      <c r="B5214" s="639">
        <v>300</v>
      </c>
      <c r="C5214" s="638">
        <v>4072.1370000000002</v>
      </c>
      <c r="D5214" s="633">
        <f t="shared" si="167"/>
        <v>4072.1370000000002</v>
      </c>
      <c r="E5214" s="608"/>
      <c r="F5214" s="760">
        <f t="shared" si="166"/>
        <v>1717.927463944417</v>
      </c>
      <c r="M5214" s="443"/>
    </row>
    <row r="5215" spans="1:13">
      <c r="A5215" s="639">
        <v>80513</v>
      </c>
      <c r="B5215" s="639">
        <v>400</v>
      </c>
      <c r="C5215" s="638">
        <v>4018.1930000000002</v>
      </c>
      <c r="D5215" s="633">
        <f t="shared" si="167"/>
        <v>4018.1930000000002</v>
      </c>
      <c r="E5215" s="608"/>
      <c r="F5215" s="760">
        <f t="shared" si="166"/>
        <v>1695.1699095902741</v>
      </c>
      <c r="M5215" s="443"/>
    </row>
    <row r="5216" spans="1:13">
      <c r="A5216" s="639">
        <v>80513</v>
      </c>
      <c r="B5216" s="639">
        <v>500</v>
      </c>
      <c r="C5216" s="638">
        <v>4048.5149999999999</v>
      </c>
      <c r="D5216" s="633">
        <f t="shared" si="167"/>
        <v>4048.5149999999999</v>
      </c>
      <c r="E5216" s="608"/>
      <c r="F5216" s="760">
        <f t="shared" si="166"/>
        <v>1707.9619636301361</v>
      </c>
      <c r="M5216" s="443"/>
    </row>
    <row r="5217" spans="1:13">
      <c r="A5217" s="639">
        <v>80513</v>
      </c>
      <c r="B5217" s="639">
        <v>600</v>
      </c>
      <c r="C5217" s="638">
        <v>4135.3609999999999</v>
      </c>
      <c r="D5217" s="633">
        <f t="shared" si="167"/>
        <v>4135.3609999999999</v>
      </c>
      <c r="E5217" s="608"/>
      <c r="F5217" s="760">
        <f t="shared" si="166"/>
        <v>1744.6000061453356</v>
      </c>
      <c r="M5217" s="443"/>
    </row>
    <row r="5218" spans="1:13">
      <c r="A5218" s="639">
        <v>80513</v>
      </c>
      <c r="B5218" s="639">
        <v>700</v>
      </c>
      <c r="C5218" s="638">
        <v>4386.8469999999998</v>
      </c>
      <c r="D5218" s="633">
        <f t="shared" si="167"/>
        <v>4386.8469999999998</v>
      </c>
      <c r="E5218" s="608"/>
      <c r="F5218" s="760">
        <f t="shared" si="166"/>
        <v>1850.6953330455663</v>
      </c>
      <c r="M5218" s="443"/>
    </row>
    <row r="5219" spans="1:13">
      <c r="A5219" s="639">
        <v>80513</v>
      </c>
      <c r="B5219" s="639">
        <v>800</v>
      </c>
      <c r="C5219" s="638">
        <v>4810.9340000000002</v>
      </c>
      <c r="D5219" s="633">
        <f t="shared" si="167"/>
        <v>4810.9340000000002</v>
      </c>
      <c r="E5219" s="608"/>
      <c r="F5219" s="760">
        <f t="shared" si="166"/>
        <v>2029.606480779986</v>
      </c>
      <c r="M5219" s="443"/>
    </row>
    <row r="5220" spans="1:13">
      <c r="A5220" s="639">
        <v>80513</v>
      </c>
      <c r="B5220" s="639">
        <v>900</v>
      </c>
      <c r="C5220" s="638">
        <v>5217.42</v>
      </c>
      <c r="D5220" s="633">
        <f t="shared" si="167"/>
        <v>5217.42</v>
      </c>
      <c r="E5220" s="608"/>
      <c r="F5220" s="760">
        <f t="shared" si="166"/>
        <v>2201.0922296899344</v>
      </c>
      <c r="M5220" s="443"/>
    </row>
    <row r="5221" spans="1:13">
      <c r="A5221" s="639">
        <v>80513</v>
      </c>
      <c r="B5221" s="639">
        <v>1000</v>
      </c>
      <c r="C5221" s="638">
        <v>5438.451</v>
      </c>
      <c r="D5221" s="633">
        <f t="shared" si="167"/>
        <v>5438.451</v>
      </c>
      <c r="E5221" s="608"/>
      <c r="F5221" s="760">
        <f t="shared" si="166"/>
        <v>2294.3393933494817</v>
      </c>
      <c r="M5221" s="443"/>
    </row>
    <row r="5222" spans="1:13">
      <c r="A5222" s="639">
        <v>80513</v>
      </c>
      <c r="B5222" s="639">
        <v>1100</v>
      </c>
      <c r="C5222" s="638">
        <v>5632.4129999999996</v>
      </c>
      <c r="D5222" s="633">
        <f t="shared" si="167"/>
        <v>5632.4129999999996</v>
      </c>
      <c r="E5222" s="608"/>
      <c r="F5222" s="760">
        <f t="shared" si="166"/>
        <v>2376.1668580839896</v>
      </c>
      <c r="M5222" s="443"/>
    </row>
    <row r="5223" spans="1:13">
      <c r="A5223" s="639">
        <v>80513</v>
      </c>
      <c r="B5223" s="639">
        <v>1200</v>
      </c>
      <c r="C5223" s="638">
        <v>5760.8909999999996</v>
      </c>
      <c r="D5223" s="633">
        <f t="shared" si="167"/>
        <v>5760.8909999999996</v>
      </c>
      <c r="E5223" s="608"/>
      <c r="F5223" s="760">
        <f t="shared" si="166"/>
        <v>2430.3683460773095</v>
      </c>
      <c r="M5223" s="443"/>
    </row>
    <row r="5224" spans="1:13">
      <c r="A5224" s="639">
        <v>80513</v>
      </c>
      <c r="B5224" s="639">
        <v>1300</v>
      </c>
      <c r="C5224" s="638">
        <v>5746.1719999999996</v>
      </c>
      <c r="D5224" s="633">
        <f t="shared" si="167"/>
        <v>5746.1719999999996</v>
      </c>
      <c r="E5224" s="608"/>
      <c r="F5224" s="760">
        <f t="shared" si="166"/>
        <v>2424.1587872285286</v>
      </c>
      <c r="M5224" s="443"/>
    </row>
    <row r="5225" spans="1:13">
      <c r="A5225" s="639">
        <v>80513</v>
      </c>
      <c r="B5225" s="639">
        <v>1400</v>
      </c>
      <c r="C5225" s="638">
        <v>5749.0829999999996</v>
      </c>
      <c r="D5225" s="633">
        <f t="shared" si="167"/>
        <v>5749.0829999999996</v>
      </c>
      <c r="E5225" s="608"/>
      <c r="F5225" s="760">
        <f t="shared" si="166"/>
        <v>2425.3868615412403</v>
      </c>
      <c r="M5225" s="443"/>
    </row>
    <row r="5226" spans="1:13">
      <c r="A5226" s="639">
        <v>80513</v>
      </c>
      <c r="B5226" s="639">
        <v>1500</v>
      </c>
      <c r="C5226" s="638">
        <v>5841.3879999999999</v>
      </c>
      <c r="D5226" s="633">
        <f t="shared" si="167"/>
        <v>5841.3879999999999</v>
      </c>
      <c r="E5226" s="608"/>
      <c r="F5226" s="760">
        <f t="shared" si="166"/>
        <v>2464.3279125322529</v>
      </c>
      <c r="M5226" s="443"/>
    </row>
    <row r="5227" spans="1:13">
      <c r="A5227" s="639">
        <v>80513</v>
      </c>
      <c r="B5227" s="639">
        <v>1600</v>
      </c>
      <c r="C5227" s="638">
        <v>6090.2950000000001</v>
      </c>
      <c r="D5227" s="633">
        <f t="shared" si="167"/>
        <v>6090.2950000000001</v>
      </c>
      <c r="E5227" s="608"/>
      <c r="F5227" s="760">
        <f t="shared" si="166"/>
        <v>2569.3352271849799</v>
      </c>
      <c r="M5227" s="443"/>
    </row>
    <row r="5228" spans="1:13">
      <c r="A5228" s="639">
        <v>80513</v>
      </c>
      <c r="B5228" s="639">
        <v>1700</v>
      </c>
      <c r="C5228" s="638">
        <v>6612.3890000000001</v>
      </c>
      <c r="D5228" s="633">
        <f t="shared" si="167"/>
        <v>6612.3890000000001</v>
      </c>
      <c r="E5228" s="608"/>
      <c r="F5228" s="760">
        <f t="shared" si="166"/>
        <v>2789.5929496929894</v>
      </c>
      <c r="M5228" s="443"/>
    </row>
    <row r="5229" spans="1:13">
      <c r="A5229" s="639">
        <v>80513</v>
      </c>
      <c r="B5229" s="639">
        <v>1800</v>
      </c>
      <c r="C5229" s="638">
        <v>6689.4040000000005</v>
      </c>
      <c r="D5229" s="633">
        <f t="shared" si="167"/>
        <v>6689.4040000000005</v>
      </c>
      <c r="E5229" s="608"/>
      <c r="F5229" s="760">
        <f t="shared" si="166"/>
        <v>2822.083551958011</v>
      </c>
      <c r="M5229" s="443"/>
    </row>
    <row r="5230" spans="1:13">
      <c r="A5230" s="639">
        <v>80513</v>
      </c>
      <c r="B5230" s="639">
        <v>1900</v>
      </c>
      <c r="C5230" s="638">
        <v>6725.5640000000003</v>
      </c>
      <c r="D5230" s="633">
        <f t="shared" si="167"/>
        <v>6725.5640000000003</v>
      </c>
      <c r="E5230" s="608"/>
      <c r="F5230" s="760">
        <f t="shared" si="166"/>
        <v>2837.3385046023427</v>
      </c>
      <c r="M5230" s="443"/>
    </row>
    <row r="5231" spans="1:13">
      <c r="A5231" s="639">
        <v>80513</v>
      </c>
      <c r="B5231" s="639">
        <v>2000</v>
      </c>
      <c r="C5231" s="638">
        <v>6692.8459999999995</v>
      </c>
      <c r="D5231" s="633">
        <f t="shared" si="167"/>
        <v>6692.8459999999995</v>
      </c>
      <c r="E5231" s="608"/>
      <c r="F5231" s="760">
        <f t="shared" si="166"/>
        <v>2823.5356412003166</v>
      </c>
      <c r="M5231" s="443"/>
    </row>
    <row r="5232" spans="1:13">
      <c r="A5232" s="639">
        <v>80513</v>
      </c>
      <c r="B5232" s="639">
        <v>2100</v>
      </c>
      <c r="C5232" s="638">
        <v>6911.0060000000003</v>
      </c>
      <c r="D5232" s="633">
        <f t="shared" si="167"/>
        <v>6911.0060000000003</v>
      </c>
      <c r="E5232" s="608"/>
      <c r="F5232" s="760">
        <f t="shared" si="166"/>
        <v>2915.5716054947688</v>
      </c>
      <c r="M5232" s="443"/>
    </row>
    <row r="5233" spans="1:13">
      <c r="A5233" s="639">
        <v>80513</v>
      </c>
      <c r="B5233" s="639">
        <v>2200</v>
      </c>
      <c r="C5233" s="638">
        <v>6290.848</v>
      </c>
      <c r="D5233" s="633">
        <f t="shared" si="167"/>
        <v>6290.848</v>
      </c>
      <c r="E5233" s="608"/>
      <c r="F5233" s="760">
        <f t="shared" si="166"/>
        <v>2653.9432614128182</v>
      </c>
      <c r="M5233" s="443"/>
    </row>
    <row r="5234" spans="1:13">
      <c r="A5234" s="639">
        <v>80513</v>
      </c>
      <c r="B5234" s="639">
        <v>2300</v>
      </c>
      <c r="C5234" s="638">
        <v>5445.2439999999997</v>
      </c>
      <c r="D5234" s="633">
        <f t="shared" si="167"/>
        <v>5445.2439999999997</v>
      </c>
      <c r="E5234" s="608"/>
      <c r="F5234" s="760">
        <f t="shared" si="166"/>
        <v>2297.2051813282687</v>
      </c>
      <c r="M5234" s="443"/>
    </row>
    <row r="5235" spans="1:13">
      <c r="A5235" s="639">
        <v>80513</v>
      </c>
      <c r="B5235" s="639">
        <v>2400</v>
      </c>
      <c r="C5235" s="638">
        <v>4769.9290000000001</v>
      </c>
      <c r="D5235" s="633">
        <f t="shared" si="167"/>
        <v>4769.9290000000001</v>
      </c>
      <c r="E5235" s="608"/>
      <c r="F5235" s="760">
        <f t="shared" si="166"/>
        <v>2012.3075501057381</v>
      </c>
      <c r="M5235" s="443"/>
    </row>
    <row r="5236" spans="1:13">
      <c r="A5236" s="639">
        <v>80613</v>
      </c>
      <c r="B5236" s="639">
        <v>100</v>
      </c>
      <c r="C5236" s="638">
        <v>4404.6880000000001</v>
      </c>
      <c r="D5236" s="633">
        <f t="shared" si="167"/>
        <v>4404.6880000000001</v>
      </c>
      <c r="E5236" s="608"/>
      <c r="F5236" s="760">
        <f t="shared" si="166"/>
        <v>1858.2219815557303</v>
      </c>
      <c r="M5236" s="443"/>
    </row>
    <row r="5237" spans="1:13">
      <c r="A5237" s="639">
        <v>80613</v>
      </c>
      <c r="B5237" s="639">
        <v>200</v>
      </c>
      <c r="C5237" s="638">
        <v>4221.201</v>
      </c>
      <c r="D5237" s="633">
        <f t="shared" si="167"/>
        <v>4221.201</v>
      </c>
      <c r="E5237" s="608"/>
      <c r="F5237" s="760">
        <f t="shared" si="166"/>
        <v>1780.8136437280075</v>
      </c>
      <c r="M5237" s="443"/>
    </row>
    <row r="5238" spans="1:13">
      <c r="A5238" s="639">
        <v>80613</v>
      </c>
      <c r="B5238" s="639">
        <v>300</v>
      </c>
      <c r="C5238" s="638">
        <v>4148.0839999999998</v>
      </c>
      <c r="D5238" s="633">
        <f t="shared" si="167"/>
        <v>4148.0839999999998</v>
      </c>
      <c r="E5238" s="608"/>
      <c r="F5238" s="760">
        <f t="shared" si="166"/>
        <v>1749.9675051081074</v>
      </c>
      <c r="M5238" s="443"/>
    </row>
    <row r="5239" spans="1:13">
      <c r="A5239" s="639">
        <v>80613</v>
      </c>
      <c r="B5239" s="639">
        <v>400</v>
      </c>
      <c r="C5239" s="638">
        <v>4157.0690000000004</v>
      </c>
      <c r="D5239" s="633">
        <f t="shared" si="167"/>
        <v>4157.0690000000004</v>
      </c>
      <c r="E5239" s="608"/>
      <c r="F5239" s="760">
        <f t="shared" si="166"/>
        <v>1753.7580402162193</v>
      </c>
      <c r="M5239" s="443"/>
    </row>
    <row r="5240" spans="1:13">
      <c r="A5240" s="639">
        <v>80613</v>
      </c>
      <c r="B5240" s="639">
        <v>500</v>
      </c>
      <c r="C5240" s="638">
        <v>4350.99</v>
      </c>
      <c r="D5240" s="633">
        <f t="shared" si="167"/>
        <v>4350.99</v>
      </c>
      <c r="E5240" s="608"/>
      <c r="F5240" s="760">
        <f t="shared" si="166"/>
        <v>1835.5682081294217</v>
      </c>
      <c r="M5240" s="443"/>
    </row>
    <row r="5241" spans="1:13">
      <c r="A5241" s="639">
        <v>80613</v>
      </c>
      <c r="B5241" s="639">
        <v>600</v>
      </c>
      <c r="C5241" s="638">
        <v>4755.9939999999997</v>
      </c>
      <c r="D5241" s="633">
        <f t="shared" si="167"/>
        <v>4755.9939999999997</v>
      </c>
      <c r="E5241" s="608"/>
      <c r="F5241" s="760">
        <f t="shared" si="166"/>
        <v>2006.4287402302189</v>
      </c>
      <c r="M5241" s="443"/>
    </row>
    <row r="5242" spans="1:13">
      <c r="A5242" s="639">
        <v>80613</v>
      </c>
      <c r="B5242" s="639">
        <v>700</v>
      </c>
      <c r="C5242" s="638">
        <v>5185.1909999999998</v>
      </c>
      <c r="D5242" s="633">
        <f t="shared" si="167"/>
        <v>5185.1909999999998</v>
      </c>
      <c r="E5242" s="608"/>
      <c r="F5242" s="760">
        <f t="shared" si="166"/>
        <v>2187.4956625225077</v>
      </c>
      <c r="M5242" s="443"/>
    </row>
    <row r="5243" spans="1:13">
      <c r="A5243" s="639">
        <v>80613</v>
      </c>
      <c r="B5243" s="639">
        <v>800</v>
      </c>
      <c r="C5243" s="638">
        <v>5316.9369999999999</v>
      </c>
      <c r="D5243" s="633">
        <f t="shared" si="167"/>
        <v>5316.9369999999999</v>
      </c>
      <c r="E5243" s="608"/>
      <c r="F5243" s="760">
        <f t="shared" si="166"/>
        <v>2243.0758337360053</v>
      </c>
      <c r="M5243" s="443"/>
    </row>
    <row r="5244" spans="1:13">
      <c r="A5244" s="639">
        <v>80613</v>
      </c>
      <c r="B5244" s="639">
        <v>900</v>
      </c>
      <c r="C5244" s="638">
        <v>5536.0870000000004</v>
      </c>
      <c r="D5244" s="633">
        <f t="shared" si="167"/>
        <v>5536.0870000000004</v>
      </c>
      <c r="E5244" s="608"/>
      <c r="F5244" s="760">
        <f t="shared" ref="F5244:F5307" si="168">(D5244/(MAX($D$5116:$D$5859)))*$M$11</f>
        <v>2335.5294529839384</v>
      </c>
      <c r="M5244" s="443"/>
    </row>
    <row r="5245" spans="1:13">
      <c r="A5245" s="639">
        <v>80613</v>
      </c>
      <c r="B5245" s="639">
        <v>1000</v>
      </c>
      <c r="C5245" s="638">
        <v>5692.8019999999997</v>
      </c>
      <c r="D5245" s="633">
        <f t="shared" si="167"/>
        <v>5692.8019999999997</v>
      </c>
      <c r="E5245" s="608"/>
      <c r="F5245" s="760">
        <f t="shared" si="168"/>
        <v>2401.6433883726663</v>
      </c>
      <c r="M5245" s="443"/>
    </row>
    <row r="5246" spans="1:13">
      <c r="A5246" s="639">
        <v>80613</v>
      </c>
      <c r="B5246" s="639">
        <v>1100</v>
      </c>
      <c r="C5246" s="638">
        <v>5719.8459999999995</v>
      </c>
      <c r="D5246" s="633">
        <f t="shared" si="167"/>
        <v>5719.8459999999995</v>
      </c>
      <c r="E5246" s="608"/>
      <c r="F5246" s="760">
        <f t="shared" si="168"/>
        <v>2413.0525404554455</v>
      </c>
      <c r="M5246" s="443"/>
    </row>
    <row r="5247" spans="1:13">
      <c r="A5247" s="639">
        <v>80613</v>
      </c>
      <c r="B5247" s="639">
        <v>1200</v>
      </c>
      <c r="C5247" s="638">
        <v>5656.0780000000004</v>
      </c>
      <c r="D5247" s="633">
        <f t="shared" si="167"/>
        <v>5656.0780000000004</v>
      </c>
      <c r="E5247" s="608"/>
      <c r="F5247" s="760">
        <f t="shared" si="168"/>
        <v>2386.1504989669579</v>
      </c>
      <c r="M5247" s="443"/>
    </row>
    <row r="5248" spans="1:13">
      <c r="A5248" s="639">
        <v>80613</v>
      </c>
      <c r="B5248" s="639">
        <v>1300</v>
      </c>
      <c r="C5248" s="638">
        <v>5782.3119999999999</v>
      </c>
      <c r="D5248" s="633">
        <f t="shared" si="167"/>
        <v>5782.3119999999999</v>
      </c>
      <c r="E5248" s="608"/>
      <c r="F5248" s="760">
        <f t="shared" si="168"/>
        <v>2439.4053023990523</v>
      </c>
      <c r="M5248" s="443"/>
    </row>
    <row r="5249" spans="1:13">
      <c r="A5249" s="639">
        <v>80613</v>
      </c>
      <c r="B5249" s="639">
        <v>1400</v>
      </c>
      <c r="C5249" s="638">
        <v>6007.2629999999999</v>
      </c>
      <c r="D5249" s="633">
        <f t="shared" si="167"/>
        <v>6007.2629999999999</v>
      </c>
      <c r="E5249" s="608"/>
      <c r="F5249" s="760">
        <f t="shared" si="168"/>
        <v>2534.3062109249099</v>
      </c>
      <c r="M5249" s="443"/>
    </row>
    <row r="5250" spans="1:13">
      <c r="A5250" s="639">
        <v>80613</v>
      </c>
      <c r="B5250" s="639">
        <v>1500</v>
      </c>
      <c r="C5250" s="638">
        <v>6194.1490000000003</v>
      </c>
      <c r="D5250" s="633">
        <f t="shared" si="167"/>
        <v>6194.1490000000003</v>
      </c>
      <c r="E5250" s="608"/>
      <c r="F5250" s="760">
        <f t="shared" si="168"/>
        <v>2613.1484974262526</v>
      </c>
      <c r="M5250" s="443"/>
    </row>
    <row r="5251" spans="1:13">
      <c r="A5251" s="639">
        <v>80613</v>
      </c>
      <c r="B5251" s="639">
        <v>1600</v>
      </c>
      <c r="C5251" s="638">
        <v>6288.8059999999996</v>
      </c>
      <c r="D5251" s="633">
        <f t="shared" si="167"/>
        <v>6288.8059999999996</v>
      </c>
      <c r="E5251" s="608"/>
      <c r="F5251" s="760">
        <f t="shared" si="168"/>
        <v>2653.0817953370506</v>
      </c>
      <c r="M5251" s="443"/>
    </row>
    <row r="5252" spans="1:13">
      <c r="A5252" s="639">
        <v>80613</v>
      </c>
      <c r="B5252" s="639">
        <v>1700</v>
      </c>
      <c r="C5252" s="638">
        <v>6758.3019999999997</v>
      </c>
      <c r="D5252" s="633">
        <f t="shared" si="167"/>
        <v>6758.3019999999997</v>
      </c>
      <c r="E5252" s="608"/>
      <c r="F5252" s="760">
        <f t="shared" si="168"/>
        <v>2851.149805478175</v>
      </c>
      <c r="M5252" s="443"/>
    </row>
    <row r="5253" spans="1:13">
      <c r="A5253" s="639">
        <v>80613</v>
      </c>
      <c r="B5253" s="639">
        <v>1800</v>
      </c>
      <c r="C5253" s="638">
        <v>6879.4160000000002</v>
      </c>
      <c r="D5253" s="633">
        <f t="shared" ref="D5253:D5316" si="169">C5253</f>
        <v>6879.4160000000002</v>
      </c>
      <c r="E5253" s="608"/>
      <c r="F5253" s="760">
        <f t="shared" si="168"/>
        <v>2902.2446156154974</v>
      </c>
      <c r="M5253" s="443"/>
    </row>
    <row r="5254" spans="1:13">
      <c r="A5254" s="639">
        <v>80613</v>
      </c>
      <c r="B5254" s="639">
        <v>1900</v>
      </c>
      <c r="C5254" s="638">
        <v>6789.9849999999997</v>
      </c>
      <c r="D5254" s="633">
        <f t="shared" si="169"/>
        <v>6789.9849999999997</v>
      </c>
      <c r="E5254" s="608"/>
      <c r="F5254" s="760">
        <f t="shared" si="168"/>
        <v>2864.5160296106524</v>
      </c>
      <c r="M5254" s="443"/>
    </row>
    <row r="5255" spans="1:13">
      <c r="A5255" s="639">
        <v>80613</v>
      </c>
      <c r="B5255" s="639">
        <v>2000</v>
      </c>
      <c r="C5255" s="638">
        <v>7089.5969999999998</v>
      </c>
      <c r="D5255" s="633">
        <f t="shared" si="169"/>
        <v>7089.5969999999998</v>
      </c>
      <c r="E5255" s="608"/>
      <c r="F5255" s="760">
        <f t="shared" si="168"/>
        <v>2990.9144497343646</v>
      </c>
      <c r="M5255" s="443"/>
    </row>
    <row r="5256" spans="1:13">
      <c r="A5256" s="639">
        <v>80613</v>
      </c>
      <c r="B5256" s="639">
        <v>2100</v>
      </c>
      <c r="C5256" s="638">
        <v>7255.1589999999997</v>
      </c>
      <c r="D5256" s="633">
        <f t="shared" si="169"/>
        <v>7255.1589999999997</v>
      </c>
      <c r="E5256" s="608"/>
      <c r="F5256" s="760">
        <f t="shared" si="168"/>
        <v>3060.7607016619313</v>
      </c>
      <c r="M5256" s="443"/>
    </row>
    <row r="5257" spans="1:13">
      <c r="A5257" s="639">
        <v>80613</v>
      </c>
      <c r="B5257" s="639">
        <v>2200</v>
      </c>
      <c r="C5257" s="638">
        <v>6557.3130000000001</v>
      </c>
      <c r="D5257" s="633">
        <f t="shared" si="169"/>
        <v>6557.3130000000001</v>
      </c>
      <c r="E5257" s="608"/>
      <c r="F5257" s="760">
        <f t="shared" si="168"/>
        <v>2766.3578343213298</v>
      </c>
      <c r="M5257" s="443"/>
    </row>
    <row r="5258" spans="1:13">
      <c r="A5258" s="639">
        <v>80613</v>
      </c>
      <c r="B5258" s="639">
        <v>2300</v>
      </c>
      <c r="C5258" s="638">
        <v>5733.55</v>
      </c>
      <c r="D5258" s="633">
        <f t="shared" si="169"/>
        <v>5733.55</v>
      </c>
      <c r="E5258" s="608"/>
      <c r="F5258" s="760">
        <f t="shared" si="168"/>
        <v>2418.8338975084857</v>
      </c>
      <c r="M5258" s="443"/>
    </row>
    <row r="5259" spans="1:13">
      <c r="A5259" s="639">
        <v>80613</v>
      </c>
      <c r="B5259" s="639">
        <v>2400</v>
      </c>
      <c r="C5259" s="638">
        <v>4892.38</v>
      </c>
      <c r="D5259" s="633">
        <f t="shared" si="169"/>
        <v>4892.38</v>
      </c>
      <c r="E5259" s="608"/>
      <c r="F5259" s="760">
        <f t="shared" si="168"/>
        <v>2063.9664053671049</v>
      </c>
      <c r="M5259" s="443"/>
    </row>
    <row r="5260" spans="1:13">
      <c r="A5260" s="639">
        <v>80713</v>
      </c>
      <c r="B5260" s="639">
        <v>100</v>
      </c>
      <c r="C5260" s="638">
        <v>4532.317</v>
      </c>
      <c r="D5260" s="633">
        <f t="shared" si="169"/>
        <v>4532.317</v>
      </c>
      <c r="E5260" s="608"/>
      <c r="F5260" s="760">
        <f t="shared" si="168"/>
        <v>1912.0652987859121</v>
      </c>
      <c r="M5260" s="443"/>
    </row>
    <row r="5261" spans="1:13">
      <c r="A5261" s="639">
        <v>80713</v>
      </c>
      <c r="B5261" s="639">
        <v>200</v>
      </c>
      <c r="C5261" s="638">
        <v>4334.1840000000002</v>
      </c>
      <c r="D5261" s="633">
        <f t="shared" si="169"/>
        <v>4334.1840000000002</v>
      </c>
      <c r="E5261" s="608"/>
      <c r="F5261" s="760">
        <f t="shared" si="168"/>
        <v>1828.4781988888069</v>
      </c>
      <c r="M5261" s="443"/>
    </row>
    <row r="5262" spans="1:13">
      <c r="A5262" s="639">
        <v>80713</v>
      </c>
      <c r="B5262" s="639">
        <v>300</v>
      </c>
      <c r="C5262" s="638">
        <v>4201.1019999999999</v>
      </c>
      <c r="D5262" s="633">
        <f t="shared" si="169"/>
        <v>4201.1019999999999</v>
      </c>
      <c r="E5262" s="608"/>
      <c r="F5262" s="760">
        <f t="shared" si="168"/>
        <v>1772.3344044249538</v>
      </c>
      <c r="M5262" s="443"/>
    </row>
    <row r="5263" spans="1:13">
      <c r="A5263" s="639">
        <v>80713</v>
      </c>
      <c r="B5263" s="639">
        <v>400</v>
      </c>
      <c r="C5263" s="638">
        <v>4197.8450000000003</v>
      </c>
      <c r="D5263" s="633">
        <f t="shared" si="169"/>
        <v>4197.8450000000003</v>
      </c>
      <c r="E5263" s="608"/>
      <c r="F5263" s="760">
        <f t="shared" si="168"/>
        <v>1770.9603618153692</v>
      </c>
      <c r="M5263" s="443"/>
    </row>
    <row r="5264" spans="1:13">
      <c r="A5264" s="639">
        <v>80713</v>
      </c>
      <c r="B5264" s="639">
        <v>500</v>
      </c>
      <c r="C5264" s="638">
        <v>4424.1819999999998</v>
      </c>
      <c r="D5264" s="633">
        <f t="shared" si="169"/>
        <v>4424.1819999999998</v>
      </c>
      <c r="E5264" s="608"/>
      <c r="F5264" s="760">
        <f t="shared" si="168"/>
        <v>1866.4459872761006</v>
      </c>
      <c r="M5264" s="443"/>
    </row>
    <row r="5265" spans="1:13">
      <c r="A5265" s="639">
        <v>80713</v>
      </c>
      <c r="B5265" s="639">
        <v>600</v>
      </c>
      <c r="C5265" s="638">
        <v>4844.8100000000004</v>
      </c>
      <c r="D5265" s="633">
        <f t="shared" si="169"/>
        <v>4844.8100000000004</v>
      </c>
      <c r="E5265" s="608"/>
      <c r="F5265" s="760">
        <f t="shared" si="168"/>
        <v>2043.8978739154777</v>
      </c>
      <c r="M5265" s="443"/>
    </row>
    <row r="5266" spans="1:13">
      <c r="A5266" s="639">
        <v>80713</v>
      </c>
      <c r="B5266" s="639">
        <v>700</v>
      </c>
      <c r="C5266" s="638">
        <v>5312.5820000000003</v>
      </c>
      <c r="D5266" s="633">
        <f t="shared" si="169"/>
        <v>5312.5820000000003</v>
      </c>
      <c r="E5266" s="608"/>
      <c r="F5266" s="760">
        <f t="shared" si="168"/>
        <v>2241.2385738143776</v>
      </c>
      <c r="M5266" s="443"/>
    </row>
    <row r="5267" spans="1:13">
      <c r="A5267" s="639">
        <v>80713</v>
      </c>
      <c r="B5267" s="639">
        <v>800</v>
      </c>
      <c r="C5267" s="638">
        <v>5741.75</v>
      </c>
      <c r="D5267" s="633">
        <f t="shared" si="169"/>
        <v>5741.75</v>
      </c>
      <c r="E5267" s="608"/>
      <c r="F5267" s="760">
        <f t="shared" si="168"/>
        <v>2422.2932617696447</v>
      </c>
      <c r="M5267" s="443"/>
    </row>
    <row r="5268" spans="1:13">
      <c r="A5268" s="639">
        <v>80713</v>
      </c>
      <c r="B5268" s="639">
        <v>900</v>
      </c>
      <c r="C5268" s="638">
        <v>5916.6629999999996</v>
      </c>
      <c r="D5268" s="633">
        <f t="shared" si="169"/>
        <v>5916.6629999999996</v>
      </c>
      <c r="E5268" s="608"/>
      <c r="F5268" s="760">
        <f t="shared" si="168"/>
        <v>2496.0844545760037</v>
      </c>
      <c r="M5268" s="443"/>
    </row>
    <row r="5269" spans="1:13">
      <c r="A5269" s="639">
        <v>80713</v>
      </c>
      <c r="B5269" s="639">
        <v>1000</v>
      </c>
      <c r="C5269" s="638">
        <v>6167.5129999999999</v>
      </c>
      <c r="D5269" s="633">
        <f t="shared" si="169"/>
        <v>6167.5129999999999</v>
      </c>
      <c r="E5269" s="608"/>
      <c r="F5269" s="760">
        <f t="shared" si="168"/>
        <v>2601.9114698091503</v>
      </c>
      <c r="M5269" s="443"/>
    </row>
    <row r="5270" spans="1:13">
      <c r="A5270" s="639">
        <v>80713</v>
      </c>
      <c r="B5270" s="639">
        <v>1100</v>
      </c>
      <c r="C5270" s="638">
        <v>6354.9480000000003</v>
      </c>
      <c r="D5270" s="633">
        <f t="shared" si="169"/>
        <v>6354.9480000000003</v>
      </c>
      <c r="E5270" s="608"/>
      <c r="F5270" s="760">
        <f t="shared" si="168"/>
        <v>2680.9853649665142</v>
      </c>
      <c r="M5270" s="443"/>
    </row>
    <row r="5271" spans="1:13">
      <c r="A5271" s="639">
        <v>80713</v>
      </c>
      <c r="B5271" s="639">
        <v>1200</v>
      </c>
      <c r="C5271" s="638">
        <v>6179.1729999999998</v>
      </c>
      <c r="D5271" s="633">
        <f t="shared" si="169"/>
        <v>6179.1729999999998</v>
      </c>
      <c r="E5271" s="608"/>
      <c r="F5271" s="760">
        <f t="shared" si="168"/>
        <v>2606.8305170390427</v>
      </c>
      <c r="M5271" s="443"/>
    </row>
    <row r="5272" spans="1:13">
      <c r="A5272" s="639">
        <v>80713</v>
      </c>
      <c r="B5272" s="639">
        <v>1300</v>
      </c>
      <c r="C5272" s="638">
        <v>6244.7030000000004</v>
      </c>
      <c r="D5272" s="633">
        <f t="shared" si="169"/>
        <v>6244.7030000000004</v>
      </c>
      <c r="E5272" s="608"/>
      <c r="F5272" s="760">
        <f t="shared" si="168"/>
        <v>2634.4758999699898</v>
      </c>
      <c r="M5272" s="443"/>
    </row>
    <row r="5273" spans="1:13">
      <c r="A5273" s="639">
        <v>80713</v>
      </c>
      <c r="B5273" s="639">
        <v>1400</v>
      </c>
      <c r="C5273" s="638">
        <v>6389.652</v>
      </c>
      <c r="D5273" s="633">
        <f t="shared" si="169"/>
        <v>6389.652</v>
      </c>
      <c r="E5273" s="608"/>
      <c r="F5273" s="760">
        <f t="shared" si="168"/>
        <v>2695.6260695176447</v>
      </c>
      <c r="M5273" s="443"/>
    </row>
    <row r="5274" spans="1:13">
      <c r="A5274" s="639">
        <v>80713</v>
      </c>
      <c r="B5274" s="639">
        <v>1500</v>
      </c>
      <c r="C5274" s="638">
        <v>6781.3270000000002</v>
      </c>
      <c r="D5274" s="633">
        <f t="shared" si="169"/>
        <v>6781.3270000000002</v>
      </c>
      <c r="E5274" s="608"/>
      <c r="F5274" s="760">
        <f t="shared" si="168"/>
        <v>2860.8634471992964</v>
      </c>
      <c r="M5274" s="443"/>
    </row>
    <row r="5275" spans="1:13">
      <c r="A5275" s="639">
        <v>80713</v>
      </c>
      <c r="B5275" s="639">
        <v>1600</v>
      </c>
      <c r="C5275" s="638">
        <v>7211.1419999999998</v>
      </c>
      <c r="D5275" s="633">
        <f t="shared" si="169"/>
        <v>7211.1419999999998</v>
      </c>
      <c r="E5275" s="608"/>
      <c r="F5275" s="760">
        <f t="shared" si="168"/>
        <v>3042.1910874322425</v>
      </c>
      <c r="M5275" s="443"/>
    </row>
    <row r="5276" spans="1:13">
      <c r="A5276" s="639">
        <v>80713</v>
      </c>
      <c r="B5276" s="639">
        <v>1700</v>
      </c>
      <c r="C5276" s="638">
        <v>7873.9740000000002</v>
      </c>
      <c r="D5276" s="633">
        <f t="shared" si="169"/>
        <v>7873.9740000000002</v>
      </c>
      <c r="E5276" s="608"/>
      <c r="F5276" s="760">
        <f t="shared" si="168"/>
        <v>3321.8224693776942</v>
      </c>
      <c r="M5276" s="443"/>
    </row>
    <row r="5277" spans="1:13">
      <c r="A5277" s="639">
        <v>80713</v>
      </c>
      <c r="B5277" s="639">
        <v>1800</v>
      </c>
      <c r="C5277" s="638">
        <v>8127.5540000000001</v>
      </c>
      <c r="D5277" s="633">
        <f t="shared" si="169"/>
        <v>8127.5540000000001</v>
      </c>
      <c r="E5277" s="608"/>
      <c r="F5277" s="760">
        <f t="shared" si="168"/>
        <v>3428.8011997855924</v>
      </c>
      <c r="M5277" s="443"/>
    </row>
    <row r="5278" spans="1:13">
      <c r="A5278" s="639">
        <v>80713</v>
      </c>
      <c r="B5278" s="639">
        <v>1900</v>
      </c>
      <c r="C5278" s="638">
        <v>8162.7250000000004</v>
      </c>
      <c r="D5278" s="633">
        <f t="shared" si="169"/>
        <v>8162.7250000000004</v>
      </c>
      <c r="E5278" s="608"/>
      <c r="F5278" s="760">
        <f t="shared" si="168"/>
        <v>3443.6389193501327</v>
      </c>
      <c r="M5278" s="443"/>
    </row>
    <row r="5279" spans="1:13">
      <c r="A5279" s="639">
        <v>80713</v>
      </c>
      <c r="B5279" s="639">
        <v>2000</v>
      </c>
      <c r="C5279" s="638">
        <v>8179.1220000000003</v>
      </c>
      <c r="D5279" s="633">
        <f t="shared" si="169"/>
        <v>8179.1220000000003</v>
      </c>
      <c r="E5279" s="608"/>
      <c r="F5279" s="760">
        <f t="shared" si="168"/>
        <v>3450.55638225138</v>
      </c>
      <c r="M5279" s="443"/>
    </row>
    <row r="5280" spans="1:13">
      <c r="A5280" s="639">
        <v>80713</v>
      </c>
      <c r="B5280" s="639">
        <v>2100</v>
      </c>
      <c r="C5280" s="638">
        <v>8418.9860000000008</v>
      </c>
      <c r="D5280" s="633">
        <f t="shared" si="169"/>
        <v>8418.9860000000008</v>
      </c>
      <c r="E5280" s="608"/>
      <c r="F5280" s="760">
        <f t="shared" si="168"/>
        <v>3551.7486931219537</v>
      </c>
      <c r="M5280" s="443"/>
    </row>
    <row r="5281" spans="1:13">
      <c r="A5281" s="639">
        <v>80713</v>
      </c>
      <c r="B5281" s="639">
        <v>2200</v>
      </c>
      <c r="C5281" s="638">
        <v>7648.201</v>
      </c>
      <c r="D5281" s="633">
        <f t="shared" si="169"/>
        <v>7648.201</v>
      </c>
      <c r="E5281" s="608"/>
      <c r="F5281" s="760">
        <f t="shared" si="168"/>
        <v>3226.5747806783402</v>
      </c>
      <c r="M5281" s="443"/>
    </row>
    <row r="5282" spans="1:13">
      <c r="A5282" s="639">
        <v>80713</v>
      </c>
      <c r="B5282" s="639">
        <v>2300</v>
      </c>
      <c r="C5282" s="638">
        <v>6545.3829999999998</v>
      </c>
      <c r="D5282" s="633">
        <f t="shared" si="169"/>
        <v>6545.3829999999998</v>
      </c>
      <c r="E5282" s="608"/>
      <c r="F5282" s="760">
        <f t="shared" si="168"/>
        <v>2761.3248811950334</v>
      </c>
      <c r="M5282" s="443"/>
    </row>
    <row r="5283" spans="1:13">
      <c r="A5283" s="639">
        <v>80713</v>
      </c>
      <c r="B5283" s="639">
        <v>2400</v>
      </c>
      <c r="C5283" s="638">
        <v>5737.085</v>
      </c>
      <c r="D5283" s="633">
        <f t="shared" si="169"/>
        <v>5737.085</v>
      </c>
      <c r="E5283" s="608"/>
      <c r="F5283" s="760">
        <f t="shared" si="168"/>
        <v>2420.3252210039977</v>
      </c>
      <c r="M5283" s="443"/>
    </row>
    <row r="5284" spans="1:13">
      <c r="A5284" s="639">
        <v>80813</v>
      </c>
      <c r="B5284" s="639">
        <v>100</v>
      </c>
      <c r="C5284" s="638">
        <v>5207.5159999999996</v>
      </c>
      <c r="D5284" s="633">
        <f t="shared" si="169"/>
        <v>5207.5159999999996</v>
      </c>
      <c r="E5284" s="608"/>
      <c r="F5284" s="760">
        <f t="shared" si="168"/>
        <v>2196.9139926603584</v>
      </c>
      <c r="M5284" s="443"/>
    </row>
    <row r="5285" spans="1:13">
      <c r="A5285" s="639">
        <v>80813</v>
      </c>
      <c r="B5285" s="639">
        <v>200</v>
      </c>
      <c r="C5285" s="638">
        <v>4876.9830000000002</v>
      </c>
      <c r="D5285" s="633">
        <f t="shared" si="169"/>
        <v>4876.9830000000002</v>
      </c>
      <c r="E5285" s="608"/>
      <c r="F5285" s="760">
        <f t="shared" si="168"/>
        <v>2057.470816156243</v>
      </c>
      <c r="M5285" s="443"/>
    </row>
    <row r="5286" spans="1:13">
      <c r="A5286" s="639">
        <v>80813</v>
      </c>
      <c r="B5286" s="639">
        <v>300</v>
      </c>
      <c r="C5286" s="638">
        <v>4635.0709999999999</v>
      </c>
      <c r="D5286" s="633">
        <f t="shared" si="169"/>
        <v>4635.0709999999999</v>
      </c>
      <c r="E5286" s="608"/>
      <c r="F5286" s="760">
        <f t="shared" si="168"/>
        <v>1955.4145079677605</v>
      </c>
      <c r="M5286" s="443"/>
    </row>
    <row r="5287" spans="1:13">
      <c r="A5287" s="639">
        <v>80813</v>
      </c>
      <c r="B5287" s="639">
        <v>400</v>
      </c>
      <c r="C5287" s="638">
        <v>4594.9809999999998</v>
      </c>
      <c r="D5287" s="633">
        <f t="shared" si="169"/>
        <v>4594.9809999999998</v>
      </c>
      <c r="E5287" s="608"/>
      <c r="F5287" s="760">
        <f t="shared" si="168"/>
        <v>1938.5015917202149</v>
      </c>
      <c r="M5287" s="443"/>
    </row>
    <row r="5288" spans="1:13">
      <c r="A5288" s="639">
        <v>80813</v>
      </c>
      <c r="B5288" s="639">
        <v>500</v>
      </c>
      <c r="C5288" s="638">
        <v>4782.2169999999996</v>
      </c>
      <c r="D5288" s="633">
        <f t="shared" si="169"/>
        <v>4782.2169999999996</v>
      </c>
      <c r="E5288" s="608"/>
      <c r="F5288" s="760">
        <f t="shared" si="168"/>
        <v>2017.491534013192</v>
      </c>
      <c r="M5288" s="443"/>
    </row>
    <row r="5289" spans="1:13">
      <c r="A5289" s="639">
        <v>80813</v>
      </c>
      <c r="B5289" s="639">
        <v>600</v>
      </c>
      <c r="C5289" s="638">
        <v>5063.3940000000002</v>
      </c>
      <c r="D5289" s="633">
        <f t="shared" si="169"/>
        <v>5063.3940000000002</v>
      </c>
      <c r="E5289" s="608"/>
      <c r="F5289" s="760">
        <f t="shared" si="168"/>
        <v>2136.1127126546526</v>
      </c>
      <c r="M5289" s="443"/>
    </row>
    <row r="5290" spans="1:13">
      <c r="A5290" s="639">
        <v>80813</v>
      </c>
      <c r="B5290" s="639">
        <v>700</v>
      </c>
      <c r="C5290" s="638">
        <v>5668.9120000000003</v>
      </c>
      <c r="D5290" s="633">
        <f t="shared" si="169"/>
        <v>5668.9120000000003</v>
      </c>
      <c r="E5290" s="608"/>
      <c r="F5290" s="760">
        <f t="shared" si="168"/>
        <v>2391.5648259093623</v>
      </c>
      <c r="M5290" s="443"/>
    </row>
    <row r="5291" spans="1:13">
      <c r="A5291" s="639">
        <v>80813</v>
      </c>
      <c r="B5291" s="639">
        <v>800</v>
      </c>
      <c r="C5291" s="638">
        <v>6013.7039999999997</v>
      </c>
      <c r="D5291" s="633">
        <f t="shared" si="169"/>
        <v>6013.7039999999997</v>
      </c>
      <c r="E5291" s="608"/>
      <c r="F5291" s="760">
        <f t="shared" si="168"/>
        <v>2537.0234993646818</v>
      </c>
      <c r="M5291" s="443"/>
    </row>
    <row r="5292" spans="1:13">
      <c r="A5292" s="639">
        <v>80813</v>
      </c>
      <c r="B5292" s="639">
        <v>900</v>
      </c>
      <c r="C5292" s="638">
        <v>6344.6930000000002</v>
      </c>
      <c r="D5292" s="633">
        <f t="shared" si="169"/>
        <v>6344.6930000000002</v>
      </c>
      <c r="E5292" s="608"/>
      <c r="F5292" s="760">
        <f t="shared" si="168"/>
        <v>2676.6590502716126</v>
      </c>
      <c r="M5292" s="443"/>
    </row>
    <row r="5293" spans="1:13">
      <c r="A5293" s="639">
        <v>80813</v>
      </c>
      <c r="B5293" s="639">
        <v>1000</v>
      </c>
      <c r="C5293" s="638">
        <v>6543.2529999999997</v>
      </c>
      <c r="D5293" s="633">
        <f t="shared" si="169"/>
        <v>6543.2529999999997</v>
      </c>
      <c r="E5293" s="608"/>
      <c r="F5293" s="760">
        <f t="shared" si="168"/>
        <v>2760.4262902345126</v>
      </c>
      <c r="M5293" s="443"/>
    </row>
    <row r="5294" spans="1:13">
      <c r="A5294" s="639">
        <v>80813</v>
      </c>
      <c r="B5294" s="639">
        <v>1100</v>
      </c>
      <c r="C5294" s="638">
        <v>6819.5119999999997</v>
      </c>
      <c r="D5294" s="633">
        <f t="shared" si="169"/>
        <v>6819.5119999999997</v>
      </c>
      <c r="E5294" s="608"/>
      <c r="F5294" s="760">
        <f t="shared" si="168"/>
        <v>2876.9726940666583</v>
      </c>
      <c r="M5294" s="443"/>
    </row>
    <row r="5295" spans="1:13">
      <c r="A5295" s="639">
        <v>80813</v>
      </c>
      <c r="B5295" s="639">
        <v>1200</v>
      </c>
      <c r="C5295" s="638">
        <v>7018.0590000000002</v>
      </c>
      <c r="D5295" s="633">
        <f t="shared" si="169"/>
        <v>7018.0590000000002</v>
      </c>
      <c r="E5295" s="608"/>
      <c r="F5295" s="760">
        <f t="shared" si="168"/>
        <v>2960.7344496715832</v>
      </c>
      <c r="M5295" s="443"/>
    </row>
    <row r="5296" spans="1:13">
      <c r="A5296" s="639">
        <v>80813</v>
      </c>
      <c r="B5296" s="639">
        <v>1300</v>
      </c>
      <c r="C5296" s="638">
        <v>7424.2309999999998</v>
      </c>
      <c r="D5296" s="633">
        <f t="shared" si="169"/>
        <v>7424.2309999999998</v>
      </c>
      <c r="E5296" s="608"/>
      <c r="F5296" s="760">
        <f t="shared" si="168"/>
        <v>3132.0877302427502</v>
      </c>
      <c r="M5296" s="443"/>
    </row>
    <row r="5297" spans="1:13">
      <c r="A5297" s="639">
        <v>80813</v>
      </c>
      <c r="B5297" s="639">
        <v>1400</v>
      </c>
      <c r="C5297" s="638">
        <v>7520.0259999999998</v>
      </c>
      <c r="D5297" s="633">
        <f t="shared" si="169"/>
        <v>7520.0259999999998</v>
      </c>
      <c r="E5297" s="608"/>
      <c r="F5297" s="760">
        <f t="shared" si="168"/>
        <v>3172.5011204132079</v>
      </c>
      <c r="M5297" s="443"/>
    </row>
    <row r="5298" spans="1:13">
      <c r="A5298" s="639">
        <v>80813</v>
      </c>
      <c r="B5298" s="639">
        <v>1500</v>
      </c>
      <c r="C5298" s="638">
        <v>7622.2939999999999</v>
      </c>
      <c r="D5298" s="633">
        <f t="shared" si="169"/>
        <v>7622.2939999999999</v>
      </c>
      <c r="E5298" s="608"/>
      <c r="F5298" s="760">
        <f t="shared" si="168"/>
        <v>3215.6452989815289</v>
      </c>
      <c r="M5298" s="443"/>
    </row>
    <row r="5299" spans="1:13">
      <c r="A5299" s="639">
        <v>80813</v>
      </c>
      <c r="B5299" s="639">
        <v>1600</v>
      </c>
      <c r="C5299" s="638">
        <v>7924.8429999999998</v>
      </c>
      <c r="D5299" s="633">
        <f t="shared" si="169"/>
        <v>7924.8429999999998</v>
      </c>
      <c r="E5299" s="608"/>
      <c r="F5299" s="760">
        <f t="shared" si="168"/>
        <v>3343.2827621339029</v>
      </c>
      <c r="M5299" s="443"/>
    </row>
    <row r="5300" spans="1:13">
      <c r="A5300" s="639">
        <v>80813</v>
      </c>
      <c r="B5300" s="639">
        <v>1700</v>
      </c>
      <c r="C5300" s="638">
        <v>8329.9330000000009</v>
      </c>
      <c r="D5300" s="633">
        <f t="shared" si="169"/>
        <v>8329.9330000000009</v>
      </c>
      <c r="E5300" s="608"/>
      <c r="F5300" s="760">
        <f t="shared" si="168"/>
        <v>3514.1795753720739</v>
      </c>
      <c r="M5300" s="443"/>
    </row>
    <row r="5301" spans="1:13">
      <c r="A5301" s="639">
        <v>80813</v>
      </c>
      <c r="B5301" s="639">
        <v>1800</v>
      </c>
      <c r="C5301" s="638">
        <v>8471.9869999999992</v>
      </c>
      <c r="D5301" s="633">
        <f t="shared" si="169"/>
        <v>8471.9869999999992</v>
      </c>
      <c r="E5301" s="608"/>
      <c r="F5301" s="760">
        <f t="shared" si="168"/>
        <v>3574.1084205860625</v>
      </c>
      <c r="M5301" s="443"/>
    </row>
    <row r="5302" spans="1:13">
      <c r="A5302" s="639">
        <v>80813</v>
      </c>
      <c r="B5302" s="639">
        <v>1900</v>
      </c>
      <c r="C5302" s="638">
        <v>8199.4390000000003</v>
      </c>
      <c r="D5302" s="633">
        <f t="shared" si="169"/>
        <v>8199.4390000000003</v>
      </c>
      <c r="E5302" s="608"/>
      <c r="F5302" s="760">
        <f t="shared" si="168"/>
        <v>3459.1275900189376</v>
      </c>
      <c r="M5302" s="443"/>
    </row>
    <row r="5303" spans="1:13">
      <c r="A5303" s="639">
        <v>80813</v>
      </c>
      <c r="B5303" s="639">
        <v>2000</v>
      </c>
      <c r="C5303" s="638">
        <v>8055.6689999999999</v>
      </c>
      <c r="D5303" s="633">
        <f t="shared" si="169"/>
        <v>8055.6689999999999</v>
      </c>
      <c r="E5303" s="608"/>
      <c r="F5303" s="760">
        <f t="shared" si="168"/>
        <v>3398.4748095522468</v>
      </c>
      <c r="M5303" s="443"/>
    </row>
    <row r="5304" spans="1:13">
      <c r="A5304" s="639">
        <v>80813</v>
      </c>
      <c r="B5304" s="639">
        <v>2100</v>
      </c>
      <c r="C5304" s="638">
        <v>7997.5640000000003</v>
      </c>
      <c r="D5304" s="633">
        <f t="shared" si="169"/>
        <v>7997.5640000000003</v>
      </c>
      <c r="E5304" s="608"/>
      <c r="F5304" s="760">
        <f t="shared" si="168"/>
        <v>3373.9618387724104</v>
      </c>
      <c r="M5304" s="443"/>
    </row>
    <row r="5305" spans="1:13">
      <c r="A5305" s="639">
        <v>80813</v>
      </c>
      <c r="B5305" s="639">
        <v>2200</v>
      </c>
      <c r="C5305" s="638">
        <v>7257.3509999999997</v>
      </c>
      <c r="D5305" s="633">
        <f t="shared" si="169"/>
        <v>7257.3509999999997</v>
      </c>
      <c r="E5305" s="608"/>
      <c r="F5305" s="760">
        <f t="shared" si="168"/>
        <v>3061.6854487912556</v>
      </c>
      <c r="M5305" s="443"/>
    </row>
    <row r="5306" spans="1:13">
      <c r="A5306" s="639">
        <v>80813</v>
      </c>
      <c r="B5306" s="639">
        <v>2300</v>
      </c>
      <c r="C5306" s="638">
        <v>6151.6260000000002</v>
      </c>
      <c r="D5306" s="633">
        <f t="shared" si="169"/>
        <v>6151.6260000000002</v>
      </c>
      <c r="E5306" s="608"/>
      <c r="F5306" s="760">
        <f t="shared" si="168"/>
        <v>2595.2091624899995</v>
      </c>
      <c r="M5306" s="443"/>
    </row>
    <row r="5307" spans="1:13">
      <c r="A5307" s="639">
        <v>80813</v>
      </c>
      <c r="B5307" s="639">
        <v>2400</v>
      </c>
      <c r="C5307" s="638">
        <v>5282.4129999999996</v>
      </c>
      <c r="D5307" s="633">
        <f t="shared" si="169"/>
        <v>5282.4129999999996</v>
      </c>
      <c r="E5307" s="608"/>
      <c r="F5307" s="760">
        <f t="shared" si="168"/>
        <v>2228.5110664491444</v>
      </c>
      <c r="M5307" s="443"/>
    </row>
    <row r="5308" spans="1:13">
      <c r="A5308" s="639">
        <v>80913</v>
      </c>
      <c r="B5308" s="639">
        <v>100</v>
      </c>
      <c r="C5308" s="638">
        <v>4811.0540000000001</v>
      </c>
      <c r="D5308" s="633">
        <f t="shared" si="169"/>
        <v>4811.0540000000001</v>
      </c>
      <c r="E5308" s="608"/>
      <c r="F5308" s="760">
        <f t="shared" ref="F5308:F5371" si="170">(D5308/(MAX($D$5116:$D$5859)))*$M$11</f>
        <v>2029.6571056228322</v>
      </c>
      <c r="M5308" s="443"/>
    </row>
    <row r="5309" spans="1:13">
      <c r="A5309" s="639">
        <v>80913</v>
      </c>
      <c r="B5309" s="639">
        <v>200</v>
      </c>
      <c r="C5309" s="638">
        <v>4528.1869999999999</v>
      </c>
      <c r="D5309" s="633">
        <f t="shared" si="169"/>
        <v>4528.1869999999999</v>
      </c>
      <c r="E5309" s="608"/>
      <c r="F5309" s="760">
        <f t="shared" si="170"/>
        <v>1910.322960444621</v>
      </c>
      <c r="M5309" s="443"/>
    </row>
    <row r="5310" spans="1:13">
      <c r="A5310" s="639">
        <v>80913</v>
      </c>
      <c r="B5310" s="639">
        <v>300</v>
      </c>
      <c r="C5310" s="638">
        <v>4353.22</v>
      </c>
      <c r="D5310" s="633">
        <f t="shared" si="169"/>
        <v>4353.22</v>
      </c>
      <c r="E5310" s="608"/>
      <c r="F5310" s="760">
        <f t="shared" si="170"/>
        <v>1836.5089864589811</v>
      </c>
      <c r="M5310" s="443"/>
    </row>
    <row r="5311" spans="1:13">
      <c r="A5311" s="639">
        <v>80913</v>
      </c>
      <c r="B5311" s="639">
        <v>400</v>
      </c>
      <c r="C5311" s="638">
        <v>4304.6890000000003</v>
      </c>
      <c r="D5311" s="633">
        <f t="shared" si="169"/>
        <v>4304.6890000000003</v>
      </c>
      <c r="E5311" s="608"/>
      <c r="F5311" s="760">
        <f t="shared" si="170"/>
        <v>1816.0350343908933</v>
      </c>
      <c r="M5311" s="443"/>
    </row>
    <row r="5312" spans="1:13">
      <c r="A5312" s="639">
        <v>80913</v>
      </c>
      <c r="B5312" s="639">
        <v>500</v>
      </c>
      <c r="C5312" s="638">
        <v>4531.99</v>
      </c>
      <c r="D5312" s="633">
        <f t="shared" si="169"/>
        <v>4531.99</v>
      </c>
      <c r="E5312" s="608"/>
      <c r="F5312" s="760">
        <f t="shared" si="170"/>
        <v>1911.9273460891561</v>
      </c>
      <c r="M5312" s="443"/>
    </row>
    <row r="5313" spans="1:13">
      <c r="A5313" s="639">
        <v>80913</v>
      </c>
      <c r="B5313" s="639">
        <v>600</v>
      </c>
      <c r="C5313" s="638">
        <v>4865.777</v>
      </c>
      <c r="D5313" s="633">
        <f t="shared" si="169"/>
        <v>4865.777</v>
      </c>
      <c r="E5313" s="608"/>
      <c r="F5313" s="760">
        <f t="shared" si="170"/>
        <v>2052.7432995817858</v>
      </c>
      <c r="M5313" s="443"/>
    </row>
    <row r="5314" spans="1:13">
      <c r="A5314" s="639">
        <v>80913</v>
      </c>
      <c r="B5314" s="639">
        <v>700</v>
      </c>
      <c r="C5314" s="638">
        <v>5240.8440000000001</v>
      </c>
      <c r="D5314" s="633">
        <f t="shared" si="169"/>
        <v>5240.8440000000001</v>
      </c>
      <c r="E5314" s="608"/>
      <c r="F5314" s="760">
        <f t="shared" si="170"/>
        <v>2210.974199013519</v>
      </c>
      <c r="M5314" s="443"/>
    </row>
    <row r="5315" spans="1:13">
      <c r="A5315" s="639">
        <v>80913</v>
      </c>
      <c r="B5315" s="639">
        <v>800</v>
      </c>
      <c r="C5315" s="638">
        <v>5421.0360000000001</v>
      </c>
      <c r="D5315" s="633">
        <f t="shared" si="169"/>
        <v>5421.0360000000001</v>
      </c>
      <c r="E5315" s="608"/>
      <c r="F5315" s="760">
        <f t="shared" si="170"/>
        <v>2286.9924630314222</v>
      </c>
      <c r="M5315" s="443"/>
    </row>
    <row r="5316" spans="1:13">
      <c r="A5316" s="639">
        <v>80913</v>
      </c>
      <c r="B5316" s="639">
        <v>900</v>
      </c>
      <c r="C5316" s="638">
        <v>5577.09</v>
      </c>
      <c r="D5316" s="633">
        <f t="shared" si="169"/>
        <v>5577.09</v>
      </c>
      <c r="E5316" s="608"/>
      <c r="F5316" s="760">
        <f t="shared" si="170"/>
        <v>2352.8275399108056</v>
      </c>
      <c r="M5316" s="443"/>
    </row>
    <row r="5317" spans="1:13">
      <c r="A5317" s="639">
        <v>80913</v>
      </c>
      <c r="B5317" s="639">
        <v>1000</v>
      </c>
      <c r="C5317" s="638">
        <v>5739.9849999999997</v>
      </c>
      <c r="D5317" s="633">
        <f t="shared" ref="D5317:D5380" si="171">C5317</f>
        <v>5739.9849999999997</v>
      </c>
      <c r="E5317" s="608"/>
      <c r="F5317" s="760">
        <f t="shared" si="170"/>
        <v>2421.5486547061146</v>
      </c>
      <c r="M5317" s="443"/>
    </row>
    <row r="5318" spans="1:13">
      <c r="A5318" s="639">
        <v>80913</v>
      </c>
      <c r="B5318" s="639">
        <v>1100</v>
      </c>
      <c r="C5318" s="638">
        <v>5922.3130000000001</v>
      </c>
      <c r="D5318" s="633">
        <f t="shared" si="171"/>
        <v>5922.3130000000001</v>
      </c>
      <c r="E5318" s="608"/>
      <c r="F5318" s="760">
        <f t="shared" si="170"/>
        <v>2498.4680409266807</v>
      </c>
      <c r="M5318" s="443"/>
    </row>
    <row r="5319" spans="1:13">
      <c r="A5319" s="639">
        <v>80913</v>
      </c>
      <c r="B5319" s="639">
        <v>1200</v>
      </c>
      <c r="C5319" s="638">
        <v>6080.3050000000003</v>
      </c>
      <c r="D5319" s="633">
        <f t="shared" si="171"/>
        <v>6080.3050000000003</v>
      </c>
      <c r="E5319" s="608"/>
      <c r="F5319" s="760">
        <f t="shared" si="170"/>
        <v>2565.120709018031</v>
      </c>
      <c r="M5319" s="443"/>
    </row>
    <row r="5320" spans="1:13">
      <c r="A5320" s="639">
        <v>80913</v>
      </c>
      <c r="B5320" s="639">
        <v>1300</v>
      </c>
      <c r="C5320" s="638">
        <v>6357.89</v>
      </c>
      <c r="D5320" s="633">
        <f t="shared" si="171"/>
        <v>6357.89</v>
      </c>
      <c r="E5320" s="608"/>
      <c r="F5320" s="760">
        <f t="shared" si="170"/>
        <v>2682.2265173636274</v>
      </c>
      <c r="M5320" s="443"/>
    </row>
    <row r="5321" spans="1:13">
      <c r="A5321" s="639">
        <v>80913</v>
      </c>
      <c r="B5321" s="639">
        <v>1400</v>
      </c>
      <c r="C5321" s="638">
        <v>6520.402</v>
      </c>
      <c r="D5321" s="633">
        <f t="shared" si="171"/>
        <v>6520.402</v>
      </c>
      <c r="E5321" s="608"/>
      <c r="F5321" s="760">
        <f t="shared" si="170"/>
        <v>2750.7860545355193</v>
      </c>
      <c r="M5321" s="443"/>
    </row>
    <row r="5322" spans="1:13">
      <c r="A5322" s="639">
        <v>80913</v>
      </c>
      <c r="B5322" s="639">
        <v>1500</v>
      </c>
      <c r="C5322" s="638">
        <v>6824.6239999999998</v>
      </c>
      <c r="D5322" s="633">
        <f t="shared" si="171"/>
        <v>6824.6239999999998</v>
      </c>
      <c r="E5322" s="608"/>
      <c r="F5322" s="760">
        <f t="shared" si="170"/>
        <v>2879.1293123719074</v>
      </c>
      <c r="M5322" s="443"/>
    </row>
    <row r="5323" spans="1:13">
      <c r="A5323" s="639">
        <v>80913</v>
      </c>
      <c r="B5323" s="639">
        <v>1600</v>
      </c>
      <c r="C5323" s="638">
        <v>7279.9390000000003</v>
      </c>
      <c r="D5323" s="633">
        <f t="shared" si="171"/>
        <v>7279.9390000000003</v>
      </c>
      <c r="E5323" s="608"/>
      <c r="F5323" s="760">
        <f t="shared" si="170"/>
        <v>3071.2147317096787</v>
      </c>
      <c r="M5323" s="443"/>
    </row>
    <row r="5324" spans="1:13">
      <c r="A5324" s="639">
        <v>80913</v>
      </c>
      <c r="B5324" s="639">
        <v>1700</v>
      </c>
      <c r="C5324" s="638">
        <v>7676.3109999999997</v>
      </c>
      <c r="D5324" s="633">
        <f t="shared" si="171"/>
        <v>7676.3109999999997</v>
      </c>
      <c r="E5324" s="608"/>
      <c r="F5324" s="760">
        <f t="shared" si="170"/>
        <v>3238.4336501150701</v>
      </c>
      <c r="M5324" s="443"/>
    </row>
    <row r="5325" spans="1:13">
      <c r="A5325" s="639">
        <v>80913</v>
      </c>
      <c r="B5325" s="639">
        <v>1800</v>
      </c>
      <c r="C5325" s="638">
        <v>7879.9170000000004</v>
      </c>
      <c r="D5325" s="633">
        <f t="shared" si="171"/>
        <v>7879.9170000000004</v>
      </c>
      <c r="E5325" s="608"/>
      <c r="F5325" s="760">
        <f t="shared" si="170"/>
        <v>3324.3296647196544</v>
      </c>
      <c r="M5325" s="443"/>
    </row>
    <row r="5326" spans="1:13">
      <c r="A5326" s="639">
        <v>80913</v>
      </c>
      <c r="B5326" s="639">
        <v>1900</v>
      </c>
      <c r="C5326" s="638">
        <v>7609.4830000000002</v>
      </c>
      <c r="D5326" s="633">
        <f t="shared" si="171"/>
        <v>7609.4830000000002</v>
      </c>
      <c r="E5326" s="608"/>
      <c r="F5326" s="760">
        <f t="shared" si="170"/>
        <v>3210.2406751340031</v>
      </c>
      <c r="M5326" s="443"/>
    </row>
    <row r="5327" spans="1:13">
      <c r="A5327" s="639">
        <v>80913</v>
      </c>
      <c r="B5327" s="639">
        <v>2000</v>
      </c>
      <c r="C5327" s="638">
        <v>7379.6629999999996</v>
      </c>
      <c r="D5327" s="633">
        <f t="shared" si="171"/>
        <v>7379.6629999999996</v>
      </c>
      <c r="E5327" s="608"/>
      <c r="F5327" s="760">
        <f t="shared" si="170"/>
        <v>3113.2856636096594</v>
      </c>
      <c r="M5327" s="443"/>
    </row>
    <row r="5328" spans="1:13">
      <c r="A5328" s="639">
        <v>80913</v>
      </c>
      <c r="B5328" s="639">
        <v>2100</v>
      </c>
      <c r="C5328" s="638">
        <v>7528.6909999999998</v>
      </c>
      <c r="D5328" s="633">
        <f t="shared" si="171"/>
        <v>7528.6909999999998</v>
      </c>
      <c r="E5328" s="608"/>
      <c r="F5328" s="760">
        <f t="shared" si="170"/>
        <v>3176.1566559403959</v>
      </c>
      <c r="M5328" s="443"/>
    </row>
    <row r="5329" spans="1:13">
      <c r="A5329" s="639">
        <v>80913</v>
      </c>
      <c r="B5329" s="639">
        <v>2200</v>
      </c>
      <c r="C5329" s="638">
        <v>6917.4390000000003</v>
      </c>
      <c r="D5329" s="633">
        <f t="shared" si="171"/>
        <v>6917.4390000000003</v>
      </c>
      <c r="E5329" s="608"/>
      <c r="F5329" s="760">
        <f t="shared" si="170"/>
        <v>2918.285518945017</v>
      </c>
      <c r="M5329" s="443"/>
    </row>
    <row r="5330" spans="1:13">
      <c r="A5330" s="639">
        <v>80913</v>
      </c>
      <c r="B5330" s="639">
        <v>2300</v>
      </c>
      <c r="C5330" s="638">
        <v>6077.0410000000002</v>
      </c>
      <c r="D5330" s="633">
        <f t="shared" si="171"/>
        <v>6077.0410000000002</v>
      </c>
      <c r="E5330" s="608"/>
      <c r="F5330" s="760">
        <f t="shared" si="170"/>
        <v>2563.7437132926138</v>
      </c>
      <c r="M5330" s="443"/>
    </row>
    <row r="5331" spans="1:13">
      <c r="A5331" s="639">
        <v>80913</v>
      </c>
      <c r="B5331" s="639">
        <v>2400</v>
      </c>
      <c r="C5331" s="638">
        <v>5267.4830000000002</v>
      </c>
      <c r="D5331" s="633">
        <f t="shared" si="171"/>
        <v>5267.4830000000002</v>
      </c>
      <c r="E5331" s="608"/>
      <c r="F5331" s="760">
        <f t="shared" si="170"/>
        <v>2222.2124922516923</v>
      </c>
      <c r="M5331" s="443"/>
    </row>
    <row r="5332" spans="1:13">
      <c r="A5332" s="639">
        <v>81013</v>
      </c>
      <c r="B5332" s="639">
        <v>100</v>
      </c>
      <c r="C5332" s="638">
        <v>4763.6170000000002</v>
      </c>
      <c r="D5332" s="633">
        <f t="shared" si="171"/>
        <v>4763.6170000000002</v>
      </c>
      <c r="E5332" s="608"/>
      <c r="F5332" s="760">
        <f t="shared" si="170"/>
        <v>2009.6446833720261</v>
      </c>
      <c r="M5332" s="443"/>
    </row>
    <row r="5333" spans="1:13">
      <c r="A5333" s="639">
        <v>81013</v>
      </c>
      <c r="B5333" s="639">
        <v>200</v>
      </c>
      <c r="C5333" s="638">
        <v>4464.6970000000001</v>
      </c>
      <c r="D5333" s="633">
        <f t="shared" si="171"/>
        <v>4464.6970000000001</v>
      </c>
      <c r="E5333" s="608"/>
      <c r="F5333" s="760">
        <f t="shared" si="170"/>
        <v>1883.5381998420601</v>
      </c>
      <c r="M5333" s="443"/>
    </row>
    <row r="5334" spans="1:13">
      <c r="A5334" s="639">
        <v>81013</v>
      </c>
      <c r="B5334" s="639">
        <v>300</v>
      </c>
      <c r="C5334" s="638">
        <v>4269.7250000000004</v>
      </c>
      <c r="D5334" s="633">
        <f t="shared" si="171"/>
        <v>4269.7250000000004</v>
      </c>
      <c r="E5334" s="608"/>
      <c r="F5334" s="760">
        <f t="shared" si="170"/>
        <v>1801.2846426802628</v>
      </c>
      <c r="M5334" s="443"/>
    </row>
    <row r="5335" spans="1:13">
      <c r="A5335" s="639">
        <v>81013</v>
      </c>
      <c r="B5335" s="639">
        <v>400</v>
      </c>
      <c r="C5335" s="638">
        <v>4167.9610000000002</v>
      </c>
      <c r="D5335" s="633">
        <f t="shared" si="171"/>
        <v>4167.9610000000002</v>
      </c>
      <c r="E5335" s="608"/>
      <c r="F5335" s="760">
        <f t="shared" si="170"/>
        <v>1758.3530884518955</v>
      </c>
      <c r="M5335" s="443"/>
    </row>
    <row r="5336" spans="1:13">
      <c r="A5336" s="639">
        <v>81013</v>
      </c>
      <c r="B5336" s="639">
        <v>500</v>
      </c>
      <c r="C5336" s="638">
        <v>4189.12</v>
      </c>
      <c r="D5336" s="633">
        <f t="shared" si="171"/>
        <v>4189.12</v>
      </c>
      <c r="E5336" s="608"/>
      <c r="F5336" s="760">
        <f t="shared" si="170"/>
        <v>1767.2795138667573</v>
      </c>
      <c r="M5336" s="443"/>
    </row>
    <row r="5337" spans="1:13">
      <c r="A5337" s="639">
        <v>81013</v>
      </c>
      <c r="B5337" s="639">
        <v>600</v>
      </c>
      <c r="C5337" s="638">
        <v>4284.7730000000001</v>
      </c>
      <c r="D5337" s="633">
        <f t="shared" si="171"/>
        <v>4284.7730000000001</v>
      </c>
      <c r="E5337" s="608"/>
      <c r="F5337" s="760">
        <f t="shared" si="170"/>
        <v>1807.63299797318</v>
      </c>
      <c r="M5337" s="443"/>
    </row>
    <row r="5338" spans="1:13">
      <c r="A5338" s="639">
        <v>81013</v>
      </c>
      <c r="B5338" s="639">
        <v>700</v>
      </c>
      <c r="C5338" s="638">
        <v>4692.5079999999998</v>
      </c>
      <c r="D5338" s="633">
        <f t="shared" si="171"/>
        <v>4692.5079999999998</v>
      </c>
      <c r="E5338" s="608"/>
      <c r="F5338" s="760">
        <f t="shared" si="170"/>
        <v>1979.6456671224194</v>
      </c>
      <c r="M5338" s="443"/>
    </row>
    <row r="5339" spans="1:13">
      <c r="A5339" s="639">
        <v>81013</v>
      </c>
      <c r="B5339" s="639">
        <v>800</v>
      </c>
      <c r="C5339" s="638">
        <v>5195.9750000000004</v>
      </c>
      <c r="D5339" s="633">
        <f t="shared" si="171"/>
        <v>5195.9750000000004</v>
      </c>
      <c r="E5339" s="608"/>
      <c r="F5339" s="760">
        <f t="shared" si="170"/>
        <v>2192.0451483996221</v>
      </c>
      <c r="M5339" s="443"/>
    </row>
    <row r="5340" spans="1:13">
      <c r="A5340" s="639">
        <v>81013</v>
      </c>
      <c r="B5340" s="639">
        <v>900</v>
      </c>
      <c r="C5340" s="638">
        <v>5699.6490000000003</v>
      </c>
      <c r="D5340" s="633">
        <f t="shared" si="171"/>
        <v>5699.6490000000003</v>
      </c>
      <c r="E5340" s="608"/>
      <c r="F5340" s="760">
        <f t="shared" si="170"/>
        <v>2404.5319575307344</v>
      </c>
      <c r="M5340" s="443"/>
    </row>
    <row r="5341" spans="1:13">
      <c r="A5341" s="639">
        <v>81013</v>
      </c>
      <c r="B5341" s="639">
        <v>1000</v>
      </c>
      <c r="C5341" s="638">
        <v>5870.549</v>
      </c>
      <c r="D5341" s="633">
        <f t="shared" si="171"/>
        <v>5870.549</v>
      </c>
      <c r="E5341" s="608"/>
      <c r="F5341" s="760">
        <f t="shared" si="170"/>
        <v>2476.6301712175778</v>
      </c>
      <c r="M5341" s="443"/>
    </row>
    <row r="5342" spans="1:13">
      <c r="A5342" s="639">
        <v>81013</v>
      </c>
      <c r="B5342" s="639">
        <v>1100</v>
      </c>
      <c r="C5342" s="638">
        <v>6096.74</v>
      </c>
      <c r="D5342" s="633">
        <f t="shared" si="171"/>
        <v>6096.74</v>
      </c>
      <c r="E5342" s="608"/>
      <c r="F5342" s="760">
        <f t="shared" si="170"/>
        <v>2572.0542031195132</v>
      </c>
      <c r="M5342" s="443"/>
    </row>
    <row r="5343" spans="1:13">
      <c r="A5343" s="639">
        <v>81013</v>
      </c>
      <c r="B5343" s="639">
        <v>1200</v>
      </c>
      <c r="C5343" s="638">
        <v>6132.2290000000003</v>
      </c>
      <c r="D5343" s="633">
        <f t="shared" si="171"/>
        <v>6132.2290000000003</v>
      </c>
      <c r="E5343" s="608"/>
      <c r="F5343" s="760">
        <f t="shared" si="170"/>
        <v>2587.026078517596</v>
      </c>
      <c r="M5343" s="443"/>
    </row>
    <row r="5344" spans="1:13">
      <c r="A5344" s="639">
        <v>81013</v>
      </c>
      <c r="B5344" s="639">
        <v>1300</v>
      </c>
      <c r="C5344" s="638">
        <v>6038.0969999999998</v>
      </c>
      <c r="D5344" s="633">
        <f t="shared" si="171"/>
        <v>6038.0969999999998</v>
      </c>
      <c r="E5344" s="608"/>
      <c r="F5344" s="760">
        <f t="shared" si="170"/>
        <v>2547.3142642942494</v>
      </c>
      <c r="M5344" s="443"/>
    </row>
    <row r="5345" spans="1:13">
      <c r="A5345" s="639">
        <v>81013</v>
      </c>
      <c r="B5345" s="639">
        <v>1400</v>
      </c>
      <c r="C5345" s="638">
        <v>6087.1660000000002</v>
      </c>
      <c r="D5345" s="633">
        <f t="shared" si="171"/>
        <v>6087.1660000000002</v>
      </c>
      <c r="E5345" s="608"/>
      <c r="F5345" s="760">
        <f t="shared" si="170"/>
        <v>2568.015184407765</v>
      </c>
      <c r="M5345" s="443"/>
    </row>
    <row r="5346" spans="1:13">
      <c r="A5346" s="639">
        <v>81013</v>
      </c>
      <c r="B5346" s="639">
        <v>1500</v>
      </c>
      <c r="C5346" s="638">
        <v>6345.6760000000004</v>
      </c>
      <c r="D5346" s="633">
        <f t="shared" si="171"/>
        <v>6345.6760000000004</v>
      </c>
      <c r="E5346" s="608"/>
      <c r="F5346" s="760">
        <f t="shared" si="170"/>
        <v>2677.0737521092619</v>
      </c>
      <c r="M5346" s="443"/>
    </row>
    <row r="5347" spans="1:13">
      <c r="A5347" s="639">
        <v>81013</v>
      </c>
      <c r="B5347" s="639">
        <v>1600</v>
      </c>
      <c r="C5347" s="638">
        <v>6563.2190000000001</v>
      </c>
      <c r="D5347" s="633">
        <f t="shared" si="171"/>
        <v>6563.2190000000001</v>
      </c>
      <c r="E5347" s="608"/>
      <c r="F5347" s="760">
        <f t="shared" si="170"/>
        <v>2768.849420336745</v>
      </c>
      <c r="M5347" s="443"/>
    </row>
    <row r="5348" spans="1:13">
      <c r="A5348" s="639">
        <v>81013</v>
      </c>
      <c r="B5348" s="639">
        <v>1700</v>
      </c>
      <c r="C5348" s="638">
        <v>6806.6729999999998</v>
      </c>
      <c r="D5348" s="633">
        <f t="shared" si="171"/>
        <v>6806.6729999999998</v>
      </c>
      <c r="E5348" s="608"/>
      <c r="F5348" s="760">
        <f t="shared" si="170"/>
        <v>2871.5562577558017</v>
      </c>
      <c r="M5348" s="443"/>
    </row>
    <row r="5349" spans="1:13">
      <c r="A5349" s="639">
        <v>81013</v>
      </c>
      <c r="B5349" s="639">
        <v>1800</v>
      </c>
      <c r="C5349" s="638">
        <v>7039.99</v>
      </c>
      <c r="D5349" s="633">
        <f t="shared" si="171"/>
        <v>7039.99</v>
      </c>
      <c r="E5349" s="608"/>
      <c r="F5349" s="760">
        <f t="shared" si="170"/>
        <v>2969.9865615754225</v>
      </c>
      <c r="M5349" s="443"/>
    </row>
    <row r="5350" spans="1:13">
      <c r="A5350" s="639">
        <v>81013</v>
      </c>
      <c r="B5350" s="639">
        <v>1900</v>
      </c>
      <c r="C5350" s="638">
        <v>6867.43</v>
      </c>
      <c r="D5350" s="633">
        <f t="shared" si="171"/>
        <v>6867.43</v>
      </c>
      <c r="E5350" s="608"/>
      <c r="F5350" s="760">
        <f t="shared" si="170"/>
        <v>2897.1880375625401</v>
      </c>
      <c r="M5350" s="443"/>
    </row>
    <row r="5351" spans="1:13">
      <c r="A5351" s="639">
        <v>81013</v>
      </c>
      <c r="B5351" s="639">
        <v>2000</v>
      </c>
      <c r="C5351" s="638">
        <v>6612.259</v>
      </c>
      <c r="D5351" s="633">
        <f t="shared" si="171"/>
        <v>6612.259</v>
      </c>
      <c r="E5351" s="608"/>
      <c r="F5351" s="760">
        <f t="shared" si="170"/>
        <v>2789.5381061132393</v>
      </c>
      <c r="M5351" s="443"/>
    </row>
    <row r="5352" spans="1:13">
      <c r="A5352" s="639">
        <v>81013</v>
      </c>
      <c r="B5352" s="639">
        <v>2100</v>
      </c>
      <c r="C5352" s="638">
        <v>6769.5510000000004</v>
      </c>
      <c r="D5352" s="633">
        <f t="shared" si="171"/>
        <v>6769.5510000000004</v>
      </c>
      <c r="E5352" s="608"/>
      <c r="F5352" s="760">
        <f t="shared" si="170"/>
        <v>2855.8954626213199</v>
      </c>
      <c r="M5352" s="443"/>
    </row>
    <row r="5353" spans="1:13">
      <c r="A5353" s="639">
        <v>81013</v>
      </c>
      <c r="B5353" s="639">
        <v>2200</v>
      </c>
      <c r="C5353" s="638">
        <v>6270.0039999999999</v>
      </c>
      <c r="D5353" s="633">
        <f t="shared" si="171"/>
        <v>6270.0039999999999</v>
      </c>
      <c r="E5353" s="608"/>
      <c r="F5353" s="760">
        <f t="shared" si="170"/>
        <v>2645.1497262104272</v>
      </c>
      <c r="M5353" s="443"/>
    </row>
    <row r="5354" spans="1:13">
      <c r="A5354" s="639">
        <v>81013</v>
      </c>
      <c r="B5354" s="639">
        <v>2300</v>
      </c>
      <c r="C5354" s="638">
        <v>5534.6540000000005</v>
      </c>
      <c r="D5354" s="633">
        <f t="shared" si="171"/>
        <v>5534.6540000000005</v>
      </c>
      <c r="E5354" s="608"/>
      <c r="F5354" s="760">
        <f t="shared" si="170"/>
        <v>2334.9249079856163</v>
      </c>
      <c r="M5354" s="443"/>
    </row>
    <row r="5355" spans="1:13">
      <c r="A5355" s="639">
        <v>81013</v>
      </c>
      <c r="B5355" s="639">
        <v>2400</v>
      </c>
      <c r="C5355" s="638">
        <v>4902.5860000000002</v>
      </c>
      <c r="D5355" s="633">
        <f t="shared" si="171"/>
        <v>4902.5860000000002</v>
      </c>
      <c r="E5355" s="608"/>
      <c r="F5355" s="760">
        <f t="shared" si="170"/>
        <v>2068.2720482511772</v>
      </c>
      <c r="M5355" s="443"/>
    </row>
    <row r="5356" spans="1:13">
      <c r="A5356" s="639">
        <v>81113</v>
      </c>
      <c r="B5356" s="639">
        <v>100</v>
      </c>
      <c r="C5356" s="638">
        <v>4477.027</v>
      </c>
      <c r="D5356" s="633">
        <f t="shared" si="171"/>
        <v>4477.027</v>
      </c>
      <c r="E5356" s="608"/>
      <c r="F5356" s="760">
        <f t="shared" si="170"/>
        <v>1888.7399024445103</v>
      </c>
      <c r="M5356" s="443"/>
    </row>
    <row r="5357" spans="1:13">
      <c r="A5357" s="639">
        <v>81113</v>
      </c>
      <c r="B5357" s="639">
        <v>200</v>
      </c>
      <c r="C5357" s="638">
        <v>4218.607</v>
      </c>
      <c r="D5357" s="633">
        <f t="shared" si="171"/>
        <v>4218.607</v>
      </c>
      <c r="E5357" s="608"/>
      <c r="F5357" s="760">
        <f t="shared" si="170"/>
        <v>1779.719303375148</v>
      </c>
      <c r="M5357" s="443"/>
    </row>
    <row r="5358" spans="1:13">
      <c r="A5358" s="639">
        <v>81113</v>
      </c>
      <c r="B5358" s="639">
        <v>300</v>
      </c>
      <c r="C5358" s="638">
        <v>4079.8910000000001</v>
      </c>
      <c r="D5358" s="633">
        <f t="shared" si="171"/>
        <v>4079.8910000000001</v>
      </c>
      <c r="E5358" s="608"/>
      <c r="F5358" s="760">
        <f t="shared" si="170"/>
        <v>1721.1986725396644</v>
      </c>
      <c r="M5358" s="443"/>
    </row>
    <row r="5359" spans="1:13">
      <c r="A5359" s="639">
        <v>81113</v>
      </c>
      <c r="B5359" s="639">
        <v>400</v>
      </c>
      <c r="C5359" s="638">
        <v>4013.232</v>
      </c>
      <c r="D5359" s="633">
        <f t="shared" si="171"/>
        <v>4013.232</v>
      </c>
      <c r="E5359" s="608"/>
      <c r="F5359" s="760">
        <f t="shared" si="170"/>
        <v>1693.0769942122724</v>
      </c>
      <c r="M5359" s="443"/>
    </row>
    <row r="5360" spans="1:13">
      <c r="A5360" s="639">
        <v>81113</v>
      </c>
      <c r="B5360" s="639">
        <v>500</v>
      </c>
      <c r="C5360" s="638">
        <v>4046.098</v>
      </c>
      <c r="D5360" s="633">
        <f t="shared" si="171"/>
        <v>4046.098</v>
      </c>
      <c r="E5360" s="608"/>
      <c r="F5360" s="760">
        <f t="shared" si="170"/>
        <v>1706.942294920475</v>
      </c>
      <c r="M5360" s="443"/>
    </row>
    <row r="5361" spans="1:13">
      <c r="A5361" s="639">
        <v>81113</v>
      </c>
      <c r="B5361" s="639">
        <v>600</v>
      </c>
      <c r="C5361" s="638">
        <v>4156.3680000000004</v>
      </c>
      <c r="D5361" s="633">
        <f t="shared" si="171"/>
        <v>4156.3680000000004</v>
      </c>
      <c r="E5361" s="608"/>
      <c r="F5361" s="760">
        <f t="shared" si="170"/>
        <v>1753.4623067592593</v>
      </c>
      <c r="M5361" s="443"/>
    </row>
    <row r="5362" spans="1:13">
      <c r="A5362" s="639">
        <v>81113</v>
      </c>
      <c r="B5362" s="639">
        <v>700</v>
      </c>
      <c r="C5362" s="638">
        <v>4497.9449999999997</v>
      </c>
      <c r="D5362" s="633">
        <f t="shared" si="171"/>
        <v>4497.9449999999997</v>
      </c>
      <c r="E5362" s="608"/>
      <c r="F5362" s="760">
        <f t="shared" si="170"/>
        <v>1897.5646562999893</v>
      </c>
      <c r="M5362" s="443"/>
    </row>
    <row r="5363" spans="1:13">
      <c r="A5363" s="639">
        <v>81113</v>
      </c>
      <c r="B5363" s="639">
        <v>800</v>
      </c>
      <c r="C5363" s="638">
        <v>4884.9440000000004</v>
      </c>
      <c r="D5363" s="633">
        <f t="shared" si="171"/>
        <v>4884.9440000000004</v>
      </c>
      <c r="E5363" s="608"/>
      <c r="F5363" s="760">
        <f t="shared" si="170"/>
        <v>2060.8293526054003</v>
      </c>
      <c r="M5363" s="443"/>
    </row>
    <row r="5364" spans="1:13">
      <c r="A5364" s="639">
        <v>81113</v>
      </c>
      <c r="B5364" s="639">
        <v>900</v>
      </c>
      <c r="C5364" s="638">
        <v>5367.7420000000002</v>
      </c>
      <c r="D5364" s="633">
        <f t="shared" si="171"/>
        <v>5367.7420000000002</v>
      </c>
      <c r="E5364" s="608"/>
      <c r="F5364" s="760">
        <f t="shared" si="170"/>
        <v>2264.5091265760298</v>
      </c>
      <c r="M5364" s="443"/>
    </row>
    <row r="5365" spans="1:13">
      <c r="A5365" s="639">
        <v>81113</v>
      </c>
      <c r="B5365" s="639">
        <v>1000</v>
      </c>
      <c r="C5365" s="638">
        <v>5636.0479999999998</v>
      </c>
      <c r="D5365" s="633">
        <f t="shared" si="171"/>
        <v>5636.0479999999998</v>
      </c>
      <c r="E5365" s="608"/>
      <c r="F5365" s="760">
        <f t="shared" si="170"/>
        <v>2377.7003689485405</v>
      </c>
      <c r="M5365" s="443"/>
    </row>
    <row r="5366" spans="1:13">
      <c r="A5366" s="639">
        <v>81113</v>
      </c>
      <c r="B5366" s="639">
        <v>1100</v>
      </c>
      <c r="C5366" s="638">
        <v>5853.9409999999998</v>
      </c>
      <c r="D5366" s="633">
        <f t="shared" si="171"/>
        <v>5853.9409999999998</v>
      </c>
      <c r="E5366" s="608"/>
      <c r="F5366" s="760">
        <f t="shared" si="170"/>
        <v>2469.6236929676593</v>
      </c>
      <c r="M5366" s="443"/>
    </row>
    <row r="5367" spans="1:13">
      <c r="A5367" s="639">
        <v>81113</v>
      </c>
      <c r="B5367" s="639">
        <v>1200</v>
      </c>
      <c r="C5367" s="638">
        <v>6053.0529999999999</v>
      </c>
      <c r="D5367" s="633">
        <f t="shared" si="171"/>
        <v>6053.0529999999999</v>
      </c>
      <c r="E5367" s="608"/>
      <c r="F5367" s="760">
        <f t="shared" si="170"/>
        <v>2553.6238072076517</v>
      </c>
      <c r="M5367" s="443"/>
    </row>
    <row r="5368" spans="1:13">
      <c r="A5368" s="639">
        <v>81113</v>
      </c>
      <c r="B5368" s="639">
        <v>1300</v>
      </c>
      <c r="C5368" s="638">
        <v>6087.23</v>
      </c>
      <c r="D5368" s="633">
        <f t="shared" si="171"/>
        <v>6087.23</v>
      </c>
      <c r="E5368" s="608"/>
      <c r="F5368" s="760">
        <f t="shared" si="170"/>
        <v>2568.0421843239492</v>
      </c>
      <c r="M5368" s="443"/>
    </row>
    <row r="5369" spans="1:13">
      <c r="A5369" s="639">
        <v>81113</v>
      </c>
      <c r="B5369" s="639">
        <v>1400</v>
      </c>
      <c r="C5369" s="638">
        <v>6102.7889999999998</v>
      </c>
      <c r="D5369" s="633">
        <f t="shared" si="171"/>
        <v>6102.7889999999998</v>
      </c>
      <c r="E5369" s="608"/>
      <c r="F5369" s="760">
        <f t="shared" si="170"/>
        <v>2574.6061170726539</v>
      </c>
      <c r="M5369" s="443"/>
    </row>
    <row r="5370" spans="1:13">
      <c r="A5370" s="639">
        <v>81113</v>
      </c>
      <c r="B5370" s="639">
        <v>1500</v>
      </c>
      <c r="C5370" s="638">
        <v>6361.2950000000001</v>
      </c>
      <c r="D5370" s="633">
        <f t="shared" si="171"/>
        <v>6361.2950000000001</v>
      </c>
      <c r="E5370" s="608"/>
      <c r="F5370" s="760">
        <f t="shared" si="170"/>
        <v>2683.6629972793894</v>
      </c>
      <c r="M5370" s="443"/>
    </row>
    <row r="5371" spans="1:13">
      <c r="A5371" s="639">
        <v>81113</v>
      </c>
      <c r="B5371" s="639">
        <v>1600</v>
      </c>
      <c r="C5371" s="638">
        <v>6566.5020000000004</v>
      </c>
      <c r="D5371" s="633">
        <f t="shared" si="171"/>
        <v>6566.5020000000004</v>
      </c>
      <c r="E5371" s="608"/>
      <c r="F5371" s="760">
        <f t="shared" si="170"/>
        <v>2770.2344316622803</v>
      </c>
      <c r="M5371" s="443"/>
    </row>
    <row r="5372" spans="1:13">
      <c r="A5372" s="639">
        <v>81113</v>
      </c>
      <c r="B5372" s="639">
        <v>1700</v>
      </c>
      <c r="C5372" s="638">
        <v>6827.1859999999997</v>
      </c>
      <c r="D5372" s="633">
        <f t="shared" si="171"/>
        <v>6827.1859999999997</v>
      </c>
      <c r="E5372" s="608"/>
      <c r="F5372" s="760">
        <f t="shared" ref="F5372:F5435" si="172">(D5372/(MAX($D$5116:$D$5859)))*$M$11</f>
        <v>2880.2101527666746</v>
      </c>
      <c r="M5372" s="443"/>
    </row>
    <row r="5373" spans="1:13">
      <c r="A5373" s="639">
        <v>81113</v>
      </c>
      <c r="B5373" s="639">
        <v>1800</v>
      </c>
      <c r="C5373" s="638">
        <v>6846.9189999999999</v>
      </c>
      <c r="D5373" s="633">
        <f t="shared" si="171"/>
        <v>6846.9189999999999</v>
      </c>
      <c r="E5373" s="608"/>
      <c r="F5373" s="760">
        <f t="shared" si="172"/>
        <v>2888.534986299047</v>
      </c>
      <c r="M5373" s="443"/>
    </row>
    <row r="5374" spans="1:13">
      <c r="A5374" s="639">
        <v>81113</v>
      </c>
      <c r="B5374" s="639">
        <v>1900</v>
      </c>
      <c r="C5374" s="638">
        <v>6860.835</v>
      </c>
      <c r="D5374" s="633">
        <f t="shared" si="171"/>
        <v>6860.835</v>
      </c>
      <c r="E5374" s="608"/>
      <c r="F5374" s="760">
        <f t="shared" si="172"/>
        <v>2894.4057805744492</v>
      </c>
      <c r="M5374" s="443"/>
    </row>
    <row r="5375" spans="1:13">
      <c r="A5375" s="639">
        <v>81113</v>
      </c>
      <c r="B5375" s="639">
        <v>2000</v>
      </c>
      <c r="C5375" s="638">
        <v>7024.5379999999996</v>
      </c>
      <c r="D5375" s="633">
        <f t="shared" si="171"/>
        <v>7024.5379999999996</v>
      </c>
      <c r="E5375" s="608"/>
      <c r="F5375" s="760">
        <f t="shared" si="172"/>
        <v>2963.4677693115891</v>
      </c>
      <c r="M5375" s="443"/>
    </row>
    <row r="5376" spans="1:13">
      <c r="A5376" s="639">
        <v>81113</v>
      </c>
      <c r="B5376" s="639">
        <v>2100</v>
      </c>
      <c r="C5376" s="638">
        <v>7013.5789999999997</v>
      </c>
      <c r="D5376" s="633">
        <f t="shared" si="171"/>
        <v>7013.5789999999997</v>
      </c>
      <c r="E5376" s="608"/>
      <c r="F5376" s="760">
        <f t="shared" si="172"/>
        <v>2958.8444555386568</v>
      </c>
      <c r="M5376" s="443"/>
    </row>
    <row r="5377" spans="1:13">
      <c r="A5377" s="639">
        <v>81113</v>
      </c>
      <c r="B5377" s="639">
        <v>2200</v>
      </c>
      <c r="C5377" s="638">
        <v>6355.2070000000003</v>
      </c>
      <c r="D5377" s="633">
        <f t="shared" si="171"/>
        <v>6355.2070000000003</v>
      </c>
      <c r="E5377" s="608"/>
      <c r="F5377" s="760">
        <f t="shared" si="172"/>
        <v>2681.0946302523234</v>
      </c>
      <c r="M5377" s="443"/>
    </row>
    <row r="5378" spans="1:13">
      <c r="A5378" s="639">
        <v>81113</v>
      </c>
      <c r="B5378" s="639">
        <v>2300</v>
      </c>
      <c r="C5378" s="638">
        <v>5369.9210000000003</v>
      </c>
      <c r="D5378" s="633">
        <f t="shared" si="171"/>
        <v>5369.9210000000003</v>
      </c>
      <c r="E5378" s="608"/>
      <c r="F5378" s="760">
        <f t="shared" si="172"/>
        <v>2265.4283893473789</v>
      </c>
      <c r="M5378" s="443"/>
    </row>
    <row r="5379" spans="1:13">
      <c r="A5379" s="639">
        <v>81113</v>
      </c>
      <c r="B5379" s="639">
        <v>2400</v>
      </c>
      <c r="C5379" s="638">
        <v>4628.4399999999996</v>
      </c>
      <c r="D5379" s="633">
        <f t="shared" si="171"/>
        <v>4628.4399999999996</v>
      </c>
      <c r="E5379" s="608"/>
      <c r="F5379" s="760">
        <f t="shared" si="172"/>
        <v>1952.6170635268156</v>
      </c>
      <c r="M5379" s="443"/>
    </row>
    <row r="5380" spans="1:13">
      <c r="A5380" s="639">
        <v>81213</v>
      </c>
      <c r="B5380" s="639">
        <v>100</v>
      </c>
      <c r="C5380" s="638">
        <v>4293.1000000000004</v>
      </c>
      <c r="D5380" s="633">
        <f t="shared" si="171"/>
        <v>4293.1000000000004</v>
      </c>
      <c r="E5380" s="608"/>
      <c r="F5380" s="760">
        <f t="shared" si="172"/>
        <v>1811.1459401930183</v>
      </c>
      <c r="M5380" s="443"/>
    </row>
    <row r="5381" spans="1:13">
      <c r="A5381" s="639">
        <v>81213</v>
      </c>
      <c r="B5381" s="639">
        <v>200</v>
      </c>
      <c r="C5381" s="638">
        <v>4094.94</v>
      </c>
      <c r="D5381" s="633">
        <f t="shared" ref="D5381:D5444" si="173">C5381</f>
        <v>4094.94</v>
      </c>
      <c r="E5381" s="608"/>
      <c r="F5381" s="760">
        <f t="shared" si="172"/>
        <v>1727.5474497062723</v>
      </c>
      <c r="M5381" s="443"/>
    </row>
    <row r="5382" spans="1:13">
      <c r="A5382" s="639">
        <v>81213</v>
      </c>
      <c r="B5382" s="639">
        <v>300</v>
      </c>
      <c r="C5382" s="638">
        <v>3995.9140000000002</v>
      </c>
      <c r="D5382" s="633">
        <f t="shared" si="173"/>
        <v>3995.9140000000002</v>
      </c>
      <c r="E5382" s="608"/>
      <c r="F5382" s="760">
        <f t="shared" si="172"/>
        <v>1685.7709856421802</v>
      </c>
      <c r="M5382" s="443"/>
    </row>
    <row r="5383" spans="1:13">
      <c r="A5383" s="639">
        <v>81213</v>
      </c>
      <c r="B5383" s="639">
        <v>400</v>
      </c>
      <c r="C5383" s="638">
        <v>3990.002</v>
      </c>
      <c r="D5383" s="633">
        <f t="shared" si="173"/>
        <v>3990.002</v>
      </c>
      <c r="E5383" s="608"/>
      <c r="F5383" s="760">
        <f t="shared" si="172"/>
        <v>1683.2768683846225</v>
      </c>
      <c r="M5383" s="443"/>
    </row>
    <row r="5384" spans="1:13">
      <c r="A5384" s="639">
        <v>81213</v>
      </c>
      <c r="B5384" s="639">
        <v>500</v>
      </c>
      <c r="C5384" s="638">
        <v>4213.6459999999997</v>
      </c>
      <c r="D5384" s="633">
        <f t="shared" si="173"/>
        <v>4213.6459999999997</v>
      </c>
      <c r="E5384" s="608"/>
      <c r="F5384" s="760">
        <f t="shared" si="172"/>
        <v>1777.6263879971466</v>
      </c>
      <c r="M5384" s="443"/>
    </row>
    <row r="5385" spans="1:13">
      <c r="A5385" s="639">
        <v>81213</v>
      </c>
      <c r="B5385" s="639">
        <v>600</v>
      </c>
      <c r="C5385" s="638">
        <v>4588.7070000000003</v>
      </c>
      <c r="D5385" s="633">
        <f t="shared" si="173"/>
        <v>4588.7070000000003</v>
      </c>
      <c r="E5385" s="608"/>
      <c r="F5385" s="760">
        <f t="shared" si="172"/>
        <v>1935.8547561867379</v>
      </c>
      <c r="M5385" s="443"/>
    </row>
    <row r="5386" spans="1:13">
      <c r="A5386" s="639">
        <v>81213</v>
      </c>
      <c r="B5386" s="639">
        <v>700</v>
      </c>
      <c r="C5386" s="638">
        <v>5117.5389999999998</v>
      </c>
      <c r="D5386" s="633">
        <f t="shared" si="173"/>
        <v>5117.5389999999998</v>
      </c>
      <c r="E5386" s="608"/>
      <c r="F5386" s="760">
        <f t="shared" si="172"/>
        <v>2158.9550636205627</v>
      </c>
      <c r="M5386" s="443"/>
    </row>
    <row r="5387" spans="1:13">
      <c r="A5387" s="639">
        <v>81213</v>
      </c>
      <c r="B5387" s="639">
        <v>800</v>
      </c>
      <c r="C5387" s="638">
        <v>5451.76</v>
      </c>
      <c r="D5387" s="633">
        <f t="shared" si="173"/>
        <v>5451.76</v>
      </c>
      <c r="E5387" s="608"/>
      <c r="F5387" s="760">
        <f t="shared" si="172"/>
        <v>2299.9541102948197</v>
      </c>
      <c r="M5387" s="443"/>
    </row>
    <row r="5388" spans="1:13">
      <c r="A5388" s="639">
        <v>81213</v>
      </c>
      <c r="B5388" s="639">
        <v>900</v>
      </c>
      <c r="C5388" s="638">
        <v>5493.0720000000001</v>
      </c>
      <c r="D5388" s="633">
        <f t="shared" si="173"/>
        <v>5493.0720000000001</v>
      </c>
      <c r="E5388" s="608"/>
      <c r="F5388" s="760">
        <f t="shared" si="172"/>
        <v>2317.3825561920162</v>
      </c>
      <c r="M5388" s="443"/>
    </row>
    <row r="5389" spans="1:13">
      <c r="A5389" s="639">
        <v>81213</v>
      </c>
      <c r="B5389" s="639">
        <v>1000</v>
      </c>
      <c r="C5389" s="638">
        <v>5492.3559999999998</v>
      </c>
      <c r="D5389" s="633">
        <f t="shared" si="173"/>
        <v>5492.3559999999998</v>
      </c>
      <c r="E5389" s="608"/>
      <c r="F5389" s="760">
        <f t="shared" si="172"/>
        <v>2317.0804946296998</v>
      </c>
      <c r="M5389" s="443"/>
    </row>
    <row r="5390" spans="1:13">
      <c r="A5390" s="639">
        <v>81213</v>
      </c>
      <c r="B5390" s="639">
        <v>1100</v>
      </c>
      <c r="C5390" s="638">
        <v>5421.15</v>
      </c>
      <c r="D5390" s="633">
        <f t="shared" si="173"/>
        <v>5421.15</v>
      </c>
      <c r="E5390" s="608"/>
      <c r="F5390" s="760">
        <f t="shared" si="172"/>
        <v>2287.040556632126</v>
      </c>
      <c r="M5390" s="443"/>
    </row>
    <row r="5391" spans="1:13">
      <c r="A5391" s="639">
        <v>81213</v>
      </c>
      <c r="B5391" s="639">
        <v>1200</v>
      </c>
      <c r="C5391" s="638">
        <v>5659.8819999999996</v>
      </c>
      <c r="D5391" s="633">
        <f t="shared" si="173"/>
        <v>5659.8819999999996</v>
      </c>
      <c r="E5391" s="608"/>
      <c r="F5391" s="760">
        <f t="shared" si="172"/>
        <v>2387.7553064851832</v>
      </c>
      <c r="M5391" s="443"/>
    </row>
    <row r="5392" spans="1:13">
      <c r="A5392" s="639">
        <v>81213</v>
      </c>
      <c r="B5392" s="639">
        <v>1300</v>
      </c>
      <c r="C5392" s="638">
        <v>5752.79</v>
      </c>
      <c r="D5392" s="633">
        <f t="shared" si="173"/>
        <v>5752.79</v>
      </c>
      <c r="E5392" s="608"/>
      <c r="F5392" s="760">
        <f t="shared" si="172"/>
        <v>2426.9507473114982</v>
      </c>
      <c r="M5392" s="443"/>
    </row>
    <row r="5393" spans="1:13">
      <c r="A5393" s="639">
        <v>81213</v>
      </c>
      <c r="B5393" s="639">
        <v>1400</v>
      </c>
      <c r="C5393" s="638">
        <v>5754.7860000000001</v>
      </c>
      <c r="D5393" s="633">
        <f t="shared" si="173"/>
        <v>5754.7860000000001</v>
      </c>
      <c r="E5393" s="608"/>
      <c r="F5393" s="760">
        <f t="shared" si="172"/>
        <v>2427.7928071975075</v>
      </c>
      <c r="M5393" s="443"/>
    </row>
    <row r="5394" spans="1:13">
      <c r="A5394" s="639">
        <v>81213</v>
      </c>
      <c r="B5394" s="639">
        <v>1500</v>
      </c>
      <c r="C5394" s="638">
        <v>5910.1180000000004</v>
      </c>
      <c r="D5394" s="633">
        <f t="shared" si="173"/>
        <v>5910.1180000000004</v>
      </c>
      <c r="E5394" s="608"/>
      <c r="F5394" s="760">
        <f t="shared" si="172"/>
        <v>2493.3232912724325</v>
      </c>
      <c r="M5394" s="443"/>
    </row>
    <row r="5395" spans="1:13">
      <c r="A5395" s="639">
        <v>81213</v>
      </c>
      <c r="B5395" s="639">
        <v>1600</v>
      </c>
      <c r="C5395" s="638">
        <v>6323.57</v>
      </c>
      <c r="D5395" s="633">
        <f t="shared" si="173"/>
        <v>6323.57</v>
      </c>
      <c r="E5395" s="608"/>
      <c r="F5395" s="760">
        <f t="shared" si="172"/>
        <v>2667.7478123096043</v>
      </c>
      <c r="M5395" s="443"/>
    </row>
    <row r="5396" spans="1:13">
      <c r="A5396" s="639">
        <v>81213</v>
      </c>
      <c r="B5396" s="639">
        <v>1700</v>
      </c>
      <c r="C5396" s="638">
        <v>6603.1030000000001</v>
      </c>
      <c r="D5396" s="633">
        <f t="shared" si="173"/>
        <v>6603.1030000000001</v>
      </c>
      <c r="E5396" s="608"/>
      <c r="F5396" s="760">
        <f t="shared" si="172"/>
        <v>2785.6754306040712</v>
      </c>
      <c r="M5396" s="443"/>
    </row>
    <row r="5397" spans="1:13">
      <c r="A5397" s="639">
        <v>81213</v>
      </c>
      <c r="B5397" s="639">
        <v>1800</v>
      </c>
      <c r="C5397" s="638">
        <v>6731.4260000000004</v>
      </c>
      <c r="D5397" s="633">
        <f t="shared" si="173"/>
        <v>6731.4260000000004</v>
      </c>
      <c r="E5397" s="608"/>
      <c r="F5397" s="760">
        <f t="shared" si="172"/>
        <v>2839.8115281753812</v>
      </c>
      <c r="M5397" s="443"/>
    </row>
    <row r="5398" spans="1:13">
      <c r="A5398" s="639">
        <v>81213</v>
      </c>
      <c r="B5398" s="639">
        <v>1900</v>
      </c>
      <c r="C5398" s="638">
        <v>6758.0860000000002</v>
      </c>
      <c r="D5398" s="633">
        <f t="shared" si="173"/>
        <v>6758.0860000000002</v>
      </c>
      <c r="E5398" s="608"/>
      <c r="F5398" s="760">
        <f t="shared" si="172"/>
        <v>2851.0586807610525</v>
      </c>
      <c r="M5398" s="443"/>
    </row>
    <row r="5399" spans="1:13">
      <c r="A5399" s="639">
        <v>81213</v>
      </c>
      <c r="B5399" s="639">
        <v>2000</v>
      </c>
      <c r="C5399" s="638">
        <v>6907.3280000000004</v>
      </c>
      <c r="D5399" s="633">
        <f t="shared" si="173"/>
        <v>6907.3280000000004</v>
      </c>
      <c r="E5399" s="608"/>
      <c r="F5399" s="760">
        <f t="shared" si="172"/>
        <v>2914.0199540615313</v>
      </c>
      <c r="M5399" s="443"/>
    </row>
    <row r="5400" spans="1:13">
      <c r="A5400" s="639">
        <v>81213</v>
      </c>
      <c r="B5400" s="639">
        <v>2100</v>
      </c>
      <c r="C5400" s="638">
        <v>7023.8320000000003</v>
      </c>
      <c r="D5400" s="633">
        <f t="shared" si="173"/>
        <v>7023.8320000000003</v>
      </c>
      <c r="E5400" s="608"/>
      <c r="F5400" s="760">
        <f t="shared" si="172"/>
        <v>2963.1699264861772</v>
      </c>
      <c r="M5400" s="443"/>
    </row>
    <row r="5401" spans="1:13">
      <c r="A5401" s="639">
        <v>81213</v>
      </c>
      <c r="B5401" s="639">
        <v>2200</v>
      </c>
      <c r="C5401" s="638">
        <v>6409.75</v>
      </c>
      <c r="D5401" s="633">
        <f t="shared" si="173"/>
        <v>6409.75</v>
      </c>
      <c r="E5401" s="608"/>
      <c r="F5401" s="760">
        <f t="shared" si="172"/>
        <v>2704.1048869470078</v>
      </c>
      <c r="M5401" s="443"/>
    </row>
    <row r="5402" spans="1:13">
      <c r="A5402" s="639">
        <v>81213</v>
      </c>
      <c r="B5402" s="639">
        <v>2300</v>
      </c>
      <c r="C5402" s="638">
        <v>5448.2049999999999</v>
      </c>
      <c r="D5402" s="633">
        <f t="shared" si="173"/>
        <v>5448.2049999999999</v>
      </c>
      <c r="E5402" s="608"/>
      <c r="F5402" s="760">
        <f t="shared" si="172"/>
        <v>2298.4543493254996</v>
      </c>
      <c r="M5402" s="443"/>
    </row>
    <row r="5403" spans="1:13">
      <c r="A5403" s="639">
        <v>81213</v>
      </c>
      <c r="B5403" s="639">
        <v>2400</v>
      </c>
      <c r="C5403" s="638">
        <v>4735.6729999999998</v>
      </c>
      <c r="D5403" s="633">
        <f t="shared" si="173"/>
        <v>4735.6729999999998</v>
      </c>
      <c r="E5403" s="608"/>
      <c r="F5403" s="760">
        <f t="shared" si="172"/>
        <v>1997.8558449678999</v>
      </c>
      <c r="M5403" s="443"/>
    </row>
    <row r="5404" spans="1:13">
      <c r="A5404" s="639">
        <v>81313</v>
      </c>
      <c r="B5404" s="639">
        <v>100</v>
      </c>
      <c r="C5404" s="638">
        <v>4369.2640000000001</v>
      </c>
      <c r="D5404" s="633">
        <f t="shared" si="173"/>
        <v>4369.2640000000001</v>
      </c>
      <c r="E5404" s="608"/>
      <c r="F5404" s="760">
        <f t="shared" si="172"/>
        <v>1843.2775279475222</v>
      </c>
      <c r="M5404" s="443"/>
    </row>
    <row r="5405" spans="1:13">
      <c r="A5405" s="639">
        <v>81313</v>
      </c>
      <c r="B5405" s="639">
        <v>200</v>
      </c>
      <c r="C5405" s="638">
        <v>4132.8649999999998</v>
      </c>
      <c r="D5405" s="633">
        <f t="shared" si="173"/>
        <v>4132.8649999999998</v>
      </c>
      <c r="E5405" s="608"/>
      <c r="F5405" s="760">
        <f t="shared" si="172"/>
        <v>1743.5470094141338</v>
      </c>
      <c r="M5405" s="443"/>
    </row>
    <row r="5406" spans="1:13">
      <c r="A5406" s="639">
        <v>81313</v>
      </c>
      <c r="B5406" s="639">
        <v>300</v>
      </c>
      <c r="C5406" s="638">
        <v>4044.1480000000001</v>
      </c>
      <c r="D5406" s="633">
        <f t="shared" si="173"/>
        <v>4044.1480000000001</v>
      </c>
      <c r="E5406" s="608"/>
      <c r="F5406" s="760">
        <f t="shared" si="172"/>
        <v>1706.1196412242236</v>
      </c>
      <c r="M5406" s="443"/>
    </row>
    <row r="5407" spans="1:13">
      <c r="A5407" s="639">
        <v>81313</v>
      </c>
      <c r="B5407" s="639">
        <v>400</v>
      </c>
      <c r="C5407" s="638">
        <v>4025.0880000000002</v>
      </c>
      <c r="D5407" s="633">
        <f t="shared" si="173"/>
        <v>4025.0880000000002</v>
      </c>
      <c r="E5407" s="608"/>
      <c r="F5407" s="760">
        <f t="shared" si="172"/>
        <v>1698.0787286854804</v>
      </c>
      <c r="M5407" s="443"/>
    </row>
    <row r="5408" spans="1:13">
      <c r="A5408" s="639">
        <v>81313</v>
      </c>
      <c r="B5408" s="639">
        <v>500</v>
      </c>
      <c r="C5408" s="638">
        <v>4264.6530000000002</v>
      </c>
      <c r="D5408" s="633">
        <f t="shared" si="173"/>
        <v>4264.6530000000002</v>
      </c>
      <c r="E5408" s="608"/>
      <c r="F5408" s="760">
        <f t="shared" si="172"/>
        <v>1799.1448993226284</v>
      </c>
      <c r="M5408" s="443"/>
    </row>
    <row r="5409" spans="1:13">
      <c r="A5409" s="639">
        <v>81313</v>
      </c>
      <c r="B5409" s="639">
        <v>600</v>
      </c>
      <c r="C5409" s="638">
        <v>4718.5410000000002</v>
      </c>
      <c r="D5409" s="633">
        <f t="shared" si="173"/>
        <v>4718.5410000000002</v>
      </c>
      <c r="E5409" s="608"/>
      <c r="F5409" s="760">
        <f t="shared" si="172"/>
        <v>1990.6283049042195</v>
      </c>
      <c r="M5409" s="443"/>
    </row>
    <row r="5410" spans="1:13">
      <c r="A5410" s="639">
        <v>81313</v>
      </c>
      <c r="B5410" s="639">
        <v>700</v>
      </c>
      <c r="C5410" s="638">
        <v>5232.21</v>
      </c>
      <c r="D5410" s="633">
        <f t="shared" si="173"/>
        <v>5232.21</v>
      </c>
      <c r="E5410" s="608"/>
      <c r="F5410" s="760">
        <f t="shared" si="172"/>
        <v>2207.3317415707329</v>
      </c>
      <c r="M5410" s="443"/>
    </row>
    <row r="5411" spans="1:13">
      <c r="A5411" s="639">
        <v>81313</v>
      </c>
      <c r="B5411" s="639">
        <v>800</v>
      </c>
      <c r="C5411" s="638">
        <v>5460.5169999999998</v>
      </c>
      <c r="D5411" s="633">
        <f t="shared" si="173"/>
        <v>5460.5169999999998</v>
      </c>
      <c r="E5411" s="608"/>
      <c r="F5411" s="760">
        <f t="shared" si="172"/>
        <v>2303.6484582015228</v>
      </c>
      <c r="M5411" s="443"/>
    </row>
    <row r="5412" spans="1:13">
      <c r="A5412" s="639">
        <v>81313</v>
      </c>
      <c r="B5412" s="639">
        <v>900</v>
      </c>
      <c r="C5412" s="638">
        <v>5419.3389999999999</v>
      </c>
      <c r="D5412" s="633">
        <f t="shared" si="173"/>
        <v>5419.3389999999999</v>
      </c>
      <c r="E5412" s="608"/>
      <c r="F5412" s="760">
        <f t="shared" si="172"/>
        <v>2286.2765433788381</v>
      </c>
      <c r="M5412" s="443"/>
    </row>
    <row r="5413" spans="1:13">
      <c r="A5413" s="639">
        <v>81313</v>
      </c>
      <c r="B5413" s="639">
        <v>1000</v>
      </c>
      <c r="C5413" s="638">
        <v>5340.7579999999998</v>
      </c>
      <c r="D5413" s="633">
        <f t="shared" si="173"/>
        <v>5340.7579999999998</v>
      </c>
      <c r="E5413" s="608"/>
      <c r="F5413" s="760">
        <f t="shared" si="172"/>
        <v>2253.1252869146729</v>
      </c>
      <c r="M5413" s="443"/>
    </row>
    <row r="5414" spans="1:13">
      <c r="A5414" s="639">
        <v>81313</v>
      </c>
      <c r="B5414" s="639">
        <v>1100</v>
      </c>
      <c r="C5414" s="638">
        <v>5304.8829999999998</v>
      </c>
      <c r="D5414" s="633">
        <f t="shared" si="173"/>
        <v>5304.8829999999998</v>
      </c>
      <c r="E5414" s="608"/>
      <c r="F5414" s="760">
        <f t="shared" si="172"/>
        <v>2237.9905682721014</v>
      </c>
      <c r="M5414" s="443"/>
    </row>
    <row r="5415" spans="1:13">
      <c r="A5415" s="639">
        <v>81313</v>
      </c>
      <c r="B5415" s="639">
        <v>1200</v>
      </c>
      <c r="C5415" s="638">
        <v>5402.1409999999996</v>
      </c>
      <c r="D5415" s="633">
        <f t="shared" si="173"/>
        <v>5402.1409999999996</v>
      </c>
      <c r="E5415" s="608"/>
      <c r="F5415" s="760">
        <f t="shared" si="172"/>
        <v>2279.0211596515924</v>
      </c>
      <c r="M5415" s="443"/>
    </row>
    <row r="5416" spans="1:13">
      <c r="A5416" s="639">
        <v>81313</v>
      </c>
      <c r="B5416" s="639">
        <v>1300</v>
      </c>
      <c r="C5416" s="638">
        <v>5507.7049999999999</v>
      </c>
      <c r="D5416" s="633">
        <f t="shared" si="173"/>
        <v>5507.7049999999999</v>
      </c>
      <c r="E5416" s="608"/>
      <c r="F5416" s="760">
        <f t="shared" si="172"/>
        <v>2323.5558339034233</v>
      </c>
      <c r="M5416" s="443"/>
    </row>
    <row r="5417" spans="1:13">
      <c r="A5417" s="639">
        <v>81313</v>
      </c>
      <c r="B5417" s="639">
        <v>1400</v>
      </c>
      <c r="C5417" s="638">
        <v>5471.2849999999999</v>
      </c>
      <c r="D5417" s="633">
        <f t="shared" si="173"/>
        <v>5471.2849999999999</v>
      </c>
      <c r="E5417" s="608"/>
      <c r="F5417" s="760">
        <f t="shared" si="172"/>
        <v>2308.1911940995915</v>
      </c>
      <c r="M5417" s="443"/>
    </row>
    <row r="5418" spans="1:13">
      <c r="A5418" s="639">
        <v>81313</v>
      </c>
      <c r="B5418" s="639">
        <v>1500</v>
      </c>
      <c r="C5418" s="638">
        <v>5519.9210000000003</v>
      </c>
      <c r="D5418" s="633">
        <f t="shared" si="173"/>
        <v>5519.9210000000003</v>
      </c>
      <c r="E5418" s="608"/>
      <c r="F5418" s="760">
        <f t="shared" si="172"/>
        <v>2328.7094429051704</v>
      </c>
      <c r="M5418" s="443"/>
    </row>
    <row r="5419" spans="1:13">
      <c r="A5419" s="639">
        <v>81313</v>
      </c>
      <c r="B5419" s="639">
        <v>1600</v>
      </c>
      <c r="C5419" s="638">
        <v>5625.4840000000004</v>
      </c>
      <c r="D5419" s="633">
        <f t="shared" si="173"/>
        <v>5625.4840000000004</v>
      </c>
      <c r="E5419" s="608"/>
      <c r="F5419" s="760">
        <f t="shared" si="172"/>
        <v>2373.2436952833109</v>
      </c>
      <c r="M5419" s="443"/>
    </row>
    <row r="5420" spans="1:13">
      <c r="A5420" s="639">
        <v>81313</v>
      </c>
      <c r="B5420" s="639">
        <v>1700</v>
      </c>
      <c r="C5420" s="638">
        <v>5992.1790000000001</v>
      </c>
      <c r="D5420" s="633">
        <f t="shared" si="173"/>
        <v>5992.1790000000001</v>
      </c>
      <c r="E5420" s="608"/>
      <c r="F5420" s="760">
        <f t="shared" si="172"/>
        <v>2527.9426681791388</v>
      </c>
      <c r="M5420" s="443"/>
    </row>
    <row r="5421" spans="1:13">
      <c r="A5421" s="639">
        <v>81313</v>
      </c>
      <c r="B5421" s="639">
        <v>1800</v>
      </c>
      <c r="C5421" s="638">
        <v>6107.5739999999996</v>
      </c>
      <c r="D5421" s="633">
        <f t="shared" si="173"/>
        <v>6107.5739999999996</v>
      </c>
      <c r="E5421" s="608"/>
      <c r="F5421" s="760">
        <f t="shared" si="172"/>
        <v>2576.6247826811468</v>
      </c>
      <c r="M5421" s="443"/>
    </row>
    <row r="5422" spans="1:13">
      <c r="A5422" s="639">
        <v>81313</v>
      </c>
      <c r="B5422" s="639">
        <v>1900</v>
      </c>
      <c r="C5422" s="638">
        <v>6211.1779999999999</v>
      </c>
      <c r="D5422" s="633">
        <f t="shared" si="173"/>
        <v>6211.1779999999999</v>
      </c>
      <c r="E5422" s="608"/>
      <c r="F5422" s="760">
        <f t="shared" si="172"/>
        <v>2620.332584499823</v>
      </c>
      <c r="M5422" s="443"/>
    </row>
    <row r="5423" spans="1:13">
      <c r="A5423" s="639">
        <v>81313</v>
      </c>
      <c r="B5423" s="639">
        <v>2000</v>
      </c>
      <c r="C5423" s="638">
        <v>6494.5709999999999</v>
      </c>
      <c r="D5423" s="633">
        <f t="shared" si="173"/>
        <v>6494.5709999999999</v>
      </c>
      <c r="E5423" s="608"/>
      <c r="F5423" s="760">
        <f t="shared" si="172"/>
        <v>2739.8886352391769</v>
      </c>
      <c r="M5423" s="443"/>
    </row>
    <row r="5424" spans="1:13">
      <c r="A5424" s="639">
        <v>81313</v>
      </c>
      <c r="B5424" s="639">
        <v>2100</v>
      </c>
      <c r="C5424" s="638">
        <v>6595.6260000000002</v>
      </c>
      <c r="D5424" s="633">
        <f t="shared" si="173"/>
        <v>6595.6260000000002</v>
      </c>
      <c r="E5424" s="608"/>
      <c r="F5424" s="760">
        <f t="shared" si="172"/>
        <v>2782.5210810210606</v>
      </c>
      <c r="M5424" s="443"/>
    </row>
    <row r="5425" spans="1:13">
      <c r="A5425" s="639">
        <v>81313</v>
      </c>
      <c r="B5425" s="639">
        <v>2200</v>
      </c>
      <c r="C5425" s="638">
        <v>5915.6639999999998</v>
      </c>
      <c r="D5425" s="633">
        <f t="shared" si="173"/>
        <v>5915.6639999999998</v>
      </c>
      <c r="E5425" s="608"/>
      <c r="F5425" s="760">
        <f t="shared" si="172"/>
        <v>2495.6630027593092</v>
      </c>
      <c r="M5425" s="443"/>
    </row>
    <row r="5426" spans="1:13">
      <c r="A5426" s="639">
        <v>81313</v>
      </c>
      <c r="B5426" s="639">
        <v>2300</v>
      </c>
      <c r="C5426" s="638">
        <v>5093.0680000000002</v>
      </c>
      <c r="D5426" s="633">
        <f t="shared" si="173"/>
        <v>5093.0680000000002</v>
      </c>
      <c r="E5426" s="608"/>
      <c r="F5426" s="760">
        <f t="shared" si="172"/>
        <v>2148.6313925431446</v>
      </c>
      <c r="M5426" s="443"/>
    </row>
    <row r="5427" spans="1:13">
      <c r="A5427" s="639">
        <v>81313</v>
      </c>
      <c r="B5427" s="639">
        <v>2400</v>
      </c>
      <c r="C5427" s="638">
        <v>4484.6109999999999</v>
      </c>
      <c r="D5427" s="633">
        <f t="shared" si="173"/>
        <v>4484.6109999999999</v>
      </c>
      <c r="E5427" s="608"/>
      <c r="F5427" s="760">
        <f t="shared" si="172"/>
        <v>1891.9393925123923</v>
      </c>
      <c r="M5427" s="443"/>
    </row>
    <row r="5428" spans="1:13">
      <c r="A5428" s="639">
        <v>81413</v>
      </c>
      <c r="B5428" s="639">
        <v>100</v>
      </c>
      <c r="C5428" s="638">
        <v>4211.7640000000001</v>
      </c>
      <c r="D5428" s="633">
        <f t="shared" si="173"/>
        <v>4211.7640000000001</v>
      </c>
      <c r="E5428" s="608"/>
      <c r="F5428" s="760">
        <f t="shared" si="172"/>
        <v>1776.8324217118418</v>
      </c>
      <c r="M5428" s="443"/>
    </row>
    <row r="5429" spans="1:13">
      <c r="A5429" s="639">
        <v>81413</v>
      </c>
      <c r="B5429" s="639">
        <v>200</v>
      </c>
      <c r="C5429" s="638">
        <v>4039.4450000000002</v>
      </c>
      <c r="D5429" s="633">
        <f t="shared" si="173"/>
        <v>4039.4450000000002</v>
      </c>
      <c r="E5429" s="608"/>
      <c r="F5429" s="760">
        <f t="shared" si="172"/>
        <v>1704.1355692583418</v>
      </c>
      <c r="M5429" s="443"/>
    </row>
    <row r="5430" spans="1:13">
      <c r="A5430" s="639">
        <v>81413</v>
      </c>
      <c r="B5430" s="639">
        <v>300</v>
      </c>
      <c r="C5430" s="638">
        <v>3959.0569999999998</v>
      </c>
      <c r="D5430" s="633">
        <f t="shared" si="173"/>
        <v>3959.0569999999998</v>
      </c>
      <c r="E5430" s="608"/>
      <c r="F5430" s="760">
        <f t="shared" si="172"/>
        <v>1670.2219870356503</v>
      </c>
      <c r="M5430" s="443"/>
    </row>
    <row r="5431" spans="1:13">
      <c r="A5431" s="639">
        <v>81413</v>
      </c>
      <c r="B5431" s="639">
        <v>400</v>
      </c>
      <c r="C5431" s="638">
        <v>3969.5149999999999</v>
      </c>
      <c r="D5431" s="633">
        <f t="shared" si="173"/>
        <v>3969.5149999999999</v>
      </c>
      <c r="E5431" s="608"/>
      <c r="F5431" s="760">
        <f t="shared" si="172"/>
        <v>1674.6339420896993</v>
      </c>
      <c r="M5431" s="443"/>
    </row>
    <row r="5432" spans="1:13">
      <c r="A5432" s="639">
        <v>81413</v>
      </c>
      <c r="B5432" s="639">
        <v>500</v>
      </c>
      <c r="C5432" s="638">
        <v>4213.2110000000002</v>
      </c>
      <c r="D5432" s="633">
        <f t="shared" si="173"/>
        <v>4213.2110000000002</v>
      </c>
      <c r="E5432" s="608"/>
      <c r="F5432" s="760">
        <f t="shared" si="172"/>
        <v>1777.4428729418291</v>
      </c>
      <c r="M5432" s="443"/>
    </row>
    <row r="5433" spans="1:13">
      <c r="A5433" s="639">
        <v>81413</v>
      </c>
      <c r="B5433" s="639">
        <v>600</v>
      </c>
      <c r="C5433" s="638">
        <v>4784.58</v>
      </c>
      <c r="D5433" s="633">
        <f t="shared" si="173"/>
        <v>4784.58</v>
      </c>
      <c r="E5433" s="608"/>
      <c r="F5433" s="760">
        <f t="shared" si="172"/>
        <v>2018.4884215435725</v>
      </c>
      <c r="M5433" s="443"/>
    </row>
    <row r="5434" spans="1:13">
      <c r="A5434" s="639">
        <v>81413</v>
      </c>
      <c r="B5434" s="639">
        <v>700</v>
      </c>
      <c r="C5434" s="638">
        <v>5213.8869999999997</v>
      </c>
      <c r="D5434" s="633">
        <f t="shared" si="173"/>
        <v>5213.8869999999997</v>
      </c>
      <c r="E5434" s="608"/>
      <c r="F5434" s="760">
        <f t="shared" si="172"/>
        <v>2199.6017499418031</v>
      </c>
      <c r="M5434" s="443"/>
    </row>
    <row r="5435" spans="1:13">
      <c r="A5435" s="639">
        <v>81413</v>
      </c>
      <c r="B5435" s="639">
        <v>800</v>
      </c>
      <c r="C5435" s="638">
        <v>5275.8130000000001</v>
      </c>
      <c r="D5435" s="633">
        <f t="shared" si="173"/>
        <v>5275.8130000000001</v>
      </c>
      <c r="E5435" s="608"/>
      <c r="F5435" s="760">
        <f t="shared" si="172"/>
        <v>2225.7267000926017</v>
      </c>
      <c r="M5435" s="443"/>
    </row>
    <row r="5436" spans="1:13">
      <c r="A5436" s="639">
        <v>81413</v>
      </c>
      <c r="B5436" s="639">
        <v>900</v>
      </c>
      <c r="C5436" s="638">
        <v>5341.8860000000004</v>
      </c>
      <c r="D5436" s="633">
        <f t="shared" si="173"/>
        <v>5341.8860000000004</v>
      </c>
      <c r="E5436" s="608"/>
      <c r="F5436" s="760">
        <f t="shared" ref="F5436:F5499" si="174">(D5436/(MAX($D$5116:$D$5859)))*$M$11</f>
        <v>2253.601160437428</v>
      </c>
      <c r="M5436" s="443"/>
    </row>
    <row r="5437" spans="1:13">
      <c r="A5437" s="639">
        <v>81413</v>
      </c>
      <c r="B5437" s="639">
        <v>1000</v>
      </c>
      <c r="C5437" s="638">
        <v>5325.63</v>
      </c>
      <c r="D5437" s="633">
        <f t="shared" si="173"/>
        <v>5325.63</v>
      </c>
      <c r="E5437" s="608"/>
      <c r="F5437" s="760">
        <f t="shared" si="174"/>
        <v>2246.7431817265251</v>
      </c>
      <c r="M5437" s="443"/>
    </row>
    <row r="5438" spans="1:13">
      <c r="A5438" s="639">
        <v>81413</v>
      </c>
      <c r="B5438" s="639">
        <v>1100</v>
      </c>
      <c r="C5438" s="638">
        <v>5245.1019999999999</v>
      </c>
      <c r="D5438" s="633">
        <f t="shared" si="173"/>
        <v>5245.1019999999999</v>
      </c>
      <c r="E5438" s="608"/>
      <c r="F5438" s="760">
        <f t="shared" si="174"/>
        <v>2212.7705371871798</v>
      </c>
      <c r="M5438" s="443"/>
    </row>
    <row r="5439" spans="1:13">
      <c r="A5439" s="639">
        <v>81413</v>
      </c>
      <c r="B5439" s="639">
        <v>1200</v>
      </c>
      <c r="C5439" s="638">
        <v>5115.7139999999999</v>
      </c>
      <c r="D5439" s="633">
        <f t="shared" si="173"/>
        <v>5115.7139999999999</v>
      </c>
      <c r="E5439" s="608"/>
      <c r="F5439" s="760">
        <f t="shared" si="174"/>
        <v>2158.1851441356098</v>
      </c>
      <c r="M5439" s="443"/>
    </row>
    <row r="5440" spans="1:13">
      <c r="A5440" s="639">
        <v>81413</v>
      </c>
      <c r="B5440" s="639">
        <v>1300</v>
      </c>
      <c r="C5440" s="638">
        <v>5134.451</v>
      </c>
      <c r="D5440" s="633">
        <f t="shared" si="173"/>
        <v>5134.451</v>
      </c>
      <c r="E5440" s="608"/>
      <c r="F5440" s="760">
        <f t="shared" si="174"/>
        <v>2166.0897914723587</v>
      </c>
      <c r="M5440" s="443"/>
    </row>
    <row r="5441" spans="1:13">
      <c r="A5441" s="639">
        <v>81413</v>
      </c>
      <c r="B5441" s="639">
        <v>1400</v>
      </c>
      <c r="C5441" s="638">
        <v>5126.4690000000001</v>
      </c>
      <c r="D5441" s="633">
        <f t="shared" si="173"/>
        <v>5126.4690000000001</v>
      </c>
      <c r="E5441" s="608"/>
      <c r="F5441" s="760">
        <f t="shared" si="174"/>
        <v>2162.722395675703</v>
      </c>
      <c r="M5441" s="443"/>
    </row>
    <row r="5442" spans="1:13">
      <c r="A5442" s="639">
        <v>81413</v>
      </c>
      <c r="B5442" s="639">
        <v>1500</v>
      </c>
      <c r="C5442" s="638">
        <v>5239.62</v>
      </c>
      <c r="D5442" s="633">
        <f t="shared" si="173"/>
        <v>5239.62</v>
      </c>
      <c r="E5442" s="608"/>
      <c r="F5442" s="760">
        <f t="shared" si="174"/>
        <v>2210.4578256164873</v>
      </c>
      <c r="M5442" s="443"/>
    </row>
    <row r="5443" spans="1:13">
      <c r="A5443" s="639">
        <v>81413</v>
      </c>
      <c r="B5443" s="639">
        <v>1600</v>
      </c>
      <c r="C5443" s="638">
        <v>5574.991</v>
      </c>
      <c r="D5443" s="633">
        <f t="shared" si="173"/>
        <v>5574.991</v>
      </c>
      <c r="E5443" s="608"/>
      <c r="F5443" s="760">
        <f t="shared" si="174"/>
        <v>2351.9420270346873</v>
      </c>
      <c r="M5443" s="443"/>
    </row>
    <row r="5444" spans="1:13">
      <c r="A5444" s="639">
        <v>81413</v>
      </c>
      <c r="B5444" s="639">
        <v>1700</v>
      </c>
      <c r="C5444" s="638">
        <v>6016.38</v>
      </c>
      <c r="D5444" s="633">
        <f t="shared" si="173"/>
        <v>6016.38</v>
      </c>
      <c r="E5444" s="608"/>
      <c r="F5444" s="760">
        <f t="shared" si="174"/>
        <v>2538.1524333601528</v>
      </c>
      <c r="M5444" s="443"/>
    </row>
    <row r="5445" spans="1:13">
      <c r="A5445" s="639">
        <v>81413</v>
      </c>
      <c r="B5445" s="639">
        <v>1800</v>
      </c>
      <c r="C5445" s="638">
        <v>6086.0730000000003</v>
      </c>
      <c r="D5445" s="633">
        <f t="shared" ref="D5445:D5508" si="175">C5445</f>
        <v>6086.0730000000003</v>
      </c>
      <c r="E5445" s="608"/>
      <c r="F5445" s="760">
        <f t="shared" si="174"/>
        <v>2567.5540764641737</v>
      </c>
      <c r="M5445" s="443"/>
    </row>
    <row r="5446" spans="1:13">
      <c r="A5446" s="639">
        <v>81413</v>
      </c>
      <c r="B5446" s="639">
        <v>1900</v>
      </c>
      <c r="C5446" s="638">
        <v>6117.8689999999997</v>
      </c>
      <c r="D5446" s="633">
        <f t="shared" si="175"/>
        <v>6117.8689999999997</v>
      </c>
      <c r="E5446" s="608"/>
      <c r="F5446" s="760">
        <f t="shared" si="174"/>
        <v>2580.9679723236632</v>
      </c>
      <c r="M5446" s="443"/>
    </row>
    <row r="5447" spans="1:13">
      <c r="A5447" s="639">
        <v>81413</v>
      </c>
      <c r="B5447" s="639">
        <v>2000</v>
      </c>
      <c r="C5447" s="638">
        <v>6286.0649999999996</v>
      </c>
      <c r="D5447" s="633">
        <f t="shared" si="175"/>
        <v>6286.0649999999996</v>
      </c>
      <c r="E5447" s="608"/>
      <c r="F5447" s="760">
        <f t="shared" si="174"/>
        <v>2651.925439551705</v>
      </c>
      <c r="M5447" s="443"/>
    </row>
    <row r="5448" spans="1:13">
      <c r="A5448" s="639">
        <v>81413</v>
      </c>
      <c r="B5448" s="639">
        <v>2100</v>
      </c>
      <c r="C5448" s="638">
        <v>6552.9189999999999</v>
      </c>
      <c r="D5448" s="633">
        <f t="shared" si="175"/>
        <v>6552.9189999999999</v>
      </c>
      <c r="E5448" s="608"/>
      <c r="F5448" s="760">
        <f t="shared" si="174"/>
        <v>2764.5041213257769</v>
      </c>
      <c r="M5448" s="443"/>
    </row>
    <row r="5449" spans="1:13">
      <c r="A5449" s="639">
        <v>81413</v>
      </c>
      <c r="B5449" s="639">
        <v>2200</v>
      </c>
      <c r="C5449" s="638">
        <v>6030.3810000000003</v>
      </c>
      <c r="D5449" s="633">
        <f t="shared" si="175"/>
        <v>6030.3810000000003</v>
      </c>
      <c r="E5449" s="608"/>
      <c r="F5449" s="760">
        <f t="shared" si="174"/>
        <v>2544.0590868992372</v>
      </c>
      <c r="M5449" s="443"/>
    </row>
    <row r="5450" spans="1:13">
      <c r="A5450" s="639">
        <v>81413</v>
      </c>
      <c r="B5450" s="639">
        <v>2300</v>
      </c>
      <c r="C5450" s="638">
        <v>5139.9229999999998</v>
      </c>
      <c r="D5450" s="633">
        <f t="shared" si="175"/>
        <v>5139.9229999999998</v>
      </c>
      <c r="E5450" s="608"/>
      <c r="F5450" s="760">
        <f t="shared" si="174"/>
        <v>2168.3982843061467</v>
      </c>
      <c r="M5450" s="443"/>
    </row>
    <row r="5451" spans="1:13">
      <c r="A5451" s="639">
        <v>81413</v>
      </c>
      <c r="B5451" s="639">
        <v>2400</v>
      </c>
      <c r="C5451" s="638">
        <v>4444.4830000000002</v>
      </c>
      <c r="D5451" s="633">
        <f t="shared" si="175"/>
        <v>4444.4830000000002</v>
      </c>
      <c r="E5451" s="608"/>
      <c r="F5451" s="760">
        <f t="shared" si="174"/>
        <v>1875.0104450646122</v>
      </c>
      <c r="M5451" s="443"/>
    </row>
    <row r="5452" spans="1:13">
      <c r="A5452" s="639">
        <v>81513</v>
      </c>
      <c r="B5452" s="639">
        <v>100</v>
      </c>
      <c r="C5452" s="638">
        <v>4139.4570000000003</v>
      </c>
      <c r="D5452" s="633">
        <f t="shared" si="175"/>
        <v>4139.4570000000003</v>
      </c>
      <c r="E5452" s="608"/>
      <c r="F5452" s="760">
        <f t="shared" si="174"/>
        <v>1746.3280007811536</v>
      </c>
      <c r="M5452" s="443"/>
    </row>
    <row r="5453" spans="1:13">
      <c r="A5453" s="639">
        <v>81513</v>
      </c>
      <c r="B5453" s="639">
        <v>200</v>
      </c>
      <c r="C5453" s="638">
        <v>3994.0169999999998</v>
      </c>
      <c r="D5453" s="633">
        <f t="shared" si="175"/>
        <v>3994.0169999999998</v>
      </c>
      <c r="E5453" s="608"/>
      <c r="F5453" s="760">
        <f t="shared" si="174"/>
        <v>1684.9706912515194</v>
      </c>
      <c r="M5453" s="443"/>
    </row>
    <row r="5454" spans="1:13">
      <c r="A5454" s="639">
        <v>81513</v>
      </c>
      <c r="B5454" s="639">
        <v>300</v>
      </c>
      <c r="C5454" s="638">
        <v>3927.5729999999999</v>
      </c>
      <c r="D5454" s="633">
        <f t="shared" si="175"/>
        <v>3927.5729999999999</v>
      </c>
      <c r="E5454" s="608"/>
      <c r="F5454" s="760">
        <f t="shared" si="174"/>
        <v>1656.9397157675603</v>
      </c>
      <c r="M5454" s="443"/>
    </row>
    <row r="5455" spans="1:13">
      <c r="A5455" s="639">
        <v>81513</v>
      </c>
      <c r="B5455" s="639">
        <v>400</v>
      </c>
      <c r="C5455" s="638">
        <v>3974.6019999999999</v>
      </c>
      <c r="D5455" s="633">
        <f t="shared" si="175"/>
        <v>3974.6019999999999</v>
      </c>
      <c r="E5455" s="608"/>
      <c r="F5455" s="760">
        <f t="shared" si="174"/>
        <v>1676.7800135526893</v>
      </c>
      <c r="M5455" s="443"/>
    </row>
    <row r="5456" spans="1:13">
      <c r="A5456" s="639">
        <v>81513</v>
      </c>
      <c r="B5456" s="639">
        <v>500</v>
      </c>
      <c r="C5456" s="638">
        <v>4252.2579999999998</v>
      </c>
      <c r="D5456" s="633">
        <f t="shared" si="175"/>
        <v>4252.2579999999998</v>
      </c>
      <c r="E5456" s="608"/>
      <c r="F5456" s="760">
        <f t="shared" si="174"/>
        <v>1793.9157749303026</v>
      </c>
      <c r="M5456" s="443"/>
    </row>
    <row r="5457" spans="1:13">
      <c r="A5457" s="639">
        <v>81513</v>
      </c>
      <c r="B5457" s="639">
        <v>600</v>
      </c>
      <c r="C5457" s="638">
        <v>4697.0609999999997</v>
      </c>
      <c r="D5457" s="633">
        <f t="shared" si="175"/>
        <v>4697.0609999999997</v>
      </c>
      <c r="E5457" s="608"/>
      <c r="F5457" s="760">
        <f t="shared" si="174"/>
        <v>1981.5664580347436</v>
      </c>
      <c r="M5457" s="443"/>
    </row>
    <row r="5458" spans="1:13">
      <c r="A5458" s="639">
        <v>81513</v>
      </c>
      <c r="B5458" s="639">
        <v>700</v>
      </c>
      <c r="C5458" s="638">
        <v>5103.3779999999997</v>
      </c>
      <c r="D5458" s="633">
        <f t="shared" si="175"/>
        <v>5103.3779999999997</v>
      </c>
      <c r="E5458" s="608"/>
      <c r="F5458" s="760">
        <f t="shared" si="174"/>
        <v>2152.9809102910167</v>
      </c>
      <c r="M5458" s="443"/>
    </row>
    <row r="5459" spans="1:13">
      <c r="A5459" s="639">
        <v>81513</v>
      </c>
      <c r="B5459" s="639">
        <v>800</v>
      </c>
      <c r="C5459" s="638">
        <v>5216.0590000000002</v>
      </c>
      <c r="D5459" s="633">
        <f t="shared" si="175"/>
        <v>5216.0590000000002</v>
      </c>
      <c r="E5459" s="608"/>
      <c r="F5459" s="760">
        <f t="shared" si="174"/>
        <v>2200.5180595973202</v>
      </c>
      <c r="M5459" s="443"/>
    </row>
    <row r="5460" spans="1:13">
      <c r="A5460" s="639">
        <v>81513</v>
      </c>
      <c r="B5460" s="639">
        <v>900</v>
      </c>
      <c r="C5460" s="638">
        <v>5139.8370000000004</v>
      </c>
      <c r="D5460" s="633">
        <f t="shared" si="175"/>
        <v>5139.8370000000004</v>
      </c>
      <c r="E5460" s="608"/>
      <c r="F5460" s="760">
        <f t="shared" si="174"/>
        <v>2168.3620031687738</v>
      </c>
      <c r="M5460" s="443"/>
    </row>
    <row r="5461" spans="1:13">
      <c r="A5461" s="639">
        <v>81513</v>
      </c>
      <c r="B5461" s="639">
        <v>1000</v>
      </c>
      <c r="C5461" s="638">
        <v>5229.1809999999996</v>
      </c>
      <c r="D5461" s="633">
        <f t="shared" si="175"/>
        <v>5229.1809999999996</v>
      </c>
      <c r="E5461" s="608"/>
      <c r="F5461" s="760">
        <f t="shared" si="174"/>
        <v>2206.053886162555</v>
      </c>
      <c r="M5461" s="443"/>
    </row>
    <row r="5462" spans="1:13">
      <c r="A5462" s="639">
        <v>81513</v>
      </c>
      <c r="B5462" s="639">
        <v>1100</v>
      </c>
      <c r="C5462" s="638">
        <v>5304.0709999999999</v>
      </c>
      <c r="D5462" s="633">
        <f t="shared" si="175"/>
        <v>5304.0709999999999</v>
      </c>
      <c r="E5462" s="608"/>
      <c r="F5462" s="760">
        <f t="shared" si="174"/>
        <v>2237.6480068355086</v>
      </c>
      <c r="M5462" s="443"/>
    </row>
    <row r="5463" spans="1:13">
      <c r="A5463" s="639">
        <v>81513</v>
      </c>
      <c r="B5463" s="639">
        <v>1200</v>
      </c>
      <c r="C5463" s="638">
        <v>5288.4120000000003</v>
      </c>
      <c r="D5463" s="633">
        <f t="shared" si="175"/>
        <v>5288.4120000000003</v>
      </c>
      <c r="E5463" s="608"/>
      <c r="F5463" s="760">
        <f t="shared" si="174"/>
        <v>2231.0418867177655</v>
      </c>
      <c r="M5463" s="443"/>
    </row>
    <row r="5464" spans="1:13">
      <c r="A5464" s="639">
        <v>81513</v>
      </c>
      <c r="B5464" s="639">
        <v>1300</v>
      </c>
      <c r="C5464" s="638">
        <v>5330.8010000000004</v>
      </c>
      <c r="D5464" s="633">
        <f t="shared" si="175"/>
        <v>5330.8010000000004</v>
      </c>
      <c r="E5464" s="608"/>
      <c r="F5464" s="760">
        <f t="shared" si="174"/>
        <v>2248.9246905795076</v>
      </c>
      <c r="M5464" s="443"/>
    </row>
    <row r="5465" spans="1:13">
      <c r="A5465" s="639">
        <v>81513</v>
      </c>
      <c r="B5465" s="639">
        <v>1400</v>
      </c>
      <c r="C5465" s="638">
        <v>5401.5659999999998</v>
      </c>
      <c r="D5465" s="633">
        <f t="shared" si="175"/>
        <v>5401.5659999999998</v>
      </c>
      <c r="E5465" s="608"/>
      <c r="F5465" s="760">
        <f t="shared" si="174"/>
        <v>2278.7785822796209</v>
      </c>
      <c r="M5465" s="443"/>
    </row>
    <row r="5466" spans="1:13">
      <c r="A5466" s="639">
        <v>81513</v>
      </c>
      <c r="B5466" s="639">
        <v>1500</v>
      </c>
      <c r="C5466" s="638">
        <v>5518.0230000000001</v>
      </c>
      <c r="D5466" s="633">
        <f t="shared" si="175"/>
        <v>5518.0230000000001</v>
      </c>
      <c r="E5466" s="608"/>
      <c r="F5466" s="760">
        <f t="shared" si="174"/>
        <v>2327.9087266408187</v>
      </c>
      <c r="M5466" s="443"/>
    </row>
    <row r="5467" spans="1:13">
      <c r="A5467" s="639">
        <v>81513</v>
      </c>
      <c r="B5467" s="639">
        <v>1600</v>
      </c>
      <c r="C5467" s="638">
        <v>5696.7439999999997</v>
      </c>
      <c r="D5467" s="633">
        <f t="shared" si="175"/>
        <v>5696.7439999999997</v>
      </c>
      <c r="E5467" s="608"/>
      <c r="F5467" s="760">
        <f t="shared" si="174"/>
        <v>2403.3064144601653</v>
      </c>
      <c r="M5467" s="443"/>
    </row>
    <row r="5468" spans="1:13">
      <c r="A5468" s="639">
        <v>81513</v>
      </c>
      <c r="B5468" s="639">
        <v>1700</v>
      </c>
      <c r="C5468" s="638">
        <v>6125.42</v>
      </c>
      <c r="D5468" s="633">
        <f t="shared" si="175"/>
        <v>6125.42</v>
      </c>
      <c r="E5468" s="608"/>
      <c r="F5468" s="760">
        <f t="shared" si="174"/>
        <v>2584.1535405597629</v>
      </c>
      <c r="M5468" s="443"/>
    </row>
    <row r="5469" spans="1:13">
      <c r="A5469" s="639">
        <v>81513</v>
      </c>
      <c r="B5469" s="639">
        <v>1800</v>
      </c>
      <c r="C5469" s="638">
        <v>6278.2520000000004</v>
      </c>
      <c r="D5469" s="633">
        <f t="shared" si="175"/>
        <v>6278.2520000000004</v>
      </c>
      <c r="E5469" s="608"/>
      <c r="F5469" s="760">
        <f t="shared" si="174"/>
        <v>2648.6293404087255</v>
      </c>
      <c r="M5469" s="443"/>
    </row>
    <row r="5470" spans="1:13">
      <c r="A5470" s="639">
        <v>81513</v>
      </c>
      <c r="B5470" s="639">
        <v>1900</v>
      </c>
      <c r="C5470" s="638">
        <v>6360.5839999999998</v>
      </c>
      <c r="D5470" s="633">
        <f t="shared" si="175"/>
        <v>6360.5839999999998</v>
      </c>
      <c r="E5470" s="608"/>
      <c r="F5470" s="760">
        <f t="shared" si="174"/>
        <v>2683.3630450855253</v>
      </c>
      <c r="M5470" s="443"/>
    </row>
    <row r="5471" spans="1:13">
      <c r="A5471" s="639">
        <v>81513</v>
      </c>
      <c r="B5471" s="639">
        <v>2000</v>
      </c>
      <c r="C5471" s="638">
        <v>6558.6779999999999</v>
      </c>
      <c r="D5471" s="633">
        <f t="shared" si="175"/>
        <v>6558.6779999999999</v>
      </c>
      <c r="E5471" s="608"/>
      <c r="F5471" s="760">
        <f t="shared" si="174"/>
        <v>2766.9336919087059</v>
      </c>
      <c r="M5471" s="443"/>
    </row>
    <row r="5472" spans="1:13">
      <c r="A5472" s="639">
        <v>81513</v>
      </c>
      <c r="B5472" s="639">
        <v>2100</v>
      </c>
      <c r="C5472" s="638">
        <v>6727.4750000000004</v>
      </c>
      <c r="D5472" s="633">
        <f t="shared" si="175"/>
        <v>6727.4750000000004</v>
      </c>
      <c r="E5472" s="608"/>
      <c r="F5472" s="760">
        <f t="shared" si="174"/>
        <v>2838.144705224669</v>
      </c>
      <c r="M5472" s="443"/>
    </row>
    <row r="5473" spans="1:13">
      <c r="A5473" s="639">
        <v>81513</v>
      </c>
      <c r="B5473" s="639">
        <v>2200</v>
      </c>
      <c r="C5473" s="638">
        <v>6128.8469999999998</v>
      </c>
      <c r="D5473" s="633">
        <f t="shared" si="175"/>
        <v>6128.8469999999998</v>
      </c>
      <c r="E5473" s="608"/>
      <c r="F5473" s="760">
        <f t="shared" si="174"/>
        <v>2585.5993016967132</v>
      </c>
      <c r="M5473" s="443"/>
    </row>
    <row r="5474" spans="1:13">
      <c r="A5474" s="639">
        <v>81513</v>
      </c>
      <c r="B5474" s="639">
        <v>2300</v>
      </c>
      <c r="C5474" s="638">
        <v>5281.3429999999998</v>
      </c>
      <c r="D5474" s="633">
        <f t="shared" si="175"/>
        <v>5281.3429999999998</v>
      </c>
      <c r="E5474" s="608"/>
      <c r="F5474" s="760">
        <f t="shared" si="174"/>
        <v>2228.0596616004323</v>
      </c>
      <c r="M5474" s="443"/>
    </row>
    <row r="5475" spans="1:13">
      <c r="A5475" s="639">
        <v>81513</v>
      </c>
      <c r="B5475" s="639">
        <v>2400</v>
      </c>
      <c r="C5475" s="638">
        <v>4628.6239999999998</v>
      </c>
      <c r="D5475" s="633">
        <f t="shared" si="175"/>
        <v>4628.6239999999998</v>
      </c>
      <c r="E5475" s="608"/>
      <c r="F5475" s="760">
        <f t="shared" si="174"/>
        <v>1952.6946882858467</v>
      </c>
      <c r="M5475" s="443"/>
    </row>
    <row r="5476" spans="1:13">
      <c r="A5476" s="639">
        <v>81613</v>
      </c>
      <c r="B5476" s="639">
        <v>100</v>
      </c>
      <c r="C5476" s="638">
        <v>4302.4629999999997</v>
      </c>
      <c r="D5476" s="633">
        <f t="shared" si="175"/>
        <v>4302.4629999999997</v>
      </c>
      <c r="E5476" s="608"/>
      <c r="F5476" s="760">
        <f t="shared" si="174"/>
        <v>1815.0959435560953</v>
      </c>
      <c r="M5476" s="443"/>
    </row>
    <row r="5477" spans="1:13">
      <c r="A5477" s="639">
        <v>81613</v>
      </c>
      <c r="B5477" s="639">
        <v>200</v>
      </c>
      <c r="C5477" s="638">
        <v>4110.134</v>
      </c>
      <c r="D5477" s="633">
        <f t="shared" si="175"/>
        <v>4110.134</v>
      </c>
      <c r="E5477" s="608"/>
      <c r="F5477" s="760">
        <f t="shared" si="174"/>
        <v>1733.9573985579862</v>
      </c>
      <c r="M5477" s="443"/>
    </row>
    <row r="5478" spans="1:13">
      <c r="A5478" s="639">
        <v>81613</v>
      </c>
      <c r="B5478" s="639">
        <v>300</v>
      </c>
      <c r="C5478" s="638">
        <v>4030.1909999999998</v>
      </c>
      <c r="D5478" s="633">
        <f t="shared" si="175"/>
        <v>4030.1909999999998</v>
      </c>
      <c r="E5478" s="608"/>
      <c r="F5478" s="760">
        <f t="shared" si="174"/>
        <v>1700.2315501275161</v>
      </c>
      <c r="M5478" s="443"/>
    </row>
    <row r="5479" spans="1:13">
      <c r="A5479" s="639">
        <v>81613</v>
      </c>
      <c r="B5479" s="639">
        <v>400</v>
      </c>
      <c r="C5479" s="638">
        <v>4043.4639999999999</v>
      </c>
      <c r="D5479" s="633">
        <f t="shared" si="175"/>
        <v>4043.4639999999999</v>
      </c>
      <c r="E5479" s="608"/>
      <c r="F5479" s="760">
        <f t="shared" si="174"/>
        <v>1705.8310796199999</v>
      </c>
      <c r="M5479" s="443"/>
    </row>
    <row r="5480" spans="1:13">
      <c r="A5480" s="639">
        <v>81613</v>
      </c>
      <c r="B5480" s="639">
        <v>500</v>
      </c>
      <c r="C5480" s="638">
        <v>4227.7659999999996</v>
      </c>
      <c r="D5480" s="633">
        <f t="shared" si="175"/>
        <v>4227.7659999999996</v>
      </c>
      <c r="E5480" s="608"/>
      <c r="F5480" s="760">
        <f t="shared" si="174"/>
        <v>1783.5832445053866</v>
      </c>
      <c r="M5480" s="443"/>
    </row>
    <row r="5481" spans="1:13">
      <c r="A5481" s="639">
        <v>81613</v>
      </c>
      <c r="B5481" s="639">
        <v>600</v>
      </c>
      <c r="C5481" s="638">
        <v>4577.2460000000001</v>
      </c>
      <c r="D5481" s="633">
        <f t="shared" si="175"/>
        <v>4577.2460000000001</v>
      </c>
      <c r="E5481" s="608"/>
      <c r="F5481" s="760">
        <f t="shared" si="174"/>
        <v>1931.0196618212321</v>
      </c>
      <c r="M5481" s="443"/>
    </row>
    <row r="5482" spans="1:13">
      <c r="A5482" s="639">
        <v>81613</v>
      </c>
      <c r="B5482" s="639">
        <v>700</v>
      </c>
      <c r="C5482" s="638">
        <v>5009.4359999999997</v>
      </c>
      <c r="D5482" s="633">
        <f t="shared" si="175"/>
        <v>5009.4359999999997</v>
      </c>
      <c r="E5482" s="608"/>
      <c r="F5482" s="760">
        <f t="shared" si="174"/>
        <v>2113.3492520688433</v>
      </c>
      <c r="M5482" s="443"/>
    </row>
    <row r="5483" spans="1:13">
      <c r="A5483" s="639">
        <v>81613</v>
      </c>
      <c r="B5483" s="639">
        <v>800</v>
      </c>
      <c r="C5483" s="638">
        <v>5197.0240000000003</v>
      </c>
      <c r="D5483" s="633">
        <f t="shared" si="175"/>
        <v>5197.0240000000003</v>
      </c>
      <c r="E5483" s="608"/>
      <c r="F5483" s="760">
        <f t="shared" si="174"/>
        <v>2192.4876939008368</v>
      </c>
      <c r="M5483" s="443"/>
    </row>
    <row r="5484" spans="1:13">
      <c r="A5484" s="639">
        <v>81613</v>
      </c>
      <c r="B5484" s="639">
        <v>900</v>
      </c>
      <c r="C5484" s="638">
        <v>5287.9560000000001</v>
      </c>
      <c r="D5484" s="633">
        <f t="shared" si="175"/>
        <v>5287.9560000000001</v>
      </c>
      <c r="E5484" s="608"/>
      <c r="F5484" s="760">
        <f t="shared" si="174"/>
        <v>2230.8495123149501</v>
      </c>
      <c r="M5484" s="443"/>
    </row>
    <row r="5485" spans="1:13">
      <c r="A5485" s="639">
        <v>81613</v>
      </c>
      <c r="B5485" s="639">
        <v>1000</v>
      </c>
      <c r="C5485" s="638">
        <v>5407.7929999999997</v>
      </c>
      <c r="D5485" s="633">
        <f t="shared" si="175"/>
        <v>5407.7929999999997</v>
      </c>
      <c r="E5485" s="608"/>
      <c r="F5485" s="760">
        <f t="shared" si="174"/>
        <v>2281.4055897496501</v>
      </c>
      <c r="M5485" s="443"/>
    </row>
    <row r="5486" spans="1:13">
      <c r="A5486" s="639">
        <v>81613</v>
      </c>
      <c r="B5486" s="639">
        <v>1100</v>
      </c>
      <c r="C5486" s="638">
        <v>5432.3530000000001</v>
      </c>
      <c r="D5486" s="633">
        <f t="shared" si="175"/>
        <v>5432.3530000000001</v>
      </c>
      <c r="E5486" s="608"/>
      <c r="F5486" s="760">
        <f t="shared" si="174"/>
        <v>2291.7668075855122</v>
      </c>
      <c r="M5486" s="443"/>
    </row>
    <row r="5487" spans="1:13">
      <c r="A5487" s="639">
        <v>81613</v>
      </c>
      <c r="B5487" s="639">
        <v>1200</v>
      </c>
      <c r="C5487" s="638">
        <v>5535.9089999999997</v>
      </c>
      <c r="D5487" s="633">
        <f t="shared" si="175"/>
        <v>5535.9089999999997</v>
      </c>
      <c r="E5487" s="608"/>
      <c r="F5487" s="760">
        <f t="shared" si="174"/>
        <v>2335.4543594670495</v>
      </c>
      <c r="M5487" s="443"/>
    </row>
    <row r="5488" spans="1:13">
      <c r="A5488" s="639">
        <v>81613</v>
      </c>
      <c r="B5488" s="639">
        <v>1300</v>
      </c>
      <c r="C5488" s="638">
        <v>5687.8220000000001</v>
      </c>
      <c r="D5488" s="633">
        <f t="shared" si="175"/>
        <v>5687.8220000000001</v>
      </c>
      <c r="E5488" s="608"/>
      <c r="F5488" s="760">
        <f t="shared" si="174"/>
        <v>2399.5424573945479</v>
      </c>
      <c r="M5488" s="443"/>
    </row>
    <row r="5489" spans="1:13">
      <c r="A5489" s="639">
        <v>81613</v>
      </c>
      <c r="B5489" s="639">
        <v>1400</v>
      </c>
      <c r="C5489" s="638">
        <v>5830.4740000000002</v>
      </c>
      <c r="D5489" s="633">
        <f t="shared" si="175"/>
        <v>5830.4740000000002</v>
      </c>
      <c r="E5489" s="608"/>
      <c r="F5489" s="760">
        <f t="shared" si="174"/>
        <v>2459.723583075388</v>
      </c>
      <c r="M5489" s="443"/>
    </row>
    <row r="5490" spans="1:13">
      <c r="A5490" s="639">
        <v>81613</v>
      </c>
      <c r="B5490" s="639">
        <v>1500</v>
      </c>
      <c r="C5490" s="638">
        <v>6037.8819999999996</v>
      </c>
      <c r="D5490" s="633">
        <f t="shared" si="175"/>
        <v>6037.8819999999996</v>
      </c>
      <c r="E5490" s="608"/>
      <c r="F5490" s="760">
        <f t="shared" si="174"/>
        <v>2547.2235614508163</v>
      </c>
      <c r="M5490" s="443"/>
    </row>
    <row r="5491" spans="1:13">
      <c r="A5491" s="639">
        <v>81613</v>
      </c>
      <c r="B5491" s="639">
        <v>1600</v>
      </c>
      <c r="C5491" s="638">
        <v>6365.8050000000003</v>
      </c>
      <c r="D5491" s="633">
        <f t="shared" si="175"/>
        <v>6365.8050000000003</v>
      </c>
      <c r="E5491" s="608"/>
      <c r="F5491" s="760">
        <f t="shared" si="174"/>
        <v>2685.565647623027</v>
      </c>
      <c r="M5491" s="443"/>
    </row>
    <row r="5492" spans="1:13">
      <c r="A5492" s="639">
        <v>81613</v>
      </c>
      <c r="B5492" s="639">
        <v>1700</v>
      </c>
      <c r="C5492" s="638">
        <v>6826.4939999999997</v>
      </c>
      <c r="D5492" s="633">
        <f t="shared" si="175"/>
        <v>6826.4939999999997</v>
      </c>
      <c r="E5492" s="608"/>
      <c r="F5492" s="760">
        <f t="shared" si="174"/>
        <v>2879.9182161729277</v>
      </c>
      <c r="M5492" s="443"/>
    </row>
    <row r="5493" spans="1:13">
      <c r="A5493" s="639">
        <v>81613</v>
      </c>
      <c r="B5493" s="639">
        <v>1800</v>
      </c>
      <c r="C5493" s="638">
        <v>6868.2110000000002</v>
      </c>
      <c r="D5493" s="633">
        <f t="shared" si="175"/>
        <v>6868.2110000000002</v>
      </c>
      <c r="E5493" s="608"/>
      <c r="F5493" s="760">
        <f t="shared" si="174"/>
        <v>2897.5175209147305</v>
      </c>
      <c r="M5493" s="443"/>
    </row>
    <row r="5494" spans="1:13">
      <c r="A5494" s="639">
        <v>81613</v>
      </c>
      <c r="B5494" s="639">
        <v>1900</v>
      </c>
      <c r="C5494" s="638">
        <v>6820.3450000000003</v>
      </c>
      <c r="D5494" s="633">
        <f t="shared" si="175"/>
        <v>6820.3450000000003</v>
      </c>
      <c r="E5494" s="608"/>
      <c r="F5494" s="760">
        <f t="shared" si="174"/>
        <v>2877.3241148507491</v>
      </c>
      <c r="M5494" s="443"/>
    </row>
    <row r="5495" spans="1:13">
      <c r="A5495" s="639">
        <v>81613</v>
      </c>
      <c r="B5495" s="639">
        <v>2000</v>
      </c>
      <c r="C5495" s="638">
        <v>7051.0339999999997</v>
      </c>
      <c r="D5495" s="633">
        <f t="shared" si="175"/>
        <v>7051.0339999999997</v>
      </c>
      <c r="E5495" s="608"/>
      <c r="F5495" s="760">
        <f t="shared" si="174"/>
        <v>2974.6457346120374</v>
      </c>
      <c r="M5495" s="443"/>
    </row>
    <row r="5496" spans="1:13">
      <c r="A5496" s="639">
        <v>81613</v>
      </c>
      <c r="B5496" s="639">
        <v>2100</v>
      </c>
      <c r="C5496" s="638">
        <v>7259.6059999999998</v>
      </c>
      <c r="D5496" s="633">
        <f t="shared" si="175"/>
        <v>7259.6059999999998</v>
      </c>
      <c r="E5496" s="608"/>
      <c r="F5496" s="760">
        <f t="shared" si="174"/>
        <v>3062.636773963075</v>
      </c>
      <c r="M5496" s="443"/>
    </row>
    <row r="5497" spans="1:13">
      <c r="A5497" s="639">
        <v>81613</v>
      </c>
      <c r="B5497" s="639">
        <v>2200</v>
      </c>
      <c r="C5497" s="638">
        <v>6652.9080000000004</v>
      </c>
      <c r="D5497" s="633">
        <f t="shared" si="175"/>
        <v>6652.9080000000004</v>
      </c>
      <c r="E5497" s="608"/>
      <c r="F5497" s="760">
        <f t="shared" si="174"/>
        <v>2806.6868497537102</v>
      </c>
      <c r="M5497" s="443"/>
    </row>
    <row r="5498" spans="1:13">
      <c r="A5498" s="639">
        <v>81613</v>
      </c>
      <c r="B5498" s="639">
        <v>2300</v>
      </c>
      <c r="C5498" s="638">
        <v>5802.9390000000003</v>
      </c>
      <c r="D5498" s="633">
        <f t="shared" si="175"/>
        <v>5802.9390000000003</v>
      </c>
      <c r="E5498" s="608"/>
      <c r="F5498" s="760">
        <f t="shared" si="174"/>
        <v>2448.1072910106295</v>
      </c>
      <c r="M5498" s="443"/>
    </row>
    <row r="5499" spans="1:13">
      <c r="A5499" s="639">
        <v>81613</v>
      </c>
      <c r="B5499" s="639">
        <v>2400</v>
      </c>
      <c r="C5499" s="638">
        <v>5043.576</v>
      </c>
      <c r="D5499" s="633">
        <f t="shared" si="175"/>
        <v>5043.576</v>
      </c>
      <c r="E5499" s="608"/>
      <c r="F5499" s="760">
        <f t="shared" si="174"/>
        <v>2127.7520198585971</v>
      </c>
      <c r="M5499" s="443"/>
    </row>
    <row r="5500" spans="1:13">
      <c r="A5500" s="639">
        <v>81713</v>
      </c>
      <c r="B5500" s="639">
        <v>100</v>
      </c>
      <c r="C5500" s="638">
        <v>4587.8509999999997</v>
      </c>
      <c r="D5500" s="633">
        <f t="shared" si="175"/>
        <v>4587.8509999999997</v>
      </c>
      <c r="E5500" s="608"/>
      <c r="F5500" s="760">
        <f t="shared" ref="F5500:F5563" si="176">(D5500/(MAX($D$5116:$D$5859)))*$M$11</f>
        <v>1935.4936323077679</v>
      </c>
      <c r="M5500" s="443"/>
    </row>
    <row r="5501" spans="1:13">
      <c r="A5501" s="639">
        <v>81713</v>
      </c>
      <c r="B5501" s="639">
        <v>200</v>
      </c>
      <c r="C5501" s="638">
        <v>4311.4409999999998</v>
      </c>
      <c r="D5501" s="633">
        <f t="shared" si="175"/>
        <v>4311.4409999999998</v>
      </c>
      <c r="E5501" s="608"/>
      <c r="F5501" s="760">
        <f t="shared" si="176"/>
        <v>1818.8835255483743</v>
      </c>
      <c r="M5501" s="443"/>
    </row>
    <row r="5502" spans="1:13">
      <c r="A5502" s="639">
        <v>81713</v>
      </c>
      <c r="B5502" s="639">
        <v>300</v>
      </c>
      <c r="C5502" s="638">
        <v>4118.4650000000001</v>
      </c>
      <c r="D5502" s="633">
        <f t="shared" si="175"/>
        <v>4118.4650000000001</v>
      </c>
      <c r="E5502" s="608"/>
      <c r="F5502" s="760">
        <f t="shared" si="176"/>
        <v>1737.4720282725859</v>
      </c>
      <c r="M5502" s="443"/>
    </row>
    <row r="5503" spans="1:13">
      <c r="A5503" s="639">
        <v>81713</v>
      </c>
      <c r="B5503" s="639">
        <v>400</v>
      </c>
      <c r="C5503" s="638">
        <v>4067.2570000000001</v>
      </c>
      <c r="D5503" s="633">
        <f t="shared" si="175"/>
        <v>4067.2570000000001</v>
      </c>
      <c r="E5503" s="608"/>
      <c r="F5503" s="760">
        <f t="shared" si="176"/>
        <v>1715.8687203353368</v>
      </c>
      <c r="M5503" s="443"/>
    </row>
    <row r="5504" spans="1:13">
      <c r="A5504" s="639">
        <v>81713</v>
      </c>
      <c r="B5504" s="639">
        <v>500</v>
      </c>
      <c r="C5504" s="638">
        <v>4116.5780000000004</v>
      </c>
      <c r="D5504" s="633">
        <f t="shared" si="175"/>
        <v>4116.5780000000004</v>
      </c>
      <c r="E5504" s="608"/>
      <c r="F5504" s="760">
        <f t="shared" si="176"/>
        <v>1736.6759526188291</v>
      </c>
      <c r="M5504" s="443"/>
    </row>
    <row r="5505" spans="1:13">
      <c r="A5505" s="639">
        <v>81713</v>
      </c>
      <c r="B5505" s="639">
        <v>600</v>
      </c>
      <c r="C5505" s="638">
        <v>4298.1049999999996</v>
      </c>
      <c r="D5505" s="633">
        <f t="shared" si="175"/>
        <v>4298.1049999999996</v>
      </c>
      <c r="E5505" s="608"/>
      <c r="F5505" s="760">
        <f t="shared" si="176"/>
        <v>1813.2574180133963</v>
      </c>
      <c r="M5505" s="443"/>
    </row>
    <row r="5506" spans="1:13">
      <c r="A5506" s="639">
        <v>81713</v>
      </c>
      <c r="B5506" s="639">
        <v>700</v>
      </c>
      <c r="C5506" s="638">
        <v>4616.5950000000003</v>
      </c>
      <c r="D5506" s="633">
        <f t="shared" si="175"/>
        <v>4616.5950000000003</v>
      </c>
      <c r="E5506" s="608"/>
      <c r="F5506" s="760">
        <f t="shared" si="176"/>
        <v>1947.6199696642025</v>
      </c>
      <c r="M5506" s="443"/>
    </row>
    <row r="5507" spans="1:13">
      <c r="A5507" s="639">
        <v>81713</v>
      </c>
      <c r="B5507" s="639">
        <v>800</v>
      </c>
      <c r="C5507" s="638">
        <v>5095.0349999999999</v>
      </c>
      <c r="D5507" s="633">
        <f t="shared" si="175"/>
        <v>5095.0349999999999</v>
      </c>
      <c r="E5507" s="608"/>
      <c r="F5507" s="760">
        <f t="shared" si="176"/>
        <v>2149.4612180921326</v>
      </c>
      <c r="M5507" s="443"/>
    </row>
    <row r="5508" spans="1:13">
      <c r="A5508" s="639">
        <v>81713</v>
      </c>
      <c r="B5508" s="639">
        <v>900</v>
      </c>
      <c r="C5508" s="638">
        <v>5481.9229999999998</v>
      </c>
      <c r="D5508" s="633">
        <f t="shared" si="175"/>
        <v>5481.9229999999998</v>
      </c>
      <c r="E5508" s="608"/>
      <c r="F5508" s="760">
        <f t="shared" si="176"/>
        <v>2312.6790864179102</v>
      </c>
      <c r="M5508" s="443"/>
    </row>
    <row r="5509" spans="1:13">
      <c r="A5509" s="639">
        <v>81713</v>
      </c>
      <c r="B5509" s="639">
        <v>1000</v>
      </c>
      <c r="C5509" s="638">
        <v>5769.8220000000001</v>
      </c>
      <c r="D5509" s="633">
        <f t="shared" ref="D5509:D5572" si="177">C5509</f>
        <v>5769.8220000000001</v>
      </c>
      <c r="E5509" s="608"/>
      <c r="F5509" s="760">
        <f t="shared" si="176"/>
        <v>2434.1361000061402</v>
      </c>
      <c r="M5509" s="443"/>
    </row>
    <row r="5510" spans="1:13">
      <c r="A5510" s="639">
        <v>81713</v>
      </c>
      <c r="B5510" s="639">
        <v>1100</v>
      </c>
      <c r="C5510" s="638">
        <v>5999.2910000000002</v>
      </c>
      <c r="D5510" s="633">
        <f t="shared" si="177"/>
        <v>5999.2910000000002</v>
      </c>
      <c r="E5510" s="608"/>
      <c r="F5510" s="760">
        <f t="shared" si="176"/>
        <v>2530.9430338651587</v>
      </c>
      <c r="M5510" s="443"/>
    </row>
    <row r="5511" spans="1:13">
      <c r="A5511" s="639">
        <v>81713</v>
      </c>
      <c r="B5511" s="639">
        <v>1200</v>
      </c>
      <c r="C5511" s="638">
        <v>6238.5460000000003</v>
      </c>
      <c r="D5511" s="633">
        <f t="shared" si="177"/>
        <v>6238.5460000000003</v>
      </c>
      <c r="E5511" s="608"/>
      <c r="F5511" s="760">
        <f t="shared" si="176"/>
        <v>2631.8784236582874</v>
      </c>
      <c r="M5511" s="443"/>
    </row>
    <row r="5512" spans="1:13">
      <c r="A5512" s="639">
        <v>81713</v>
      </c>
      <c r="B5512" s="639">
        <v>1300</v>
      </c>
      <c r="C5512" s="638">
        <v>6397.38</v>
      </c>
      <c r="D5512" s="633">
        <f t="shared" si="177"/>
        <v>6397.38</v>
      </c>
      <c r="E5512" s="608"/>
      <c r="F5512" s="760">
        <f t="shared" si="176"/>
        <v>2698.8863093969417</v>
      </c>
      <c r="M5512" s="443"/>
    </row>
    <row r="5513" spans="1:13">
      <c r="A5513" s="639">
        <v>81713</v>
      </c>
      <c r="B5513" s="639">
        <v>1400</v>
      </c>
      <c r="C5513" s="638">
        <v>6700.5119999999997</v>
      </c>
      <c r="D5513" s="633">
        <f t="shared" si="177"/>
        <v>6700.5119999999997</v>
      </c>
      <c r="E5513" s="608"/>
      <c r="F5513" s="760">
        <f t="shared" si="176"/>
        <v>2826.7697249108105</v>
      </c>
      <c r="M5513" s="443"/>
    </row>
    <row r="5514" spans="1:13">
      <c r="A5514" s="639">
        <v>81713</v>
      </c>
      <c r="B5514" s="639">
        <v>1500</v>
      </c>
      <c r="C5514" s="638">
        <v>6959.0410000000002</v>
      </c>
      <c r="D5514" s="633">
        <f t="shared" si="177"/>
        <v>6959.0410000000002</v>
      </c>
      <c r="E5514" s="608"/>
      <c r="F5514" s="760">
        <f t="shared" si="176"/>
        <v>2935.8363082124247</v>
      </c>
      <c r="M5514" s="443"/>
    </row>
    <row r="5515" spans="1:13">
      <c r="A5515" s="639">
        <v>81713</v>
      </c>
      <c r="B5515" s="639">
        <v>1600</v>
      </c>
      <c r="C5515" s="638">
        <v>7317.19</v>
      </c>
      <c r="D5515" s="633">
        <f t="shared" si="177"/>
        <v>7317.19</v>
      </c>
      <c r="E5515" s="608"/>
      <c r="F5515" s="760">
        <f t="shared" si="176"/>
        <v>3086.9299485502206</v>
      </c>
      <c r="M5515" s="443"/>
    </row>
    <row r="5516" spans="1:13">
      <c r="A5516" s="639">
        <v>81713</v>
      </c>
      <c r="B5516" s="639">
        <v>1700</v>
      </c>
      <c r="C5516" s="638">
        <v>7672.7780000000002</v>
      </c>
      <c r="D5516" s="633">
        <f t="shared" si="177"/>
        <v>7672.7780000000002</v>
      </c>
      <c r="E5516" s="608"/>
      <c r="F5516" s="760">
        <f t="shared" si="176"/>
        <v>3236.9431703669388</v>
      </c>
      <c r="M5516" s="443"/>
    </row>
    <row r="5517" spans="1:13">
      <c r="A5517" s="639">
        <v>81713</v>
      </c>
      <c r="B5517" s="639">
        <v>1800</v>
      </c>
      <c r="C5517" s="638">
        <v>7702.5320000000002</v>
      </c>
      <c r="D5517" s="633">
        <f t="shared" si="177"/>
        <v>7702.5320000000002</v>
      </c>
      <c r="E5517" s="608"/>
      <c r="F5517" s="760">
        <f t="shared" si="176"/>
        <v>3249.4956001506625</v>
      </c>
      <c r="M5517" s="443"/>
    </row>
    <row r="5518" spans="1:13">
      <c r="A5518" s="639">
        <v>81713</v>
      </c>
      <c r="B5518" s="639">
        <v>1900</v>
      </c>
      <c r="C5518" s="638">
        <v>7393.3180000000002</v>
      </c>
      <c r="D5518" s="633">
        <f t="shared" si="177"/>
        <v>7393.3180000000002</v>
      </c>
      <c r="E5518" s="608"/>
      <c r="F5518" s="760">
        <f t="shared" si="176"/>
        <v>3119.0463488518703</v>
      </c>
      <c r="M5518" s="443"/>
    </row>
    <row r="5519" spans="1:13">
      <c r="A5519" s="639">
        <v>81713</v>
      </c>
      <c r="B5519" s="639">
        <v>2000</v>
      </c>
      <c r="C5519" s="638">
        <v>7188.94</v>
      </c>
      <c r="D5519" s="633">
        <f t="shared" si="177"/>
        <v>7188.94</v>
      </c>
      <c r="E5519" s="608"/>
      <c r="F5519" s="760">
        <f t="shared" si="176"/>
        <v>3032.8246477583089</v>
      </c>
      <c r="M5519" s="443"/>
    </row>
    <row r="5520" spans="1:13">
      <c r="A5520" s="639">
        <v>81713</v>
      </c>
      <c r="B5520" s="639">
        <v>2100</v>
      </c>
      <c r="C5520" s="638">
        <v>7210.9409999999998</v>
      </c>
      <c r="D5520" s="633">
        <f t="shared" si="177"/>
        <v>7210.9409999999998</v>
      </c>
      <c r="E5520" s="608"/>
      <c r="F5520" s="760">
        <f t="shared" si="176"/>
        <v>3042.1062908204749</v>
      </c>
      <c r="M5520" s="443"/>
    </row>
    <row r="5521" spans="1:13">
      <c r="A5521" s="639">
        <v>81713</v>
      </c>
      <c r="B5521" s="639">
        <v>2200</v>
      </c>
      <c r="C5521" s="638">
        <v>6568.9319999999998</v>
      </c>
      <c r="D5521" s="633">
        <f t="shared" si="177"/>
        <v>6568.9319999999998</v>
      </c>
      <c r="E5521" s="608"/>
      <c r="F5521" s="760">
        <f t="shared" si="176"/>
        <v>2771.2595847299162</v>
      </c>
      <c r="M5521" s="443"/>
    </row>
    <row r="5522" spans="1:13">
      <c r="A5522" s="639">
        <v>81713</v>
      </c>
      <c r="B5522" s="639">
        <v>2300</v>
      </c>
      <c r="C5522" s="638">
        <v>5805.45</v>
      </c>
      <c r="D5522" s="633">
        <f t="shared" si="177"/>
        <v>5805.45</v>
      </c>
      <c r="E5522" s="608"/>
      <c r="F5522" s="760">
        <f t="shared" si="176"/>
        <v>2449.1666158471867</v>
      </c>
      <c r="M5522" s="443"/>
    </row>
    <row r="5523" spans="1:13">
      <c r="A5523" s="639">
        <v>81713</v>
      </c>
      <c r="B5523" s="639">
        <v>2400</v>
      </c>
      <c r="C5523" s="638">
        <v>5154.6840000000002</v>
      </c>
      <c r="D5523" s="633">
        <f t="shared" si="177"/>
        <v>5154.6840000000002</v>
      </c>
      <c r="E5523" s="608"/>
      <c r="F5523" s="760">
        <f t="shared" si="176"/>
        <v>2174.625561849924</v>
      </c>
      <c r="M5523" s="443"/>
    </row>
    <row r="5524" spans="1:13">
      <c r="A5524" s="639">
        <v>81813</v>
      </c>
      <c r="B5524" s="639">
        <v>100</v>
      </c>
      <c r="C5524" s="638">
        <v>4689.5749999999998</v>
      </c>
      <c r="D5524" s="633">
        <f t="shared" si="177"/>
        <v>4689.5749999999998</v>
      </c>
      <c r="E5524" s="608"/>
      <c r="F5524" s="760">
        <f t="shared" si="176"/>
        <v>1978.4083115885196</v>
      </c>
      <c r="M5524" s="443"/>
    </row>
    <row r="5525" spans="1:13">
      <c r="A5525" s="639">
        <v>81813</v>
      </c>
      <c r="B5525" s="639">
        <v>200</v>
      </c>
      <c r="C5525" s="638">
        <v>4363.6769999999997</v>
      </c>
      <c r="D5525" s="633">
        <f t="shared" si="177"/>
        <v>4363.6769999999997</v>
      </c>
      <c r="E5525" s="608"/>
      <c r="F5525" s="760">
        <f t="shared" si="176"/>
        <v>1840.9205196393395</v>
      </c>
      <c r="M5525" s="443"/>
    </row>
    <row r="5526" spans="1:13">
      <c r="A5526" s="639">
        <v>81813</v>
      </c>
      <c r="B5526" s="639">
        <v>300</v>
      </c>
      <c r="C5526" s="638">
        <v>4191.2349999999997</v>
      </c>
      <c r="D5526" s="633">
        <f t="shared" si="177"/>
        <v>4191.2349999999997</v>
      </c>
      <c r="E5526" s="608"/>
      <c r="F5526" s="760">
        <f t="shared" si="176"/>
        <v>1768.1717767219222</v>
      </c>
      <c r="M5526" s="443"/>
    </row>
    <row r="5527" spans="1:13">
      <c r="A5527" s="639">
        <v>81813</v>
      </c>
      <c r="B5527" s="639">
        <v>400</v>
      </c>
      <c r="C5527" s="638">
        <v>4093.268</v>
      </c>
      <c r="D5527" s="633">
        <f t="shared" si="177"/>
        <v>4093.268</v>
      </c>
      <c r="E5527" s="608"/>
      <c r="F5527" s="760">
        <f t="shared" si="176"/>
        <v>1726.8420768959481</v>
      </c>
      <c r="M5527" s="443"/>
    </row>
    <row r="5528" spans="1:13">
      <c r="A5528" s="639">
        <v>81813</v>
      </c>
      <c r="B5528" s="639">
        <v>500</v>
      </c>
      <c r="C5528" s="638">
        <v>4090.77</v>
      </c>
      <c r="D5528" s="633">
        <f t="shared" si="177"/>
        <v>4090.77</v>
      </c>
      <c r="E5528" s="608"/>
      <c r="F5528" s="760">
        <f t="shared" si="176"/>
        <v>1725.7882364173659</v>
      </c>
      <c r="M5528" s="443"/>
    </row>
    <row r="5529" spans="1:13">
      <c r="A5529" s="639">
        <v>81813</v>
      </c>
      <c r="B5529" s="639">
        <v>600</v>
      </c>
      <c r="C5529" s="638">
        <v>4219.5370000000003</v>
      </c>
      <c r="D5529" s="633">
        <f t="shared" si="177"/>
        <v>4219.5370000000003</v>
      </c>
      <c r="E5529" s="608"/>
      <c r="F5529" s="760">
        <f t="shared" si="176"/>
        <v>1780.1116459072064</v>
      </c>
      <c r="M5529" s="443"/>
    </row>
    <row r="5530" spans="1:13">
      <c r="A5530" s="639">
        <v>81813</v>
      </c>
      <c r="B5530" s="639">
        <v>700</v>
      </c>
      <c r="C5530" s="638">
        <v>4468.9219999999996</v>
      </c>
      <c r="D5530" s="633">
        <f t="shared" si="177"/>
        <v>4468.9219999999996</v>
      </c>
      <c r="E5530" s="608"/>
      <c r="F5530" s="760">
        <f t="shared" si="176"/>
        <v>1885.3206161839375</v>
      </c>
      <c r="M5530" s="443"/>
    </row>
    <row r="5531" spans="1:13">
      <c r="A5531" s="639">
        <v>81813</v>
      </c>
      <c r="B5531" s="639">
        <v>800</v>
      </c>
      <c r="C5531" s="638">
        <v>4989.6530000000002</v>
      </c>
      <c r="D5531" s="633">
        <f t="shared" si="177"/>
        <v>4989.6530000000002</v>
      </c>
      <c r="E5531" s="608"/>
      <c r="F5531" s="760">
        <f t="shared" si="176"/>
        <v>2105.0033248519517</v>
      </c>
      <c r="M5531" s="443"/>
    </row>
    <row r="5532" spans="1:13">
      <c r="A5532" s="639">
        <v>81813</v>
      </c>
      <c r="B5532" s="639">
        <v>900</v>
      </c>
      <c r="C5532" s="638">
        <v>5542.62</v>
      </c>
      <c r="D5532" s="633">
        <f t="shared" si="177"/>
        <v>5542.62</v>
      </c>
      <c r="E5532" s="608"/>
      <c r="F5532" s="760">
        <f t="shared" si="176"/>
        <v>2338.2855538032254</v>
      </c>
      <c r="M5532" s="443"/>
    </row>
    <row r="5533" spans="1:13">
      <c r="A5533" s="639">
        <v>81813</v>
      </c>
      <c r="B5533" s="639">
        <v>1000</v>
      </c>
      <c r="C5533" s="638">
        <v>6001.1940000000004</v>
      </c>
      <c r="D5533" s="633">
        <f t="shared" si="177"/>
        <v>6001.1940000000004</v>
      </c>
      <c r="E5533" s="608"/>
      <c r="F5533" s="760">
        <f t="shared" si="176"/>
        <v>2531.7458594979621</v>
      </c>
      <c r="M5533" s="443"/>
    </row>
    <row r="5534" spans="1:13">
      <c r="A5534" s="639">
        <v>81813</v>
      </c>
      <c r="B5534" s="639">
        <v>1100</v>
      </c>
      <c r="C5534" s="638">
        <v>6366.4319999999998</v>
      </c>
      <c r="D5534" s="633">
        <f t="shared" si="177"/>
        <v>6366.4319999999998</v>
      </c>
      <c r="E5534" s="608"/>
      <c r="F5534" s="760">
        <f t="shared" si="176"/>
        <v>2685.8301624268984</v>
      </c>
      <c r="M5534" s="443"/>
    </row>
    <row r="5535" spans="1:13">
      <c r="A5535" s="639">
        <v>81813</v>
      </c>
      <c r="B5535" s="639">
        <v>1200</v>
      </c>
      <c r="C5535" s="638">
        <v>6616.1620000000003</v>
      </c>
      <c r="D5535" s="633">
        <f t="shared" si="177"/>
        <v>6616.1620000000003</v>
      </c>
      <c r="E5535" s="608"/>
      <c r="F5535" s="760">
        <f t="shared" si="176"/>
        <v>2791.1846791268126</v>
      </c>
      <c r="M5535" s="443"/>
    </row>
    <row r="5536" spans="1:13">
      <c r="A5536" s="639">
        <v>81813</v>
      </c>
      <c r="B5536" s="639">
        <v>1300</v>
      </c>
      <c r="C5536" s="638">
        <v>6707.9040000000005</v>
      </c>
      <c r="D5536" s="633">
        <f t="shared" si="177"/>
        <v>6707.9040000000005</v>
      </c>
      <c r="E5536" s="608"/>
      <c r="F5536" s="760">
        <f t="shared" si="176"/>
        <v>2829.8882152301385</v>
      </c>
      <c r="M5536" s="443"/>
    </row>
    <row r="5537" spans="1:13">
      <c r="A5537" s="639">
        <v>81813</v>
      </c>
      <c r="B5537" s="639">
        <v>1400</v>
      </c>
      <c r="C5537" s="638">
        <v>6796.2039999999997</v>
      </c>
      <c r="D5537" s="633">
        <f t="shared" si="177"/>
        <v>6796.2039999999997</v>
      </c>
      <c r="E5537" s="608"/>
      <c r="F5537" s="760">
        <f t="shared" si="176"/>
        <v>2867.1396620911578</v>
      </c>
      <c r="M5537" s="443"/>
    </row>
    <row r="5538" spans="1:13">
      <c r="A5538" s="639">
        <v>81813</v>
      </c>
      <c r="B5538" s="639">
        <v>1500</v>
      </c>
      <c r="C5538" s="638">
        <v>7007.0910000000003</v>
      </c>
      <c r="D5538" s="633">
        <f t="shared" si="177"/>
        <v>7007.0910000000003</v>
      </c>
      <c r="E5538" s="608"/>
      <c r="F5538" s="760">
        <f t="shared" si="176"/>
        <v>2956.1073390354377</v>
      </c>
      <c r="M5538" s="443"/>
    </row>
    <row r="5539" spans="1:13">
      <c r="A5539" s="639">
        <v>81813</v>
      </c>
      <c r="B5539" s="639">
        <v>1600</v>
      </c>
      <c r="C5539" s="638">
        <v>7557.5349999999999</v>
      </c>
      <c r="D5539" s="633">
        <f t="shared" si="177"/>
        <v>7557.5349999999999</v>
      </c>
      <c r="E5539" s="608"/>
      <c r="F5539" s="760">
        <f t="shared" si="176"/>
        <v>3188.3251806658691</v>
      </c>
      <c r="M5539" s="443"/>
    </row>
    <row r="5540" spans="1:13">
      <c r="A5540" s="639">
        <v>81813</v>
      </c>
      <c r="B5540" s="639">
        <v>1700</v>
      </c>
      <c r="C5540" s="638">
        <v>8007.5879999999997</v>
      </c>
      <c r="D5540" s="633">
        <f t="shared" si="177"/>
        <v>8007.5879999999997</v>
      </c>
      <c r="E5540" s="608"/>
      <c r="F5540" s="760">
        <f t="shared" si="176"/>
        <v>3378.1907006448323</v>
      </c>
      <c r="M5540" s="443"/>
    </row>
    <row r="5541" spans="1:13">
      <c r="A5541" s="639">
        <v>81813</v>
      </c>
      <c r="B5541" s="639">
        <v>1800</v>
      </c>
      <c r="C5541" s="638">
        <v>8090.9040000000005</v>
      </c>
      <c r="D5541" s="633">
        <f t="shared" si="177"/>
        <v>8090.9040000000005</v>
      </c>
      <c r="E5541" s="608"/>
      <c r="F5541" s="760">
        <f t="shared" si="176"/>
        <v>3413.3395290329722</v>
      </c>
      <c r="M5541" s="443"/>
    </row>
    <row r="5542" spans="1:13">
      <c r="A5542" s="639">
        <v>81813</v>
      </c>
      <c r="B5542" s="639">
        <v>1900</v>
      </c>
      <c r="C5542" s="638">
        <v>7954.3810000000003</v>
      </c>
      <c r="D5542" s="633">
        <f t="shared" si="177"/>
        <v>7954.3810000000003</v>
      </c>
      <c r="E5542" s="608"/>
      <c r="F5542" s="760">
        <f t="shared" si="176"/>
        <v>3355.7440672005032</v>
      </c>
      <c r="M5542" s="443"/>
    </row>
    <row r="5543" spans="1:13">
      <c r="A5543" s="639">
        <v>81813</v>
      </c>
      <c r="B5543" s="639">
        <v>2000</v>
      </c>
      <c r="C5543" s="638">
        <v>7944.2209999999995</v>
      </c>
      <c r="D5543" s="633">
        <f t="shared" si="177"/>
        <v>7944.2209999999995</v>
      </c>
      <c r="E5543" s="608"/>
      <c r="F5543" s="760">
        <f t="shared" si="176"/>
        <v>3351.4578305061887</v>
      </c>
      <c r="M5543" s="443"/>
    </row>
    <row r="5544" spans="1:13">
      <c r="A5544" s="639">
        <v>81813</v>
      </c>
      <c r="B5544" s="639">
        <v>2100</v>
      </c>
      <c r="C5544" s="638">
        <v>7934.8789999999999</v>
      </c>
      <c r="D5544" s="633">
        <f t="shared" si="177"/>
        <v>7934.8789999999999</v>
      </c>
      <c r="E5544" s="608"/>
      <c r="F5544" s="760">
        <f t="shared" si="176"/>
        <v>3347.5166864906096</v>
      </c>
      <c r="M5544" s="443"/>
    </row>
    <row r="5545" spans="1:13">
      <c r="A5545" s="639">
        <v>81813</v>
      </c>
      <c r="B5545" s="639">
        <v>2200</v>
      </c>
      <c r="C5545" s="638">
        <v>7121.3320000000003</v>
      </c>
      <c r="D5545" s="633">
        <f t="shared" si="177"/>
        <v>7121.3320000000003</v>
      </c>
      <c r="E5545" s="608"/>
      <c r="F5545" s="760">
        <f t="shared" si="176"/>
        <v>3004.3026112987413</v>
      </c>
      <c r="M5545" s="443"/>
    </row>
    <row r="5546" spans="1:13">
      <c r="A5546" s="639">
        <v>81813</v>
      </c>
      <c r="B5546" s="639">
        <v>2300</v>
      </c>
      <c r="C5546" s="638">
        <v>5997.799</v>
      </c>
      <c r="D5546" s="633">
        <f t="shared" si="177"/>
        <v>5997.799</v>
      </c>
      <c r="E5546" s="608"/>
      <c r="F5546" s="760">
        <f t="shared" si="176"/>
        <v>2530.3135983191037</v>
      </c>
      <c r="M5546" s="443"/>
    </row>
    <row r="5547" spans="1:13">
      <c r="A5547" s="639">
        <v>81813</v>
      </c>
      <c r="B5547" s="639">
        <v>2400</v>
      </c>
      <c r="C5547" s="638">
        <v>5236.8770000000004</v>
      </c>
      <c r="D5547" s="633">
        <f t="shared" si="177"/>
        <v>5236.8770000000004</v>
      </c>
      <c r="E5547" s="608"/>
      <c r="F5547" s="760">
        <f t="shared" si="176"/>
        <v>2209.3006260837606</v>
      </c>
      <c r="M5547" s="443"/>
    </row>
    <row r="5548" spans="1:13">
      <c r="A5548" s="639">
        <v>81913</v>
      </c>
      <c r="B5548" s="639">
        <v>100</v>
      </c>
      <c r="C5548" s="638">
        <v>4735.83</v>
      </c>
      <c r="D5548" s="633">
        <f t="shared" si="177"/>
        <v>4735.83</v>
      </c>
      <c r="E5548" s="608"/>
      <c r="F5548" s="760">
        <f t="shared" si="176"/>
        <v>1997.9220791372902</v>
      </c>
      <c r="M5548" s="443"/>
    </row>
    <row r="5549" spans="1:13">
      <c r="A5549" s="639">
        <v>81913</v>
      </c>
      <c r="B5549" s="639">
        <v>200</v>
      </c>
      <c r="C5549" s="638">
        <v>4417.8490000000002</v>
      </c>
      <c r="D5549" s="633">
        <f t="shared" si="177"/>
        <v>4417.8490000000002</v>
      </c>
      <c r="E5549" s="608"/>
      <c r="F5549" s="760">
        <f t="shared" si="176"/>
        <v>1863.7742611948906</v>
      </c>
      <c r="M5549" s="443"/>
    </row>
    <row r="5550" spans="1:13">
      <c r="A5550" s="639">
        <v>81913</v>
      </c>
      <c r="B5550" s="639">
        <v>300</v>
      </c>
      <c r="C5550" s="638">
        <v>4262.2240000000002</v>
      </c>
      <c r="D5550" s="633">
        <f t="shared" si="177"/>
        <v>4262.2240000000002</v>
      </c>
      <c r="E5550" s="608"/>
      <c r="F5550" s="760">
        <f t="shared" si="176"/>
        <v>1798.1201681286825</v>
      </c>
      <c r="M5550" s="443"/>
    </row>
    <row r="5551" spans="1:13">
      <c r="A5551" s="639">
        <v>81913</v>
      </c>
      <c r="B5551" s="639">
        <v>400</v>
      </c>
      <c r="C5551" s="638">
        <v>4204.46</v>
      </c>
      <c r="D5551" s="633">
        <f t="shared" si="177"/>
        <v>4204.46</v>
      </c>
      <c r="E5551" s="608"/>
      <c r="F5551" s="760">
        <f t="shared" si="176"/>
        <v>1773.7510562772675</v>
      </c>
      <c r="M5551" s="443"/>
    </row>
    <row r="5552" spans="1:13">
      <c r="A5552" s="639">
        <v>81913</v>
      </c>
      <c r="B5552" s="639">
        <v>500</v>
      </c>
      <c r="C5552" s="638">
        <v>4381.1540000000005</v>
      </c>
      <c r="D5552" s="633">
        <f t="shared" si="177"/>
        <v>4381.1540000000005</v>
      </c>
      <c r="E5552" s="608"/>
      <c r="F5552" s="760">
        <f t="shared" si="176"/>
        <v>1848.2936061262033</v>
      </c>
      <c r="M5552" s="443"/>
    </row>
    <row r="5553" spans="1:13">
      <c r="A5553" s="639">
        <v>81913</v>
      </c>
      <c r="B5553" s="639">
        <v>600</v>
      </c>
      <c r="C5553" s="638">
        <v>4749.424</v>
      </c>
      <c r="D5553" s="633">
        <f t="shared" si="177"/>
        <v>4749.424</v>
      </c>
      <c r="E5553" s="608"/>
      <c r="F5553" s="760">
        <f t="shared" si="176"/>
        <v>2003.6570300843878</v>
      </c>
      <c r="M5553" s="443"/>
    </row>
    <row r="5554" spans="1:13">
      <c r="A5554" s="639">
        <v>81913</v>
      </c>
      <c r="B5554" s="639">
        <v>700</v>
      </c>
      <c r="C5554" s="638">
        <v>5163.8490000000002</v>
      </c>
      <c r="D5554" s="633">
        <f t="shared" si="177"/>
        <v>5163.8490000000002</v>
      </c>
      <c r="E5554" s="608"/>
      <c r="F5554" s="760">
        <f t="shared" si="176"/>
        <v>2178.4920342223049</v>
      </c>
      <c r="M5554" s="443"/>
    </row>
    <row r="5555" spans="1:13">
      <c r="A5555" s="639">
        <v>81913</v>
      </c>
      <c r="B5555" s="639">
        <v>800</v>
      </c>
      <c r="C5555" s="638">
        <v>5380.2160000000003</v>
      </c>
      <c r="D5555" s="633">
        <f t="shared" si="177"/>
        <v>5380.2160000000003</v>
      </c>
      <c r="E5555" s="608"/>
      <c r="F5555" s="760">
        <f t="shared" si="176"/>
        <v>2269.7715789898953</v>
      </c>
      <c r="M5555" s="443"/>
    </row>
    <row r="5556" spans="1:13">
      <c r="A5556" s="639">
        <v>81913</v>
      </c>
      <c r="B5556" s="639">
        <v>900</v>
      </c>
      <c r="C5556" s="638">
        <v>5652.02</v>
      </c>
      <c r="D5556" s="633">
        <f t="shared" si="177"/>
        <v>5652.02</v>
      </c>
      <c r="E5556" s="608"/>
      <c r="F5556" s="760">
        <f t="shared" si="176"/>
        <v>2384.4385355313748</v>
      </c>
      <c r="M5556" s="443"/>
    </row>
    <row r="5557" spans="1:13">
      <c r="A5557" s="639">
        <v>81913</v>
      </c>
      <c r="B5557" s="639">
        <v>1000</v>
      </c>
      <c r="C5557" s="638">
        <v>6001.4979999999996</v>
      </c>
      <c r="D5557" s="633">
        <f t="shared" si="177"/>
        <v>6001.4979999999996</v>
      </c>
      <c r="E5557" s="608"/>
      <c r="F5557" s="760">
        <f t="shared" si="176"/>
        <v>2531.8741090998387</v>
      </c>
      <c r="M5557" s="443"/>
    </row>
    <row r="5558" spans="1:13">
      <c r="A5558" s="639">
        <v>81913</v>
      </c>
      <c r="B5558" s="639">
        <v>1100</v>
      </c>
      <c r="C5558" s="638">
        <v>6224.8609999999999</v>
      </c>
      <c r="D5558" s="633">
        <f t="shared" si="177"/>
        <v>6224.8609999999999</v>
      </c>
      <c r="E5558" s="608"/>
      <c r="F5558" s="760">
        <f t="shared" si="176"/>
        <v>2626.1050822053644</v>
      </c>
      <c r="M5558" s="443"/>
    </row>
    <row r="5559" spans="1:13">
      <c r="A5559" s="639">
        <v>81913</v>
      </c>
      <c r="B5559" s="639">
        <v>1200</v>
      </c>
      <c r="C5559" s="638">
        <v>6413.6930000000002</v>
      </c>
      <c r="D5559" s="633">
        <f t="shared" si="177"/>
        <v>6413.6930000000002</v>
      </c>
      <c r="E5559" s="608"/>
      <c r="F5559" s="760">
        <f t="shared" si="176"/>
        <v>2705.7683349081967</v>
      </c>
      <c r="M5559" s="443"/>
    </row>
    <row r="5560" spans="1:13">
      <c r="A5560" s="639">
        <v>81913</v>
      </c>
      <c r="B5560" s="639">
        <v>1300</v>
      </c>
      <c r="C5560" s="638">
        <v>6667.3370000000004</v>
      </c>
      <c r="D5560" s="633">
        <f t="shared" si="177"/>
        <v>6667.3370000000004</v>
      </c>
      <c r="E5560" s="608"/>
      <c r="F5560" s="760">
        <f t="shared" si="176"/>
        <v>2812.7740652322791</v>
      </c>
      <c r="M5560" s="443"/>
    </row>
    <row r="5561" spans="1:13">
      <c r="A5561" s="639">
        <v>81913</v>
      </c>
      <c r="B5561" s="639">
        <v>1400</v>
      </c>
      <c r="C5561" s="638">
        <v>7000.8040000000001</v>
      </c>
      <c r="D5561" s="633">
        <f t="shared" si="177"/>
        <v>7000.8040000000001</v>
      </c>
      <c r="E5561" s="608"/>
      <c r="F5561" s="760">
        <f t="shared" si="176"/>
        <v>2953.4550191439853</v>
      </c>
      <c r="M5561" s="443"/>
    </row>
    <row r="5562" spans="1:13">
      <c r="A5562" s="639">
        <v>81913</v>
      </c>
      <c r="B5562" s="639">
        <v>1500</v>
      </c>
      <c r="C5562" s="638">
        <v>7290.3869999999997</v>
      </c>
      <c r="D5562" s="633">
        <f t="shared" si="177"/>
        <v>7290.3869999999997</v>
      </c>
      <c r="E5562" s="608"/>
      <c r="F5562" s="760">
        <f t="shared" si="176"/>
        <v>3075.6224680268238</v>
      </c>
      <c r="M5562" s="443"/>
    </row>
    <row r="5563" spans="1:13">
      <c r="A5563" s="639">
        <v>81913</v>
      </c>
      <c r="B5563" s="639">
        <v>1600</v>
      </c>
      <c r="C5563" s="638">
        <v>7738.2820000000002</v>
      </c>
      <c r="D5563" s="633">
        <f t="shared" si="177"/>
        <v>7738.2820000000002</v>
      </c>
      <c r="E5563" s="608"/>
      <c r="F5563" s="760">
        <f t="shared" si="176"/>
        <v>3264.5775845819358</v>
      </c>
      <c r="M5563" s="443"/>
    </row>
    <row r="5564" spans="1:13">
      <c r="A5564" s="639">
        <v>81913</v>
      </c>
      <c r="B5564" s="639">
        <v>1700</v>
      </c>
      <c r="C5564" s="638">
        <v>8302.8850000000002</v>
      </c>
      <c r="D5564" s="633">
        <f t="shared" si="177"/>
        <v>8302.8850000000002</v>
      </c>
      <c r="E5564" s="608"/>
      <c r="F5564" s="760">
        <f t="shared" ref="F5564:F5627" si="178">(D5564/(MAX($D$5116:$D$5859)))*$M$11</f>
        <v>3502.7687357945324</v>
      </c>
      <c r="M5564" s="443"/>
    </row>
    <row r="5565" spans="1:13">
      <c r="A5565" s="639">
        <v>81913</v>
      </c>
      <c r="B5565" s="639">
        <v>1800</v>
      </c>
      <c r="C5565" s="638">
        <v>8349.0540000000001</v>
      </c>
      <c r="D5565" s="633">
        <f t="shared" si="177"/>
        <v>8349.0540000000001</v>
      </c>
      <c r="E5565" s="608"/>
      <c r="F5565" s="760">
        <f t="shared" si="178"/>
        <v>3522.2462222059303</v>
      </c>
      <c r="M5565" s="443"/>
    </row>
    <row r="5566" spans="1:13">
      <c r="A5566" s="639">
        <v>81913</v>
      </c>
      <c r="B5566" s="639">
        <v>1900</v>
      </c>
      <c r="C5566" s="638">
        <v>8179.8190000000004</v>
      </c>
      <c r="D5566" s="633">
        <f t="shared" si="177"/>
        <v>8179.8190000000004</v>
      </c>
      <c r="E5566" s="608"/>
      <c r="F5566" s="760">
        <f t="shared" si="178"/>
        <v>3450.8504282135787</v>
      </c>
      <c r="M5566" s="443"/>
    </row>
    <row r="5567" spans="1:13">
      <c r="A5567" s="639">
        <v>81913</v>
      </c>
      <c r="B5567" s="639">
        <v>2000</v>
      </c>
      <c r="C5567" s="638">
        <v>8243.1419999999998</v>
      </c>
      <c r="D5567" s="633">
        <f t="shared" si="177"/>
        <v>8243.1419999999998</v>
      </c>
      <c r="E5567" s="608"/>
      <c r="F5567" s="760">
        <f t="shared" si="178"/>
        <v>3477.5647359098452</v>
      </c>
      <c r="M5567" s="443"/>
    </row>
    <row r="5568" spans="1:13">
      <c r="A5568" s="639">
        <v>81913</v>
      </c>
      <c r="B5568" s="639">
        <v>2100</v>
      </c>
      <c r="C5568" s="638">
        <v>8102.95</v>
      </c>
      <c r="D5568" s="633">
        <f t="shared" si="177"/>
        <v>8102.95</v>
      </c>
      <c r="E5568" s="608"/>
      <c r="F5568" s="760">
        <f t="shared" si="178"/>
        <v>3418.4214195073528</v>
      </c>
      <c r="M5568" s="443"/>
    </row>
    <row r="5569" spans="1:13">
      <c r="A5569" s="639">
        <v>81913</v>
      </c>
      <c r="B5569" s="639">
        <v>2200</v>
      </c>
      <c r="C5569" s="638">
        <v>7118.7820000000002</v>
      </c>
      <c r="D5569" s="633">
        <f t="shared" si="177"/>
        <v>7118.7820000000002</v>
      </c>
      <c r="E5569" s="608"/>
      <c r="F5569" s="760">
        <f t="shared" si="178"/>
        <v>3003.2268333882589</v>
      </c>
      <c r="M5569" s="443"/>
    </row>
    <row r="5570" spans="1:13">
      <c r="A5570" s="639">
        <v>81913</v>
      </c>
      <c r="B5570" s="639">
        <v>2300</v>
      </c>
      <c r="C5570" s="638">
        <v>5962.4260000000004</v>
      </c>
      <c r="D5570" s="633">
        <f t="shared" si="177"/>
        <v>5962.4260000000004</v>
      </c>
      <c r="E5570" s="608"/>
      <c r="F5570" s="760">
        <f t="shared" si="178"/>
        <v>2515.3906602691054</v>
      </c>
      <c r="M5570" s="443"/>
    </row>
    <row r="5571" spans="1:13">
      <c r="A5571" s="639">
        <v>81913</v>
      </c>
      <c r="B5571" s="639">
        <v>2400</v>
      </c>
      <c r="C5571" s="638">
        <v>5124.9160000000002</v>
      </c>
      <c r="D5571" s="633">
        <f t="shared" si="177"/>
        <v>5124.9160000000002</v>
      </c>
      <c r="E5571" s="608"/>
      <c r="F5571" s="760">
        <f t="shared" si="178"/>
        <v>2162.0672258345348</v>
      </c>
      <c r="M5571" s="443"/>
    </row>
    <row r="5572" spans="1:13">
      <c r="A5572" s="639">
        <v>82013</v>
      </c>
      <c r="B5572" s="639">
        <v>100</v>
      </c>
      <c r="C5572" s="638">
        <v>4689.4650000000001</v>
      </c>
      <c r="D5572" s="633">
        <f t="shared" si="177"/>
        <v>4689.4650000000001</v>
      </c>
      <c r="E5572" s="608"/>
      <c r="F5572" s="760">
        <f t="shared" si="178"/>
        <v>1978.3619054825772</v>
      </c>
      <c r="M5572" s="443"/>
    </row>
    <row r="5573" spans="1:13">
      <c r="A5573" s="639">
        <v>82013</v>
      </c>
      <c r="B5573" s="639">
        <v>200</v>
      </c>
      <c r="C5573" s="638">
        <v>4390.607</v>
      </c>
      <c r="D5573" s="633">
        <f t="shared" ref="D5573:D5636" si="179">C5573</f>
        <v>4390.607</v>
      </c>
      <c r="E5573" s="608"/>
      <c r="F5573" s="760">
        <f t="shared" si="178"/>
        <v>1852.2815781214151</v>
      </c>
      <c r="M5573" s="443"/>
    </row>
    <row r="5574" spans="1:13">
      <c r="A5574" s="639">
        <v>82013</v>
      </c>
      <c r="B5574" s="639">
        <v>300</v>
      </c>
      <c r="C5574" s="638">
        <v>4290.8869999999997</v>
      </c>
      <c r="D5574" s="633">
        <f t="shared" si="179"/>
        <v>4290.8869999999997</v>
      </c>
      <c r="E5574" s="608"/>
      <c r="F5574" s="760">
        <f t="shared" si="178"/>
        <v>1810.2123337161956</v>
      </c>
      <c r="M5574" s="443"/>
    </row>
    <row r="5575" spans="1:13">
      <c r="A5575" s="639">
        <v>82013</v>
      </c>
      <c r="B5575" s="639">
        <v>400</v>
      </c>
      <c r="C5575" s="638">
        <v>4325.0889999999999</v>
      </c>
      <c r="D5575" s="633">
        <f t="shared" si="179"/>
        <v>4325.0889999999999</v>
      </c>
      <c r="E5575" s="608"/>
      <c r="F5575" s="760">
        <f t="shared" si="178"/>
        <v>1824.6412576747528</v>
      </c>
      <c r="M5575" s="443"/>
    </row>
    <row r="5576" spans="1:13">
      <c r="A5576" s="639">
        <v>82013</v>
      </c>
      <c r="B5576" s="639">
        <v>500</v>
      </c>
      <c r="C5576" s="638">
        <v>4527.152</v>
      </c>
      <c r="D5576" s="633">
        <f t="shared" si="179"/>
        <v>4527.152</v>
      </c>
      <c r="E5576" s="608"/>
      <c r="F5576" s="760">
        <f t="shared" si="178"/>
        <v>1909.8863211750722</v>
      </c>
      <c r="M5576" s="443"/>
    </row>
    <row r="5577" spans="1:13">
      <c r="A5577" s="639">
        <v>82013</v>
      </c>
      <c r="B5577" s="639">
        <v>600</v>
      </c>
      <c r="C5577" s="638">
        <v>4953.3850000000002</v>
      </c>
      <c r="D5577" s="633">
        <f t="shared" si="179"/>
        <v>4953.3850000000002</v>
      </c>
      <c r="E5577" s="608"/>
      <c r="F5577" s="760">
        <f t="shared" si="178"/>
        <v>2089.7028098490587</v>
      </c>
      <c r="M5577" s="443"/>
    </row>
    <row r="5578" spans="1:13">
      <c r="A5578" s="639">
        <v>82013</v>
      </c>
      <c r="B5578" s="639">
        <v>700</v>
      </c>
      <c r="C5578" s="638">
        <v>5445.866</v>
      </c>
      <c r="D5578" s="633">
        <f t="shared" si="179"/>
        <v>5445.866</v>
      </c>
      <c r="E5578" s="608"/>
      <c r="F5578" s="760">
        <f t="shared" si="178"/>
        <v>2297.4675867636888</v>
      </c>
      <c r="M5578" s="443"/>
    </row>
    <row r="5579" spans="1:13">
      <c r="A5579" s="639">
        <v>82013</v>
      </c>
      <c r="B5579" s="639">
        <v>800</v>
      </c>
      <c r="C5579" s="638">
        <v>5815.0029999999997</v>
      </c>
      <c r="D5579" s="633">
        <f t="shared" si="179"/>
        <v>5815.0029999999997</v>
      </c>
      <c r="E5579" s="608"/>
      <c r="F5579" s="760">
        <f t="shared" si="178"/>
        <v>2453.1967752114374</v>
      </c>
      <c r="M5579" s="443"/>
    </row>
    <row r="5580" spans="1:13">
      <c r="A5580" s="639">
        <v>82013</v>
      </c>
      <c r="B5580" s="639">
        <v>900</v>
      </c>
      <c r="C5580" s="638">
        <v>6038.4040000000005</v>
      </c>
      <c r="D5580" s="633">
        <f t="shared" si="179"/>
        <v>6038.4040000000005</v>
      </c>
      <c r="E5580" s="608"/>
      <c r="F5580" s="760">
        <f t="shared" si="178"/>
        <v>2547.443779517198</v>
      </c>
      <c r="M5580" s="443"/>
    </row>
    <row r="5581" spans="1:13">
      <c r="A5581" s="639">
        <v>82013</v>
      </c>
      <c r="B5581" s="639">
        <v>1000</v>
      </c>
      <c r="C5581" s="638">
        <v>6475.183</v>
      </c>
      <c r="D5581" s="633">
        <f t="shared" si="179"/>
        <v>6475.183</v>
      </c>
      <c r="E5581" s="608"/>
      <c r="F5581" s="760">
        <f t="shared" si="178"/>
        <v>2731.7093481299871</v>
      </c>
      <c r="M5581" s="443"/>
    </row>
    <row r="5582" spans="1:13">
      <c r="A5582" s="639">
        <v>82013</v>
      </c>
      <c r="B5582" s="639">
        <v>1100</v>
      </c>
      <c r="C5582" s="638">
        <v>6847.2250000000004</v>
      </c>
      <c r="D5582" s="633">
        <f t="shared" si="179"/>
        <v>6847.2250000000004</v>
      </c>
      <c r="E5582" s="608"/>
      <c r="F5582" s="760">
        <f t="shared" si="178"/>
        <v>2888.6640796483052</v>
      </c>
      <c r="M5582" s="443"/>
    </row>
    <row r="5583" spans="1:13">
      <c r="A5583" s="639">
        <v>82013</v>
      </c>
      <c r="B5583" s="639">
        <v>1200</v>
      </c>
      <c r="C5583" s="638">
        <v>7065.1710000000003</v>
      </c>
      <c r="D5583" s="633">
        <f t="shared" si="179"/>
        <v>7065.1710000000003</v>
      </c>
      <c r="E5583" s="608"/>
      <c r="F5583" s="760">
        <f t="shared" si="178"/>
        <v>2980.6097629730139</v>
      </c>
      <c r="M5583" s="443"/>
    </row>
    <row r="5584" spans="1:13">
      <c r="A5584" s="639">
        <v>82013</v>
      </c>
      <c r="B5584" s="639">
        <v>1300</v>
      </c>
      <c r="C5584" s="638">
        <v>7424.6</v>
      </c>
      <c r="D5584" s="633">
        <f t="shared" si="179"/>
        <v>7424.6</v>
      </c>
      <c r="E5584" s="608"/>
      <c r="F5584" s="760">
        <f t="shared" si="178"/>
        <v>3132.2434016345028</v>
      </c>
      <c r="M5584" s="443"/>
    </row>
    <row r="5585" spans="1:13">
      <c r="A5585" s="639">
        <v>82013</v>
      </c>
      <c r="B5585" s="639">
        <v>1400</v>
      </c>
      <c r="C5585" s="638">
        <v>7763.6480000000001</v>
      </c>
      <c r="D5585" s="633">
        <f t="shared" si="179"/>
        <v>7763.6480000000001</v>
      </c>
      <c r="E5585" s="608"/>
      <c r="F5585" s="760">
        <f t="shared" si="178"/>
        <v>3275.2788326122491</v>
      </c>
      <c r="M5585" s="443"/>
    </row>
    <row r="5586" spans="1:13">
      <c r="A5586" s="639">
        <v>82013</v>
      </c>
      <c r="B5586" s="639">
        <v>1500</v>
      </c>
      <c r="C5586" s="638">
        <v>8117.2240000000002</v>
      </c>
      <c r="D5586" s="633">
        <f t="shared" si="179"/>
        <v>8117.2240000000002</v>
      </c>
      <c r="E5586" s="608"/>
      <c r="F5586" s="760">
        <f t="shared" si="178"/>
        <v>3424.4432445639122</v>
      </c>
      <c r="M5586" s="443"/>
    </row>
    <row r="5587" spans="1:13">
      <c r="A5587" s="639">
        <v>82013</v>
      </c>
      <c r="B5587" s="639">
        <v>1600</v>
      </c>
      <c r="C5587" s="638">
        <v>8502.8389999999999</v>
      </c>
      <c r="D5587" s="633">
        <f t="shared" si="179"/>
        <v>8502.8389999999999</v>
      </c>
      <c r="E5587" s="608"/>
      <c r="F5587" s="760">
        <f t="shared" si="178"/>
        <v>3587.1240676818293</v>
      </c>
      <c r="M5587" s="443"/>
    </row>
    <row r="5588" spans="1:13">
      <c r="A5588" s="639">
        <v>82013</v>
      </c>
      <c r="B5588" s="639">
        <v>1700</v>
      </c>
      <c r="C5588" s="638">
        <v>8906.8140000000003</v>
      </c>
      <c r="D5588" s="633">
        <f t="shared" si="179"/>
        <v>8906.8140000000003</v>
      </c>
      <c r="E5588" s="608"/>
      <c r="F5588" s="760">
        <f t="shared" si="178"/>
        <v>3757.5504917552207</v>
      </c>
      <c r="M5588" s="443"/>
    </row>
    <row r="5589" spans="1:13">
      <c r="A5589" s="639">
        <v>82013</v>
      </c>
      <c r="B5589" s="639">
        <v>1800</v>
      </c>
      <c r="C5589" s="638">
        <v>8920.4259999999995</v>
      </c>
      <c r="D5589" s="633">
        <f t="shared" si="179"/>
        <v>8920.4259999999995</v>
      </c>
      <c r="E5589" s="608"/>
      <c r="F5589" s="760">
        <f t="shared" si="178"/>
        <v>3763.2930364287449</v>
      </c>
      <c r="M5589" s="443"/>
    </row>
    <row r="5590" spans="1:13">
      <c r="A5590" s="639">
        <v>82013</v>
      </c>
      <c r="B5590" s="639">
        <v>1900</v>
      </c>
      <c r="C5590" s="638">
        <v>8803.5630000000001</v>
      </c>
      <c r="D5590" s="633">
        <f t="shared" si="179"/>
        <v>8803.5630000000001</v>
      </c>
      <c r="E5590" s="608"/>
      <c r="F5590" s="760">
        <f t="shared" si="178"/>
        <v>3713.9916113492504</v>
      </c>
      <c r="M5590" s="443"/>
    </row>
    <row r="5591" spans="1:13">
      <c r="A5591" s="639">
        <v>82013</v>
      </c>
      <c r="B5591" s="639">
        <v>2000</v>
      </c>
      <c r="C5591" s="638">
        <v>8860.2129999999997</v>
      </c>
      <c r="D5591" s="633">
        <f t="shared" si="179"/>
        <v>8860.2129999999997</v>
      </c>
      <c r="E5591" s="608"/>
      <c r="F5591" s="760">
        <f t="shared" si="178"/>
        <v>3737.890755909576</v>
      </c>
      <c r="M5591" s="443"/>
    </row>
    <row r="5592" spans="1:13">
      <c r="A5592" s="639">
        <v>82013</v>
      </c>
      <c r="B5592" s="639">
        <v>2100</v>
      </c>
      <c r="C5592" s="638">
        <v>8621.6149999999998</v>
      </c>
      <c r="D5592" s="633">
        <f t="shared" si="179"/>
        <v>8621.6149999999998</v>
      </c>
      <c r="E5592" s="608"/>
      <c r="F5592" s="760">
        <f t="shared" si="178"/>
        <v>3637.2325371310308</v>
      </c>
      <c r="M5592" s="443"/>
    </row>
    <row r="5593" spans="1:13">
      <c r="A5593" s="639">
        <v>82013</v>
      </c>
      <c r="B5593" s="639">
        <v>2200</v>
      </c>
      <c r="C5593" s="638">
        <v>7701.3689999999997</v>
      </c>
      <c r="D5593" s="633">
        <f t="shared" si="179"/>
        <v>7701.3689999999997</v>
      </c>
      <c r="E5593" s="608"/>
      <c r="F5593" s="760">
        <f t="shared" si="178"/>
        <v>3249.0049610487445</v>
      </c>
      <c r="M5593" s="443"/>
    </row>
    <row r="5594" spans="1:13">
      <c r="A5594" s="639">
        <v>82013</v>
      </c>
      <c r="B5594" s="639">
        <v>2300</v>
      </c>
      <c r="C5594" s="638">
        <v>6573.9110000000001</v>
      </c>
      <c r="D5594" s="633">
        <f t="shared" si="179"/>
        <v>6573.9110000000001</v>
      </c>
      <c r="E5594" s="608"/>
      <c r="F5594" s="760">
        <f t="shared" si="178"/>
        <v>2773.3600938343448</v>
      </c>
      <c r="M5594" s="443"/>
    </row>
    <row r="5595" spans="1:13">
      <c r="A5595" s="639">
        <v>82013</v>
      </c>
      <c r="B5595" s="639">
        <v>2400</v>
      </c>
      <c r="C5595" s="638">
        <v>5682.6639999999998</v>
      </c>
      <c r="D5595" s="633">
        <f t="shared" si="179"/>
        <v>5682.6639999999998</v>
      </c>
      <c r="E5595" s="608"/>
      <c r="F5595" s="760">
        <f t="shared" si="178"/>
        <v>2397.3664328995405</v>
      </c>
      <c r="M5595" s="443"/>
    </row>
    <row r="5596" spans="1:13">
      <c r="A5596" s="639">
        <v>82113</v>
      </c>
      <c r="B5596" s="639">
        <v>100</v>
      </c>
      <c r="C5596" s="638">
        <v>5191.2920000000004</v>
      </c>
      <c r="D5596" s="633">
        <f t="shared" si="179"/>
        <v>5191.2920000000004</v>
      </c>
      <c r="E5596" s="608"/>
      <c r="F5596" s="760">
        <f t="shared" si="178"/>
        <v>2190.0695139075483</v>
      </c>
      <c r="M5596" s="443"/>
    </row>
    <row r="5597" spans="1:13">
      <c r="A5597" s="639">
        <v>82113</v>
      </c>
      <c r="B5597" s="639">
        <v>200</v>
      </c>
      <c r="C5597" s="638">
        <v>4835.6840000000002</v>
      </c>
      <c r="D5597" s="633">
        <f t="shared" si="179"/>
        <v>4835.6840000000002</v>
      </c>
      <c r="E5597" s="608"/>
      <c r="F5597" s="760">
        <f t="shared" si="178"/>
        <v>2040.0478546170216</v>
      </c>
      <c r="M5597" s="443"/>
    </row>
    <row r="5598" spans="1:13">
      <c r="A5598" s="639">
        <v>82113</v>
      </c>
      <c r="B5598" s="639">
        <v>300</v>
      </c>
      <c r="C5598" s="638">
        <v>4686.7950000000001</v>
      </c>
      <c r="D5598" s="633">
        <f t="shared" si="179"/>
        <v>4686.7950000000001</v>
      </c>
      <c r="E5598" s="608"/>
      <c r="F5598" s="760">
        <f t="shared" si="178"/>
        <v>1977.2355027292485</v>
      </c>
      <c r="M5598" s="443"/>
    </row>
    <row r="5599" spans="1:13">
      <c r="A5599" s="639">
        <v>82113</v>
      </c>
      <c r="B5599" s="639">
        <v>400</v>
      </c>
      <c r="C5599" s="638">
        <v>4607.0829999999996</v>
      </c>
      <c r="D5599" s="633">
        <f t="shared" si="179"/>
        <v>4607.0829999999996</v>
      </c>
      <c r="E5599" s="608"/>
      <c r="F5599" s="760">
        <f t="shared" si="178"/>
        <v>1943.6071071212573</v>
      </c>
      <c r="M5599" s="443"/>
    </row>
    <row r="5600" spans="1:13">
      <c r="A5600" s="639">
        <v>82113</v>
      </c>
      <c r="B5600" s="639">
        <v>500</v>
      </c>
      <c r="C5600" s="638">
        <v>4739.277</v>
      </c>
      <c r="D5600" s="633">
        <f t="shared" si="179"/>
        <v>4739.277</v>
      </c>
      <c r="E5600" s="608"/>
      <c r="F5600" s="760">
        <f t="shared" si="178"/>
        <v>1999.3762777480483</v>
      </c>
      <c r="M5600" s="443"/>
    </row>
    <row r="5601" spans="1:13">
      <c r="A5601" s="639">
        <v>82113</v>
      </c>
      <c r="B5601" s="639">
        <v>600</v>
      </c>
      <c r="C5601" s="638">
        <v>5265.098</v>
      </c>
      <c r="D5601" s="633">
        <f t="shared" si="179"/>
        <v>5265.098</v>
      </c>
      <c r="E5601" s="608"/>
      <c r="F5601" s="760">
        <f t="shared" si="178"/>
        <v>2221.2063235001233</v>
      </c>
      <c r="M5601" s="443"/>
    </row>
    <row r="5602" spans="1:13">
      <c r="A5602" s="639">
        <v>82113</v>
      </c>
      <c r="B5602" s="639">
        <v>700</v>
      </c>
      <c r="C5602" s="638">
        <v>5750.3909999999996</v>
      </c>
      <c r="D5602" s="633">
        <f t="shared" si="179"/>
        <v>5750.3909999999996</v>
      </c>
      <c r="E5602" s="608"/>
      <c r="F5602" s="760">
        <f t="shared" si="178"/>
        <v>2425.9386723282637</v>
      </c>
      <c r="M5602" s="443"/>
    </row>
    <row r="5603" spans="1:13">
      <c r="A5603" s="639">
        <v>82113</v>
      </c>
      <c r="B5603" s="639">
        <v>800</v>
      </c>
      <c r="C5603" s="638">
        <v>6070.076</v>
      </c>
      <c r="D5603" s="633">
        <f t="shared" si="179"/>
        <v>6070.076</v>
      </c>
      <c r="E5603" s="608"/>
      <c r="F5603" s="760">
        <f t="shared" si="178"/>
        <v>2560.80536303908</v>
      </c>
      <c r="M5603" s="443"/>
    </row>
    <row r="5604" spans="1:13">
      <c r="A5604" s="639">
        <v>82113</v>
      </c>
      <c r="B5604" s="639">
        <v>900</v>
      </c>
      <c r="C5604" s="638">
        <v>6529.7250000000004</v>
      </c>
      <c r="D5604" s="633">
        <f t="shared" si="179"/>
        <v>6529.7250000000004</v>
      </c>
      <c r="E5604" s="608"/>
      <c r="F5604" s="760">
        <f t="shared" si="178"/>
        <v>2754.7191829509807</v>
      </c>
      <c r="M5604" s="443"/>
    </row>
    <row r="5605" spans="1:13">
      <c r="A5605" s="639">
        <v>82113</v>
      </c>
      <c r="B5605" s="639">
        <v>1000</v>
      </c>
      <c r="C5605" s="638">
        <v>6939.1679999999997</v>
      </c>
      <c r="D5605" s="633">
        <f t="shared" si="179"/>
        <v>6939.1679999999997</v>
      </c>
      <c r="E5605" s="608"/>
      <c r="F5605" s="760">
        <f t="shared" si="178"/>
        <v>2927.4524123633983</v>
      </c>
      <c r="M5605" s="443"/>
    </row>
    <row r="5606" spans="1:13">
      <c r="A5606" s="639">
        <v>82113</v>
      </c>
      <c r="B5606" s="639">
        <v>1100</v>
      </c>
      <c r="C5606" s="638">
        <v>7385.9840000000004</v>
      </c>
      <c r="D5606" s="633">
        <f t="shared" si="179"/>
        <v>7385.9840000000004</v>
      </c>
      <c r="E5606" s="608"/>
      <c r="F5606" s="760">
        <f t="shared" si="178"/>
        <v>3115.9523272065849</v>
      </c>
      <c r="M5606" s="443"/>
    </row>
    <row r="5607" spans="1:13">
      <c r="A5607" s="639">
        <v>82113</v>
      </c>
      <c r="B5607" s="639">
        <v>1200</v>
      </c>
      <c r="C5607" s="638">
        <v>7883.0690000000004</v>
      </c>
      <c r="D5607" s="633">
        <f t="shared" si="179"/>
        <v>7883.0690000000004</v>
      </c>
      <c r="E5607" s="608"/>
      <c r="F5607" s="760">
        <f t="shared" si="178"/>
        <v>3325.6594105917488</v>
      </c>
      <c r="M5607" s="443"/>
    </row>
    <row r="5608" spans="1:13">
      <c r="A5608" s="639">
        <v>82113</v>
      </c>
      <c r="B5608" s="639">
        <v>1300</v>
      </c>
      <c r="C5608" s="638">
        <v>8349.7909999999993</v>
      </c>
      <c r="D5608" s="633">
        <f t="shared" si="179"/>
        <v>8349.7909999999993</v>
      </c>
      <c r="E5608" s="608"/>
      <c r="F5608" s="760">
        <f t="shared" si="178"/>
        <v>3522.5571431157441</v>
      </c>
      <c r="M5608" s="443"/>
    </row>
    <row r="5609" spans="1:13">
      <c r="A5609" s="639">
        <v>82113</v>
      </c>
      <c r="B5609" s="639">
        <v>1400</v>
      </c>
      <c r="C5609" s="638">
        <v>8526.8119999999999</v>
      </c>
      <c r="D5609" s="633">
        <f t="shared" si="179"/>
        <v>8526.8119999999999</v>
      </c>
      <c r="E5609" s="608"/>
      <c r="F5609" s="760">
        <f t="shared" si="178"/>
        <v>3597.2376456614361</v>
      </c>
      <c r="M5609" s="443"/>
    </row>
    <row r="5610" spans="1:13">
      <c r="A5610" s="639">
        <v>82113</v>
      </c>
      <c r="B5610" s="639">
        <v>1500</v>
      </c>
      <c r="C5610" s="638">
        <v>8672.9509999999991</v>
      </c>
      <c r="D5610" s="633">
        <f t="shared" si="179"/>
        <v>8672.9509999999991</v>
      </c>
      <c r="E5610" s="608"/>
      <c r="F5610" s="760">
        <f t="shared" si="178"/>
        <v>3658.8898449006488</v>
      </c>
      <c r="M5610" s="443"/>
    </row>
    <row r="5611" spans="1:13">
      <c r="A5611" s="639">
        <v>82113</v>
      </c>
      <c r="B5611" s="639">
        <v>1600</v>
      </c>
      <c r="C5611" s="638">
        <v>9136.2160000000003</v>
      </c>
      <c r="D5611" s="633">
        <f t="shared" si="179"/>
        <v>9136.2160000000003</v>
      </c>
      <c r="E5611" s="608"/>
      <c r="F5611" s="760">
        <f t="shared" si="178"/>
        <v>3854.329160076983</v>
      </c>
      <c r="M5611" s="443"/>
    </row>
    <row r="5612" spans="1:13">
      <c r="A5612" s="639">
        <v>82113</v>
      </c>
      <c r="B5612" s="639">
        <v>1700</v>
      </c>
      <c r="C5612" s="638">
        <v>9532.143</v>
      </c>
      <c r="D5612" s="633">
        <f t="shared" si="179"/>
        <v>9532.143</v>
      </c>
      <c r="E5612" s="608"/>
      <c r="F5612" s="760">
        <f t="shared" si="178"/>
        <v>4021.3603446901534</v>
      </c>
      <c r="M5612" s="443"/>
    </row>
    <row r="5613" spans="1:13">
      <c r="A5613" s="639">
        <v>82113</v>
      </c>
      <c r="B5613" s="639">
        <v>1800</v>
      </c>
      <c r="C5613" s="638">
        <v>9455.0650000000005</v>
      </c>
      <c r="D5613" s="633">
        <f t="shared" si="179"/>
        <v>9455.0650000000005</v>
      </c>
      <c r="E5613" s="608"/>
      <c r="F5613" s="760">
        <f t="shared" si="178"/>
        <v>3988.8431643826375</v>
      </c>
      <c r="M5613" s="443"/>
    </row>
    <row r="5614" spans="1:13">
      <c r="A5614" s="639">
        <v>82113</v>
      </c>
      <c r="B5614" s="639">
        <v>1900</v>
      </c>
      <c r="C5614" s="638">
        <v>9344.7510000000002</v>
      </c>
      <c r="D5614" s="633">
        <f t="shared" si="179"/>
        <v>9344.7510000000002</v>
      </c>
      <c r="E5614" s="608"/>
      <c r="F5614" s="760">
        <f t="shared" si="178"/>
        <v>3942.3045901014762</v>
      </c>
      <c r="M5614" s="443"/>
    </row>
    <row r="5615" spans="1:13">
      <c r="A5615" s="639">
        <v>82113</v>
      </c>
      <c r="B5615" s="639">
        <v>2000</v>
      </c>
      <c r="C5615" s="638">
        <v>9437.0429999999997</v>
      </c>
      <c r="D5615" s="633">
        <f t="shared" si="179"/>
        <v>9437.0429999999997</v>
      </c>
      <c r="E5615" s="608"/>
      <c r="F5615" s="760">
        <f t="shared" si="178"/>
        <v>3981.2401567345137</v>
      </c>
      <c r="M5615" s="443"/>
    </row>
    <row r="5616" spans="1:13">
      <c r="A5616" s="639">
        <v>82113</v>
      </c>
      <c r="B5616" s="639">
        <v>2100</v>
      </c>
      <c r="C5616" s="638">
        <v>9232.1319999999996</v>
      </c>
      <c r="D5616" s="633">
        <f t="shared" si="179"/>
        <v>9232.1319999999996</v>
      </c>
      <c r="E5616" s="608"/>
      <c r="F5616" s="760">
        <f t="shared" si="178"/>
        <v>3894.7935969639766</v>
      </c>
      <c r="M5616" s="443"/>
    </row>
    <row r="5617" spans="1:13">
      <c r="A5617" s="639">
        <v>82113</v>
      </c>
      <c r="B5617" s="639">
        <v>2200</v>
      </c>
      <c r="C5617" s="638">
        <v>8182.2579999999998</v>
      </c>
      <c r="D5617" s="633">
        <f t="shared" si="179"/>
        <v>8182.2579999999998</v>
      </c>
      <c r="E5617" s="608"/>
      <c r="F5617" s="760">
        <f t="shared" si="178"/>
        <v>3451.8793781444278</v>
      </c>
      <c r="M5617" s="443"/>
    </row>
    <row r="5618" spans="1:13">
      <c r="A5618" s="639">
        <v>82113</v>
      </c>
      <c r="B5618" s="639">
        <v>2300</v>
      </c>
      <c r="C5618" s="638">
        <v>6971.8059999999996</v>
      </c>
      <c r="D5618" s="633">
        <f t="shared" si="179"/>
        <v>6971.8059999999996</v>
      </c>
      <c r="E5618" s="608"/>
      <c r="F5618" s="760">
        <f t="shared" si="178"/>
        <v>2941.2215258701926</v>
      </c>
      <c r="M5618" s="443"/>
    </row>
    <row r="5619" spans="1:13">
      <c r="A5619" s="639">
        <v>82113</v>
      </c>
      <c r="B5619" s="639">
        <v>2400</v>
      </c>
      <c r="C5619" s="638">
        <v>5990.7</v>
      </c>
      <c r="D5619" s="633">
        <f t="shared" si="179"/>
        <v>5990.7</v>
      </c>
      <c r="E5619" s="608"/>
      <c r="F5619" s="760">
        <f t="shared" si="178"/>
        <v>2527.3187169910589</v>
      </c>
      <c r="M5619" s="443"/>
    </row>
    <row r="5620" spans="1:13">
      <c r="A5620" s="639">
        <v>82213</v>
      </c>
      <c r="B5620" s="639">
        <v>100</v>
      </c>
      <c r="C5620" s="638">
        <v>5439.6959999999999</v>
      </c>
      <c r="D5620" s="633">
        <f t="shared" si="179"/>
        <v>5439.6959999999999</v>
      </c>
      <c r="E5620" s="608"/>
      <c r="F5620" s="760">
        <f t="shared" si="178"/>
        <v>2294.8646260940113</v>
      </c>
      <c r="M5620" s="443"/>
    </row>
    <row r="5621" spans="1:13">
      <c r="A5621" s="639">
        <v>82213</v>
      </c>
      <c r="B5621" s="639">
        <v>200</v>
      </c>
      <c r="C5621" s="638">
        <v>5034.97</v>
      </c>
      <c r="D5621" s="633">
        <f t="shared" si="179"/>
        <v>5034.97</v>
      </c>
      <c r="E5621" s="608"/>
      <c r="F5621" s="760">
        <f t="shared" si="178"/>
        <v>2124.1213748791411</v>
      </c>
      <c r="M5621" s="443"/>
    </row>
    <row r="5622" spans="1:13">
      <c r="A5622" s="639">
        <v>82213</v>
      </c>
      <c r="B5622" s="639">
        <v>300</v>
      </c>
      <c r="C5622" s="638">
        <v>4844.7060000000001</v>
      </c>
      <c r="D5622" s="633">
        <f t="shared" si="179"/>
        <v>4844.7060000000001</v>
      </c>
      <c r="E5622" s="608"/>
      <c r="F5622" s="760">
        <f t="shared" si="178"/>
        <v>2043.8539990516774</v>
      </c>
      <c r="M5622" s="443"/>
    </row>
    <row r="5623" spans="1:13">
      <c r="A5623" s="639">
        <v>82213</v>
      </c>
      <c r="B5623" s="639">
        <v>400</v>
      </c>
      <c r="C5623" s="638">
        <v>4754.9859999999999</v>
      </c>
      <c r="D5623" s="633">
        <f t="shared" si="179"/>
        <v>4754.9859999999999</v>
      </c>
      <c r="E5623" s="608"/>
      <c r="F5623" s="760">
        <f t="shared" si="178"/>
        <v>2006.0034915503106</v>
      </c>
      <c r="M5623" s="443"/>
    </row>
    <row r="5624" spans="1:13">
      <c r="A5624" s="639">
        <v>82213</v>
      </c>
      <c r="B5624" s="639">
        <v>500</v>
      </c>
      <c r="C5624" s="638">
        <v>4913.1890000000003</v>
      </c>
      <c r="D5624" s="633">
        <f t="shared" si="179"/>
        <v>4913.1890000000003</v>
      </c>
      <c r="E5624" s="608"/>
      <c r="F5624" s="760">
        <f t="shared" si="178"/>
        <v>2072.7451749903321</v>
      </c>
      <c r="M5624" s="443"/>
    </row>
    <row r="5625" spans="1:13">
      <c r="A5625" s="639">
        <v>82213</v>
      </c>
      <c r="B5625" s="639">
        <v>600</v>
      </c>
      <c r="C5625" s="638">
        <v>5277.799</v>
      </c>
      <c r="D5625" s="633">
        <f t="shared" si="179"/>
        <v>5277.799</v>
      </c>
      <c r="E5625" s="608"/>
      <c r="F5625" s="760">
        <f t="shared" si="178"/>
        <v>2226.5645412417066</v>
      </c>
      <c r="M5625" s="443"/>
    </row>
    <row r="5626" spans="1:13">
      <c r="A5626" s="639">
        <v>82213</v>
      </c>
      <c r="B5626" s="639">
        <v>700</v>
      </c>
      <c r="C5626" s="638">
        <v>5826.6149999999998</v>
      </c>
      <c r="D5626" s="633">
        <f t="shared" si="179"/>
        <v>5826.6149999999998</v>
      </c>
      <c r="E5626" s="608"/>
      <c r="F5626" s="760">
        <f t="shared" si="178"/>
        <v>2458.0955725041908</v>
      </c>
      <c r="M5626" s="443"/>
    </row>
    <row r="5627" spans="1:13">
      <c r="A5627" s="639">
        <v>82213</v>
      </c>
      <c r="B5627" s="639">
        <v>800</v>
      </c>
      <c r="C5627" s="638">
        <v>6280.2690000000002</v>
      </c>
      <c r="D5627" s="633">
        <f t="shared" si="179"/>
        <v>6280.2690000000002</v>
      </c>
      <c r="E5627" s="608"/>
      <c r="F5627" s="760">
        <f t="shared" si="178"/>
        <v>2649.4802596422319</v>
      </c>
      <c r="M5627" s="443"/>
    </row>
    <row r="5628" spans="1:13">
      <c r="A5628" s="639">
        <v>82213</v>
      </c>
      <c r="B5628" s="639">
        <v>900</v>
      </c>
      <c r="C5628" s="638">
        <v>6628.2619999999997</v>
      </c>
      <c r="D5628" s="633">
        <f t="shared" si="179"/>
        <v>6628.2619999999997</v>
      </c>
      <c r="E5628" s="608"/>
      <c r="F5628" s="760">
        <f t="shared" ref="F5628:F5691" si="180">(D5628/(MAX($D$5116:$D$5859)))*$M$11</f>
        <v>2796.2893507804743</v>
      </c>
      <c r="M5628" s="443"/>
    </row>
    <row r="5629" spans="1:13">
      <c r="A5629" s="639">
        <v>82213</v>
      </c>
      <c r="B5629" s="639">
        <v>1000</v>
      </c>
      <c r="C5629" s="638">
        <v>6786.875</v>
      </c>
      <c r="D5629" s="633">
        <f t="shared" si="179"/>
        <v>6786.875</v>
      </c>
      <c r="E5629" s="608"/>
      <c r="F5629" s="760">
        <f t="shared" si="180"/>
        <v>2863.2040024335543</v>
      </c>
      <c r="M5629" s="443"/>
    </row>
    <row r="5630" spans="1:13">
      <c r="A5630" s="639">
        <v>82213</v>
      </c>
      <c r="B5630" s="639">
        <v>1100</v>
      </c>
      <c r="C5630" s="638">
        <v>7017.4170000000004</v>
      </c>
      <c r="D5630" s="633">
        <f t="shared" si="179"/>
        <v>7017.4170000000004</v>
      </c>
      <c r="E5630" s="608"/>
      <c r="F5630" s="760">
        <f t="shared" si="180"/>
        <v>2960.463606762356</v>
      </c>
      <c r="M5630" s="443"/>
    </row>
    <row r="5631" spans="1:13">
      <c r="A5631" s="639">
        <v>82213</v>
      </c>
      <c r="B5631" s="639">
        <v>1200</v>
      </c>
      <c r="C5631" s="638">
        <v>7422.0720000000001</v>
      </c>
      <c r="D5631" s="633">
        <f t="shared" si="179"/>
        <v>7422.0720000000001</v>
      </c>
      <c r="E5631" s="608"/>
      <c r="F5631" s="760">
        <f t="shared" si="180"/>
        <v>3131.1769049452087</v>
      </c>
      <c r="M5631" s="443"/>
    </row>
    <row r="5632" spans="1:13">
      <c r="A5632" s="639">
        <v>82213</v>
      </c>
      <c r="B5632" s="639">
        <v>1300</v>
      </c>
      <c r="C5632" s="638">
        <v>7610.268</v>
      </c>
      <c r="D5632" s="633">
        <f t="shared" si="179"/>
        <v>7610.268</v>
      </c>
      <c r="E5632" s="608"/>
      <c r="F5632" s="760">
        <f t="shared" si="180"/>
        <v>3210.5718459809555</v>
      </c>
      <c r="M5632" s="443"/>
    </row>
    <row r="5633" spans="1:13">
      <c r="A5633" s="639">
        <v>82213</v>
      </c>
      <c r="B5633" s="639">
        <v>1400</v>
      </c>
      <c r="C5633" s="638">
        <v>8004.5569999999998</v>
      </c>
      <c r="D5633" s="633">
        <f t="shared" si="179"/>
        <v>8004.5569999999998</v>
      </c>
      <c r="E5633" s="608"/>
      <c r="F5633" s="760">
        <f t="shared" si="180"/>
        <v>3376.9120014892746</v>
      </c>
      <c r="M5633" s="443"/>
    </row>
    <row r="5634" spans="1:13">
      <c r="A5634" s="639">
        <v>82213</v>
      </c>
      <c r="B5634" s="639">
        <v>1500</v>
      </c>
      <c r="C5634" s="638">
        <v>8135.79</v>
      </c>
      <c r="D5634" s="633">
        <f t="shared" si="179"/>
        <v>8135.79</v>
      </c>
      <c r="E5634" s="608"/>
      <c r="F5634" s="760">
        <f t="shared" si="180"/>
        <v>3432.2757514996051</v>
      </c>
      <c r="M5634" s="443"/>
    </row>
    <row r="5635" spans="1:13">
      <c r="A5635" s="639">
        <v>82213</v>
      </c>
      <c r="B5635" s="639">
        <v>1600</v>
      </c>
      <c r="C5635" s="638">
        <v>8572.6530000000002</v>
      </c>
      <c r="D5635" s="633">
        <f t="shared" si="179"/>
        <v>8572.6530000000002</v>
      </c>
      <c r="E5635" s="608"/>
      <c r="F5635" s="760">
        <f t="shared" si="180"/>
        <v>3616.5767575023874</v>
      </c>
      <c r="M5635" s="443"/>
    </row>
    <row r="5636" spans="1:13">
      <c r="A5636" s="639">
        <v>82213</v>
      </c>
      <c r="B5636" s="639">
        <v>1700</v>
      </c>
      <c r="C5636" s="638">
        <v>8882.3520000000008</v>
      </c>
      <c r="D5636" s="633">
        <f t="shared" si="179"/>
        <v>8882.3520000000008</v>
      </c>
      <c r="E5636" s="608"/>
      <c r="F5636" s="760">
        <f t="shared" si="180"/>
        <v>3747.2306175410163</v>
      </c>
      <c r="M5636" s="443"/>
    </row>
    <row r="5637" spans="1:13">
      <c r="A5637" s="639">
        <v>82213</v>
      </c>
      <c r="B5637" s="639">
        <v>1800</v>
      </c>
      <c r="C5637" s="638">
        <v>8697.6350000000002</v>
      </c>
      <c r="D5637" s="633">
        <f t="shared" ref="D5637:D5700" si="181">C5637</f>
        <v>8697.6350000000002</v>
      </c>
      <c r="E5637" s="608"/>
      <c r="F5637" s="760">
        <f t="shared" si="180"/>
        <v>3669.3033750741197</v>
      </c>
      <c r="M5637" s="443"/>
    </row>
    <row r="5638" spans="1:13">
      <c r="A5638" s="639">
        <v>82213</v>
      </c>
      <c r="B5638" s="639">
        <v>1900</v>
      </c>
      <c r="C5638" s="638">
        <v>8324.5249999999996</v>
      </c>
      <c r="D5638" s="633">
        <f t="shared" si="181"/>
        <v>8324.5249999999996</v>
      </c>
      <c r="E5638" s="608"/>
      <c r="F5638" s="760">
        <f t="shared" si="180"/>
        <v>3511.8980824544697</v>
      </c>
      <c r="M5638" s="443"/>
    </row>
    <row r="5639" spans="1:13">
      <c r="A5639" s="639">
        <v>82213</v>
      </c>
      <c r="B5639" s="639">
        <v>2000</v>
      </c>
      <c r="C5639" s="638">
        <v>8373.8790000000008</v>
      </c>
      <c r="D5639" s="633">
        <f t="shared" si="181"/>
        <v>8373.8790000000008</v>
      </c>
      <c r="E5639" s="608"/>
      <c r="F5639" s="760">
        <f t="shared" si="180"/>
        <v>3532.7192365697451</v>
      </c>
      <c r="M5639" s="443"/>
    </row>
    <row r="5640" spans="1:13">
      <c r="A5640" s="639">
        <v>82213</v>
      </c>
      <c r="B5640" s="639">
        <v>2100</v>
      </c>
      <c r="C5640" s="638">
        <v>8261.0450000000001</v>
      </c>
      <c r="D5640" s="633">
        <f t="shared" si="181"/>
        <v>8261.0450000000001</v>
      </c>
      <c r="E5640" s="608"/>
      <c r="F5640" s="760">
        <f t="shared" si="180"/>
        <v>3485.117540588813</v>
      </c>
      <c r="M5640" s="443"/>
    </row>
    <row r="5641" spans="1:13">
      <c r="A5641" s="639">
        <v>82213</v>
      </c>
      <c r="B5641" s="639">
        <v>2200</v>
      </c>
      <c r="C5641" s="638">
        <v>7445.6220000000003</v>
      </c>
      <c r="D5641" s="633">
        <f t="shared" si="181"/>
        <v>7445.6220000000003</v>
      </c>
      <c r="E5641" s="608"/>
      <c r="F5641" s="760">
        <f t="shared" si="180"/>
        <v>3141.1120303537818</v>
      </c>
      <c r="M5641" s="443"/>
    </row>
    <row r="5642" spans="1:13">
      <c r="A5642" s="639">
        <v>82213</v>
      </c>
      <c r="B5642" s="639">
        <v>2300</v>
      </c>
      <c r="C5642" s="638">
        <v>6295.3389999999999</v>
      </c>
      <c r="D5642" s="633">
        <f t="shared" si="181"/>
        <v>6295.3389999999999</v>
      </c>
      <c r="E5642" s="608"/>
      <c r="F5642" s="760">
        <f t="shared" si="180"/>
        <v>2655.837896156338</v>
      </c>
      <c r="M5642" s="443"/>
    </row>
    <row r="5643" spans="1:13">
      <c r="A5643" s="639">
        <v>82213</v>
      </c>
      <c r="B5643" s="639">
        <v>2400</v>
      </c>
      <c r="C5643" s="638">
        <v>5347.299</v>
      </c>
      <c r="D5643" s="633">
        <f t="shared" si="181"/>
        <v>5347.299</v>
      </c>
      <c r="E5643" s="608"/>
      <c r="F5643" s="760">
        <f t="shared" si="180"/>
        <v>2255.8847627234832</v>
      </c>
      <c r="M5643" s="443"/>
    </row>
    <row r="5644" spans="1:13">
      <c r="A5644" s="639">
        <v>82313</v>
      </c>
      <c r="B5644" s="639">
        <v>100</v>
      </c>
      <c r="C5644" s="638">
        <v>4814.6440000000002</v>
      </c>
      <c r="D5644" s="633">
        <f t="shared" si="181"/>
        <v>4814.6440000000002</v>
      </c>
      <c r="E5644" s="608"/>
      <c r="F5644" s="760">
        <f t="shared" si="180"/>
        <v>2031.1716321713154</v>
      </c>
      <c r="M5644" s="443"/>
    </row>
    <row r="5645" spans="1:13">
      <c r="A5645" s="639">
        <v>82313</v>
      </c>
      <c r="B5645" s="639">
        <v>200</v>
      </c>
      <c r="C5645" s="638">
        <v>4493.4309999999996</v>
      </c>
      <c r="D5645" s="633">
        <f t="shared" si="181"/>
        <v>4493.4309999999996</v>
      </c>
      <c r="E5645" s="608"/>
      <c r="F5645" s="760">
        <f t="shared" si="180"/>
        <v>1895.6603184615901</v>
      </c>
      <c r="M5645" s="443"/>
    </row>
    <row r="5646" spans="1:13">
      <c r="A5646" s="639">
        <v>82313</v>
      </c>
      <c r="B5646" s="639">
        <v>300</v>
      </c>
      <c r="C5646" s="638">
        <v>4333.433</v>
      </c>
      <c r="D5646" s="633">
        <f t="shared" si="181"/>
        <v>4333.433</v>
      </c>
      <c r="E5646" s="608"/>
      <c r="F5646" s="760">
        <f t="shared" si="180"/>
        <v>1828.1613717473276</v>
      </c>
      <c r="M5646" s="443"/>
    </row>
    <row r="5647" spans="1:13">
      <c r="A5647" s="639">
        <v>82313</v>
      </c>
      <c r="B5647" s="639">
        <v>400</v>
      </c>
      <c r="C5647" s="638">
        <v>4300.4939999999997</v>
      </c>
      <c r="D5647" s="633">
        <f t="shared" si="181"/>
        <v>4300.4939999999997</v>
      </c>
      <c r="E5647" s="608"/>
      <c r="F5647" s="760">
        <f t="shared" si="180"/>
        <v>1814.2652742597268</v>
      </c>
      <c r="M5647" s="443"/>
    </row>
    <row r="5648" spans="1:13">
      <c r="A5648" s="639">
        <v>82313</v>
      </c>
      <c r="B5648" s="639">
        <v>500</v>
      </c>
      <c r="C5648" s="638">
        <v>4458.6180000000004</v>
      </c>
      <c r="D5648" s="633">
        <f t="shared" si="181"/>
        <v>4458.6180000000004</v>
      </c>
      <c r="E5648" s="608"/>
      <c r="F5648" s="760">
        <f t="shared" si="180"/>
        <v>1880.9736296782082</v>
      </c>
      <c r="M5648" s="443"/>
    </row>
    <row r="5649" spans="1:13">
      <c r="A5649" s="639">
        <v>82313</v>
      </c>
      <c r="B5649" s="639">
        <v>600</v>
      </c>
      <c r="C5649" s="638">
        <v>4786.7929999999997</v>
      </c>
      <c r="D5649" s="633">
        <f t="shared" si="181"/>
        <v>4786.7929999999997</v>
      </c>
      <c r="E5649" s="608"/>
      <c r="F5649" s="760">
        <f t="shared" si="180"/>
        <v>2019.4220280203949</v>
      </c>
      <c r="M5649" s="443"/>
    </row>
    <row r="5650" spans="1:13">
      <c r="A5650" s="639">
        <v>82313</v>
      </c>
      <c r="B5650" s="639">
        <v>700</v>
      </c>
      <c r="C5650" s="638">
        <v>5240.4859999999999</v>
      </c>
      <c r="D5650" s="633">
        <f t="shared" si="181"/>
        <v>5240.4859999999999</v>
      </c>
      <c r="E5650" s="608"/>
      <c r="F5650" s="760">
        <f t="shared" si="180"/>
        <v>2210.8231682323612</v>
      </c>
      <c r="M5650" s="443"/>
    </row>
    <row r="5651" spans="1:13">
      <c r="A5651" s="639">
        <v>82313</v>
      </c>
      <c r="B5651" s="639">
        <v>800</v>
      </c>
      <c r="C5651" s="638">
        <v>5482.8670000000002</v>
      </c>
      <c r="D5651" s="633">
        <f t="shared" si="181"/>
        <v>5482.8670000000002</v>
      </c>
      <c r="E5651" s="608"/>
      <c r="F5651" s="760">
        <f t="shared" si="180"/>
        <v>2313.0773351816342</v>
      </c>
      <c r="M5651" s="443"/>
    </row>
    <row r="5652" spans="1:13">
      <c r="A5652" s="639">
        <v>82313</v>
      </c>
      <c r="B5652" s="639">
        <v>900</v>
      </c>
      <c r="C5652" s="638">
        <v>5712.951</v>
      </c>
      <c r="D5652" s="633">
        <f t="shared" si="181"/>
        <v>5712.951</v>
      </c>
      <c r="E5652" s="608"/>
      <c r="F5652" s="760">
        <f t="shared" si="180"/>
        <v>2410.1437213602394</v>
      </c>
      <c r="M5652" s="443"/>
    </row>
    <row r="5653" spans="1:13">
      <c r="A5653" s="639">
        <v>82313</v>
      </c>
      <c r="B5653" s="639">
        <v>1000</v>
      </c>
      <c r="C5653" s="638">
        <v>5863.3540000000003</v>
      </c>
      <c r="D5653" s="633">
        <f t="shared" si="181"/>
        <v>5863.3540000000003</v>
      </c>
      <c r="E5653" s="608"/>
      <c r="F5653" s="760">
        <f t="shared" si="180"/>
        <v>2473.5947900152555</v>
      </c>
      <c r="M5653" s="443"/>
    </row>
    <row r="5654" spans="1:13">
      <c r="A5654" s="639">
        <v>82313</v>
      </c>
      <c r="B5654" s="639">
        <v>1100</v>
      </c>
      <c r="C5654" s="638">
        <v>5920.3440000000001</v>
      </c>
      <c r="D5654" s="633">
        <f t="shared" si="181"/>
        <v>5920.3440000000001</v>
      </c>
      <c r="E5654" s="608"/>
      <c r="F5654" s="760">
        <f t="shared" si="180"/>
        <v>2497.6373716303124</v>
      </c>
      <c r="M5654" s="443"/>
    </row>
    <row r="5655" spans="1:13">
      <c r="A5655" s="639">
        <v>82313</v>
      </c>
      <c r="B5655" s="639">
        <v>1200</v>
      </c>
      <c r="C5655" s="638">
        <v>6046.9989999999998</v>
      </c>
      <c r="D5655" s="633">
        <f t="shared" si="181"/>
        <v>6046.9989999999998</v>
      </c>
      <c r="E5655" s="608"/>
      <c r="F5655" s="760">
        <f t="shared" si="180"/>
        <v>2551.0697838860588</v>
      </c>
      <c r="M5655" s="443"/>
    </row>
    <row r="5656" spans="1:13">
      <c r="A5656" s="639">
        <v>82313</v>
      </c>
      <c r="B5656" s="639">
        <v>1300</v>
      </c>
      <c r="C5656" s="638">
        <v>6206.7790000000005</v>
      </c>
      <c r="D5656" s="633">
        <f t="shared" si="181"/>
        <v>6206.7790000000005</v>
      </c>
      <c r="E5656" s="608"/>
      <c r="F5656" s="760">
        <f t="shared" si="180"/>
        <v>2618.4767621358187</v>
      </c>
      <c r="M5656" s="443"/>
    </row>
    <row r="5657" spans="1:13">
      <c r="A5657" s="639">
        <v>82313</v>
      </c>
      <c r="B5657" s="639">
        <v>1400</v>
      </c>
      <c r="C5657" s="638">
        <v>6443.8729999999996</v>
      </c>
      <c r="D5657" s="633">
        <f t="shared" si="181"/>
        <v>6443.8729999999996</v>
      </c>
      <c r="E5657" s="608"/>
      <c r="F5657" s="760">
        <f t="shared" si="180"/>
        <v>2718.5004828840242</v>
      </c>
      <c r="M5657" s="443"/>
    </row>
    <row r="5658" spans="1:13">
      <c r="A5658" s="639">
        <v>82313</v>
      </c>
      <c r="B5658" s="639">
        <v>1500</v>
      </c>
      <c r="C5658" s="638">
        <v>6675.2470000000003</v>
      </c>
      <c r="D5658" s="633">
        <f t="shared" si="181"/>
        <v>6675.2470000000003</v>
      </c>
      <c r="E5658" s="608"/>
      <c r="F5658" s="760">
        <f t="shared" si="180"/>
        <v>2816.1110861232264</v>
      </c>
      <c r="M5658" s="443"/>
    </row>
    <row r="5659" spans="1:13">
      <c r="A5659" s="639">
        <v>82313</v>
      </c>
      <c r="B5659" s="639">
        <v>1600</v>
      </c>
      <c r="C5659" s="638">
        <v>7190.0069999999996</v>
      </c>
      <c r="D5659" s="633">
        <f t="shared" si="181"/>
        <v>7190.0069999999996</v>
      </c>
      <c r="E5659" s="608"/>
      <c r="F5659" s="760">
        <f t="shared" si="180"/>
        <v>3033.27478698595</v>
      </c>
      <c r="M5659" s="443"/>
    </row>
    <row r="5660" spans="1:13">
      <c r="A5660" s="639">
        <v>82313</v>
      </c>
      <c r="B5660" s="639">
        <v>1700</v>
      </c>
      <c r="C5660" s="638">
        <v>7506.9830000000002</v>
      </c>
      <c r="D5660" s="633">
        <f t="shared" si="181"/>
        <v>7506.9830000000002</v>
      </c>
      <c r="E5660" s="608"/>
      <c r="F5660" s="760">
        <f t="shared" si="180"/>
        <v>3166.9986218695126</v>
      </c>
      <c r="M5660" s="443"/>
    </row>
    <row r="5661" spans="1:13">
      <c r="A5661" s="639">
        <v>82313</v>
      </c>
      <c r="B5661" s="639">
        <v>1800</v>
      </c>
      <c r="C5661" s="638">
        <v>7596.5140000000001</v>
      </c>
      <c r="D5661" s="633">
        <f t="shared" si="181"/>
        <v>7596.5140000000001</v>
      </c>
      <c r="E5661" s="608"/>
      <c r="F5661" s="760">
        <f t="shared" si="180"/>
        <v>3204.7693952433965</v>
      </c>
      <c r="M5661" s="443"/>
    </row>
    <row r="5662" spans="1:13">
      <c r="A5662" s="639">
        <v>82313</v>
      </c>
      <c r="B5662" s="639">
        <v>1900</v>
      </c>
      <c r="C5662" s="638">
        <v>7450.192</v>
      </c>
      <c r="D5662" s="633">
        <f t="shared" si="181"/>
        <v>7450.192</v>
      </c>
      <c r="E5662" s="608"/>
      <c r="F5662" s="760">
        <f t="shared" si="180"/>
        <v>3143.0399931188426</v>
      </c>
      <c r="M5662" s="443"/>
    </row>
    <row r="5663" spans="1:13">
      <c r="A5663" s="639">
        <v>82313</v>
      </c>
      <c r="B5663" s="639">
        <v>2000</v>
      </c>
      <c r="C5663" s="638">
        <v>7518.1809999999996</v>
      </c>
      <c r="D5663" s="633">
        <f t="shared" si="181"/>
        <v>7518.1809999999996</v>
      </c>
      <c r="E5663" s="608"/>
      <c r="F5663" s="760">
        <f t="shared" si="180"/>
        <v>3171.7227634544465</v>
      </c>
      <c r="M5663" s="443"/>
    </row>
    <row r="5664" spans="1:13">
      <c r="A5664" s="639">
        <v>82313</v>
      </c>
      <c r="B5664" s="639">
        <v>2100</v>
      </c>
      <c r="C5664" s="638">
        <v>7432.348</v>
      </c>
      <c r="D5664" s="633">
        <f t="shared" si="181"/>
        <v>7432.348</v>
      </c>
      <c r="E5664" s="608"/>
      <c r="F5664" s="760">
        <f t="shared" si="180"/>
        <v>3135.5120789876073</v>
      </c>
      <c r="M5664" s="443"/>
    </row>
    <row r="5665" spans="1:13">
      <c r="A5665" s="639">
        <v>82313</v>
      </c>
      <c r="B5665" s="639">
        <v>2200</v>
      </c>
      <c r="C5665" s="638">
        <v>6761.15</v>
      </c>
      <c r="D5665" s="633">
        <f t="shared" si="181"/>
        <v>6761.15</v>
      </c>
      <c r="E5665" s="608"/>
      <c r="F5665" s="760">
        <f t="shared" si="180"/>
        <v>2852.3513017483929</v>
      </c>
      <c r="M5665" s="443"/>
    </row>
    <row r="5666" spans="1:13">
      <c r="A5666" s="639">
        <v>82313</v>
      </c>
      <c r="B5666" s="639">
        <v>2300</v>
      </c>
      <c r="C5666" s="638">
        <v>5875.8180000000002</v>
      </c>
      <c r="D5666" s="633">
        <f t="shared" si="181"/>
        <v>5875.8180000000002</v>
      </c>
      <c r="E5666" s="608"/>
      <c r="F5666" s="760">
        <f t="shared" si="180"/>
        <v>2478.8530236922179</v>
      </c>
      <c r="M5666" s="443"/>
    </row>
    <row r="5667" spans="1:13">
      <c r="A5667" s="639">
        <v>82313</v>
      </c>
      <c r="B5667" s="639">
        <v>2400</v>
      </c>
      <c r="C5667" s="638">
        <v>5121.116</v>
      </c>
      <c r="D5667" s="633">
        <f t="shared" si="181"/>
        <v>5121.116</v>
      </c>
      <c r="E5667" s="608"/>
      <c r="F5667" s="760">
        <f t="shared" si="180"/>
        <v>2160.4641058110706</v>
      </c>
      <c r="M5667" s="443"/>
    </row>
    <row r="5668" spans="1:13">
      <c r="A5668" s="639">
        <v>82413</v>
      </c>
      <c r="B5668" s="639">
        <v>100</v>
      </c>
      <c r="C5668" s="638">
        <v>4670.8829999999998</v>
      </c>
      <c r="D5668" s="633">
        <f t="shared" si="181"/>
        <v>4670.8829999999998</v>
      </c>
      <c r="E5668" s="608"/>
      <c r="F5668" s="760">
        <f t="shared" si="180"/>
        <v>1970.5226485678379</v>
      </c>
      <c r="M5668" s="443"/>
    </row>
    <row r="5669" spans="1:13">
      <c r="A5669" s="639">
        <v>82413</v>
      </c>
      <c r="B5669" s="639">
        <v>200</v>
      </c>
      <c r="C5669" s="638">
        <v>4405.9620000000004</v>
      </c>
      <c r="D5669" s="633">
        <f t="shared" si="181"/>
        <v>4405.9620000000004</v>
      </c>
      <c r="E5669" s="608"/>
      <c r="F5669" s="760">
        <f t="shared" si="180"/>
        <v>1858.7594486372811</v>
      </c>
      <c r="M5669" s="443"/>
    </row>
    <row r="5670" spans="1:13">
      <c r="A5670" s="639">
        <v>82413</v>
      </c>
      <c r="B5670" s="639">
        <v>300</v>
      </c>
      <c r="C5670" s="638">
        <v>4292.2269999999999</v>
      </c>
      <c r="D5670" s="633">
        <f t="shared" si="181"/>
        <v>4292.2269999999999</v>
      </c>
      <c r="E5670" s="608"/>
      <c r="F5670" s="760">
        <f t="shared" si="180"/>
        <v>1810.7776444613119</v>
      </c>
      <c r="M5670" s="443"/>
    </row>
    <row r="5671" spans="1:13">
      <c r="A5671" s="639">
        <v>82413</v>
      </c>
      <c r="B5671" s="639">
        <v>400</v>
      </c>
      <c r="C5671" s="638">
        <v>4175.1540000000005</v>
      </c>
      <c r="D5671" s="633">
        <f t="shared" si="181"/>
        <v>4175.1540000000005</v>
      </c>
      <c r="E5671" s="608"/>
      <c r="F5671" s="760">
        <f t="shared" si="180"/>
        <v>1761.387625906837</v>
      </c>
      <c r="M5671" s="443"/>
    </row>
    <row r="5672" spans="1:13">
      <c r="A5672" s="639">
        <v>82413</v>
      </c>
      <c r="B5672" s="639">
        <v>500</v>
      </c>
      <c r="C5672" s="638">
        <v>4219.7510000000002</v>
      </c>
      <c r="D5672" s="633">
        <f t="shared" si="181"/>
        <v>4219.7510000000002</v>
      </c>
      <c r="E5672" s="608"/>
      <c r="F5672" s="760">
        <f t="shared" si="180"/>
        <v>1780.2019268769488</v>
      </c>
      <c r="M5672" s="443"/>
    </row>
    <row r="5673" spans="1:13">
      <c r="A5673" s="639">
        <v>82413</v>
      </c>
      <c r="B5673" s="639">
        <v>600</v>
      </c>
      <c r="C5673" s="638">
        <v>4423.0510000000004</v>
      </c>
      <c r="D5673" s="633">
        <f t="shared" si="181"/>
        <v>4423.0510000000004</v>
      </c>
      <c r="E5673" s="608"/>
      <c r="F5673" s="760">
        <f t="shared" si="180"/>
        <v>1865.9688481322751</v>
      </c>
      <c r="M5673" s="443"/>
    </row>
    <row r="5674" spans="1:13">
      <c r="A5674" s="639">
        <v>82413</v>
      </c>
      <c r="B5674" s="639">
        <v>700</v>
      </c>
      <c r="C5674" s="638">
        <v>4867.8950000000004</v>
      </c>
      <c r="D5674" s="633">
        <f t="shared" si="181"/>
        <v>4867.8950000000004</v>
      </c>
      <c r="E5674" s="608"/>
      <c r="F5674" s="760">
        <f t="shared" si="180"/>
        <v>2053.6368280580218</v>
      </c>
      <c r="M5674" s="443"/>
    </row>
    <row r="5675" spans="1:13">
      <c r="A5675" s="639">
        <v>82413</v>
      </c>
      <c r="B5675" s="639">
        <v>800</v>
      </c>
      <c r="C5675" s="638">
        <v>5348.7809999999999</v>
      </c>
      <c r="D5675" s="633">
        <f t="shared" si="181"/>
        <v>5348.7809999999999</v>
      </c>
      <c r="E5675" s="608"/>
      <c r="F5675" s="760">
        <f t="shared" si="180"/>
        <v>2256.5099795326346</v>
      </c>
      <c r="M5675" s="443"/>
    </row>
    <row r="5676" spans="1:13">
      <c r="A5676" s="639">
        <v>82413</v>
      </c>
      <c r="B5676" s="639">
        <v>900</v>
      </c>
      <c r="C5676" s="638">
        <v>5634.3940000000002</v>
      </c>
      <c r="D5676" s="633">
        <f t="shared" si="181"/>
        <v>5634.3940000000002</v>
      </c>
      <c r="E5676" s="608"/>
      <c r="F5676" s="760">
        <f t="shared" si="180"/>
        <v>2377.0025898646436</v>
      </c>
      <c r="M5676" s="443"/>
    </row>
    <row r="5677" spans="1:13">
      <c r="A5677" s="639">
        <v>82413</v>
      </c>
      <c r="B5677" s="639">
        <v>1000</v>
      </c>
      <c r="C5677" s="638">
        <v>5953.835</v>
      </c>
      <c r="D5677" s="633">
        <f t="shared" si="181"/>
        <v>5953.835</v>
      </c>
      <c r="E5677" s="608"/>
      <c r="F5677" s="760">
        <f t="shared" si="180"/>
        <v>2511.7663433950056</v>
      </c>
      <c r="M5677" s="443"/>
    </row>
    <row r="5678" spans="1:13">
      <c r="A5678" s="639">
        <v>82413</v>
      </c>
      <c r="B5678" s="639">
        <v>1100</v>
      </c>
      <c r="C5678" s="638">
        <v>6172.6360000000004</v>
      </c>
      <c r="D5678" s="633">
        <f t="shared" si="181"/>
        <v>6172.6360000000004</v>
      </c>
      <c r="E5678" s="608"/>
      <c r="F5678" s="760">
        <f t="shared" si="180"/>
        <v>2604.0727287249938</v>
      </c>
      <c r="M5678" s="443"/>
    </row>
    <row r="5679" spans="1:13">
      <c r="A5679" s="639">
        <v>82413</v>
      </c>
      <c r="B5679" s="639">
        <v>1200</v>
      </c>
      <c r="C5679" s="638">
        <v>6331.2430000000004</v>
      </c>
      <c r="D5679" s="633">
        <f t="shared" si="181"/>
        <v>6331.2430000000004</v>
      </c>
      <c r="E5679" s="608"/>
      <c r="F5679" s="760">
        <f t="shared" si="180"/>
        <v>2670.9848491359312</v>
      </c>
      <c r="M5679" s="443"/>
    </row>
    <row r="5680" spans="1:13">
      <c r="A5680" s="639">
        <v>82413</v>
      </c>
      <c r="B5680" s="639">
        <v>1300</v>
      </c>
      <c r="C5680" s="638">
        <v>6455.2560000000003</v>
      </c>
      <c r="D5680" s="633">
        <f t="shared" si="181"/>
        <v>6455.2560000000003</v>
      </c>
      <c r="E5680" s="608"/>
      <c r="F5680" s="760">
        <f t="shared" si="180"/>
        <v>2723.3026711016801</v>
      </c>
      <c r="M5680" s="443"/>
    </row>
    <row r="5681" spans="1:13">
      <c r="A5681" s="639">
        <v>82413</v>
      </c>
      <c r="B5681" s="639">
        <v>1400</v>
      </c>
      <c r="C5681" s="638">
        <v>6713.9430000000002</v>
      </c>
      <c r="D5681" s="633">
        <f t="shared" si="181"/>
        <v>6713.9430000000002</v>
      </c>
      <c r="E5681" s="608"/>
      <c r="F5681" s="760">
        <f t="shared" si="180"/>
        <v>2832.4359104463751</v>
      </c>
      <c r="M5681" s="443"/>
    </row>
    <row r="5682" spans="1:13">
      <c r="A5682" s="639">
        <v>82413</v>
      </c>
      <c r="B5682" s="639">
        <v>1500</v>
      </c>
      <c r="C5682" s="638">
        <v>6954.375</v>
      </c>
      <c r="D5682" s="633">
        <f t="shared" si="181"/>
        <v>6954.375</v>
      </c>
      <c r="E5682" s="608"/>
      <c r="F5682" s="760">
        <f t="shared" si="180"/>
        <v>2933.8678455730874</v>
      </c>
      <c r="M5682" s="443"/>
    </row>
    <row r="5683" spans="1:13">
      <c r="A5683" s="639">
        <v>82413</v>
      </c>
      <c r="B5683" s="639">
        <v>1600</v>
      </c>
      <c r="C5683" s="638">
        <v>7320.6940000000004</v>
      </c>
      <c r="D5683" s="633">
        <f t="shared" si="181"/>
        <v>7320.6940000000004</v>
      </c>
      <c r="E5683" s="608"/>
      <c r="F5683" s="760">
        <f t="shared" si="180"/>
        <v>3088.4081939613302</v>
      </c>
      <c r="M5683" s="443"/>
    </row>
    <row r="5684" spans="1:13">
      <c r="A5684" s="639">
        <v>82413</v>
      </c>
      <c r="B5684" s="639">
        <v>1700</v>
      </c>
      <c r="C5684" s="638">
        <v>7620.3180000000002</v>
      </c>
      <c r="D5684" s="633">
        <f t="shared" si="181"/>
        <v>7620.3180000000002</v>
      </c>
      <c r="E5684" s="608"/>
      <c r="F5684" s="760">
        <f t="shared" si="180"/>
        <v>3214.8116765693276</v>
      </c>
      <c r="M5684" s="443"/>
    </row>
    <row r="5685" spans="1:13">
      <c r="A5685" s="639">
        <v>82413</v>
      </c>
      <c r="B5685" s="639">
        <v>1800</v>
      </c>
      <c r="C5685" s="638">
        <v>7694.5420000000004</v>
      </c>
      <c r="D5685" s="633">
        <f t="shared" si="181"/>
        <v>7694.5420000000004</v>
      </c>
      <c r="E5685" s="608"/>
      <c r="F5685" s="760">
        <f t="shared" si="180"/>
        <v>3246.1248293644844</v>
      </c>
      <c r="M5685" s="443"/>
    </row>
    <row r="5686" spans="1:13">
      <c r="A5686" s="639">
        <v>82413</v>
      </c>
      <c r="B5686" s="639">
        <v>1900</v>
      </c>
      <c r="C5686" s="638">
        <v>7274.6419999999998</v>
      </c>
      <c r="D5686" s="633">
        <f t="shared" si="181"/>
        <v>7274.6419999999998</v>
      </c>
      <c r="E5686" s="608"/>
      <c r="F5686" s="760">
        <f t="shared" si="180"/>
        <v>3068.9800667717077</v>
      </c>
      <c r="M5686" s="443"/>
    </row>
    <row r="5687" spans="1:13">
      <c r="A5687" s="639">
        <v>82413</v>
      </c>
      <c r="B5687" s="639">
        <v>2000</v>
      </c>
      <c r="C5687" s="638">
        <v>7194.4380000000001</v>
      </c>
      <c r="D5687" s="633">
        <f t="shared" si="181"/>
        <v>7194.4380000000001</v>
      </c>
      <c r="E5687" s="608"/>
      <c r="F5687" s="760">
        <f t="shared" si="180"/>
        <v>3035.1441093080475</v>
      </c>
      <c r="M5687" s="443"/>
    </row>
    <row r="5688" spans="1:13">
      <c r="A5688" s="639">
        <v>82413</v>
      </c>
      <c r="B5688" s="639">
        <v>2100</v>
      </c>
      <c r="C5688" s="638">
        <v>6991.8540000000003</v>
      </c>
      <c r="D5688" s="633">
        <f t="shared" si="181"/>
        <v>6991.8540000000003</v>
      </c>
      <c r="E5688" s="608"/>
      <c r="F5688" s="760">
        <f t="shared" si="180"/>
        <v>2949.679249615037</v>
      </c>
      <c r="M5688" s="443"/>
    </row>
    <row r="5689" spans="1:13">
      <c r="A5689" s="639">
        <v>82413</v>
      </c>
      <c r="B5689" s="639">
        <v>2200</v>
      </c>
      <c r="C5689" s="638">
        <v>6520.3620000000001</v>
      </c>
      <c r="D5689" s="633">
        <f t="shared" si="181"/>
        <v>6520.3620000000001</v>
      </c>
      <c r="E5689" s="608"/>
      <c r="F5689" s="760">
        <f t="shared" si="180"/>
        <v>2750.7691795879036</v>
      </c>
      <c r="M5689" s="443"/>
    </row>
    <row r="5690" spans="1:13">
      <c r="A5690" s="639">
        <v>82413</v>
      </c>
      <c r="B5690" s="639">
        <v>2300</v>
      </c>
      <c r="C5690" s="638">
        <v>5753.2690000000002</v>
      </c>
      <c r="D5690" s="633">
        <f t="shared" si="181"/>
        <v>5753.2690000000002</v>
      </c>
      <c r="E5690" s="608"/>
      <c r="F5690" s="760">
        <f t="shared" si="180"/>
        <v>2427.1528248091931</v>
      </c>
      <c r="M5690" s="443"/>
    </row>
    <row r="5691" spans="1:13">
      <c r="A5691" s="639">
        <v>82413</v>
      </c>
      <c r="B5691" s="639">
        <v>2400</v>
      </c>
      <c r="C5691" s="638">
        <v>5170.0619999999999</v>
      </c>
      <c r="D5691" s="633">
        <f t="shared" si="181"/>
        <v>5170.0619999999999</v>
      </c>
      <c r="E5691" s="608"/>
      <c r="F5691" s="760">
        <f t="shared" si="180"/>
        <v>2181.1131354606687</v>
      </c>
      <c r="M5691" s="443"/>
    </row>
    <row r="5692" spans="1:13">
      <c r="A5692" s="639">
        <v>82513</v>
      </c>
      <c r="B5692" s="639">
        <v>100</v>
      </c>
      <c r="C5692" s="638">
        <v>4773.7420000000002</v>
      </c>
      <c r="D5692" s="633">
        <f t="shared" si="181"/>
        <v>4773.7420000000002</v>
      </c>
      <c r="E5692" s="608"/>
      <c r="F5692" s="760">
        <f t="shared" ref="F5692:F5755" si="182">(D5692/(MAX($D$5116:$D$5859)))*$M$11</f>
        <v>2013.916154487177</v>
      </c>
      <c r="M5692" s="443"/>
    </row>
    <row r="5693" spans="1:13">
      <c r="A5693" s="639">
        <v>82513</v>
      </c>
      <c r="B5693" s="639">
        <v>200</v>
      </c>
      <c r="C5693" s="638">
        <v>4461.4089999999997</v>
      </c>
      <c r="D5693" s="633">
        <f t="shared" si="181"/>
        <v>4461.4089999999997</v>
      </c>
      <c r="E5693" s="608"/>
      <c r="F5693" s="760">
        <f t="shared" si="182"/>
        <v>1882.151079148073</v>
      </c>
      <c r="M5693" s="443"/>
    </row>
    <row r="5694" spans="1:13">
      <c r="A5694" s="639">
        <v>82513</v>
      </c>
      <c r="B5694" s="639">
        <v>300</v>
      </c>
      <c r="C5694" s="638">
        <v>4265.9229999999998</v>
      </c>
      <c r="D5694" s="633">
        <f t="shared" si="181"/>
        <v>4265.9229999999998</v>
      </c>
      <c r="E5694" s="608"/>
      <c r="F5694" s="760">
        <f t="shared" si="182"/>
        <v>1799.6806789094173</v>
      </c>
      <c r="M5694" s="443"/>
    </row>
    <row r="5695" spans="1:13">
      <c r="A5695" s="639">
        <v>82513</v>
      </c>
      <c r="B5695" s="639">
        <v>400</v>
      </c>
      <c r="C5695" s="638">
        <v>4153.1729999999998</v>
      </c>
      <c r="D5695" s="633">
        <f t="shared" si="181"/>
        <v>4153.1729999999998</v>
      </c>
      <c r="E5695" s="608"/>
      <c r="F5695" s="760">
        <f t="shared" si="182"/>
        <v>1752.1144203184779</v>
      </c>
      <c r="M5695" s="443"/>
    </row>
    <row r="5696" spans="1:13">
      <c r="A5696" s="639">
        <v>82513</v>
      </c>
      <c r="B5696" s="639">
        <v>500</v>
      </c>
      <c r="C5696" s="638">
        <v>4157.3580000000002</v>
      </c>
      <c r="D5696" s="633">
        <f t="shared" si="181"/>
        <v>4157.3580000000002</v>
      </c>
      <c r="E5696" s="608"/>
      <c r="F5696" s="760">
        <f t="shared" si="182"/>
        <v>1753.8799617127404</v>
      </c>
      <c r="M5696" s="443"/>
    </row>
    <row r="5697" spans="1:13">
      <c r="A5697" s="639">
        <v>82513</v>
      </c>
      <c r="B5697" s="639">
        <v>600</v>
      </c>
      <c r="C5697" s="638">
        <v>4287.4859999999999</v>
      </c>
      <c r="D5697" s="633">
        <f t="shared" si="181"/>
        <v>4287.4859999999999</v>
      </c>
      <c r="E5697" s="608"/>
      <c r="F5697" s="760">
        <f t="shared" si="182"/>
        <v>1808.7775412951953</v>
      </c>
      <c r="M5697" s="443"/>
    </row>
    <row r="5698" spans="1:13">
      <c r="A5698" s="639">
        <v>82513</v>
      </c>
      <c r="B5698" s="639">
        <v>700</v>
      </c>
      <c r="C5698" s="638">
        <v>4556.6869999999999</v>
      </c>
      <c r="D5698" s="633">
        <f t="shared" si="181"/>
        <v>4556.6869999999999</v>
      </c>
      <c r="E5698" s="608"/>
      <c r="F5698" s="760">
        <f t="shared" si="182"/>
        <v>1922.3463606206012</v>
      </c>
      <c r="M5698" s="443"/>
    </row>
    <row r="5699" spans="1:13">
      <c r="A5699" s="639">
        <v>82513</v>
      </c>
      <c r="B5699" s="639">
        <v>800</v>
      </c>
      <c r="C5699" s="638">
        <v>4951.1959999999999</v>
      </c>
      <c r="D5699" s="633">
        <f t="shared" si="181"/>
        <v>4951.1959999999999</v>
      </c>
      <c r="E5699" s="608"/>
      <c r="F5699" s="760">
        <f t="shared" si="182"/>
        <v>2088.779328340805</v>
      </c>
      <c r="M5699" s="443"/>
    </row>
    <row r="5700" spans="1:13">
      <c r="A5700" s="639">
        <v>82513</v>
      </c>
      <c r="B5700" s="639">
        <v>900</v>
      </c>
      <c r="C5700" s="638">
        <v>5505.1769999999997</v>
      </c>
      <c r="D5700" s="633">
        <f t="shared" si="181"/>
        <v>5505.1769999999997</v>
      </c>
      <c r="E5700" s="608"/>
      <c r="F5700" s="760">
        <f t="shared" si="182"/>
        <v>2322.4893372141291</v>
      </c>
      <c r="M5700" s="443"/>
    </row>
    <row r="5701" spans="1:13">
      <c r="A5701" s="639">
        <v>82513</v>
      </c>
      <c r="B5701" s="639">
        <v>1000</v>
      </c>
      <c r="C5701" s="638">
        <v>5876.3029999999999</v>
      </c>
      <c r="D5701" s="633">
        <f t="shared" ref="D5701:D5764" si="183">C5701</f>
        <v>5876.3029999999999</v>
      </c>
      <c r="E5701" s="608"/>
      <c r="F5701" s="760">
        <f t="shared" si="182"/>
        <v>2479.0576324320546</v>
      </c>
      <c r="M5701" s="443"/>
    </row>
    <row r="5702" spans="1:13">
      <c r="A5702" s="639">
        <v>82513</v>
      </c>
      <c r="B5702" s="639">
        <v>1100</v>
      </c>
      <c r="C5702" s="638">
        <v>6191.1009999999997</v>
      </c>
      <c r="D5702" s="633">
        <f t="shared" si="183"/>
        <v>6191.1009999999997</v>
      </c>
      <c r="E5702" s="608"/>
      <c r="F5702" s="760">
        <f t="shared" si="182"/>
        <v>2611.8626264179579</v>
      </c>
      <c r="M5702" s="443"/>
    </row>
    <row r="5703" spans="1:13">
      <c r="A5703" s="639">
        <v>82513</v>
      </c>
      <c r="B5703" s="639">
        <v>1200</v>
      </c>
      <c r="C5703" s="638">
        <v>6512.0349999999999</v>
      </c>
      <c r="D5703" s="633">
        <f t="shared" si="183"/>
        <v>6512.0349999999999</v>
      </c>
      <c r="E5703" s="608"/>
      <c r="F5703" s="760">
        <f t="shared" si="182"/>
        <v>2747.2562373680653</v>
      </c>
      <c r="M5703" s="443"/>
    </row>
    <row r="5704" spans="1:13">
      <c r="A5704" s="639">
        <v>82513</v>
      </c>
      <c r="B5704" s="639">
        <v>1300</v>
      </c>
      <c r="C5704" s="638">
        <v>6839.5559999999996</v>
      </c>
      <c r="D5704" s="633">
        <f t="shared" si="183"/>
        <v>6839.5559999999996</v>
      </c>
      <c r="E5704" s="608"/>
      <c r="F5704" s="760">
        <f t="shared" si="182"/>
        <v>2885.4287303167403</v>
      </c>
      <c r="M5704" s="443"/>
    </row>
    <row r="5705" spans="1:13">
      <c r="A5705" s="639">
        <v>82513</v>
      </c>
      <c r="B5705" s="639">
        <v>1400</v>
      </c>
      <c r="C5705" s="638">
        <v>6885.5889999999999</v>
      </c>
      <c r="D5705" s="633">
        <f t="shared" si="183"/>
        <v>6885.5889999999999</v>
      </c>
      <c r="E5705" s="608"/>
      <c r="F5705" s="760">
        <f t="shared" si="182"/>
        <v>2904.8488419062455</v>
      </c>
      <c r="M5705" s="443"/>
    </row>
    <row r="5706" spans="1:13">
      <c r="A5706" s="639">
        <v>82513</v>
      </c>
      <c r="B5706" s="639">
        <v>1500</v>
      </c>
      <c r="C5706" s="638">
        <v>7162.9030000000002</v>
      </c>
      <c r="D5706" s="633">
        <f t="shared" si="183"/>
        <v>7162.9030000000002</v>
      </c>
      <c r="E5706" s="608"/>
      <c r="F5706" s="760">
        <f t="shared" si="182"/>
        <v>3021.8403224817475</v>
      </c>
      <c r="M5706" s="443"/>
    </row>
    <row r="5707" spans="1:13">
      <c r="A5707" s="639">
        <v>82513</v>
      </c>
      <c r="B5707" s="639">
        <v>1600</v>
      </c>
      <c r="C5707" s="638">
        <v>7309.4340000000002</v>
      </c>
      <c r="D5707" s="633">
        <f t="shared" si="183"/>
        <v>7309.4340000000002</v>
      </c>
      <c r="E5707" s="608"/>
      <c r="F5707" s="760">
        <f t="shared" si="182"/>
        <v>3083.6578962075923</v>
      </c>
      <c r="M5707" s="443"/>
    </row>
    <row r="5708" spans="1:13">
      <c r="A5708" s="639">
        <v>82513</v>
      </c>
      <c r="B5708" s="639">
        <v>1700</v>
      </c>
      <c r="C5708" s="638">
        <v>7651.2790000000005</v>
      </c>
      <c r="D5708" s="633">
        <f t="shared" si="183"/>
        <v>7651.2790000000005</v>
      </c>
      <c r="E5708" s="608"/>
      <c r="F5708" s="760">
        <f t="shared" si="182"/>
        <v>3227.873307897346</v>
      </c>
      <c r="M5708" s="443"/>
    </row>
    <row r="5709" spans="1:13">
      <c r="A5709" s="639">
        <v>82513</v>
      </c>
      <c r="B5709" s="639">
        <v>1800</v>
      </c>
      <c r="C5709" s="638">
        <v>7904.8689999999997</v>
      </c>
      <c r="D5709" s="633">
        <f t="shared" si="183"/>
        <v>7904.8689999999997</v>
      </c>
      <c r="E5709" s="608"/>
      <c r="F5709" s="760">
        <f t="shared" si="182"/>
        <v>3334.8562570421473</v>
      </c>
      <c r="M5709" s="443"/>
    </row>
    <row r="5710" spans="1:13">
      <c r="A5710" s="639">
        <v>82513</v>
      </c>
      <c r="B5710" s="639">
        <v>1900</v>
      </c>
      <c r="C5710" s="638">
        <v>7862.4139999999998</v>
      </c>
      <c r="D5710" s="633">
        <f t="shared" si="183"/>
        <v>7862.4139999999998</v>
      </c>
      <c r="E5710" s="608"/>
      <c r="F5710" s="760">
        <f t="shared" si="182"/>
        <v>3316.9456095168407</v>
      </c>
      <c r="M5710" s="443"/>
    </row>
    <row r="5711" spans="1:13">
      <c r="A5711" s="639">
        <v>82513</v>
      </c>
      <c r="B5711" s="639">
        <v>2000</v>
      </c>
      <c r="C5711" s="638">
        <v>8108.83</v>
      </c>
      <c r="D5711" s="633">
        <f t="shared" si="183"/>
        <v>8108.83</v>
      </c>
      <c r="E5711" s="608"/>
      <c r="F5711" s="760">
        <f t="shared" si="182"/>
        <v>3420.9020368068186</v>
      </c>
      <c r="M5711" s="443"/>
    </row>
    <row r="5712" spans="1:13">
      <c r="A5712" s="639">
        <v>82513</v>
      </c>
      <c r="B5712" s="639">
        <v>2100</v>
      </c>
      <c r="C5712" s="638">
        <v>7983.8639999999996</v>
      </c>
      <c r="D5712" s="633">
        <f t="shared" si="183"/>
        <v>7983.8639999999996</v>
      </c>
      <c r="E5712" s="608"/>
      <c r="F5712" s="760">
        <f t="shared" si="182"/>
        <v>3368.182169214132</v>
      </c>
      <c r="M5712" s="443"/>
    </row>
    <row r="5713" spans="1:13">
      <c r="A5713" s="639">
        <v>82513</v>
      </c>
      <c r="B5713" s="639">
        <v>2200</v>
      </c>
      <c r="C5713" s="638">
        <v>7279.0990000000002</v>
      </c>
      <c r="D5713" s="633">
        <f t="shared" si="183"/>
        <v>7279.0990000000002</v>
      </c>
      <c r="E5713" s="608"/>
      <c r="F5713" s="760">
        <f t="shared" si="182"/>
        <v>3070.860357809755</v>
      </c>
      <c r="M5713" s="443"/>
    </row>
    <row r="5714" spans="1:13">
      <c r="A5714" s="639">
        <v>82513</v>
      </c>
      <c r="B5714" s="639">
        <v>2300</v>
      </c>
      <c r="C5714" s="638">
        <v>6309.4650000000001</v>
      </c>
      <c r="D5714" s="633">
        <f t="shared" si="183"/>
        <v>6309.4650000000001</v>
      </c>
      <c r="E5714" s="608"/>
      <c r="F5714" s="760">
        <f t="shared" si="182"/>
        <v>2661.7972839067202</v>
      </c>
      <c r="M5714" s="443"/>
    </row>
    <row r="5715" spans="1:13">
      <c r="A5715" s="639">
        <v>82513</v>
      </c>
      <c r="B5715" s="639">
        <v>2400</v>
      </c>
      <c r="C5715" s="638">
        <v>5484.88</v>
      </c>
      <c r="D5715" s="633">
        <f t="shared" si="183"/>
        <v>5484.88</v>
      </c>
      <c r="E5715" s="608"/>
      <c r="F5715" s="760">
        <f t="shared" si="182"/>
        <v>2313.9265669203796</v>
      </c>
      <c r="M5715" s="443"/>
    </row>
    <row r="5716" spans="1:13">
      <c r="A5716" s="639">
        <v>82613</v>
      </c>
      <c r="B5716" s="639">
        <v>100</v>
      </c>
      <c r="C5716" s="638">
        <v>5092.7979999999998</v>
      </c>
      <c r="D5716" s="633">
        <f t="shared" si="183"/>
        <v>5092.7979999999998</v>
      </c>
      <c r="E5716" s="608"/>
      <c r="F5716" s="760">
        <f t="shared" si="182"/>
        <v>2148.5174866467405</v>
      </c>
      <c r="M5716" s="443"/>
    </row>
    <row r="5717" spans="1:13">
      <c r="A5717" s="639">
        <v>82613</v>
      </c>
      <c r="B5717" s="639">
        <v>200</v>
      </c>
      <c r="C5717" s="638">
        <v>4879.05</v>
      </c>
      <c r="D5717" s="633">
        <f t="shared" si="183"/>
        <v>4879.05</v>
      </c>
      <c r="E5717" s="608"/>
      <c r="F5717" s="760">
        <f t="shared" si="182"/>
        <v>2058.3428290742695</v>
      </c>
      <c r="M5717" s="443"/>
    </row>
    <row r="5718" spans="1:13">
      <c r="A5718" s="639">
        <v>82613</v>
      </c>
      <c r="B5718" s="639">
        <v>300</v>
      </c>
      <c r="C5718" s="638">
        <v>4690.5240000000003</v>
      </c>
      <c r="D5718" s="633">
        <f t="shared" si="183"/>
        <v>4690.5240000000003</v>
      </c>
      <c r="E5718" s="608"/>
      <c r="F5718" s="760">
        <f t="shared" si="182"/>
        <v>1978.8086697206954</v>
      </c>
      <c r="M5718" s="443"/>
    </row>
    <row r="5719" spans="1:13">
      <c r="A5719" s="639">
        <v>82613</v>
      </c>
      <c r="B5719" s="639">
        <v>400</v>
      </c>
      <c r="C5719" s="638">
        <v>4599.13</v>
      </c>
      <c r="D5719" s="633">
        <f t="shared" si="183"/>
        <v>4599.13</v>
      </c>
      <c r="E5719" s="608"/>
      <c r="F5719" s="760">
        <f t="shared" si="182"/>
        <v>1940.2519456616235</v>
      </c>
      <c r="M5719" s="443"/>
    </row>
    <row r="5720" spans="1:13">
      <c r="A5720" s="639">
        <v>82613</v>
      </c>
      <c r="B5720" s="639">
        <v>500</v>
      </c>
      <c r="C5720" s="638">
        <v>4827.5029999999997</v>
      </c>
      <c r="D5720" s="633">
        <f t="shared" si="183"/>
        <v>4827.5029999999997</v>
      </c>
      <c r="E5720" s="608"/>
      <c r="F5720" s="760">
        <f t="shared" si="182"/>
        <v>2036.5965059559796</v>
      </c>
      <c r="M5720" s="443"/>
    </row>
    <row r="5721" spans="1:13">
      <c r="A5721" s="639">
        <v>82613</v>
      </c>
      <c r="B5721" s="639">
        <v>600</v>
      </c>
      <c r="C5721" s="638">
        <v>5418.1239999999998</v>
      </c>
      <c r="D5721" s="633">
        <f t="shared" si="183"/>
        <v>5418.1239999999998</v>
      </c>
      <c r="E5721" s="608"/>
      <c r="F5721" s="760">
        <f t="shared" si="182"/>
        <v>2285.7639668450201</v>
      </c>
      <c r="M5721" s="443"/>
    </row>
    <row r="5722" spans="1:13">
      <c r="A5722" s="639">
        <v>82613</v>
      </c>
      <c r="B5722" s="639">
        <v>700</v>
      </c>
      <c r="C5722" s="638">
        <v>6106.4440000000004</v>
      </c>
      <c r="D5722" s="633">
        <f t="shared" si="183"/>
        <v>6106.4440000000004</v>
      </c>
      <c r="E5722" s="608"/>
      <c r="F5722" s="760">
        <f t="shared" si="182"/>
        <v>2576.1480654110123</v>
      </c>
      <c r="M5722" s="443"/>
    </row>
    <row r="5723" spans="1:13">
      <c r="A5723" s="639">
        <v>82613</v>
      </c>
      <c r="B5723" s="639">
        <v>800</v>
      </c>
      <c r="C5723" s="638">
        <v>6463.3710000000001</v>
      </c>
      <c r="D5723" s="633">
        <f t="shared" si="183"/>
        <v>6463.3710000000001</v>
      </c>
      <c r="E5723" s="608"/>
      <c r="F5723" s="760">
        <f t="shared" si="182"/>
        <v>2726.7261760991564</v>
      </c>
      <c r="M5723" s="443"/>
    </row>
    <row r="5724" spans="1:13">
      <c r="A5724" s="639">
        <v>82613</v>
      </c>
      <c r="B5724" s="639">
        <v>900</v>
      </c>
      <c r="C5724" s="638">
        <v>6657.9139999999998</v>
      </c>
      <c r="D5724" s="633">
        <f t="shared" si="183"/>
        <v>6657.9139999999998</v>
      </c>
      <c r="E5724" s="608"/>
      <c r="F5724" s="760">
        <f t="shared" si="182"/>
        <v>2808.7987494477784</v>
      </c>
      <c r="M5724" s="443"/>
    </row>
    <row r="5725" spans="1:13">
      <c r="A5725" s="639">
        <v>82613</v>
      </c>
      <c r="B5725" s="639">
        <v>1000</v>
      </c>
      <c r="C5725" s="638">
        <v>6932.8850000000002</v>
      </c>
      <c r="D5725" s="633">
        <f t="shared" si="183"/>
        <v>6932.8850000000002</v>
      </c>
      <c r="E5725" s="608"/>
      <c r="F5725" s="760">
        <f t="shared" si="182"/>
        <v>2924.8017799667082</v>
      </c>
      <c r="M5725" s="443"/>
    </row>
    <row r="5726" spans="1:13">
      <c r="A5726" s="639">
        <v>82613</v>
      </c>
      <c r="B5726" s="639">
        <v>1100</v>
      </c>
      <c r="C5726" s="638">
        <v>6751.0150000000003</v>
      </c>
      <c r="D5726" s="633">
        <f t="shared" si="183"/>
        <v>6751.0150000000003</v>
      </c>
      <c r="E5726" s="608"/>
      <c r="F5726" s="760">
        <f t="shared" si="182"/>
        <v>2848.0756118963382</v>
      </c>
      <c r="M5726" s="443"/>
    </row>
    <row r="5727" spans="1:13">
      <c r="A5727" s="639">
        <v>82613</v>
      </c>
      <c r="B5727" s="639">
        <v>1200</v>
      </c>
      <c r="C5727" s="638">
        <v>6847.3819999999996</v>
      </c>
      <c r="D5727" s="633">
        <f t="shared" si="183"/>
        <v>6847.3819999999996</v>
      </c>
      <c r="E5727" s="608"/>
      <c r="F5727" s="760">
        <f t="shared" si="182"/>
        <v>2888.7303138176958</v>
      </c>
      <c r="M5727" s="443"/>
    </row>
    <row r="5728" spans="1:13">
      <c r="A5728" s="639">
        <v>82613</v>
      </c>
      <c r="B5728" s="639">
        <v>1300</v>
      </c>
      <c r="C5728" s="638">
        <v>7007.2870000000003</v>
      </c>
      <c r="D5728" s="633">
        <f t="shared" si="183"/>
        <v>7007.2870000000003</v>
      </c>
      <c r="E5728" s="608"/>
      <c r="F5728" s="760">
        <f t="shared" si="182"/>
        <v>2956.1900262787531</v>
      </c>
      <c r="M5728" s="443"/>
    </row>
    <row r="5729" spans="1:13">
      <c r="A5729" s="639">
        <v>82613</v>
      </c>
      <c r="B5729" s="639">
        <v>1400</v>
      </c>
      <c r="C5729" s="638">
        <v>6939.1369999999997</v>
      </c>
      <c r="D5729" s="633">
        <f t="shared" si="183"/>
        <v>6939.1369999999997</v>
      </c>
      <c r="E5729" s="608"/>
      <c r="F5729" s="760">
        <f t="shared" si="182"/>
        <v>2927.4393342789963</v>
      </c>
      <c r="M5729" s="443"/>
    </row>
    <row r="5730" spans="1:13">
      <c r="A5730" s="639">
        <v>82613</v>
      </c>
      <c r="B5730" s="639">
        <v>1500</v>
      </c>
      <c r="C5730" s="638">
        <v>6950.9059999999999</v>
      </c>
      <c r="D5730" s="633">
        <f t="shared" si="183"/>
        <v>6950.9059999999999</v>
      </c>
      <c r="E5730" s="608"/>
      <c r="F5730" s="760">
        <f t="shared" si="182"/>
        <v>2932.4043657411407</v>
      </c>
      <c r="M5730" s="443"/>
    </row>
    <row r="5731" spans="1:13">
      <c r="A5731" s="639">
        <v>82613</v>
      </c>
      <c r="B5731" s="639">
        <v>1600</v>
      </c>
      <c r="C5731" s="638">
        <v>7129.55</v>
      </c>
      <c r="D5731" s="633">
        <f t="shared" si="183"/>
        <v>7129.55</v>
      </c>
      <c r="E5731" s="608"/>
      <c r="F5731" s="760">
        <f t="shared" si="182"/>
        <v>3007.7695692863276</v>
      </c>
      <c r="M5731" s="443"/>
    </row>
    <row r="5732" spans="1:13">
      <c r="A5732" s="639">
        <v>82613</v>
      </c>
      <c r="B5732" s="639">
        <v>1700</v>
      </c>
      <c r="C5732" s="638">
        <v>6130.6989999999996</v>
      </c>
      <c r="D5732" s="633">
        <f t="shared" si="183"/>
        <v>6130.6989999999996</v>
      </c>
      <c r="E5732" s="608"/>
      <c r="F5732" s="760">
        <f t="shared" si="182"/>
        <v>2586.3806117713061</v>
      </c>
      <c r="M5732" s="443"/>
    </row>
    <row r="5733" spans="1:13">
      <c r="A5733" s="639">
        <v>82613</v>
      </c>
      <c r="B5733" s="639">
        <v>1800</v>
      </c>
      <c r="C5733" s="638">
        <v>5680.8819999999996</v>
      </c>
      <c r="D5733" s="633">
        <f t="shared" si="183"/>
        <v>5680.8819999999996</v>
      </c>
      <c r="E5733" s="608"/>
      <c r="F5733" s="760">
        <f t="shared" si="182"/>
        <v>2396.6146539832739</v>
      </c>
      <c r="M5733" s="443"/>
    </row>
    <row r="5734" spans="1:13">
      <c r="A5734" s="639">
        <v>82613</v>
      </c>
      <c r="B5734" s="639">
        <v>1900</v>
      </c>
      <c r="C5734" s="638">
        <v>6473.2879999999996</v>
      </c>
      <c r="D5734" s="633">
        <f t="shared" si="183"/>
        <v>6473.2879999999996</v>
      </c>
      <c r="E5734" s="608"/>
      <c r="F5734" s="760">
        <f t="shared" si="182"/>
        <v>2730.9098974867065</v>
      </c>
      <c r="M5734" s="443"/>
    </row>
    <row r="5735" spans="1:13">
      <c r="A5735" s="639">
        <v>82613</v>
      </c>
      <c r="B5735" s="639">
        <v>2000</v>
      </c>
      <c r="C5735" s="638">
        <v>8793.2340000000004</v>
      </c>
      <c r="D5735" s="633">
        <f t="shared" si="183"/>
        <v>8793.2340000000004</v>
      </c>
      <c r="E5735" s="608"/>
      <c r="F5735" s="760">
        <f t="shared" si="182"/>
        <v>3709.6340780012615</v>
      </c>
      <c r="M5735" s="443"/>
    </row>
    <row r="5736" spans="1:13">
      <c r="A5736" s="639">
        <v>82613</v>
      </c>
      <c r="B5736" s="639">
        <v>2100</v>
      </c>
      <c r="C5736" s="638">
        <v>8530.1939999999995</v>
      </c>
      <c r="D5736" s="633">
        <f t="shared" si="183"/>
        <v>8530.1939999999995</v>
      </c>
      <c r="E5736" s="608"/>
      <c r="F5736" s="760">
        <f t="shared" si="182"/>
        <v>3598.6644224823185</v>
      </c>
      <c r="M5736" s="443"/>
    </row>
    <row r="5737" spans="1:13">
      <c r="A5737" s="639">
        <v>82613</v>
      </c>
      <c r="B5737" s="639">
        <v>2200</v>
      </c>
      <c r="C5737" s="638">
        <v>7530.1310000000003</v>
      </c>
      <c r="D5737" s="633">
        <f t="shared" si="183"/>
        <v>7530.1310000000003</v>
      </c>
      <c r="E5737" s="608"/>
      <c r="F5737" s="760">
        <f t="shared" si="182"/>
        <v>3176.764154054551</v>
      </c>
      <c r="M5737" s="443"/>
    </row>
    <row r="5738" spans="1:13">
      <c r="A5738" s="639">
        <v>82613</v>
      </c>
      <c r="B5738" s="639">
        <v>2300</v>
      </c>
      <c r="C5738" s="638">
        <v>6349.6970000000001</v>
      </c>
      <c r="D5738" s="633">
        <f t="shared" si="183"/>
        <v>6349.6970000000001</v>
      </c>
      <c r="E5738" s="608"/>
      <c r="F5738" s="760">
        <f t="shared" si="182"/>
        <v>2678.770106218301</v>
      </c>
      <c r="M5738" s="443"/>
    </row>
    <row r="5739" spans="1:13">
      <c r="A5739" s="639">
        <v>82613</v>
      </c>
      <c r="B5739" s="639">
        <v>2400</v>
      </c>
      <c r="C5739" s="638">
        <v>5446.9189999999999</v>
      </c>
      <c r="D5739" s="633">
        <f t="shared" si="183"/>
        <v>5446.9189999999999</v>
      </c>
      <c r="E5739" s="608"/>
      <c r="F5739" s="760">
        <f t="shared" si="182"/>
        <v>2297.911819759664</v>
      </c>
      <c r="M5739" s="443"/>
    </row>
    <row r="5740" spans="1:13">
      <c r="A5740" s="639">
        <v>82713</v>
      </c>
      <c r="B5740" s="639">
        <v>100</v>
      </c>
      <c r="C5740" s="638">
        <v>4901.7979999999998</v>
      </c>
      <c r="D5740" s="633">
        <f t="shared" si="183"/>
        <v>4901.7979999999998</v>
      </c>
      <c r="E5740" s="608"/>
      <c r="F5740" s="760">
        <f t="shared" si="182"/>
        <v>2067.9396117831534</v>
      </c>
      <c r="M5740" s="443"/>
    </row>
    <row r="5741" spans="1:13">
      <c r="A5741" s="639">
        <v>82713</v>
      </c>
      <c r="B5741" s="639">
        <v>200</v>
      </c>
      <c r="C5741" s="638">
        <v>4587.1400000000003</v>
      </c>
      <c r="D5741" s="633">
        <f t="shared" si="183"/>
        <v>4587.1400000000003</v>
      </c>
      <c r="E5741" s="608"/>
      <c r="F5741" s="760">
        <f t="shared" si="182"/>
        <v>1935.1936801139043</v>
      </c>
      <c r="M5741" s="443"/>
    </row>
    <row r="5742" spans="1:13">
      <c r="A5742" s="639">
        <v>82713</v>
      </c>
      <c r="B5742" s="639">
        <v>300</v>
      </c>
      <c r="C5742" s="638">
        <v>4429.9189999999999</v>
      </c>
      <c r="D5742" s="633">
        <f t="shared" si="183"/>
        <v>4429.9189999999999</v>
      </c>
      <c r="E5742" s="608"/>
      <c r="F5742" s="760">
        <f t="shared" si="182"/>
        <v>1868.8662766378409</v>
      </c>
      <c r="M5742" s="443"/>
    </row>
    <row r="5743" spans="1:13">
      <c r="A5743" s="639">
        <v>82713</v>
      </c>
      <c r="B5743" s="639">
        <v>400</v>
      </c>
      <c r="C5743" s="638">
        <v>4371.29</v>
      </c>
      <c r="D5743" s="633">
        <f t="shared" si="183"/>
        <v>4371.29</v>
      </c>
      <c r="E5743" s="608"/>
      <c r="F5743" s="760">
        <f t="shared" si="182"/>
        <v>1844.132244044243</v>
      </c>
      <c r="M5743" s="443"/>
    </row>
    <row r="5744" spans="1:13">
      <c r="A5744" s="639">
        <v>82713</v>
      </c>
      <c r="B5744" s="639">
        <v>500</v>
      </c>
      <c r="C5744" s="638">
        <v>4580.2539999999999</v>
      </c>
      <c r="D5744" s="633">
        <f t="shared" si="183"/>
        <v>4580.2539999999999</v>
      </c>
      <c r="E5744" s="608"/>
      <c r="F5744" s="760">
        <f t="shared" si="182"/>
        <v>1932.2886578819109</v>
      </c>
      <c r="M5744" s="443"/>
    </row>
    <row r="5745" spans="1:13">
      <c r="A5745" s="639">
        <v>82713</v>
      </c>
      <c r="B5745" s="639">
        <v>600</v>
      </c>
      <c r="C5745" s="638">
        <v>5068.1319999999996</v>
      </c>
      <c r="D5745" s="633">
        <f t="shared" si="183"/>
        <v>5068.1319999999996</v>
      </c>
      <c r="E5745" s="608"/>
      <c r="F5745" s="760">
        <f t="shared" si="182"/>
        <v>2138.1115501996978</v>
      </c>
      <c r="M5745" s="443"/>
    </row>
    <row r="5746" spans="1:13">
      <c r="A5746" s="639">
        <v>82713</v>
      </c>
      <c r="B5746" s="639">
        <v>700</v>
      </c>
      <c r="C5746" s="638">
        <v>5613.826</v>
      </c>
      <c r="D5746" s="633">
        <f t="shared" si="183"/>
        <v>5613.826</v>
      </c>
      <c r="E5746" s="608"/>
      <c r="F5746" s="760">
        <f t="shared" si="182"/>
        <v>2368.3254918007988</v>
      </c>
      <c r="M5746" s="443"/>
    </row>
    <row r="5747" spans="1:13">
      <c r="A5747" s="639">
        <v>82713</v>
      </c>
      <c r="B5747" s="639">
        <v>800</v>
      </c>
      <c r="C5747" s="638">
        <v>6048.701</v>
      </c>
      <c r="D5747" s="633">
        <f t="shared" si="183"/>
        <v>6048.701</v>
      </c>
      <c r="E5747" s="608"/>
      <c r="F5747" s="760">
        <f t="shared" si="182"/>
        <v>2551.787812907095</v>
      </c>
      <c r="M5747" s="443"/>
    </row>
    <row r="5748" spans="1:13">
      <c r="A5748" s="639">
        <v>82713</v>
      </c>
      <c r="B5748" s="639">
        <v>900</v>
      </c>
      <c r="C5748" s="638">
        <v>6393.1779999999999</v>
      </c>
      <c r="D5748" s="633">
        <f t="shared" si="183"/>
        <v>6393.1779999999999</v>
      </c>
      <c r="E5748" s="608"/>
      <c r="F5748" s="760">
        <f t="shared" si="182"/>
        <v>2697.1135961499431</v>
      </c>
      <c r="M5748" s="443"/>
    </row>
    <row r="5749" spans="1:13">
      <c r="A5749" s="639">
        <v>82713</v>
      </c>
      <c r="B5749" s="639">
        <v>1000</v>
      </c>
      <c r="C5749" s="638">
        <v>6865.5230000000001</v>
      </c>
      <c r="D5749" s="633">
        <f t="shared" si="183"/>
        <v>6865.5230000000001</v>
      </c>
      <c r="E5749" s="608"/>
      <c r="F5749" s="760">
        <f t="shared" si="182"/>
        <v>2896.3835244349748</v>
      </c>
      <c r="M5749" s="443"/>
    </row>
    <row r="5750" spans="1:13">
      <c r="A5750" s="639">
        <v>82713</v>
      </c>
      <c r="B5750" s="639">
        <v>1100</v>
      </c>
      <c r="C5750" s="638">
        <v>7232.2240000000002</v>
      </c>
      <c r="D5750" s="633">
        <f t="shared" si="183"/>
        <v>7232.2240000000002</v>
      </c>
      <c r="E5750" s="608"/>
      <c r="F5750" s="760">
        <f t="shared" si="182"/>
        <v>3051.0850285729452</v>
      </c>
      <c r="M5750" s="443"/>
    </row>
    <row r="5751" spans="1:13">
      <c r="A5751" s="639">
        <v>82713</v>
      </c>
      <c r="B5751" s="639">
        <v>1200</v>
      </c>
      <c r="C5751" s="638">
        <v>7737.1130000000003</v>
      </c>
      <c r="D5751" s="633">
        <f t="shared" si="183"/>
        <v>7737.1130000000003</v>
      </c>
      <c r="E5751" s="608"/>
      <c r="F5751" s="760">
        <f t="shared" si="182"/>
        <v>3264.0844142378755</v>
      </c>
      <c r="M5751" s="443"/>
    </row>
    <row r="5752" spans="1:13">
      <c r="A5752" s="639">
        <v>82713</v>
      </c>
      <c r="B5752" s="639">
        <v>1300</v>
      </c>
      <c r="C5752" s="638">
        <v>8116.0529999999999</v>
      </c>
      <c r="D5752" s="633">
        <f t="shared" si="183"/>
        <v>8116.0529999999999</v>
      </c>
      <c r="E5752" s="608"/>
      <c r="F5752" s="760">
        <f t="shared" si="182"/>
        <v>3423.9492304724713</v>
      </c>
      <c r="M5752" s="443"/>
    </row>
    <row r="5753" spans="1:13">
      <c r="A5753" s="639">
        <v>82713</v>
      </c>
      <c r="B5753" s="639">
        <v>1400</v>
      </c>
      <c r="C5753" s="638">
        <v>8340.8629999999994</v>
      </c>
      <c r="D5753" s="633">
        <f t="shared" si="183"/>
        <v>8340.8629999999994</v>
      </c>
      <c r="E5753" s="608"/>
      <c r="F5753" s="760">
        <f t="shared" si="182"/>
        <v>3518.7906548079841</v>
      </c>
      <c r="M5753" s="443"/>
    </row>
    <row r="5754" spans="1:13">
      <c r="A5754" s="639">
        <v>82713</v>
      </c>
      <c r="B5754" s="639">
        <v>1500</v>
      </c>
      <c r="C5754" s="638">
        <v>8527.9349999999995</v>
      </c>
      <c r="D5754" s="633">
        <f t="shared" si="183"/>
        <v>8527.9349999999995</v>
      </c>
      <c r="E5754" s="608"/>
      <c r="F5754" s="760">
        <f t="shared" si="182"/>
        <v>3597.7114098157381</v>
      </c>
      <c r="M5754" s="443"/>
    </row>
    <row r="5755" spans="1:13">
      <c r="A5755" s="639">
        <v>82713</v>
      </c>
      <c r="B5755" s="639">
        <v>1600</v>
      </c>
      <c r="C5755" s="638">
        <v>8694.9369999999999</v>
      </c>
      <c r="D5755" s="633">
        <f t="shared" si="183"/>
        <v>8694.9369999999999</v>
      </c>
      <c r="E5755" s="608"/>
      <c r="F5755" s="760">
        <f t="shared" si="182"/>
        <v>3668.1651598574599</v>
      </c>
      <c r="M5755" s="443"/>
    </row>
    <row r="5756" spans="1:13">
      <c r="A5756" s="639">
        <v>82713</v>
      </c>
      <c r="B5756" s="639">
        <v>1700</v>
      </c>
      <c r="C5756" s="638">
        <v>9043.9590000000007</v>
      </c>
      <c r="D5756" s="633">
        <f t="shared" si="183"/>
        <v>9043.9590000000007</v>
      </c>
      <c r="E5756" s="608"/>
      <c r="F5756" s="760">
        <f t="shared" ref="F5756:F5819" si="184">(D5756/(MAX($D$5116:$D$5859)))*$M$11</f>
        <v>3815.4083590231089</v>
      </c>
      <c r="M5756" s="443"/>
    </row>
    <row r="5757" spans="1:13">
      <c r="A5757" s="639">
        <v>82713</v>
      </c>
      <c r="B5757" s="639">
        <v>1800</v>
      </c>
      <c r="C5757" s="638">
        <v>9057.34</v>
      </c>
      <c r="D5757" s="633">
        <f t="shared" si="183"/>
        <v>9057.34</v>
      </c>
      <c r="E5757" s="608"/>
      <c r="F5757" s="760">
        <f t="shared" si="184"/>
        <v>3821.0534508741544</v>
      </c>
      <c r="M5757" s="443"/>
    </row>
    <row r="5758" spans="1:13">
      <c r="A5758" s="639">
        <v>82713</v>
      </c>
      <c r="B5758" s="639">
        <v>1900</v>
      </c>
      <c r="C5758" s="638">
        <v>9050.5490000000009</v>
      </c>
      <c r="D5758" s="633">
        <f t="shared" si="183"/>
        <v>9050.5490000000009</v>
      </c>
      <c r="E5758" s="608"/>
      <c r="F5758" s="760">
        <f t="shared" si="184"/>
        <v>3818.1885066427481</v>
      </c>
      <c r="M5758" s="443"/>
    </row>
    <row r="5759" spans="1:13">
      <c r="A5759" s="639">
        <v>82713</v>
      </c>
      <c r="B5759" s="639">
        <v>2000</v>
      </c>
      <c r="C5759" s="638">
        <v>9323.1949999999997</v>
      </c>
      <c r="D5759" s="633">
        <f t="shared" si="183"/>
        <v>9323.1949999999997</v>
      </c>
      <c r="E5759" s="608"/>
      <c r="F5759" s="760">
        <f t="shared" si="184"/>
        <v>3933.2106808315307</v>
      </c>
      <c r="M5759" s="443"/>
    </row>
    <row r="5760" spans="1:13">
      <c r="A5760" s="639">
        <v>82713</v>
      </c>
      <c r="B5760" s="639">
        <v>2100</v>
      </c>
      <c r="C5760" s="638">
        <v>8846.9560000000001</v>
      </c>
      <c r="D5760" s="633">
        <f t="shared" si="183"/>
        <v>8846.9560000000001</v>
      </c>
      <c r="E5760" s="608"/>
      <c r="F5760" s="760">
        <f t="shared" si="184"/>
        <v>3732.2979763961389</v>
      </c>
      <c r="M5760" s="443"/>
    </row>
    <row r="5761" spans="1:13">
      <c r="A5761" s="639">
        <v>82713</v>
      </c>
      <c r="B5761" s="639">
        <v>2200</v>
      </c>
      <c r="C5761" s="638">
        <v>7896.3890000000001</v>
      </c>
      <c r="D5761" s="633">
        <f t="shared" si="183"/>
        <v>7896.3890000000001</v>
      </c>
      <c r="E5761" s="608"/>
      <c r="F5761" s="760">
        <f t="shared" si="184"/>
        <v>3331.2787681476807</v>
      </c>
      <c r="M5761" s="443"/>
    </row>
    <row r="5762" spans="1:13">
      <c r="A5762" s="639">
        <v>82713</v>
      </c>
      <c r="B5762" s="639">
        <v>2300</v>
      </c>
      <c r="C5762" s="638">
        <v>6783.7259999999997</v>
      </c>
      <c r="D5762" s="633">
        <f t="shared" si="183"/>
        <v>6783.7259999999997</v>
      </c>
      <c r="E5762" s="608"/>
      <c r="F5762" s="760">
        <f t="shared" si="184"/>
        <v>2861.8755221825304</v>
      </c>
      <c r="M5762" s="443"/>
    </row>
    <row r="5763" spans="1:13">
      <c r="A5763" s="639">
        <v>82713</v>
      </c>
      <c r="B5763" s="639">
        <v>2400</v>
      </c>
      <c r="C5763" s="638">
        <v>5788.1379999999999</v>
      </c>
      <c r="D5763" s="633">
        <f t="shared" si="183"/>
        <v>5788.1379999999999</v>
      </c>
      <c r="E5763" s="608"/>
      <c r="F5763" s="760">
        <f t="shared" si="184"/>
        <v>2441.8631385192371</v>
      </c>
      <c r="M5763" s="443"/>
    </row>
    <row r="5764" spans="1:13">
      <c r="A5764" s="639">
        <v>82813</v>
      </c>
      <c r="B5764" s="639">
        <v>100</v>
      </c>
      <c r="C5764" s="638">
        <v>5323.6289999999999</v>
      </c>
      <c r="D5764" s="633">
        <f t="shared" si="183"/>
        <v>5323.6289999999999</v>
      </c>
      <c r="E5764" s="608"/>
      <c r="F5764" s="760">
        <f t="shared" si="184"/>
        <v>2245.8990124720635</v>
      </c>
      <c r="M5764" s="443"/>
    </row>
    <row r="5765" spans="1:13">
      <c r="A5765" s="639">
        <v>82813</v>
      </c>
      <c r="B5765" s="639">
        <v>200</v>
      </c>
      <c r="C5765" s="638">
        <v>5017.7780000000002</v>
      </c>
      <c r="D5765" s="633">
        <f t="shared" ref="D5765:D5828" si="185">C5765</f>
        <v>5017.7780000000002</v>
      </c>
      <c r="E5765" s="608"/>
      <c r="F5765" s="760">
        <f t="shared" si="184"/>
        <v>2116.8685223940374</v>
      </c>
      <c r="M5765" s="443"/>
    </row>
    <row r="5766" spans="1:13">
      <c r="A5766" s="639">
        <v>82813</v>
      </c>
      <c r="B5766" s="639">
        <v>300</v>
      </c>
      <c r="C5766" s="638">
        <v>4829.49</v>
      </c>
      <c r="D5766" s="633">
        <f t="shared" si="185"/>
        <v>4829.49</v>
      </c>
      <c r="E5766" s="608"/>
      <c r="F5766" s="760">
        <f t="shared" si="184"/>
        <v>2037.4347689787751</v>
      </c>
      <c r="M5766" s="443"/>
    </row>
    <row r="5767" spans="1:13">
      <c r="A5767" s="639">
        <v>82813</v>
      </c>
      <c r="B5767" s="639">
        <v>400</v>
      </c>
      <c r="C5767" s="638">
        <v>4715.7110000000002</v>
      </c>
      <c r="D5767" s="633">
        <f t="shared" si="185"/>
        <v>4715.7110000000002</v>
      </c>
      <c r="E5767" s="608"/>
      <c r="F5767" s="760">
        <f t="shared" si="184"/>
        <v>1989.4344023604292</v>
      </c>
      <c r="M5767" s="443"/>
    </row>
    <row r="5768" spans="1:13">
      <c r="A5768" s="639">
        <v>82813</v>
      </c>
      <c r="B5768" s="639">
        <v>500</v>
      </c>
      <c r="C5768" s="638">
        <v>4908.01</v>
      </c>
      <c r="D5768" s="633">
        <f t="shared" si="185"/>
        <v>4908.01</v>
      </c>
      <c r="E5768" s="608"/>
      <c r="F5768" s="760">
        <f t="shared" si="184"/>
        <v>2070.5602911478268</v>
      </c>
      <c r="M5768" s="443"/>
    </row>
    <row r="5769" spans="1:13">
      <c r="A5769" s="639">
        <v>82813</v>
      </c>
      <c r="B5769" s="639">
        <v>600</v>
      </c>
      <c r="C5769" s="638">
        <v>5447.4380000000001</v>
      </c>
      <c r="D5769" s="633">
        <f t="shared" si="185"/>
        <v>5447.4380000000001</v>
      </c>
      <c r="E5769" s="608"/>
      <c r="F5769" s="760">
        <f t="shared" si="184"/>
        <v>2298.1307722049742</v>
      </c>
      <c r="M5769" s="443"/>
    </row>
    <row r="5770" spans="1:13">
      <c r="A5770" s="639">
        <v>82813</v>
      </c>
      <c r="B5770" s="639">
        <v>700</v>
      </c>
      <c r="C5770" s="638">
        <v>6097.1869999999999</v>
      </c>
      <c r="D5770" s="633">
        <f t="shared" si="185"/>
        <v>6097.1869999999999</v>
      </c>
      <c r="E5770" s="608"/>
      <c r="F5770" s="760">
        <f t="shared" si="184"/>
        <v>2572.2427806591154</v>
      </c>
      <c r="M5770" s="443"/>
    </row>
    <row r="5771" spans="1:13">
      <c r="A5771" s="639">
        <v>82813</v>
      </c>
      <c r="B5771" s="639">
        <v>800</v>
      </c>
      <c r="C5771" s="638">
        <v>6415.9489999999996</v>
      </c>
      <c r="D5771" s="633">
        <f t="shared" si="185"/>
        <v>6415.9489999999996</v>
      </c>
      <c r="E5771" s="608"/>
      <c r="F5771" s="760">
        <f t="shared" si="184"/>
        <v>2706.7200819537061</v>
      </c>
      <c r="M5771" s="443"/>
    </row>
    <row r="5772" spans="1:13">
      <c r="A5772" s="639">
        <v>82813</v>
      </c>
      <c r="B5772" s="639">
        <v>900</v>
      </c>
      <c r="C5772" s="638">
        <v>6725.1869999999999</v>
      </c>
      <c r="D5772" s="633">
        <f t="shared" si="185"/>
        <v>6725.1869999999999</v>
      </c>
      <c r="E5772" s="608"/>
      <c r="F5772" s="760">
        <f t="shared" si="184"/>
        <v>2837.1794582210669</v>
      </c>
      <c r="M5772" s="443"/>
    </row>
    <row r="5773" spans="1:13">
      <c r="A5773" s="639">
        <v>82813</v>
      </c>
      <c r="B5773" s="639">
        <v>1000</v>
      </c>
      <c r="C5773" s="638">
        <v>6921.98</v>
      </c>
      <c r="D5773" s="633">
        <f t="shared" si="185"/>
        <v>6921.98</v>
      </c>
      <c r="E5773" s="608"/>
      <c r="F5773" s="760">
        <f t="shared" si="184"/>
        <v>2920.201247373056</v>
      </c>
      <c r="M5773" s="443"/>
    </row>
    <row r="5774" spans="1:13">
      <c r="A5774" s="639">
        <v>82813</v>
      </c>
      <c r="B5774" s="639">
        <v>1100</v>
      </c>
      <c r="C5774" s="638">
        <v>7152.8289999999997</v>
      </c>
      <c r="D5774" s="633">
        <f t="shared" si="185"/>
        <v>7152.8289999999997</v>
      </c>
      <c r="E5774" s="608"/>
      <c r="F5774" s="760">
        <f t="shared" si="184"/>
        <v>3017.5903669248064</v>
      </c>
      <c r="M5774" s="443"/>
    </row>
    <row r="5775" spans="1:13">
      <c r="A5775" s="639">
        <v>82813</v>
      </c>
      <c r="B5775" s="639">
        <v>1200</v>
      </c>
      <c r="C5775" s="638">
        <v>7365.8379999999997</v>
      </c>
      <c r="D5775" s="633">
        <f t="shared" si="185"/>
        <v>7365.8379999999997</v>
      </c>
      <c r="E5775" s="608"/>
      <c r="F5775" s="760">
        <f t="shared" si="184"/>
        <v>3107.4532598400829</v>
      </c>
      <c r="M5775" s="443"/>
    </row>
    <row r="5776" spans="1:13">
      <c r="A5776" s="639">
        <v>82813</v>
      </c>
      <c r="B5776" s="639">
        <v>1300</v>
      </c>
      <c r="C5776" s="638">
        <v>7965.5860000000002</v>
      </c>
      <c r="D5776" s="633">
        <f t="shared" si="185"/>
        <v>7965.5860000000002</v>
      </c>
      <c r="E5776" s="608"/>
      <c r="F5776" s="760">
        <f t="shared" si="184"/>
        <v>3360.4711619012701</v>
      </c>
      <c r="M5776" s="443"/>
    </row>
    <row r="5777" spans="1:13">
      <c r="A5777" s="639">
        <v>82813</v>
      </c>
      <c r="B5777" s="639">
        <v>1400</v>
      </c>
      <c r="C5777" s="638">
        <v>8367.5849999999991</v>
      </c>
      <c r="D5777" s="633">
        <f t="shared" si="185"/>
        <v>8367.5849999999991</v>
      </c>
      <c r="E5777" s="608"/>
      <c r="F5777" s="760">
        <f t="shared" si="184"/>
        <v>3530.0639635624593</v>
      </c>
      <c r="M5777" s="443"/>
    </row>
    <row r="5778" spans="1:13">
      <c r="A5778" s="639">
        <v>82813</v>
      </c>
      <c r="B5778" s="639">
        <v>1500</v>
      </c>
      <c r="C5778" s="638">
        <v>8700.1119999999992</v>
      </c>
      <c r="D5778" s="633">
        <f t="shared" si="185"/>
        <v>8700.1119999999992</v>
      </c>
      <c r="E5778" s="608"/>
      <c r="F5778" s="760">
        <f t="shared" si="184"/>
        <v>3670.3483562052033</v>
      </c>
      <c r="M5778" s="443"/>
    </row>
    <row r="5779" spans="1:13">
      <c r="A5779" s="639">
        <v>82813</v>
      </c>
      <c r="B5779" s="639">
        <v>1600</v>
      </c>
      <c r="C5779" s="638">
        <v>9109.7829999999994</v>
      </c>
      <c r="D5779" s="633">
        <f t="shared" si="185"/>
        <v>9109.7829999999994</v>
      </c>
      <c r="E5779" s="608"/>
      <c r="F5779" s="760">
        <f t="shared" si="184"/>
        <v>3843.1777728190286</v>
      </c>
      <c r="M5779" s="443"/>
    </row>
    <row r="5780" spans="1:13">
      <c r="A5780" s="639">
        <v>82813</v>
      </c>
      <c r="B5780" s="639">
        <v>1700</v>
      </c>
      <c r="C5780" s="638">
        <v>9404.73</v>
      </c>
      <c r="D5780" s="633">
        <f t="shared" si="185"/>
        <v>9404.73</v>
      </c>
      <c r="E5780" s="608"/>
      <c r="F5780" s="760">
        <f t="shared" si="184"/>
        <v>3967.6081521770939</v>
      </c>
      <c r="M5780" s="443"/>
    </row>
    <row r="5781" spans="1:13">
      <c r="A5781" s="639">
        <v>82813</v>
      </c>
      <c r="B5781" s="639">
        <v>1800</v>
      </c>
      <c r="C5781" s="638">
        <v>9173.4429999999993</v>
      </c>
      <c r="D5781" s="633">
        <f t="shared" si="185"/>
        <v>9173.4429999999993</v>
      </c>
      <c r="E5781" s="608"/>
      <c r="F5781" s="760">
        <f t="shared" si="184"/>
        <v>3870.0342519489554</v>
      </c>
      <c r="M5781" s="443"/>
    </row>
    <row r="5782" spans="1:13">
      <c r="A5782" s="639">
        <v>82813</v>
      </c>
      <c r="B5782" s="639">
        <v>1900</v>
      </c>
      <c r="C5782" s="638">
        <v>8994.5450000000001</v>
      </c>
      <c r="D5782" s="633">
        <f t="shared" si="185"/>
        <v>8994.5450000000001</v>
      </c>
      <c r="E5782" s="608"/>
      <c r="F5782" s="760">
        <f t="shared" si="184"/>
        <v>3794.5618924864111</v>
      </c>
      <c r="M5782" s="443"/>
    </row>
    <row r="5783" spans="1:13">
      <c r="A5783" s="639">
        <v>82813</v>
      </c>
      <c r="B5783" s="639">
        <v>2000</v>
      </c>
      <c r="C5783" s="638">
        <v>9241.9480000000003</v>
      </c>
      <c r="D5783" s="633">
        <f t="shared" si="185"/>
        <v>9241.9480000000003</v>
      </c>
      <c r="E5783" s="608"/>
      <c r="F5783" s="760">
        <f t="shared" si="184"/>
        <v>3898.9347091087989</v>
      </c>
      <c r="M5783" s="443"/>
    </row>
    <row r="5784" spans="1:13">
      <c r="A5784" s="639">
        <v>82813</v>
      </c>
      <c r="B5784" s="639">
        <v>2100</v>
      </c>
      <c r="C5784" s="638">
        <v>8978.0329999999994</v>
      </c>
      <c r="D5784" s="633">
        <f t="shared" si="185"/>
        <v>8978.0329999999994</v>
      </c>
      <c r="E5784" s="608"/>
      <c r="F5784" s="760">
        <f t="shared" si="184"/>
        <v>3787.5959141107692</v>
      </c>
      <c r="M5784" s="443"/>
    </row>
    <row r="5785" spans="1:13">
      <c r="A5785" s="639">
        <v>82813</v>
      </c>
      <c r="B5785" s="639">
        <v>2200</v>
      </c>
      <c r="C5785" s="638">
        <v>8066.8190000000004</v>
      </c>
      <c r="D5785" s="633">
        <f t="shared" si="185"/>
        <v>8066.8190000000004</v>
      </c>
      <c r="E5785" s="608"/>
      <c r="F5785" s="760">
        <f t="shared" si="184"/>
        <v>3403.1787012000427</v>
      </c>
      <c r="M5785" s="443"/>
    </row>
    <row r="5786" spans="1:13">
      <c r="A5786" s="639">
        <v>82813</v>
      </c>
      <c r="B5786" s="639">
        <v>2300</v>
      </c>
      <c r="C5786" s="638">
        <v>6757.3620000000001</v>
      </c>
      <c r="D5786" s="633">
        <f t="shared" si="185"/>
        <v>6757.3620000000001</v>
      </c>
      <c r="E5786" s="608"/>
      <c r="F5786" s="760">
        <f t="shared" si="184"/>
        <v>2850.7532442092133</v>
      </c>
      <c r="M5786" s="443"/>
    </row>
    <row r="5787" spans="1:13">
      <c r="A5787" s="639">
        <v>82813</v>
      </c>
      <c r="B5787" s="639">
        <v>2400</v>
      </c>
      <c r="C5787" s="638">
        <v>5856.6980000000003</v>
      </c>
      <c r="D5787" s="633">
        <f t="shared" si="185"/>
        <v>5856.6980000000003</v>
      </c>
      <c r="E5787" s="608"/>
      <c r="F5787" s="760">
        <f t="shared" si="184"/>
        <v>2470.786798732051</v>
      </c>
      <c r="M5787" s="443"/>
    </row>
    <row r="5788" spans="1:13">
      <c r="A5788" s="639">
        <v>82913</v>
      </c>
      <c r="B5788" s="639">
        <v>100</v>
      </c>
      <c r="C5788" s="638">
        <v>5304.268</v>
      </c>
      <c r="D5788" s="633">
        <f t="shared" si="185"/>
        <v>5304.268</v>
      </c>
      <c r="E5788" s="608"/>
      <c r="F5788" s="760">
        <f t="shared" si="184"/>
        <v>2237.7311159525143</v>
      </c>
      <c r="M5788" s="443"/>
    </row>
    <row r="5789" spans="1:13">
      <c r="A5789" s="639">
        <v>82913</v>
      </c>
      <c r="B5789" s="639">
        <v>200</v>
      </c>
      <c r="C5789" s="638">
        <v>4874.58</v>
      </c>
      <c r="D5789" s="633">
        <f t="shared" si="185"/>
        <v>4874.58</v>
      </c>
      <c r="E5789" s="608"/>
      <c r="F5789" s="760">
        <f t="shared" si="184"/>
        <v>2056.4570536782471</v>
      </c>
      <c r="M5789" s="443"/>
    </row>
    <row r="5790" spans="1:13">
      <c r="A5790" s="639">
        <v>82913</v>
      </c>
      <c r="B5790" s="639">
        <v>300</v>
      </c>
      <c r="C5790" s="638">
        <v>4642.1980000000003</v>
      </c>
      <c r="D5790" s="633">
        <f t="shared" si="185"/>
        <v>4642.1980000000003</v>
      </c>
      <c r="E5790" s="608"/>
      <c r="F5790" s="760">
        <f t="shared" si="184"/>
        <v>1958.4212017591365</v>
      </c>
      <c r="M5790" s="443"/>
    </row>
    <row r="5791" spans="1:13">
      <c r="A5791" s="639">
        <v>82913</v>
      </c>
      <c r="B5791" s="639">
        <v>400</v>
      </c>
      <c r="C5791" s="638">
        <v>4564.4340000000002</v>
      </c>
      <c r="D5791" s="633">
        <f t="shared" si="185"/>
        <v>4564.4340000000002</v>
      </c>
      <c r="E5791" s="608"/>
      <c r="F5791" s="760">
        <f t="shared" si="184"/>
        <v>1925.6146161000161</v>
      </c>
      <c r="M5791" s="443"/>
    </row>
    <row r="5792" spans="1:13">
      <c r="A5792" s="639">
        <v>82913</v>
      </c>
      <c r="B5792" s="639">
        <v>500</v>
      </c>
      <c r="C5792" s="638">
        <v>4743.7579999999998</v>
      </c>
      <c r="D5792" s="633">
        <f t="shared" si="185"/>
        <v>4743.7579999999998</v>
      </c>
      <c r="E5792" s="608"/>
      <c r="F5792" s="760">
        <f t="shared" si="184"/>
        <v>2001.2666937546646</v>
      </c>
      <c r="M5792" s="443"/>
    </row>
    <row r="5793" spans="1:13">
      <c r="A5793" s="639">
        <v>82913</v>
      </c>
      <c r="B5793" s="639">
        <v>600</v>
      </c>
      <c r="C5793" s="638">
        <v>5239.1109999999999</v>
      </c>
      <c r="D5793" s="633">
        <f t="shared" si="185"/>
        <v>5239.1109999999999</v>
      </c>
      <c r="E5793" s="608"/>
      <c r="F5793" s="760">
        <f t="shared" si="184"/>
        <v>2210.2430919080812</v>
      </c>
      <c r="M5793" s="443"/>
    </row>
    <row r="5794" spans="1:13">
      <c r="A5794" s="639">
        <v>82913</v>
      </c>
      <c r="B5794" s="639">
        <v>700</v>
      </c>
      <c r="C5794" s="638">
        <v>5756.85</v>
      </c>
      <c r="D5794" s="633">
        <f t="shared" si="185"/>
        <v>5756.85</v>
      </c>
      <c r="E5794" s="608"/>
      <c r="F5794" s="760">
        <f t="shared" si="184"/>
        <v>2428.6635544944625</v>
      </c>
      <c r="M5794" s="443"/>
    </row>
    <row r="5795" spans="1:13">
      <c r="A5795" s="639">
        <v>82913</v>
      </c>
      <c r="B5795" s="639">
        <v>800</v>
      </c>
      <c r="C5795" s="638">
        <v>6327.1030000000001</v>
      </c>
      <c r="D5795" s="633">
        <f t="shared" si="185"/>
        <v>6327.1030000000001</v>
      </c>
      <c r="E5795" s="608"/>
      <c r="F5795" s="760">
        <f t="shared" si="184"/>
        <v>2669.2382920577361</v>
      </c>
      <c r="M5795" s="443"/>
    </row>
    <row r="5796" spans="1:13">
      <c r="A5796" s="639">
        <v>82913</v>
      </c>
      <c r="B5796" s="639">
        <v>900</v>
      </c>
      <c r="C5796" s="638">
        <v>6858.2539999999999</v>
      </c>
      <c r="D5796" s="633">
        <f t="shared" si="185"/>
        <v>6858.2539999999999</v>
      </c>
      <c r="E5796" s="608"/>
      <c r="F5796" s="760">
        <f t="shared" si="184"/>
        <v>2893.3169245795643</v>
      </c>
      <c r="M5796" s="443"/>
    </row>
    <row r="5797" spans="1:13">
      <c r="A5797" s="639">
        <v>82913</v>
      </c>
      <c r="B5797" s="639">
        <v>1000</v>
      </c>
      <c r="C5797" s="638">
        <v>7395.2860000000001</v>
      </c>
      <c r="D5797" s="633">
        <f t="shared" si="185"/>
        <v>7395.2860000000001</v>
      </c>
      <c r="E5797" s="608"/>
      <c r="F5797" s="760">
        <f t="shared" si="184"/>
        <v>3119.8765962745488</v>
      </c>
      <c r="M5797" s="443"/>
    </row>
    <row r="5798" spans="1:13">
      <c r="A5798" s="639">
        <v>82913</v>
      </c>
      <c r="B5798" s="639">
        <v>1100</v>
      </c>
      <c r="C5798" s="638">
        <v>7847.3069999999998</v>
      </c>
      <c r="D5798" s="633">
        <f t="shared" si="185"/>
        <v>7847.3069999999998</v>
      </c>
      <c r="E5798" s="608"/>
      <c r="F5798" s="760">
        <f t="shared" si="184"/>
        <v>3310.5723636761904</v>
      </c>
      <c r="M5798" s="443"/>
    </row>
    <row r="5799" spans="1:13">
      <c r="A5799" s="639">
        <v>82913</v>
      </c>
      <c r="B5799" s="639">
        <v>1200</v>
      </c>
      <c r="C5799" s="638">
        <v>8255.2810000000009</v>
      </c>
      <c r="D5799" s="633">
        <f t="shared" si="185"/>
        <v>8255.2810000000009</v>
      </c>
      <c r="E5799" s="608"/>
      <c r="F5799" s="760">
        <f t="shared" si="184"/>
        <v>3482.6858606374326</v>
      </c>
      <c r="M5799" s="443"/>
    </row>
    <row r="5800" spans="1:13">
      <c r="A5800" s="639">
        <v>82913</v>
      </c>
      <c r="B5800" s="639">
        <v>1300</v>
      </c>
      <c r="C5800" s="638">
        <v>8655.2860000000001</v>
      </c>
      <c r="D5800" s="633">
        <f t="shared" si="185"/>
        <v>8655.2860000000001</v>
      </c>
      <c r="E5800" s="608"/>
      <c r="F5800" s="760">
        <f t="shared" si="184"/>
        <v>3651.4374461599932</v>
      </c>
      <c r="M5800" s="443"/>
    </row>
    <row r="5801" spans="1:13">
      <c r="A5801" s="639">
        <v>82913</v>
      </c>
      <c r="B5801" s="639">
        <v>1400</v>
      </c>
      <c r="C5801" s="638">
        <v>8896.5169999999998</v>
      </c>
      <c r="D5801" s="633">
        <f t="shared" si="185"/>
        <v>8896.5169999999998</v>
      </c>
      <c r="E5801" s="608"/>
      <c r="F5801" s="760">
        <f t="shared" si="184"/>
        <v>3753.2064583653232</v>
      </c>
      <c r="M5801" s="443"/>
    </row>
    <row r="5802" spans="1:13">
      <c r="A5802" s="639">
        <v>82913</v>
      </c>
      <c r="B5802" s="639">
        <v>1500</v>
      </c>
      <c r="C5802" s="638">
        <v>9220.85</v>
      </c>
      <c r="D5802" s="633">
        <f t="shared" si="185"/>
        <v>9220.85</v>
      </c>
      <c r="E5802" s="608"/>
      <c r="F5802" s="760">
        <f t="shared" si="184"/>
        <v>3890.0340179890504</v>
      </c>
      <c r="M5802" s="443"/>
    </row>
    <row r="5803" spans="1:13">
      <c r="A5803" s="639">
        <v>82913</v>
      </c>
      <c r="B5803" s="639">
        <v>1600</v>
      </c>
      <c r="C5803" s="638">
        <v>9640.7710000000006</v>
      </c>
      <c r="D5803" s="633">
        <f t="shared" si="185"/>
        <v>9640.7710000000006</v>
      </c>
      <c r="E5803" s="608"/>
      <c r="F5803" s="760">
        <f t="shared" si="184"/>
        <v>4067.1876399293251</v>
      </c>
      <c r="M5803" s="443"/>
    </row>
    <row r="5804" spans="1:13">
      <c r="A5804" s="639">
        <v>82913</v>
      </c>
      <c r="B5804" s="639">
        <v>1700</v>
      </c>
      <c r="C5804" s="638">
        <v>10034.505999999999</v>
      </c>
      <c r="D5804" s="633">
        <f t="shared" si="185"/>
        <v>10034.505999999999</v>
      </c>
      <c r="E5804" s="608"/>
      <c r="F5804" s="760">
        <f t="shared" si="184"/>
        <v>4233.2940774131703</v>
      </c>
      <c r="M5804" s="443"/>
    </row>
    <row r="5805" spans="1:13">
      <c r="A5805" s="639">
        <v>82913</v>
      </c>
      <c r="B5805" s="639">
        <v>1800</v>
      </c>
      <c r="C5805" s="638">
        <v>9940.5550000000003</v>
      </c>
      <c r="D5805" s="633">
        <f t="shared" si="185"/>
        <v>9940.5550000000003</v>
      </c>
      <c r="E5805" s="608"/>
      <c r="F5805" s="760">
        <f t="shared" si="184"/>
        <v>4193.6586223277836</v>
      </c>
      <c r="M5805" s="443"/>
    </row>
    <row r="5806" spans="1:13">
      <c r="A5806" s="639">
        <v>82913</v>
      </c>
      <c r="B5806" s="639">
        <v>1900</v>
      </c>
      <c r="C5806" s="638">
        <v>8841.9619999999995</v>
      </c>
      <c r="D5806" s="633">
        <f t="shared" si="185"/>
        <v>8841.9619999999995</v>
      </c>
      <c r="E5806" s="608"/>
      <c r="F5806" s="760">
        <f t="shared" si="184"/>
        <v>3730.1911391863546</v>
      </c>
      <c r="M5806" s="443"/>
    </row>
    <row r="5807" spans="1:13">
      <c r="A5807" s="639">
        <v>82913</v>
      </c>
      <c r="B5807" s="639">
        <v>2000</v>
      </c>
      <c r="C5807" s="638">
        <v>9172.0059999999994</v>
      </c>
      <c r="D5807" s="633">
        <f t="shared" si="185"/>
        <v>9172.0059999999994</v>
      </c>
      <c r="E5807" s="608"/>
      <c r="F5807" s="760">
        <f t="shared" si="184"/>
        <v>3869.4280194558719</v>
      </c>
      <c r="M5807" s="443"/>
    </row>
    <row r="5808" spans="1:13">
      <c r="A5808" s="639">
        <v>82913</v>
      </c>
      <c r="B5808" s="639">
        <v>2100</v>
      </c>
      <c r="C5808" s="638">
        <v>9770.5529999999999</v>
      </c>
      <c r="D5808" s="633">
        <f t="shared" si="185"/>
        <v>9770.5529999999999</v>
      </c>
      <c r="E5808" s="608"/>
      <c r="F5808" s="760">
        <f t="shared" si="184"/>
        <v>4121.9392512149061</v>
      </c>
      <c r="M5808" s="443"/>
    </row>
    <row r="5809" spans="1:13">
      <c r="A5809" s="639">
        <v>82913</v>
      </c>
      <c r="B5809" s="639">
        <v>2200</v>
      </c>
      <c r="C5809" s="638">
        <v>8658.9459999999999</v>
      </c>
      <c r="D5809" s="633">
        <f t="shared" si="185"/>
        <v>8658.9459999999999</v>
      </c>
      <c r="E5809" s="608"/>
      <c r="F5809" s="760">
        <f t="shared" si="184"/>
        <v>3652.9815038668035</v>
      </c>
      <c r="M5809" s="443"/>
    </row>
    <row r="5810" spans="1:13">
      <c r="A5810" s="639">
        <v>82913</v>
      </c>
      <c r="B5810" s="639">
        <v>2300</v>
      </c>
      <c r="C5810" s="638">
        <v>7450.4459999999999</v>
      </c>
      <c r="D5810" s="633">
        <f t="shared" si="185"/>
        <v>7450.4459999999999</v>
      </c>
      <c r="E5810" s="608"/>
      <c r="F5810" s="760">
        <f t="shared" si="184"/>
        <v>3143.1471490362001</v>
      </c>
      <c r="M5810" s="443"/>
    </row>
    <row r="5811" spans="1:13">
      <c r="A5811" s="639">
        <v>82913</v>
      </c>
      <c r="B5811" s="639">
        <v>2400</v>
      </c>
      <c r="C5811" s="638">
        <v>6350.61</v>
      </c>
      <c r="D5811" s="633">
        <f t="shared" si="185"/>
        <v>6350.61</v>
      </c>
      <c r="E5811" s="608"/>
      <c r="F5811" s="760">
        <f t="shared" si="184"/>
        <v>2679.1552768976221</v>
      </c>
      <c r="M5811" s="443"/>
    </row>
    <row r="5812" spans="1:13">
      <c r="A5812" s="639">
        <v>83013</v>
      </c>
      <c r="B5812" s="639">
        <v>100</v>
      </c>
      <c r="C5812" s="638">
        <v>5659.1040000000003</v>
      </c>
      <c r="D5812" s="633">
        <f t="shared" si="185"/>
        <v>5659.1040000000003</v>
      </c>
      <c r="E5812" s="608"/>
      <c r="F5812" s="760">
        <f t="shared" si="184"/>
        <v>2387.4270887540638</v>
      </c>
      <c r="M5812" s="443"/>
    </row>
    <row r="5813" spans="1:13">
      <c r="A5813" s="639">
        <v>83013</v>
      </c>
      <c r="B5813" s="639">
        <v>200</v>
      </c>
      <c r="C5813" s="638">
        <v>5250.692</v>
      </c>
      <c r="D5813" s="633">
        <f t="shared" si="185"/>
        <v>5250.692</v>
      </c>
      <c r="E5813" s="608"/>
      <c r="F5813" s="760">
        <f t="shared" si="184"/>
        <v>2215.1288111164331</v>
      </c>
      <c r="M5813" s="443"/>
    </row>
    <row r="5814" spans="1:13">
      <c r="A5814" s="639">
        <v>83013</v>
      </c>
      <c r="B5814" s="639">
        <v>300</v>
      </c>
      <c r="C5814" s="638">
        <v>4932.8850000000002</v>
      </c>
      <c r="D5814" s="633">
        <f t="shared" si="185"/>
        <v>4932.8850000000002</v>
      </c>
      <c r="E5814" s="608"/>
      <c r="F5814" s="760">
        <f t="shared" si="184"/>
        <v>2081.0543991961608</v>
      </c>
      <c r="M5814" s="443"/>
    </row>
    <row r="5815" spans="1:13">
      <c r="A5815" s="639">
        <v>83013</v>
      </c>
      <c r="B5815" s="639">
        <v>400</v>
      </c>
      <c r="C5815" s="638">
        <v>4819.4110000000001</v>
      </c>
      <c r="D5815" s="633">
        <f t="shared" si="185"/>
        <v>4819.4110000000001</v>
      </c>
      <c r="E5815" s="608"/>
      <c r="F5815" s="760">
        <f t="shared" si="184"/>
        <v>2033.1827040533819</v>
      </c>
      <c r="M5815" s="443"/>
    </row>
    <row r="5816" spans="1:13">
      <c r="A5816" s="639">
        <v>83013</v>
      </c>
      <c r="B5816" s="639">
        <v>500</v>
      </c>
      <c r="C5816" s="638">
        <v>4909.482</v>
      </c>
      <c r="D5816" s="633">
        <f t="shared" si="185"/>
        <v>4909.482</v>
      </c>
      <c r="E5816" s="608"/>
      <c r="F5816" s="760">
        <f t="shared" si="184"/>
        <v>2071.1812892200742</v>
      </c>
      <c r="M5816" s="443"/>
    </row>
    <row r="5817" spans="1:13">
      <c r="A5817" s="639">
        <v>83013</v>
      </c>
      <c r="B5817" s="639">
        <v>600</v>
      </c>
      <c r="C5817" s="638">
        <v>5401.4459999999999</v>
      </c>
      <c r="D5817" s="633">
        <f t="shared" si="185"/>
        <v>5401.4459999999999</v>
      </c>
      <c r="E5817" s="608"/>
      <c r="F5817" s="760">
        <f t="shared" si="184"/>
        <v>2278.7279574367744</v>
      </c>
      <c r="M5817" s="443"/>
    </row>
    <row r="5818" spans="1:13">
      <c r="A5818" s="639">
        <v>83013</v>
      </c>
      <c r="B5818" s="639">
        <v>700</v>
      </c>
      <c r="C5818" s="638">
        <v>5695.73</v>
      </c>
      <c r="D5818" s="633">
        <f t="shared" si="185"/>
        <v>5695.73</v>
      </c>
      <c r="E5818" s="608"/>
      <c r="F5818" s="760">
        <f t="shared" si="184"/>
        <v>2402.8786345381145</v>
      </c>
      <c r="M5818" s="443"/>
    </row>
    <row r="5819" spans="1:13">
      <c r="A5819" s="639">
        <v>83013</v>
      </c>
      <c r="B5819" s="639">
        <v>800</v>
      </c>
      <c r="C5819" s="638">
        <v>6266.5770000000002</v>
      </c>
      <c r="D5819" s="633">
        <f t="shared" si="185"/>
        <v>6266.5770000000002</v>
      </c>
      <c r="E5819" s="608"/>
      <c r="F5819" s="760">
        <f t="shared" si="184"/>
        <v>2643.7039650734769</v>
      </c>
      <c r="M5819" s="443"/>
    </row>
    <row r="5820" spans="1:13">
      <c r="A5820" s="639">
        <v>83013</v>
      </c>
      <c r="B5820" s="639">
        <v>900</v>
      </c>
      <c r="C5820" s="638">
        <v>6745.2089999999998</v>
      </c>
      <c r="D5820" s="633">
        <f t="shared" si="185"/>
        <v>6745.2089999999998</v>
      </c>
      <c r="E5820" s="608"/>
      <c r="F5820" s="760">
        <f t="shared" ref="F5820:F5859" si="186">(D5820/(MAX($D$5116:$D$5859)))*$M$11</f>
        <v>2845.6262132499614</v>
      </c>
      <c r="M5820" s="443"/>
    </row>
    <row r="5821" spans="1:13">
      <c r="A5821" s="639">
        <v>83013</v>
      </c>
      <c r="B5821" s="639">
        <v>1000</v>
      </c>
      <c r="C5821" s="638">
        <v>7239.3609999999999</v>
      </c>
      <c r="D5821" s="633">
        <f t="shared" si="185"/>
        <v>7239.3609999999999</v>
      </c>
      <c r="E5821" s="608"/>
      <c r="F5821" s="760">
        <f t="shared" si="186"/>
        <v>3054.0959411012245</v>
      </c>
      <c r="M5821" s="443"/>
    </row>
    <row r="5822" spans="1:13">
      <c r="A5822" s="639">
        <v>83013</v>
      </c>
      <c r="B5822" s="639">
        <v>1100</v>
      </c>
      <c r="C5822" s="638">
        <v>7375.9690000000001</v>
      </c>
      <c r="D5822" s="633">
        <f t="shared" si="185"/>
        <v>7375.9690000000001</v>
      </c>
      <c r="E5822" s="608"/>
      <c r="F5822" s="760">
        <f t="shared" si="186"/>
        <v>3111.7272621973766</v>
      </c>
      <c r="M5822" s="443"/>
    </row>
    <row r="5823" spans="1:13">
      <c r="A5823" s="639">
        <v>83013</v>
      </c>
      <c r="B5823" s="639">
        <v>1200</v>
      </c>
      <c r="C5823" s="638">
        <v>7309.7969999999996</v>
      </c>
      <c r="D5823" s="633">
        <f t="shared" si="185"/>
        <v>7309.7969999999996</v>
      </c>
      <c r="E5823" s="608"/>
      <c r="F5823" s="760">
        <f t="shared" si="186"/>
        <v>3083.8110363572018</v>
      </c>
      <c r="M5823" s="443"/>
    </row>
    <row r="5824" spans="1:13">
      <c r="A5824" s="639">
        <v>83013</v>
      </c>
      <c r="B5824" s="639">
        <v>1300</v>
      </c>
      <c r="C5824" s="638">
        <v>7681.9219999999996</v>
      </c>
      <c r="D5824" s="633">
        <f t="shared" si="185"/>
        <v>7681.9219999999996</v>
      </c>
      <c r="E5824" s="608"/>
      <c r="F5824" s="760">
        <f t="shared" si="186"/>
        <v>3240.8007833918214</v>
      </c>
      <c r="M5824" s="443"/>
    </row>
    <row r="5825" spans="1:13">
      <c r="A5825" s="639">
        <v>83013</v>
      </c>
      <c r="B5825" s="639">
        <v>1400</v>
      </c>
      <c r="C5825" s="638">
        <v>8012.0680000000002</v>
      </c>
      <c r="D5825" s="633">
        <f t="shared" si="185"/>
        <v>8012.0680000000002</v>
      </c>
      <c r="E5825" s="608"/>
      <c r="F5825" s="760">
        <f t="shared" si="186"/>
        <v>3380.0806947777587</v>
      </c>
      <c r="M5825" s="443"/>
    </row>
    <row r="5826" spans="1:13">
      <c r="A5826" s="639">
        <v>83013</v>
      </c>
      <c r="B5826" s="639">
        <v>1500</v>
      </c>
      <c r="C5826" s="638">
        <v>8484.6389999999992</v>
      </c>
      <c r="D5826" s="633">
        <f t="shared" si="185"/>
        <v>8484.6389999999992</v>
      </c>
      <c r="E5826" s="608"/>
      <c r="F5826" s="760">
        <f t="shared" si="186"/>
        <v>3579.4459665168174</v>
      </c>
      <c r="M5826" s="443"/>
    </row>
    <row r="5827" spans="1:13">
      <c r="A5827" s="639">
        <v>83013</v>
      </c>
      <c r="B5827" s="639">
        <v>1600</v>
      </c>
      <c r="C5827" s="638">
        <v>8679.8680000000004</v>
      </c>
      <c r="D5827" s="633">
        <f t="shared" si="185"/>
        <v>8679.8680000000004</v>
      </c>
      <c r="E5827" s="608"/>
      <c r="F5827" s="760">
        <f t="shared" si="186"/>
        <v>3661.8079452170446</v>
      </c>
      <c r="M5827" s="443"/>
    </row>
    <row r="5828" spans="1:13">
      <c r="A5828" s="639">
        <v>83013</v>
      </c>
      <c r="B5828" s="639">
        <v>1700</v>
      </c>
      <c r="C5828" s="638">
        <v>8727.6170000000002</v>
      </c>
      <c r="D5828" s="633">
        <f t="shared" si="185"/>
        <v>8727.6170000000002</v>
      </c>
      <c r="E5828" s="608"/>
      <c r="F5828" s="760">
        <f t="shared" si="186"/>
        <v>3681.9519920592511</v>
      </c>
      <c r="M5828" s="443"/>
    </row>
    <row r="5829" spans="1:13">
      <c r="A5829" s="639">
        <v>83013</v>
      </c>
      <c r="B5829" s="639">
        <v>1800</v>
      </c>
      <c r="C5829" s="638">
        <v>8768.6440000000002</v>
      </c>
      <c r="D5829" s="633">
        <f t="shared" ref="D5829:D5892" si="187">C5829</f>
        <v>8768.6440000000002</v>
      </c>
      <c r="E5829" s="608"/>
      <c r="F5829" s="760">
        <f t="shared" si="186"/>
        <v>3699.2602039546878</v>
      </c>
      <c r="M5829" s="443"/>
    </row>
    <row r="5830" spans="1:13">
      <c r="A5830" s="639">
        <v>83013</v>
      </c>
      <c r="B5830" s="639">
        <v>1900</v>
      </c>
      <c r="C5830" s="638">
        <v>8742.83</v>
      </c>
      <c r="D5830" s="633">
        <f t="shared" si="187"/>
        <v>8742.83</v>
      </c>
      <c r="E5830" s="608"/>
      <c r="F5830" s="760">
        <f t="shared" si="186"/>
        <v>3688.3699565110819</v>
      </c>
      <c r="M5830" s="443"/>
    </row>
    <row r="5831" spans="1:13">
      <c r="A5831" s="639">
        <v>83013</v>
      </c>
      <c r="B5831" s="639">
        <v>2000</v>
      </c>
      <c r="C5831" s="638">
        <v>8711.8420000000006</v>
      </c>
      <c r="D5831" s="633">
        <f t="shared" si="187"/>
        <v>8711.8420000000006</v>
      </c>
      <c r="E5831" s="608"/>
      <c r="F5831" s="760">
        <f t="shared" si="186"/>
        <v>3675.296934593423</v>
      </c>
      <c r="M5831" s="443"/>
    </row>
    <row r="5832" spans="1:13">
      <c r="A5832" s="639">
        <v>83013</v>
      </c>
      <c r="B5832" s="639">
        <v>2100</v>
      </c>
      <c r="C5832" s="638">
        <v>8216.1360000000004</v>
      </c>
      <c r="D5832" s="633">
        <f t="shared" si="187"/>
        <v>8216.1360000000004</v>
      </c>
      <c r="E5832" s="608"/>
      <c r="F5832" s="760">
        <f t="shared" si="186"/>
        <v>3466.1716150273005</v>
      </c>
      <c r="M5832" s="443"/>
    </row>
    <row r="5833" spans="1:13">
      <c r="A5833" s="639">
        <v>83013</v>
      </c>
      <c r="B5833" s="639">
        <v>2200</v>
      </c>
      <c r="C5833" s="638">
        <v>7489.5519999999997</v>
      </c>
      <c r="D5833" s="633">
        <f t="shared" si="187"/>
        <v>7489.5519999999997</v>
      </c>
      <c r="E5833" s="608"/>
      <c r="F5833" s="760">
        <f t="shared" si="186"/>
        <v>3159.6449415724069</v>
      </c>
      <c r="M5833" s="443"/>
    </row>
    <row r="5834" spans="1:13">
      <c r="A5834" s="639">
        <v>83013</v>
      </c>
      <c r="B5834" s="639">
        <v>2300</v>
      </c>
      <c r="C5834" s="638">
        <v>6664.52</v>
      </c>
      <c r="D5834" s="633">
        <f t="shared" si="187"/>
        <v>6664.52</v>
      </c>
      <c r="E5834" s="608"/>
      <c r="F5834" s="760">
        <f t="shared" si="186"/>
        <v>2811.5856470464637</v>
      </c>
      <c r="M5834" s="443"/>
    </row>
    <row r="5835" spans="1:13">
      <c r="A5835" s="639">
        <v>83013</v>
      </c>
      <c r="B5835" s="639">
        <v>2400</v>
      </c>
      <c r="C5835" s="638">
        <v>5897.2430000000004</v>
      </c>
      <c r="D5835" s="633">
        <f t="shared" si="187"/>
        <v>5897.2430000000004</v>
      </c>
      <c r="E5835" s="608"/>
      <c r="F5835" s="760">
        <f t="shared" si="186"/>
        <v>2487.8916675087225</v>
      </c>
      <c r="M5835" s="443"/>
    </row>
    <row r="5836" spans="1:13">
      <c r="A5836" s="639">
        <v>83113</v>
      </c>
      <c r="B5836" s="639">
        <v>100</v>
      </c>
      <c r="C5836" s="638">
        <v>5364.37</v>
      </c>
      <c r="D5836" s="633">
        <f t="shared" si="187"/>
        <v>5364.37</v>
      </c>
      <c r="E5836" s="608"/>
      <c r="F5836" s="760">
        <f t="shared" si="186"/>
        <v>2263.08656849205</v>
      </c>
      <c r="M5836" s="443"/>
    </row>
    <row r="5837" spans="1:13">
      <c r="A5837" s="639">
        <v>83113</v>
      </c>
      <c r="B5837" s="639">
        <v>200</v>
      </c>
      <c r="C5837" s="638">
        <v>4938.8540000000003</v>
      </c>
      <c r="D5837" s="633">
        <f t="shared" si="187"/>
        <v>4938.8540000000003</v>
      </c>
      <c r="E5837" s="608"/>
      <c r="F5837" s="760">
        <f t="shared" si="186"/>
        <v>2083.5725632540702</v>
      </c>
      <c r="M5837" s="443"/>
    </row>
    <row r="5838" spans="1:13">
      <c r="A5838" s="639">
        <v>83113</v>
      </c>
      <c r="B5838" s="639">
        <v>300</v>
      </c>
      <c r="C5838" s="638">
        <v>4731.723</v>
      </c>
      <c r="D5838" s="633">
        <f t="shared" si="187"/>
        <v>4731.723</v>
      </c>
      <c r="E5838" s="608"/>
      <c r="F5838" s="760">
        <f t="shared" si="186"/>
        <v>1996.189443890878</v>
      </c>
      <c r="M5838" s="443"/>
    </row>
    <row r="5839" spans="1:13">
      <c r="A5839" s="639">
        <v>83113</v>
      </c>
      <c r="B5839" s="639">
        <v>400</v>
      </c>
      <c r="C5839" s="638">
        <v>4686.165</v>
      </c>
      <c r="D5839" s="633">
        <f t="shared" si="187"/>
        <v>4686.165</v>
      </c>
      <c r="E5839" s="608"/>
      <c r="F5839" s="760">
        <f t="shared" si="186"/>
        <v>1976.9697223043058</v>
      </c>
      <c r="M5839" s="443"/>
    </row>
    <row r="5840" spans="1:13">
      <c r="A5840" s="639">
        <v>83113</v>
      </c>
      <c r="B5840" s="639">
        <v>500</v>
      </c>
      <c r="C5840" s="638">
        <v>4703.9399999999996</v>
      </c>
      <c r="D5840" s="633">
        <f t="shared" si="187"/>
        <v>4703.9399999999996</v>
      </c>
      <c r="E5840" s="608"/>
      <c r="F5840" s="760">
        <f t="shared" si="186"/>
        <v>1984.4685271509038</v>
      </c>
      <c r="M5840" s="443"/>
    </row>
    <row r="5841" spans="1:13">
      <c r="A5841" s="639">
        <v>83113</v>
      </c>
      <c r="B5841" s="639">
        <v>600</v>
      </c>
      <c r="C5841" s="638">
        <v>5004.4070000000002</v>
      </c>
      <c r="D5841" s="633">
        <f t="shared" si="187"/>
        <v>5004.4070000000002</v>
      </c>
      <c r="E5841" s="608"/>
      <c r="F5841" s="760">
        <f t="shared" si="186"/>
        <v>2111.227649279896</v>
      </c>
      <c r="M5841" s="443"/>
    </row>
    <row r="5842" spans="1:13">
      <c r="A5842" s="639">
        <v>83113</v>
      </c>
      <c r="B5842" s="639">
        <v>700</v>
      </c>
      <c r="C5842" s="638">
        <v>5445.9309999999996</v>
      </c>
      <c r="D5842" s="633">
        <f t="shared" si="187"/>
        <v>5445.9309999999996</v>
      </c>
      <c r="E5842" s="608"/>
      <c r="F5842" s="760">
        <f t="shared" si="186"/>
        <v>2297.4950085535634</v>
      </c>
      <c r="M5842" s="443"/>
    </row>
    <row r="5843" spans="1:13">
      <c r="A5843" s="639">
        <v>83113</v>
      </c>
      <c r="B5843" s="639">
        <v>800</v>
      </c>
      <c r="C5843" s="638">
        <v>5954.201</v>
      </c>
      <c r="D5843" s="633">
        <f t="shared" si="187"/>
        <v>5954.201</v>
      </c>
      <c r="E5843" s="608"/>
      <c r="F5843" s="760">
        <f t="shared" si="186"/>
        <v>2511.9207491656866</v>
      </c>
      <c r="M5843" s="443"/>
    </row>
    <row r="5844" spans="1:13">
      <c r="A5844" s="639">
        <v>83113</v>
      </c>
      <c r="B5844" s="639">
        <v>900</v>
      </c>
      <c r="C5844" s="638">
        <v>6492.4219999999996</v>
      </c>
      <c r="D5844" s="633">
        <f t="shared" si="187"/>
        <v>6492.4219999999996</v>
      </c>
      <c r="E5844" s="608"/>
      <c r="F5844" s="760">
        <f t="shared" si="186"/>
        <v>2738.9820286785389</v>
      </c>
      <c r="M5844" s="443"/>
    </row>
    <row r="5845" spans="1:13">
      <c r="A5845" s="639">
        <v>83113</v>
      </c>
      <c r="B5845" s="639">
        <v>1000</v>
      </c>
      <c r="C5845" s="638">
        <v>6878.2259999999997</v>
      </c>
      <c r="D5845" s="633">
        <f t="shared" si="187"/>
        <v>6878.2259999999997</v>
      </c>
      <c r="E5845" s="608"/>
      <c r="F5845" s="760">
        <f t="shared" si="186"/>
        <v>2901.7425859239388</v>
      </c>
      <c r="M5845" s="443"/>
    </row>
    <row r="5846" spans="1:13">
      <c r="A5846" s="639">
        <v>83113</v>
      </c>
      <c r="B5846" s="639">
        <v>1100</v>
      </c>
      <c r="C5846" s="638">
        <v>7140.4369999999999</v>
      </c>
      <c r="D5846" s="633">
        <f t="shared" si="187"/>
        <v>7140.4369999999999</v>
      </c>
      <c r="E5846" s="608"/>
      <c r="F5846" s="760">
        <f t="shared" si="186"/>
        <v>3012.362508153552</v>
      </c>
      <c r="M5846" s="443"/>
    </row>
    <row r="5847" spans="1:13">
      <c r="A5847" s="639">
        <v>83113</v>
      </c>
      <c r="B5847" s="639">
        <v>1200</v>
      </c>
      <c r="C5847" s="638">
        <v>7375.7979999999998</v>
      </c>
      <c r="D5847" s="633">
        <f t="shared" si="187"/>
        <v>7375.7979999999998</v>
      </c>
      <c r="E5847" s="608"/>
      <c r="F5847" s="760">
        <f t="shared" si="186"/>
        <v>3111.6551217963206</v>
      </c>
      <c r="M5847" s="443"/>
    </row>
    <row r="5848" spans="1:13">
      <c r="A5848" s="639">
        <v>83113</v>
      </c>
      <c r="B5848" s="639">
        <v>1300</v>
      </c>
      <c r="C5848" s="638">
        <v>7621.0950000000003</v>
      </c>
      <c r="D5848" s="633">
        <f t="shared" si="187"/>
        <v>7621.0950000000003</v>
      </c>
      <c r="E5848" s="608"/>
      <c r="F5848" s="760">
        <f t="shared" si="186"/>
        <v>3215.139472426757</v>
      </c>
      <c r="M5848" s="443"/>
    </row>
    <row r="5849" spans="1:13">
      <c r="A5849" s="639">
        <v>83113</v>
      </c>
      <c r="B5849" s="639">
        <v>1400</v>
      </c>
      <c r="C5849" s="638">
        <v>7967.442</v>
      </c>
      <c r="D5849" s="633">
        <f t="shared" si="187"/>
        <v>7967.442</v>
      </c>
      <c r="E5849" s="608"/>
      <c r="F5849" s="760">
        <f t="shared" si="186"/>
        <v>3361.2541594706254</v>
      </c>
      <c r="M5849" s="443"/>
    </row>
    <row r="5850" spans="1:13">
      <c r="A5850" s="639">
        <v>83113</v>
      </c>
      <c r="B5850" s="639">
        <v>1500</v>
      </c>
      <c r="C5850" s="638">
        <v>8194.9169999999995</v>
      </c>
      <c r="D5850" s="633">
        <f t="shared" si="187"/>
        <v>8194.9169999999995</v>
      </c>
      <c r="E5850" s="608"/>
      <c r="F5850" s="760">
        <f t="shared" si="186"/>
        <v>3457.2198771910148</v>
      </c>
      <c r="M5850" s="443"/>
    </row>
    <row r="5851" spans="1:13">
      <c r="A5851" s="639">
        <v>83113</v>
      </c>
      <c r="B5851" s="639">
        <v>1600</v>
      </c>
      <c r="C5851" s="638">
        <v>8523.0149999999994</v>
      </c>
      <c r="D5851" s="633">
        <f t="shared" si="187"/>
        <v>8523.0149999999994</v>
      </c>
      <c r="E5851" s="608"/>
      <c r="F5851" s="760">
        <f t="shared" si="186"/>
        <v>3595.6357912590429</v>
      </c>
      <c r="M5851" s="443"/>
    </row>
    <row r="5852" spans="1:13">
      <c r="A5852" s="639">
        <v>83113</v>
      </c>
      <c r="B5852" s="639">
        <v>1700</v>
      </c>
      <c r="C5852" s="638">
        <v>8676.5949999999993</v>
      </c>
      <c r="D5852" s="633">
        <f t="shared" si="187"/>
        <v>8676.5949999999993</v>
      </c>
      <c r="E5852" s="608"/>
      <c r="F5852" s="760">
        <f t="shared" si="186"/>
        <v>3660.4271526284133</v>
      </c>
      <c r="M5852" s="443"/>
    </row>
    <row r="5853" spans="1:13">
      <c r="A5853" s="639">
        <v>83113</v>
      </c>
      <c r="B5853" s="639">
        <v>1800</v>
      </c>
      <c r="C5853" s="638">
        <v>8639.616</v>
      </c>
      <c r="D5853" s="633">
        <f t="shared" si="187"/>
        <v>8639.616</v>
      </c>
      <c r="E5853" s="608"/>
      <c r="F5853" s="760">
        <f t="shared" si="186"/>
        <v>3644.8266854316562</v>
      </c>
      <c r="M5853" s="443"/>
    </row>
    <row r="5854" spans="1:13">
      <c r="A5854" s="639">
        <v>83113</v>
      </c>
      <c r="B5854" s="639">
        <v>1900</v>
      </c>
      <c r="C5854" s="638">
        <v>8427.6919999999991</v>
      </c>
      <c r="D5854" s="633">
        <f t="shared" si="187"/>
        <v>8427.6919999999991</v>
      </c>
      <c r="E5854" s="608"/>
      <c r="F5854" s="760">
        <f t="shared" si="186"/>
        <v>3555.4215254704472</v>
      </c>
      <c r="M5854" s="443"/>
    </row>
    <row r="5855" spans="1:13">
      <c r="A5855" s="639">
        <v>83113</v>
      </c>
      <c r="B5855" s="639">
        <v>2000</v>
      </c>
      <c r="C5855" s="638">
        <v>8493.1779999999999</v>
      </c>
      <c r="D5855" s="633">
        <f t="shared" si="187"/>
        <v>8493.1779999999999</v>
      </c>
      <c r="E5855" s="608"/>
      <c r="F5855" s="760">
        <f t="shared" si="186"/>
        <v>3583.0483459590178</v>
      </c>
      <c r="M5855" s="443"/>
    </row>
    <row r="5856" spans="1:13">
      <c r="A5856" s="639">
        <v>83113</v>
      </c>
      <c r="B5856" s="639">
        <v>2100</v>
      </c>
      <c r="C5856" s="638">
        <v>7977.5110000000004</v>
      </c>
      <c r="D5856" s="633">
        <f t="shared" si="187"/>
        <v>7977.5110000000004</v>
      </c>
      <c r="E5856" s="608"/>
      <c r="F5856" s="760">
        <f t="shared" si="186"/>
        <v>3365.5020056591147</v>
      </c>
      <c r="M5856" s="443"/>
    </row>
    <row r="5857" spans="1:13">
      <c r="A5857" s="639">
        <v>83113</v>
      </c>
      <c r="B5857" s="639">
        <v>2200</v>
      </c>
      <c r="C5857" s="638">
        <v>7282.3010000000004</v>
      </c>
      <c r="D5857" s="633">
        <f t="shared" si="187"/>
        <v>7282.3010000000004</v>
      </c>
      <c r="E5857" s="608"/>
      <c r="F5857" s="760">
        <f t="shared" si="186"/>
        <v>3072.2111973663687</v>
      </c>
      <c r="M5857" s="443"/>
    </row>
    <row r="5858" spans="1:13">
      <c r="A5858" s="639">
        <v>83113</v>
      </c>
      <c r="B5858" s="639">
        <v>2300</v>
      </c>
      <c r="C5858" s="638">
        <v>6514.29</v>
      </c>
      <c r="D5858" s="633">
        <f t="shared" si="187"/>
        <v>6514.29</v>
      </c>
      <c r="E5858" s="608"/>
      <c r="F5858" s="760">
        <f t="shared" si="186"/>
        <v>2748.2075625398843</v>
      </c>
      <c r="M5858" s="443"/>
    </row>
    <row r="5859" spans="1:13">
      <c r="A5859" s="639">
        <v>83113</v>
      </c>
      <c r="B5859" s="639">
        <v>2400</v>
      </c>
      <c r="C5859" s="638">
        <v>5752.4030000000002</v>
      </c>
      <c r="D5859" s="633">
        <f t="shared" si="187"/>
        <v>5752.4030000000002</v>
      </c>
      <c r="E5859" s="608"/>
      <c r="F5859" s="760">
        <f t="shared" si="186"/>
        <v>2426.7874821933192</v>
      </c>
      <c r="M5859" s="443"/>
    </row>
    <row r="5860" spans="1:13">
      <c r="A5860" s="639">
        <v>90113</v>
      </c>
      <c r="B5860" s="639">
        <v>100</v>
      </c>
      <c r="C5860" s="638">
        <v>5180.2049999999999</v>
      </c>
      <c r="D5860" s="633">
        <f t="shared" si="187"/>
        <v>5180.2049999999999</v>
      </c>
      <c r="E5860" s="608"/>
      <c r="F5860" s="760">
        <f t="shared" ref="F5860:F5923" si="188">(D5860/(MAX($D$5860:$D$6579)))*$M$12</f>
        <v>2185.4388079494061</v>
      </c>
      <c r="M5860" s="443"/>
    </row>
    <row r="5861" spans="1:13">
      <c r="A5861" s="639">
        <v>90113</v>
      </c>
      <c r="B5861" s="639">
        <v>200</v>
      </c>
      <c r="C5861" s="638">
        <v>4874.0959999999995</v>
      </c>
      <c r="D5861" s="633">
        <f t="shared" si="187"/>
        <v>4874.0959999999995</v>
      </c>
      <c r="E5861" s="608"/>
      <c r="F5861" s="760">
        <f t="shared" si="188"/>
        <v>2056.2967203172398</v>
      </c>
      <c r="M5861" s="443"/>
    </row>
    <row r="5862" spans="1:13">
      <c r="A5862" s="639">
        <v>90113</v>
      </c>
      <c r="B5862" s="639">
        <v>300</v>
      </c>
      <c r="C5862" s="638">
        <v>4641.5680000000002</v>
      </c>
      <c r="D5862" s="633">
        <f t="shared" si="187"/>
        <v>4641.5680000000002</v>
      </c>
      <c r="E5862" s="608"/>
      <c r="F5862" s="760">
        <f t="shared" si="188"/>
        <v>1958.1971827246432</v>
      </c>
      <c r="M5862" s="443"/>
    </row>
    <row r="5863" spans="1:13">
      <c r="A5863" s="639">
        <v>90113</v>
      </c>
      <c r="B5863" s="639">
        <v>400</v>
      </c>
      <c r="C5863" s="638">
        <v>4503.8220000000001</v>
      </c>
      <c r="D5863" s="633">
        <f t="shared" si="187"/>
        <v>4503.8220000000001</v>
      </c>
      <c r="E5863" s="608"/>
      <c r="F5863" s="760">
        <f t="shared" si="188"/>
        <v>1900.0845300323656</v>
      </c>
      <c r="M5863" s="443"/>
    </row>
    <row r="5864" spans="1:13">
      <c r="A5864" s="639">
        <v>90113</v>
      </c>
      <c r="B5864" s="639">
        <v>500</v>
      </c>
      <c r="C5864" s="638">
        <v>4506.99</v>
      </c>
      <c r="D5864" s="633">
        <f t="shared" si="187"/>
        <v>4506.99</v>
      </c>
      <c r="E5864" s="608"/>
      <c r="F5864" s="760">
        <f t="shared" si="188"/>
        <v>1901.4210543868235</v>
      </c>
      <c r="M5864" s="443"/>
    </row>
    <row r="5865" spans="1:13">
      <c r="A5865" s="639">
        <v>90113</v>
      </c>
      <c r="B5865" s="639">
        <v>600</v>
      </c>
      <c r="C5865" s="638">
        <v>4769.2359999999999</v>
      </c>
      <c r="D5865" s="633">
        <f t="shared" si="187"/>
        <v>4769.2359999999999</v>
      </c>
      <c r="E5865" s="608"/>
      <c r="F5865" s="760">
        <f t="shared" si="188"/>
        <v>2012.0581016908393</v>
      </c>
      <c r="M5865" s="443"/>
    </row>
    <row r="5866" spans="1:13">
      <c r="A5866" s="639">
        <v>90113</v>
      </c>
      <c r="B5866" s="639">
        <v>700</v>
      </c>
      <c r="C5866" s="638">
        <v>5089.741</v>
      </c>
      <c r="D5866" s="633">
        <f t="shared" si="187"/>
        <v>5089.741</v>
      </c>
      <c r="E5866" s="608"/>
      <c r="F5866" s="760">
        <f t="shared" si="188"/>
        <v>2147.2736124943353</v>
      </c>
      <c r="M5866" s="443"/>
    </row>
    <row r="5867" spans="1:13">
      <c r="A5867" s="639">
        <v>90113</v>
      </c>
      <c r="B5867" s="639">
        <v>800</v>
      </c>
      <c r="C5867" s="638">
        <v>5680.4840000000004</v>
      </c>
      <c r="D5867" s="633">
        <f t="shared" si="187"/>
        <v>5680.4840000000004</v>
      </c>
      <c r="E5867" s="608"/>
      <c r="F5867" s="760">
        <f t="shared" si="188"/>
        <v>2396.4978570415024</v>
      </c>
      <c r="M5867" s="443"/>
    </row>
    <row r="5868" spans="1:13">
      <c r="A5868" s="639">
        <v>90113</v>
      </c>
      <c r="B5868" s="639">
        <v>900</v>
      </c>
      <c r="C5868" s="638">
        <v>6204.5439999999999</v>
      </c>
      <c r="D5868" s="633">
        <f t="shared" si="187"/>
        <v>6204.5439999999999</v>
      </c>
      <c r="E5868" s="608"/>
      <c r="F5868" s="760">
        <f t="shared" si="188"/>
        <v>2617.5896983284715</v>
      </c>
      <c r="M5868" s="443"/>
    </row>
    <row r="5869" spans="1:13">
      <c r="A5869" s="639">
        <v>90113</v>
      </c>
      <c r="B5869" s="639">
        <v>1000</v>
      </c>
      <c r="C5869" s="638">
        <v>6585.14</v>
      </c>
      <c r="D5869" s="633">
        <f t="shared" si="187"/>
        <v>6585.14</v>
      </c>
      <c r="E5869" s="608"/>
      <c r="F5869" s="760">
        <f t="shared" si="188"/>
        <v>2778.1565617152123</v>
      </c>
      <c r="M5869" s="443"/>
    </row>
    <row r="5870" spans="1:13">
      <c r="A5870" s="639">
        <v>90113</v>
      </c>
      <c r="B5870" s="639">
        <v>1100</v>
      </c>
      <c r="C5870" s="638">
        <v>7059.9669999999996</v>
      </c>
      <c r="D5870" s="633">
        <f t="shared" si="187"/>
        <v>7059.9669999999996</v>
      </c>
      <c r="E5870" s="608"/>
      <c r="F5870" s="760">
        <f t="shared" si="188"/>
        <v>2978.4778526413811</v>
      </c>
      <c r="M5870" s="443"/>
    </row>
    <row r="5871" spans="1:13">
      <c r="A5871" s="639">
        <v>90113</v>
      </c>
      <c r="B5871" s="639">
        <v>1200</v>
      </c>
      <c r="C5871" s="638">
        <v>7083.598</v>
      </c>
      <c r="D5871" s="633">
        <f t="shared" si="187"/>
        <v>7083.598</v>
      </c>
      <c r="E5871" s="608"/>
      <c r="F5871" s="760">
        <f t="shared" si="188"/>
        <v>2988.4473624331081</v>
      </c>
      <c r="M5871" s="443"/>
    </row>
    <row r="5872" spans="1:13">
      <c r="A5872" s="639">
        <v>90113</v>
      </c>
      <c r="B5872" s="639">
        <v>1300</v>
      </c>
      <c r="C5872" s="638">
        <v>7320.0910000000003</v>
      </c>
      <c r="D5872" s="633">
        <f t="shared" si="187"/>
        <v>7320.0910000000003</v>
      </c>
      <c r="E5872" s="608"/>
      <c r="F5872" s="760">
        <f t="shared" si="188"/>
        <v>3088.219664882216</v>
      </c>
      <c r="M5872" s="443"/>
    </row>
    <row r="5873" spans="1:13">
      <c r="A5873" s="639">
        <v>90113</v>
      </c>
      <c r="B5873" s="639">
        <v>1400</v>
      </c>
      <c r="C5873" s="638">
        <v>7541.0129999999999</v>
      </c>
      <c r="D5873" s="633">
        <f t="shared" si="187"/>
        <v>7541.0129999999999</v>
      </c>
      <c r="E5873" s="608"/>
      <c r="F5873" s="760">
        <f t="shared" si="188"/>
        <v>3181.4228320020106</v>
      </c>
      <c r="M5873" s="443"/>
    </row>
    <row r="5874" spans="1:13">
      <c r="A5874" s="639">
        <v>90113</v>
      </c>
      <c r="B5874" s="639">
        <v>1500</v>
      </c>
      <c r="C5874" s="638">
        <v>7639.518</v>
      </c>
      <c r="D5874" s="633">
        <f t="shared" si="187"/>
        <v>7639.518</v>
      </c>
      <c r="E5874" s="608"/>
      <c r="F5874" s="760">
        <f t="shared" si="188"/>
        <v>3222.9803861484306</v>
      </c>
      <c r="M5874" s="443"/>
    </row>
    <row r="5875" spans="1:13">
      <c r="A5875" s="639">
        <v>90113</v>
      </c>
      <c r="B5875" s="639">
        <v>1600</v>
      </c>
      <c r="C5875" s="638">
        <v>7907.0680000000002</v>
      </c>
      <c r="D5875" s="633">
        <f t="shared" si="187"/>
        <v>7907.0680000000002</v>
      </c>
      <c r="E5875" s="608"/>
      <c r="F5875" s="760">
        <f t="shared" si="188"/>
        <v>3335.8550992277133</v>
      </c>
      <c r="M5875" s="443"/>
    </row>
    <row r="5876" spans="1:13">
      <c r="A5876" s="639">
        <v>90113</v>
      </c>
      <c r="B5876" s="639">
        <v>1700</v>
      </c>
      <c r="C5876" s="638">
        <v>7953.567</v>
      </c>
      <c r="D5876" s="633">
        <f t="shared" si="187"/>
        <v>7953.567</v>
      </c>
      <c r="E5876" s="608"/>
      <c r="F5876" s="760">
        <f t="shared" si="188"/>
        <v>3355.472222320494</v>
      </c>
      <c r="M5876" s="443"/>
    </row>
    <row r="5877" spans="1:13">
      <c r="A5877" s="639">
        <v>90113</v>
      </c>
      <c r="B5877" s="639">
        <v>1800</v>
      </c>
      <c r="C5877" s="638">
        <v>7960.8320000000003</v>
      </c>
      <c r="D5877" s="633">
        <f t="shared" si="187"/>
        <v>7960.8320000000003</v>
      </c>
      <c r="E5877" s="608"/>
      <c r="F5877" s="760">
        <f t="shared" si="188"/>
        <v>3358.5372000462312</v>
      </c>
      <c r="M5877" s="443"/>
    </row>
    <row r="5878" spans="1:13">
      <c r="A5878" s="639">
        <v>90113</v>
      </c>
      <c r="B5878" s="639">
        <v>1900</v>
      </c>
      <c r="C5878" s="638">
        <v>7800.5990000000002</v>
      </c>
      <c r="D5878" s="633">
        <f t="shared" si="187"/>
        <v>7800.5990000000002</v>
      </c>
      <c r="E5878" s="608"/>
      <c r="F5878" s="760">
        <f t="shared" si="188"/>
        <v>3290.9376713568922</v>
      </c>
      <c r="M5878" s="443"/>
    </row>
    <row r="5879" spans="1:13">
      <c r="A5879" s="639">
        <v>90113</v>
      </c>
      <c r="B5879" s="639">
        <v>2000</v>
      </c>
      <c r="C5879" s="638">
        <v>7729.0889999999999</v>
      </c>
      <c r="D5879" s="633">
        <f t="shared" si="187"/>
        <v>7729.0889999999999</v>
      </c>
      <c r="E5879" s="608"/>
      <c r="F5879" s="760">
        <f t="shared" si="188"/>
        <v>3260.7688403634352</v>
      </c>
      <c r="M5879" s="443"/>
    </row>
    <row r="5880" spans="1:13">
      <c r="A5880" s="639">
        <v>90113</v>
      </c>
      <c r="B5880" s="639">
        <v>2100</v>
      </c>
      <c r="C5880" s="638">
        <v>7404.04</v>
      </c>
      <c r="D5880" s="633">
        <f t="shared" si="187"/>
        <v>7404.04</v>
      </c>
      <c r="E5880" s="608"/>
      <c r="F5880" s="760">
        <f t="shared" si="188"/>
        <v>3123.6362946272825</v>
      </c>
      <c r="M5880" s="443"/>
    </row>
    <row r="5881" spans="1:13">
      <c r="A5881" s="639">
        <v>90113</v>
      </c>
      <c r="B5881" s="639">
        <v>2200</v>
      </c>
      <c r="C5881" s="638">
        <v>6880.3879999999999</v>
      </c>
      <c r="D5881" s="633">
        <f t="shared" si="187"/>
        <v>6880.3879999999999</v>
      </c>
      <c r="E5881" s="608"/>
      <c r="F5881" s="760">
        <f t="shared" si="188"/>
        <v>2902.7165814768719</v>
      </c>
      <c r="M5881" s="443"/>
    </row>
    <row r="5882" spans="1:13">
      <c r="A5882" s="639">
        <v>90113</v>
      </c>
      <c r="B5882" s="639">
        <v>2300</v>
      </c>
      <c r="C5882" s="638">
        <v>6112.48</v>
      </c>
      <c r="D5882" s="633">
        <f t="shared" si="187"/>
        <v>6112.48</v>
      </c>
      <c r="E5882" s="608"/>
      <c r="F5882" s="760">
        <f t="shared" si="188"/>
        <v>2578.7494905731692</v>
      </c>
      <c r="M5882" s="443"/>
    </row>
    <row r="5883" spans="1:13">
      <c r="A5883" s="639">
        <v>90113</v>
      </c>
      <c r="B5883" s="639">
        <v>2400</v>
      </c>
      <c r="C5883" s="638">
        <v>5440.7179999999998</v>
      </c>
      <c r="D5883" s="633">
        <f t="shared" si="187"/>
        <v>5440.7179999999998</v>
      </c>
      <c r="E5883" s="608"/>
      <c r="F5883" s="760">
        <f t="shared" si="188"/>
        <v>2295.3447325557345</v>
      </c>
      <c r="M5883" s="443"/>
    </row>
    <row r="5884" spans="1:13">
      <c r="A5884" s="639">
        <v>90213</v>
      </c>
      <c r="B5884" s="639">
        <v>100</v>
      </c>
      <c r="C5884" s="638">
        <v>5042.9040000000005</v>
      </c>
      <c r="D5884" s="633">
        <f t="shared" si="187"/>
        <v>5042.9040000000005</v>
      </c>
      <c r="E5884" s="608"/>
      <c r="F5884" s="760">
        <f t="shared" si="188"/>
        <v>2127.5138930531307</v>
      </c>
      <c r="M5884" s="443"/>
    </row>
    <row r="5885" spans="1:13">
      <c r="A5885" s="639">
        <v>90213</v>
      </c>
      <c r="B5885" s="639">
        <v>200</v>
      </c>
      <c r="C5885" s="638">
        <v>4783.893</v>
      </c>
      <c r="D5885" s="633">
        <f t="shared" si="187"/>
        <v>4783.893</v>
      </c>
      <c r="E5885" s="608"/>
      <c r="F5885" s="760">
        <f t="shared" si="188"/>
        <v>2018.2416362436447</v>
      </c>
      <c r="M5885" s="443"/>
    </row>
    <row r="5886" spans="1:13">
      <c r="A5886" s="639">
        <v>90213</v>
      </c>
      <c r="B5886" s="639">
        <v>300</v>
      </c>
      <c r="C5886" s="638">
        <v>4603.2120000000004</v>
      </c>
      <c r="D5886" s="633">
        <f t="shared" si="187"/>
        <v>4603.2120000000004</v>
      </c>
      <c r="E5886" s="608"/>
      <c r="F5886" s="760">
        <f t="shared" si="188"/>
        <v>1942.0154503573513</v>
      </c>
      <c r="M5886" s="443"/>
    </row>
    <row r="5887" spans="1:13">
      <c r="A5887" s="639">
        <v>90213</v>
      </c>
      <c r="B5887" s="639">
        <v>400</v>
      </c>
      <c r="C5887" s="638">
        <v>4509.2340000000004</v>
      </c>
      <c r="D5887" s="633">
        <f t="shared" si="187"/>
        <v>4509.2340000000004</v>
      </c>
      <c r="E5887" s="608"/>
      <c r="F5887" s="760">
        <f t="shared" si="188"/>
        <v>1902.3677591378978</v>
      </c>
      <c r="M5887" s="443"/>
    </row>
    <row r="5888" spans="1:13">
      <c r="A5888" s="639">
        <v>90213</v>
      </c>
      <c r="B5888" s="639">
        <v>500</v>
      </c>
      <c r="C5888" s="638">
        <v>4539.2280000000001</v>
      </c>
      <c r="D5888" s="633">
        <f t="shared" si="187"/>
        <v>4539.2280000000001</v>
      </c>
      <c r="E5888" s="608"/>
      <c r="F5888" s="760">
        <f t="shared" si="188"/>
        <v>1915.0217084711064</v>
      </c>
      <c r="M5888" s="443"/>
    </row>
    <row r="5889" spans="1:13">
      <c r="A5889" s="639">
        <v>90213</v>
      </c>
      <c r="B5889" s="639">
        <v>600</v>
      </c>
      <c r="C5889" s="638">
        <v>4674.0429999999997</v>
      </c>
      <c r="D5889" s="633">
        <f t="shared" si="187"/>
        <v>4674.0429999999997</v>
      </c>
      <c r="E5889" s="608"/>
      <c r="F5889" s="760">
        <f t="shared" si="188"/>
        <v>1971.8978230058976</v>
      </c>
      <c r="M5889" s="443"/>
    </row>
    <row r="5890" spans="1:13">
      <c r="A5890" s="639">
        <v>90213</v>
      </c>
      <c r="B5890" s="639">
        <v>700</v>
      </c>
      <c r="C5890" s="638">
        <v>4971.6610000000001</v>
      </c>
      <c r="D5890" s="633">
        <f t="shared" si="187"/>
        <v>4971.6610000000001</v>
      </c>
      <c r="E5890" s="608"/>
      <c r="F5890" s="760">
        <f t="shared" si="188"/>
        <v>2097.4577047372745</v>
      </c>
      <c r="M5890" s="443"/>
    </row>
    <row r="5891" spans="1:13">
      <c r="A5891" s="639">
        <v>90213</v>
      </c>
      <c r="B5891" s="639">
        <v>800</v>
      </c>
      <c r="C5891" s="638">
        <v>5571.7479999999996</v>
      </c>
      <c r="D5891" s="633">
        <f t="shared" si="187"/>
        <v>5571.7479999999996</v>
      </c>
      <c r="E5891" s="608"/>
      <c r="F5891" s="760">
        <f t="shared" si="188"/>
        <v>2350.624021117791</v>
      </c>
      <c r="M5891" s="443"/>
    </row>
    <row r="5892" spans="1:13">
      <c r="A5892" s="639">
        <v>90213</v>
      </c>
      <c r="B5892" s="639">
        <v>900</v>
      </c>
      <c r="C5892" s="638">
        <v>6283.424</v>
      </c>
      <c r="D5892" s="633">
        <f t="shared" si="187"/>
        <v>6283.424</v>
      </c>
      <c r="E5892" s="608"/>
      <c r="F5892" s="760">
        <f t="shared" si="188"/>
        <v>2650.8678047298686</v>
      </c>
      <c r="M5892" s="443"/>
    </row>
    <row r="5893" spans="1:13">
      <c r="A5893" s="639">
        <v>90213</v>
      </c>
      <c r="B5893" s="639">
        <v>1000</v>
      </c>
      <c r="C5893" s="638">
        <v>6883.6959999999999</v>
      </c>
      <c r="D5893" s="633">
        <f t="shared" ref="D5893:D5956" si="189">C5893</f>
        <v>6883.6959999999999</v>
      </c>
      <c r="E5893" s="608"/>
      <c r="F5893" s="760">
        <f t="shared" si="188"/>
        <v>2904.1121694075996</v>
      </c>
      <c r="M5893" s="443"/>
    </row>
    <row r="5894" spans="1:13">
      <c r="A5894" s="639">
        <v>90213</v>
      </c>
      <c r="B5894" s="639">
        <v>1100</v>
      </c>
      <c r="C5894" s="638">
        <v>7470.26</v>
      </c>
      <c r="D5894" s="633">
        <f t="shared" si="189"/>
        <v>7470.26</v>
      </c>
      <c r="E5894" s="608"/>
      <c r="F5894" s="760">
        <f t="shared" si="188"/>
        <v>3151.5733662031007</v>
      </c>
      <c r="M5894" s="443"/>
    </row>
    <row r="5895" spans="1:13">
      <c r="A5895" s="639">
        <v>90213</v>
      </c>
      <c r="B5895" s="639">
        <v>1200</v>
      </c>
      <c r="C5895" s="638">
        <v>7663.77</v>
      </c>
      <c r="D5895" s="633">
        <f t="shared" si="189"/>
        <v>7663.77</v>
      </c>
      <c r="E5895" s="608"/>
      <c r="F5895" s="760">
        <f t="shared" si="188"/>
        <v>3233.2118850891852</v>
      </c>
      <c r="M5895" s="443"/>
    </row>
    <row r="5896" spans="1:13">
      <c r="A5896" s="639">
        <v>90213</v>
      </c>
      <c r="B5896" s="639">
        <v>1300</v>
      </c>
      <c r="C5896" s="638">
        <v>7557.5510000000004</v>
      </c>
      <c r="D5896" s="633">
        <f t="shared" si="189"/>
        <v>7557.5510000000004</v>
      </c>
      <c r="E5896" s="608"/>
      <c r="F5896" s="760">
        <f t="shared" si="188"/>
        <v>3188.3999278902752</v>
      </c>
      <c r="M5896" s="443"/>
    </row>
    <row r="5897" spans="1:13">
      <c r="A5897" s="639">
        <v>90213</v>
      </c>
      <c r="B5897" s="639">
        <v>1400</v>
      </c>
      <c r="C5897" s="638">
        <v>7547.1580000000004</v>
      </c>
      <c r="D5897" s="633">
        <f t="shared" si="189"/>
        <v>7547.1580000000004</v>
      </c>
      <c r="E5897" s="608"/>
      <c r="F5897" s="760">
        <f t="shared" si="188"/>
        <v>3184.0153011175862</v>
      </c>
      <c r="M5897" s="443"/>
    </row>
    <row r="5898" spans="1:13">
      <c r="A5898" s="639">
        <v>90213</v>
      </c>
      <c r="B5898" s="639">
        <v>1500</v>
      </c>
      <c r="C5898" s="638">
        <v>7623.0990000000002</v>
      </c>
      <c r="D5898" s="633">
        <f t="shared" si="189"/>
        <v>7623.0990000000002</v>
      </c>
      <c r="E5898" s="608"/>
      <c r="F5898" s="760">
        <f t="shared" si="188"/>
        <v>3216.0534942999961</v>
      </c>
      <c r="M5898" s="443"/>
    </row>
    <row r="5899" spans="1:13">
      <c r="A5899" s="639">
        <v>90213</v>
      </c>
      <c r="B5899" s="639">
        <v>1600</v>
      </c>
      <c r="C5899" s="638">
        <v>7895.1390000000001</v>
      </c>
      <c r="D5899" s="633">
        <f t="shared" si="189"/>
        <v>7895.1390000000001</v>
      </c>
      <c r="E5899" s="608"/>
      <c r="F5899" s="760">
        <f t="shared" si="188"/>
        <v>3330.822460646802</v>
      </c>
      <c r="M5899" s="443"/>
    </row>
    <row r="5900" spans="1:13">
      <c r="A5900" s="639">
        <v>90213</v>
      </c>
      <c r="B5900" s="639">
        <v>1700</v>
      </c>
      <c r="C5900" s="638">
        <v>8013.7950000000001</v>
      </c>
      <c r="D5900" s="633">
        <f t="shared" si="189"/>
        <v>8013.7950000000001</v>
      </c>
      <c r="E5900" s="608"/>
      <c r="F5900" s="760">
        <f t="shared" si="188"/>
        <v>3380.881372831946</v>
      </c>
      <c r="M5900" s="443"/>
    </row>
    <row r="5901" spans="1:13">
      <c r="A5901" s="639">
        <v>90213</v>
      </c>
      <c r="B5901" s="639">
        <v>1800</v>
      </c>
      <c r="C5901" s="638">
        <v>7736.6210000000001</v>
      </c>
      <c r="D5901" s="633">
        <f t="shared" si="189"/>
        <v>7736.6210000000001</v>
      </c>
      <c r="E5901" s="608"/>
      <c r="F5901" s="760">
        <f t="shared" si="188"/>
        <v>3263.9464607667733</v>
      </c>
      <c r="M5901" s="443"/>
    </row>
    <row r="5902" spans="1:13">
      <c r="A5902" s="639">
        <v>90213</v>
      </c>
      <c r="B5902" s="639">
        <v>1900</v>
      </c>
      <c r="C5902" s="638">
        <v>7395.6109999999999</v>
      </c>
      <c r="D5902" s="633">
        <f t="shared" si="189"/>
        <v>7395.6109999999999</v>
      </c>
      <c r="E5902" s="608"/>
      <c r="F5902" s="760">
        <f t="shared" si="188"/>
        <v>3120.0802454531267</v>
      </c>
      <c r="M5902" s="443"/>
    </row>
    <row r="5903" spans="1:13">
      <c r="A5903" s="639">
        <v>90213</v>
      </c>
      <c r="B5903" s="639">
        <v>2000</v>
      </c>
      <c r="C5903" s="638">
        <v>7662.6629999999996</v>
      </c>
      <c r="D5903" s="633">
        <f t="shared" si="189"/>
        <v>7662.6629999999996</v>
      </c>
      <c r="E5903" s="608"/>
      <c r="F5903" s="760">
        <f t="shared" si="188"/>
        <v>3232.7448609539624</v>
      </c>
      <c r="M5903" s="443"/>
    </row>
    <row r="5904" spans="1:13">
      <c r="A5904" s="639">
        <v>90213</v>
      </c>
      <c r="B5904" s="639">
        <v>2100</v>
      </c>
      <c r="C5904" s="638">
        <v>7168.45</v>
      </c>
      <c r="D5904" s="633">
        <f t="shared" si="189"/>
        <v>7168.45</v>
      </c>
      <c r="E5904" s="608"/>
      <c r="F5904" s="760">
        <f t="shared" si="188"/>
        <v>3024.2449522451175</v>
      </c>
      <c r="M5904" s="443"/>
    </row>
    <row r="5905" spans="1:13">
      <c r="A5905" s="639">
        <v>90213</v>
      </c>
      <c r="B5905" s="639">
        <v>2200</v>
      </c>
      <c r="C5905" s="638">
        <v>6246.2259999999997</v>
      </c>
      <c r="D5905" s="633">
        <f t="shared" si="189"/>
        <v>6246.2259999999997</v>
      </c>
      <c r="E5905" s="608"/>
      <c r="F5905" s="760">
        <f t="shared" si="188"/>
        <v>2635.1746125148688</v>
      </c>
      <c r="M5905" s="443"/>
    </row>
    <row r="5906" spans="1:13">
      <c r="A5906" s="639">
        <v>90213</v>
      </c>
      <c r="B5906" s="639">
        <v>2300</v>
      </c>
      <c r="C5906" s="638">
        <v>5292.97</v>
      </c>
      <c r="D5906" s="633">
        <f t="shared" si="189"/>
        <v>5292.97</v>
      </c>
      <c r="E5906" s="608"/>
      <c r="F5906" s="760">
        <f t="shared" si="188"/>
        <v>2233.012409221637</v>
      </c>
      <c r="M5906" s="443"/>
    </row>
    <row r="5907" spans="1:13">
      <c r="A5907" s="639">
        <v>90213</v>
      </c>
      <c r="B5907" s="639">
        <v>2400</v>
      </c>
      <c r="C5907" s="638">
        <v>4618.0730000000003</v>
      </c>
      <c r="D5907" s="633">
        <f t="shared" si="189"/>
        <v>4618.0730000000003</v>
      </c>
      <c r="E5907" s="608"/>
      <c r="F5907" s="760">
        <f t="shared" si="188"/>
        <v>1948.285048978436</v>
      </c>
      <c r="M5907" s="443"/>
    </row>
    <row r="5908" spans="1:13">
      <c r="A5908" s="639">
        <v>90313</v>
      </c>
      <c r="B5908" s="639">
        <v>100</v>
      </c>
      <c r="C5908" s="638">
        <v>4330.8720000000003</v>
      </c>
      <c r="D5908" s="633">
        <f t="shared" si="189"/>
        <v>4330.8720000000003</v>
      </c>
      <c r="E5908" s="608"/>
      <c r="F5908" s="760">
        <f t="shared" si="188"/>
        <v>1827.1199192042518</v>
      </c>
      <c r="M5908" s="443"/>
    </row>
    <row r="5909" spans="1:13">
      <c r="A5909" s="639">
        <v>90313</v>
      </c>
      <c r="B5909" s="639">
        <v>200</v>
      </c>
      <c r="C5909" s="638">
        <v>4139.8649999999998</v>
      </c>
      <c r="D5909" s="633">
        <f t="shared" si="189"/>
        <v>4139.8649999999998</v>
      </c>
      <c r="E5909" s="608"/>
      <c r="F5909" s="760">
        <f t="shared" si="188"/>
        <v>1746.5373726853411</v>
      </c>
      <c r="M5909" s="443"/>
    </row>
    <row r="5910" spans="1:13">
      <c r="A5910" s="639">
        <v>90313</v>
      </c>
      <c r="B5910" s="639">
        <v>300</v>
      </c>
      <c r="C5910" s="638">
        <v>4075.123</v>
      </c>
      <c r="D5910" s="633">
        <f t="shared" si="189"/>
        <v>4075.123</v>
      </c>
      <c r="E5910" s="608"/>
      <c r="F5910" s="760">
        <f t="shared" si="188"/>
        <v>1719.2238437218621</v>
      </c>
      <c r="M5910" s="443"/>
    </row>
    <row r="5911" spans="1:13">
      <c r="A5911" s="639">
        <v>90313</v>
      </c>
      <c r="B5911" s="639">
        <v>400</v>
      </c>
      <c r="C5911" s="638">
        <v>4089.2449999999999</v>
      </c>
      <c r="D5911" s="633">
        <f t="shared" si="189"/>
        <v>4089.2449999999999</v>
      </c>
      <c r="E5911" s="608"/>
      <c r="F5911" s="760">
        <f t="shared" si="188"/>
        <v>1725.1816710367773</v>
      </c>
      <c r="M5911" s="443"/>
    </row>
    <row r="5912" spans="1:13">
      <c r="A5912" s="639">
        <v>90313</v>
      </c>
      <c r="B5912" s="639">
        <v>500</v>
      </c>
      <c r="C5912" s="638">
        <v>4372.0110000000004</v>
      </c>
      <c r="D5912" s="633">
        <f t="shared" si="189"/>
        <v>4372.0110000000004</v>
      </c>
      <c r="E5912" s="608"/>
      <c r="F5912" s="760">
        <f t="shared" si="188"/>
        <v>1844.4757510912584</v>
      </c>
      <c r="M5912" s="443"/>
    </row>
    <row r="5913" spans="1:13">
      <c r="A5913" s="639">
        <v>90313</v>
      </c>
      <c r="B5913" s="639">
        <v>600</v>
      </c>
      <c r="C5913" s="638">
        <v>5207.576</v>
      </c>
      <c r="D5913" s="633">
        <f t="shared" si="189"/>
        <v>5207.576</v>
      </c>
      <c r="E5913" s="608"/>
      <c r="F5913" s="760">
        <f t="shared" si="188"/>
        <v>2196.9861589929233</v>
      </c>
      <c r="M5913" s="443"/>
    </row>
    <row r="5914" spans="1:13">
      <c r="A5914" s="639">
        <v>90313</v>
      </c>
      <c r="B5914" s="639">
        <v>700</v>
      </c>
      <c r="C5914" s="638">
        <v>5676.0119999999997</v>
      </c>
      <c r="D5914" s="633">
        <f t="shared" si="189"/>
        <v>5676.0119999999997</v>
      </c>
      <c r="E5914" s="608"/>
      <c r="F5914" s="760">
        <f t="shared" si="188"/>
        <v>2394.6111976623561</v>
      </c>
      <c r="M5914" s="443"/>
    </row>
    <row r="5915" spans="1:13">
      <c r="A5915" s="639">
        <v>90313</v>
      </c>
      <c r="B5915" s="639">
        <v>800</v>
      </c>
      <c r="C5915" s="638">
        <v>5658.0640000000003</v>
      </c>
      <c r="D5915" s="633">
        <f t="shared" si="189"/>
        <v>5658.0640000000003</v>
      </c>
      <c r="E5915" s="608"/>
      <c r="F5915" s="760">
        <f t="shared" si="188"/>
        <v>2387.039247184513</v>
      </c>
      <c r="M5915" s="443"/>
    </row>
    <row r="5916" spans="1:13">
      <c r="A5916" s="639">
        <v>90313</v>
      </c>
      <c r="B5916" s="639">
        <v>900</v>
      </c>
      <c r="C5916" s="638">
        <v>5611.4719999999998</v>
      </c>
      <c r="D5916" s="633">
        <f t="shared" si="189"/>
        <v>5611.4719999999998</v>
      </c>
      <c r="E5916" s="608"/>
      <c r="F5916" s="760">
        <f t="shared" si="188"/>
        <v>2367.3828890017808</v>
      </c>
      <c r="M5916" s="443"/>
    </row>
    <row r="5917" spans="1:13">
      <c r="A5917" s="639">
        <v>90313</v>
      </c>
      <c r="B5917" s="639">
        <v>1000</v>
      </c>
      <c r="C5917" s="638">
        <v>5632.4740000000002</v>
      </c>
      <c r="D5917" s="633">
        <f t="shared" si="189"/>
        <v>5632.4740000000002</v>
      </c>
      <c r="E5917" s="608"/>
      <c r="F5917" s="760">
        <f t="shared" si="188"/>
        <v>2376.2432692076904</v>
      </c>
      <c r="M5917" s="443"/>
    </row>
    <row r="5918" spans="1:13">
      <c r="A5918" s="639">
        <v>90313</v>
      </c>
      <c r="B5918" s="639">
        <v>1100</v>
      </c>
      <c r="C5918" s="638">
        <v>5542.2139999999999</v>
      </c>
      <c r="D5918" s="633">
        <f t="shared" si="189"/>
        <v>5542.2139999999999</v>
      </c>
      <c r="E5918" s="608"/>
      <c r="F5918" s="760">
        <f t="shared" si="188"/>
        <v>2338.1641378208992</v>
      </c>
      <c r="M5918" s="443"/>
    </row>
    <row r="5919" spans="1:13">
      <c r="A5919" s="639">
        <v>90313</v>
      </c>
      <c r="B5919" s="639">
        <v>1200</v>
      </c>
      <c r="C5919" s="638">
        <v>5549.174</v>
      </c>
      <c r="D5919" s="633">
        <f t="shared" si="189"/>
        <v>5549.174</v>
      </c>
      <c r="E5919" s="608"/>
      <c r="F5919" s="760">
        <f t="shared" si="188"/>
        <v>2341.1004413269047</v>
      </c>
      <c r="M5919" s="443"/>
    </row>
    <row r="5920" spans="1:13">
      <c r="A5920" s="639">
        <v>90313</v>
      </c>
      <c r="B5920" s="639">
        <v>1300</v>
      </c>
      <c r="C5920" s="638">
        <v>5620.4889999999996</v>
      </c>
      <c r="D5920" s="633">
        <f t="shared" si="189"/>
        <v>5620.4889999999996</v>
      </c>
      <c r="E5920" s="608"/>
      <c r="F5920" s="760">
        <f t="shared" si="188"/>
        <v>2371.187005196271</v>
      </c>
      <c r="M5920" s="443"/>
    </row>
    <row r="5921" spans="1:13">
      <c r="A5921" s="639">
        <v>90313</v>
      </c>
      <c r="B5921" s="639">
        <v>1400</v>
      </c>
      <c r="C5921" s="638">
        <v>5693.3530000000001</v>
      </c>
      <c r="D5921" s="633">
        <f t="shared" si="189"/>
        <v>5693.3530000000001</v>
      </c>
      <c r="E5921" s="608"/>
      <c r="F5921" s="760">
        <f t="shared" si="188"/>
        <v>2401.9270653487988</v>
      </c>
      <c r="M5921" s="443"/>
    </row>
    <row r="5922" spans="1:13">
      <c r="A5922" s="639">
        <v>90313</v>
      </c>
      <c r="B5922" s="639">
        <v>1500</v>
      </c>
      <c r="C5922" s="638">
        <v>5731.0339999999997</v>
      </c>
      <c r="D5922" s="633">
        <f t="shared" si="189"/>
        <v>5731.0339999999997</v>
      </c>
      <c r="E5922" s="608"/>
      <c r="F5922" s="760">
        <f t="shared" si="188"/>
        <v>2417.8240269019307</v>
      </c>
      <c r="M5922" s="443"/>
    </row>
    <row r="5923" spans="1:13">
      <c r="A5923" s="639">
        <v>90313</v>
      </c>
      <c r="B5923" s="639">
        <v>1600</v>
      </c>
      <c r="C5923" s="638">
        <v>5986.6949999999997</v>
      </c>
      <c r="D5923" s="633">
        <f t="shared" si="189"/>
        <v>5986.6949999999997</v>
      </c>
      <c r="E5923" s="608"/>
      <c r="F5923" s="760">
        <f t="shared" si="188"/>
        <v>2525.6829767078075</v>
      </c>
      <c r="M5923" s="443"/>
    </row>
    <row r="5924" spans="1:13">
      <c r="A5924" s="639">
        <v>90313</v>
      </c>
      <c r="B5924" s="639">
        <v>1700</v>
      </c>
      <c r="C5924" s="638">
        <v>6563.1379999999999</v>
      </c>
      <c r="D5924" s="633">
        <f t="shared" si="189"/>
        <v>6563.1379999999999</v>
      </c>
      <c r="E5924" s="608"/>
      <c r="F5924" s="760">
        <f t="shared" ref="F5924:F5987" si="190">(D5924/(MAX($D$5860:$D$6579)))*$M$12</f>
        <v>2768.8742988216586</v>
      </c>
      <c r="M5924" s="443"/>
    </row>
    <row r="5925" spans="1:13">
      <c r="A5925" s="639">
        <v>90313</v>
      </c>
      <c r="B5925" s="639">
        <v>1800</v>
      </c>
      <c r="C5925" s="638">
        <v>6792.0690000000004</v>
      </c>
      <c r="D5925" s="633">
        <f t="shared" si="189"/>
        <v>6792.0690000000004</v>
      </c>
      <c r="E5925" s="608"/>
      <c r="F5925" s="760">
        <f t="shared" si="190"/>
        <v>2865.4563243867988</v>
      </c>
      <c r="M5925" s="443"/>
    </row>
    <row r="5926" spans="1:13">
      <c r="A5926" s="639">
        <v>90313</v>
      </c>
      <c r="B5926" s="639">
        <v>1900</v>
      </c>
      <c r="C5926" s="638">
        <v>6747.0810000000001</v>
      </c>
      <c r="D5926" s="633">
        <f t="shared" si="189"/>
        <v>6747.0810000000001</v>
      </c>
      <c r="E5926" s="608"/>
      <c r="F5926" s="760">
        <f t="shared" si="190"/>
        <v>2846.4766660350483</v>
      </c>
      <c r="M5926" s="443"/>
    </row>
    <row r="5927" spans="1:13">
      <c r="A5927" s="639">
        <v>90313</v>
      </c>
      <c r="B5927" s="639">
        <v>2000</v>
      </c>
      <c r="C5927" s="638">
        <v>7142.6589999999997</v>
      </c>
      <c r="D5927" s="633">
        <f t="shared" si="189"/>
        <v>7142.6589999999997</v>
      </c>
      <c r="E5927" s="608"/>
      <c r="F5927" s="760">
        <f t="shared" si="190"/>
        <v>3013.3641758480785</v>
      </c>
      <c r="M5927" s="443"/>
    </row>
    <row r="5928" spans="1:13">
      <c r="A5928" s="639">
        <v>90313</v>
      </c>
      <c r="B5928" s="639">
        <v>2100</v>
      </c>
      <c r="C5928" s="638">
        <v>6882.4110000000001</v>
      </c>
      <c r="D5928" s="633">
        <f t="shared" si="189"/>
        <v>6882.4110000000001</v>
      </c>
      <c r="E5928" s="608"/>
      <c r="F5928" s="760">
        <f t="shared" si="190"/>
        <v>2903.5700501539764</v>
      </c>
      <c r="M5928" s="443"/>
    </row>
    <row r="5929" spans="1:13">
      <c r="A5929" s="639">
        <v>90313</v>
      </c>
      <c r="B5929" s="639">
        <v>2200</v>
      </c>
      <c r="C5929" s="638">
        <v>6019.3090000000002</v>
      </c>
      <c r="D5929" s="633">
        <f t="shared" si="189"/>
        <v>6019.3090000000002</v>
      </c>
      <c r="E5929" s="608"/>
      <c r="F5929" s="760">
        <f t="shared" si="190"/>
        <v>2539.4422586826454</v>
      </c>
      <c r="M5929" s="443"/>
    </row>
    <row r="5930" spans="1:13">
      <c r="A5930" s="639">
        <v>90313</v>
      </c>
      <c r="B5930" s="639">
        <v>2300</v>
      </c>
      <c r="C5930" s="638">
        <v>5140.0069999999996</v>
      </c>
      <c r="D5930" s="633">
        <f t="shared" si="189"/>
        <v>5140.0069999999996</v>
      </c>
      <c r="E5930" s="608"/>
      <c r="F5930" s="760">
        <f t="shared" si="190"/>
        <v>2168.4799676714729</v>
      </c>
      <c r="M5930" s="443"/>
    </row>
    <row r="5931" spans="1:13">
      <c r="A5931" s="639">
        <v>90313</v>
      </c>
      <c r="B5931" s="639">
        <v>2400</v>
      </c>
      <c r="C5931" s="638">
        <v>4503.009</v>
      </c>
      <c r="D5931" s="633">
        <f t="shared" si="189"/>
        <v>4503.009</v>
      </c>
      <c r="E5931" s="608"/>
      <c r="F5931" s="760">
        <f t="shared" si="190"/>
        <v>1899.7415394073107</v>
      </c>
      <c r="M5931" s="443"/>
    </row>
    <row r="5932" spans="1:13">
      <c r="A5932" s="639">
        <v>90413</v>
      </c>
      <c r="B5932" s="639">
        <v>100</v>
      </c>
      <c r="C5932" s="638">
        <v>4180.2209999999995</v>
      </c>
      <c r="D5932" s="633">
        <f t="shared" si="189"/>
        <v>4180.2209999999995</v>
      </c>
      <c r="E5932" s="608"/>
      <c r="F5932" s="760">
        <f t="shared" si="190"/>
        <v>1763.562870427922</v>
      </c>
      <c r="M5932" s="443"/>
    </row>
    <row r="5933" spans="1:13">
      <c r="A5933" s="639">
        <v>90413</v>
      </c>
      <c r="B5933" s="639">
        <v>200</v>
      </c>
      <c r="C5933" s="638">
        <v>4046.768</v>
      </c>
      <c r="D5933" s="633">
        <f t="shared" si="189"/>
        <v>4046.768</v>
      </c>
      <c r="E5933" s="608"/>
      <c r="F5933" s="760">
        <f t="shared" si="190"/>
        <v>1707.2613601137025</v>
      </c>
      <c r="M5933" s="443"/>
    </row>
    <row r="5934" spans="1:13">
      <c r="A5934" s="639">
        <v>90413</v>
      </c>
      <c r="B5934" s="639">
        <v>300</v>
      </c>
      <c r="C5934" s="638">
        <v>3985.576</v>
      </c>
      <c r="D5934" s="633">
        <f t="shared" si="189"/>
        <v>3985.576</v>
      </c>
      <c r="E5934" s="608"/>
      <c r="F5934" s="760">
        <f t="shared" si="190"/>
        <v>1681.445514691361</v>
      </c>
      <c r="M5934" s="443"/>
    </row>
    <row r="5935" spans="1:13">
      <c r="A5935" s="639">
        <v>90413</v>
      </c>
      <c r="B5935" s="639">
        <v>400</v>
      </c>
      <c r="C5935" s="638">
        <v>3986.511</v>
      </c>
      <c r="D5935" s="633">
        <f t="shared" si="189"/>
        <v>3986.511</v>
      </c>
      <c r="E5935" s="608"/>
      <c r="F5935" s="760">
        <f t="shared" si="190"/>
        <v>1681.8399750043088</v>
      </c>
      <c r="M5935" s="443"/>
    </row>
    <row r="5936" spans="1:13">
      <c r="A5936" s="639">
        <v>90413</v>
      </c>
      <c r="B5936" s="639">
        <v>500</v>
      </c>
      <c r="C5936" s="638">
        <v>4372.6040000000003</v>
      </c>
      <c r="D5936" s="633">
        <f t="shared" si="189"/>
        <v>4372.6040000000003</v>
      </c>
      <c r="E5936" s="608"/>
      <c r="F5936" s="760">
        <f t="shared" si="190"/>
        <v>1844.7259275250315</v>
      </c>
      <c r="M5936" s="443"/>
    </row>
    <row r="5937" spans="1:13">
      <c r="A5937" s="639">
        <v>90413</v>
      </c>
      <c r="B5937" s="639">
        <v>600</v>
      </c>
      <c r="C5937" s="638">
        <v>5176.1459999999997</v>
      </c>
      <c r="D5937" s="633">
        <f t="shared" si="189"/>
        <v>5176.1459999999997</v>
      </c>
      <c r="E5937" s="608"/>
      <c r="F5937" s="760">
        <f t="shared" si="190"/>
        <v>2183.7263861202573</v>
      </c>
      <c r="M5937" s="443"/>
    </row>
    <row r="5938" spans="1:13">
      <c r="A5938" s="639">
        <v>90413</v>
      </c>
      <c r="B5938" s="639">
        <v>700</v>
      </c>
      <c r="C5938" s="638">
        <v>5579.0940000000001</v>
      </c>
      <c r="D5938" s="633">
        <f t="shared" si="189"/>
        <v>5579.0940000000001</v>
      </c>
      <c r="E5938" s="608"/>
      <c r="F5938" s="760">
        <f t="shared" si="190"/>
        <v>2353.7231713412275</v>
      </c>
      <c r="M5938" s="443"/>
    </row>
    <row r="5939" spans="1:13">
      <c r="A5939" s="639">
        <v>90413</v>
      </c>
      <c r="B5939" s="639">
        <v>800</v>
      </c>
      <c r="C5939" s="638">
        <v>5626.6660000000002</v>
      </c>
      <c r="D5939" s="633">
        <f t="shared" si="189"/>
        <v>5626.6660000000002</v>
      </c>
      <c r="E5939" s="608"/>
      <c r="F5939" s="760">
        <f t="shared" si="190"/>
        <v>2373.7929745578513</v>
      </c>
      <c r="M5939" s="443"/>
    </row>
    <row r="5940" spans="1:13">
      <c r="A5940" s="639">
        <v>90413</v>
      </c>
      <c r="B5940" s="639">
        <v>900</v>
      </c>
      <c r="C5940" s="638">
        <v>5486.3419999999996</v>
      </c>
      <c r="D5940" s="633">
        <f t="shared" si="189"/>
        <v>5486.3419999999996</v>
      </c>
      <c r="E5940" s="608"/>
      <c r="F5940" s="760">
        <f t="shared" si="190"/>
        <v>2314.5927082968265</v>
      </c>
      <c r="M5940" s="443"/>
    </row>
    <row r="5941" spans="1:13">
      <c r="A5941" s="639">
        <v>90413</v>
      </c>
      <c r="B5941" s="639">
        <v>1000</v>
      </c>
      <c r="C5941" s="638">
        <v>5406.5720000000001</v>
      </c>
      <c r="D5941" s="633">
        <f t="shared" si="189"/>
        <v>5406.5720000000001</v>
      </c>
      <c r="E5941" s="608"/>
      <c r="F5941" s="760">
        <f t="shared" si="190"/>
        <v>2280.9391263034258</v>
      </c>
      <c r="M5941" s="443"/>
    </row>
    <row r="5942" spans="1:13">
      <c r="A5942" s="639">
        <v>90413</v>
      </c>
      <c r="B5942" s="639">
        <v>1100</v>
      </c>
      <c r="C5942" s="638">
        <v>5438.5519999999997</v>
      </c>
      <c r="D5942" s="633">
        <f t="shared" si="189"/>
        <v>5438.5519999999997</v>
      </c>
      <c r="E5942" s="608"/>
      <c r="F5942" s="760">
        <f t="shared" si="190"/>
        <v>2294.4309346542959</v>
      </c>
      <c r="M5942" s="443"/>
    </row>
    <row r="5943" spans="1:13">
      <c r="A5943" s="639">
        <v>90413</v>
      </c>
      <c r="B5943" s="639">
        <v>1200</v>
      </c>
      <c r="C5943" s="638">
        <v>5530.07</v>
      </c>
      <c r="D5943" s="633">
        <f t="shared" si="189"/>
        <v>5530.07</v>
      </c>
      <c r="E5943" s="608"/>
      <c r="F5943" s="760">
        <f t="shared" si="190"/>
        <v>2333.0407944621447</v>
      </c>
      <c r="M5943" s="443"/>
    </row>
    <row r="5944" spans="1:13">
      <c r="A5944" s="639">
        <v>90413</v>
      </c>
      <c r="B5944" s="639">
        <v>1300</v>
      </c>
      <c r="C5944" s="638">
        <v>5668.6350000000002</v>
      </c>
      <c r="D5944" s="633">
        <f t="shared" si="189"/>
        <v>5668.6350000000002</v>
      </c>
      <c r="E5944" s="608"/>
      <c r="F5944" s="760">
        <f t="shared" si="190"/>
        <v>2391.4989690756029</v>
      </c>
      <c r="M5944" s="443"/>
    </row>
    <row r="5945" spans="1:13">
      <c r="A5945" s="639">
        <v>90413</v>
      </c>
      <c r="B5945" s="639">
        <v>1400</v>
      </c>
      <c r="C5945" s="638">
        <v>5940.9759999999997</v>
      </c>
      <c r="D5945" s="633">
        <f t="shared" si="189"/>
        <v>5940.9759999999997</v>
      </c>
      <c r="E5945" s="608"/>
      <c r="F5945" s="760">
        <f t="shared" si="190"/>
        <v>2506.3949221113894</v>
      </c>
      <c r="M5945" s="443"/>
    </row>
    <row r="5946" spans="1:13">
      <c r="A5946" s="639">
        <v>90413</v>
      </c>
      <c r="B5946" s="639">
        <v>1500</v>
      </c>
      <c r="C5946" s="638">
        <v>6091.2579999999998</v>
      </c>
      <c r="D5946" s="633">
        <f t="shared" si="189"/>
        <v>6091.2579999999998</v>
      </c>
      <c r="E5946" s="608"/>
      <c r="F5946" s="760">
        <f t="shared" si="190"/>
        <v>2569.7962961759786</v>
      </c>
      <c r="M5946" s="443"/>
    </row>
    <row r="5947" spans="1:13">
      <c r="A5947" s="639">
        <v>90413</v>
      </c>
      <c r="B5947" s="639">
        <v>1600</v>
      </c>
      <c r="C5947" s="638">
        <v>6350.7950000000001</v>
      </c>
      <c r="D5947" s="633">
        <f t="shared" si="189"/>
        <v>6350.7950000000001</v>
      </c>
      <c r="E5947" s="608"/>
      <c r="F5947" s="760">
        <f t="shared" si="190"/>
        <v>2679.2904632791651</v>
      </c>
      <c r="M5947" s="443"/>
    </row>
    <row r="5948" spans="1:13">
      <c r="A5948" s="639">
        <v>90413</v>
      </c>
      <c r="B5948" s="639">
        <v>1700</v>
      </c>
      <c r="C5948" s="638">
        <v>6757.2969999999996</v>
      </c>
      <c r="D5948" s="633">
        <f t="shared" si="189"/>
        <v>6757.2969999999996</v>
      </c>
      <c r="E5948" s="608"/>
      <c r="F5948" s="760">
        <f t="shared" si="190"/>
        <v>2850.7866195720244</v>
      </c>
      <c r="M5948" s="443"/>
    </row>
    <row r="5949" spans="1:13">
      <c r="A5949" s="639">
        <v>90413</v>
      </c>
      <c r="B5949" s="639">
        <v>1800</v>
      </c>
      <c r="C5949" s="638">
        <v>6902.7439999999997</v>
      </c>
      <c r="D5949" s="633">
        <f t="shared" si="189"/>
        <v>6902.7439999999997</v>
      </c>
      <c r="E5949" s="608"/>
      <c r="F5949" s="760">
        <f t="shared" si="190"/>
        <v>2912.1481908418518</v>
      </c>
      <c r="M5949" s="443"/>
    </row>
    <row r="5950" spans="1:13">
      <c r="A5950" s="639">
        <v>90413</v>
      </c>
      <c r="B5950" s="639">
        <v>1900</v>
      </c>
      <c r="C5950" s="638">
        <v>6961.2939999999999</v>
      </c>
      <c r="D5950" s="633">
        <f t="shared" si="189"/>
        <v>6961.2939999999999</v>
      </c>
      <c r="E5950" s="608"/>
      <c r="F5950" s="760">
        <f t="shared" si="190"/>
        <v>2936.8494222034369</v>
      </c>
      <c r="M5950" s="443"/>
    </row>
    <row r="5951" spans="1:13">
      <c r="A5951" s="639">
        <v>90413</v>
      </c>
      <c r="B5951" s="639">
        <v>2000</v>
      </c>
      <c r="C5951" s="638">
        <v>7226.6670000000004</v>
      </c>
      <c r="D5951" s="633">
        <f t="shared" si="189"/>
        <v>7226.6670000000004</v>
      </c>
      <c r="E5951" s="608"/>
      <c r="F5951" s="760">
        <f t="shared" si="190"/>
        <v>3048.8056966717172</v>
      </c>
      <c r="M5951" s="443"/>
    </row>
    <row r="5952" spans="1:13">
      <c r="A5952" s="639">
        <v>90413</v>
      </c>
      <c r="B5952" s="639">
        <v>2100</v>
      </c>
      <c r="C5952" s="638">
        <v>6884.3370000000004</v>
      </c>
      <c r="D5952" s="633">
        <f t="shared" si="189"/>
        <v>6884.3370000000004</v>
      </c>
      <c r="E5952" s="608"/>
      <c r="F5952" s="760">
        <f t="shared" si="190"/>
        <v>2904.3825962103801</v>
      </c>
      <c r="M5952" s="443"/>
    </row>
    <row r="5953" spans="1:13">
      <c r="A5953" s="639">
        <v>90413</v>
      </c>
      <c r="B5953" s="639">
        <v>2200</v>
      </c>
      <c r="C5953" s="638">
        <v>6171.0959999999995</v>
      </c>
      <c r="D5953" s="633">
        <f t="shared" si="189"/>
        <v>6171.0959999999995</v>
      </c>
      <c r="E5953" s="608"/>
      <c r="F5953" s="760">
        <f t="shared" si="190"/>
        <v>2603.4785661921387</v>
      </c>
      <c r="M5953" s="443"/>
    </row>
    <row r="5954" spans="1:13">
      <c r="A5954" s="639">
        <v>90413</v>
      </c>
      <c r="B5954" s="639">
        <v>2300</v>
      </c>
      <c r="C5954" s="638">
        <v>5228.8069999999998</v>
      </c>
      <c r="D5954" s="633">
        <f t="shared" si="189"/>
        <v>5228.8069999999998</v>
      </c>
      <c r="E5954" s="608"/>
      <c r="F5954" s="760">
        <f t="shared" si="190"/>
        <v>2205.9431503343035</v>
      </c>
      <c r="M5954" s="443"/>
    </row>
    <row r="5955" spans="1:13">
      <c r="A5955" s="639">
        <v>90413</v>
      </c>
      <c r="B5955" s="639">
        <v>2400</v>
      </c>
      <c r="C5955" s="638">
        <v>4474.6329999999998</v>
      </c>
      <c r="D5955" s="633">
        <f t="shared" si="189"/>
        <v>4474.6329999999998</v>
      </c>
      <c r="E5955" s="608"/>
      <c r="F5955" s="760">
        <f t="shared" si="190"/>
        <v>1887.7701962627107</v>
      </c>
      <c r="M5955" s="443"/>
    </row>
    <row r="5956" spans="1:13">
      <c r="A5956" s="639">
        <v>90513</v>
      </c>
      <c r="B5956" s="639">
        <v>100</v>
      </c>
      <c r="C5956" s="638">
        <v>4246.9719999999998</v>
      </c>
      <c r="D5956" s="633">
        <f t="shared" si="189"/>
        <v>4246.9719999999998</v>
      </c>
      <c r="E5956" s="608"/>
      <c r="F5956" s="760">
        <f t="shared" si="190"/>
        <v>1791.7239617108794</v>
      </c>
      <c r="M5956" s="443"/>
    </row>
    <row r="5957" spans="1:13">
      <c r="A5957" s="639">
        <v>90513</v>
      </c>
      <c r="B5957" s="639">
        <v>200</v>
      </c>
      <c r="C5957" s="638">
        <v>4078.8760000000002</v>
      </c>
      <c r="D5957" s="633">
        <f t="shared" ref="D5957:D6020" si="191">C5957</f>
        <v>4078.8760000000002</v>
      </c>
      <c r="E5957" s="608"/>
      <c r="F5957" s="760">
        <f t="shared" si="190"/>
        <v>1720.8071694485918</v>
      </c>
      <c r="M5957" s="443"/>
    </row>
    <row r="5958" spans="1:13">
      <c r="A5958" s="639">
        <v>90513</v>
      </c>
      <c r="B5958" s="639">
        <v>300</v>
      </c>
      <c r="C5958" s="638">
        <v>4017.1170000000002</v>
      </c>
      <c r="D5958" s="633">
        <f t="shared" si="191"/>
        <v>4017.1170000000002</v>
      </c>
      <c r="E5958" s="608"/>
      <c r="F5958" s="760">
        <f t="shared" si="190"/>
        <v>1694.7521165423561</v>
      </c>
      <c r="M5958" s="443"/>
    </row>
    <row r="5959" spans="1:13">
      <c r="A5959" s="639">
        <v>90513</v>
      </c>
      <c r="B5959" s="639">
        <v>400</v>
      </c>
      <c r="C5959" s="638">
        <v>4064.4259999999999</v>
      </c>
      <c r="D5959" s="633">
        <f t="shared" si="191"/>
        <v>4064.4259999999999</v>
      </c>
      <c r="E5959" s="608"/>
      <c r="F5959" s="760">
        <f t="shared" si="190"/>
        <v>1714.7109646121289</v>
      </c>
      <c r="M5959" s="443"/>
    </row>
    <row r="5960" spans="1:13">
      <c r="A5960" s="639">
        <v>90513</v>
      </c>
      <c r="B5960" s="639">
        <v>500</v>
      </c>
      <c r="C5960" s="638">
        <v>4382.8119999999999</v>
      </c>
      <c r="D5960" s="633">
        <f t="shared" si="191"/>
        <v>4382.8119999999999</v>
      </c>
      <c r="E5960" s="608"/>
      <c r="F5960" s="760">
        <f t="shared" si="190"/>
        <v>1849.0325060005064</v>
      </c>
      <c r="M5960" s="443"/>
    </row>
    <row r="5961" spans="1:13">
      <c r="A5961" s="639">
        <v>90513</v>
      </c>
      <c r="B5961" s="639">
        <v>600</v>
      </c>
      <c r="C5961" s="638">
        <v>5171.0910000000003</v>
      </c>
      <c r="D5961" s="633">
        <f t="shared" si="191"/>
        <v>5171.0910000000003</v>
      </c>
      <c r="E5961" s="608"/>
      <c r="F5961" s="760">
        <f t="shared" si="190"/>
        <v>2181.5937691342147</v>
      </c>
      <c r="M5961" s="443"/>
    </row>
    <row r="5962" spans="1:13">
      <c r="A5962" s="639">
        <v>90513</v>
      </c>
      <c r="B5962" s="639">
        <v>700</v>
      </c>
      <c r="C5962" s="638">
        <v>5641.6729999999998</v>
      </c>
      <c r="D5962" s="633">
        <f t="shared" si="191"/>
        <v>5641.6729999999998</v>
      </c>
      <c r="E5962" s="608"/>
      <c r="F5962" s="760">
        <f t="shared" si="190"/>
        <v>2380.1241680513317</v>
      </c>
      <c r="M5962" s="443"/>
    </row>
    <row r="5963" spans="1:13">
      <c r="A5963" s="639">
        <v>90513</v>
      </c>
      <c r="B5963" s="639">
        <v>800</v>
      </c>
      <c r="C5963" s="638">
        <v>5590.8310000000001</v>
      </c>
      <c r="D5963" s="633">
        <f t="shared" si="191"/>
        <v>5590.8310000000001</v>
      </c>
      <c r="E5963" s="608"/>
      <c r="F5963" s="760">
        <f t="shared" si="190"/>
        <v>2358.674808446111</v>
      </c>
      <c r="M5963" s="443"/>
    </row>
    <row r="5964" spans="1:13">
      <c r="A5964" s="639">
        <v>90513</v>
      </c>
      <c r="B5964" s="639">
        <v>900</v>
      </c>
      <c r="C5964" s="638">
        <v>5407.0360000000001</v>
      </c>
      <c r="D5964" s="633">
        <f t="shared" si="191"/>
        <v>5407.0360000000001</v>
      </c>
      <c r="E5964" s="608"/>
      <c r="F5964" s="760">
        <f t="shared" si="190"/>
        <v>2281.134879870493</v>
      </c>
      <c r="M5964" s="443"/>
    </row>
    <row r="5965" spans="1:13">
      <c r="A5965" s="639">
        <v>90513</v>
      </c>
      <c r="B5965" s="639">
        <v>1000</v>
      </c>
      <c r="C5965" s="638">
        <v>5295.4179999999997</v>
      </c>
      <c r="D5965" s="633">
        <f t="shared" si="191"/>
        <v>5295.4179999999997</v>
      </c>
      <c r="E5965" s="608"/>
      <c r="F5965" s="760">
        <f t="shared" si="190"/>
        <v>2234.0451780409903</v>
      </c>
      <c r="M5965" s="443"/>
    </row>
    <row r="5966" spans="1:13">
      <c r="A5966" s="639">
        <v>90513</v>
      </c>
      <c r="B5966" s="639">
        <v>1100</v>
      </c>
      <c r="C5966" s="638">
        <v>5228.8410000000003</v>
      </c>
      <c r="D5966" s="633">
        <f t="shared" si="191"/>
        <v>5228.8410000000003</v>
      </c>
      <c r="E5966" s="608"/>
      <c r="F5966" s="760">
        <f t="shared" si="190"/>
        <v>2205.9574943456837</v>
      </c>
      <c r="M5966" s="443"/>
    </row>
    <row r="5967" spans="1:13">
      <c r="A5967" s="639">
        <v>90513</v>
      </c>
      <c r="B5967" s="639">
        <v>1200</v>
      </c>
      <c r="C5967" s="638">
        <v>5097.1790000000001</v>
      </c>
      <c r="D5967" s="633">
        <f t="shared" si="191"/>
        <v>5097.1790000000001</v>
      </c>
      <c r="E5967" s="608"/>
      <c r="F5967" s="760">
        <f t="shared" si="190"/>
        <v>2150.4115759250349</v>
      </c>
      <c r="M5967" s="443"/>
    </row>
    <row r="5968" spans="1:13">
      <c r="A5968" s="639">
        <v>90513</v>
      </c>
      <c r="B5968" s="639">
        <v>1300</v>
      </c>
      <c r="C5968" s="638">
        <v>5080.6409999999996</v>
      </c>
      <c r="D5968" s="633">
        <f t="shared" si="191"/>
        <v>5080.6409999999996</v>
      </c>
      <c r="E5968" s="608"/>
      <c r="F5968" s="760">
        <f t="shared" si="190"/>
        <v>2143.4344800367703</v>
      </c>
      <c r="M5968" s="443"/>
    </row>
    <row r="5969" spans="1:13">
      <c r="A5969" s="639">
        <v>90513</v>
      </c>
      <c r="B5969" s="639">
        <v>1400</v>
      </c>
      <c r="C5969" s="638">
        <v>5052.8670000000002</v>
      </c>
      <c r="D5969" s="633">
        <f t="shared" si="191"/>
        <v>5052.8670000000002</v>
      </c>
      <c r="E5969" s="608"/>
      <c r="F5969" s="760">
        <f t="shared" si="190"/>
        <v>2131.7171102701327</v>
      </c>
      <c r="M5969" s="443"/>
    </row>
    <row r="5970" spans="1:13">
      <c r="A5970" s="639">
        <v>90513</v>
      </c>
      <c r="B5970" s="639">
        <v>1500</v>
      </c>
      <c r="C5970" s="638">
        <v>5217.9350000000004</v>
      </c>
      <c r="D5970" s="633">
        <f t="shared" si="191"/>
        <v>5217.9350000000004</v>
      </c>
      <c r="E5970" s="608"/>
      <c r="F5970" s="760">
        <f t="shared" si="190"/>
        <v>2201.3564417542329</v>
      </c>
      <c r="M5970" s="443"/>
    </row>
    <row r="5971" spans="1:13">
      <c r="A5971" s="639">
        <v>90513</v>
      </c>
      <c r="B5971" s="639">
        <v>1600</v>
      </c>
      <c r="C5971" s="638">
        <v>5530.2830000000004</v>
      </c>
      <c r="D5971" s="633">
        <f t="shared" si="191"/>
        <v>5530.2830000000004</v>
      </c>
      <c r="E5971" s="608"/>
      <c r="F5971" s="760">
        <f t="shared" si="190"/>
        <v>2333.1306554746129</v>
      </c>
      <c r="M5971" s="443"/>
    </row>
    <row r="5972" spans="1:13">
      <c r="A5972" s="639">
        <v>90513</v>
      </c>
      <c r="B5972" s="639">
        <v>1700</v>
      </c>
      <c r="C5972" s="638">
        <v>5958.1880000000001</v>
      </c>
      <c r="D5972" s="633">
        <f t="shared" si="191"/>
        <v>5958.1880000000001</v>
      </c>
      <c r="E5972" s="608"/>
      <c r="F5972" s="760">
        <f t="shared" si="190"/>
        <v>2513.6563669311267</v>
      </c>
      <c r="M5972" s="443"/>
    </row>
    <row r="5973" spans="1:13">
      <c r="A5973" s="639">
        <v>90513</v>
      </c>
      <c r="B5973" s="639">
        <v>1800</v>
      </c>
      <c r="C5973" s="638">
        <v>6172.33</v>
      </c>
      <c r="D5973" s="633">
        <f t="shared" si="191"/>
        <v>6172.33</v>
      </c>
      <c r="E5973" s="608"/>
      <c r="F5973" s="760">
        <f t="shared" si="190"/>
        <v>2603.9991694286923</v>
      </c>
      <c r="M5973" s="443"/>
    </row>
    <row r="5974" spans="1:13">
      <c r="A5974" s="639">
        <v>90513</v>
      </c>
      <c r="B5974" s="639">
        <v>1900</v>
      </c>
      <c r="C5974" s="638">
        <v>6281.2960000000003</v>
      </c>
      <c r="D5974" s="633">
        <f t="shared" si="191"/>
        <v>6281.2960000000003</v>
      </c>
      <c r="E5974" s="608"/>
      <c r="F5974" s="760">
        <f t="shared" si="190"/>
        <v>2649.9700383705613</v>
      </c>
      <c r="M5974" s="443"/>
    </row>
    <row r="5975" spans="1:13">
      <c r="A5975" s="639">
        <v>90513</v>
      </c>
      <c r="B5975" s="639">
        <v>2000</v>
      </c>
      <c r="C5975" s="638">
        <v>6842.7389999999996</v>
      </c>
      <c r="D5975" s="633">
        <f t="shared" si="191"/>
        <v>6842.7389999999996</v>
      </c>
      <c r="E5975" s="608"/>
      <c r="F5975" s="760">
        <f t="shared" si="190"/>
        <v>2886.8331201697442</v>
      </c>
      <c r="M5975" s="443"/>
    </row>
    <row r="5976" spans="1:13">
      <c r="A5976" s="639">
        <v>90513</v>
      </c>
      <c r="B5976" s="639">
        <v>2100</v>
      </c>
      <c r="C5976" s="638">
        <v>6617.3680000000004</v>
      </c>
      <c r="D5976" s="633">
        <f t="shared" si="191"/>
        <v>6617.3680000000004</v>
      </c>
      <c r="E5976" s="608"/>
      <c r="F5976" s="760">
        <f t="shared" si="190"/>
        <v>2791.7529969726193</v>
      </c>
      <c r="M5976" s="443"/>
    </row>
    <row r="5977" spans="1:13">
      <c r="A5977" s="639">
        <v>90513</v>
      </c>
      <c r="B5977" s="639">
        <v>2200</v>
      </c>
      <c r="C5977" s="638">
        <v>5881.1189999999997</v>
      </c>
      <c r="D5977" s="633">
        <f t="shared" si="191"/>
        <v>5881.1189999999997</v>
      </c>
      <c r="E5977" s="608"/>
      <c r="F5977" s="760">
        <f t="shared" si="190"/>
        <v>2481.1422900770535</v>
      </c>
      <c r="M5977" s="443"/>
    </row>
    <row r="5978" spans="1:13">
      <c r="A5978" s="639">
        <v>90513</v>
      </c>
      <c r="B5978" s="639">
        <v>2300</v>
      </c>
      <c r="C5978" s="638">
        <v>5042.9719999999998</v>
      </c>
      <c r="D5978" s="633">
        <f t="shared" si="191"/>
        <v>5042.9719999999998</v>
      </c>
      <c r="E5978" s="608"/>
      <c r="F5978" s="760">
        <f t="shared" si="190"/>
        <v>2127.5425810758902</v>
      </c>
      <c r="M5978" s="443"/>
    </row>
    <row r="5979" spans="1:13">
      <c r="A5979" s="639">
        <v>90513</v>
      </c>
      <c r="B5979" s="639">
        <v>2400</v>
      </c>
      <c r="C5979" s="638">
        <v>4426.1940000000004</v>
      </c>
      <c r="D5979" s="633">
        <f t="shared" si="191"/>
        <v>4426.1940000000004</v>
      </c>
      <c r="E5979" s="608"/>
      <c r="F5979" s="760">
        <f t="shared" si="190"/>
        <v>1867.3346207558996</v>
      </c>
      <c r="M5979" s="443"/>
    </row>
    <row r="5980" spans="1:13">
      <c r="A5980" s="639">
        <v>90613</v>
      </c>
      <c r="B5980" s="639">
        <v>100</v>
      </c>
      <c r="C5980" s="638">
        <v>4146.3680000000004</v>
      </c>
      <c r="D5980" s="633">
        <f t="shared" si="191"/>
        <v>4146.3680000000004</v>
      </c>
      <c r="E5980" s="608"/>
      <c r="F5980" s="760">
        <f t="shared" si="190"/>
        <v>1749.2808758030935</v>
      </c>
      <c r="M5980" s="443"/>
    </row>
    <row r="5981" spans="1:13">
      <c r="A5981" s="639">
        <v>90613</v>
      </c>
      <c r="B5981" s="639">
        <v>200</v>
      </c>
      <c r="C5981" s="638">
        <v>4067.6019999999999</v>
      </c>
      <c r="D5981" s="633">
        <f t="shared" si="191"/>
        <v>4067.6019999999999</v>
      </c>
      <c r="E5981" s="608"/>
      <c r="F5981" s="760">
        <f t="shared" si="190"/>
        <v>1716.0508640280877</v>
      </c>
      <c r="M5981" s="443"/>
    </row>
    <row r="5982" spans="1:13">
      <c r="A5982" s="639">
        <v>90613</v>
      </c>
      <c r="B5982" s="639">
        <v>300</v>
      </c>
      <c r="C5982" s="638">
        <v>4002.5529999999999</v>
      </c>
      <c r="D5982" s="633">
        <f t="shared" si="191"/>
        <v>4002.5529999999999</v>
      </c>
      <c r="E5982" s="608"/>
      <c r="F5982" s="760">
        <f t="shared" si="190"/>
        <v>1688.6078170795015</v>
      </c>
      <c r="M5982" s="443"/>
    </row>
    <row r="5983" spans="1:13">
      <c r="A5983" s="639">
        <v>90613</v>
      </c>
      <c r="B5983" s="639">
        <v>400</v>
      </c>
      <c r="C5983" s="638">
        <v>4066.8670000000002</v>
      </c>
      <c r="D5983" s="633">
        <f t="shared" si="191"/>
        <v>4066.8670000000002</v>
      </c>
      <c r="E5983" s="608"/>
      <c r="F5983" s="760">
        <f t="shared" si="190"/>
        <v>1715.7407802526691</v>
      </c>
      <c r="M5983" s="443"/>
    </row>
    <row r="5984" spans="1:13">
      <c r="A5984" s="639">
        <v>90613</v>
      </c>
      <c r="B5984" s="639">
        <v>500</v>
      </c>
      <c r="C5984" s="638">
        <v>4416.21</v>
      </c>
      <c r="D5984" s="633">
        <f t="shared" si="191"/>
        <v>4416.21</v>
      </c>
      <c r="E5984" s="608"/>
      <c r="F5984" s="760">
        <f t="shared" si="190"/>
        <v>1863.1225440024571</v>
      </c>
      <c r="M5984" s="443"/>
    </row>
    <row r="5985" spans="1:13">
      <c r="A5985" s="639">
        <v>90613</v>
      </c>
      <c r="B5985" s="639">
        <v>600</v>
      </c>
      <c r="C5985" s="638">
        <v>5260.3869999999997</v>
      </c>
      <c r="D5985" s="633">
        <f t="shared" si="191"/>
        <v>5260.3869999999997</v>
      </c>
      <c r="E5985" s="608"/>
      <c r="F5985" s="760">
        <f t="shared" si="190"/>
        <v>2219.2662056101162</v>
      </c>
      <c r="M5985" s="443"/>
    </row>
    <row r="5986" spans="1:13">
      <c r="A5986" s="639">
        <v>90613</v>
      </c>
      <c r="B5986" s="639">
        <v>700</v>
      </c>
      <c r="C5986" s="638">
        <v>5958.4769999999999</v>
      </c>
      <c r="D5986" s="633">
        <f t="shared" si="191"/>
        <v>5958.4769999999999</v>
      </c>
      <c r="E5986" s="608"/>
      <c r="F5986" s="760">
        <f t="shared" si="190"/>
        <v>2513.7782910278561</v>
      </c>
      <c r="M5986" s="443"/>
    </row>
    <row r="5987" spans="1:13">
      <c r="A5987" s="639">
        <v>90613</v>
      </c>
      <c r="B5987" s="639">
        <v>800</v>
      </c>
      <c r="C5987" s="638">
        <v>5789.4579999999996</v>
      </c>
      <c r="D5987" s="633">
        <f t="shared" si="191"/>
        <v>5789.4579999999996</v>
      </c>
      <c r="E5987" s="608"/>
      <c r="F5987" s="760">
        <f t="shared" si="190"/>
        <v>2442.4721010448725</v>
      </c>
      <c r="M5987" s="443"/>
    </row>
    <row r="5988" spans="1:13">
      <c r="A5988" s="639">
        <v>90613</v>
      </c>
      <c r="B5988" s="639">
        <v>900</v>
      </c>
      <c r="C5988" s="638">
        <v>5324.22</v>
      </c>
      <c r="D5988" s="633">
        <f t="shared" si="191"/>
        <v>5324.22</v>
      </c>
      <c r="E5988" s="608"/>
      <c r="F5988" s="760">
        <f t="shared" ref="F5988:F6051" si="192">(D5988/(MAX($D$5860:$D$6579)))*$M$12</f>
        <v>2246.196243210527</v>
      </c>
      <c r="M5988" s="443"/>
    </row>
    <row r="5989" spans="1:13">
      <c r="A5989" s="639">
        <v>90613</v>
      </c>
      <c r="B5989" s="639">
        <v>1000</v>
      </c>
      <c r="C5989" s="638">
        <v>5115.2569999999996</v>
      </c>
      <c r="D5989" s="633">
        <f t="shared" si="191"/>
        <v>5115.2569999999996</v>
      </c>
      <c r="E5989" s="608"/>
      <c r="F5989" s="760">
        <f t="shared" si="192"/>
        <v>2158.0383711522718</v>
      </c>
      <c r="M5989" s="443"/>
    </row>
    <row r="5990" spans="1:13">
      <c r="A5990" s="639">
        <v>90613</v>
      </c>
      <c r="B5990" s="639">
        <v>1100</v>
      </c>
      <c r="C5990" s="638">
        <v>5009.4960000000001</v>
      </c>
      <c r="D5990" s="633">
        <f t="shared" si="191"/>
        <v>5009.4960000000001</v>
      </c>
      <c r="E5990" s="608"/>
      <c r="F5990" s="760">
        <f t="shared" si="192"/>
        <v>2113.4196362243038</v>
      </c>
      <c r="M5990" s="443"/>
    </row>
    <row r="5991" spans="1:13">
      <c r="A5991" s="639">
        <v>90613</v>
      </c>
      <c r="B5991" s="639">
        <v>1200</v>
      </c>
      <c r="C5991" s="638">
        <v>4955.0929999999998</v>
      </c>
      <c r="D5991" s="633">
        <f t="shared" si="191"/>
        <v>4955.0929999999998</v>
      </c>
      <c r="E5991" s="608"/>
      <c r="F5991" s="760">
        <f t="shared" si="192"/>
        <v>2090.4679523683803</v>
      </c>
      <c r="M5991" s="443"/>
    </row>
    <row r="5992" spans="1:13">
      <c r="A5992" s="639">
        <v>90613</v>
      </c>
      <c r="B5992" s="639">
        <v>1300</v>
      </c>
      <c r="C5992" s="638">
        <v>4961.87</v>
      </c>
      <c r="D5992" s="633">
        <f t="shared" si="191"/>
        <v>4961.87</v>
      </c>
      <c r="E5992" s="608"/>
      <c r="F5992" s="760">
        <f t="shared" si="192"/>
        <v>2093.3270513425473</v>
      </c>
      <c r="M5992" s="443"/>
    </row>
    <row r="5993" spans="1:13">
      <c r="A5993" s="639">
        <v>90613</v>
      </c>
      <c r="B5993" s="639">
        <v>1400</v>
      </c>
      <c r="C5993" s="638">
        <v>4959.9960000000001</v>
      </c>
      <c r="D5993" s="633">
        <f t="shared" si="191"/>
        <v>4959.9960000000001</v>
      </c>
      <c r="E5993" s="608"/>
      <c r="F5993" s="760">
        <f t="shared" si="192"/>
        <v>2092.5364431859016</v>
      </c>
      <c r="M5993" s="443"/>
    </row>
    <row r="5994" spans="1:13">
      <c r="A5994" s="639">
        <v>90613</v>
      </c>
      <c r="B5994" s="639">
        <v>1500</v>
      </c>
      <c r="C5994" s="638">
        <v>5111.9769999999999</v>
      </c>
      <c r="D5994" s="633">
        <f t="shared" si="191"/>
        <v>5111.9769999999999</v>
      </c>
      <c r="E5994" s="608"/>
      <c r="F5994" s="760">
        <f t="shared" si="192"/>
        <v>2156.6545959367982</v>
      </c>
      <c r="M5994" s="443"/>
    </row>
    <row r="5995" spans="1:13">
      <c r="A5995" s="639">
        <v>90613</v>
      </c>
      <c r="B5995" s="639">
        <v>1600</v>
      </c>
      <c r="C5995" s="638">
        <v>5400.058</v>
      </c>
      <c r="D5995" s="633">
        <f t="shared" si="191"/>
        <v>5400.058</v>
      </c>
      <c r="E5995" s="608"/>
      <c r="F5995" s="760">
        <f t="shared" si="192"/>
        <v>2278.1909824761096</v>
      </c>
      <c r="M5995" s="443"/>
    </row>
    <row r="5996" spans="1:13">
      <c r="A5996" s="639">
        <v>90613</v>
      </c>
      <c r="B5996" s="639">
        <v>1700</v>
      </c>
      <c r="C5996" s="638">
        <v>5797.8329999999996</v>
      </c>
      <c r="D5996" s="633">
        <f t="shared" si="191"/>
        <v>5797.8329999999996</v>
      </c>
      <c r="E5996" s="608"/>
      <c r="F5996" s="760">
        <f t="shared" si="192"/>
        <v>2446.0053685538951</v>
      </c>
      <c r="M5996" s="443"/>
    </row>
    <row r="5997" spans="1:13">
      <c r="A5997" s="639">
        <v>90613</v>
      </c>
      <c r="B5997" s="639">
        <v>1800</v>
      </c>
      <c r="C5997" s="638">
        <v>5983.2929999999997</v>
      </c>
      <c r="D5997" s="633">
        <f t="shared" si="191"/>
        <v>5983.2929999999997</v>
      </c>
      <c r="E5997" s="608"/>
      <c r="F5997" s="760">
        <f t="shared" si="192"/>
        <v>2524.2477318044416</v>
      </c>
      <c r="M5997" s="443"/>
    </row>
    <row r="5998" spans="1:13">
      <c r="A5998" s="639">
        <v>90613</v>
      </c>
      <c r="B5998" s="639">
        <v>1900</v>
      </c>
      <c r="C5998" s="638">
        <v>6249.8370000000004</v>
      </c>
      <c r="D5998" s="633">
        <f t="shared" si="191"/>
        <v>6249.8370000000004</v>
      </c>
      <c r="E5998" s="608"/>
      <c r="F5998" s="760">
        <f t="shared" si="192"/>
        <v>2636.6980308999537</v>
      </c>
      <c r="M5998" s="443"/>
    </row>
    <row r="5999" spans="1:13">
      <c r="A5999" s="639">
        <v>90613</v>
      </c>
      <c r="B5999" s="639">
        <v>2000</v>
      </c>
      <c r="C5999" s="638">
        <v>6724.9629999999997</v>
      </c>
      <c r="D5999" s="633">
        <f t="shared" si="191"/>
        <v>6724.9629999999997</v>
      </c>
      <c r="E5999" s="608"/>
      <c r="F5999" s="760">
        <f t="shared" si="192"/>
        <v>2837.1454647497276</v>
      </c>
      <c r="M5999" s="443"/>
    </row>
    <row r="6000" spans="1:13">
      <c r="A6000" s="639">
        <v>90613</v>
      </c>
      <c r="B6000" s="639">
        <v>2100</v>
      </c>
      <c r="C6000" s="638">
        <v>6427.6840000000002</v>
      </c>
      <c r="D6000" s="633">
        <f t="shared" si="191"/>
        <v>6427.6840000000002</v>
      </c>
      <c r="E6000" s="608"/>
      <c r="F6000" s="760">
        <f t="shared" si="192"/>
        <v>2711.7286012494624</v>
      </c>
      <c r="M6000" s="443"/>
    </row>
    <row r="6001" spans="1:13">
      <c r="A6001" s="639">
        <v>90613</v>
      </c>
      <c r="B6001" s="639">
        <v>2200</v>
      </c>
      <c r="C6001" s="638">
        <v>5880.8829999999998</v>
      </c>
      <c r="D6001" s="633">
        <f t="shared" si="191"/>
        <v>5880.8829999999998</v>
      </c>
      <c r="E6001" s="608"/>
      <c r="F6001" s="760">
        <f t="shared" si="192"/>
        <v>2481.0427257627694</v>
      </c>
      <c r="M6001" s="443"/>
    </row>
    <row r="6002" spans="1:13">
      <c r="A6002" s="639">
        <v>90613</v>
      </c>
      <c r="B6002" s="639">
        <v>2300</v>
      </c>
      <c r="C6002" s="638">
        <v>5174.3599999999997</v>
      </c>
      <c r="D6002" s="633">
        <f t="shared" si="191"/>
        <v>5174.3599999999997</v>
      </c>
      <c r="E6002" s="608"/>
      <c r="F6002" s="760">
        <f t="shared" si="192"/>
        <v>2182.9729036401241</v>
      </c>
      <c r="M6002" s="443"/>
    </row>
    <row r="6003" spans="1:13">
      <c r="A6003" s="639">
        <v>90613</v>
      </c>
      <c r="B6003" s="639">
        <v>2400</v>
      </c>
      <c r="C6003" s="638">
        <v>4547.7539999999999</v>
      </c>
      <c r="D6003" s="633">
        <f t="shared" si="191"/>
        <v>4547.7539999999999</v>
      </c>
      <c r="E6003" s="608"/>
      <c r="F6003" s="760">
        <f t="shared" si="192"/>
        <v>1918.6186802659631</v>
      </c>
      <c r="M6003" s="443"/>
    </row>
    <row r="6004" spans="1:13">
      <c r="A6004" s="639">
        <v>90713</v>
      </c>
      <c r="B6004" s="639">
        <v>100</v>
      </c>
      <c r="C6004" s="638">
        <v>4252.16</v>
      </c>
      <c r="D6004" s="633">
        <f t="shared" si="191"/>
        <v>4252.16</v>
      </c>
      <c r="E6004" s="608"/>
      <c r="F6004" s="760">
        <f t="shared" si="192"/>
        <v>1793.9126890943789</v>
      </c>
      <c r="M6004" s="443"/>
    </row>
    <row r="6005" spans="1:13">
      <c r="A6005" s="639">
        <v>90713</v>
      </c>
      <c r="B6005" s="639">
        <v>200</v>
      </c>
      <c r="C6005" s="638">
        <v>4098.6360000000004</v>
      </c>
      <c r="D6005" s="633">
        <f t="shared" si="191"/>
        <v>4098.6360000000004</v>
      </c>
      <c r="E6005" s="608"/>
      <c r="F6005" s="760">
        <f t="shared" si="192"/>
        <v>1729.1435713564472</v>
      </c>
      <c r="M6005" s="443"/>
    </row>
    <row r="6006" spans="1:13">
      <c r="A6006" s="639">
        <v>90713</v>
      </c>
      <c r="B6006" s="639">
        <v>300</v>
      </c>
      <c r="C6006" s="638">
        <v>3991.7080000000001</v>
      </c>
      <c r="D6006" s="633">
        <f t="shared" si="191"/>
        <v>3991.7080000000001</v>
      </c>
      <c r="E6006" s="608"/>
      <c r="F6006" s="760">
        <f t="shared" si="192"/>
        <v>1684.0324993319971</v>
      </c>
      <c r="M6006" s="443"/>
    </row>
    <row r="6007" spans="1:13">
      <c r="A6007" s="639">
        <v>90713</v>
      </c>
      <c r="B6007" s="639">
        <v>400</v>
      </c>
      <c r="C6007" s="638">
        <v>3962.2620000000002</v>
      </c>
      <c r="D6007" s="633">
        <f t="shared" si="191"/>
        <v>3962.2620000000002</v>
      </c>
      <c r="E6007" s="608"/>
      <c r="F6007" s="760">
        <f t="shared" si="192"/>
        <v>1671.6097417116175</v>
      </c>
      <c r="M6007" s="443"/>
    </row>
    <row r="6008" spans="1:13">
      <c r="A6008" s="639">
        <v>90713</v>
      </c>
      <c r="B6008" s="639">
        <v>500</v>
      </c>
      <c r="C6008" s="638">
        <v>4114.6379999999999</v>
      </c>
      <c r="D6008" s="633">
        <f t="shared" si="191"/>
        <v>4114.6379999999999</v>
      </c>
      <c r="E6008" s="608"/>
      <c r="F6008" s="760">
        <f t="shared" si="192"/>
        <v>1735.8945381241338</v>
      </c>
      <c r="M6008" s="443"/>
    </row>
    <row r="6009" spans="1:13">
      <c r="A6009" s="639">
        <v>90713</v>
      </c>
      <c r="B6009" s="639">
        <v>600</v>
      </c>
      <c r="C6009" s="638">
        <v>4467.241</v>
      </c>
      <c r="D6009" s="633">
        <f t="shared" si="191"/>
        <v>4467.241</v>
      </c>
      <c r="E6009" s="608"/>
      <c r="F6009" s="760">
        <f t="shared" si="192"/>
        <v>1884.6516394356429</v>
      </c>
      <c r="M6009" s="443"/>
    </row>
    <row r="6010" spans="1:13">
      <c r="A6010" s="639">
        <v>90713</v>
      </c>
      <c r="B6010" s="639">
        <v>700</v>
      </c>
      <c r="C6010" s="638">
        <v>4920.9179999999997</v>
      </c>
      <c r="D6010" s="633">
        <f t="shared" si="191"/>
        <v>4920.9179999999997</v>
      </c>
      <c r="E6010" s="608"/>
      <c r="F6010" s="760">
        <f t="shared" si="192"/>
        <v>2076.0501115181301</v>
      </c>
      <c r="M6010" s="443"/>
    </row>
    <row r="6011" spans="1:13">
      <c r="A6011" s="639">
        <v>90713</v>
      </c>
      <c r="B6011" s="639">
        <v>800</v>
      </c>
      <c r="C6011" s="638">
        <v>5651.09</v>
      </c>
      <c r="D6011" s="633">
        <f t="shared" si="191"/>
        <v>5651.09</v>
      </c>
      <c r="E6011" s="608"/>
      <c r="F6011" s="760">
        <f t="shared" si="192"/>
        <v>2384.0970373208802</v>
      </c>
      <c r="M6011" s="443"/>
    </row>
    <row r="6012" spans="1:13">
      <c r="A6012" s="639">
        <v>90713</v>
      </c>
      <c r="B6012" s="639">
        <v>900</v>
      </c>
      <c r="C6012" s="638">
        <v>6199.3450000000003</v>
      </c>
      <c r="D6012" s="633">
        <f t="shared" si="191"/>
        <v>6199.3450000000003</v>
      </c>
      <c r="E6012" s="608"/>
      <c r="F6012" s="760">
        <f t="shared" si="192"/>
        <v>2615.3963302354082</v>
      </c>
      <c r="M6012" s="443"/>
    </row>
    <row r="6013" spans="1:13">
      <c r="A6013" s="639">
        <v>90713</v>
      </c>
      <c r="B6013" s="639">
        <v>1000</v>
      </c>
      <c r="C6013" s="638">
        <v>6542.567</v>
      </c>
      <c r="D6013" s="633">
        <f t="shared" si="191"/>
        <v>6542.567</v>
      </c>
      <c r="E6013" s="608"/>
      <c r="F6013" s="760">
        <f t="shared" si="192"/>
        <v>2760.1957500541239</v>
      </c>
      <c r="M6013" s="443"/>
    </row>
    <row r="6014" spans="1:13">
      <c r="A6014" s="639">
        <v>90713</v>
      </c>
      <c r="B6014" s="639">
        <v>1100</v>
      </c>
      <c r="C6014" s="638">
        <v>6606.6819999999998</v>
      </c>
      <c r="D6014" s="633">
        <f t="shared" si="191"/>
        <v>6606.6819999999998</v>
      </c>
      <c r="E6014" s="608"/>
      <c r="F6014" s="760">
        <f t="shared" si="192"/>
        <v>2787.2447585724499</v>
      </c>
      <c r="M6014" s="443"/>
    </row>
    <row r="6015" spans="1:13">
      <c r="A6015" s="639">
        <v>90713</v>
      </c>
      <c r="B6015" s="639">
        <v>1200</v>
      </c>
      <c r="C6015" s="638">
        <v>6435.6930000000002</v>
      </c>
      <c r="D6015" s="633">
        <f t="shared" si="191"/>
        <v>6435.6930000000002</v>
      </c>
      <c r="E6015" s="608"/>
      <c r="F6015" s="760">
        <f t="shared" si="192"/>
        <v>2715.1074596948074</v>
      </c>
      <c r="M6015" s="443"/>
    </row>
    <row r="6016" spans="1:13">
      <c r="A6016" s="639">
        <v>90713</v>
      </c>
      <c r="B6016" s="639">
        <v>1300</v>
      </c>
      <c r="C6016" s="638">
        <v>6205.3109999999997</v>
      </c>
      <c r="D6016" s="633">
        <f t="shared" si="191"/>
        <v>6205.3109999999997</v>
      </c>
      <c r="E6016" s="608"/>
      <c r="F6016" s="760">
        <f t="shared" si="192"/>
        <v>2617.9132823498949</v>
      </c>
      <c r="M6016" s="443"/>
    </row>
    <row r="6017" spans="1:13">
      <c r="A6017" s="639">
        <v>90713</v>
      </c>
      <c r="B6017" s="639">
        <v>1400</v>
      </c>
      <c r="C6017" s="638">
        <v>6097.8149999999996</v>
      </c>
      <c r="D6017" s="633">
        <f t="shared" si="191"/>
        <v>6097.8149999999996</v>
      </c>
      <c r="E6017" s="608"/>
      <c r="F6017" s="760">
        <f t="shared" si="192"/>
        <v>2572.5625809588632</v>
      </c>
      <c r="M6017" s="443"/>
    </row>
    <row r="6018" spans="1:13">
      <c r="A6018" s="639">
        <v>90713</v>
      </c>
      <c r="B6018" s="639">
        <v>1500</v>
      </c>
      <c r="C6018" s="638">
        <v>5903.9740000000002</v>
      </c>
      <c r="D6018" s="633">
        <f t="shared" si="191"/>
        <v>5903.9740000000002</v>
      </c>
      <c r="E6018" s="608"/>
      <c r="F6018" s="760">
        <f t="shared" si="192"/>
        <v>2490.7844189031684</v>
      </c>
      <c r="M6018" s="443"/>
    </row>
    <row r="6019" spans="1:13">
      <c r="A6019" s="639">
        <v>90713</v>
      </c>
      <c r="B6019" s="639">
        <v>1600</v>
      </c>
      <c r="C6019" s="638">
        <v>6041.3689999999997</v>
      </c>
      <c r="D6019" s="633">
        <f t="shared" si="191"/>
        <v>6041.3689999999997</v>
      </c>
      <c r="E6019" s="608"/>
      <c r="F6019" s="760">
        <f t="shared" si="192"/>
        <v>2548.7489907720824</v>
      </c>
      <c r="M6019" s="443"/>
    </row>
    <row r="6020" spans="1:13">
      <c r="A6020" s="639">
        <v>90713</v>
      </c>
      <c r="B6020" s="639">
        <v>1700</v>
      </c>
      <c r="C6020" s="638">
        <v>6349.4459999999999</v>
      </c>
      <c r="D6020" s="633">
        <f t="shared" si="191"/>
        <v>6349.4459999999999</v>
      </c>
      <c r="E6020" s="608"/>
      <c r="F6020" s="760">
        <f t="shared" si="192"/>
        <v>2678.7213435335329</v>
      </c>
      <c r="M6020" s="443"/>
    </row>
    <row r="6021" spans="1:13">
      <c r="A6021" s="639">
        <v>90713</v>
      </c>
      <c r="B6021" s="639">
        <v>1800</v>
      </c>
      <c r="C6021" s="638">
        <v>6435.6779999999999</v>
      </c>
      <c r="D6021" s="633">
        <f t="shared" ref="D6021:D6084" si="193">C6021</f>
        <v>6435.6779999999999</v>
      </c>
      <c r="E6021" s="608"/>
      <c r="F6021" s="760">
        <f t="shared" si="192"/>
        <v>2715.1011314544926</v>
      </c>
      <c r="M6021" s="443"/>
    </row>
    <row r="6022" spans="1:13">
      <c r="A6022" s="639">
        <v>90713</v>
      </c>
      <c r="B6022" s="639">
        <v>1900</v>
      </c>
      <c r="C6022" s="638">
        <v>6576.4030000000002</v>
      </c>
      <c r="D6022" s="633">
        <f t="shared" si="193"/>
        <v>6576.4030000000002</v>
      </c>
      <c r="E6022" s="608"/>
      <c r="F6022" s="760">
        <f t="shared" si="192"/>
        <v>2774.4705726732627</v>
      </c>
      <c r="M6022" s="443"/>
    </row>
    <row r="6023" spans="1:13">
      <c r="A6023" s="639">
        <v>90713</v>
      </c>
      <c r="B6023" s="639">
        <v>2000</v>
      </c>
      <c r="C6023" s="638">
        <v>6842.4030000000002</v>
      </c>
      <c r="D6023" s="633">
        <f t="shared" si="193"/>
        <v>6842.4030000000002</v>
      </c>
      <c r="E6023" s="608"/>
      <c r="F6023" s="760">
        <f t="shared" si="192"/>
        <v>2886.6913675866958</v>
      </c>
      <c r="M6023" s="443"/>
    </row>
    <row r="6024" spans="1:13">
      <c r="A6024" s="639">
        <v>90713</v>
      </c>
      <c r="B6024" s="639">
        <v>2100</v>
      </c>
      <c r="C6024" s="638">
        <v>6585.4</v>
      </c>
      <c r="D6024" s="633">
        <f t="shared" si="193"/>
        <v>6585.4</v>
      </c>
      <c r="E6024" s="608"/>
      <c r="F6024" s="760">
        <f t="shared" si="192"/>
        <v>2778.266251214</v>
      </c>
      <c r="M6024" s="443"/>
    </row>
    <row r="6025" spans="1:13">
      <c r="A6025" s="639">
        <v>90713</v>
      </c>
      <c r="B6025" s="639">
        <v>2200</v>
      </c>
      <c r="C6025" s="638">
        <v>6044.9059999999999</v>
      </c>
      <c r="D6025" s="633">
        <f t="shared" si="193"/>
        <v>6044.9059999999999</v>
      </c>
      <c r="E6025" s="608"/>
      <c r="F6025" s="760">
        <f t="shared" si="192"/>
        <v>2550.2411898382811</v>
      </c>
      <c r="M6025" s="443"/>
    </row>
    <row r="6026" spans="1:13">
      <c r="A6026" s="639">
        <v>90713</v>
      </c>
      <c r="B6026" s="639">
        <v>2300</v>
      </c>
      <c r="C6026" s="638">
        <v>5443.1369999999997</v>
      </c>
      <c r="D6026" s="633">
        <f t="shared" si="193"/>
        <v>5443.1369999999997</v>
      </c>
      <c r="E6026" s="608"/>
      <c r="F6026" s="760">
        <f t="shared" si="192"/>
        <v>2296.3652667771462</v>
      </c>
      <c r="M6026" s="443"/>
    </row>
    <row r="6027" spans="1:13">
      <c r="A6027" s="639">
        <v>90713</v>
      </c>
      <c r="B6027" s="639">
        <v>2400</v>
      </c>
      <c r="C6027" s="638">
        <v>4840.8010000000004</v>
      </c>
      <c r="D6027" s="633">
        <f t="shared" si="193"/>
        <v>4840.8010000000004</v>
      </c>
      <c r="E6027" s="608"/>
      <c r="F6027" s="760">
        <f t="shared" si="192"/>
        <v>2042.250136232117</v>
      </c>
      <c r="M6027" s="443"/>
    </row>
    <row r="6028" spans="1:13">
      <c r="A6028" s="639">
        <v>90813</v>
      </c>
      <c r="B6028" s="639">
        <v>100</v>
      </c>
      <c r="C6028" s="638">
        <v>4492.4229999999998</v>
      </c>
      <c r="D6028" s="633">
        <f t="shared" si="193"/>
        <v>4492.4229999999998</v>
      </c>
      <c r="E6028" s="608"/>
      <c r="F6028" s="760">
        <f t="shared" si="192"/>
        <v>1895.275489275906</v>
      </c>
      <c r="M6028" s="443"/>
    </row>
    <row r="6029" spans="1:13">
      <c r="A6029" s="639">
        <v>90813</v>
      </c>
      <c r="B6029" s="639">
        <v>200</v>
      </c>
      <c r="C6029" s="638">
        <v>4258.1379999999999</v>
      </c>
      <c r="D6029" s="633">
        <f t="shared" si="193"/>
        <v>4258.1379999999999</v>
      </c>
      <c r="E6029" s="608"/>
      <c r="F6029" s="760">
        <f t="shared" si="192"/>
        <v>1796.4347038011176</v>
      </c>
      <c r="M6029" s="443"/>
    </row>
    <row r="6030" spans="1:13">
      <c r="A6030" s="639">
        <v>90813</v>
      </c>
      <c r="B6030" s="639">
        <v>300</v>
      </c>
      <c r="C6030" s="638">
        <v>4108.6490000000003</v>
      </c>
      <c r="D6030" s="633">
        <f t="shared" si="193"/>
        <v>4108.6490000000003</v>
      </c>
      <c r="E6030" s="608"/>
      <c r="F6030" s="760">
        <f t="shared" si="192"/>
        <v>1733.3678827078313</v>
      </c>
      <c r="M6030" s="443"/>
    </row>
    <row r="6031" spans="1:13">
      <c r="A6031" s="639">
        <v>90813</v>
      </c>
      <c r="B6031" s="639">
        <v>400</v>
      </c>
      <c r="C6031" s="638">
        <v>4085.2820000000002</v>
      </c>
      <c r="D6031" s="633">
        <f t="shared" si="193"/>
        <v>4085.2820000000002</v>
      </c>
      <c r="E6031" s="608"/>
      <c r="F6031" s="760">
        <f t="shared" si="192"/>
        <v>1723.5097499456424</v>
      </c>
      <c r="M6031" s="443"/>
    </row>
    <row r="6032" spans="1:13">
      <c r="A6032" s="639">
        <v>90813</v>
      </c>
      <c r="B6032" s="639">
        <v>500</v>
      </c>
      <c r="C6032" s="638">
        <v>4150.5550000000003</v>
      </c>
      <c r="D6032" s="633">
        <f t="shared" si="193"/>
        <v>4150.5550000000003</v>
      </c>
      <c r="E6032" s="608"/>
      <c r="F6032" s="760">
        <f t="shared" si="192"/>
        <v>1751.0472986162608</v>
      </c>
      <c r="M6032" s="443"/>
    </row>
    <row r="6033" spans="1:13">
      <c r="A6033" s="639">
        <v>90813</v>
      </c>
      <c r="B6033" s="639">
        <v>600</v>
      </c>
      <c r="C6033" s="638">
        <v>4338.25</v>
      </c>
      <c r="D6033" s="633">
        <f t="shared" si="193"/>
        <v>4338.25</v>
      </c>
      <c r="E6033" s="608"/>
      <c r="F6033" s="760">
        <f t="shared" si="192"/>
        <v>1830.2325696736928</v>
      </c>
      <c r="M6033" s="443"/>
    </row>
    <row r="6034" spans="1:13">
      <c r="A6034" s="639">
        <v>90813</v>
      </c>
      <c r="B6034" s="639">
        <v>700</v>
      </c>
      <c r="C6034" s="638">
        <v>4701.326</v>
      </c>
      <c r="D6034" s="633">
        <f t="shared" si="193"/>
        <v>4701.326</v>
      </c>
      <c r="E6034" s="608"/>
      <c r="F6034" s="760">
        <f t="shared" si="192"/>
        <v>1983.4080483729022</v>
      </c>
      <c r="M6034" s="443"/>
    </row>
    <row r="6035" spans="1:13">
      <c r="A6035" s="639">
        <v>90813</v>
      </c>
      <c r="B6035" s="639">
        <v>800</v>
      </c>
      <c r="C6035" s="638">
        <v>5328.6769999999997</v>
      </c>
      <c r="D6035" s="633">
        <f t="shared" si="193"/>
        <v>5328.6769999999997</v>
      </c>
      <c r="E6035" s="608"/>
      <c r="F6035" s="760">
        <f t="shared" si="192"/>
        <v>2248.0765743493585</v>
      </c>
      <c r="M6035" s="443"/>
    </row>
    <row r="6036" spans="1:13">
      <c r="A6036" s="639">
        <v>90813</v>
      </c>
      <c r="B6036" s="639">
        <v>900</v>
      </c>
      <c r="C6036" s="638">
        <v>5785.4549999999999</v>
      </c>
      <c r="D6036" s="633">
        <f t="shared" si="193"/>
        <v>5785.4549999999999</v>
      </c>
      <c r="E6036" s="608"/>
      <c r="F6036" s="760">
        <f t="shared" si="192"/>
        <v>2440.7833046462315</v>
      </c>
      <c r="M6036" s="443"/>
    </row>
    <row r="6037" spans="1:13">
      <c r="A6037" s="639">
        <v>90813</v>
      </c>
      <c r="B6037" s="639">
        <v>1000</v>
      </c>
      <c r="C6037" s="638">
        <v>5951.8</v>
      </c>
      <c r="D6037" s="633">
        <f t="shared" si="193"/>
        <v>5951.8</v>
      </c>
      <c r="E6037" s="608"/>
      <c r="F6037" s="760">
        <f t="shared" si="192"/>
        <v>2510.9613803224534</v>
      </c>
      <c r="M6037" s="443"/>
    </row>
    <row r="6038" spans="1:13">
      <c r="A6038" s="639">
        <v>90813</v>
      </c>
      <c r="B6038" s="639">
        <v>1100</v>
      </c>
      <c r="C6038" s="638">
        <v>5971.8090000000002</v>
      </c>
      <c r="D6038" s="633">
        <f t="shared" si="193"/>
        <v>5971.8090000000002</v>
      </c>
      <c r="E6038" s="608"/>
      <c r="F6038" s="760">
        <f t="shared" si="192"/>
        <v>2519.4028310195322</v>
      </c>
      <c r="M6038" s="443"/>
    </row>
    <row r="6039" spans="1:13">
      <c r="A6039" s="639">
        <v>90813</v>
      </c>
      <c r="B6039" s="639">
        <v>1200</v>
      </c>
      <c r="C6039" s="638">
        <v>5948.9179999999997</v>
      </c>
      <c r="D6039" s="633">
        <f t="shared" si="193"/>
        <v>5948.9179999999997</v>
      </c>
      <c r="E6039" s="608"/>
      <c r="F6039" s="760">
        <f t="shared" si="192"/>
        <v>2509.745514416662</v>
      </c>
      <c r="M6039" s="443"/>
    </row>
    <row r="6040" spans="1:13">
      <c r="A6040" s="639">
        <v>90813</v>
      </c>
      <c r="B6040" s="639">
        <v>1300</v>
      </c>
      <c r="C6040" s="638">
        <v>5852.4409999999998</v>
      </c>
      <c r="D6040" s="633">
        <f t="shared" si="193"/>
        <v>5852.4409999999998</v>
      </c>
      <c r="E6040" s="608"/>
      <c r="F6040" s="760">
        <f t="shared" si="192"/>
        <v>2469.0435383607851</v>
      </c>
      <c r="M6040" s="443"/>
    </row>
    <row r="6041" spans="1:13">
      <c r="A6041" s="639">
        <v>90813</v>
      </c>
      <c r="B6041" s="639">
        <v>1400</v>
      </c>
      <c r="C6041" s="638">
        <v>5799.915</v>
      </c>
      <c r="D6041" s="633">
        <f t="shared" si="193"/>
        <v>5799.915</v>
      </c>
      <c r="E6041" s="608"/>
      <c r="F6041" s="760">
        <f t="shared" si="192"/>
        <v>2446.8837283095709</v>
      </c>
      <c r="M6041" s="443"/>
    </row>
    <row r="6042" spans="1:13">
      <c r="A6042" s="639">
        <v>90813</v>
      </c>
      <c r="B6042" s="639">
        <v>1500</v>
      </c>
      <c r="C6042" s="638">
        <v>5962.366</v>
      </c>
      <c r="D6042" s="633">
        <f t="shared" si="193"/>
        <v>5962.366</v>
      </c>
      <c r="E6042" s="608"/>
      <c r="F6042" s="760">
        <f t="shared" si="192"/>
        <v>2515.4189928001056</v>
      </c>
      <c r="M6042" s="443"/>
    </row>
    <row r="6043" spans="1:13">
      <c r="A6043" s="639">
        <v>90813</v>
      </c>
      <c r="B6043" s="639">
        <v>1600</v>
      </c>
      <c r="C6043" s="638">
        <v>6210.3909999999996</v>
      </c>
      <c r="D6043" s="633">
        <f t="shared" si="193"/>
        <v>6210.3909999999996</v>
      </c>
      <c r="E6043" s="608"/>
      <c r="F6043" s="760">
        <f t="shared" si="192"/>
        <v>2620.0564464031286</v>
      </c>
      <c r="M6043" s="443"/>
    </row>
    <row r="6044" spans="1:13">
      <c r="A6044" s="639">
        <v>90813</v>
      </c>
      <c r="B6044" s="639">
        <v>1700</v>
      </c>
      <c r="C6044" s="638">
        <v>6634.7150000000001</v>
      </c>
      <c r="D6044" s="633">
        <f t="shared" si="193"/>
        <v>6634.7150000000001</v>
      </c>
      <c r="E6044" s="608"/>
      <c r="F6044" s="760">
        <f t="shared" si="192"/>
        <v>2799.0713959551881</v>
      </c>
      <c r="M6044" s="443"/>
    </row>
    <row r="6045" spans="1:13">
      <c r="A6045" s="639">
        <v>90813</v>
      </c>
      <c r="B6045" s="639">
        <v>1800</v>
      </c>
      <c r="C6045" s="638">
        <v>6733.7030000000004</v>
      </c>
      <c r="D6045" s="633">
        <f t="shared" si="193"/>
        <v>6733.7030000000004</v>
      </c>
      <c r="E6045" s="608"/>
      <c r="F6045" s="760">
        <f t="shared" si="192"/>
        <v>2840.8327194397407</v>
      </c>
      <c r="M6045" s="443"/>
    </row>
    <row r="6046" spans="1:13">
      <c r="A6046" s="639">
        <v>90813</v>
      </c>
      <c r="B6046" s="639">
        <v>1900</v>
      </c>
      <c r="C6046" s="638">
        <v>6939.2730000000001</v>
      </c>
      <c r="D6046" s="633">
        <f t="shared" si="193"/>
        <v>6939.2730000000001</v>
      </c>
      <c r="E6046" s="608"/>
      <c r="F6046" s="760">
        <f t="shared" si="192"/>
        <v>2927.5591435388178</v>
      </c>
      <c r="M6046" s="443"/>
    </row>
    <row r="6047" spans="1:13">
      <c r="A6047" s="639">
        <v>90813</v>
      </c>
      <c r="B6047" s="639">
        <v>2000</v>
      </c>
      <c r="C6047" s="638">
        <v>7283.2110000000002</v>
      </c>
      <c r="D6047" s="633">
        <f t="shared" si="193"/>
        <v>7283.2110000000002</v>
      </c>
      <c r="E6047" s="608"/>
      <c r="F6047" s="760">
        <f t="shared" si="192"/>
        <v>3072.6606313618868</v>
      </c>
      <c r="M6047" s="443"/>
    </row>
    <row r="6048" spans="1:13">
      <c r="A6048" s="639">
        <v>90813</v>
      </c>
      <c r="B6048" s="639">
        <v>2100</v>
      </c>
      <c r="C6048" s="638">
        <v>6786.5259999999998</v>
      </c>
      <c r="D6048" s="633">
        <f t="shared" si="193"/>
        <v>6786.5259999999998</v>
      </c>
      <c r="E6048" s="608"/>
      <c r="F6048" s="760">
        <f t="shared" si="192"/>
        <v>2863.117828649185</v>
      </c>
      <c r="M6048" s="443"/>
    </row>
    <row r="6049" spans="1:13">
      <c r="A6049" s="639">
        <v>90813</v>
      </c>
      <c r="B6049" s="639">
        <v>2200</v>
      </c>
      <c r="C6049" s="638">
        <v>5925.3019999999997</v>
      </c>
      <c r="D6049" s="633">
        <f t="shared" si="193"/>
        <v>5925.3019999999997</v>
      </c>
      <c r="E6049" s="608"/>
      <c r="F6049" s="760">
        <f t="shared" si="192"/>
        <v>2499.7823328652503</v>
      </c>
      <c r="M6049" s="443"/>
    </row>
    <row r="6050" spans="1:13">
      <c r="A6050" s="639">
        <v>90813</v>
      </c>
      <c r="B6050" s="639">
        <v>2300</v>
      </c>
      <c r="C6050" s="638">
        <v>5003.3459999999995</v>
      </c>
      <c r="D6050" s="633">
        <f t="shared" si="193"/>
        <v>5003.3459999999995</v>
      </c>
      <c r="E6050" s="608"/>
      <c r="F6050" s="760">
        <f t="shared" si="192"/>
        <v>2110.8250576952896</v>
      </c>
      <c r="M6050" s="443"/>
    </row>
    <row r="6051" spans="1:13">
      <c r="A6051" s="639">
        <v>90813</v>
      </c>
      <c r="B6051" s="639">
        <v>2400</v>
      </c>
      <c r="C6051" s="638">
        <v>4408.2870000000003</v>
      </c>
      <c r="D6051" s="633">
        <f t="shared" si="193"/>
        <v>4408.2870000000003</v>
      </c>
      <c r="E6051" s="608"/>
      <c r="F6051" s="760">
        <f t="shared" si="192"/>
        <v>1859.7799674682497</v>
      </c>
      <c r="M6051" s="443"/>
    </row>
    <row r="6052" spans="1:13">
      <c r="A6052" s="639">
        <v>90913</v>
      </c>
      <c r="B6052" s="639">
        <v>100</v>
      </c>
      <c r="C6052" s="638">
        <v>4194.933</v>
      </c>
      <c r="D6052" s="633">
        <f t="shared" si="193"/>
        <v>4194.933</v>
      </c>
      <c r="E6052" s="608"/>
      <c r="F6052" s="760">
        <f t="shared" ref="F6052:F6115" si="194">(D6052/(MAX($D$5860:$D$6579)))*$M$12</f>
        <v>1769.7696085285479</v>
      </c>
      <c r="M6052" s="443"/>
    </row>
    <row r="6053" spans="1:13">
      <c r="A6053" s="639">
        <v>90913</v>
      </c>
      <c r="B6053" s="639">
        <v>200</v>
      </c>
      <c r="C6053" s="638">
        <v>4062.9290000000001</v>
      </c>
      <c r="D6053" s="633">
        <f t="shared" si="193"/>
        <v>4062.9290000000001</v>
      </c>
      <c r="E6053" s="608"/>
      <c r="F6053" s="760">
        <f t="shared" si="194"/>
        <v>1714.0794062287252</v>
      </c>
      <c r="M6053" s="443"/>
    </row>
    <row r="6054" spans="1:13">
      <c r="A6054" s="639">
        <v>90913</v>
      </c>
      <c r="B6054" s="639">
        <v>300</v>
      </c>
      <c r="C6054" s="638">
        <v>4048.73</v>
      </c>
      <c r="D6054" s="633">
        <f t="shared" si="193"/>
        <v>4048.73</v>
      </c>
      <c r="E6054" s="608"/>
      <c r="F6054" s="760">
        <f t="shared" si="194"/>
        <v>1708.0890939468609</v>
      </c>
      <c r="M6054" s="443"/>
    </row>
    <row r="6055" spans="1:13">
      <c r="A6055" s="639">
        <v>90913</v>
      </c>
      <c r="B6055" s="639">
        <v>400</v>
      </c>
      <c r="C6055" s="638">
        <v>4084.9459999999999</v>
      </c>
      <c r="D6055" s="633">
        <f t="shared" si="193"/>
        <v>4084.9459999999999</v>
      </c>
      <c r="E6055" s="608"/>
      <c r="F6055" s="760">
        <f t="shared" si="194"/>
        <v>1723.3679973625935</v>
      </c>
      <c r="M6055" s="443"/>
    </row>
    <row r="6056" spans="1:13">
      <c r="A6056" s="639">
        <v>90913</v>
      </c>
      <c r="B6056" s="639">
        <v>500</v>
      </c>
      <c r="C6056" s="638">
        <v>4419.78</v>
      </c>
      <c r="D6056" s="633">
        <f t="shared" si="193"/>
        <v>4419.78</v>
      </c>
      <c r="E6056" s="608"/>
      <c r="F6056" s="760">
        <f t="shared" si="194"/>
        <v>1864.6286651973476</v>
      </c>
      <c r="M6056" s="443"/>
    </row>
    <row r="6057" spans="1:13">
      <c r="A6057" s="639">
        <v>90913</v>
      </c>
      <c r="B6057" s="639">
        <v>600</v>
      </c>
      <c r="C6057" s="638">
        <v>5291.7359999999999</v>
      </c>
      <c r="D6057" s="633">
        <f t="shared" si="193"/>
        <v>5291.7359999999999</v>
      </c>
      <c r="E6057" s="608"/>
      <c r="F6057" s="760">
        <f t="shared" si="194"/>
        <v>2232.4918059850834</v>
      </c>
      <c r="M6057" s="443"/>
    </row>
    <row r="6058" spans="1:13">
      <c r="A6058" s="639">
        <v>90913</v>
      </c>
      <c r="B6058" s="639">
        <v>700</v>
      </c>
      <c r="C6058" s="638">
        <v>5710.0910000000003</v>
      </c>
      <c r="D6058" s="633">
        <f t="shared" si="193"/>
        <v>5710.0910000000003</v>
      </c>
      <c r="E6058" s="608"/>
      <c r="F6058" s="760">
        <f t="shared" si="194"/>
        <v>2408.9885377745927</v>
      </c>
      <c r="M6058" s="443"/>
    </row>
    <row r="6059" spans="1:13">
      <c r="A6059" s="639">
        <v>90913</v>
      </c>
      <c r="B6059" s="639">
        <v>800</v>
      </c>
      <c r="C6059" s="638">
        <v>5776.826</v>
      </c>
      <c r="D6059" s="633">
        <f t="shared" si="193"/>
        <v>5776.826</v>
      </c>
      <c r="E6059" s="608"/>
      <c r="F6059" s="760">
        <f t="shared" si="194"/>
        <v>2437.1428789345473</v>
      </c>
      <c r="M6059" s="443"/>
    </row>
    <row r="6060" spans="1:13">
      <c r="A6060" s="639">
        <v>90913</v>
      </c>
      <c r="B6060" s="639">
        <v>900</v>
      </c>
      <c r="C6060" s="638">
        <v>5533.0619999999999</v>
      </c>
      <c r="D6060" s="633">
        <f t="shared" si="193"/>
        <v>5533.0619999999999</v>
      </c>
      <c r="E6060" s="608"/>
      <c r="F6060" s="760">
        <f t="shared" si="194"/>
        <v>2334.303067463577</v>
      </c>
      <c r="M6060" s="443"/>
    </row>
    <row r="6061" spans="1:13">
      <c r="A6061" s="639">
        <v>90913</v>
      </c>
      <c r="B6061" s="639">
        <v>1000</v>
      </c>
      <c r="C6061" s="638">
        <v>5188.0910000000003</v>
      </c>
      <c r="D6061" s="633">
        <f t="shared" si="193"/>
        <v>5188.0910000000003</v>
      </c>
      <c r="E6061" s="608"/>
      <c r="F6061" s="760">
        <f t="shared" si="194"/>
        <v>2188.7657748241709</v>
      </c>
      <c r="M6061" s="443"/>
    </row>
    <row r="6062" spans="1:13">
      <c r="A6062" s="639">
        <v>90913</v>
      </c>
      <c r="B6062" s="639">
        <v>1100</v>
      </c>
      <c r="C6062" s="638">
        <v>5177.1000000000004</v>
      </c>
      <c r="D6062" s="633">
        <f t="shared" si="193"/>
        <v>5177.1000000000004</v>
      </c>
      <c r="E6062" s="608"/>
      <c r="F6062" s="760">
        <f t="shared" si="194"/>
        <v>2184.1288622042703</v>
      </c>
      <c r="M6062" s="443"/>
    </row>
    <row r="6063" spans="1:13">
      <c r="A6063" s="639">
        <v>90913</v>
      </c>
      <c r="B6063" s="639">
        <v>1200</v>
      </c>
      <c r="C6063" s="638">
        <v>5157.2740000000003</v>
      </c>
      <c r="D6063" s="633">
        <f t="shared" si="193"/>
        <v>5157.2740000000003</v>
      </c>
      <c r="E6063" s="608"/>
      <c r="F6063" s="760">
        <f t="shared" si="194"/>
        <v>2175.7646160390304</v>
      </c>
      <c r="M6063" s="443"/>
    </row>
    <row r="6064" spans="1:13">
      <c r="A6064" s="639">
        <v>90913</v>
      </c>
      <c r="B6064" s="639">
        <v>1300</v>
      </c>
      <c r="C6064" s="638">
        <v>5303.3239999999996</v>
      </c>
      <c r="D6064" s="633">
        <f t="shared" si="193"/>
        <v>5303.3239999999996</v>
      </c>
      <c r="E6064" s="608"/>
      <c r="F6064" s="760">
        <f t="shared" si="194"/>
        <v>2237.3805825695076</v>
      </c>
      <c r="M6064" s="443"/>
    </row>
    <row r="6065" spans="1:13">
      <c r="A6065" s="639">
        <v>90913</v>
      </c>
      <c r="B6065" s="639">
        <v>1400</v>
      </c>
      <c r="C6065" s="638">
        <v>5130.875</v>
      </c>
      <c r="D6065" s="633">
        <f t="shared" si="193"/>
        <v>5130.875</v>
      </c>
      <c r="E6065" s="608"/>
      <c r="F6065" s="760">
        <f t="shared" si="194"/>
        <v>2164.6273349679036</v>
      </c>
      <c r="M6065" s="443"/>
    </row>
    <row r="6066" spans="1:13">
      <c r="A6066" s="639">
        <v>90913</v>
      </c>
      <c r="B6066" s="639">
        <v>1500</v>
      </c>
      <c r="C6066" s="638">
        <v>5401.7479999999996</v>
      </c>
      <c r="D6066" s="633">
        <f t="shared" si="193"/>
        <v>5401.7479999999996</v>
      </c>
      <c r="E6066" s="608"/>
      <c r="F6066" s="760">
        <f t="shared" si="194"/>
        <v>2278.9039642182283</v>
      </c>
      <c r="M6066" s="443"/>
    </row>
    <row r="6067" spans="1:13">
      <c r="A6067" s="639">
        <v>90913</v>
      </c>
      <c r="B6067" s="639">
        <v>1600</v>
      </c>
      <c r="C6067" s="638">
        <v>5628.6750000000002</v>
      </c>
      <c r="D6067" s="633">
        <f t="shared" si="193"/>
        <v>5628.6750000000002</v>
      </c>
      <c r="E6067" s="608"/>
      <c r="F6067" s="760">
        <f t="shared" si="194"/>
        <v>2374.6405368773289</v>
      </c>
      <c r="M6067" s="443"/>
    </row>
    <row r="6068" spans="1:13">
      <c r="A6068" s="639">
        <v>90913</v>
      </c>
      <c r="B6068" s="639">
        <v>1700</v>
      </c>
      <c r="C6068" s="638">
        <v>6147.7950000000001</v>
      </c>
      <c r="D6068" s="633">
        <f t="shared" si="193"/>
        <v>6147.7950000000001</v>
      </c>
      <c r="E6068" s="608"/>
      <c r="F6068" s="760">
        <f t="shared" si="194"/>
        <v>2593.6482776873349</v>
      </c>
      <c r="M6068" s="443"/>
    </row>
    <row r="6069" spans="1:13">
      <c r="A6069" s="639">
        <v>90913</v>
      </c>
      <c r="B6069" s="639">
        <v>1800</v>
      </c>
      <c r="C6069" s="638">
        <v>6362.723</v>
      </c>
      <c r="D6069" s="633">
        <f t="shared" si="193"/>
        <v>6362.723</v>
      </c>
      <c r="E6069" s="608"/>
      <c r="F6069" s="760">
        <f t="shared" si="194"/>
        <v>2684.3226799773888</v>
      </c>
      <c r="M6069" s="443"/>
    </row>
    <row r="6070" spans="1:13">
      <c r="A6070" s="639">
        <v>90913</v>
      </c>
      <c r="B6070" s="639">
        <v>1900</v>
      </c>
      <c r="C6070" s="638">
        <v>6758.3540000000003</v>
      </c>
      <c r="D6070" s="633">
        <f t="shared" si="193"/>
        <v>6758.3540000000003</v>
      </c>
      <c r="E6070" s="608"/>
      <c r="F6070" s="760">
        <f t="shared" si="194"/>
        <v>2851.2325495728646</v>
      </c>
      <c r="M6070" s="443"/>
    </row>
    <row r="6071" spans="1:13">
      <c r="A6071" s="639">
        <v>90913</v>
      </c>
      <c r="B6071" s="639">
        <v>2000</v>
      </c>
      <c r="C6071" s="638">
        <v>7322.1629999999996</v>
      </c>
      <c r="D6071" s="633">
        <f t="shared" si="193"/>
        <v>7322.1629999999996</v>
      </c>
      <c r="E6071" s="608"/>
      <c r="F6071" s="760">
        <f t="shared" si="194"/>
        <v>3089.093805811015</v>
      </c>
      <c r="M6071" s="443"/>
    </row>
    <row r="6072" spans="1:13">
      <c r="A6072" s="639">
        <v>90913</v>
      </c>
      <c r="B6072" s="639">
        <v>2100</v>
      </c>
      <c r="C6072" s="638">
        <v>6939.4459999999999</v>
      </c>
      <c r="D6072" s="633">
        <f t="shared" si="193"/>
        <v>6939.4459999999999</v>
      </c>
      <c r="E6072" s="608"/>
      <c r="F6072" s="760">
        <f t="shared" si="194"/>
        <v>2927.6321292437797</v>
      </c>
      <c r="M6072" s="443"/>
    </row>
    <row r="6073" spans="1:13">
      <c r="A6073" s="639">
        <v>90913</v>
      </c>
      <c r="B6073" s="639">
        <v>2200</v>
      </c>
      <c r="C6073" s="638">
        <v>6100.4579999999996</v>
      </c>
      <c r="D6073" s="633">
        <f t="shared" si="193"/>
        <v>6100.4579999999996</v>
      </c>
      <c r="E6073" s="608"/>
      <c r="F6073" s="760">
        <f t="shared" si="194"/>
        <v>2573.6776169023074</v>
      </c>
      <c r="M6073" s="443"/>
    </row>
    <row r="6074" spans="1:13">
      <c r="A6074" s="639">
        <v>90913</v>
      </c>
      <c r="B6074" s="639">
        <v>2300</v>
      </c>
      <c r="C6074" s="638">
        <v>5128.3339999999998</v>
      </c>
      <c r="D6074" s="633">
        <f t="shared" si="193"/>
        <v>5128.3339999999998</v>
      </c>
      <c r="E6074" s="608"/>
      <c r="F6074" s="760">
        <f t="shared" si="194"/>
        <v>2163.5553310585988</v>
      </c>
      <c r="M6074" s="443"/>
    </row>
    <row r="6075" spans="1:13">
      <c r="A6075" s="639">
        <v>90913</v>
      </c>
      <c r="B6075" s="639">
        <v>2400</v>
      </c>
      <c r="C6075" s="638">
        <v>4492.3410000000003</v>
      </c>
      <c r="D6075" s="633">
        <f t="shared" si="193"/>
        <v>4492.3410000000003</v>
      </c>
      <c r="E6075" s="608"/>
      <c r="F6075" s="760">
        <f t="shared" si="194"/>
        <v>1895.2408948955194</v>
      </c>
      <c r="M6075" s="443"/>
    </row>
    <row r="6076" spans="1:13">
      <c r="A6076" s="639">
        <v>91013</v>
      </c>
      <c r="B6076" s="639">
        <v>100</v>
      </c>
      <c r="C6076" s="638">
        <v>4240.7259999999997</v>
      </c>
      <c r="D6076" s="633">
        <f t="shared" si="193"/>
        <v>4240.7259999999997</v>
      </c>
      <c r="E6076" s="608"/>
      <c r="F6076" s="760">
        <f t="shared" si="194"/>
        <v>1789.0888824438516</v>
      </c>
      <c r="M6076" s="443"/>
    </row>
    <row r="6077" spans="1:13">
      <c r="A6077" s="639">
        <v>91013</v>
      </c>
      <c r="B6077" s="639">
        <v>200</v>
      </c>
      <c r="C6077" s="638">
        <v>4114.0919999999996</v>
      </c>
      <c r="D6077" s="633">
        <f t="shared" si="193"/>
        <v>4114.0919999999996</v>
      </c>
      <c r="E6077" s="608"/>
      <c r="F6077" s="760">
        <f t="shared" si="194"/>
        <v>1735.6641901766798</v>
      </c>
      <c r="M6077" s="443"/>
    </row>
    <row r="6078" spans="1:13">
      <c r="A6078" s="639">
        <v>91013</v>
      </c>
      <c r="B6078" s="639">
        <v>300</v>
      </c>
      <c r="C6078" s="638">
        <v>3993.9290000000001</v>
      </c>
      <c r="D6078" s="633">
        <f t="shared" si="193"/>
        <v>3993.9290000000001</v>
      </c>
      <c r="E6078" s="608"/>
      <c r="F6078" s="760">
        <f t="shared" si="194"/>
        <v>1684.9695007812556</v>
      </c>
      <c r="M6078" s="443"/>
    </row>
    <row r="6079" spans="1:13">
      <c r="A6079" s="639">
        <v>91013</v>
      </c>
      <c r="B6079" s="639">
        <v>400</v>
      </c>
      <c r="C6079" s="638">
        <v>4031.732</v>
      </c>
      <c r="D6079" s="633">
        <f t="shared" si="193"/>
        <v>4031.732</v>
      </c>
      <c r="E6079" s="608"/>
      <c r="F6079" s="760">
        <f t="shared" si="194"/>
        <v>1700.91793202228</v>
      </c>
      <c r="M6079" s="443"/>
    </row>
    <row r="6080" spans="1:13">
      <c r="A6080" s="639">
        <v>91013</v>
      </c>
      <c r="B6080" s="639">
        <v>500</v>
      </c>
      <c r="C6080" s="638">
        <v>4354.7910000000002</v>
      </c>
      <c r="D6080" s="633">
        <f t="shared" si="193"/>
        <v>4354.7910000000002</v>
      </c>
      <c r="E6080" s="608"/>
      <c r="F6080" s="760">
        <f t="shared" si="194"/>
        <v>1837.2109312100204</v>
      </c>
      <c r="M6080" s="443"/>
    </row>
    <row r="6081" spans="1:13">
      <c r="A6081" s="639">
        <v>91013</v>
      </c>
      <c r="B6081" s="639">
        <v>600</v>
      </c>
      <c r="C6081" s="638">
        <v>5313.7650000000003</v>
      </c>
      <c r="D6081" s="633">
        <f t="shared" si="193"/>
        <v>5313.7650000000003</v>
      </c>
      <c r="E6081" s="608"/>
      <c r="F6081" s="760">
        <f t="shared" si="194"/>
        <v>2241.7854597112041</v>
      </c>
      <c r="M6081" s="443"/>
    </row>
    <row r="6082" spans="1:13">
      <c r="A6082" s="639">
        <v>91013</v>
      </c>
      <c r="B6082" s="639">
        <v>700</v>
      </c>
      <c r="C6082" s="638">
        <v>5924.79</v>
      </c>
      <c r="D6082" s="633">
        <f t="shared" si="193"/>
        <v>5924.79</v>
      </c>
      <c r="E6082" s="608"/>
      <c r="F6082" s="760">
        <f t="shared" si="194"/>
        <v>2499.5663289291765</v>
      </c>
      <c r="M6082" s="443"/>
    </row>
    <row r="6083" spans="1:13">
      <c r="A6083" s="639">
        <v>91013</v>
      </c>
      <c r="B6083" s="639">
        <v>800</v>
      </c>
      <c r="C6083" s="638">
        <v>6029.3190000000004</v>
      </c>
      <c r="D6083" s="633">
        <f t="shared" si="193"/>
        <v>6029.3190000000004</v>
      </c>
      <c r="E6083" s="608"/>
      <c r="F6083" s="760">
        <f t="shared" si="194"/>
        <v>2543.6653043859669</v>
      </c>
      <c r="M6083" s="443"/>
    </row>
    <row r="6084" spans="1:13">
      <c r="A6084" s="639">
        <v>91013</v>
      </c>
      <c r="B6084" s="639">
        <v>900</v>
      </c>
      <c r="C6084" s="638">
        <v>6038.5479999999998</v>
      </c>
      <c r="D6084" s="633">
        <f t="shared" si="193"/>
        <v>6038.5479999999998</v>
      </c>
      <c r="E6084" s="608"/>
      <c r="F6084" s="760">
        <f t="shared" si="194"/>
        <v>2547.5588597102374</v>
      </c>
      <c r="M6084" s="443"/>
    </row>
    <row r="6085" spans="1:13">
      <c r="A6085" s="639">
        <v>91013</v>
      </c>
      <c r="B6085" s="639">
        <v>1000</v>
      </c>
      <c r="C6085" s="638">
        <v>6438.933</v>
      </c>
      <c r="D6085" s="633">
        <f t="shared" ref="D6085:D6148" si="195">C6085</f>
        <v>6438.933</v>
      </c>
      <c r="E6085" s="608"/>
      <c r="F6085" s="760">
        <f t="shared" si="194"/>
        <v>2716.4743596027752</v>
      </c>
      <c r="M6085" s="443"/>
    </row>
    <row r="6086" spans="1:13">
      <c r="A6086" s="639">
        <v>91013</v>
      </c>
      <c r="B6086" s="639">
        <v>1100</v>
      </c>
      <c r="C6086" s="638">
        <v>6852.509</v>
      </c>
      <c r="D6086" s="633">
        <f t="shared" si="195"/>
        <v>6852.509</v>
      </c>
      <c r="E6086" s="608"/>
      <c r="F6086" s="760">
        <f t="shared" si="194"/>
        <v>2890.9549140280315</v>
      </c>
      <c r="M6086" s="443"/>
    </row>
    <row r="6087" spans="1:13">
      <c r="A6087" s="639">
        <v>91013</v>
      </c>
      <c r="B6087" s="639">
        <v>1200</v>
      </c>
      <c r="C6087" s="638">
        <v>7256.4830000000002</v>
      </c>
      <c r="D6087" s="633">
        <f t="shared" si="195"/>
        <v>7256.4830000000002</v>
      </c>
      <c r="E6087" s="608"/>
      <c r="F6087" s="760">
        <f t="shared" si="194"/>
        <v>3061.3845508865252</v>
      </c>
      <c r="M6087" s="443"/>
    </row>
    <row r="6088" spans="1:13">
      <c r="A6088" s="639">
        <v>91013</v>
      </c>
      <c r="B6088" s="639">
        <v>1300</v>
      </c>
      <c r="C6088" s="638">
        <v>7688.74</v>
      </c>
      <c r="D6088" s="633">
        <f t="shared" si="195"/>
        <v>7688.74</v>
      </c>
      <c r="E6088" s="608"/>
      <c r="F6088" s="760">
        <f t="shared" si="194"/>
        <v>3243.7462957996677</v>
      </c>
      <c r="M6088" s="443"/>
    </row>
    <row r="6089" spans="1:13">
      <c r="A6089" s="639">
        <v>91013</v>
      </c>
      <c r="B6089" s="639">
        <v>1400</v>
      </c>
      <c r="C6089" s="638">
        <v>8155.6610000000001</v>
      </c>
      <c r="D6089" s="633">
        <f t="shared" si="195"/>
        <v>8155.6610000000001</v>
      </c>
      <c r="E6089" s="608"/>
      <c r="F6089" s="760">
        <f t="shared" si="194"/>
        <v>3440.7321821973192</v>
      </c>
      <c r="M6089" s="443"/>
    </row>
    <row r="6090" spans="1:13">
      <c r="A6090" s="639">
        <v>91013</v>
      </c>
      <c r="B6090" s="639">
        <v>1500</v>
      </c>
      <c r="C6090" s="638">
        <v>8875.1640000000007</v>
      </c>
      <c r="D6090" s="633">
        <f t="shared" si="195"/>
        <v>8875.1640000000007</v>
      </c>
      <c r="E6090" s="608"/>
      <c r="F6090" s="760">
        <f t="shared" si="194"/>
        <v>3744.2780416055898</v>
      </c>
      <c r="M6090" s="443"/>
    </row>
    <row r="6091" spans="1:13">
      <c r="A6091" s="639">
        <v>91013</v>
      </c>
      <c r="B6091" s="639">
        <v>1600</v>
      </c>
      <c r="C6091" s="638">
        <v>9549.9809999999998</v>
      </c>
      <c r="D6091" s="633">
        <f t="shared" si="195"/>
        <v>9549.9809999999998</v>
      </c>
      <c r="E6091" s="608"/>
      <c r="F6091" s="760">
        <f t="shared" si="194"/>
        <v>4028.9716512337791</v>
      </c>
      <c r="M6091" s="443"/>
    </row>
    <row r="6092" spans="1:13">
      <c r="A6092" s="639">
        <v>91013</v>
      </c>
      <c r="B6092" s="639">
        <v>1700</v>
      </c>
      <c r="C6092" s="638">
        <v>10309.111999999999</v>
      </c>
      <c r="D6092" s="633">
        <f t="shared" si="195"/>
        <v>10309.111999999999</v>
      </c>
      <c r="E6092" s="608"/>
      <c r="F6092" s="760">
        <f t="shared" si="194"/>
        <v>4349.2358777880254</v>
      </c>
      <c r="M6092" s="443"/>
    </row>
    <row r="6093" spans="1:13">
      <c r="A6093" s="639">
        <v>91013</v>
      </c>
      <c r="B6093" s="639">
        <v>1800</v>
      </c>
      <c r="C6093" s="638">
        <v>10457.295</v>
      </c>
      <c r="D6093" s="633">
        <f t="shared" si="195"/>
        <v>10457.295</v>
      </c>
      <c r="E6093" s="608"/>
      <c r="F6093" s="760">
        <f t="shared" si="194"/>
        <v>4411.7517200912489</v>
      </c>
      <c r="M6093" s="443"/>
    </row>
    <row r="6094" spans="1:13">
      <c r="A6094" s="639">
        <v>91013</v>
      </c>
      <c r="B6094" s="639">
        <v>1900</v>
      </c>
      <c r="C6094" s="638">
        <v>10411.589</v>
      </c>
      <c r="D6094" s="633">
        <f t="shared" si="195"/>
        <v>10411.589</v>
      </c>
      <c r="E6094" s="608"/>
      <c r="F6094" s="760">
        <f t="shared" si="194"/>
        <v>4392.4691499697692</v>
      </c>
      <c r="M6094" s="443"/>
    </row>
    <row r="6095" spans="1:13">
      <c r="A6095" s="639">
        <v>91013</v>
      </c>
      <c r="B6095" s="639">
        <v>2000</v>
      </c>
      <c r="C6095" s="638">
        <v>10790.314</v>
      </c>
      <c r="D6095" s="633">
        <f t="shared" si="195"/>
        <v>10790.314</v>
      </c>
      <c r="E6095" s="608"/>
      <c r="F6095" s="760">
        <f t="shared" si="194"/>
        <v>4552.2466708479278</v>
      </c>
      <c r="M6095" s="443"/>
    </row>
    <row r="6096" spans="1:13">
      <c r="A6096" s="639">
        <v>91013</v>
      </c>
      <c r="B6096" s="639">
        <v>2100</v>
      </c>
      <c r="C6096" s="638">
        <v>10276.282999999999</v>
      </c>
      <c r="D6096" s="633">
        <f t="shared" si="195"/>
        <v>10276.282999999999</v>
      </c>
      <c r="E6096" s="608"/>
      <c r="F6096" s="760">
        <f t="shared" si="194"/>
        <v>4335.3858910353447</v>
      </c>
      <c r="M6096" s="443"/>
    </row>
    <row r="6097" spans="1:13">
      <c r="A6097" s="639">
        <v>91013</v>
      </c>
      <c r="B6097" s="639">
        <v>2200</v>
      </c>
      <c r="C6097" s="638">
        <v>9174.5750000000007</v>
      </c>
      <c r="D6097" s="633">
        <f t="shared" si="195"/>
        <v>9174.5750000000007</v>
      </c>
      <c r="E6097" s="608"/>
      <c r="F6097" s="760">
        <f t="shared" si="194"/>
        <v>3870.5943589959134</v>
      </c>
      <c r="M6097" s="443"/>
    </row>
    <row r="6098" spans="1:13">
      <c r="A6098" s="639">
        <v>91013</v>
      </c>
      <c r="B6098" s="639">
        <v>2300</v>
      </c>
      <c r="C6098" s="638">
        <v>7919.3</v>
      </c>
      <c r="D6098" s="633">
        <f t="shared" si="195"/>
        <v>7919.3</v>
      </c>
      <c r="E6098" s="608"/>
      <c r="F6098" s="760">
        <f t="shared" si="194"/>
        <v>3341.0155682629802</v>
      </c>
      <c r="M6098" s="443"/>
    </row>
    <row r="6099" spans="1:13">
      <c r="A6099" s="639">
        <v>91013</v>
      </c>
      <c r="B6099" s="639">
        <v>2400</v>
      </c>
      <c r="C6099" s="638">
        <v>6964.884</v>
      </c>
      <c r="D6099" s="633">
        <f t="shared" si="195"/>
        <v>6964.884</v>
      </c>
      <c r="E6099" s="608"/>
      <c r="F6099" s="760">
        <f t="shared" si="194"/>
        <v>2938.3639810520804</v>
      </c>
      <c r="M6099" s="443"/>
    </row>
    <row r="6100" spans="1:13">
      <c r="A6100" s="639">
        <v>91113</v>
      </c>
      <c r="B6100" s="639">
        <v>100</v>
      </c>
      <c r="C6100" s="638">
        <v>6336.28</v>
      </c>
      <c r="D6100" s="633">
        <f t="shared" si="195"/>
        <v>6336.28</v>
      </c>
      <c r="E6100" s="608"/>
      <c r="F6100" s="760">
        <f t="shared" si="194"/>
        <v>2673.1668360680055</v>
      </c>
      <c r="M6100" s="443"/>
    </row>
    <row r="6101" spans="1:13">
      <c r="A6101" s="639">
        <v>91113</v>
      </c>
      <c r="B6101" s="639">
        <v>200</v>
      </c>
      <c r="C6101" s="638">
        <v>5948.0230000000001</v>
      </c>
      <c r="D6101" s="633">
        <f t="shared" si="195"/>
        <v>5948.0230000000001</v>
      </c>
      <c r="E6101" s="608"/>
      <c r="F6101" s="760">
        <f t="shared" si="194"/>
        <v>2509.3679294112203</v>
      </c>
      <c r="M6101" s="443"/>
    </row>
    <row r="6102" spans="1:13">
      <c r="A6102" s="639">
        <v>91113</v>
      </c>
      <c r="B6102" s="639">
        <v>300</v>
      </c>
      <c r="C6102" s="638">
        <v>5674.3280000000004</v>
      </c>
      <c r="D6102" s="633">
        <f t="shared" si="195"/>
        <v>5674.3280000000004</v>
      </c>
      <c r="E6102" s="608"/>
      <c r="F6102" s="760">
        <f t="shared" si="194"/>
        <v>2393.900747216363</v>
      </c>
      <c r="M6102" s="443"/>
    </row>
    <row r="6103" spans="1:13">
      <c r="A6103" s="639">
        <v>91113</v>
      </c>
      <c r="B6103" s="639">
        <v>400</v>
      </c>
      <c r="C6103" s="638">
        <v>5488.4350000000004</v>
      </c>
      <c r="D6103" s="633">
        <f t="shared" si="195"/>
        <v>5488.4350000000004</v>
      </c>
      <c r="E6103" s="608"/>
      <c r="F6103" s="760">
        <f t="shared" si="194"/>
        <v>2315.4757087620665</v>
      </c>
      <c r="M6103" s="443"/>
    </row>
    <row r="6104" spans="1:13">
      <c r="A6104" s="639">
        <v>91113</v>
      </c>
      <c r="B6104" s="639">
        <v>500</v>
      </c>
      <c r="C6104" s="638">
        <v>5728.3410000000003</v>
      </c>
      <c r="D6104" s="633">
        <f t="shared" si="195"/>
        <v>5728.3410000000003</v>
      </c>
      <c r="E6104" s="608"/>
      <c r="F6104" s="760">
        <f t="shared" si="194"/>
        <v>2416.6878968241049</v>
      </c>
      <c r="M6104" s="443"/>
    </row>
    <row r="6105" spans="1:13">
      <c r="A6105" s="639">
        <v>91113</v>
      </c>
      <c r="B6105" s="639">
        <v>600</v>
      </c>
      <c r="C6105" s="638">
        <v>6425.107</v>
      </c>
      <c r="D6105" s="633">
        <f t="shared" si="195"/>
        <v>6425.107</v>
      </c>
      <c r="E6105" s="608"/>
      <c r="F6105" s="760">
        <f t="shared" si="194"/>
        <v>2710.6414095634022</v>
      </c>
      <c r="M6105" s="443"/>
    </row>
    <row r="6106" spans="1:13">
      <c r="A6106" s="639">
        <v>91113</v>
      </c>
      <c r="B6106" s="639">
        <v>700</v>
      </c>
      <c r="C6106" s="638">
        <v>7036.68</v>
      </c>
      <c r="D6106" s="633">
        <f t="shared" si="195"/>
        <v>7036.68</v>
      </c>
      <c r="E6106" s="608"/>
      <c r="F6106" s="760">
        <f t="shared" si="194"/>
        <v>2968.6534704942042</v>
      </c>
      <c r="M6106" s="443"/>
    </row>
    <row r="6107" spans="1:13">
      <c r="A6107" s="639">
        <v>91113</v>
      </c>
      <c r="B6107" s="639">
        <v>800</v>
      </c>
      <c r="C6107" s="638">
        <v>7025.567</v>
      </c>
      <c r="D6107" s="633">
        <f t="shared" si="195"/>
        <v>7025.567</v>
      </c>
      <c r="E6107" s="608"/>
      <c r="F6107" s="760">
        <f t="shared" si="194"/>
        <v>2963.9650881864109</v>
      </c>
      <c r="M6107" s="443"/>
    </row>
    <row r="6108" spans="1:13">
      <c r="A6108" s="639">
        <v>91113</v>
      </c>
      <c r="B6108" s="639">
        <v>900</v>
      </c>
      <c r="C6108" s="638">
        <v>7418.0439999999999</v>
      </c>
      <c r="D6108" s="633">
        <f t="shared" si="195"/>
        <v>7418.0439999999999</v>
      </c>
      <c r="E6108" s="608"/>
      <c r="F6108" s="760">
        <f t="shared" si="194"/>
        <v>3129.5443397850559</v>
      </c>
      <c r="M6108" s="443"/>
    </row>
    <row r="6109" spans="1:13">
      <c r="A6109" s="639">
        <v>91113</v>
      </c>
      <c r="B6109" s="639">
        <v>1000</v>
      </c>
      <c r="C6109" s="638">
        <v>7963.6409999999996</v>
      </c>
      <c r="D6109" s="633">
        <f t="shared" si="195"/>
        <v>7963.6409999999996</v>
      </c>
      <c r="E6109" s="608"/>
      <c r="F6109" s="760">
        <f t="shared" si="194"/>
        <v>3359.7222685158245</v>
      </c>
      <c r="M6109" s="443"/>
    </row>
    <row r="6110" spans="1:13">
      <c r="A6110" s="639">
        <v>91113</v>
      </c>
      <c r="B6110" s="639">
        <v>1100</v>
      </c>
      <c r="C6110" s="638">
        <v>8525.7649999999994</v>
      </c>
      <c r="D6110" s="633">
        <f t="shared" si="195"/>
        <v>8525.7649999999994</v>
      </c>
      <c r="E6110" s="608"/>
      <c r="F6110" s="760">
        <f t="shared" si="194"/>
        <v>3596.8726524252934</v>
      </c>
      <c r="M6110" s="443"/>
    </row>
    <row r="6111" spans="1:13">
      <c r="A6111" s="639">
        <v>91113</v>
      </c>
      <c r="B6111" s="639">
        <v>1200</v>
      </c>
      <c r="C6111" s="638">
        <v>8750.4429999999993</v>
      </c>
      <c r="D6111" s="633">
        <f t="shared" si="195"/>
        <v>8750.4429999999993</v>
      </c>
      <c r="E6111" s="608"/>
      <c r="F6111" s="760">
        <f t="shared" si="194"/>
        <v>3691.6604109198815</v>
      </c>
      <c r="M6111" s="443"/>
    </row>
    <row r="6112" spans="1:13">
      <c r="A6112" s="639">
        <v>91113</v>
      </c>
      <c r="B6112" s="639">
        <v>1300</v>
      </c>
      <c r="C6112" s="638">
        <v>9199.6569999999992</v>
      </c>
      <c r="D6112" s="633">
        <f t="shared" si="195"/>
        <v>9199.6569999999992</v>
      </c>
      <c r="E6112" s="608"/>
      <c r="F6112" s="760">
        <f t="shared" si="194"/>
        <v>3881.1760205674118</v>
      </c>
      <c r="M6112" s="443"/>
    </row>
    <row r="6113" spans="1:13">
      <c r="A6113" s="639">
        <v>91113</v>
      </c>
      <c r="B6113" s="639">
        <v>1400</v>
      </c>
      <c r="C6113" s="638">
        <v>9494.125</v>
      </c>
      <c r="D6113" s="633">
        <f t="shared" si="195"/>
        <v>9494.125</v>
      </c>
      <c r="E6113" s="608"/>
      <c r="F6113" s="760">
        <f t="shared" si="194"/>
        <v>4005.4069718327082</v>
      </c>
      <c r="M6113" s="443"/>
    </row>
    <row r="6114" spans="1:13">
      <c r="A6114" s="639">
        <v>91113</v>
      </c>
      <c r="B6114" s="639">
        <v>1500</v>
      </c>
      <c r="C6114" s="638">
        <v>10008.137000000001</v>
      </c>
      <c r="D6114" s="633">
        <f t="shared" si="195"/>
        <v>10008.137000000001</v>
      </c>
      <c r="E6114" s="608"/>
      <c r="F6114" s="760">
        <f t="shared" si="194"/>
        <v>4222.2597358742269</v>
      </c>
      <c r="M6114" s="443"/>
    </row>
    <row r="6115" spans="1:13">
      <c r="A6115" s="639">
        <v>91113</v>
      </c>
      <c r="B6115" s="639">
        <v>1600</v>
      </c>
      <c r="C6115" s="638">
        <v>10112.986999999999</v>
      </c>
      <c r="D6115" s="633">
        <f t="shared" si="195"/>
        <v>10112.986999999999</v>
      </c>
      <c r="E6115" s="608"/>
      <c r="F6115" s="760">
        <f t="shared" si="194"/>
        <v>4266.4941356737509</v>
      </c>
      <c r="M6115" s="443"/>
    </row>
    <row r="6116" spans="1:13">
      <c r="A6116" s="639">
        <v>91113</v>
      </c>
      <c r="B6116" s="639">
        <v>1700</v>
      </c>
      <c r="C6116" s="638">
        <v>10088.477000000001</v>
      </c>
      <c r="D6116" s="633">
        <f t="shared" si="195"/>
        <v>10088.477000000001</v>
      </c>
      <c r="E6116" s="608"/>
      <c r="F6116" s="760">
        <f t="shared" ref="F6116:F6179" si="196">(D6116/(MAX($D$5860:$D$6579)))*$M$12</f>
        <v>4256.153790999585</v>
      </c>
      <c r="M6116" s="443"/>
    </row>
    <row r="6117" spans="1:13">
      <c r="A6117" s="639">
        <v>91113</v>
      </c>
      <c r="B6117" s="639">
        <v>1800</v>
      </c>
      <c r="C6117" s="638">
        <v>9912.0589999999993</v>
      </c>
      <c r="D6117" s="633">
        <f t="shared" si="195"/>
        <v>9912.0589999999993</v>
      </c>
      <c r="E6117" s="608"/>
      <c r="F6117" s="760">
        <f t="shared" si="196"/>
        <v>4181.7260910107188</v>
      </c>
      <c r="M6117" s="443"/>
    </row>
    <row r="6118" spans="1:13">
      <c r="A6118" s="639">
        <v>91113</v>
      </c>
      <c r="B6118" s="639">
        <v>1900</v>
      </c>
      <c r="C6118" s="638">
        <v>9804.0030000000006</v>
      </c>
      <c r="D6118" s="633">
        <f t="shared" si="195"/>
        <v>9804.0030000000006</v>
      </c>
      <c r="E6118" s="608"/>
      <c r="F6118" s="760">
        <f t="shared" si="196"/>
        <v>4136.1391353146073</v>
      </c>
      <c r="M6118" s="443"/>
    </row>
    <row r="6119" spans="1:13">
      <c r="A6119" s="639">
        <v>91113</v>
      </c>
      <c r="B6119" s="639">
        <v>2000</v>
      </c>
      <c r="C6119" s="638">
        <v>10030.843000000001</v>
      </c>
      <c r="D6119" s="633">
        <f t="shared" si="195"/>
        <v>10030.843000000001</v>
      </c>
      <c r="E6119" s="608"/>
      <c r="F6119" s="760">
        <f t="shared" si="196"/>
        <v>4231.8390041798821</v>
      </c>
      <c r="M6119" s="443"/>
    </row>
    <row r="6120" spans="1:13">
      <c r="A6120" s="639">
        <v>91113</v>
      </c>
      <c r="B6120" s="639">
        <v>2100</v>
      </c>
      <c r="C6120" s="638">
        <v>9454.4760000000006</v>
      </c>
      <c r="D6120" s="633">
        <f t="shared" si="195"/>
        <v>9454.4760000000006</v>
      </c>
      <c r="E6120" s="608"/>
      <c r="F6120" s="760">
        <f t="shared" si="196"/>
        <v>3988.6797451502925</v>
      </c>
      <c r="M6120" s="443"/>
    </row>
    <row r="6121" spans="1:13">
      <c r="A6121" s="639">
        <v>91113</v>
      </c>
      <c r="B6121" s="639">
        <v>2200</v>
      </c>
      <c r="C6121" s="638">
        <v>8215.3070000000007</v>
      </c>
      <c r="D6121" s="633">
        <f t="shared" si="195"/>
        <v>8215.3070000000007</v>
      </c>
      <c r="E6121" s="608"/>
      <c r="F6121" s="760">
        <f t="shared" si="196"/>
        <v>3465.8957969845624</v>
      </c>
      <c r="M6121" s="443"/>
    </row>
    <row r="6122" spans="1:13">
      <c r="A6122" s="639">
        <v>91113</v>
      </c>
      <c r="B6122" s="639">
        <v>2300</v>
      </c>
      <c r="C6122" s="638">
        <v>6968.4979999999996</v>
      </c>
      <c r="D6122" s="633">
        <f t="shared" si="195"/>
        <v>6968.4979999999996</v>
      </c>
      <c r="E6122" s="608"/>
      <c r="F6122" s="760">
        <f t="shared" si="196"/>
        <v>2939.8886650852273</v>
      </c>
      <c r="M6122" s="443"/>
    </row>
    <row r="6123" spans="1:13">
      <c r="A6123" s="639">
        <v>91113</v>
      </c>
      <c r="B6123" s="639">
        <v>2400</v>
      </c>
      <c r="C6123" s="638">
        <v>5997.4470000000001</v>
      </c>
      <c r="D6123" s="633">
        <f t="shared" si="195"/>
        <v>5997.4470000000001</v>
      </c>
      <c r="E6123" s="608"/>
      <c r="F6123" s="760">
        <f t="shared" si="196"/>
        <v>2530.2190593653613</v>
      </c>
      <c r="M6123" s="443"/>
    </row>
    <row r="6124" spans="1:13">
      <c r="A6124" s="639">
        <v>91213</v>
      </c>
      <c r="B6124" s="639">
        <v>100</v>
      </c>
      <c r="C6124" s="638">
        <v>5432.6149999999998</v>
      </c>
      <c r="D6124" s="633">
        <f t="shared" si="195"/>
        <v>5432.6149999999998</v>
      </c>
      <c r="E6124" s="608"/>
      <c r="F6124" s="760">
        <f t="shared" si="196"/>
        <v>2291.9262171377509</v>
      </c>
      <c r="M6124" s="443"/>
    </row>
    <row r="6125" spans="1:13">
      <c r="A6125" s="639">
        <v>91213</v>
      </c>
      <c r="B6125" s="639">
        <v>200</v>
      </c>
      <c r="C6125" s="638">
        <v>5164.7700000000004</v>
      </c>
      <c r="D6125" s="633">
        <f t="shared" si="195"/>
        <v>5164.7700000000004</v>
      </c>
      <c r="E6125" s="608"/>
      <c r="F6125" s="760">
        <f t="shared" si="196"/>
        <v>2178.9270486656137</v>
      </c>
      <c r="M6125" s="443"/>
    </row>
    <row r="6126" spans="1:13">
      <c r="A6126" s="639">
        <v>91213</v>
      </c>
      <c r="B6126" s="639">
        <v>300</v>
      </c>
      <c r="C6126" s="638">
        <v>4911.1289999999999</v>
      </c>
      <c r="D6126" s="633">
        <f t="shared" si="195"/>
        <v>4911.1289999999999</v>
      </c>
      <c r="E6126" s="608"/>
      <c r="F6126" s="760">
        <f t="shared" si="196"/>
        <v>2071.9203018887783</v>
      </c>
      <c r="M6126" s="443"/>
    </row>
    <row r="6127" spans="1:13">
      <c r="A6127" s="639">
        <v>91213</v>
      </c>
      <c r="B6127" s="639">
        <v>400</v>
      </c>
      <c r="C6127" s="638">
        <v>4810.5200000000004</v>
      </c>
      <c r="D6127" s="633">
        <f t="shared" si="195"/>
        <v>4810.5200000000004</v>
      </c>
      <c r="E6127" s="608"/>
      <c r="F6127" s="760">
        <f t="shared" si="196"/>
        <v>2029.4751065675546</v>
      </c>
      <c r="M6127" s="443"/>
    </row>
    <row r="6128" spans="1:13">
      <c r="A6128" s="639">
        <v>91213</v>
      </c>
      <c r="B6128" s="639">
        <v>500</v>
      </c>
      <c r="C6128" s="638">
        <v>5092.4880000000003</v>
      </c>
      <c r="D6128" s="633">
        <f t="shared" si="195"/>
        <v>5092.4880000000003</v>
      </c>
      <c r="E6128" s="608"/>
      <c r="F6128" s="760">
        <f t="shared" si="196"/>
        <v>2148.4325242372947</v>
      </c>
      <c r="M6128" s="443"/>
    </row>
    <row r="6129" spans="1:13">
      <c r="A6129" s="639">
        <v>91213</v>
      </c>
      <c r="B6129" s="639">
        <v>600</v>
      </c>
      <c r="C6129" s="638">
        <v>5880.4989999999998</v>
      </c>
      <c r="D6129" s="633">
        <f t="shared" si="195"/>
        <v>5880.4989999999998</v>
      </c>
      <c r="E6129" s="608"/>
      <c r="F6129" s="760">
        <f t="shared" si="196"/>
        <v>2480.8807228107139</v>
      </c>
      <c r="M6129" s="443"/>
    </row>
    <row r="6130" spans="1:13">
      <c r="A6130" s="639">
        <v>91213</v>
      </c>
      <c r="B6130" s="639">
        <v>700</v>
      </c>
      <c r="C6130" s="638">
        <v>6328.4949999999999</v>
      </c>
      <c r="D6130" s="633">
        <f t="shared" si="195"/>
        <v>6328.4949999999999</v>
      </c>
      <c r="E6130" s="608"/>
      <c r="F6130" s="760">
        <f t="shared" si="196"/>
        <v>2669.8824793446929</v>
      </c>
      <c r="M6130" s="443"/>
    </row>
    <row r="6131" spans="1:13">
      <c r="A6131" s="639">
        <v>91213</v>
      </c>
      <c r="B6131" s="639">
        <v>800</v>
      </c>
      <c r="C6131" s="638">
        <v>6502.5029999999997</v>
      </c>
      <c r="D6131" s="633">
        <f t="shared" si="195"/>
        <v>6502.5029999999997</v>
      </c>
      <c r="E6131" s="608"/>
      <c r="F6131" s="760">
        <f t="shared" si="196"/>
        <v>2743.2934420563352</v>
      </c>
      <c r="M6131" s="443"/>
    </row>
    <row r="6132" spans="1:13">
      <c r="A6132" s="639">
        <v>91213</v>
      </c>
      <c r="B6132" s="639">
        <v>900</v>
      </c>
      <c r="C6132" s="638">
        <v>6796.7250000000004</v>
      </c>
      <c r="D6132" s="633">
        <f t="shared" si="195"/>
        <v>6796.7250000000004</v>
      </c>
      <c r="E6132" s="608"/>
      <c r="F6132" s="760">
        <f t="shared" si="196"/>
        <v>2867.4206101804716</v>
      </c>
      <c r="M6132" s="443"/>
    </row>
    <row r="6133" spans="1:13">
      <c r="A6133" s="639">
        <v>91213</v>
      </c>
      <c r="B6133" s="639">
        <v>1000</v>
      </c>
      <c r="C6133" s="638">
        <v>7018.8909999999996</v>
      </c>
      <c r="D6133" s="633">
        <f t="shared" si="195"/>
        <v>7018.8909999999996</v>
      </c>
      <c r="E6133" s="608"/>
      <c r="F6133" s="760">
        <f t="shared" si="196"/>
        <v>2961.1485993636961</v>
      </c>
      <c r="M6133" s="443"/>
    </row>
    <row r="6134" spans="1:13">
      <c r="A6134" s="639">
        <v>91213</v>
      </c>
      <c r="B6134" s="639">
        <v>1100</v>
      </c>
      <c r="C6134" s="638">
        <v>6735.0690000000004</v>
      </c>
      <c r="D6134" s="633">
        <f t="shared" si="195"/>
        <v>6735.0690000000004</v>
      </c>
      <c r="E6134" s="608"/>
      <c r="F6134" s="760">
        <f t="shared" si="196"/>
        <v>2841.4090111910627</v>
      </c>
      <c r="M6134" s="443"/>
    </row>
    <row r="6135" spans="1:13">
      <c r="A6135" s="639">
        <v>91213</v>
      </c>
      <c r="B6135" s="639">
        <v>1200</v>
      </c>
      <c r="C6135" s="638">
        <v>6564.1840000000002</v>
      </c>
      <c r="D6135" s="633">
        <f t="shared" si="195"/>
        <v>6564.1840000000002</v>
      </c>
      <c r="E6135" s="608"/>
      <c r="F6135" s="760">
        <f t="shared" si="196"/>
        <v>2769.3155881129351</v>
      </c>
      <c r="M6135" s="443"/>
    </row>
    <row r="6136" spans="1:13">
      <c r="A6136" s="639">
        <v>91213</v>
      </c>
      <c r="B6136" s="639">
        <v>1300</v>
      </c>
      <c r="C6136" s="638">
        <v>6521.3739999999998</v>
      </c>
      <c r="D6136" s="633">
        <f t="shared" si="195"/>
        <v>6521.3739999999998</v>
      </c>
      <c r="E6136" s="608"/>
      <c r="F6136" s="760">
        <f t="shared" si="196"/>
        <v>2751.254790254874</v>
      </c>
      <c r="M6136" s="443"/>
    </row>
    <row r="6137" spans="1:13">
      <c r="A6137" s="639">
        <v>91213</v>
      </c>
      <c r="B6137" s="639">
        <v>1400</v>
      </c>
      <c r="C6137" s="638">
        <v>6486.3239999999996</v>
      </c>
      <c r="D6137" s="633">
        <f t="shared" si="195"/>
        <v>6486.3239999999996</v>
      </c>
      <c r="E6137" s="608"/>
      <c r="F6137" s="760">
        <f t="shared" si="196"/>
        <v>2736.467802052935</v>
      </c>
      <c r="M6137" s="443"/>
    </row>
    <row r="6138" spans="1:13">
      <c r="A6138" s="639">
        <v>91213</v>
      </c>
      <c r="B6138" s="639">
        <v>1500</v>
      </c>
      <c r="C6138" s="638">
        <v>6717.0540000000001</v>
      </c>
      <c r="D6138" s="633">
        <f t="shared" si="195"/>
        <v>6717.0540000000001</v>
      </c>
      <c r="E6138" s="608"/>
      <c r="F6138" s="760">
        <f t="shared" si="196"/>
        <v>2833.8087945731477</v>
      </c>
      <c r="M6138" s="443"/>
    </row>
    <row r="6139" spans="1:13">
      <c r="A6139" s="639">
        <v>91213</v>
      </c>
      <c r="B6139" s="639">
        <v>1600</v>
      </c>
      <c r="C6139" s="638">
        <v>6982.3360000000002</v>
      </c>
      <c r="D6139" s="633">
        <f t="shared" si="195"/>
        <v>6982.3360000000002</v>
      </c>
      <c r="E6139" s="608"/>
      <c r="F6139" s="760">
        <f t="shared" si="196"/>
        <v>2945.7266777168525</v>
      </c>
      <c r="M6139" s="443"/>
    </row>
    <row r="6140" spans="1:13">
      <c r="A6140" s="639">
        <v>91213</v>
      </c>
      <c r="B6140" s="639">
        <v>1700</v>
      </c>
      <c r="C6140" s="638">
        <v>7418.31</v>
      </c>
      <c r="D6140" s="633">
        <f t="shared" si="195"/>
        <v>7418.31</v>
      </c>
      <c r="E6140" s="608"/>
      <c r="F6140" s="760">
        <f t="shared" si="196"/>
        <v>3129.6565605799692</v>
      </c>
      <c r="M6140" s="443"/>
    </row>
    <row r="6141" spans="1:13">
      <c r="A6141" s="639">
        <v>91213</v>
      </c>
      <c r="B6141" s="639">
        <v>1800</v>
      </c>
      <c r="C6141" s="638">
        <v>7236.6760000000004</v>
      </c>
      <c r="D6141" s="633">
        <f t="shared" si="195"/>
        <v>7236.6760000000004</v>
      </c>
      <c r="E6141" s="608"/>
      <c r="F6141" s="760">
        <f t="shared" si="196"/>
        <v>3053.0283204923508</v>
      </c>
      <c r="M6141" s="443"/>
    </row>
    <row r="6142" spans="1:13">
      <c r="A6142" s="639">
        <v>91213</v>
      </c>
      <c r="B6142" s="639">
        <v>1900</v>
      </c>
      <c r="C6142" s="638">
        <v>7163.1170000000002</v>
      </c>
      <c r="D6142" s="633">
        <f t="shared" si="195"/>
        <v>7163.1170000000002</v>
      </c>
      <c r="E6142" s="608"/>
      <c r="F6142" s="760">
        <f t="shared" si="196"/>
        <v>3021.9950518719097</v>
      </c>
      <c r="M6142" s="443"/>
    </row>
    <row r="6143" spans="1:13">
      <c r="A6143" s="639">
        <v>91213</v>
      </c>
      <c r="B6143" s="639">
        <v>2000</v>
      </c>
      <c r="C6143" s="638">
        <v>7560.4080000000004</v>
      </c>
      <c r="D6143" s="633">
        <f t="shared" si="195"/>
        <v>7560.4080000000004</v>
      </c>
      <c r="E6143" s="608"/>
      <c r="F6143" s="760">
        <f t="shared" si="196"/>
        <v>3189.6052467288755</v>
      </c>
      <c r="M6143" s="443"/>
    </row>
    <row r="6144" spans="1:13">
      <c r="A6144" s="639">
        <v>91213</v>
      </c>
      <c r="B6144" s="639">
        <v>2100</v>
      </c>
      <c r="C6144" s="638">
        <v>7024.9930000000004</v>
      </c>
      <c r="D6144" s="633">
        <f t="shared" si="195"/>
        <v>7024.9930000000004</v>
      </c>
      <c r="E6144" s="608"/>
      <c r="F6144" s="760">
        <f t="shared" si="196"/>
        <v>2963.7229275237028</v>
      </c>
      <c r="M6144" s="443"/>
    </row>
    <row r="6145" spans="1:13">
      <c r="A6145" s="639">
        <v>91213</v>
      </c>
      <c r="B6145" s="639">
        <v>2200</v>
      </c>
      <c r="C6145" s="638">
        <v>6210.7560000000003</v>
      </c>
      <c r="D6145" s="633">
        <f t="shared" si="195"/>
        <v>6210.7560000000003</v>
      </c>
      <c r="E6145" s="608"/>
      <c r="F6145" s="760">
        <f t="shared" si="196"/>
        <v>2620.2104335841191</v>
      </c>
      <c r="M6145" s="443"/>
    </row>
    <row r="6146" spans="1:13">
      <c r="A6146" s="639">
        <v>91213</v>
      </c>
      <c r="B6146" s="639">
        <v>2300</v>
      </c>
      <c r="C6146" s="638">
        <v>5264.4219999999996</v>
      </c>
      <c r="D6146" s="633">
        <f t="shared" si="195"/>
        <v>5264.4219999999996</v>
      </c>
      <c r="E6146" s="608"/>
      <c r="F6146" s="760">
        <f t="shared" si="196"/>
        <v>2220.9685022547615</v>
      </c>
      <c r="M6146" s="443"/>
    </row>
    <row r="6147" spans="1:13">
      <c r="A6147" s="639">
        <v>91213</v>
      </c>
      <c r="B6147" s="639">
        <v>2400</v>
      </c>
      <c r="C6147" s="638">
        <v>4607.866</v>
      </c>
      <c r="D6147" s="633">
        <f t="shared" si="195"/>
        <v>4607.866</v>
      </c>
      <c r="E6147" s="608"/>
      <c r="F6147" s="760">
        <f t="shared" si="196"/>
        <v>1943.9788923856486</v>
      </c>
      <c r="M6147" s="443"/>
    </row>
    <row r="6148" spans="1:13">
      <c r="A6148" s="639">
        <v>91313</v>
      </c>
      <c r="B6148" s="639">
        <v>100</v>
      </c>
      <c r="C6148" s="638">
        <v>4289.6360000000004</v>
      </c>
      <c r="D6148" s="633">
        <f t="shared" si="195"/>
        <v>4289.6360000000004</v>
      </c>
      <c r="E6148" s="608"/>
      <c r="F6148" s="760">
        <f t="shared" si="196"/>
        <v>1809.723164696544</v>
      </c>
      <c r="M6148" s="443"/>
    </row>
    <row r="6149" spans="1:13">
      <c r="A6149" s="639">
        <v>91313</v>
      </c>
      <c r="B6149" s="639">
        <v>200</v>
      </c>
      <c r="C6149" s="638">
        <v>4133.8710000000001</v>
      </c>
      <c r="D6149" s="633">
        <f t="shared" ref="D6149:D6212" si="197">C6149</f>
        <v>4133.8710000000001</v>
      </c>
      <c r="E6149" s="608"/>
      <c r="F6149" s="760">
        <f t="shared" si="196"/>
        <v>1744.0086078556003</v>
      </c>
      <c r="M6149" s="443"/>
    </row>
    <row r="6150" spans="1:13">
      <c r="A6150" s="639">
        <v>91313</v>
      </c>
      <c r="B6150" s="639">
        <v>300</v>
      </c>
      <c r="C6150" s="638">
        <v>4256.5429999999997</v>
      </c>
      <c r="D6150" s="633">
        <f t="shared" si="197"/>
        <v>4256.5429999999997</v>
      </c>
      <c r="E6150" s="608"/>
      <c r="F6150" s="760">
        <f t="shared" si="196"/>
        <v>1795.7618009143246</v>
      </c>
      <c r="M6150" s="443"/>
    </row>
    <row r="6151" spans="1:13">
      <c r="A6151" s="639">
        <v>91313</v>
      </c>
      <c r="B6151" s="639">
        <v>400</v>
      </c>
      <c r="C6151" s="638">
        <v>4239.6440000000002</v>
      </c>
      <c r="D6151" s="633">
        <f t="shared" si="197"/>
        <v>4239.6440000000002</v>
      </c>
      <c r="E6151" s="608"/>
      <c r="F6151" s="760">
        <f t="shared" si="196"/>
        <v>1788.6324053758206</v>
      </c>
      <c r="M6151" s="443"/>
    </row>
    <row r="6152" spans="1:13">
      <c r="A6152" s="639">
        <v>91313</v>
      </c>
      <c r="B6152" s="639">
        <v>500</v>
      </c>
      <c r="C6152" s="638">
        <v>4584.7250000000004</v>
      </c>
      <c r="D6152" s="633">
        <f t="shared" si="197"/>
        <v>4584.7250000000004</v>
      </c>
      <c r="E6152" s="608"/>
      <c r="F6152" s="760">
        <f t="shared" si="196"/>
        <v>1934.2161051108676</v>
      </c>
      <c r="M6152" s="443"/>
    </row>
    <row r="6153" spans="1:13">
      <c r="A6153" s="639">
        <v>91313</v>
      </c>
      <c r="B6153" s="639">
        <v>600</v>
      </c>
      <c r="C6153" s="638">
        <v>5440.1040000000003</v>
      </c>
      <c r="D6153" s="633">
        <f t="shared" si="197"/>
        <v>5440.1040000000003</v>
      </c>
      <c r="E6153" s="608"/>
      <c r="F6153" s="760">
        <f t="shared" si="196"/>
        <v>2295.085696585521</v>
      </c>
      <c r="M6153" s="443"/>
    </row>
    <row r="6154" spans="1:13">
      <c r="A6154" s="639">
        <v>91313</v>
      </c>
      <c r="B6154" s="639">
        <v>700</v>
      </c>
      <c r="C6154" s="638">
        <v>5967.2389999999996</v>
      </c>
      <c r="D6154" s="633">
        <f t="shared" si="197"/>
        <v>5967.2389999999996</v>
      </c>
      <c r="E6154" s="608"/>
      <c r="F6154" s="760">
        <f t="shared" si="196"/>
        <v>2517.4748271369967</v>
      </c>
      <c r="M6154" s="443"/>
    </row>
    <row r="6155" spans="1:13">
      <c r="A6155" s="639">
        <v>91313</v>
      </c>
      <c r="B6155" s="639">
        <v>800</v>
      </c>
      <c r="C6155" s="638">
        <v>6114.2439999999997</v>
      </c>
      <c r="D6155" s="633">
        <f t="shared" si="197"/>
        <v>6114.2439999999997</v>
      </c>
      <c r="E6155" s="608"/>
      <c r="F6155" s="760">
        <f t="shared" si="196"/>
        <v>2579.4936916341744</v>
      </c>
      <c r="M6155" s="443"/>
    </row>
    <row r="6156" spans="1:13">
      <c r="A6156" s="639">
        <v>91313</v>
      </c>
      <c r="B6156" s="639">
        <v>900</v>
      </c>
      <c r="C6156" s="638">
        <v>5858.0370000000003</v>
      </c>
      <c r="D6156" s="633">
        <f t="shared" si="197"/>
        <v>5858.0370000000003</v>
      </c>
      <c r="E6156" s="608"/>
      <c r="F6156" s="760">
        <f t="shared" si="196"/>
        <v>2471.4043938808436</v>
      </c>
      <c r="M6156" s="443"/>
    </row>
    <row r="6157" spans="1:13">
      <c r="A6157" s="639">
        <v>91313</v>
      </c>
      <c r="B6157" s="639">
        <v>1000</v>
      </c>
      <c r="C6157" s="638">
        <v>5719.5950000000003</v>
      </c>
      <c r="D6157" s="633">
        <f t="shared" si="197"/>
        <v>5719.5950000000003</v>
      </c>
      <c r="E6157" s="608"/>
      <c r="F6157" s="760">
        <f t="shared" si="196"/>
        <v>2412.9981108379657</v>
      </c>
      <c r="M6157" s="443"/>
    </row>
    <row r="6158" spans="1:13">
      <c r="A6158" s="639">
        <v>91313</v>
      </c>
      <c r="B6158" s="639">
        <v>1100</v>
      </c>
      <c r="C6158" s="638">
        <v>5620.38</v>
      </c>
      <c r="D6158" s="633">
        <f t="shared" si="197"/>
        <v>5620.38</v>
      </c>
      <c r="E6158" s="608"/>
      <c r="F6158" s="760">
        <f t="shared" si="196"/>
        <v>2371.1410199833181</v>
      </c>
      <c r="M6158" s="443"/>
    </row>
    <row r="6159" spans="1:13">
      <c r="A6159" s="639">
        <v>91313</v>
      </c>
      <c r="B6159" s="639">
        <v>1200</v>
      </c>
      <c r="C6159" s="638">
        <v>5507.3130000000001</v>
      </c>
      <c r="D6159" s="633">
        <f t="shared" si="197"/>
        <v>5507.3130000000001</v>
      </c>
      <c r="E6159" s="608"/>
      <c r="F6159" s="760">
        <f t="shared" si="196"/>
        <v>2323.440010139419</v>
      </c>
      <c r="M6159" s="443"/>
    </row>
    <row r="6160" spans="1:13">
      <c r="A6160" s="639">
        <v>91313</v>
      </c>
      <c r="B6160" s="639">
        <v>1300</v>
      </c>
      <c r="C6160" s="638">
        <v>5357.607</v>
      </c>
      <c r="D6160" s="633">
        <f t="shared" si="197"/>
        <v>5357.607</v>
      </c>
      <c r="E6160" s="608"/>
      <c r="F6160" s="760">
        <f t="shared" si="196"/>
        <v>2260.2816405029134</v>
      </c>
      <c r="M6160" s="443"/>
    </row>
    <row r="6161" spans="1:13">
      <c r="A6161" s="639">
        <v>91313</v>
      </c>
      <c r="B6161" s="639">
        <v>1400</v>
      </c>
      <c r="C6161" s="638">
        <v>5428.7539999999999</v>
      </c>
      <c r="D6161" s="633">
        <f t="shared" si="197"/>
        <v>5428.7539999999999</v>
      </c>
      <c r="E6161" s="608"/>
      <c r="F6161" s="760">
        <f t="shared" si="196"/>
        <v>2290.2973280807555</v>
      </c>
      <c r="M6161" s="443"/>
    </row>
    <row r="6162" spans="1:13">
      <c r="A6162" s="639">
        <v>91313</v>
      </c>
      <c r="B6162" s="639">
        <v>1500</v>
      </c>
      <c r="C6162" s="638">
        <v>5454.1790000000001</v>
      </c>
      <c r="D6162" s="633">
        <f t="shared" si="197"/>
        <v>5454.1790000000001</v>
      </c>
      <c r="E6162" s="608"/>
      <c r="F6162" s="760">
        <f t="shared" si="196"/>
        <v>2301.0236954141164</v>
      </c>
      <c r="M6162" s="443"/>
    </row>
    <row r="6163" spans="1:13">
      <c r="A6163" s="639">
        <v>91313</v>
      </c>
      <c r="B6163" s="639">
        <v>1600</v>
      </c>
      <c r="C6163" s="638">
        <v>5663.7640000000001</v>
      </c>
      <c r="D6163" s="633">
        <f t="shared" si="197"/>
        <v>5663.7640000000001</v>
      </c>
      <c r="E6163" s="608"/>
      <c r="F6163" s="760">
        <f t="shared" si="196"/>
        <v>2389.4439785040863</v>
      </c>
      <c r="M6163" s="443"/>
    </row>
    <row r="6164" spans="1:13">
      <c r="A6164" s="639">
        <v>91313</v>
      </c>
      <c r="B6164" s="639">
        <v>1700</v>
      </c>
      <c r="C6164" s="638">
        <v>6037.2120000000004</v>
      </c>
      <c r="D6164" s="633">
        <f t="shared" si="197"/>
        <v>6037.2120000000004</v>
      </c>
      <c r="E6164" s="608"/>
      <c r="F6164" s="760">
        <f t="shared" si="196"/>
        <v>2546.9952244395449</v>
      </c>
      <c r="M6164" s="443"/>
    </row>
    <row r="6165" spans="1:13">
      <c r="A6165" s="639">
        <v>91313</v>
      </c>
      <c r="B6165" s="639">
        <v>1800</v>
      </c>
      <c r="C6165" s="638">
        <v>6182.643</v>
      </c>
      <c r="D6165" s="633">
        <f t="shared" si="197"/>
        <v>6182.643</v>
      </c>
      <c r="E6165" s="608"/>
      <c r="F6165" s="760">
        <f t="shared" si="196"/>
        <v>2608.3500455863696</v>
      </c>
      <c r="M6165" s="443"/>
    </row>
    <row r="6166" spans="1:13">
      <c r="A6166" s="639">
        <v>91313</v>
      </c>
      <c r="B6166" s="639">
        <v>1900</v>
      </c>
      <c r="C6166" s="638">
        <v>6553.3950000000004</v>
      </c>
      <c r="D6166" s="633">
        <f t="shared" si="197"/>
        <v>6553.3950000000004</v>
      </c>
      <c r="E6166" s="608"/>
      <c r="F6166" s="760">
        <f t="shared" si="196"/>
        <v>2764.7638957959384</v>
      </c>
      <c r="M6166" s="443"/>
    </row>
    <row r="6167" spans="1:13">
      <c r="A6167" s="639">
        <v>91313</v>
      </c>
      <c r="B6167" s="639">
        <v>2000</v>
      </c>
      <c r="C6167" s="638">
        <v>6907.799</v>
      </c>
      <c r="D6167" s="633">
        <f t="shared" si="197"/>
        <v>6907.799</v>
      </c>
      <c r="E6167" s="608"/>
      <c r="F6167" s="760">
        <f t="shared" si="196"/>
        <v>2914.2808078278949</v>
      </c>
      <c r="M6167" s="443"/>
    </row>
    <row r="6168" spans="1:13">
      <c r="A6168" s="639">
        <v>91313</v>
      </c>
      <c r="B6168" s="639">
        <v>2100</v>
      </c>
      <c r="C6168" s="638">
        <v>6619.7169999999996</v>
      </c>
      <c r="D6168" s="633">
        <f t="shared" si="197"/>
        <v>6619.7169999999996</v>
      </c>
      <c r="E6168" s="608"/>
      <c r="F6168" s="760">
        <f t="shared" si="196"/>
        <v>2792.7439994058955</v>
      </c>
      <c r="M6168" s="443"/>
    </row>
    <row r="6169" spans="1:13">
      <c r="A6169" s="639">
        <v>91313</v>
      </c>
      <c r="B6169" s="639">
        <v>2200</v>
      </c>
      <c r="C6169" s="638">
        <v>6070.1559999999999</v>
      </c>
      <c r="D6169" s="633">
        <f t="shared" si="197"/>
        <v>6070.1559999999999</v>
      </c>
      <c r="E6169" s="608"/>
      <c r="F6169" s="760">
        <f t="shared" si="196"/>
        <v>2560.8937277013042</v>
      </c>
      <c r="M6169" s="443"/>
    </row>
    <row r="6170" spans="1:13">
      <c r="A6170" s="639">
        <v>91313</v>
      </c>
      <c r="B6170" s="639">
        <v>2300</v>
      </c>
      <c r="C6170" s="638">
        <v>5346.0619999999999</v>
      </c>
      <c r="D6170" s="633">
        <f t="shared" si="197"/>
        <v>5346.0619999999999</v>
      </c>
      <c r="E6170" s="608"/>
      <c r="F6170" s="760">
        <f t="shared" si="196"/>
        <v>2255.4110048740577</v>
      </c>
      <c r="M6170" s="443"/>
    </row>
    <row r="6171" spans="1:13">
      <c r="A6171" s="639">
        <v>91313</v>
      </c>
      <c r="B6171" s="639">
        <v>2400</v>
      </c>
      <c r="C6171" s="638">
        <v>4680.9459999999999</v>
      </c>
      <c r="D6171" s="633">
        <f t="shared" si="197"/>
        <v>4680.9459999999999</v>
      </c>
      <c r="E6171" s="608"/>
      <c r="F6171" s="760">
        <f t="shared" si="196"/>
        <v>1974.8100791987076</v>
      </c>
      <c r="M6171" s="443"/>
    </row>
    <row r="6172" spans="1:13">
      <c r="A6172" s="639">
        <v>91413</v>
      </c>
      <c r="B6172" s="639">
        <v>100</v>
      </c>
      <c r="C6172" s="638">
        <v>4430.5870000000004</v>
      </c>
      <c r="D6172" s="633">
        <f t="shared" si="197"/>
        <v>4430.5870000000004</v>
      </c>
      <c r="E6172" s="608"/>
      <c r="F6172" s="760">
        <f t="shared" si="196"/>
        <v>1869.1879514027219</v>
      </c>
      <c r="M6172" s="443"/>
    </row>
    <row r="6173" spans="1:13">
      <c r="A6173" s="639">
        <v>91413</v>
      </c>
      <c r="B6173" s="639">
        <v>200</v>
      </c>
      <c r="C6173" s="638">
        <v>4305.8689999999997</v>
      </c>
      <c r="D6173" s="633">
        <f t="shared" si="197"/>
        <v>4305.8689999999997</v>
      </c>
      <c r="E6173" s="608"/>
      <c r="F6173" s="760">
        <f t="shared" si="196"/>
        <v>1816.5715863650764</v>
      </c>
      <c r="M6173" s="443"/>
    </row>
    <row r="6174" spans="1:13">
      <c r="A6174" s="639">
        <v>91413</v>
      </c>
      <c r="B6174" s="639">
        <v>300</v>
      </c>
      <c r="C6174" s="638">
        <v>4481.2550000000001</v>
      </c>
      <c r="D6174" s="633">
        <f t="shared" si="197"/>
        <v>4481.2550000000001</v>
      </c>
      <c r="E6174" s="608"/>
      <c r="F6174" s="760">
        <f t="shared" si="196"/>
        <v>1890.5639034202925</v>
      </c>
      <c r="M6174" s="443"/>
    </row>
    <row r="6175" spans="1:13">
      <c r="A6175" s="639">
        <v>91413</v>
      </c>
      <c r="B6175" s="639">
        <v>400</v>
      </c>
      <c r="C6175" s="638">
        <v>4422.4440000000004</v>
      </c>
      <c r="D6175" s="633">
        <f t="shared" si="197"/>
        <v>4422.4440000000004</v>
      </c>
      <c r="E6175" s="608"/>
      <c r="F6175" s="760">
        <f t="shared" si="196"/>
        <v>1865.7525606772329</v>
      </c>
      <c r="M6175" s="443"/>
    </row>
    <row r="6176" spans="1:13">
      <c r="A6176" s="639">
        <v>91413</v>
      </c>
      <c r="B6176" s="639">
        <v>500</v>
      </c>
      <c r="C6176" s="638">
        <v>4530.7160000000003</v>
      </c>
      <c r="D6176" s="633">
        <f t="shared" si="197"/>
        <v>4530.7160000000003</v>
      </c>
      <c r="E6176" s="608"/>
      <c r="F6176" s="760">
        <f t="shared" si="196"/>
        <v>1911.4306430338765</v>
      </c>
      <c r="M6176" s="443"/>
    </row>
    <row r="6177" spans="1:13">
      <c r="A6177" s="639">
        <v>91413</v>
      </c>
      <c r="B6177" s="639">
        <v>600</v>
      </c>
      <c r="C6177" s="638">
        <v>4947.415</v>
      </c>
      <c r="D6177" s="633">
        <f t="shared" si="197"/>
        <v>4947.415</v>
      </c>
      <c r="E6177" s="608"/>
      <c r="F6177" s="760">
        <f t="shared" si="196"/>
        <v>2087.228737092646</v>
      </c>
      <c r="M6177" s="443"/>
    </row>
    <row r="6178" spans="1:13">
      <c r="A6178" s="639">
        <v>91413</v>
      </c>
      <c r="B6178" s="639">
        <v>700</v>
      </c>
      <c r="C6178" s="638">
        <v>5260.0169999999998</v>
      </c>
      <c r="D6178" s="633">
        <f t="shared" si="197"/>
        <v>5260.0169999999998</v>
      </c>
      <c r="E6178" s="608"/>
      <c r="F6178" s="760">
        <f t="shared" si="196"/>
        <v>2219.1101090156881</v>
      </c>
      <c r="M6178" s="443"/>
    </row>
    <row r="6179" spans="1:13">
      <c r="A6179" s="639">
        <v>91413</v>
      </c>
      <c r="B6179" s="639">
        <v>800</v>
      </c>
      <c r="C6179" s="638">
        <v>5583.7860000000001</v>
      </c>
      <c r="D6179" s="633">
        <f t="shared" si="197"/>
        <v>5583.7860000000001</v>
      </c>
      <c r="E6179" s="608"/>
      <c r="F6179" s="760">
        <f t="shared" si="196"/>
        <v>2355.7026449116556</v>
      </c>
      <c r="M6179" s="443"/>
    </row>
    <row r="6180" spans="1:13">
      <c r="A6180" s="639">
        <v>91413</v>
      </c>
      <c r="B6180" s="639">
        <v>900</v>
      </c>
      <c r="C6180" s="638">
        <v>5731.23</v>
      </c>
      <c r="D6180" s="633">
        <f t="shared" si="197"/>
        <v>5731.23</v>
      </c>
      <c r="E6180" s="608"/>
      <c r="F6180" s="760">
        <f t="shared" ref="F6180:F6243" si="198">(D6180/(MAX($D$5860:$D$6579)))*$M$12</f>
        <v>2417.906715908709</v>
      </c>
      <c r="M6180" s="443"/>
    </row>
    <row r="6181" spans="1:13">
      <c r="A6181" s="639">
        <v>91413</v>
      </c>
      <c r="B6181" s="639">
        <v>1000</v>
      </c>
      <c r="C6181" s="638">
        <v>5690.8249999999998</v>
      </c>
      <c r="D6181" s="633">
        <f t="shared" si="197"/>
        <v>5690.8249999999998</v>
      </c>
      <c r="E6181" s="608"/>
      <c r="F6181" s="760">
        <f t="shared" si="198"/>
        <v>2400.8605459144337</v>
      </c>
      <c r="M6181" s="443"/>
    </row>
    <row r="6182" spans="1:13">
      <c r="A6182" s="639">
        <v>91413</v>
      </c>
      <c r="B6182" s="639">
        <v>1100</v>
      </c>
      <c r="C6182" s="638">
        <v>5569.6790000000001</v>
      </c>
      <c r="D6182" s="633">
        <f t="shared" si="197"/>
        <v>5569.6790000000001</v>
      </c>
      <c r="E6182" s="608"/>
      <c r="F6182" s="760">
        <f t="shared" si="198"/>
        <v>2349.7511458370545</v>
      </c>
      <c r="M6182" s="443"/>
    </row>
    <row r="6183" spans="1:13">
      <c r="A6183" s="639">
        <v>91413</v>
      </c>
      <c r="B6183" s="639">
        <v>1200</v>
      </c>
      <c r="C6183" s="638">
        <v>5490.2610000000004</v>
      </c>
      <c r="D6183" s="633">
        <f t="shared" si="197"/>
        <v>5490.2610000000004</v>
      </c>
      <c r="E6183" s="608"/>
      <c r="F6183" s="760">
        <f t="shared" si="198"/>
        <v>2316.2460665497051</v>
      </c>
      <c r="M6183" s="443"/>
    </row>
    <row r="6184" spans="1:13">
      <c r="A6184" s="639">
        <v>91413</v>
      </c>
      <c r="B6184" s="639">
        <v>1300</v>
      </c>
      <c r="C6184" s="638">
        <v>5315.2290000000003</v>
      </c>
      <c r="D6184" s="633">
        <f t="shared" si="197"/>
        <v>5315.2290000000003</v>
      </c>
      <c r="E6184" s="608"/>
      <c r="F6184" s="760">
        <f t="shared" si="198"/>
        <v>2242.4030959659153</v>
      </c>
      <c r="M6184" s="443"/>
    </row>
    <row r="6185" spans="1:13">
      <c r="A6185" s="639">
        <v>91413</v>
      </c>
      <c r="B6185" s="639">
        <v>1400</v>
      </c>
      <c r="C6185" s="638">
        <v>5276.8209999999999</v>
      </c>
      <c r="D6185" s="633">
        <f t="shared" si="197"/>
        <v>5276.8209999999999</v>
      </c>
      <c r="E6185" s="608"/>
      <c r="F6185" s="760">
        <f t="shared" si="198"/>
        <v>2226.199425698866</v>
      </c>
      <c r="M6185" s="443"/>
    </row>
    <row r="6186" spans="1:13">
      <c r="A6186" s="639">
        <v>91413</v>
      </c>
      <c r="B6186" s="639">
        <v>1500</v>
      </c>
      <c r="C6186" s="638">
        <v>5299.5860000000002</v>
      </c>
      <c r="D6186" s="633">
        <f t="shared" si="197"/>
        <v>5299.5860000000002</v>
      </c>
      <c r="E6186" s="608"/>
      <c r="F6186" s="760">
        <f t="shared" si="198"/>
        <v>2235.8035850830925</v>
      </c>
      <c r="M6186" s="443"/>
    </row>
    <row r="6187" spans="1:13">
      <c r="A6187" s="639">
        <v>91413</v>
      </c>
      <c r="B6187" s="639">
        <v>1600</v>
      </c>
      <c r="C6187" s="638">
        <v>5501.2309999999998</v>
      </c>
      <c r="D6187" s="633">
        <f t="shared" si="197"/>
        <v>5501.2309999999998</v>
      </c>
      <c r="E6187" s="608"/>
      <c r="F6187" s="760">
        <f t="shared" si="198"/>
        <v>2320.8741196331648</v>
      </c>
      <c r="M6187" s="443"/>
    </row>
    <row r="6188" spans="1:13">
      <c r="A6188" s="639">
        <v>91413</v>
      </c>
      <c r="B6188" s="639">
        <v>1700</v>
      </c>
      <c r="C6188" s="638">
        <v>5883.835</v>
      </c>
      <c r="D6188" s="633">
        <f t="shared" si="197"/>
        <v>5883.835</v>
      </c>
      <c r="E6188" s="608"/>
      <c r="F6188" s="760">
        <f t="shared" si="198"/>
        <v>2482.2881234566958</v>
      </c>
      <c r="M6188" s="443"/>
    </row>
    <row r="6189" spans="1:13">
      <c r="A6189" s="639">
        <v>91413</v>
      </c>
      <c r="B6189" s="639">
        <v>1800</v>
      </c>
      <c r="C6189" s="638">
        <v>6033.8940000000002</v>
      </c>
      <c r="D6189" s="633">
        <f t="shared" si="197"/>
        <v>6033.8940000000002</v>
      </c>
      <c r="E6189" s="608"/>
      <c r="F6189" s="760">
        <f t="shared" si="198"/>
        <v>2545.59541768194</v>
      </c>
      <c r="M6189" s="443"/>
    </row>
    <row r="6190" spans="1:13">
      <c r="A6190" s="639">
        <v>91413</v>
      </c>
      <c r="B6190" s="639">
        <v>1900</v>
      </c>
      <c r="C6190" s="638">
        <v>6207.9960000000001</v>
      </c>
      <c r="D6190" s="633">
        <f t="shared" si="197"/>
        <v>6207.9960000000001</v>
      </c>
      <c r="E6190" s="608"/>
      <c r="F6190" s="760">
        <f t="shared" si="198"/>
        <v>2619.0460373662204</v>
      </c>
      <c r="M6190" s="443"/>
    </row>
    <row r="6191" spans="1:13">
      <c r="A6191" s="639">
        <v>91413</v>
      </c>
      <c r="B6191" s="639">
        <v>2000</v>
      </c>
      <c r="C6191" s="638">
        <v>6517.107</v>
      </c>
      <c r="D6191" s="633">
        <f t="shared" si="197"/>
        <v>6517.107</v>
      </c>
      <c r="E6191" s="608"/>
      <c r="F6191" s="760">
        <f t="shared" si="198"/>
        <v>2749.4546168266952</v>
      </c>
      <c r="M6191" s="443"/>
    </row>
    <row r="6192" spans="1:13">
      <c r="A6192" s="639">
        <v>91413</v>
      </c>
      <c r="B6192" s="639">
        <v>2100</v>
      </c>
      <c r="C6192" s="638">
        <v>6313.8950000000004</v>
      </c>
      <c r="D6192" s="633">
        <f t="shared" si="197"/>
        <v>6313.8950000000004</v>
      </c>
      <c r="E6192" s="608"/>
      <c r="F6192" s="760">
        <f t="shared" si="198"/>
        <v>2663.7229921050839</v>
      </c>
      <c r="M6192" s="443"/>
    </row>
    <row r="6193" spans="1:13">
      <c r="A6193" s="639">
        <v>91413</v>
      </c>
      <c r="B6193" s="639">
        <v>2200</v>
      </c>
      <c r="C6193" s="638">
        <v>5850.9589999999998</v>
      </c>
      <c r="D6193" s="633">
        <f t="shared" si="197"/>
        <v>5850.9589999999998</v>
      </c>
      <c r="E6193" s="608"/>
      <c r="F6193" s="760">
        <f t="shared" si="198"/>
        <v>2468.418308217696</v>
      </c>
      <c r="M6193" s="443"/>
    </row>
    <row r="6194" spans="1:13">
      <c r="A6194" s="639">
        <v>91413</v>
      </c>
      <c r="B6194" s="639">
        <v>2300</v>
      </c>
      <c r="C6194" s="638">
        <v>5275.9430000000002</v>
      </c>
      <c r="D6194" s="633">
        <f t="shared" si="197"/>
        <v>5275.9430000000002</v>
      </c>
      <c r="E6194" s="608"/>
      <c r="F6194" s="760">
        <f t="shared" si="198"/>
        <v>2225.8290126991142</v>
      </c>
      <c r="M6194" s="443"/>
    </row>
    <row r="6195" spans="1:13">
      <c r="A6195" s="639">
        <v>91413</v>
      </c>
      <c r="B6195" s="639">
        <v>2400</v>
      </c>
      <c r="C6195" s="638">
        <v>4754.1710000000003</v>
      </c>
      <c r="D6195" s="633">
        <f t="shared" si="197"/>
        <v>4754.1710000000003</v>
      </c>
      <c r="E6195" s="608"/>
      <c r="F6195" s="760">
        <f t="shared" si="198"/>
        <v>2005.7024390014751</v>
      </c>
      <c r="M6195" s="443"/>
    </row>
    <row r="6196" spans="1:13">
      <c r="A6196" s="639">
        <v>91513</v>
      </c>
      <c r="B6196" s="639">
        <v>100</v>
      </c>
      <c r="C6196" s="638">
        <v>4419.1220000000003</v>
      </c>
      <c r="D6196" s="633">
        <f t="shared" si="197"/>
        <v>4419.1220000000003</v>
      </c>
      <c r="E6196" s="608"/>
      <c r="F6196" s="760">
        <f t="shared" si="198"/>
        <v>1864.3510663888778</v>
      </c>
      <c r="M6196" s="443"/>
    </row>
    <row r="6197" spans="1:13">
      <c r="A6197" s="639">
        <v>91513</v>
      </c>
      <c r="B6197" s="639">
        <v>200</v>
      </c>
      <c r="C6197" s="638">
        <v>4236.7969999999996</v>
      </c>
      <c r="D6197" s="633">
        <f t="shared" si="197"/>
        <v>4236.7969999999996</v>
      </c>
      <c r="E6197" s="608"/>
      <c r="F6197" s="760">
        <f t="shared" si="198"/>
        <v>1787.4313053640965</v>
      </c>
      <c r="M6197" s="443"/>
    </row>
    <row r="6198" spans="1:13">
      <c r="A6198" s="639">
        <v>91513</v>
      </c>
      <c r="B6198" s="639">
        <v>300</v>
      </c>
      <c r="C6198" s="638">
        <v>4357.1959999999999</v>
      </c>
      <c r="D6198" s="633">
        <f t="shared" si="197"/>
        <v>4357.1959999999999</v>
      </c>
      <c r="E6198" s="608"/>
      <c r="F6198" s="760">
        <f t="shared" si="198"/>
        <v>1838.2255590738052</v>
      </c>
      <c r="M6198" s="443"/>
    </row>
    <row r="6199" spans="1:13">
      <c r="A6199" s="639">
        <v>91513</v>
      </c>
      <c r="B6199" s="639">
        <v>400</v>
      </c>
      <c r="C6199" s="638">
        <v>4294.3810000000003</v>
      </c>
      <c r="D6199" s="633">
        <f t="shared" si="197"/>
        <v>4294.3810000000003</v>
      </c>
      <c r="E6199" s="608"/>
      <c r="F6199" s="760">
        <f t="shared" si="198"/>
        <v>1811.7249980494169</v>
      </c>
      <c r="M6199" s="443"/>
    </row>
    <row r="6200" spans="1:13">
      <c r="A6200" s="639">
        <v>91513</v>
      </c>
      <c r="B6200" s="639">
        <v>500</v>
      </c>
      <c r="C6200" s="638">
        <v>4349.3280000000004</v>
      </c>
      <c r="D6200" s="633">
        <f t="shared" si="197"/>
        <v>4349.3280000000004</v>
      </c>
      <c r="E6200" s="608"/>
      <c r="F6200" s="760">
        <f t="shared" si="198"/>
        <v>1834.9061860874185</v>
      </c>
      <c r="M6200" s="443"/>
    </row>
    <row r="6201" spans="1:13">
      <c r="A6201" s="639">
        <v>91513</v>
      </c>
      <c r="B6201" s="639">
        <v>600</v>
      </c>
      <c r="C6201" s="638">
        <v>4613.1769999999997</v>
      </c>
      <c r="D6201" s="633">
        <f t="shared" si="197"/>
        <v>4613.1769999999997</v>
      </c>
      <c r="E6201" s="608"/>
      <c r="F6201" s="760">
        <f t="shared" si="198"/>
        <v>1946.2195113397283</v>
      </c>
      <c r="M6201" s="443"/>
    </row>
    <row r="6202" spans="1:13">
      <c r="A6202" s="639">
        <v>91513</v>
      </c>
      <c r="B6202" s="639">
        <v>700</v>
      </c>
      <c r="C6202" s="638">
        <v>4940.66</v>
      </c>
      <c r="D6202" s="633">
        <f t="shared" si="197"/>
        <v>4940.66</v>
      </c>
      <c r="E6202" s="608"/>
      <c r="F6202" s="760">
        <f t="shared" si="198"/>
        <v>2084.3789195376075</v>
      </c>
      <c r="M6202" s="443"/>
    </row>
    <row r="6203" spans="1:13">
      <c r="A6203" s="639">
        <v>91513</v>
      </c>
      <c r="B6203" s="639">
        <v>800</v>
      </c>
      <c r="C6203" s="638">
        <v>5370.23</v>
      </c>
      <c r="D6203" s="633">
        <f t="shared" si="197"/>
        <v>5370.23</v>
      </c>
      <c r="E6203" s="608"/>
      <c r="F6203" s="760">
        <f t="shared" si="198"/>
        <v>2265.6070656690495</v>
      </c>
      <c r="M6203" s="443"/>
    </row>
    <row r="6204" spans="1:13">
      <c r="A6204" s="639">
        <v>91513</v>
      </c>
      <c r="B6204" s="639">
        <v>900</v>
      </c>
      <c r="C6204" s="638">
        <v>5733.692</v>
      </c>
      <c r="D6204" s="633">
        <f t="shared" si="197"/>
        <v>5733.692</v>
      </c>
      <c r="E6204" s="608"/>
      <c r="F6204" s="760">
        <f t="shared" si="198"/>
        <v>2418.9453910856901</v>
      </c>
      <c r="M6204" s="443"/>
    </row>
    <row r="6205" spans="1:13">
      <c r="A6205" s="639">
        <v>91513</v>
      </c>
      <c r="B6205" s="639">
        <v>1000</v>
      </c>
      <c r="C6205" s="638">
        <v>5943.4480000000003</v>
      </c>
      <c r="D6205" s="633">
        <f t="shared" si="197"/>
        <v>5943.4480000000003</v>
      </c>
      <c r="E6205" s="608"/>
      <c r="F6205" s="760">
        <f t="shared" si="198"/>
        <v>2507.4378161152472</v>
      </c>
      <c r="M6205" s="443"/>
    </row>
    <row r="6206" spans="1:13">
      <c r="A6206" s="639">
        <v>91513</v>
      </c>
      <c r="B6206" s="639">
        <v>1100</v>
      </c>
      <c r="C6206" s="638">
        <v>6124.54</v>
      </c>
      <c r="D6206" s="633">
        <f t="shared" si="197"/>
        <v>6124.54</v>
      </c>
      <c r="E6206" s="608"/>
      <c r="F6206" s="760">
        <f t="shared" si="198"/>
        <v>2583.8373957861618</v>
      </c>
      <c r="M6206" s="443"/>
    </row>
    <row r="6207" spans="1:13">
      <c r="A6207" s="639">
        <v>91513</v>
      </c>
      <c r="B6207" s="639">
        <v>1200</v>
      </c>
      <c r="C6207" s="638">
        <v>6166.6760000000004</v>
      </c>
      <c r="D6207" s="633">
        <f t="shared" si="197"/>
        <v>6166.6760000000004</v>
      </c>
      <c r="E6207" s="608"/>
      <c r="F6207" s="760">
        <f t="shared" si="198"/>
        <v>2601.6138447127505</v>
      </c>
      <c r="M6207" s="443"/>
    </row>
    <row r="6208" spans="1:13">
      <c r="A6208" s="639">
        <v>91513</v>
      </c>
      <c r="B6208" s="639">
        <v>1300</v>
      </c>
      <c r="C6208" s="638">
        <v>6115.9570000000003</v>
      </c>
      <c r="D6208" s="633">
        <f t="shared" si="197"/>
        <v>6115.9570000000003</v>
      </c>
      <c r="E6208" s="608"/>
      <c r="F6208" s="760">
        <f t="shared" si="198"/>
        <v>2580.21637667811</v>
      </c>
      <c r="M6208" s="443"/>
    </row>
    <row r="6209" spans="1:13">
      <c r="A6209" s="639">
        <v>91513</v>
      </c>
      <c r="B6209" s="639">
        <v>1400</v>
      </c>
      <c r="C6209" s="638">
        <v>6026.9120000000003</v>
      </c>
      <c r="D6209" s="633">
        <f t="shared" si="197"/>
        <v>6026.9120000000003</v>
      </c>
      <c r="E6209" s="608"/>
      <c r="F6209" s="760">
        <f t="shared" si="198"/>
        <v>2542.6498327568065</v>
      </c>
      <c r="M6209" s="443"/>
    </row>
    <row r="6210" spans="1:13">
      <c r="A6210" s="639">
        <v>91513</v>
      </c>
      <c r="B6210" s="639">
        <v>1500</v>
      </c>
      <c r="C6210" s="638">
        <v>6095.0069999999996</v>
      </c>
      <c r="D6210" s="633">
        <f t="shared" si="197"/>
        <v>6095.0069999999996</v>
      </c>
      <c r="E6210" s="608"/>
      <c r="F6210" s="760">
        <f t="shared" si="198"/>
        <v>2571.3779343719575</v>
      </c>
      <c r="M6210" s="443"/>
    </row>
    <row r="6211" spans="1:13">
      <c r="A6211" s="639">
        <v>91513</v>
      </c>
      <c r="B6211" s="639">
        <v>1600</v>
      </c>
      <c r="C6211" s="638">
        <v>6376.857</v>
      </c>
      <c r="D6211" s="633">
        <f t="shared" si="197"/>
        <v>6376.857</v>
      </c>
      <c r="E6211" s="608"/>
      <c r="F6211" s="760">
        <f t="shared" si="198"/>
        <v>2690.285569884556</v>
      </c>
      <c r="M6211" s="443"/>
    </row>
    <row r="6212" spans="1:13">
      <c r="A6212" s="639">
        <v>91513</v>
      </c>
      <c r="B6212" s="639">
        <v>1700</v>
      </c>
      <c r="C6212" s="638">
        <v>6850.732</v>
      </c>
      <c r="D6212" s="633">
        <f t="shared" si="197"/>
        <v>6850.732</v>
      </c>
      <c r="E6212" s="608"/>
      <c r="F6212" s="760">
        <f t="shared" si="198"/>
        <v>2890.2052284920874</v>
      </c>
      <c r="M6212" s="443"/>
    </row>
    <row r="6213" spans="1:13">
      <c r="A6213" s="639">
        <v>91513</v>
      </c>
      <c r="B6213" s="639">
        <v>1800</v>
      </c>
      <c r="C6213" s="638">
        <v>7019.5540000000001</v>
      </c>
      <c r="D6213" s="633">
        <f t="shared" ref="D6213:D6276" si="199">C6213</f>
        <v>7019.5540000000001</v>
      </c>
      <c r="E6213" s="608"/>
      <c r="F6213" s="760">
        <f t="shared" si="198"/>
        <v>2961.4283075856047</v>
      </c>
      <c r="M6213" s="443"/>
    </row>
    <row r="6214" spans="1:13">
      <c r="A6214" s="639">
        <v>91513</v>
      </c>
      <c r="B6214" s="639">
        <v>1900</v>
      </c>
      <c r="C6214" s="638">
        <v>7180.442</v>
      </c>
      <c r="D6214" s="633">
        <f t="shared" si="199"/>
        <v>7180.442</v>
      </c>
      <c r="E6214" s="608"/>
      <c r="F6214" s="760">
        <f t="shared" si="198"/>
        <v>3029.3041694353506</v>
      </c>
      <c r="M6214" s="443"/>
    </row>
    <row r="6215" spans="1:13">
      <c r="A6215" s="639">
        <v>91513</v>
      </c>
      <c r="B6215" s="639">
        <v>2000</v>
      </c>
      <c r="C6215" s="638">
        <v>7127.2619999999997</v>
      </c>
      <c r="D6215" s="633">
        <f t="shared" si="199"/>
        <v>7127.2619999999997</v>
      </c>
      <c r="E6215" s="608"/>
      <c r="F6215" s="760">
        <f t="shared" si="198"/>
        <v>3006.8684481064165</v>
      </c>
      <c r="M6215" s="443"/>
    </row>
    <row r="6216" spans="1:13">
      <c r="A6216" s="639">
        <v>91513</v>
      </c>
      <c r="B6216" s="639">
        <v>2100</v>
      </c>
      <c r="C6216" s="638">
        <v>6627.2150000000001</v>
      </c>
      <c r="D6216" s="633">
        <f t="shared" si="199"/>
        <v>6627.2150000000001</v>
      </c>
      <c r="E6216" s="608"/>
      <c r="F6216" s="760">
        <f t="shared" si="198"/>
        <v>2795.9072757978543</v>
      </c>
      <c r="M6216" s="443"/>
    </row>
    <row r="6217" spans="1:13">
      <c r="A6217" s="639">
        <v>91513</v>
      </c>
      <c r="B6217" s="639">
        <v>2200</v>
      </c>
      <c r="C6217" s="638">
        <v>5901.915</v>
      </c>
      <c r="D6217" s="633">
        <f t="shared" si="199"/>
        <v>5901.915</v>
      </c>
      <c r="E6217" s="608"/>
      <c r="F6217" s="760">
        <f t="shared" si="198"/>
        <v>2489.9157624493087</v>
      </c>
      <c r="M6217" s="443"/>
    </row>
    <row r="6218" spans="1:13">
      <c r="A6218" s="639">
        <v>91513</v>
      </c>
      <c r="B6218" s="639">
        <v>2300</v>
      </c>
      <c r="C6218" s="638">
        <v>5065.4189999999999</v>
      </c>
      <c r="D6218" s="633">
        <f t="shared" si="199"/>
        <v>5065.4189999999999</v>
      </c>
      <c r="E6218" s="608"/>
      <c r="F6218" s="760">
        <f t="shared" si="198"/>
        <v>2137.0125817654462</v>
      </c>
      <c r="M6218" s="443"/>
    </row>
    <row r="6219" spans="1:13">
      <c r="A6219" s="639">
        <v>91513</v>
      </c>
      <c r="B6219" s="639">
        <v>2400</v>
      </c>
      <c r="C6219" s="638">
        <v>4508.68</v>
      </c>
      <c r="D6219" s="633">
        <f t="shared" si="199"/>
        <v>4508.68</v>
      </c>
      <c r="E6219" s="608"/>
      <c r="F6219" s="760">
        <f t="shared" si="198"/>
        <v>1902.1340361289426</v>
      </c>
      <c r="M6219" s="443"/>
    </row>
    <row r="6220" spans="1:13">
      <c r="A6220" s="639">
        <v>91613</v>
      </c>
      <c r="B6220" s="639">
        <v>100</v>
      </c>
      <c r="C6220" s="638">
        <v>4276.4809999999998</v>
      </c>
      <c r="D6220" s="633">
        <f t="shared" si="199"/>
        <v>4276.4809999999998</v>
      </c>
      <c r="E6220" s="608"/>
      <c r="F6220" s="760">
        <f t="shared" si="198"/>
        <v>1804.1732979405804</v>
      </c>
      <c r="M6220" s="443"/>
    </row>
    <row r="6221" spans="1:13">
      <c r="A6221" s="639">
        <v>91613</v>
      </c>
      <c r="B6221" s="639">
        <v>200</v>
      </c>
      <c r="C6221" s="638">
        <v>4153.5559999999996</v>
      </c>
      <c r="D6221" s="633">
        <f t="shared" si="199"/>
        <v>4153.5559999999996</v>
      </c>
      <c r="E6221" s="608"/>
      <c r="F6221" s="760">
        <f t="shared" si="198"/>
        <v>1752.3133685618818</v>
      </c>
      <c r="M6221" s="443"/>
    </row>
    <row r="6222" spans="1:13">
      <c r="A6222" s="639">
        <v>91613</v>
      </c>
      <c r="B6222" s="639">
        <v>300</v>
      </c>
      <c r="C6222" s="638">
        <v>4254.1030000000001</v>
      </c>
      <c r="D6222" s="633">
        <f t="shared" si="199"/>
        <v>4254.1030000000001</v>
      </c>
      <c r="E6222" s="608"/>
      <c r="F6222" s="760">
        <f t="shared" si="198"/>
        <v>1794.7324071564724</v>
      </c>
      <c r="M6222" s="443"/>
    </row>
    <row r="6223" spans="1:13">
      <c r="A6223" s="639">
        <v>91613</v>
      </c>
      <c r="B6223" s="639">
        <v>400</v>
      </c>
      <c r="C6223" s="638">
        <v>4282.0479999999998</v>
      </c>
      <c r="D6223" s="633">
        <f t="shared" si="199"/>
        <v>4282.0479999999998</v>
      </c>
      <c r="E6223" s="608"/>
      <c r="F6223" s="760">
        <f t="shared" si="198"/>
        <v>1806.5219188626972</v>
      </c>
      <c r="M6223" s="443"/>
    </row>
    <row r="6224" spans="1:13">
      <c r="A6224" s="639">
        <v>91613</v>
      </c>
      <c r="B6224" s="639">
        <v>500</v>
      </c>
      <c r="C6224" s="638">
        <v>4608.942</v>
      </c>
      <c r="D6224" s="633">
        <f t="shared" si="199"/>
        <v>4608.942</v>
      </c>
      <c r="E6224" s="608"/>
      <c r="F6224" s="760">
        <f t="shared" si="198"/>
        <v>1944.432838157554</v>
      </c>
      <c r="M6224" s="443"/>
    </row>
    <row r="6225" spans="1:13">
      <c r="A6225" s="639">
        <v>91613</v>
      </c>
      <c r="B6225" s="639">
        <v>600</v>
      </c>
      <c r="C6225" s="638">
        <v>5461.0709999999999</v>
      </c>
      <c r="D6225" s="633">
        <f t="shared" si="199"/>
        <v>5461.0709999999999</v>
      </c>
      <c r="E6225" s="608"/>
      <c r="F6225" s="760">
        <f t="shared" si="198"/>
        <v>2303.9313108973624</v>
      </c>
      <c r="M6225" s="443"/>
    </row>
    <row r="6226" spans="1:13">
      <c r="A6226" s="639">
        <v>91613</v>
      </c>
      <c r="B6226" s="639">
        <v>700</v>
      </c>
      <c r="C6226" s="638">
        <v>5978.52</v>
      </c>
      <c r="D6226" s="633">
        <f t="shared" si="199"/>
        <v>5978.52</v>
      </c>
      <c r="E6226" s="608"/>
      <c r="F6226" s="760">
        <f t="shared" si="198"/>
        <v>2522.2340857363147</v>
      </c>
      <c r="M6226" s="443"/>
    </row>
    <row r="6227" spans="1:13">
      <c r="A6227" s="639">
        <v>91613</v>
      </c>
      <c r="B6227" s="639">
        <v>800</v>
      </c>
      <c r="C6227" s="638">
        <v>6050.6260000000002</v>
      </c>
      <c r="D6227" s="633">
        <f t="shared" si="199"/>
        <v>6050.6260000000002</v>
      </c>
      <c r="E6227" s="608"/>
      <c r="F6227" s="760">
        <f t="shared" si="198"/>
        <v>2552.6543588116078</v>
      </c>
      <c r="M6227" s="443"/>
    </row>
    <row r="6228" spans="1:13">
      <c r="A6228" s="639">
        <v>91613</v>
      </c>
      <c r="B6228" s="639">
        <v>900</v>
      </c>
      <c r="C6228" s="638">
        <v>5767.9250000000002</v>
      </c>
      <c r="D6228" s="633">
        <f t="shared" si="199"/>
        <v>5767.9250000000002</v>
      </c>
      <c r="E6228" s="608"/>
      <c r="F6228" s="760">
        <f t="shared" si="198"/>
        <v>2433.3877011318236</v>
      </c>
      <c r="M6228" s="443"/>
    </row>
    <row r="6229" spans="1:13">
      <c r="A6229" s="639">
        <v>91613</v>
      </c>
      <c r="B6229" s="639">
        <v>1000</v>
      </c>
      <c r="C6229" s="638">
        <v>5522.6620000000003</v>
      </c>
      <c r="D6229" s="633">
        <f t="shared" si="199"/>
        <v>5522.6620000000003</v>
      </c>
      <c r="E6229" s="608"/>
      <c r="F6229" s="760">
        <f t="shared" si="198"/>
        <v>2329.9154875120744</v>
      </c>
      <c r="M6229" s="443"/>
    </row>
    <row r="6230" spans="1:13">
      <c r="A6230" s="639">
        <v>91613</v>
      </c>
      <c r="B6230" s="639">
        <v>1100</v>
      </c>
      <c r="C6230" s="638">
        <v>5467.7860000000001</v>
      </c>
      <c r="D6230" s="633">
        <f t="shared" si="199"/>
        <v>5467.7860000000001</v>
      </c>
      <c r="E6230" s="608"/>
      <c r="F6230" s="760">
        <f t="shared" si="198"/>
        <v>2306.7642531448951</v>
      </c>
      <c r="M6230" s="443"/>
    </row>
    <row r="6231" spans="1:13">
      <c r="A6231" s="639">
        <v>91613</v>
      </c>
      <c r="B6231" s="639">
        <v>1200</v>
      </c>
      <c r="C6231" s="638">
        <v>5294.4380000000001</v>
      </c>
      <c r="D6231" s="633">
        <f t="shared" si="199"/>
        <v>5294.4380000000001</v>
      </c>
      <c r="E6231" s="608"/>
      <c r="F6231" s="760">
        <f t="shared" si="198"/>
        <v>2233.6317330070988</v>
      </c>
      <c r="M6231" s="443"/>
    </row>
    <row r="6232" spans="1:13">
      <c r="A6232" s="639">
        <v>91613</v>
      </c>
      <c r="B6232" s="639">
        <v>1300</v>
      </c>
      <c r="C6232" s="638">
        <v>5139.5079999999998</v>
      </c>
      <c r="D6232" s="633">
        <f t="shared" si="199"/>
        <v>5139.5079999999998</v>
      </c>
      <c r="E6232" s="608"/>
      <c r="F6232" s="760">
        <f t="shared" si="198"/>
        <v>2168.2694482103384</v>
      </c>
      <c r="M6232" s="443"/>
    </row>
    <row r="6233" spans="1:13">
      <c r="A6233" s="639">
        <v>91613</v>
      </c>
      <c r="B6233" s="639">
        <v>1400</v>
      </c>
      <c r="C6233" s="638">
        <v>4922.3789999999999</v>
      </c>
      <c r="D6233" s="633">
        <f t="shared" si="199"/>
        <v>4922.3789999999999</v>
      </c>
      <c r="E6233" s="608"/>
      <c r="F6233" s="760">
        <f t="shared" si="198"/>
        <v>2076.6664821247791</v>
      </c>
      <c r="M6233" s="443"/>
    </row>
    <row r="6234" spans="1:13">
      <c r="A6234" s="639">
        <v>91613</v>
      </c>
      <c r="B6234" s="639">
        <v>1500</v>
      </c>
      <c r="C6234" s="638">
        <v>5004.6180000000004</v>
      </c>
      <c r="D6234" s="633">
        <f t="shared" si="199"/>
        <v>5004.6180000000004</v>
      </c>
      <c r="E6234" s="608"/>
      <c r="F6234" s="760">
        <f t="shared" si="198"/>
        <v>2111.361692473974</v>
      </c>
      <c r="M6234" s="443"/>
    </row>
    <row r="6235" spans="1:13">
      <c r="A6235" s="639">
        <v>91613</v>
      </c>
      <c r="B6235" s="639">
        <v>1600</v>
      </c>
      <c r="C6235" s="638">
        <v>5273.7709999999997</v>
      </c>
      <c r="D6235" s="633">
        <f t="shared" si="199"/>
        <v>5273.7709999999997</v>
      </c>
      <c r="E6235" s="608"/>
      <c r="F6235" s="760">
        <f t="shared" si="198"/>
        <v>2224.91268350155</v>
      </c>
      <c r="M6235" s="443"/>
    </row>
    <row r="6236" spans="1:13">
      <c r="A6236" s="639">
        <v>91613</v>
      </c>
      <c r="B6236" s="639">
        <v>1700</v>
      </c>
      <c r="C6236" s="638">
        <v>5753.61</v>
      </c>
      <c r="D6236" s="633">
        <f t="shared" si="199"/>
        <v>5753.61</v>
      </c>
      <c r="E6236" s="608"/>
      <c r="F6236" s="760">
        <f t="shared" si="198"/>
        <v>2427.3484504581925</v>
      </c>
      <c r="M6236" s="443"/>
    </row>
    <row r="6237" spans="1:13">
      <c r="A6237" s="639">
        <v>91613</v>
      </c>
      <c r="B6237" s="639">
        <v>1800</v>
      </c>
      <c r="C6237" s="638">
        <v>6025.3710000000001</v>
      </c>
      <c r="D6237" s="633">
        <f t="shared" si="199"/>
        <v>6025.3710000000001</v>
      </c>
      <c r="E6237" s="608"/>
      <c r="F6237" s="760">
        <f t="shared" si="198"/>
        <v>2541.9997115351462</v>
      </c>
      <c r="M6237" s="443"/>
    </row>
    <row r="6238" spans="1:13">
      <c r="A6238" s="639">
        <v>91613</v>
      </c>
      <c r="B6238" s="639">
        <v>1900</v>
      </c>
      <c r="C6238" s="638">
        <v>6573.4740000000002</v>
      </c>
      <c r="D6238" s="633">
        <f t="shared" si="199"/>
        <v>6573.4740000000002</v>
      </c>
      <c r="E6238" s="608"/>
      <c r="F6238" s="760">
        <f t="shared" si="198"/>
        <v>2773.2348782811519</v>
      </c>
      <c r="M6238" s="443"/>
    </row>
    <row r="6239" spans="1:13">
      <c r="A6239" s="639">
        <v>91613</v>
      </c>
      <c r="B6239" s="639">
        <v>2000</v>
      </c>
      <c r="C6239" s="638">
        <v>7107.0339999999997</v>
      </c>
      <c r="D6239" s="633">
        <f t="shared" si="199"/>
        <v>7107.0339999999997</v>
      </c>
      <c r="E6239" s="608"/>
      <c r="F6239" s="760">
        <f t="shared" si="198"/>
        <v>2998.3346051007438</v>
      </c>
      <c r="M6239" s="443"/>
    </row>
    <row r="6240" spans="1:13">
      <c r="A6240" s="639">
        <v>91613</v>
      </c>
      <c r="B6240" s="639">
        <v>2100</v>
      </c>
      <c r="C6240" s="638">
        <v>6673.24</v>
      </c>
      <c r="D6240" s="633">
        <f t="shared" si="199"/>
        <v>6673.24</v>
      </c>
      <c r="E6240" s="608"/>
      <c r="F6240" s="760">
        <f t="shared" si="198"/>
        <v>2815.324426496692</v>
      </c>
      <c r="M6240" s="443"/>
    </row>
    <row r="6241" spans="1:13">
      <c r="A6241" s="639">
        <v>91613</v>
      </c>
      <c r="B6241" s="639">
        <v>2200</v>
      </c>
      <c r="C6241" s="638">
        <v>5878.4690000000001</v>
      </c>
      <c r="D6241" s="633">
        <f t="shared" si="199"/>
        <v>5878.4690000000001</v>
      </c>
      <c r="E6241" s="608"/>
      <c r="F6241" s="760">
        <f t="shared" si="198"/>
        <v>2480.0243009547962</v>
      </c>
      <c r="M6241" s="443"/>
    </row>
    <row r="6242" spans="1:13">
      <c r="A6242" s="639">
        <v>91613</v>
      </c>
      <c r="B6242" s="639">
        <v>2300</v>
      </c>
      <c r="C6242" s="638">
        <v>4995.0609999999997</v>
      </c>
      <c r="D6242" s="633">
        <f t="shared" si="199"/>
        <v>4995.0609999999997</v>
      </c>
      <c r="E6242" s="608"/>
      <c r="F6242" s="760">
        <f t="shared" si="198"/>
        <v>2107.3297596281554</v>
      </c>
      <c r="M6242" s="443"/>
    </row>
    <row r="6243" spans="1:13">
      <c r="A6243" s="639">
        <v>91613</v>
      </c>
      <c r="B6243" s="639">
        <v>2400</v>
      </c>
      <c r="C6243" s="638">
        <v>4425.7619999999997</v>
      </c>
      <c r="D6243" s="633">
        <f t="shared" si="199"/>
        <v>4425.7619999999997</v>
      </c>
      <c r="E6243" s="608"/>
      <c r="F6243" s="760">
        <f t="shared" si="198"/>
        <v>1867.1523674348371</v>
      </c>
      <c r="M6243" s="443"/>
    </row>
    <row r="6244" spans="1:13">
      <c r="A6244" s="639">
        <v>91713</v>
      </c>
      <c r="B6244" s="639">
        <v>100</v>
      </c>
      <c r="C6244" s="638">
        <v>4231.0339999999997</v>
      </c>
      <c r="D6244" s="633">
        <f t="shared" si="199"/>
        <v>4231.0339999999997</v>
      </c>
      <c r="E6244" s="608"/>
      <c r="F6244" s="760">
        <f t="shared" ref="F6244:F6307" si="200">(D6244/(MAX($D$5860:$D$6579)))*$M$12</f>
        <v>1784.9999954352015</v>
      </c>
      <c r="M6244" s="443"/>
    </row>
    <row r="6245" spans="1:13">
      <c r="A6245" s="639">
        <v>91713</v>
      </c>
      <c r="B6245" s="639">
        <v>200</v>
      </c>
      <c r="C6245" s="638">
        <v>4149.201</v>
      </c>
      <c r="D6245" s="633">
        <f t="shared" si="199"/>
        <v>4149.201</v>
      </c>
      <c r="E6245" s="608"/>
      <c r="F6245" s="760">
        <f t="shared" si="200"/>
        <v>1750.4760694571903</v>
      </c>
      <c r="M6245" s="443"/>
    </row>
    <row r="6246" spans="1:13">
      <c r="A6246" s="639">
        <v>91713</v>
      </c>
      <c r="B6246" s="639">
        <v>300</v>
      </c>
      <c r="C6246" s="638">
        <v>4417.6610000000001</v>
      </c>
      <c r="D6246" s="633">
        <f t="shared" si="199"/>
        <v>4417.6610000000001</v>
      </c>
      <c r="E6246" s="608"/>
      <c r="F6246" s="760">
        <f t="shared" si="200"/>
        <v>1863.7346957822292</v>
      </c>
      <c r="M6246" s="443"/>
    </row>
    <row r="6247" spans="1:13">
      <c r="A6247" s="639">
        <v>91713</v>
      </c>
      <c r="B6247" s="639">
        <v>400</v>
      </c>
      <c r="C6247" s="638">
        <v>4486.7780000000002</v>
      </c>
      <c r="D6247" s="633">
        <f t="shared" si="199"/>
        <v>4486.7780000000002</v>
      </c>
      <c r="E6247" s="608"/>
      <c r="F6247" s="760">
        <f t="shared" si="200"/>
        <v>1892.8939615041531</v>
      </c>
      <c r="M6247" s="443"/>
    </row>
    <row r="6248" spans="1:13">
      <c r="A6248" s="639">
        <v>91713</v>
      </c>
      <c r="B6248" s="639">
        <v>500</v>
      </c>
      <c r="C6248" s="638">
        <v>4898.7749999999996</v>
      </c>
      <c r="D6248" s="633">
        <f t="shared" si="199"/>
        <v>4898.7749999999996</v>
      </c>
      <c r="E6248" s="608"/>
      <c r="F6248" s="760">
        <f t="shared" si="200"/>
        <v>2066.7083631656183</v>
      </c>
      <c r="M6248" s="443"/>
    </row>
    <row r="6249" spans="1:13">
      <c r="A6249" s="639">
        <v>91713</v>
      </c>
      <c r="B6249" s="639">
        <v>600</v>
      </c>
      <c r="C6249" s="638">
        <v>5868.54</v>
      </c>
      <c r="D6249" s="633">
        <f t="shared" si="199"/>
        <v>5868.54</v>
      </c>
      <c r="E6249" s="608"/>
      <c r="F6249" s="760">
        <f t="shared" si="200"/>
        <v>2475.835427749174</v>
      </c>
      <c r="M6249" s="443"/>
    </row>
    <row r="6250" spans="1:13">
      <c r="A6250" s="639">
        <v>91713</v>
      </c>
      <c r="B6250" s="639">
        <v>700</v>
      </c>
      <c r="C6250" s="638">
        <v>6355.53</v>
      </c>
      <c r="D6250" s="633">
        <f t="shared" si="199"/>
        <v>6355.53</v>
      </c>
      <c r="E6250" s="608"/>
      <c r="F6250" s="760">
        <f t="shared" si="200"/>
        <v>2681.2880778051617</v>
      </c>
      <c r="M6250" s="443"/>
    </row>
    <row r="6251" spans="1:13">
      <c r="A6251" s="639">
        <v>91713</v>
      </c>
      <c r="B6251" s="639">
        <v>800</v>
      </c>
      <c r="C6251" s="638">
        <v>6011.4759999999997</v>
      </c>
      <c r="D6251" s="633">
        <f t="shared" si="199"/>
        <v>6011.4759999999997</v>
      </c>
      <c r="E6251" s="608"/>
      <c r="F6251" s="760">
        <f t="shared" si="200"/>
        <v>2536.1376515903262</v>
      </c>
      <c r="M6251" s="443"/>
    </row>
    <row r="6252" spans="1:13">
      <c r="A6252" s="639">
        <v>91713</v>
      </c>
      <c r="B6252" s="639">
        <v>900</v>
      </c>
      <c r="C6252" s="638">
        <v>5670.3869999999997</v>
      </c>
      <c r="D6252" s="633">
        <f t="shared" si="199"/>
        <v>5670.3869999999997</v>
      </c>
      <c r="E6252" s="608"/>
      <c r="F6252" s="760">
        <f t="shared" si="200"/>
        <v>2392.2381075443559</v>
      </c>
      <c r="M6252" s="443"/>
    </row>
    <row r="6253" spans="1:13">
      <c r="A6253" s="639">
        <v>91713</v>
      </c>
      <c r="B6253" s="639">
        <v>1000</v>
      </c>
      <c r="C6253" s="638">
        <v>5361.7879999999996</v>
      </c>
      <c r="D6253" s="633">
        <f t="shared" si="199"/>
        <v>5361.7879999999996</v>
      </c>
      <c r="E6253" s="608"/>
      <c r="F6253" s="760">
        <f t="shared" si="200"/>
        <v>2262.0455320199549</v>
      </c>
      <c r="M6253" s="443"/>
    </row>
    <row r="6254" spans="1:13">
      <c r="A6254" s="639">
        <v>91713</v>
      </c>
      <c r="B6254" s="639">
        <v>1100</v>
      </c>
      <c r="C6254" s="638">
        <v>5319.0839999999998</v>
      </c>
      <c r="D6254" s="633">
        <f t="shared" si="199"/>
        <v>5319.0839999999998</v>
      </c>
      <c r="E6254" s="608"/>
      <c r="F6254" s="760">
        <f t="shared" si="200"/>
        <v>2244.0294537267846</v>
      </c>
      <c r="M6254" s="443"/>
    </row>
    <row r="6255" spans="1:13">
      <c r="A6255" s="639">
        <v>91713</v>
      </c>
      <c r="B6255" s="639">
        <v>1200</v>
      </c>
      <c r="C6255" s="638">
        <v>5145.518</v>
      </c>
      <c r="D6255" s="633">
        <f t="shared" si="199"/>
        <v>5145.518</v>
      </c>
      <c r="E6255" s="608"/>
      <c r="F6255" s="760">
        <f t="shared" si="200"/>
        <v>2170.804963163082</v>
      </c>
      <c r="M6255" s="443"/>
    </row>
    <row r="6256" spans="1:13">
      <c r="A6256" s="639">
        <v>91713</v>
      </c>
      <c r="B6256" s="639">
        <v>1300</v>
      </c>
      <c r="C6256" s="638">
        <v>5089.924</v>
      </c>
      <c r="D6256" s="633">
        <f t="shared" si="199"/>
        <v>5089.924</v>
      </c>
      <c r="E6256" s="608"/>
      <c r="F6256" s="760">
        <f t="shared" si="200"/>
        <v>2147.3508170261744</v>
      </c>
      <c r="M6256" s="443"/>
    </row>
    <row r="6257" spans="1:13">
      <c r="A6257" s="639">
        <v>91713</v>
      </c>
      <c r="B6257" s="639">
        <v>1400</v>
      </c>
      <c r="C6257" s="638">
        <v>5068.2340000000004</v>
      </c>
      <c r="D6257" s="633">
        <f t="shared" si="199"/>
        <v>5068.2340000000004</v>
      </c>
      <c r="E6257" s="608"/>
      <c r="F6257" s="760">
        <f t="shared" si="200"/>
        <v>2138.2001815311655</v>
      </c>
      <c r="M6257" s="443"/>
    </row>
    <row r="6258" spans="1:13">
      <c r="A6258" s="639">
        <v>91713</v>
      </c>
      <c r="B6258" s="639">
        <v>1500</v>
      </c>
      <c r="C6258" s="638">
        <v>5166.4139999999998</v>
      </c>
      <c r="D6258" s="633">
        <f t="shared" si="199"/>
        <v>5166.4139999999998</v>
      </c>
      <c r="E6258" s="608"/>
      <c r="F6258" s="760">
        <f t="shared" si="200"/>
        <v>2179.6206238041009</v>
      </c>
      <c r="M6258" s="443"/>
    </row>
    <row r="6259" spans="1:13">
      <c r="A6259" s="639">
        <v>91713</v>
      </c>
      <c r="B6259" s="639">
        <v>1600</v>
      </c>
      <c r="C6259" s="638">
        <v>5423.8680000000004</v>
      </c>
      <c r="D6259" s="633">
        <f t="shared" si="199"/>
        <v>5423.8680000000004</v>
      </c>
      <c r="E6259" s="608"/>
      <c r="F6259" s="760">
        <f t="shared" si="200"/>
        <v>2288.2360092689246</v>
      </c>
      <c r="M6259" s="443"/>
    </row>
    <row r="6260" spans="1:13">
      <c r="A6260" s="639">
        <v>91713</v>
      </c>
      <c r="B6260" s="639">
        <v>1700</v>
      </c>
      <c r="C6260" s="638">
        <v>5803.2460000000001</v>
      </c>
      <c r="D6260" s="633">
        <f t="shared" si="199"/>
        <v>5803.2460000000001</v>
      </c>
      <c r="E6260" s="608"/>
      <c r="F6260" s="760">
        <f t="shared" si="200"/>
        <v>2448.2890195421151</v>
      </c>
      <c r="M6260" s="443"/>
    </row>
    <row r="6261" spans="1:13">
      <c r="A6261" s="639">
        <v>91713</v>
      </c>
      <c r="B6261" s="639">
        <v>1800</v>
      </c>
      <c r="C6261" s="638">
        <v>6145.5209999999997</v>
      </c>
      <c r="D6261" s="633">
        <f t="shared" si="199"/>
        <v>6145.5209999999997</v>
      </c>
      <c r="E6261" s="608"/>
      <c r="F6261" s="760">
        <f t="shared" si="200"/>
        <v>2592.688916455631</v>
      </c>
      <c r="M6261" s="443"/>
    </row>
    <row r="6262" spans="1:13">
      <c r="A6262" s="639">
        <v>91713</v>
      </c>
      <c r="B6262" s="639">
        <v>1900</v>
      </c>
      <c r="C6262" s="638">
        <v>6536.29</v>
      </c>
      <c r="D6262" s="633">
        <f t="shared" si="199"/>
        <v>6536.29</v>
      </c>
      <c r="E6262" s="608"/>
      <c r="F6262" s="760">
        <f t="shared" si="200"/>
        <v>2757.5475924237794</v>
      </c>
      <c r="M6262" s="443"/>
    </row>
    <row r="6263" spans="1:13">
      <c r="A6263" s="639">
        <v>91713</v>
      </c>
      <c r="B6263" s="639">
        <v>2000</v>
      </c>
      <c r="C6263" s="638">
        <v>7025.1310000000003</v>
      </c>
      <c r="D6263" s="633">
        <f t="shared" si="199"/>
        <v>7025.1310000000003</v>
      </c>
      <c r="E6263" s="608"/>
      <c r="F6263" s="760">
        <f t="shared" si="200"/>
        <v>2963.7811473345982</v>
      </c>
      <c r="M6263" s="443"/>
    </row>
    <row r="6264" spans="1:13">
      <c r="A6264" s="639">
        <v>91713</v>
      </c>
      <c r="B6264" s="639">
        <v>2100</v>
      </c>
      <c r="C6264" s="638">
        <v>6621.8450000000003</v>
      </c>
      <c r="D6264" s="633">
        <f t="shared" si="199"/>
        <v>6621.8450000000003</v>
      </c>
      <c r="E6264" s="608"/>
      <c r="F6264" s="760">
        <f t="shared" si="200"/>
        <v>2793.6417657652032</v>
      </c>
      <c r="M6264" s="443"/>
    </row>
    <row r="6265" spans="1:13">
      <c r="A6265" s="639">
        <v>91713</v>
      </c>
      <c r="B6265" s="639">
        <v>2200</v>
      </c>
      <c r="C6265" s="638">
        <v>5814.3029999999999</v>
      </c>
      <c r="D6265" s="633">
        <f t="shared" si="199"/>
        <v>5814.3029999999999</v>
      </c>
      <c r="E6265" s="608"/>
      <c r="F6265" s="760">
        <f t="shared" si="200"/>
        <v>2452.9537764193997</v>
      </c>
      <c r="M6265" s="443"/>
    </row>
    <row r="6266" spans="1:13">
      <c r="A6266" s="639">
        <v>91713</v>
      </c>
      <c r="B6266" s="639">
        <v>2300</v>
      </c>
      <c r="C6266" s="638">
        <v>4905.0889999999999</v>
      </c>
      <c r="D6266" s="633">
        <f t="shared" si="199"/>
        <v>4905.0889999999999</v>
      </c>
      <c r="E6266" s="608"/>
      <c r="F6266" s="760">
        <f t="shared" si="200"/>
        <v>2069.3721304554056</v>
      </c>
      <c r="M6266" s="443"/>
    </row>
    <row r="6267" spans="1:13">
      <c r="A6267" s="639">
        <v>91713</v>
      </c>
      <c r="B6267" s="639">
        <v>2400</v>
      </c>
      <c r="C6267" s="638">
        <v>4384.9110000000001</v>
      </c>
      <c r="D6267" s="633">
        <f t="shared" si="199"/>
        <v>4384.9110000000001</v>
      </c>
      <c r="E6267" s="608"/>
      <c r="F6267" s="760">
        <f t="shared" si="200"/>
        <v>1849.918037761872</v>
      </c>
      <c r="M6267" s="443"/>
    </row>
    <row r="6268" spans="1:13">
      <c r="A6268" s="639">
        <v>91813</v>
      </c>
      <c r="B6268" s="639">
        <v>100</v>
      </c>
      <c r="C6268" s="638">
        <v>4158.1009999999997</v>
      </c>
      <c r="D6268" s="633">
        <f t="shared" si="199"/>
        <v>4158.1009999999997</v>
      </c>
      <c r="E6268" s="608"/>
      <c r="F6268" s="760">
        <f t="shared" si="200"/>
        <v>1754.230825377226</v>
      </c>
      <c r="M6268" s="443"/>
    </row>
    <row r="6269" spans="1:13">
      <c r="A6269" s="639">
        <v>91813</v>
      </c>
      <c r="B6269" s="639">
        <v>200</v>
      </c>
      <c r="C6269" s="638">
        <v>4107.3940000000002</v>
      </c>
      <c r="D6269" s="633">
        <f t="shared" si="199"/>
        <v>4107.3940000000002</v>
      </c>
      <c r="E6269" s="608"/>
      <c r="F6269" s="760">
        <f t="shared" si="200"/>
        <v>1732.8384199348375</v>
      </c>
      <c r="M6269" s="443"/>
    </row>
    <row r="6270" spans="1:13">
      <c r="A6270" s="639">
        <v>91813</v>
      </c>
      <c r="B6270" s="639">
        <v>300</v>
      </c>
      <c r="C6270" s="638">
        <v>4362.0519999999997</v>
      </c>
      <c r="D6270" s="633">
        <f t="shared" si="199"/>
        <v>4362.0519999999997</v>
      </c>
      <c r="E6270" s="608"/>
      <c r="F6270" s="760">
        <f t="shared" si="200"/>
        <v>1840.2742214050068</v>
      </c>
      <c r="M6270" s="443"/>
    </row>
    <row r="6271" spans="1:13">
      <c r="A6271" s="639">
        <v>91813</v>
      </c>
      <c r="B6271" s="639">
        <v>400</v>
      </c>
      <c r="C6271" s="638">
        <v>4413.8280000000004</v>
      </c>
      <c r="D6271" s="633">
        <f t="shared" si="199"/>
        <v>4413.8280000000004</v>
      </c>
      <c r="E6271" s="608"/>
      <c r="F6271" s="760">
        <f t="shared" si="200"/>
        <v>1862.1176194404879</v>
      </c>
      <c r="M6271" s="443"/>
    </row>
    <row r="6272" spans="1:13">
      <c r="A6272" s="639">
        <v>91813</v>
      </c>
      <c r="B6272" s="639">
        <v>500</v>
      </c>
      <c r="C6272" s="638">
        <v>4755.3720000000003</v>
      </c>
      <c r="D6272" s="633">
        <f t="shared" si="199"/>
        <v>4755.3720000000003</v>
      </c>
      <c r="E6272" s="608"/>
      <c r="F6272" s="760">
        <f t="shared" si="200"/>
        <v>2006.2091201093365</v>
      </c>
      <c r="M6272" s="443"/>
    </row>
    <row r="6273" spans="1:13">
      <c r="A6273" s="639">
        <v>91813</v>
      </c>
      <c r="B6273" s="639">
        <v>600</v>
      </c>
      <c r="C6273" s="638">
        <v>5692.9650000000001</v>
      </c>
      <c r="D6273" s="633">
        <f t="shared" si="199"/>
        <v>5692.9650000000001</v>
      </c>
      <c r="E6273" s="608"/>
      <c r="F6273" s="760">
        <f t="shared" si="200"/>
        <v>2401.7633748659932</v>
      </c>
      <c r="M6273" s="443"/>
    </row>
    <row r="6274" spans="1:13">
      <c r="A6274" s="639">
        <v>91813</v>
      </c>
      <c r="B6274" s="639">
        <v>700</v>
      </c>
      <c r="C6274" s="638">
        <v>6233.7290000000003</v>
      </c>
      <c r="D6274" s="633">
        <f t="shared" si="199"/>
        <v>6233.7290000000003</v>
      </c>
      <c r="E6274" s="608"/>
      <c r="F6274" s="760">
        <f t="shared" si="200"/>
        <v>2629.9023445673765</v>
      </c>
      <c r="M6274" s="443"/>
    </row>
    <row r="6275" spans="1:13">
      <c r="A6275" s="639">
        <v>91813</v>
      </c>
      <c r="B6275" s="639">
        <v>800</v>
      </c>
      <c r="C6275" s="638">
        <v>5982.9250000000002</v>
      </c>
      <c r="D6275" s="633">
        <f t="shared" si="199"/>
        <v>5982.9250000000002</v>
      </c>
      <c r="E6275" s="608"/>
      <c r="F6275" s="760">
        <f t="shared" si="200"/>
        <v>2524.0924789753881</v>
      </c>
      <c r="M6275" s="443"/>
    </row>
    <row r="6276" spans="1:13">
      <c r="A6276" s="639">
        <v>91813</v>
      </c>
      <c r="B6276" s="639">
        <v>900</v>
      </c>
      <c r="C6276" s="638">
        <v>5531.7650000000003</v>
      </c>
      <c r="D6276" s="633">
        <f t="shared" si="199"/>
        <v>5531.7650000000003</v>
      </c>
      <c r="E6276" s="608"/>
      <c r="F6276" s="760">
        <f t="shared" si="200"/>
        <v>2333.755885617702</v>
      </c>
      <c r="M6276" s="443"/>
    </row>
    <row r="6277" spans="1:13">
      <c r="A6277" s="639">
        <v>91813</v>
      </c>
      <c r="B6277" s="639">
        <v>1000</v>
      </c>
      <c r="C6277" s="638">
        <v>5289.2259999999997</v>
      </c>
      <c r="D6277" s="633">
        <f t="shared" ref="D6277:D6340" si="201">C6277</f>
        <v>5289.2259999999997</v>
      </c>
      <c r="E6277" s="608"/>
      <c r="F6277" s="760">
        <f t="shared" si="200"/>
        <v>2231.4328804390957</v>
      </c>
      <c r="M6277" s="443"/>
    </row>
    <row r="6278" spans="1:13">
      <c r="A6278" s="639">
        <v>91813</v>
      </c>
      <c r="B6278" s="639">
        <v>1100</v>
      </c>
      <c r="C6278" s="638">
        <v>5137.7939999999999</v>
      </c>
      <c r="D6278" s="633">
        <f t="shared" si="201"/>
        <v>5137.7939999999999</v>
      </c>
      <c r="E6278" s="608"/>
      <c r="F6278" s="760">
        <f t="shared" si="200"/>
        <v>2167.5463412837157</v>
      </c>
      <c r="M6278" s="443"/>
    </row>
    <row r="6279" spans="1:13">
      <c r="A6279" s="639">
        <v>91813</v>
      </c>
      <c r="B6279" s="639">
        <v>1200</v>
      </c>
      <c r="C6279" s="638">
        <v>4960.3119999999999</v>
      </c>
      <c r="D6279" s="633">
        <f t="shared" si="201"/>
        <v>4960.3119999999999</v>
      </c>
      <c r="E6279" s="608"/>
      <c r="F6279" s="760">
        <f t="shared" si="200"/>
        <v>2092.6697581151971</v>
      </c>
      <c r="M6279" s="443"/>
    </row>
    <row r="6280" spans="1:13">
      <c r="A6280" s="639">
        <v>91813</v>
      </c>
      <c r="B6280" s="639">
        <v>1300</v>
      </c>
      <c r="C6280" s="638">
        <v>4940.9719999999998</v>
      </c>
      <c r="D6280" s="633">
        <f t="shared" si="201"/>
        <v>4940.9719999999998</v>
      </c>
      <c r="E6280" s="608"/>
      <c r="F6280" s="760">
        <f t="shared" si="200"/>
        <v>2084.5105469361529</v>
      </c>
      <c r="M6280" s="443"/>
    </row>
    <row r="6281" spans="1:13">
      <c r="A6281" s="639">
        <v>91813</v>
      </c>
      <c r="B6281" s="639">
        <v>1400</v>
      </c>
      <c r="C6281" s="638">
        <v>4981.67</v>
      </c>
      <c r="D6281" s="633">
        <f t="shared" si="201"/>
        <v>4981.67</v>
      </c>
      <c r="E6281" s="608"/>
      <c r="F6281" s="760">
        <f t="shared" si="200"/>
        <v>2101.6803285579081</v>
      </c>
      <c r="M6281" s="443"/>
    </row>
    <row r="6282" spans="1:13">
      <c r="A6282" s="639">
        <v>91813</v>
      </c>
      <c r="B6282" s="639">
        <v>1500</v>
      </c>
      <c r="C6282" s="638">
        <v>5086.473</v>
      </c>
      <c r="D6282" s="633">
        <f t="shared" si="201"/>
        <v>5086.473</v>
      </c>
      <c r="E6282" s="608"/>
      <c r="F6282" s="760">
        <f t="shared" si="200"/>
        <v>2145.894899871113</v>
      </c>
      <c r="M6282" s="443"/>
    </row>
    <row r="6283" spans="1:13">
      <c r="A6283" s="639">
        <v>91813</v>
      </c>
      <c r="B6283" s="639">
        <v>1600</v>
      </c>
      <c r="C6283" s="638">
        <v>5243.01</v>
      </c>
      <c r="D6283" s="633">
        <f t="shared" si="201"/>
        <v>5243.01</v>
      </c>
      <c r="E6283" s="608"/>
      <c r="F6283" s="760">
        <f t="shared" si="200"/>
        <v>2211.9351501469182</v>
      </c>
      <c r="M6283" s="443"/>
    </row>
    <row r="6284" spans="1:13">
      <c r="A6284" s="639">
        <v>91813</v>
      </c>
      <c r="B6284" s="639">
        <v>1700</v>
      </c>
      <c r="C6284" s="638">
        <v>5708.4809999999998</v>
      </c>
      <c r="D6284" s="633">
        <f t="shared" si="201"/>
        <v>5708.4809999999998</v>
      </c>
      <c r="E6284" s="608"/>
      <c r="F6284" s="760">
        <f t="shared" si="200"/>
        <v>2408.3093066474848</v>
      </c>
      <c r="M6284" s="443"/>
    </row>
    <row r="6285" spans="1:13">
      <c r="A6285" s="639">
        <v>91813</v>
      </c>
      <c r="B6285" s="639">
        <v>1800</v>
      </c>
      <c r="C6285" s="638">
        <v>6008.7709999999997</v>
      </c>
      <c r="D6285" s="633">
        <f t="shared" si="201"/>
        <v>6008.7709999999997</v>
      </c>
      <c r="E6285" s="608"/>
      <c r="F6285" s="760">
        <f t="shared" si="200"/>
        <v>2534.9964589202477</v>
      </c>
      <c r="M6285" s="443"/>
    </row>
    <row r="6286" spans="1:13">
      <c r="A6286" s="639">
        <v>91813</v>
      </c>
      <c r="B6286" s="639">
        <v>1900</v>
      </c>
      <c r="C6286" s="638">
        <v>6519.8379999999997</v>
      </c>
      <c r="D6286" s="633">
        <f t="shared" si="201"/>
        <v>6519.8379999999997</v>
      </c>
      <c r="E6286" s="608"/>
      <c r="F6286" s="760">
        <f t="shared" si="200"/>
        <v>2750.6067784466522</v>
      </c>
      <c r="M6286" s="443"/>
    </row>
    <row r="6287" spans="1:13">
      <c r="A6287" s="639">
        <v>91813</v>
      </c>
      <c r="B6287" s="639">
        <v>2000</v>
      </c>
      <c r="C6287" s="638">
        <v>6893.4979999999996</v>
      </c>
      <c r="D6287" s="633">
        <f t="shared" si="201"/>
        <v>6893.4979999999996</v>
      </c>
      <c r="E6287" s="608"/>
      <c r="F6287" s="760">
        <f t="shared" si="200"/>
        <v>2908.2474635118911</v>
      </c>
      <c r="M6287" s="443"/>
    </row>
    <row r="6288" spans="1:13">
      <c r="A6288" s="639">
        <v>91813</v>
      </c>
      <c r="B6288" s="639">
        <v>2100</v>
      </c>
      <c r="C6288" s="638">
        <v>6448.8670000000002</v>
      </c>
      <c r="D6288" s="633">
        <f t="shared" si="201"/>
        <v>6448.8670000000002</v>
      </c>
      <c r="E6288" s="608"/>
      <c r="F6288" s="760">
        <f t="shared" si="200"/>
        <v>2720.6653422218355</v>
      </c>
      <c r="M6288" s="443"/>
    </row>
    <row r="6289" spans="1:13">
      <c r="A6289" s="639">
        <v>91813</v>
      </c>
      <c r="B6289" s="639">
        <v>2200</v>
      </c>
      <c r="C6289" s="638">
        <v>5751.9750000000004</v>
      </c>
      <c r="D6289" s="633">
        <f t="shared" si="201"/>
        <v>5751.9750000000004</v>
      </c>
      <c r="E6289" s="608"/>
      <c r="F6289" s="760">
        <f t="shared" si="200"/>
        <v>2426.6586722638945</v>
      </c>
      <c r="M6289" s="443"/>
    </row>
    <row r="6290" spans="1:13">
      <c r="A6290" s="639">
        <v>91813</v>
      </c>
      <c r="B6290" s="639">
        <v>2300</v>
      </c>
      <c r="C6290" s="638">
        <v>4920.2619999999997</v>
      </c>
      <c r="D6290" s="633">
        <f t="shared" si="201"/>
        <v>4920.2619999999997</v>
      </c>
      <c r="E6290" s="608"/>
      <c r="F6290" s="760">
        <f t="shared" si="200"/>
        <v>2075.7733564750356</v>
      </c>
      <c r="M6290" s="443"/>
    </row>
    <row r="6291" spans="1:13">
      <c r="A6291" s="639">
        <v>91813</v>
      </c>
      <c r="B6291" s="639">
        <v>2400</v>
      </c>
      <c r="C6291" s="638">
        <v>4329.1080000000002</v>
      </c>
      <c r="D6291" s="633">
        <f t="shared" si="201"/>
        <v>4329.1080000000002</v>
      </c>
      <c r="E6291" s="608"/>
      <c r="F6291" s="760">
        <f t="shared" si="200"/>
        <v>1826.375718143247</v>
      </c>
      <c r="M6291" s="443"/>
    </row>
    <row r="6292" spans="1:13">
      <c r="A6292" s="639">
        <v>91913</v>
      </c>
      <c r="B6292" s="639">
        <v>100</v>
      </c>
      <c r="C6292" s="638">
        <v>4094.9490000000001</v>
      </c>
      <c r="D6292" s="633">
        <f t="shared" si="201"/>
        <v>4094.9490000000001</v>
      </c>
      <c r="E6292" s="608"/>
      <c r="F6292" s="760">
        <f t="shared" si="200"/>
        <v>1727.5880898871017</v>
      </c>
      <c r="M6292" s="443"/>
    </row>
    <row r="6293" spans="1:13">
      <c r="A6293" s="639">
        <v>91913</v>
      </c>
      <c r="B6293" s="639">
        <v>200</v>
      </c>
      <c r="C6293" s="638">
        <v>3984.6880000000001</v>
      </c>
      <c r="D6293" s="633">
        <f t="shared" si="201"/>
        <v>3984.6880000000001</v>
      </c>
      <c r="E6293" s="608"/>
      <c r="F6293" s="760">
        <f t="shared" si="200"/>
        <v>1681.070882864733</v>
      </c>
      <c r="M6293" s="443"/>
    </row>
    <row r="6294" spans="1:13">
      <c r="A6294" s="639">
        <v>91913</v>
      </c>
      <c r="B6294" s="639">
        <v>300</v>
      </c>
      <c r="C6294" s="638">
        <v>4167.8190000000004</v>
      </c>
      <c r="D6294" s="633">
        <f t="shared" si="201"/>
        <v>4167.8190000000004</v>
      </c>
      <c r="E6294" s="608"/>
      <c r="F6294" s="760">
        <f t="shared" si="200"/>
        <v>1758.3306813357556</v>
      </c>
      <c r="M6294" s="443"/>
    </row>
    <row r="6295" spans="1:13">
      <c r="A6295" s="639">
        <v>91913</v>
      </c>
      <c r="B6295" s="639">
        <v>400</v>
      </c>
      <c r="C6295" s="638">
        <v>4184.7860000000001</v>
      </c>
      <c r="D6295" s="633">
        <f t="shared" si="201"/>
        <v>4184.7860000000001</v>
      </c>
      <c r="E6295" s="608"/>
      <c r="F6295" s="760">
        <f t="shared" si="200"/>
        <v>1765.4887648970191</v>
      </c>
      <c r="M6295" s="443"/>
    </row>
    <row r="6296" spans="1:13">
      <c r="A6296" s="639">
        <v>91913</v>
      </c>
      <c r="B6296" s="639">
        <v>500</v>
      </c>
      <c r="C6296" s="638">
        <v>4579.0290000000005</v>
      </c>
      <c r="D6296" s="633">
        <f t="shared" si="201"/>
        <v>4579.0290000000005</v>
      </c>
      <c r="E6296" s="608"/>
      <c r="F6296" s="760">
        <f t="shared" si="200"/>
        <v>1931.8130613220446</v>
      </c>
      <c r="M6296" s="443"/>
    </row>
    <row r="6297" spans="1:13">
      <c r="A6297" s="639">
        <v>91913</v>
      </c>
      <c r="B6297" s="639">
        <v>600</v>
      </c>
      <c r="C6297" s="638">
        <v>5453.6469999999999</v>
      </c>
      <c r="D6297" s="633">
        <f t="shared" si="201"/>
        <v>5453.6469999999999</v>
      </c>
      <c r="E6297" s="608"/>
      <c r="F6297" s="760">
        <f t="shared" si="200"/>
        <v>2300.7992538242897</v>
      </c>
      <c r="M6297" s="443"/>
    </row>
    <row r="6298" spans="1:13">
      <c r="A6298" s="639">
        <v>91913</v>
      </c>
      <c r="B6298" s="639">
        <v>700</v>
      </c>
      <c r="C6298" s="638">
        <v>6023.6769999999997</v>
      </c>
      <c r="D6298" s="633">
        <f t="shared" si="201"/>
        <v>6023.6769999999997</v>
      </c>
      <c r="E6298" s="608"/>
      <c r="F6298" s="760">
        <f t="shared" si="200"/>
        <v>2541.285042262276</v>
      </c>
      <c r="M6298" s="443"/>
    </row>
    <row r="6299" spans="1:13">
      <c r="A6299" s="639">
        <v>91913</v>
      </c>
      <c r="B6299" s="639">
        <v>800</v>
      </c>
      <c r="C6299" s="638">
        <v>6001.9970000000003</v>
      </c>
      <c r="D6299" s="633">
        <f t="shared" si="201"/>
        <v>6001.9970000000003</v>
      </c>
      <c r="E6299" s="608"/>
      <c r="F6299" s="760">
        <f t="shared" si="200"/>
        <v>2532.1386255941438</v>
      </c>
      <c r="M6299" s="443"/>
    </row>
    <row r="6300" spans="1:13">
      <c r="A6300" s="639">
        <v>91913</v>
      </c>
      <c r="B6300" s="639">
        <v>900</v>
      </c>
      <c r="C6300" s="638">
        <v>5875.7820000000002</v>
      </c>
      <c r="D6300" s="633">
        <f t="shared" si="201"/>
        <v>5875.7820000000002</v>
      </c>
      <c r="E6300" s="608"/>
      <c r="F6300" s="760">
        <f t="shared" si="200"/>
        <v>2478.8907021730952</v>
      </c>
      <c r="M6300" s="443"/>
    </row>
    <row r="6301" spans="1:13">
      <c r="A6301" s="639">
        <v>91913</v>
      </c>
      <c r="B6301" s="639">
        <v>1000</v>
      </c>
      <c r="C6301" s="638">
        <v>5638.3360000000002</v>
      </c>
      <c r="D6301" s="633">
        <f t="shared" si="201"/>
        <v>5638.3360000000002</v>
      </c>
      <c r="E6301" s="608"/>
      <c r="F6301" s="760">
        <f t="shared" si="200"/>
        <v>2378.7163455226623</v>
      </c>
      <c r="M6301" s="443"/>
    </row>
    <row r="6302" spans="1:13">
      <c r="A6302" s="639">
        <v>91913</v>
      </c>
      <c r="B6302" s="639">
        <v>1100</v>
      </c>
      <c r="C6302" s="638">
        <v>5450.1239999999998</v>
      </c>
      <c r="D6302" s="633">
        <f t="shared" si="201"/>
        <v>5450.1239999999998</v>
      </c>
      <c r="E6302" s="608"/>
      <c r="F6302" s="760">
        <f t="shared" si="200"/>
        <v>2299.3129611157183</v>
      </c>
      <c r="M6302" s="443"/>
    </row>
    <row r="6303" spans="1:13">
      <c r="A6303" s="639">
        <v>91913</v>
      </c>
      <c r="B6303" s="639">
        <v>1200</v>
      </c>
      <c r="C6303" s="638">
        <v>5409.3469999999998</v>
      </c>
      <c r="D6303" s="633">
        <f t="shared" si="201"/>
        <v>5409.3469999999998</v>
      </c>
      <c r="E6303" s="608"/>
      <c r="F6303" s="760">
        <f t="shared" si="200"/>
        <v>2282.1098507616393</v>
      </c>
      <c r="M6303" s="443"/>
    </row>
    <row r="6304" spans="1:13">
      <c r="A6304" s="639">
        <v>91913</v>
      </c>
      <c r="B6304" s="639">
        <v>1300</v>
      </c>
      <c r="C6304" s="638">
        <v>5370.3519999999999</v>
      </c>
      <c r="D6304" s="633">
        <f t="shared" si="201"/>
        <v>5370.3519999999999</v>
      </c>
      <c r="E6304" s="608"/>
      <c r="F6304" s="760">
        <f t="shared" si="200"/>
        <v>2265.6585353569426</v>
      </c>
      <c r="M6304" s="443"/>
    </row>
    <row r="6305" spans="1:13">
      <c r="A6305" s="639">
        <v>91913</v>
      </c>
      <c r="B6305" s="639">
        <v>1400</v>
      </c>
      <c r="C6305" s="638">
        <v>5083.7179999999998</v>
      </c>
      <c r="D6305" s="633">
        <f t="shared" si="201"/>
        <v>5083.7179999999998</v>
      </c>
      <c r="E6305" s="608"/>
      <c r="F6305" s="760">
        <f t="shared" si="200"/>
        <v>2144.7326130666529</v>
      </c>
      <c r="M6305" s="443"/>
    </row>
    <row r="6306" spans="1:13">
      <c r="A6306" s="639">
        <v>91913</v>
      </c>
      <c r="B6306" s="639">
        <v>1500</v>
      </c>
      <c r="C6306" s="638">
        <v>5148.8829999999998</v>
      </c>
      <c r="D6306" s="633">
        <f t="shared" si="201"/>
        <v>5148.8829999999998</v>
      </c>
      <c r="E6306" s="608"/>
      <c r="F6306" s="760">
        <f t="shared" si="200"/>
        <v>2172.2245984070055</v>
      </c>
      <c r="M6306" s="443"/>
    </row>
    <row r="6307" spans="1:13">
      <c r="A6307" s="639">
        <v>91913</v>
      </c>
      <c r="B6307" s="639">
        <v>1600</v>
      </c>
      <c r="C6307" s="638">
        <v>5433.3590000000004</v>
      </c>
      <c r="D6307" s="633">
        <f t="shared" si="201"/>
        <v>5433.3590000000004</v>
      </c>
      <c r="E6307" s="608"/>
      <c r="F6307" s="760">
        <f t="shared" si="200"/>
        <v>2292.2400978573587</v>
      </c>
      <c r="M6307" s="443"/>
    </row>
    <row r="6308" spans="1:13">
      <c r="A6308" s="639">
        <v>91913</v>
      </c>
      <c r="B6308" s="639">
        <v>1700</v>
      </c>
      <c r="C6308" s="638">
        <v>5932.6289999999999</v>
      </c>
      <c r="D6308" s="633">
        <f t="shared" si="201"/>
        <v>5932.6289999999999</v>
      </c>
      <c r="E6308" s="608"/>
      <c r="F6308" s="760">
        <f t="shared" ref="F6308:F6371" si="202">(D6308/(MAX($D$5860:$D$6579)))*$M$12</f>
        <v>2502.8734673176209</v>
      </c>
      <c r="M6308" s="443"/>
    </row>
    <row r="6309" spans="1:13">
      <c r="A6309" s="639">
        <v>91913</v>
      </c>
      <c r="B6309" s="639">
        <v>1800</v>
      </c>
      <c r="C6309" s="638">
        <v>6142.491</v>
      </c>
      <c r="D6309" s="633">
        <f t="shared" si="201"/>
        <v>6142.491</v>
      </c>
      <c r="E6309" s="608"/>
      <c r="F6309" s="760">
        <f t="shared" si="202"/>
        <v>2591.4106119120684</v>
      </c>
      <c r="M6309" s="443"/>
    </row>
    <row r="6310" spans="1:13">
      <c r="A6310" s="639">
        <v>91913</v>
      </c>
      <c r="B6310" s="639">
        <v>1900</v>
      </c>
      <c r="C6310" s="638">
        <v>6654.7839999999997</v>
      </c>
      <c r="D6310" s="633">
        <f t="shared" si="201"/>
        <v>6654.7839999999997</v>
      </c>
      <c r="E6310" s="608"/>
      <c r="F6310" s="760">
        <f t="shared" si="202"/>
        <v>2807.5381596135253</v>
      </c>
      <c r="M6310" s="443"/>
    </row>
    <row r="6311" spans="1:13">
      <c r="A6311" s="639">
        <v>91913</v>
      </c>
      <c r="B6311" s="639">
        <v>2000</v>
      </c>
      <c r="C6311" s="638">
        <v>7050.8950000000004</v>
      </c>
      <c r="D6311" s="633">
        <f t="shared" si="201"/>
        <v>7050.8950000000004</v>
      </c>
      <c r="E6311" s="608"/>
      <c r="F6311" s="760">
        <f t="shared" si="202"/>
        <v>2974.6505328990706</v>
      </c>
      <c r="M6311" s="443"/>
    </row>
    <row r="6312" spans="1:13">
      <c r="A6312" s="639">
        <v>91913</v>
      </c>
      <c r="B6312" s="639">
        <v>2100</v>
      </c>
      <c r="C6312" s="638">
        <v>6638.24</v>
      </c>
      <c r="D6312" s="633">
        <f t="shared" si="201"/>
        <v>6638.24</v>
      </c>
      <c r="E6312" s="608"/>
      <c r="F6312" s="760">
        <f t="shared" si="202"/>
        <v>2800.5585324291346</v>
      </c>
      <c r="M6312" s="443"/>
    </row>
    <row r="6313" spans="1:13">
      <c r="A6313" s="639">
        <v>91913</v>
      </c>
      <c r="B6313" s="639">
        <v>2200</v>
      </c>
      <c r="C6313" s="638">
        <v>5819.6390000000001</v>
      </c>
      <c r="D6313" s="633">
        <f t="shared" si="201"/>
        <v>5819.6390000000001</v>
      </c>
      <c r="E6313" s="608"/>
      <c r="F6313" s="760">
        <f t="shared" si="202"/>
        <v>2455.2049424406705</v>
      </c>
      <c r="M6313" s="443"/>
    </row>
    <row r="6314" spans="1:13">
      <c r="A6314" s="639">
        <v>91913</v>
      </c>
      <c r="B6314" s="639">
        <v>2300</v>
      </c>
      <c r="C6314" s="638">
        <v>4949.3829999999998</v>
      </c>
      <c r="D6314" s="633">
        <f t="shared" si="201"/>
        <v>4949.3829999999998</v>
      </c>
      <c r="E6314" s="608"/>
      <c r="F6314" s="760">
        <f t="shared" si="202"/>
        <v>2088.0590022219303</v>
      </c>
      <c r="M6314" s="443"/>
    </row>
    <row r="6315" spans="1:13">
      <c r="A6315" s="639">
        <v>91913</v>
      </c>
      <c r="B6315" s="639">
        <v>2400</v>
      </c>
      <c r="C6315" s="638">
        <v>4378.4089999999997</v>
      </c>
      <c r="D6315" s="633">
        <f t="shared" si="201"/>
        <v>4378.4089999999997</v>
      </c>
      <c r="E6315" s="608"/>
      <c r="F6315" s="760">
        <f t="shared" si="202"/>
        <v>1847.1749565268074</v>
      </c>
      <c r="M6315" s="443"/>
    </row>
    <row r="6316" spans="1:13">
      <c r="A6316" s="639">
        <v>92013</v>
      </c>
      <c r="B6316" s="639">
        <v>100</v>
      </c>
      <c r="C6316" s="638">
        <v>4108.6670000000004</v>
      </c>
      <c r="D6316" s="633">
        <f t="shared" si="201"/>
        <v>4108.6670000000004</v>
      </c>
      <c r="E6316" s="608"/>
      <c r="F6316" s="760">
        <f t="shared" si="202"/>
        <v>1733.375476596209</v>
      </c>
      <c r="M6316" s="443"/>
    </row>
    <row r="6317" spans="1:13">
      <c r="A6317" s="639">
        <v>92013</v>
      </c>
      <c r="B6317" s="639">
        <v>200</v>
      </c>
      <c r="C6317" s="638">
        <v>4022.6619999999998</v>
      </c>
      <c r="D6317" s="633">
        <f t="shared" si="201"/>
        <v>4022.6619999999998</v>
      </c>
      <c r="E6317" s="608"/>
      <c r="F6317" s="760">
        <f t="shared" si="202"/>
        <v>1697.0914560453446</v>
      </c>
      <c r="M6317" s="443"/>
    </row>
    <row r="6318" spans="1:13">
      <c r="A6318" s="639">
        <v>92013</v>
      </c>
      <c r="B6318" s="639">
        <v>300</v>
      </c>
      <c r="C6318" s="638">
        <v>4217.8509999999997</v>
      </c>
      <c r="D6318" s="633">
        <f t="shared" si="201"/>
        <v>4217.8509999999997</v>
      </c>
      <c r="E6318" s="608"/>
      <c r="F6318" s="760">
        <f t="shared" si="202"/>
        <v>1779.438315963984</v>
      </c>
      <c r="M6318" s="443"/>
    </row>
    <row r="6319" spans="1:13">
      <c r="A6319" s="639">
        <v>92013</v>
      </c>
      <c r="B6319" s="639">
        <v>400</v>
      </c>
      <c r="C6319" s="638">
        <v>4217.8900000000003</v>
      </c>
      <c r="D6319" s="633">
        <f t="shared" si="201"/>
        <v>4217.8900000000003</v>
      </c>
      <c r="E6319" s="608"/>
      <c r="F6319" s="760">
        <f t="shared" si="202"/>
        <v>1779.4547693888026</v>
      </c>
      <c r="M6319" s="443"/>
    </row>
    <row r="6320" spans="1:13">
      <c r="A6320" s="639">
        <v>92013</v>
      </c>
      <c r="B6320" s="639">
        <v>500</v>
      </c>
      <c r="C6320" s="638">
        <v>4529.2340000000004</v>
      </c>
      <c r="D6320" s="633">
        <f t="shared" si="201"/>
        <v>4529.2340000000004</v>
      </c>
      <c r="E6320" s="608"/>
      <c r="F6320" s="760">
        <f t="shared" si="202"/>
        <v>1910.8054128907875</v>
      </c>
      <c r="M6320" s="443"/>
    </row>
    <row r="6321" spans="1:13">
      <c r="A6321" s="639">
        <v>92013</v>
      </c>
      <c r="B6321" s="639">
        <v>600</v>
      </c>
      <c r="C6321" s="638">
        <v>5227.6049999999996</v>
      </c>
      <c r="D6321" s="633">
        <f t="shared" si="201"/>
        <v>5227.6049999999996</v>
      </c>
      <c r="E6321" s="608"/>
      <c r="F6321" s="760">
        <f t="shared" si="202"/>
        <v>2205.4360473437546</v>
      </c>
      <c r="M6321" s="443"/>
    </row>
    <row r="6322" spans="1:13">
      <c r="A6322" s="639">
        <v>92013</v>
      </c>
      <c r="B6322" s="639">
        <v>700</v>
      </c>
      <c r="C6322" s="638">
        <v>5865.0140000000001</v>
      </c>
      <c r="D6322" s="633">
        <f t="shared" si="201"/>
        <v>5865.0140000000001</v>
      </c>
      <c r="E6322" s="608"/>
      <c r="F6322" s="760">
        <f t="shared" si="202"/>
        <v>2474.3478693925395</v>
      </c>
      <c r="M6322" s="443"/>
    </row>
    <row r="6323" spans="1:13">
      <c r="A6323" s="639">
        <v>92013</v>
      </c>
      <c r="B6323" s="639">
        <v>800</v>
      </c>
      <c r="C6323" s="638">
        <v>5906.8919999999998</v>
      </c>
      <c r="D6323" s="633">
        <f t="shared" si="201"/>
        <v>5906.8919999999998</v>
      </c>
      <c r="E6323" s="608"/>
      <c r="F6323" s="760">
        <f t="shared" si="202"/>
        <v>2492.0154725857151</v>
      </c>
      <c r="M6323" s="443"/>
    </row>
    <row r="6324" spans="1:13">
      <c r="A6324" s="639">
        <v>92013</v>
      </c>
      <c r="B6324" s="639">
        <v>900</v>
      </c>
      <c r="C6324" s="638">
        <v>5902.0919999999996</v>
      </c>
      <c r="D6324" s="633">
        <f t="shared" si="201"/>
        <v>5902.0919999999996</v>
      </c>
      <c r="E6324" s="608"/>
      <c r="F6324" s="760">
        <f t="shared" si="202"/>
        <v>2489.9904356850211</v>
      </c>
      <c r="M6324" s="443"/>
    </row>
    <row r="6325" spans="1:13">
      <c r="A6325" s="639">
        <v>92013</v>
      </c>
      <c r="B6325" s="639">
        <v>1000</v>
      </c>
      <c r="C6325" s="638">
        <v>5727.0789999999997</v>
      </c>
      <c r="D6325" s="633">
        <f t="shared" si="201"/>
        <v>5727.0789999999997</v>
      </c>
      <c r="E6325" s="608"/>
      <c r="F6325" s="760">
        <f t="shared" si="202"/>
        <v>2416.1554808722972</v>
      </c>
      <c r="M6325" s="443"/>
    </row>
    <row r="6326" spans="1:13">
      <c r="A6326" s="639">
        <v>92013</v>
      </c>
      <c r="B6326" s="639">
        <v>1100</v>
      </c>
      <c r="C6326" s="638">
        <v>5572.7979999999998</v>
      </c>
      <c r="D6326" s="633">
        <f t="shared" si="201"/>
        <v>5572.7979999999998</v>
      </c>
      <c r="E6326" s="608"/>
      <c r="F6326" s="760">
        <f t="shared" si="202"/>
        <v>2351.0669979398181</v>
      </c>
      <c r="M6326" s="443"/>
    </row>
    <row r="6327" spans="1:13">
      <c r="A6327" s="639">
        <v>92013</v>
      </c>
      <c r="B6327" s="639">
        <v>1200</v>
      </c>
      <c r="C6327" s="638">
        <v>5728.9970000000003</v>
      </c>
      <c r="D6327" s="633">
        <f t="shared" si="201"/>
        <v>5728.9970000000003</v>
      </c>
      <c r="E6327" s="608"/>
      <c r="F6327" s="760">
        <f t="shared" si="202"/>
        <v>2416.9646518671993</v>
      </c>
      <c r="M6327" s="443"/>
    </row>
    <row r="6328" spans="1:13">
      <c r="A6328" s="639">
        <v>92013</v>
      </c>
      <c r="B6328" s="639">
        <v>1300</v>
      </c>
      <c r="C6328" s="638">
        <v>5546.0619999999999</v>
      </c>
      <c r="D6328" s="633">
        <f t="shared" si="201"/>
        <v>5546.0619999999999</v>
      </c>
      <c r="E6328" s="608"/>
      <c r="F6328" s="760">
        <f t="shared" si="202"/>
        <v>2339.7875424029553</v>
      </c>
      <c r="M6328" s="443"/>
    </row>
    <row r="6329" spans="1:13">
      <c r="A6329" s="639">
        <v>92013</v>
      </c>
      <c r="B6329" s="639">
        <v>1400</v>
      </c>
      <c r="C6329" s="638">
        <v>5552.6589999999997</v>
      </c>
      <c r="D6329" s="633">
        <f t="shared" si="201"/>
        <v>5552.6589999999997</v>
      </c>
      <c r="E6329" s="608"/>
      <c r="F6329" s="760">
        <f t="shared" si="202"/>
        <v>2342.5707024933458</v>
      </c>
      <c r="M6329" s="443"/>
    </row>
    <row r="6330" spans="1:13">
      <c r="A6330" s="639">
        <v>92013</v>
      </c>
      <c r="B6330" s="639">
        <v>1500</v>
      </c>
      <c r="C6330" s="638">
        <v>5627.3050000000003</v>
      </c>
      <c r="D6330" s="633">
        <f t="shared" si="201"/>
        <v>5627.3050000000003</v>
      </c>
      <c r="E6330" s="608"/>
      <c r="F6330" s="760">
        <f t="shared" si="202"/>
        <v>2374.0625575952563</v>
      </c>
      <c r="M6330" s="443"/>
    </row>
    <row r="6331" spans="1:13">
      <c r="A6331" s="639">
        <v>92013</v>
      </c>
      <c r="B6331" s="639">
        <v>1600</v>
      </c>
      <c r="C6331" s="638">
        <v>5859.9549999999999</v>
      </c>
      <c r="D6331" s="633">
        <f t="shared" si="201"/>
        <v>5859.9549999999999</v>
      </c>
      <c r="E6331" s="608"/>
      <c r="F6331" s="760">
        <f t="shared" si="202"/>
        <v>2472.2135648757458</v>
      </c>
      <c r="M6331" s="443"/>
    </row>
    <row r="6332" spans="1:13">
      <c r="A6332" s="639">
        <v>92013</v>
      </c>
      <c r="B6332" s="639">
        <v>1700</v>
      </c>
      <c r="C6332" s="638">
        <v>6221.076</v>
      </c>
      <c r="D6332" s="633">
        <f t="shared" si="201"/>
        <v>6221.076</v>
      </c>
      <c r="E6332" s="608"/>
      <c r="F6332" s="760">
        <f t="shared" si="202"/>
        <v>2624.56426292061</v>
      </c>
      <c r="M6332" s="443"/>
    </row>
    <row r="6333" spans="1:13">
      <c r="A6333" s="639">
        <v>92013</v>
      </c>
      <c r="B6333" s="639">
        <v>1800</v>
      </c>
      <c r="C6333" s="638">
        <v>6611.2619999999997</v>
      </c>
      <c r="D6333" s="633">
        <f t="shared" si="201"/>
        <v>6611.2619999999997</v>
      </c>
      <c r="E6333" s="608"/>
      <c r="F6333" s="760">
        <f t="shared" si="202"/>
        <v>2789.1769812818616</v>
      </c>
      <c r="M6333" s="443"/>
    </row>
    <row r="6334" spans="1:13">
      <c r="A6334" s="639">
        <v>92013</v>
      </c>
      <c r="B6334" s="639">
        <v>1900</v>
      </c>
      <c r="C6334" s="638">
        <v>6928.64</v>
      </c>
      <c r="D6334" s="633">
        <f t="shared" si="201"/>
        <v>6928.64</v>
      </c>
      <c r="E6334" s="608"/>
      <c r="F6334" s="760">
        <f t="shared" si="202"/>
        <v>2923.0732649210941</v>
      </c>
      <c r="M6334" s="443"/>
    </row>
    <row r="6335" spans="1:13">
      <c r="A6335" s="639">
        <v>92013</v>
      </c>
      <c r="B6335" s="639">
        <v>2000</v>
      </c>
      <c r="C6335" s="638">
        <v>7114.8770000000004</v>
      </c>
      <c r="D6335" s="633">
        <f t="shared" si="201"/>
        <v>7114.8770000000004</v>
      </c>
      <c r="E6335" s="608"/>
      <c r="F6335" s="760">
        <f t="shared" si="202"/>
        <v>3001.6434310199402</v>
      </c>
      <c r="M6335" s="443"/>
    </row>
    <row r="6336" spans="1:13">
      <c r="A6336" s="639">
        <v>92013</v>
      </c>
      <c r="B6336" s="639">
        <v>2100</v>
      </c>
      <c r="C6336" s="638">
        <v>6909.3490000000002</v>
      </c>
      <c r="D6336" s="633">
        <f t="shared" si="201"/>
        <v>6909.3490000000002</v>
      </c>
      <c r="E6336" s="608"/>
      <c r="F6336" s="760">
        <f t="shared" si="202"/>
        <v>2914.934725993744</v>
      </c>
      <c r="M6336" s="443"/>
    </row>
    <row r="6337" spans="1:13">
      <c r="A6337" s="639">
        <v>92013</v>
      </c>
      <c r="B6337" s="639">
        <v>2200</v>
      </c>
      <c r="C6337" s="638">
        <v>6330.7690000000002</v>
      </c>
      <c r="D6337" s="633">
        <f t="shared" si="201"/>
        <v>6330.7690000000002</v>
      </c>
      <c r="E6337" s="608"/>
      <c r="F6337" s="760">
        <f t="shared" si="202"/>
        <v>2670.8418405763969</v>
      </c>
      <c r="M6337" s="443"/>
    </row>
    <row r="6338" spans="1:13">
      <c r="A6338" s="639">
        <v>92013</v>
      </c>
      <c r="B6338" s="639">
        <v>2300</v>
      </c>
      <c r="C6338" s="638">
        <v>5549.8729999999996</v>
      </c>
      <c r="D6338" s="633">
        <f t="shared" si="201"/>
        <v>5549.8729999999996</v>
      </c>
      <c r="E6338" s="608"/>
      <c r="F6338" s="760">
        <f t="shared" si="202"/>
        <v>2341.3953373255681</v>
      </c>
      <c r="M6338" s="443"/>
    </row>
    <row r="6339" spans="1:13">
      <c r="A6339" s="639">
        <v>92013</v>
      </c>
      <c r="B6339" s="639">
        <v>2400</v>
      </c>
      <c r="C6339" s="638">
        <v>4775.8789999999999</v>
      </c>
      <c r="D6339" s="633">
        <f t="shared" si="201"/>
        <v>4775.8789999999999</v>
      </c>
      <c r="E6339" s="608"/>
      <c r="F6339" s="760">
        <f t="shared" si="202"/>
        <v>2014.8606683848616</v>
      </c>
      <c r="M6339" s="443"/>
    </row>
    <row r="6340" spans="1:13">
      <c r="A6340" s="639">
        <v>92113</v>
      </c>
      <c r="B6340" s="639">
        <v>100</v>
      </c>
      <c r="C6340" s="638">
        <v>4415.38</v>
      </c>
      <c r="D6340" s="633">
        <f t="shared" si="201"/>
        <v>4415.38</v>
      </c>
      <c r="E6340" s="608"/>
      <c r="F6340" s="760">
        <f t="shared" si="202"/>
        <v>1862.7723813717118</v>
      </c>
      <c r="M6340" s="443"/>
    </row>
    <row r="6341" spans="1:13">
      <c r="A6341" s="639">
        <v>92113</v>
      </c>
      <c r="B6341" s="639">
        <v>200</v>
      </c>
      <c r="C6341" s="638">
        <v>4230.1790000000001</v>
      </c>
      <c r="D6341" s="633">
        <f t="shared" ref="D6341:D6404" si="203">C6341</f>
        <v>4230.1790000000001</v>
      </c>
      <c r="E6341" s="608"/>
      <c r="F6341" s="760">
        <f t="shared" si="202"/>
        <v>1784.6392857372655</v>
      </c>
      <c r="M6341" s="443"/>
    </row>
    <row r="6342" spans="1:13">
      <c r="A6342" s="639">
        <v>92113</v>
      </c>
      <c r="B6342" s="639">
        <v>300</v>
      </c>
      <c r="C6342" s="638">
        <v>4324.2340000000004</v>
      </c>
      <c r="D6342" s="633">
        <f t="shared" si="203"/>
        <v>4324.2340000000004</v>
      </c>
      <c r="E6342" s="608"/>
      <c r="F6342" s="760">
        <f t="shared" si="202"/>
        <v>1824.3194619236679</v>
      </c>
      <c r="M6342" s="443"/>
    </row>
    <row r="6343" spans="1:13">
      <c r="A6343" s="639">
        <v>92113</v>
      </c>
      <c r="B6343" s="639">
        <v>400</v>
      </c>
      <c r="C6343" s="638">
        <v>4290.3519999999999</v>
      </c>
      <c r="D6343" s="633">
        <f t="shared" si="203"/>
        <v>4290.3519999999999</v>
      </c>
      <c r="E6343" s="608"/>
      <c r="F6343" s="760">
        <f t="shared" si="202"/>
        <v>1810.025232700897</v>
      </c>
      <c r="M6343" s="443"/>
    </row>
    <row r="6344" spans="1:13">
      <c r="A6344" s="639">
        <v>92113</v>
      </c>
      <c r="B6344" s="639">
        <v>500</v>
      </c>
      <c r="C6344" s="638">
        <v>4364.88</v>
      </c>
      <c r="D6344" s="633">
        <f t="shared" si="203"/>
        <v>4364.88</v>
      </c>
      <c r="E6344" s="608"/>
      <c r="F6344" s="760">
        <f t="shared" si="202"/>
        <v>1841.4673056456654</v>
      </c>
      <c r="M6344" s="443"/>
    </row>
    <row r="6345" spans="1:13">
      <c r="A6345" s="639">
        <v>92113</v>
      </c>
      <c r="B6345" s="639">
        <v>600</v>
      </c>
      <c r="C6345" s="638">
        <v>4674.2809999999999</v>
      </c>
      <c r="D6345" s="633">
        <f t="shared" si="203"/>
        <v>4674.2809999999999</v>
      </c>
      <c r="E6345" s="608"/>
      <c r="F6345" s="760">
        <f t="shared" si="202"/>
        <v>1971.9982310855571</v>
      </c>
      <c r="M6345" s="443"/>
    </row>
    <row r="6346" spans="1:13">
      <c r="A6346" s="639">
        <v>92113</v>
      </c>
      <c r="B6346" s="639">
        <v>700</v>
      </c>
      <c r="C6346" s="638">
        <v>5223.4110000000001</v>
      </c>
      <c r="D6346" s="633">
        <f t="shared" si="203"/>
        <v>5223.4110000000001</v>
      </c>
      <c r="E6346" s="608"/>
      <c r="F6346" s="760">
        <f t="shared" si="202"/>
        <v>2203.6666713517739</v>
      </c>
      <c r="M6346" s="443"/>
    </row>
    <row r="6347" spans="1:13">
      <c r="A6347" s="639">
        <v>92113</v>
      </c>
      <c r="B6347" s="639">
        <v>800</v>
      </c>
      <c r="C6347" s="638">
        <v>5866.5510000000004</v>
      </c>
      <c r="D6347" s="633">
        <f t="shared" si="203"/>
        <v>5866.5510000000004</v>
      </c>
      <c r="E6347" s="608"/>
      <c r="F6347" s="760">
        <f t="shared" si="202"/>
        <v>2474.9963030834492</v>
      </c>
      <c r="M6347" s="443"/>
    </row>
    <row r="6348" spans="1:13">
      <c r="A6348" s="639">
        <v>92113</v>
      </c>
      <c r="B6348" s="639">
        <v>900</v>
      </c>
      <c r="C6348" s="638">
        <v>6169.9380000000001</v>
      </c>
      <c r="D6348" s="633">
        <f t="shared" si="203"/>
        <v>6169.9380000000001</v>
      </c>
      <c r="E6348" s="608"/>
      <c r="F6348" s="760">
        <f t="shared" si="202"/>
        <v>2602.9900260398467</v>
      </c>
      <c r="M6348" s="443"/>
    </row>
    <row r="6349" spans="1:13">
      <c r="A6349" s="639">
        <v>92113</v>
      </c>
      <c r="B6349" s="639">
        <v>1000</v>
      </c>
      <c r="C6349" s="638">
        <v>6502.2349999999997</v>
      </c>
      <c r="D6349" s="633">
        <f t="shared" si="203"/>
        <v>6502.2349999999997</v>
      </c>
      <c r="E6349" s="608"/>
      <c r="F6349" s="760">
        <f t="shared" si="202"/>
        <v>2743.1803774960463</v>
      </c>
      <c r="M6349" s="443"/>
    </row>
    <row r="6350" spans="1:13">
      <c r="A6350" s="639">
        <v>92113</v>
      </c>
      <c r="B6350" s="639">
        <v>1100</v>
      </c>
      <c r="C6350" s="638">
        <v>6586.9660000000003</v>
      </c>
      <c r="D6350" s="633">
        <f t="shared" si="203"/>
        <v>6586.9660000000003</v>
      </c>
      <c r="E6350" s="608"/>
      <c r="F6350" s="760">
        <f t="shared" si="202"/>
        <v>2778.9269195028514</v>
      </c>
      <c r="M6350" s="443"/>
    </row>
    <row r="6351" spans="1:13">
      <c r="A6351" s="639">
        <v>92113</v>
      </c>
      <c r="B6351" s="639">
        <v>1200</v>
      </c>
      <c r="C6351" s="638">
        <v>6685.4690000000001</v>
      </c>
      <c r="D6351" s="633">
        <f t="shared" si="203"/>
        <v>6685.4690000000001</v>
      </c>
      <c r="E6351" s="608"/>
      <c r="F6351" s="760">
        <f t="shared" si="202"/>
        <v>2820.4836298838964</v>
      </c>
      <c r="M6351" s="443"/>
    </row>
    <row r="6352" spans="1:13">
      <c r="A6352" s="639">
        <v>92113</v>
      </c>
      <c r="B6352" s="639">
        <v>1300</v>
      </c>
      <c r="C6352" s="638">
        <v>6520.9840000000004</v>
      </c>
      <c r="D6352" s="633">
        <f t="shared" si="203"/>
        <v>6520.9840000000004</v>
      </c>
      <c r="E6352" s="608"/>
      <c r="F6352" s="760">
        <f t="shared" si="202"/>
        <v>2751.0902560066929</v>
      </c>
      <c r="M6352" s="443"/>
    </row>
    <row r="6353" spans="1:13">
      <c r="A6353" s="639">
        <v>92113</v>
      </c>
      <c r="B6353" s="639">
        <v>1400</v>
      </c>
      <c r="C6353" s="638">
        <v>6506.8469999999998</v>
      </c>
      <c r="D6353" s="633">
        <f t="shared" si="203"/>
        <v>6506.8469999999998</v>
      </c>
      <c r="E6353" s="608"/>
      <c r="F6353" s="760">
        <f t="shared" si="202"/>
        <v>2745.1261004514627</v>
      </c>
      <c r="M6353" s="443"/>
    </row>
    <row r="6354" spans="1:13">
      <c r="A6354" s="639">
        <v>92113</v>
      </c>
      <c r="B6354" s="639">
        <v>1500</v>
      </c>
      <c r="C6354" s="638">
        <v>6507.3459999999995</v>
      </c>
      <c r="D6354" s="633">
        <f t="shared" si="203"/>
        <v>6507.3459999999995</v>
      </c>
      <c r="E6354" s="608"/>
      <c r="F6354" s="760">
        <f t="shared" si="202"/>
        <v>2745.3366199125971</v>
      </c>
      <c r="M6354" s="443"/>
    </row>
    <row r="6355" spans="1:13">
      <c r="A6355" s="639">
        <v>92113</v>
      </c>
      <c r="B6355" s="639">
        <v>1600</v>
      </c>
      <c r="C6355" s="638">
        <v>6606.53</v>
      </c>
      <c r="D6355" s="633">
        <f t="shared" si="203"/>
        <v>6606.53</v>
      </c>
      <c r="E6355" s="608"/>
      <c r="F6355" s="760">
        <f t="shared" si="202"/>
        <v>2787.180632403928</v>
      </c>
      <c r="M6355" s="443"/>
    </row>
    <row r="6356" spans="1:13">
      <c r="A6356" s="639">
        <v>92113</v>
      </c>
      <c r="B6356" s="639">
        <v>1700</v>
      </c>
      <c r="C6356" s="638">
        <v>6382.8440000000001</v>
      </c>
      <c r="D6356" s="633">
        <f t="shared" si="203"/>
        <v>6382.8440000000001</v>
      </c>
      <c r="E6356" s="608"/>
      <c r="F6356" s="760">
        <f t="shared" si="202"/>
        <v>2692.8113815354836</v>
      </c>
      <c r="M6356" s="443"/>
    </row>
    <row r="6357" spans="1:13">
      <c r="A6357" s="639">
        <v>92113</v>
      </c>
      <c r="B6357" s="639">
        <v>1800</v>
      </c>
      <c r="C6357" s="638">
        <v>6393.277</v>
      </c>
      <c r="D6357" s="633">
        <f t="shared" si="203"/>
        <v>6393.277</v>
      </c>
      <c r="E6357" s="608"/>
      <c r="F6357" s="760">
        <f t="shared" si="202"/>
        <v>2697.2128836156789</v>
      </c>
      <c r="M6357" s="443"/>
    </row>
    <row r="6358" spans="1:13">
      <c r="A6358" s="639">
        <v>92113</v>
      </c>
      <c r="B6358" s="639">
        <v>1900</v>
      </c>
      <c r="C6358" s="638">
        <v>6719.1450000000004</v>
      </c>
      <c r="D6358" s="633">
        <f t="shared" si="203"/>
        <v>6719.1450000000004</v>
      </c>
      <c r="E6358" s="608"/>
      <c r="F6358" s="760">
        <f t="shared" si="202"/>
        <v>2834.6909512730122</v>
      </c>
      <c r="M6358" s="443"/>
    </row>
    <row r="6359" spans="1:13">
      <c r="A6359" s="639">
        <v>92113</v>
      </c>
      <c r="B6359" s="639">
        <v>2000</v>
      </c>
      <c r="C6359" s="638">
        <v>6898.1980000000003</v>
      </c>
      <c r="D6359" s="633">
        <f t="shared" si="203"/>
        <v>6898.1980000000003</v>
      </c>
      <c r="E6359" s="608"/>
      <c r="F6359" s="760">
        <f t="shared" si="202"/>
        <v>2910.2303121438199</v>
      </c>
      <c r="M6359" s="443"/>
    </row>
    <row r="6360" spans="1:13">
      <c r="A6360" s="639">
        <v>92113</v>
      </c>
      <c r="B6360" s="639">
        <v>2100</v>
      </c>
      <c r="C6360" s="638">
        <v>6575.4319999999998</v>
      </c>
      <c r="D6360" s="633">
        <f t="shared" si="203"/>
        <v>6575.4319999999998</v>
      </c>
      <c r="E6360" s="608"/>
      <c r="F6360" s="760">
        <f t="shared" si="202"/>
        <v>2774.0609245835599</v>
      </c>
      <c r="M6360" s="443"/>
    </row>
    <row r="6361" spans="1:13">
      <c r="A6361" s="639">
        <v>92113</v>
      </c>
      <c r="B6361" s="639">
        <v>2200</v>
      </c>
      <c r="C6361" s="638">
        <v>5992.5150000000003</v>
      </c>
      <c r="D6361" s="633">
        <f t="shared" si="203"/>
        <v>5992.5150000000003</v>
      </c>
      <c r="E6361" s="608"/>
      <c r="F6361" s="760">
        <f t="shared" si="202"/>
        <v>2528.1383339498989</v>
      </c>
      <c r="M6361" s="443"/>
    </row>
    <row r="6362" spans="1:13">
      <c r="A6362" s="639">
        <v>92113</v>
      </c>
      <c r="B6362" s="639">
        <v>2300</v>
      </c>
      <c r="C6362" s="638">
        <v>5440.0119999999997</v>
      </c>
      <c r="D6362" s="633">
        <f t="shared" si="203"/>
        <v>5440.0119999999997</v>
      </c>
      <c r="E6362" s="608"/>
      <c r="F6362" s="760">
        <f t="shared" si="202"/>
        <v>2295.0468833782575</v>
      </c>
      <c r="M6362" s="443"/>
    </row>
    <row r="6363" spans="1:13">
      <c r="A6363" s="639">
        <v>92113</v>
      </c>
      <c r="B6363" s="639">
        <v>2400</v>
      </c>
      <c r="C6363" s="638">
        <v>4827.759</v>
      </c>
      <c r="D6363" s="633">
        <f t="shared" si="203"/>
        <v>4827.759</v>
      </c>
      <c r="E6363" s="608"/>
      <c r="F6363" s="760">
        <f t="shared" si="202"/>
        <v>2036.7479422198576</v>
      </c>
      <c r="M6363" s="443"/>
    </row>
    <row r="6364" spans="1:13">
      <c r="A6364" s="639">
        <v>92213</v>
      </c>
      <c r="B6364" s="639">
        <v>100</v>
      </c>
      <c r="C6364" s="638">
        <v>4447.2969999999996</v>
      </c>
      <c r="D6364" s="633">
        <f t="shared" si="203"/>
        <v>4447.2969999999996</v>
      </c>
      <c r="E6364" s="608"/>
      <c r="F6364" s="760">
        <f t="shared" si="202"/>
        <v>1876.237611113261</v>
      </c>
      <c r="M6364" s="443"/>
    </row>
    <row r="6365" spans="1:13">
      <c r="A6365" s="639">
        <v>92213</v>
      </c>
      <c r="B6365" s="639">
        <v>200</v>
      </c>
      <c r="C6365" s="638">
        <v>4247.335</v>
      </c>
      <c r="D6365" s="633">
        <f t="shared" si="203"/>
        <v>4247.335</v>
      </c>
      <c r="E6365" s="608"/>
      <c r="F6365" s="760">
        <f t="shared" si="202"/>
        <v>1791.8771051264944</v>
      </c>
      <c r="M6365" s="443"/>
    </row>
    <row r="6366" spans="1:13">
      <c r="A6366" s="639">
        <v>92213</v>
      </c>
      <c r="B6366" s="639">
        <v>300</v>
      </c>
      <c r="C6366" s="638">
        <v>4371.7539999999999</v>
      </c>
      <c r="D6366" s="633">
        <f t="shared" si="203"/>
        <v>4371.7539999999999</v>
      </c>
      <c r="E6366" s="608"/>
      <c r="F6366" s="760">
        <f t="shared" si="202"/>
        <v>1844.3673272405335</v>
      </c>
      <c r="M6366" s="443"/>
    </row>
    <row r="6367" spans="1:13">
      <c r="A6367" s="639">
        <v>92213</v>
      </c>
      <c r="B6367" s="639">
        <v>400</v>
      </c>
      <c r="C6367" s="638">
        <v>4329.7060000000001</v>
      </c>
      <c r="D6367" s="633">
        <f t="shared" si="203"/>
        <v>4329.7060000000001</v>
      </c>
      <c r="E6367" s="608"/>
      <c r="F6367" s="760">
        <f t="shared" si="202"/>
        <v>1826.6280039904584</v>
      </c>
      <c r="M6367" s="443"/>
    </row>
    <row r="6368" spans="1:13">
      <c r="A6368" s="639">
        <v>92213</v>
      </c>
      <c r="B6368" s="639">
        <v>500</v>
      </c>
      <c r="C6368" s="638">
        <v>4450.26</v>
      </c>
      <c r="D6368" s="633">
        <f t="shared" si="203"/>
        <v>4450.26</v>
      </c>
      <c r="E6368" s="608"/>
      <c r="F6368" s="760">
        <f t="shared" si="202"/>
        <v>1877.4876495167516</v>
      </c>
      <c r="M6368" s="443"/>
    </row>
    <row r="6369" spans="1:13">
      <c r="A6369" s="639">
        <v>92213</v>
      </c>
      <c r="B6369" s="639">
        <v>600</v>
      </c>
      <c r="C6369" s="638">
        <v>4688.4960000000001</v>
      </c>
      <c r="D6369" s="633">
        <f t="shared" si="203"/>
        <v>4688.4960000000001</v>
      </c>
      <c r="E6369" s="608"/>
      <c r="F6369" s="760">
        <f t="shared" si="202"/>
        <v>1977.9952934904236</v>
      </c>
      <c r="M6369" s="443"/>
    </row>
    <row r="6370" spans="1:13">
      <c r="A6370" s="639">
        <v>92213</v>
      </c>
      <c r="B6370" s="639">
        <v>700</v>
      </c>
      <c r="C6370" s="638">
        <v>5079.2219999999998</v>
      </c>
      <c r="D6370" s="633">
        <f t="shared" si="203"/>
        <v>5079.2219999999998</v>
      </c>
      <c r="E6370" s="608"/>
      <c r="F6370" s="760">
        <f t="shared" si="202"/>
        <v>2142.8358285030031</v>
      </c>
      <c r="M6370" s="443"/>
    </row>
    <row r="6371" spans="1:13">
      <c r="A6371" s="639">
        <v>92213</v>
      </c>
      <c r="B6371" s="639">
        <v>800</v>
      </c>
      <c r="C6371" s="638">
        <v>5496.33</v>
      </c>
      <c r="D6371" s="633">
        <f t="shared" si="203"/>
        <v>5496.33</v>
      </c>
      <c r="E6371" s="608"/>
      <c r="F6371" s="760">
        <f t="shared" si="202"/>
        <v>2318.8064725810195</v>
      </c>
      <c r="M6371" s="443"/>
    </row>
    <row r="6372" spans="1:13">
      <c r="A6372" s="639">
        <v>92213</v>
      </c>
      <c r="B6372" s="639">
        <v>900</v>
      </c>
      <c r="C6372" s="638">
        <v>5889.2929999999997</v>
      </c>
      <c r="D6372" s="633">
        <f t="shared" si="203"/>
        <v>5889.2929999999997</v>
      </c>
      <c r="E6372" s="608"/>
      <c r="F6372" s="760">
        <f t="shared" ref="F6372:F6435" si="204">(D6372/(MAX($D$5860:$D$6579)))*$M$12</f>
        <v>2484.5907591658593</v>
      </c>
      <c r="M6372" s="443"/>
    </row>
    <row r="6373" spans="1:13">
      <c r="A6373" s="639">
        <v>92213</v>
      </c>
      <c r="B6373" s="639">
        <v>1000</v>
      </c>
      <c r="C6373" s="638">
        <v>6079.7709999999997</v>
      </c>
      <c r="D6373" s="633">
        <f t="shared" si="203"/>
        <v>6079.7709999999997</v>
      </c>
      <c r="E6373" s="608"/>
      <c r="F6373" s="760">
        <f t="shared" si="204"/>
        <v>2564.9501297430061</v>
      </c>
      <c r="M6373" s="443"/>
    </row>
    <row r="6374" spans="1:13">
      <c r="A6374" s="639">
        <v>92213</v>
      </c>
      <c r="B6374" s="639">
        <v>1100</v>
      </c>
      <c r="C6374" s="638">
        <v>6102.44</v>
      </c>
      <c r="D6374" s="633">
        <f t="shared" si="203"/>
        <v>6102.44</v>
      </c>
      <c r="E6374" s="608"/>
      <c r="F6374" s="760">
        <f t="shared" si="204"/>
        <v>2574.5137883892189</v>
      </c>
      <c r="M6374" s="443"/>
    </row>
    <row r="6375" spans="1:13">
      <c r="A6375" s="639">
        <v>92213</v>
      </c>
      <c r="B6375" s="639">
        <v>1200</v>
      </c>
      <c r="C6375" s="638">
        <v>6285.71</v>
      </c>
      <c r="D6375" s="633">
        <f t="shared" si="203"/>
        <v>6285.71</v>
      </c>
      <c r="E6375" s="608"/>
      <c r="F6375" s="760">
        <f t="shared" si="204"/>
        <v>2651.8322285538243</v>
      </c>
      <c r="M6375" s="443"/>
    </row>
    <row r="6376" spans="1:13">
      <c r="A6376" s="639">
        <v>92213</v>
      </c>
      <c r="B6376" s="639">
        <v>1300</v>
      </c>
      <c r="C6376" s="638">
        <v>6315.2460000000001</v>
      </c>
      <c r="D6376" s="633">
        <f t="shared" si="203"/>
        <v>6315.2460000000001</v>
      </c>
      <c r="E6376" s="608"/>
      <c r="F6376" s="760">
        <f t="shared" si="204"/>
        <v>2664.2929556160916</v>
      </c>
      <c r="M6376" s="443"/>
    </row>
    <row r="6377" spans="1:13">
      <c r="A6377" s="639">
        <v>92213</v>
      </c>
      <c r="B6377" s="639">
        <v>1400</v>
      </c>
      <c r="C6377" s="638">
        <v>6155.8980000000001</v>
      </c>
      <c r="D6377" s="633">
        <f t="shared" si="203"/>
        <v>6155.8980000000001</v>
      </c>
      <c r="E6377" s="608"/>
      <c r="F6377" s="760">
        <f t="shared" si="204"/>
        <v>2597.0667931053181</v>
      </c>
      <c r="M6377" s="443"/>
    </row>
    <row r="6378" spans="1:13">
      <c r="A6378" s="639">
        <v>92213</v>
      </c>
      <c r="B6378" s="639">
        <v>1500</v>
      </c>
      <c r="C6378" s="638">
        <v>6189.3860000000004</v>
      </c>
      <c r="D6378" s="633">
        <f t="shared" si="203"/>
        <v>6189.3860000000004</v>
      </c>
      <c r="E6378" s="608"/>
      <c r="F6378" s="760">
        <f t="shared" si="204"/>
        <v>2611.1948005491568</v>
      </c>
      <c r="M6378" s="443"/>
    </row>
    <row r="6379" spans="1:13">
      <c r="A6379" s="639">
        <v>92213</v>
      </c>
      <c r="B6379" s="639">
        <v>1600</v>
      </c>
      <c r="C6379" s="638">
        <v>6294.8980000000001</v>
      </c>
      <c r="D6379" s="633">
        <f t="shared" si="203"/>
        <v>6294.8980000000001</v>
      </c>
      <c r="E6379" s="608"/>
      <c r="F6379" s="760">
        <f t="shared" si="204"/>
        <v>2655.7084866879018</v>
      </c>
      <c r="M6379" s="443"/>
    </row>
    <row r="6380" spans="1:13">
      <c r="A6380" s="639">
        <v>92213</v>
      </c>
      <c r="B6380" s="639">
        <v>1700</v>
      </c>
      <c r="C6380" s="638">
        <v>6678.1530000000002</v>
      </c>
      <c r="D6380" s="633">
        <f t="shared" si="203"/>
        <v>6678.1530000000002</v>
      </c>
      <c r="E6380" s="608"/>
      <c r="F6380" s="760">
        <f t="shared" si="204"/>
        <v>2817.3971361410895</v>
      </c>
      <c r="M6380" s="443"/>
    </row>
    <row r="6381" spans="1:13">
      <c r="A6381" s="639">
        <v>92213</v>
      </c>
      <c r="B6381" s="639">
        <v>1800</v>
      </c>
      <c r="C6381" s="638">
        <v>6978.8670000000002</v>
      </c>
      <c r="D6381" s="633">
        <f t="shared" si="203"/>
        <v>6978.8670000000002</v>
      </c>
      <c r="E6381" s="608"/>
      <c r="F6381" s="760">
        <f t="shared" si="204"/>
        <v>2944.2631666734133</v>
      </c>
      <c r="M6381" s="443"/>
    </row>
    <row r="6382" spans="1:13">
      <c r="A6382" s="639">
        <v>92213</v>
      </c>
      <c r="B6382" s="639">
        <v>1900</v>
      </c>
      <c r="C6382" s="638">
        <v>7395.8180000000002</v>
      </c>
      <c r="D6382" s="633">
        <f t="shared" si="203"/>
        <v>7395.8180000000002</v>
      </c>
      <c r="E6382" s="608"/>
      <c r="F6382" s="760">
        <f t="shared" si="204"/>
        <v>3120.1675751694697</v>
      </c>
      <c r="M6382" s="443"/>
    </row>
    <row r="6383" spans="1:13">
      <c r="A6383" s="639">
        <v>92213</v>
      </c>
      <c r="B6383" s="639">
        <v>2000</v>
      </c>
      <c r="C6383" s="638">
        <v>7437.2610000000004</v>
      </c>
      <c r="D6383" s="633">
        <f t="shared" si="203"/>
        <v>7437.2610000000004</v>
      </c>
      <c r="E6383" s="608"/>
      <c r="F6383" s="760">
        <f t="shared" si="204"/>
        <v>3137.6516593935198</v>
      </c>
      <c r="M6383" s="443"/>
    </row>
    <row r="6384" spans="1:13">
      <c r="A6384" s="639">
        <v>92213</v>
      </c>
      <c r="B6384" s="639">
        <v>2100</v>
      </c>
      <c r="C6384" s="638">
        <v>6904.7139999999999</v>
      </c>
      <c r="D6384" s="633">
        <f t="shared" si="203"/>
        <v>6904.7139999999999</v>
      </c>
      <c r="E6384" s="608"/>
      <c r="F6384" s="760">
        <f t="shared" si="204"/>
        <v>2912.9792997365121</v>
      </c>
      <c r="M6384" s="443"/>
    </row>
    <row r="6385" spans="1:13">
      <c r="A6385" s="639">
        <v>92213</v>
      </c>
      <c r="B6385" s="639">
        <v>2200</v>
      </c>
      <c r="C6385" s="638">
        <v>5901.7669999999998</v>
      </c>
      <c r="D6385" s="633">
        <f t="shared" si="203"/>
        <v>5901.7669999999998</v>
      </c>
      <c r="E6385" s="608"/>
      <c r="F6385" s="760">
        <f t="shared" si="204"/>
        <v>2489.8533238115369</v>
      </c>
      <c r="M6385" s="443"/>
    </row>
    <row r="6386" spans="1:13">
      <c r="A6386" s="639">
        <v>92213</v>
      </c>
      <c r="B6386" s="639">
        <v>2300</v>
      </c>
      <c r="C6386" s="638">
        <v>5033.1369999999997</v>
      </c>
      <c r="D6386" s="633">
        <f t="shared" si="203"/>
        <v>5033.1369999999997</v>
      </c>
      <c r="E6386" s="608"/>
      <c r="F6386" s="760">
        <f t="shared" si="204"/>
        <v>2123.393364842907</v>
      </c>
      <c r="M6386" s="443"/>
    </row>
    <row r="6387" spans="1:13">
      <c r="A6387" s="639">
        <v>92213</v>
      </c>
      <c r="B6387" s="639">
        <v>2400</v>
      </c>
      <c r="C6387" s="638">
        <v>4507.6319999999996</v>
      </c>
      <c r="D6387" s="633">
        <f t="shared" si="203"/>
        <v>4507.6319999999996</v>
      </c>
      <c r="E6387" s="608"/>
      <c r="F6387" s="760">
        <f t="shared" si="204"/>
        <v>1901.6919030722909</v>
      </c>
      <c r="M6387" s="443"/>
    </row>
    <row r="6388" spans="1:13">
      <c r="A6388" s="639">
        <v>92313</v>
      </c>
      <c r="B6388" s="639">
        <v>100</v>
      </c>
      <c r="C6388" s="638">
        <v>4253.4719999999998</v>
      </c>
      <c r="D6388" s="633">
        <f t="shared" si="203"/>
        <v>4253.4719999999998</v>
      </c>
      <c r="E6388" s="608"/>
      <c r="F6388" s="760">
        <f t="shared" si="204"/>
        <v>1794.4661991805685</v>
      </c>
      <c r="M6388" s="443"/>
    </row>
    <row r="6389" spans="1:13">
      <c r="A6389" s="639">
        <v>92313</v>
      </c>
      <c r="B6389" s="639">
        <v>200</v>
      </c>
      <c r="C6389" s="638">
        <v>4181.866</v>
      </c>
      <c r="D6389" s="633">
        <f t="shared" si="203"/>
        <v>4181.866</v>
      </c>
      <c r="E6389" s="608"/>
      <c r="F6389" s="760">
        <f t="shared" si="204"/>
        <v>1764.2568674490974</v>
      </c>
      <c r="M6389" s="443"/>
    </row>
    <row r="6390" spans="1:13">
      <c r="A6390" s="639">
        <v>92313</v>
      </c>
      <c r="B6390" s="639">
        <v>300</v>
      </c>
      <c r="C6390" s="638">
        <v>4314.6570000000002</v>
      </c>
      <c r="D6390" s="633">
        <f t="shared" si="203"/>
        <v>4314.6570000000002</v>
      </c>
      <c r="E6390" s="608"/>
      <c r="F6390" s="760">
        <f t="shared" si="204"/>
        <v>1820.2790914240964</v>
      </c>
      <c r="M6390" s="443"/>
    </row>
    <row r="6391" spans="1:13">
      <c r="A6391" s="639">
        <v>92313</v>
      </c>
      <c r="B6391" s="639">
        <v>400</v>
      </c>
      <c r="C6391" s="638">
        <v>4370.9489999999996</v>
      </c>
      <c r="D6391" s="633">
        <f t="shared" si="203"/>
        <v>4370.9489999999996</v>
      </c>
      <c r="E6391" s="608"/>
      <c r="F6391" s="760">
        <f t="shared" si="204"/>
        <v>1844.0277116769796</v>
      </c>
      <c r="M6391" s="443"/>
    </row>
    <row r="6392" spans="1:13">
      <c r="A6392" s="639">
        <v>92313</v>
      </c>
      <c r="B6392" s="639">
        <v>500</v>
      </c>
      <c r="C6392" s="638">
        <v>4773.4759999999997</v>
      </c>
      <c r="D6392" s="633">
        <f t="shared" si="203"/>
        <v>4773.4759999999997</v>
      </c>
      <c r="E6392" s="608"/>
      <c r="F6392" s="760">
        <f t="shared" si="204"/>
        <v>2013.8468842864518</v>
      </c>
      <c r="M6392" s="443"/>
    </row>
    <row r="6393" spans="1:13">
      <c r="A6393" s="639">
        <v>92313</v>
      </c>
      <c r="B6393" s="639">
        <v>600</v>
      </c>
      <c r="C6393" s="638">
        <v>5709.9309999999996</v>
      </c>
      <c r="D6393" s="633">
        <f t="shared" si="203"/>
        <v>5709.9309999999996</v>
      </c>
      <c r="E6393" s="608"/>
      <c r="F6393" s="760">
        <f t="shared" si="204"/>
        <v>2408.9210365445692</v>
      </c>
      <c r="M6393" s="443"/>
    </row>
    <row r="6394" spans="1:13">
      <c r="A6394" s="639">
        <v>92313</v>
      </c>
      <c r="B6394" s="639">
        <v>700</v>
      </c>
      <c r="C6394" s="638">
        <v>6078.3069999999998</v>
      </c>
      <c r="D6394" s="633">
        <f t="shared" si="203"/>
        <v>6078.3069999999998</v>
      </c>
      <c r="E6394" s="608"/>
      <c r="F6394" s="760">
        <f t="shared" si="204"/>
        <v>2564.3324934882949</v>
      </c>
      <c r="M6394" s="443"/>
    </row>
    <row r="6395" spans="1:13">
      <c r="A6395" s="639">
        <v>92313</v>
      </c>
      <c r="B6395" s="639">
        <v>800</v>
      </c>
      <c r="C6395" s="638">
        <v>5799.7470000000003</v>
      </c>
      <c r="D6395" s="633">
        <f t="shared" si="203"/>
        <v>5799.7470000000003</v>
      </c>
      <c r="E6395" s="608"/>
      <c r="F6395" s="760">
        <f t="shared" si="204"/>
        <v>2446.8128520180467</v>
      </c>
      <c r="M6395" s="443"/>
    </row>
    <row r="6396" spans="1:13">
      <c r="A6396" s="639">
        <v>92313</v>
      </c>
      <c r="B6396" s="639">
        <v>900</v>
      </c>
      <c r="C6396" s="638">
        <v>5489.0709999999999</v>
      </c>
      <c r="D6396" s="633">
        <f t="shared" si="203"/>
        <v>5489.0709999999999</v>
      </c>
      <c r="E6396" s="608"/>
      <c r="F6396" s="760">
        <f t="shared" si="204"/>
        <v>2315.744026151408</v>
      </c>
      <c r="M6396" s="443"/>
    </row>
    <row r="6397" spans="1:13">
      <c r="A6397" s="639">
        <v>92313</v>
      </c>
      <c r="B6397" s="639">
        <v>1000</v>
      </c>
      <c r="C6397" s="638">
        <v>5331.9939999999997</v>
      </c>
      <c r="D6397" s="633">
        <f t="shared" si="203"/>
        <v>5331.9939999999997</v>
      </c>
      <c r="E6397" s="608"/>
      <c r="F6397" s="760">
        <f t="shared" si="204"/>
        <v>2249.4759592242754</v>
      </c>
      <c r="M6397" s="443"/>
    </row>
    <row r="6398" spans="1:13">
      <c r="A6398" s="639">
        <v>92313</v>
      </c>
      <c r="B6398" s="639">
        <v>1100</v>
      </c>
      <c r="C6398" s="638">
        <v>5247.7879999999996</v>
      </c>
      <c r="D6398" s="633">
        <f t="shared" si="203"/>
        <v>5247.7879999999996</v>
      </c>
      <c r="E6398" s="608"/>
      <c r="F6398" s="760">
        <f t="shared" si="204"/>
        <v>2213.9509056284833</v>
      </c>
      <c r="M6398" s="443"/>
    </row>
    <row r="6399" spans="1:13">
      <c r="A6399" s="639">
        <v>92313</v>
      </c>
      <c r="B6399" s="639">
        <v>1200</v>
      </c>
      <c r="C6399" s="638">
        <v>5078.1260000000002</v>
      </c>
      <c r="D6399" s="633">
        <f t="shared" si="203"/>
        <v>5078.1260000000002</v>
      </c>
      <c r="E6399" s="608"/>
      <c r="F6399" s="760">
        <f t="shared" si="204"/>
        <v>2142.373445077345</v>
      </c>
      <c r="M6399" s="443"/>
    </row>
    <row r="6400" spans="1:13">
      <c r="A6400" s="639">
        <v>92313</v>
      </c>
      <c r="B6400" s="639">
        <v>1300</v>
      </c>
      <c r="C6400" s="638">
        <v>4980.7920000000004</v>
      </c>
      <c r="D6400" s="633">
        <f t="shared" si="203"/>
        <v>4980.7920000000004</v>
      </c>
      <c r="E6400" s="608"/>
      <c r="F6400" s="760">
        <f t="shared" si="204"/>
        <v>2101.3099155581563</v>
      </c>
      <c r="M6400" s="443"/>
    </row>
    <row r="6401" spans="1:13">
      <c r="A6401" s="639">
        <v>92313</v>
      </c>
      <c r="B6401" s="639">
        <v>1400</v>
      </c>
      <c r="C6401" s="638">
        <v>4937.6450000000004</v>
      </c>
      <c r="D6401" s="633">
        <f t="shared" si="203"/>
        <v>4937.6450000000004</v>
      </c>
      <c r="E6401" s="608"/>
      <c r="F6401" s="760">
        <f t="shared" si="204"/>
        <v>2083.1069432343597</v>
      </c>
      <c r="M6401" s="443"/>
    </row>
    <row r="6402" spans="1:13">
      <c r="A6402" s="639">
        <v>92313</v>
      </c>
      <c r="B6402" s="639">
        <v>1500</v>
      </c>
      <c r="C6402" s="638">
        <v>5113.9639999999999</v>
      </c>
      <c r="D6402" s="633">
        <f t="shared" si="203"/>
        <v>5113.9639999999999</v>
      </c>
      <c r="E6402" s="608"/>
      <c r="F6402" s="760">
        <f t="shared" si="204"/>
        <v>2157.4928768371478</v>
      </c>
      <c r="M6402" s="443"/>
    </row>
    <row r="6403" spans="1:13">
      <c r="A6403" s="639">
        <v>92313</v>
      </c>
      <c r="B6403" s="639">
        <v>1600</v>
      </c>
      <c r="C6403" s="638">
        <v>5406.6049999999996</v>
      </c>
      <c r="D6403" s="633">
        <f t="shared" si="203"/>
        <v>5406.6049999999996</v>
      </c>
      <c r="E6403" s="608"/>
      <c r="F6403" s="760">
        <f t="shared" si="204"/>
        <v>2280.9530484321181</v>
      </c>
      <c r="M6403" s="443"/>
    </row>
    <row r="6404" spans="1:13">
      <c r="A6404" s="639">
        <v>92313</v>
      </c>
      <c r="B6404" s="639">
        <v>1700</v>
      </c>
      <c r="C6404" s="638">
        <v>5875.8069999999998</v>
      </c>
      <c r="D6404" s="633">
        <f t="shared" si="203"/>
        <v>5875.8069999999998</v>
      </c>
      <c r="E6404" s="608"/>
      <c r="F6404" s="760">
        <f t="shared" si="204"/>
        <v>2478.9012492402862</v>
      </c>
      <c r="M6404" s="443"/>
    </row>
    <row r="6405" spans="1:13">
      <c r="A6405" s="639">
        <v>92313</v>
      </c>
      <c r="B6405" s="639">
        <v>1800</v>
      </c>
      <c r="C6405" s="638">
        <v>6187.076</v>
      </c>
      <c r="D6405" s="633">
        <f t="shared" ref="D6405:D6468" si="205">C6405</f>
        <v>6187.076</v>
      </c>
      <c r="E6405" s="608"/>
      <c r="F6405" s="760">
        <f t="shared" si="204"/>
        <v>2610.2202515406975</v>
      </c>
      <c r="M6405" s="443"/>
    </row>
    <row r="6406" spans="1:13">
      <c r="A6406" s="639">
        <v>92313</v>
      </c>
      <c r="B6406" s="639">
        <v>1900</v>
      </c>
      <c r="C6406" s="638">
        <v>6869.6980000000003</v>
      </c>
      <c r="D6406" s="633">
        <f t="shared" si="205"/>
        <v>6869.6980000000003</v>
      </c>
      <c r="E6406" s="608"/>
      <c r="F6406" s="760">
        <f t="shared" si="204"/>
        <v>2898.2066555459528</v>
      </c>
      <c r="M6406" s="443"/>
    </row>
    <row r="6407" spans="1:13">
      <c r="A6407" s="639">
        <v>92313</v>
      </c>
      <c r="B6407" s="639">
        <v>2000</v>
      </c>
      <c r="C6407" s="638">
        <v>7158.0709999999999</v>
      </c>
      <c r="D6407" s="633">
        <f t="shared" si="205"/>
        <v>7158.0709999999999</v>
      </c>
      <c r="E6407" s="608"/>
      <c r="F6407" s="760">
        <f t="shared" si="204"/>
        <v>3019.8662318300558</v>
      </c>
      <c r="M6407" s="443"/>
    </row>
    <row r="6408" spans="1:13">
      <c r="A6408" s="639">
        <v>92313</v>
      </c>
      <c r="B6408" s="639">
        <v>2100</v>
      </c>
      <c r="C6408" s="638">
        <v>6737.2110000000002</v>
      </c>
      <c r="D6408" s="633">
        <f t="shared" si="205"/>
        <v>6737.2110000000002</v>
      </c>
      <c r="E6408" s="608"/>
      <c r="F6408" s="760">
        <f t="shared" si="204"/>
        <v>2842.3126839079973</v>
      </c>
      <c r="M6408" s="443"/>
    </row>
    <row r="6409" spans="1:13">
      <c r="A6409" s="639">
        <v>92313</v>
      </c>
      <c r="B6409" s="639">
        <v>2200</v>
      </c>
      <c r="C6409" s="638">
        <v>5889.8389999999999</v>
      </c>
      <c r="D6409" s="633">
        <f t="shared" si="205"/>
        <v>5889.8389999999999</v>
      </c>
      <c r="E6409" s="608"/>
      <c r="F6409" s="760">
        <f t="shared" si="204"/>
        <v>2484.8211071133132</v>
      </c>
      <c r="M6409" s="443"/>
    </row>
    <row r="6410" spans="1:13">
      <c r="A6410" s="639">
        <v>92313</v>
      </c>
      <c r="B6410" s="639">
        <v>2300</v>
      </c>
      <c r="C6410" s="638">
        <v>4959.0860000000002</v>
      </c>
      <c r="D6410" s="633">
        <f t="shared" si="205"/>
        <v>4959.0860000000002</v>
      </c>
      <c r="E6410" s="608"/>
      <c r="F6410" s="760">
        <f t="shared" si="204"/>
        <v>2092.1525299401451</v>
      </c>
      <c r="M6410" s="443"/>
    </row>
    <row r="6411" spans="1:13">
      <c r="A6411" s="639">
        <v>92313</v>
      </c>
      <c r="B6411" s="639">
        <v>2400</v>
      </c>
      <c r="C6411" s="638">
        <v>4479.2250000000004</v>
      </c>
      <c r="D6411" s="633">
        <f t="shared" si="205"/>
        <v>4479.2250000000004</v>
      </c>
      <c r="E6411" s="608"/>
      <c r="F6411" s="760">
        <f t="shared" si="204"/>
        <v>1889.7074815643743</v>
      </c>
      <c r="M6411" s="443"/>
    </row>
    <row r="6412" spans="1:13">
      <c r="A6412" s="639">
        <v>92413</v>
      </c>
      <c r="B6412" s="639">
        <v>100</v>
      </c>
      <c r="C6412" s="638">
        <v>4247.1540000000005</v>
      </c>
      <c r="D6412" s="633">
        <f t="shared" si="205"/>
        <v>4247.1540000000005</v>
      </c>
      <c r="E6412" s="608"/>
      <c r="F6412" s="760">
        <f t="shared" si="204"/>
        <v>1791.8007443600306</v>
      </c>
      <c r="M6412" s="443"/>
    </row>
    <row r="6413" spans="1:13">
      <c r="A6413" s="639">
        <v>92413</v>
      </c>
      <c r="B6413" s="639">
        <v>200</v>
      </c>
      <c r="C6413" s="638">
        <v>4196.6080000000002</v>
      </c>
      <c r="D6413" s="633">
        <f t="shared" si="205"/>
        <v>4196.6080000000002</v>
      </c>
      <c r="E6413" s="608"/>
      <c r="F6413" s="760">
        <f t="shared" si="204"/>
        <v>1770.4762620303527</v>
      </c>
      <c r="M6413" s="443"/>
    </row>
    <row r="6414" spans="1:13">
      <c r="A6414" s="639">
        <v>92413</v>
      </c>
      <c r="B6414" s="639">
        <v>300</v>
      </c>
      <c r="C6414" s="638">
        <v>4413.3670000000002</v>
      </c>
      <c r="D6414" s="633">
        <f t="shared" si="205"/>
        <v>4413.3670000000002</v>
      </c>
      <c r="E6414" s="608"/>
      <c r="F6414" s="760">
        <f t="shared" si="204"/>
        <v>1861.9231315214838</v>
      </c>
      <c r="M6414" s="443"/>
    </row>
    <row r="6415" spans="1:13">
      <c r="A6415" s="639">
        <v>92413</v>
      </c>
      <c r="B6415" s="639">
        <v>400</v>
      </c>
      <c r="C6415" s="638">
        <v>4487.5020000000004</v>
      </c>
      <c r="D6415" s="633">
        <f t="shared" si="205"/>
        <v>4487.5020000000004</v>
      </c>
      <c r="E6415" s="608"/>
      <c r="F6415" s="760">
        <f t="shared" si="204"/>
        <v>1893.1994045700076</v>
      </c>
      <c r="M6415" s="443"/>
    </row>
    <row r="6416" spans="1:13">
      <c r="A6416" s="639">
        <v>92413</v>
      </c>
      <c r="B6416" s="639">
        <v>500</v>
      </c>
      <c r="C6416" s="638">
        <v>4923.9430000000002</v>
      </c>
      <c r="D6416" s="633">
        <f t="shared" si="205"/>
        <v>4923.9430000000002</v>
      </c>
      <c r="E6416" s="608"/>
      <c r="F6416" s="760">
        <f t="shared" si="204"/>
        <v>2077.326306648255</v>
      </c>
      <c r="M6416" s="443"/>
    </row>
    <row r="6417" spans="1:13">
      <c r="A6417" s="639">
        <v>92413</v>
      </c>
      <c r="B6417" s="639">
        <v>600</v>
      </c>
      <c r="C6417" s="638">
        <v>5845.085</v>
      </c>
      <c r="D6417" s="633">
        <f t="shared" si="205"/>
        <v>5845.085</v>
      </c>
      <c r="E6417" s="608"/>
      <c r="F6417" s="760">
        <f t="shared" si="204"/>
        <v>2465.9401693104724</v>
      </c>
      <c r="M6417" s="443"/>
    </row>
    <row r="6418" spans="1:13">
      <c r="A6418" s="639">
        <v>92413</v>
      </c>
      <c r="B6418" s="639">
        <v>700</v>
      </c>
      <c r="C6418" s="638">
        <v>6284.6139999999996</v>
      </c>
      <c r="D6418" s="633">
        <f t="shared" si="205"/>
        <v>6284.6139999999996</v>
      </c>
      <c r="E6418" s="608"/>
      <c r="F6418" s="760">
        <f t="shared" si="204"/>
        <v>2651.3698451281657</v>
      </c>
      <c r="M6418" s="443"/>
    </row>
    <row r="6419" spans="1:13">
      <c r="A6419" s="639">
        <v>92413</v>
      </c>
      <c r="B6419" s="639">
        <v>800</v>
      </c>
      <c r="C6419" s="638">
        <v>6024.6750000000002</v>
      </c>
      <c r="D6419" s="633">
        <f t="shared" si="205"/>
        <v>6024.6750000000002</v>
      </c>
      <c r="E6419" s="608"/>
      <c r="F6419" s="760">
        <f t="shared" si="204"/>
        <v>2541.7060811845458</v>
      </c>
      <c r="M6419" s="443"/>
    </row>
    <row r="6420" spans="1:13">
      <c r="A6420" s="639">
        <v>92413</v>
      </c>
      <c r="B6420" s="639">
        <v>900</v>
      </c>
      <c r="C6420" s="638">
        <v>5561.6940000000004</v>
      </c>
      <c r="D6420" s="633">
        <f t="shared" si="205"/>
        <v>5561.6940000000004</v>
      </c>
      <c r="E6420" s="608"/>
      <c r="F6420" s="760">
        <f t="shared" si="204"/>
        <v>2346.3824125762139</v>
      </c>
      <c r="M6420" s="443"/>
    </row>
    <row r="6421" spans="1:13">
      <c r="A6421" s="639">
        <v>92413</v>
      </c>
      <c r="B6421" s="639">
        <v>1000</v>
      </c>
      <c r="C6421" s="638">
        <v>5323.9530000000004</v>
      </c>
      <c r="D6421" s="633">
        <f t="shared" si="205"/>
        <v>5323.9530000000004</v>
      </c>
      <c r="E6421" s="608"/>
      <c r="F6421" s="760">
        <f t="shared" si="204"/>
        <v>2246.0836005329261</v>
      </c>
      <c r="M6421" s="443"/>
    </row>
    <row r="6422" spans="1:13">
      <c r="A6422" s="639">
        <v>92413</v>
      </c>
      <c r="B6422" s="639">
        <v>1100</v>
      </c>
      <c r="C6422" s="638">
        <v>5192.6459999999997</v>
      </c>
      <c r="D6422" s="633">
        <f t="shared" si="205"/>
        <v>5192.6459999999997</v>
      </c>
      <c r="E6422" s="608"/>
      <c r="F6422" s="760">
        <f t="shared" si="204"/>
        <v>2190.6874504663911</v>
      </c>
      <c r="M6422" s="443"/>
    </row>
    <row r="6423" spans="1:13">
      <c r="A6423" s="639">
        <v>92413</v>
      </c>
      <c r="B6423" s="639">
        <v>1200</v>
      </c>
      <c r="C6423" s="638">
        <v>5001.2619999999997</v>
      </c>
      <c r="D6423" s="633">
        <f t="shared" si="205"/>
        <v>5001.2619999999997</v>
      </c>
      <c r="E6423" s="608"/>
      <c r="F6423" s="760">
        <f t="shared" si="204"/>
        <v>2109.9458541742388</v>
      </c>
      <c r="M6423" s="443"/>
    </row>
    <row r="6424" spans="1:13">
      <c r="A6424" s="639">
        <v>92413</v>
      </c>
      <c r="B6424" s="639">
        <v>1300</v>
      </c>
      <c r="C6424" s="638">
        <v>4955.3630000000003</v>
      </c>
      <c r="D6424" s="633">
        <f t="shared" si="205"/>
        <v>4955.3630000000003</v>
      </c>
      <c r="E6424" s="608"/>
      <c r="F6424" s="760">
        <f t="shared" si="204"/>
        <v>2090.5818606940447</v>
      </c>
      <c r="M6424" s="443"/>
    </row>
    <row r="6425" spans="1:13">
      <c r="A6425" s="639">
        <v>92413</v>
      </c>
      <c r="B6425" s="639">
        <v>1400</v>
      </c>
      <c r="C6425" s="638">
        <v>4957.1679999999997</v>
      </c>
      <c r="D6425" s="633">
        <f t="shared" si="205"/>
        <v>4957.1679999999997</v>
      </c>
      <c r="E6425" s="608"/>
      <c r="F6425" s="760">
        <f t="shared" si="204"/>
        <v>2091.3433589452429</v>
      </c>
      <c r="M6425" s="443"/>
    </row>
    <row r="6426" spans="1:13">
      <c r="A6426" s="639">
        <v>92413</v>
      </c>
      <c r="B6426" s="639">
        <v>1500</v>
      </c>
      <c r="C6426" s="638">
        <v>5093.3819999999996</v>
      </c>
      <c r="D6426" s="633">
        <f t="shared" si="205"/>
        <v>5093.3819999999996</v>
      </c>
      <c r="E6426" s="608"/>
      <c r="F6426" s="760">
        <f t="shared" si="204"/>
        <v>2148.8096873600489</v>
      </c>
      <c r="M6426" s="443"/>
    </row>
    <row r="6427" spans="1:13">
      <c r="A6427" s="639">
        <v>92413</v>
      </c>
      <c r="B6427" s="639">
        <v>1600</v>
      </c>
      <c r="C6427" s="638">
        <v>5334.2470000000003</v>
      </c>
      <c r="D6427" s="633">
        <f t="shared" si="205"/>
        <v>5334.2470000000003</v>
      </c>
      <c r="E6427" s="608"/>
      <c r="F6427" s="760">
        <f t="shared" si="204"/>
        <v>2250.4264609195384</v>
      </c>
      <c r="M6427" s="443"/>
    </row>
    <row r="6428" spans="1:13">
      <c r="A6428" s="639">
        <v>92413</v>
      </c>
      <c r="B6428" s="639">
        <v>1700</v>
      </c>
      <c r="C6428" s="638">
        <v>5840.4740000000002</v>
      </c>
      <c r="D6428" s="633">
        <f t="shared" si="205"/>
        <v>5840.4740000000002</v>
      </c>
      <c r="E6428" s="608"/>
      <c r="F6428" s="760">
        <f t="shared" si="204"/>
        <v>2463.9948682377435</v>
      </c>
      <c r="M6428" s="443"/>
    </row>
    <row r="6429" spans="1:13">
      <c r="A6429" s="639">
        <v>92413</v>
      </c>
      <c r="B6429" s="639">
        <v>1800</v>
      </c>
      <c r="C6429" s="638">
        <v>6077.8230000000003</v>
      </c>
      <c r="D6429" s="633">
        <f t="shared" si="205"/>
        <v>6077.8230000000003</v>
      </c>
      <c r="E6429" s="608"/>
      <c r="F6429" s="760">
        <f t="shared" si="204"/>
        <v>2564.1283022674747</v>
      </c>
      <c r="M6429" s="443"/>
    </row>
    <row r="6430" spans="1:13">
      <c r="A6430" s="639">
        <v>92413</v>
      </c>
      <c r="B6430" s="639">
        <v>1900</v>
      </c>
      <c r="C6430" s="638">
        <v>6660.5290000000005</v>
      </c>
      <c r="D6430" s="633">
        <f t="shared" si="205"/>
        <v>6660.5290000000005</v>
      </c>
      <c r="E6430" s="608"/>
      <c r="F6430" s="760">
        <f t="shared" si="204"/>
        <v>2809.9618756540431</v>
      </c>
      <c r="M6430" s="443"/>
    </row>
    <row r="6431" spans="1:13">
      <c r="A6431" s="639">
        <v>92413</v>
      </c>
      <c r="B6431" s="639">
        <v>2000</v>
      </c>
      <c r="C6431" s="638">
        <v>7078.9679999999998</v>
      </c>
      <c r="D6431" s="633">
        <f t="shared" si="205"/>
        <v>7078.9679999999998</v>
      </c>
      <c r="E6431" s="608"/>
      <c r="F6431" s="760">
        <f t="shared" si="204"/>
        <v>2986.4940455893138</v>
      </c>
      <c r="M6431" s="443"/>
    </row>
    <row r="6432" spans="1:13">
      <c r="A6432" s="639">
        <v>92413</v>
      </c>
      <c r="B6432" s="639">
        <v>2100</v>
      </c>
      <c r="C6432" s="638">
        <v>6764.5609999999997</v>
      </c>
      <c r="D6432" s="633">
        <f t="shared" si="205"/>
        <v>6764.5609999999997</v>
      </c>
      <c r="E6432" s="608"/>
      <c r="F6432" s="760">
        <f t="shared" si="204"/>
        <v>2853.8511754150741</v>
      </c>
      <c r="M6432" s="443"/>
    </row>
    <row r="6433" spans="1:13">
      <c r="A6433" s="639">
        <v>92413</v>
      </c>
      <c r="B6433" s="639">
        <v>2200</v>
      </c>
      <c r="C6433" s="638">
        <v>5947.7129999999997</v>
      </c>
      <c r="D6433" s="633">
        <f t="shared" si="205"/>
        <v>5947.7129999999997</v>
      </c>
      <c r="E6433" s="608"/>
      <c r="F6433" s="760">
        <f t="shared" si="204"/>
        <v>2509.2371457780505</v>
      </c>
      <c r="M6433" s="443"/>
    </row>
    <row r="6434" spans="1:13">
      <c r="A6434" s="639">
        <v>92413</v>
      </c>
      <c r="B6434" s="639">
        <v>2300</v>
      </c>
      <c r="C6434" s="638">
        <v>5045.3</v>
      </c>
      <c r="D6434" s="633">
        <f t="shared" si="205"/>
        <v>5045.3</v>
      </c>
      <c r="E6434" s="608"/>
      <c r="F6434" s="760">
        <f t="shared" si="204"/>
        <v>2128.5247239727269</v>
      </c>
      <c r="M6434" s="443"/>
    </row>
    <row r="6435" spans="1:13">
      <c r="A6435" s="639">
        <v>92413</v>
      </c>
      <c r="B6435" s="639">
        <v>2400</v>
      </c>
      <c r="C6435" s="638">
        <v>4501.125</v>
      </c>
      <c r="D6435" s="633">
        <f t="shared" si="205"/>
        <v>4501.125</v>
      </c>
      <c r="E6435" s="608"/>
      <c r="F6435" s="760">
        <f t="shared" si="204"/>
        <v>1898.9467124237885</v>
      </c>
      <c r="M6435" s="443"/>
    </row>
    <row r="6436" spans="1:13">
      <c r="A6436" s="639">
        <v>92513</v>
      </c>
      <c r="B6436" s="639">
        <v>100</v>
      </c>
      <c r="C6436" s="638">
        <v>4247.1139999999996</v>
      </c>
      <c r="D6436" s="633">
        <f t="shared" si="205"/>
        <v>4247.1139999999996</v>
      </c>
      <c r="E6436" s="608"/>
      <c r="F6436" s="760">
        <f t="shared" ref="F6436:F6499" si="206">(D6436/(MAX($D$5860:$D$6579)))*$M$12</f>
        <v>1791.7838690525248</v>
      </c>
      <c r="M6436" s="443"/>
    </row>
    <row r="6437" spans="1:13">
      <c r="A6437" s="639">
        <v>92513</v>
      </c>
      <c r="B6437" s="639">
        <v>200</v>
      </c>
      <c r="C6437" s="638">
        <v>4113.7749999999996</v>
      </c>
      <c r="D6437" s="633">
        <f t="shared" si="205"/>
        <v>4113.7749999999996</v>
      </c>
      <c r="E6437" s="608"/>
      <c r="F6437" s="760">
        <f t="shared" si="206"/>
        <v>1735.5304533646965</v>
      </c>
      <c r="M6437" s="443"/>
    </row>
    <row r="6438" spans="1:13">
      <c r="A6438" s="639">
        <v>92513</v>
      </c>
      <c r="B6438" s="639">
        <v>300</v>
      </c>
      <c r="C6438" s="638">
        <v>4323.7120000000004</v>
      </c>
      <c r="D6438" s="633">
        <f t="shared" si="205"/>
        <v>4323.7120000000004</v>
      </c>
      <c r="E6438" s="608"/>
      <c r="F6438" s="760">
        <f t="shared" si="206"/>
        <v>1824.0992391607176</v>
      </c>
      <c r="M6438" s="443"/>
    </row>
    <row r="6439" spans="1:13">
      <c r="A6439" s="639">
        <v>92513</v>
      </c>
      <c r="B6439" s="639">
        <v>400</v>
      </c>
      <c r="C6439" s="638">
        <v>4384.1570000000002</v>
      </c>
      <c r="D6439" s="633">
        <f t="shared" si="205"/>
        <v>4384.1570000000002</v>
      </c>
      <c r="E6439" s="608"/>
      <c r="F6439" s="760">
        <f t="shared" si="206"/>
        <v>1849.5999382153882</v>
      </c>
      <c r="M6439" s="443"/>
    </row>
    <row r="6440" spans="1:13">
      <c r="A6440" s="639">
        <v>92513</v>
      </c>
      <c r="B6440" s="639">
        <v>500</v>
      </c>
      <c r="C6440" s="638">
        <v>4848.1610000000001</v>
      </c>
      <c r="D6440" s="633">
        <f t="shared" si="205"/>
        <v>4848.1610000000001</v>
      </c>
      <c r="E6440" s="608"/>
      <c r="F6440" s="760">
        <f t="shared" si="206"/>
        <v>2045.3551928131806</v>
      </c>
      <c r="M6440" s="443"/>
    </row>
    <row r="6441" spans="1:13">
      <c r="A6441" s="639">
        <v>92513</v>
      </c>
      <c r="B6441" s="639">
        <v>600</v>
      </c>
      <c r="C6441" s="638">
        <v>5751.0259999999998</v>
      </c>
      <c r="D6441" s="633">
        <f t="shared" si="205"/>
        <v>5751.0259999999998</v>
      </c>
      <c r="E6441" s="608"/>
      <c r="F6441" s="760">
        <f t="shared" si="206"/>
        <v>2426.2583055933196</v>
      </c>
      <c r="M6441" s="443"/>
    </row>
    <row r="6442" spans="1:13">
      <c r="A6442" s="639">
        <v>92513</v>
      </c>
      <c r="B6442" s="639">
        <v>700</v>
      </c>
      <c r="C6442" s="638">
        <v>6256.48</v>
      </c>
      <c r="D6442" s="633">
        <f t="shared" si="205"/>
        <v>6256.48</v>
      </c>
      <c r="E6442" s="608"/>
      <c r="F6442" s="760">
        <f t="shared" si="206"/>
        <v>2639.5005975939753</v>
      </c>
      <c r="M6442" s="443"/>
    </row>
    <row r="6443" spans="1:13">
      <c r="A6443" s="639">
        <v>92513</v>
      </c>
      <c r="B6443" s="639">
        <v>800</v>
      </c>
      <c r="C6443" s="638">
        <v>5993.8890000000001</v>
      </c>
      <c r="D6443" s="633">
        <f t="shared" si="205"/>
        <v>5993.8890000000001</v>
      </c>
      <c r="E6443" s="608"/>
      <c r="F6443" s="760">
        <f t="shared" si="206"/>
        <v>2528.7180007627226</v>
      </c>
      <c r="M6443" s="443"/>
    </row>
    <row r="6444" spans="1:13">
      <c r="A6444" s="639">
        <v>92513</v>
      </c>
      <c r="B6444" s="639">
        <v>900</v>
      </c>
      <c r="C6444" s="638">
        <v>5523.8559999999998</v>
      </c>
      <c r="D6444" s="633">
        <f t="shared" si="205"/>
        <v>5523.8559999999998</v>
      </c>
      <c r="E6444" s="608"/>
      <c r="F6444" s="760">
        <f t="shared" si="206"/>
        <v>2330.4192154411212</v>
      </c>
      <c r="M6444" s="443"/>
    </row>
    <row r="6445" spans="1:13">
      <c r="A6445" s="639">
        <v>92513</v>
      </c>
      <c r="B6445" s="639">
        <v>1000</v>
      </c>
      <c r="C6445" s="638">
        <v>5353.549</v>
      </c>
      <c r="D6445" s="633">
        <f t="shared" si="205"/>
        <v>5353.549</v>
      </c>
      <c r="E6445" s="608"/>
      <c r="F6445" s="760">
        <f t="shared" si="206"/>
        <v>2258.5696405564518</v>
      </c>
      <c r="M6445" s="443"/>
    </row>
    <row r="6446" spans="1:13">
      <c r="A6446" s="639">
        <v>92513</v>
      </c>
      <c r="B6446" s="639">
        <v>1100</v>
      </c>
      <c r="C6446" s="638">
        <v>5256.5889999999999</v>
      </c>
      <c r="D6446" s="633">
        <f t="shared" si="205"/>
        <v>5256.5889999999999</v>
      </c>
      <c r="E6446" s="608"/>
      <c r="F6446" s="760">
        <f t="shared" si="206"/>
        <v>2217.6638951624427</v>
      </c>
      <c r="M6446" s="443"/>
    </row>
    <row r="6447" spans="1:13">
      <c r="A6447" s="639">
        <v>92513</v>
      </c>
      <c r="B6447" s="639">
        <v>1200</v>
      </c>
      <c r="C6447" s="638">
        <v>5026.6440000000002</v>
      </c>
      <c r="D6447" s="633">
        <f t="shared" si="205"/>
        <v>5026.6440000000002</v>
      </c>
      <c r="E6447" s="608"/>
      <c r="F6447" s="760">
        <f t="shared" si="206"/>
        <v>2120.6540805520312</v>
      </c>
      <c r="M6447" s="443"/>
    </row>
    <row r="6448" spans="1:13">
      <c r="A6448" s="639">
        <v>92513</v>
      </c>
      <c r="B6448" s="639">
        <v>1300</v>
      </c>
      <c r="C6448" s="638">
        <v>5051.0709999999999</v>
      </c>
      <c r="D6448" s="633">
        <f t="shared" si="205"/>
        <v>5051.0709999999999</v>
      </c>
      <c r="E6448" s="608"/>
      <c r="F6448" s="760">
        <f t="shared" si="206"/>
        <v>2130.9594089631228</v>
      </c>
      <c r="M6448" s="443"/>
    </row>
    <row r="6449" spans="1:13">
      <c r="A6449" s="639">
        <v>92513</v>
      </c>
      <c r="B6449" s="639">
        <v>1400</v>
      </c>
      <c r="C6449" s="638">
        <v>5046.6660000000002</v>
      </c>
      <c r="D6449" s="633">
        <f t="shared" si="205"/>
        <v>5046.6660000000002</v>
      </c>
      <c r="E6449" s="608"/>
      <c r="F6449" s="760">
        <f t="shared" si="206"/>
        <v>2129.1010157240494</v>
      </c>
      <c r="M6449" s="443"/>
    </row>
    <row r="6450" spans="1:13">
      <c r="A6450" s="639">
        <v>92513</v>
      </c>
      <c r="B6450" s="639">
        <v>1500</v>
      </c>
      <c r="C6450" s="638">
        <v>5180.5950000000003</v>
      </c>
      <c r="D6450" s="633">
        <f t="shared" si="205"/>
        <v>5180.5950000000003</v>
      </c>
      <c r="E6450" s="608"/>
      <c r="F6450" s="760">
        <f t="shared" si="206"/>
        <v>2185.6033421975876</v>
      </c>
      <c r="M6450" s="443"/>
    </row>
    <row r="6451" spans="1:13">
      <c r="A6451" s="639">
        <v>92513</v>
      </c>
      <c r="B6451" s="639">
        <v>1600</v>
      </c>
      <c r="C6451" s="638">
        <v>5436.058</v>
      </c>
      <c r="D6451" s="633">
        <f t="shared" si="205"/>
        <v>5436.058</v>
      </c>
      <c r="E6451" s="608"/>
      <c r="F6451" s="760">
        <f t="shared" si="206"/>
        <v>2293.3787592313111</v>
      </c>
      <c r="M6451" s="443"/>
    </row>
    <row r="6452" spans="1:13">
      <c r="A6452" s="639">
        <v>92513</v>
      </c>
      <c r="B6452" s="639">
        <v>1700</v>
      </c>
      <c r="C6452" s="638">
        <v>5797.192</v>
      </c>
      <c r="D6452" s="633">
        <f t="shared" si="205"/>
        <v>5797.192</v>
      </c>
      <c r="E6452" s="608"/>
      <c r="F6452" s="760">
        <f t="shared" si="206"/>
        <v>2445.7349417511145</v>
      </c>
      <c r="M6452" s="443"/>
    </row>
    <row r="6453" spans="1:13">
      <c r="A6453" s="639">
        <v>92513</v>
      </c>
      <c r="B6453" s="639">
        <v>1800</v>
      </c>
      <c r="C6453" s="638">
        <v>6102.5630000000001</v>
      </c>
      <c r="D6453" s="633">
        <f t="shared" si="205"/>
        <v>6102.5630000000001</v>
      </c>
      <c r="E6453" s="608"/>
      <c r="F6453" s="760">
        <f t="shared" si="206"/>
        <v>2574.5656799597996</v>
      </c>
      <c r="M6453" s="443"/>
    </row>
    <row r="6454" spans="1:13">
      <c r="A6454" s="639">
        <v>92513</v>
      </c>
      <c r="B6454" s="639">
        <v>1900</v>
      </c>
      <c r="C6454" s="638">
        <v>6766.5929999999998</v>
      </c>
      <c r="D6454" s="633">
        <f t="shared" si="205"/>
        <v>6766.5929999999998</v>
      </c>
      <c r="E6454" s="608"/>
      <c r="F6454" s="760">
        <f t="shared" si="206"/>
        <v>2854.7084410363673</v>
      </c>
      <c r="M6454" s="443"/>
    </row>
    <row r="6455" spans="1:13">
      <c r="A6455" s="639">
        <v>92513</v>
      </c>
      <c r="B6455" s="639">
        <v>2000</v>
      </c>
      <c r="C6455" s="638">
        <v>7077.7939999999999</v>
      </c>
      <c r="D6455" s="633">
        <f t="shared" si="205"/>
        <v>7077.7939999999999</v>
      </c>
      <c r="E6455" s="608"/>
      <c r="F6455" s="760">
        <f t="shared" si="206"/>
        <v>2985.998755314019</v>
      </c>
      <c r="M6455" s="443"/>
    </row>
    <row r="6456" spans="1:13">
      <c r="A6456" s="639">
        <v>92513</v>
      </c>
      <c r="B6456" s="639">
        <v>2100</v>
      </c>
      <c r="C6456" s="638">
        <v>6566.59</v>
      </c>
      <c r="D6456" s="633">
        <f t="shared" si="205"/>
        <v>6566.59</v>
      </c>
      <c r="E6456" s="608"/>
      <c r="F6456" s="760">
        <f t="shared" si="206"/>
        <v>2770.3306378594075</v>
      </c>
      <c r="M6456" s="443"/>
    </row>
    <row r="6457" spans="1:13">
      <c r="A6457" s="639">
        <v>92513</v>
      </c>
      <c r="B6457" s="639">
        <v>2200</v>
      </c>
      <c r="C6457" s="638">
        <v>5806.0249999999996</v>
      </c>
      <c r="D6457" s="633">
        <f t="shared" si="205"/>
        <v>5806.0249999999996</v>
      </c>
      <c r="E6457" s="608"/>
      <c r="F6457" s="760">
        <f t="shared" si="206"/>
        <v>2449.4614315310787</v>
      </c>
      <c r="M6457" s="443"/>
    </row>
    <row r="6458" spans="1:13">
      <c r="A6458" s="639">
        <v>92513</v>
      </c>
      <c r="B6458" s="639">
        <v>2300</v>
      </c>
      <c r="C6458" s="638">
        <v>4961.0739999999996</v>
      </c>
      <c r="D6458" s="633">
        <f t="shared" si="205"/>
        <v>4961.0739999999996</v>
      </c>
      <c r="E6458" s="608"/>
      <c r="F6458" s="760">
        <f t="shared" si="206"/>
        <v>2092.9912327231823</v>
      </c>
      <c r="M6458" s="443"/>
    </row>
    <row r="6459" spans="1:13">
      <c r="A6459" s="639">
        <v>92513</v>
      </c>
      <c r="B6459" s="639">
        <v>2400</v>
      </c>
      <c r="C6459" s="638">
        <v>4356.4179999999997</v>
      </c>
      <c r="D6459" s="633">
        <f t="shared" si="205"/>
        <v>4356.4179999999997</v>
      </c>
      <c r="E6459" s="608"/>
      <c r="F6459" s="760">
        <f t="shared" si="206"/>
        <v>1837.8973343428177</v>
      </c>
      <c r="M6459" s="443"/>
    </row>
    <row r="6460" spans="1:13">
      <c r="A6460" s="639">
        <v>92613</v>
      </c>
      <c r="B6460" s="639">
        <v>100</v>
      </c>
      <c r="C6460" s="638">
        <v>4123.2650000000003</v>
      </c>
      <c r="D6460" s="633">
        <f t="shared" si="205"/>
        <v>4123.2650000000003</v>
      </c>
      <c r="E6460" s="608"/>
      <c r="F6460" s="760">
        <f t="shared" si="206"/>
        <v>1739.5341200704429</v>
      </c>
      <c r="M6460" s="443"/>
    </row>
    <row r="6461" spans="1:13">
      <c r="A6461" s="639">
        <v>92613</v>
      </c>
      <c r="B6461" s="639">
        <v>200</v>
      </c>
      <c r="C6461" s="638">
        <v>4022.59</v>
      </c>
      <c r="D6461" s="633">
        <f t="shared" si="205"/>
        <v>4022.59</v>
      </c>
      <c r="E6461" s="608"/>
      <c r="F6461" s="760">
        <f t="shared" si="206"/>
        <v>1697.0610804918344</v>
      </c>
      <c r="M6461" s="443"/>
    </row>
    <row r="6462" spans="1:13">
      <c r="A6462" s="639">
        <v>92613</v>
      </c>
      <c r="B6462" s="639">
        <v>300</v>
      </c>
      <c r="C6462" s="638">
        <v>4220.2790000000005</v>
      </c>
      <c r="D6462" s="633">
        <f t="shared" si="205"/>
        <v>4220.2790000000005</v>
      </c>
      <c r="E6462" s="608"/>
      <c r="F6462" s="760">
        <f t="shared" si="206"/>
        <v>1780.4626471295851</v>
      </c>
      <c r="M6462" s="443"/>
    </row>
    <row r="6463" spans="1:13">
      <c r="A6463" s="639">
        <v>92613</v>
      </c>
      <c r="B6463" s="639">
        <v>400</v>
      </c>
      <c r="C6463" s="638">
        <v>4285.5559999999996</v>
      </c>
      <c r="D6463" s="633">
        <f t="shared" si="205"/>
        <v>4285.5559999999996</v>
      </c>
      <c r="E6463" s="608"/>
      <c r="F6463" s="760">
        <f t="shared" si="206"/>
        <v>1808.0018833309539</v>
      </c>
      <c r="M6463" s="443"/>
    </row>
    <row r="6464" spans="1:13">
      <c r="A6464" s="639">
        <v>92613</v>
      </c>
      <c r="B6464" s="639">
        <v>500</v>
      </c>
      <c r="C6464" s="638">
        <v>4648.3090000000002</v>
      </c>
      <c r="D6464" s="633">
        <f t="shared" si="205"/>
        <v>4648.3090000000002</v>
      </c>
      <c r="E6464" s="608"/>
      <c r="F6464" s="760">
        <f t="shared" si="206"/>
        <v>1961.0410939220544</v>
      </c>
      <c r="M6464" s="443"/>
    </row>
    <row r="6465" spans="1:13">
      <c r="A6465" s="639">
        <v>92613</v>
      </c>
      <c r="B6465" s="639">
        <v>600</v>
      </c>
      <c r="C6465" s="638">
        <v>5533.1040000000003</v>
      </c>
      <c r="D6465" s="633">
        <f t="shared" si="205"/>
        <v>5533.1040000000003</v>
      </c>
      <c r="E6465" s="608"/>
      <c r="F6465" s="760">
        <f t="shared" si="206"/>
        <v>2334.3207865364579</v>
      </c>
      <c r="M6465" s="443"/>
    </row>
    <row r="6466" spans="1:13">
      <c r="A6466" s="639">
        <v>92613</v>
      </c>
      <c r="B6466" s="639">
        <v>700</v>
      </c>
      <c r="C6466" s="638">
        <v>6061.0640000000003</v>
      </c>
      <c r="D6466" s="633">
        <f t="shared" si="205"/>
        <v>6061.0640000000003</v>
      </c>
      <c r="E6466" s="608"/>
      <c r="F6466" s="760">
        <f t="shared" si="206"/>
        <v>2557.0579703052413</v>
      </c>
      <c r="M6466" s="443"/>
    </row>
    <row r="6467" spans="1:13">
      <c r="A6467" s="639">
        <v>92613</v>
      </c>
      <c r="B6467" s="639">
        <v>800</v>
      </c>
      <c r="C6467" s="638">
        <v>5797.5169999999998</v>
      </c>
      <c r="D6467" s="633">
        <f t="shared" si="205"/>
        <v>5797.5169999999998</v>
      </c>
      <c r="E6467" s="608"/>
      <c r="F6467" s="760">
        <f t="shared" si="206"/>
        <v>2445.8720536245996</v>
      </c>
      <c r="M6467" s="443"/>
    </row>
    <row r="6468" spans="1:13">
      <c r="A6468" s="639">
        <v>92613</v>
      </c>
      <c r="B6468" s="639">
        <v>900</v>
      </c>
      <c r="C6468" s="638">
        <v>5419.152</v>
      </c>
      <c r="D6468" s="633">
        <f t="shared" si="205"/>
        <v>5419.152</v>
      </c>
      <c r="E6468" s="608"/>
      <c r="F6468" s="760">
        <f t="shared" si="206"/>
        <v>2286.2464105139934</v>
      </c>
      <c r="M6468" s="443"/>
    </row>
    <row r="6469" spans="1:13">
      <c r="A6469" s="639">
        <v>92613</v>
      </c>
      <c r="B6469" s="639">
        <v>1000</v>
      </c>
      <c r="C6469" s="638">
        <v>5141.9049999999997</v>
      </c>
      <c r="D6469" s="633">
        <f t="shared" ref="D6469:D6532" si="207">C6469</f>
        <v>5141.9049999999997</v>
      </c>
      <c r="E6469" s="608"/>
      <c r="F6469" s="760">
        <f t="shared" si="206"/>
        <v>2169.2807010126221</v>
      </c>
      <c r="M6469" s="443"/>
    </row>
    <row r="6470" spans="1:13">
      <c r="A6470" s="639">
        <v>92613</v>
      </c>
      <c r="B6470" s="639">
        <v>1100</v>
      </c>
      <c r="C6470" s="638">
        <v>5178.6660000000002</v>
      </c>
      <c r="D6470" s="633">
        <f t="shared" si="207"/>
        <v>5178.6660000000002</v>
      </c>
      <c r="E6470" s="608"/>
      <c r="F6470" s="760">
        <f t="shared" si="206"/>
        <v>2184.7895304931212</v>
      </c>
      <c r="M6470" s="443"/>
    </row>
    <row r="6471" spans="1:13">
      <c r="A6471" s="639">
        <v>92613</v>
      </c>
      <c r="B6471" s="639">
        <v>1200</v>
      </c>
      <c r="C6471" s="638">
        <v>5098.3090000000002</v>
      </c>
      <c r="D6471" s="633">
        <f t="shared" si="207"/>
        <v>5098.3090000000002</v>
      </c>
      <c r="E6471" s="608"/>
      <c r="F6471" s="760">
        <f t="shared" si="206"/>
        <v>2150.8883033620737</v>
      </c>
      <c r="M6471" s="443"/>
    </row>
    <row r="6472" spans="1:13">
      <c r="A6472" s="639">
        <v>92613</v>
      </c>
      <c r="B6472" s="639">
        <v>1300</v>
      </c>
      <c r="C6472" s="638">
        <v>5164.1390000000001</v>
      </c>
      <c r="D6472" s="633">
        <f t="shared" si="207"/>
        <v>5164.1390000000001</v>
      </c>
      <c r="E6472" s="608"/>
      <c r="F6472" s="760">
        <f t="shared" si="206"/>
        <v>2178.6608406897099</v>
      </c>
      <c r="M6472" s="443"/>
    </row>
    <row r="6473" spans="1:13">
      <c r="A6473" s="639">
        <v>92613</v>
      </c>
      <c r="B6473" s="639">
        <v>1400</v>
      </c>
      <c r="C6473" s="638">
        <v>5144.8059999999996</v>
      </c>
      <c r="D6473" s="633">
        <f t="shared" si="207"/>
        <v>5144.8059999999996</v>
      </c>
      <c r="E6473" s="608"/>
      <c r="F6473" s="760">
        <f t="shared" si="206"/>
        <v>2170.5045826894789</v>
      </c>
      <c r="M6473" s="443"/>
    </row>
    <row r="6474" spans="1:13">
      <c r="A6474" s="639">
        <v>92613</v>
      </c>
      <c r="B6474" s="639">
        <v>1500</v>
      </c>
      <c r="C6474" s="638">
        <v>5271.0569999999998</v>
      </c>
      <c r="D6474" s="633">
        <f t="shared" si="207"/>
        <v>5271.0569999999998</v>
      </c>
      <c r="E6474" s="608"/>
      <c r="F6474" s="760">
        <f t="shared" si="206"/>
        <v>2223.7676938872828</v>
      </c>
      <c r="M6474" s="443"/>
    </row>
    <row r="6475" spans="1:13">
      <c r="A6475" s="639">
        <v>92613</v>
      </c>
      <c r="B6475" s="639">
        <v>1600</v>
      </c>
      <c r="C6475" s="638">
        <v>5608.87</v>
      </c>
      <c r="D6475" s="633">
        <f t="shared" si="207"/>
        <v>5608.87</v>
      </c>
      <c r="E6475" s="608"/>
      <c r="F6475" s="760">
        <f t="shared" si="206"/>
        <v>2366.28515024853</v>
      </c>
      <c r="M6475" s="443"/>
    </row>
    <row r="6476" spans="1:13">
      <c r="A6476" s="639">
        <v>92613</v>
      </c>
      <c r="B6476" s="639">
        <v>1700</v>
      </c>
      <c r="C6476" s="638">
        <v>5896.1469999999999</v>
      </c>
      <c r="D6476" s="633">
        <f t="shared" si="207"/>
        <v>5896.1469999999999</v>
      </c>
      <c r="E6476" s="608"/>
      <c r="F6476" s="760">
        <f t="shared" si="206"/>
        <v>2487.4823431069749</v>
      </c>
      <c r="M6476" s="443"/>
    </row>
    <row r="6477" spans="1:13">
      <c r="A6477" s="639">
        <v>92613</v>
      </c>
      <c r="B6477" s="639">
        <v>1800</v>
      </c>
      <c r="C6477" s="638">
        <v>6042.7380000000003</v>
      </c>
      <c r="D6477" s="633">
        <f t="shared" si="207"/>
        <v>6042.7380000000003</v>
      </c>
      <c r="E6477" s="608"/>
      <c r="F6477" s="760">
        <f t="shared" si="206"/>
        <v>2549.3265481714684</v>
      </c>
      <c r="M6477" s="443"/>
    </row>
    <row r="6478" spans="1:13">
      <c r="A6478" s="639">
        <v>92613</v>
      </c>
      <c r="B6478" s="639">
        <v>1900</v>
      </c>
      <c r="C6478" s="638">
        <v>6713.7879999999996</v>
      </c>
      <c r="D6478" s="633">
        <f t="shared" si="207"/>
        <v>6713.7879999999996</v>
      </c>
      <c r="E6478" s="608"/>
      <c r="F6478" s="760">
        <f t="shared" si="206"/>
        <v>2832.4309257153</v>
      </c>
      <c r="M6478" s="443"/>
    </row>
    <row r="6479" spans="1:13">
      <c r="A6479" s="639">
        <v>92613</v>
      </c>
      <c r="B6479" s="639">
        <v>2000</v>
      </c>
      <c r="C6479" s="638">
        <v>7029.4949999999999</v>
      </c>
      <c r="D6479" s="633">
        <f t="shared" si="207"/>
        <v>7029.4949999999999</v>
      </c>
      <c r="E6479" s="608"/>
      <c r="F6479" s="760">
        <f t="shared" si="206"/>
        <v>2965.6222433834782</v>
      </c>
      <c r="M6479" s="443"/>
    </row>
    <row r="6480" spans="1:13">
      <c r="A6480" s="639">
        <v>92613</v>
      </c>
      <c r="B6480" s="639">
        <v>2100</v>
      </c>
      <c r="C6480" s="638">
        <v>6584.3090000000002</v>
      </c>
      <c r="D6480" s="633">
        <f t="shared" si="207"/>
        <v>6584.3090000000002</v>
      </c>
      <c r="E6480" s="608"/>
      <c r="F6480" s="760">
        <f t="shared" si="206"/>
        <v>2777.80597720178</v>
      </c>
      <c r="M6480" s="443"/>
    </row>
    <row r="6481" spans="1:13">
      <c r="A6481" s="639">
        <v>92613</v>
      </c>
      <c r="B6481" s="639">
        <v>2200</v>
      </c>
      <c r="C6481" s="638">
        <v>5933.9250000000002</v>
      </c>
      <c r="D6481" s="633">
        <f t="shared" si="207"/>
        <v>5933.9250000000002</v>
      </c>
      <c r="E6481" s="608"/>
      <c r="F6481" s="760">
        <f t="shared" si="206"/>
        <v>2503.4202272808084</v>
      </c>
      <c r="M6481" s="443"/>
    </row>
    <row r="6482" spans="1:13">
      <c r="A6482" s="639">
        <v>92613</v>
      </c>
      <c r="B6482" s="639">
        <v>2300</v>
      </c>
      <c r="C6482" s="638">
        <v>5049.62</v>
      </c>
      <c r="D6482" s="633">
        <f t="shared" si="207"/>
        <v>5049.62</v>
      </c>
      <c r="E6482" s="608"/>
      <c r="F6482" s="760">
        <f t="shared" si="206"/>
        <v>2130.3472571833508</v>
      </c>
      <c r="M6482" s="443"/>
    </row>
    <row r="6483" spans="1:13">
      <c r="A6483" s="639">
        <v>92613</v>
      </c>
      <c r="B6483" s="639">
        <v>2400</v>
      </c>
      <c r="C6483" s="638">
        <v>4451.5169999999998</v>
      </c>
      <c r="D6483" s="633">
        <f t="shared" si="207"/>
        <v>4451.5169999999998</v>
      </c>
      <c r="E6483" s="608"/>
      <c r="F6483" s="760">
        <f t="shared" si="206"/>
        <v>1878.0179560551207</v>
      </c>
      <c r="M6483" s="443"/>
    </row>
    <row r="6484" spans="1:13">
      <c r="A6484" s="639">
        <v>92713</v>
      </c>
      <c r="B6484" s="639">
        <v>100</v>
      </c>
      <c r="C6484" s="638">
        <v>4199.8549999999996</v>
      </c>
      <c r="D6484" s="633">
        <f t="shared" si="207"/>
        <v>4199.8549999999996</v>
      </c>
      <c r="E6484" s="608"/>
      <c r="F6484" s="760">
        <f t="shared" si="206"/>
        <v>1771.8461151171339</v>
      </c>
      <c r="M6484" s="443"/>
    </row>
    <row r="6485" spans="1:13">
      <c r="A6485" s="639">
        <v>92713</v>
      </c>
      <c r="B6485" s="639">
        <v>200</v>
      </c>
      <c r="C6485" s="638">
        <v>4092.5459999999998</v>
      </c>
      <c r="D6485" s="633">
        <f t="shared" si="207"/>
        <v>4092.5459999999998</v>
      </c>
      <c r="E6485" s="608"/>
      <c r="F6485" s="760">
        <f t="shared" si="206"/>
        <v>1726.5743057886918</v>
      </c>
      <c r="M6485" s="443"/>
    </row>
    <row r="6486" spans="1:13">
      <c r="A6486" s="639">
        <v>92713</v>
      </c>
      <c r="B6486" s="639">
        <v>300</v>
      </c>
      <c r="C6486" s="638">
        <v>4252.7020000000002</v>
      </c>
      <c r="D6486" s="633">
        <f t="shared" si="207"/>
        <v>4252.7020000000002</v>
      </c>
      <c r="E6486" s="608"/>
      <c r="F6486" s="760">
        <f t="shared" si="206"/>
        <v>1794.1413495110824</v>
      </c>
      <c r="M6486" s="443"/>
    </row>
    <row r="6487" spans="1:13">
      <c r="A6487" s="639">
        <v>92713</v>
      </c>
      <c r="B6487" s="639">
        <v>400</v>
      </c>
      <c r="C6487" s="638">
        <v>4252.03</v>
      </c>
      <c r="D6487" s="633">
        <f t="shared" si="207"/>
        <v>4252.03</v>
      </c>
      <c r="E6487" s="608"/>
      <c r="F6487" s="760">
        <f t="shared" si="206"/>
        <v>1793.8578443449849</v>
      </c>
      <c r="M6487" s="443"/>
    </row>
    <row r="6488" spans="1:13">
      <c r="A6488" s="639">
        <v>92713</v>
      </c>
      <c r="B6488" s="639">
        <v>500</v>
      </c>
      <c r="C6488" s="638">
        <v>4602.91</v>
      </c>
      <c r="D6488" s="633">
        <f t="shared" si="207"/>
        <v>4602.91</v>
      </c>
      <c r="E6488" s="608"/>
      <c r="F6488" s="760">
        <f t="shared" si="206"/>
        <v>1941.8880417856824</v>
      </c>
      <c r="M6488" s="443"/>
    </row>
    <row r="6489" spans="1:13">
      <c r="A6489" s="639">
        <v>92713</v>
      </c>
      <c r="B6489" s="639">
        <v>600</v>
      </c>
      <c r="C6489" s="638">
        <v>5417.6930000000002</v>
      </c>
      <c r="D6489" s="633">
        <f t="shared" si="207"/>
        <v>5417.6930000000002</v>
      </c>
      <c r="E6489" s="608"/>
      <c r="F6489" s="760">
        <f t="shared" si="206"/>
        <v>2285.6308836727198</v>
      </c>
      <c r="M6489" s="443"/>
    </row>
    <row r="6490" spans="1:13">
      <c r="A6490" s="639">
        <v>92713</v>
      </c>
      <c r="B6490" s="639">
        <v>700</v>
      </c>
      <c r="C6490" s="638">
        <v>6008.8770000000004</v>
      </c>
      <c r="D6490" s="633">
        <f t="shared" si="207"/>
        <v>6008.8770000000004</v>
      </c>
      <c r="E6490" s="608"/>
      <c r="F6490" s="760">
        <f t="shared" si="206"/>
        <v>2535.0411784851381</v>
      </c>
      <c r="M6490" s="443"/>
    </row>
    <row r="6491" spans="1:13">
      <c r="A6491" s="639">
        <v>92713</v>
      </c>
      <c r="B6491" s="639">
        <v>800</v>
      </c>
      <c r="C6491" s="638">
        <v>5991.5559999999996</v>
      </c>
      <c r="D6491" s="633">
        <f t="shared" si="207"/>
        <v>5991.5559999999996</v>
      </c>
      <c r="E6491" s="608"/>
      <c r="F6491" s="760">
        <f t="shared" si="206"/>
        <v>2527.7337484524473</v>
      </c>
      <c r="M6491" s="443"/>
    </row>
    <row r="6492" spans="1:13">
      <c r="A6492" s="639">
        <v>92713</v>
      </c>
      <c r="B6492" s="639">
        <v>900</v>
      </c>
      <c r="C6492" s="638">
        <v>5465.3270000000002</v>
      </c>
      <c r="D6492" s="633">
        <f t="shared" si="207"/>
        <v>5465.3270000000002</v>
      </c>
      <c r="E6492" s="608"/>
      <c r="F6492" s="760">
        <f t="shared" si="206"/>
        <v>2305.7268436159775</v>
      </c>
      <c r="M6492" s="443"/>
    </row>
    <row r="6493" spans="1:13">
      <c r="A6493" s="639">
        <v>92713</v>
      </c>
      <c r="B6493" s="639">
        <v>1000</v>
      </c>
      <c r="C6493" s="638">
        <v>5244.8029999999999</v>
      </c>
      <c r="D6493" s="633">
        <f t="shared" si="207"/>
        <v>5244.8029999999999</v>
      </c>
      <c r="E6493" s="608"/>
      <c r="F6493" s="760">
        <f t="shared" si="206"/>
        <v>2212.6915858058646</v>
      </c>
      <c r="M6493" s="443"/>
    </row>
    <row r="6494" spans="1:13">
      <c r="A6494" s="639">
        <v>92713</v>
      </c>
      <c r="B6494" s="639">
        <v>1100</v>
      </c>
      <c r="C6494" s="638">
        <v>5213.558</v>
      </c>
      <c r="D6494" s="633">
        <f t="shared" si="207"/>
        <v>5213.558</v>
      </c>
      <c r="E6494" s="608"/>
      <c r="F6494" s="760">
        <f t="shared" si="206"/>
        <v>2199.5098612304128</v>
      </c>
      <c r="M6494" s="443"/>
    </row>
    <row r="6495" spans="1:13">
      <c r="A6495" s="639">
        <v>92713</v>
      </c>
      <c r="B6495" s="639">
        <v>1200</v>
      </c>
      <c r="C6495" s="638">
        <v>5071.0020000000004</v>
      </c>
      <c r="D6495" s="633">
        <f t="shared" si="207"/>
        <v>5071.0020000000004</v>
      </c>
      <c r="E6495" s="608"/>
      <c r="F6495" s="760">
        <f t="shared" si="206"/>
        <v>2139.3679528105658</v>
      </c>
      <c r="M6495" s="443"/>
    </row>
    <row r="6496" spans="1:13">
      <c r="A6496" s="639">
        <v>92713</v>
      </c>
      <c r="B6496" s="639">
        <v>1300</v>
      </c>
      <c r="C6496" s="638">
        <v>5040.6559999999999</v>
      </c>
      <c r="D6496" s="633">
        <f t="shared" si="207"/>
        <v>5040.6559999999999</v>
      </c>
      <c r="E6496" s="608"/>
      <c r="F6496" s="760">
        <f t="shared" si="206"/>
        <v>2126.5655007713058</v>
      </c>
      <c r="M6496" s="443"/>
    </row>
    <row r="6497" spans="1:13">
      <c r="A6497" s="639">
        <v>92713</v>
      </c>
      <c r="B6497" s="639">
        <v>1400</v>
      </c>
      <c r="C6497" s="638">
        <v>5017.2640000000001</v>
      </c>
      <c r="D6497" s="633">
        <f t="shared" si="207"/>
        <v>5017.2640000000001</v>
      </c>
      <c r="E6497" s="608"/>
      <c r="F6497" s="760">
        <f t="shared" si="206"/>
        <v>2116.696820941926</v>
      </c>
      <c r="M6497" s="443"/>
    </row>
    <row r="6498" spans="1:13">
      <c r="A6498" s="639">
        <v>92713</v>
      </c>
      <c r="B6498" s="639">
        <v>1500</v>
      </c>
      <c r="C6498" s="638">
        <v>5148.817</v>
      </c>
      <c r="D6498" s="633">
        <f t="shared" si="207"/>
        <v>5148.817</v>
      </c>
      <c r="E6498" s="608"/>
      <c r="F6498" s="760">
        <f t="shared" si="206"/>
        <v>2172.196754149621</v>
      </c>
      <c r="M6498" s="443"/>
    </row>
    <row r="6499" spans="1:13">
      <c r="A6499" s="639">
        <v>92713</v>
      </c>
      <c r="B6499" s="639">
        <v>1600</v>
      </c>
      <c r="C6499" s="638">
        <v>5429.1970000000001</v>
      </c>
      <c r="D6499" s="633">
        <f t="shared" si="207"/>
        <v>5429.1970000000001</v>
      </c>
      <c r="E6499" s="608"/>
      <c r="F6499" s="760">
        <f t="shared" si="206"/>
        <v>2290.4842221113822</v>
      </c>
      <c r="M6499" s="443"/>
    </row>
    <row r="6500" spans="1:13">
      <c r="A6500" s="639">
        <v>92713</v>
      </c>
      <c r="B6500" s="639">
        <v>1700</v>
      </c>
      <c r="C6500" s="638">
        <v>5779.6</v>
      </c>
      <c r="D6500" s="633">
        <f t="shared" si="207"/>
        <v>5779.6</v>
      </c>
      <c r="E6500" s="608"/>
      <c r="F6500" s="760">
        <f t="shared" ref="F6500:F6563" si="208">(D6500/(MAX($D$5860:$D$6579)))*$M$12</f>
        <v>2438.3131815100733</v>
      </c>
      <c r="M6500" s="443"/>
    </row>
    <row r="6501" spans="1:13">
      <c r="A6501" s="639">
        <v>92713</v>
      </c>
      <c r="B6501" s="639">
        <v>1800</v>
      </c>
      <c r="C6501" s="638">
        <v>6013.2250000000004</v>
      </c>
      <c r="D6501" s="633">
        <f t="shared" si="207"/>
        <v>6013.2250000000004</v>
      </c>
      <c r="E6501" s="608"/>
      <c r="F6501" s="760">
        <f t="shared" si="208"/>
        <v>2536.8755244110162</v>
      </c>
      <c r="M6501" s="443"/>
    </row>
    <row r="6502" spans="1:13">
      <c r="A6502" s="639">
        <v>92713</v>
      </c>
      <c r="B6502" s="639">
        <v>1900</v>
      </c>
      <c r="C6502" s="638">
        <v>6506.7049999999999</v>
      </c>
      <c r="D6502" s="633">
        <f t="shared" si="207"/>
        <v>6506.7049999999999</v>
      </c>
      <c r="E6502" s="608"/>
      <c r="F6502" s="760">
        <f t="shared" si="208"/>
        <v>2745.0661931098175</v>
      </c>
      <c r="M6502" s="443"/>
    </row>
    <row r="6503" spans="1:13">
      <c r="A6503" s="639">
        <v>92713</v>
      </c>
      <c r="B6503" s="639">
        <v>2000</v>
      </c>
      <c r="C6503" s="638">
        <v>6784.0889999999999</v>
      </c>
      <c r="D6503" s="633">
        <f t="shared" si="207"/>
        <v>6784.0889999999999</v>
      </c>
      <c r="E6503" s="608"/>
      <c r="F6503" s="760">
        <f t="shared" si="208"/>
        <v>2862.0897005393954</v>
      </c>
      <c r="M6503" s="443"/>
    </row>
    <row r="6504" spans="1:13">
      <c r="A6504" s="639">
        <v>92713</v>
      </c>
      <c r="B6504" s="639">
        <v>2100</v>
      </c>
      <c r="C6504" s="638">
        <v>6457.74</v>
      </c>
      <c r="D6504" s="633">
        <f t="shared" si="207"/>
        <v>6457.74</v>
      </c>
      <c r="E6504" s="608"/>
      <c r="F6504" s="760">
        <f t="shared" si="208"/>
        <v>2724.4087073093051</v>
      </c>
      <c r="M6504" s="443"/>
    </row>
    <row r="6505" spans="1:13">
      <c r="A6505" s="639">
        <v>92713</v>
      </c>
      <c r="B6505" s="639">
        <v>2200</v>
      </c>
      <c r="C6505" s="638">
        <v>5862.348</v>
      </c>
      <c r="D6505" s="633">
        <f t="shared" si="207"/>
        <v>5862.348</v>
      </c>
      <c r="E6505" s="608"/>
      <c r="F6505" s="760">
        <f t="shared" si="208"/>
        <v>2473.2231301472789</v>
      </c>
      <c r="M6505" s="443"/>
    </row>
    <row r="6506" spans="1:13">
      <c r="A6506" s="639">
        <v>92713</v>
      </c>
      <c r="B6506" s="639">
        <v>2300</v>
      </c>
      <c r="C6506" s="638">
        <v>5122.5460000000003</v>
      </c>
      <c r="D6506" s="633">
        <f t="shared" si="207"/>
        <v>5122.5460000000003</v>
      </c>
      <c r="E6506" s="608"/>
      <c r="F6506" s="760">
        <f t="shared" si="208"/>
        <v>2161.113474062513</v>
      </c>
      <c r="M6506" s="443"/>
    </row>
    <row r="6507" spans="1:13">
      <c r="A6507" s="639">
        <v>92713</v>
      </c>
      <c r="B6507" s="639">
        <v>2400</v>
      </c>
      <c r="C6507" s="638">
        <v>4505.9160000000002</v>
      </c>
      <c r="D6507" s="633">
        <f t="shared" si="207"/>
        <v>4505.9160000000002</v>
      </c>
      <c r="E6507" s="608"/>
      <c r="F6507" s="760">
        <f t="shared" si="208"/>
        <v>1900.9679523802934</v>
      </c>
      <c r="M6507" s="443"/>
    </row>
    <row r="6508" spans="1:13">
      <c r="A6508" s="639">
        <v>92813</v>
      </c>
      <c r="B6508" s="639">
        <v>100</v>
      </c>
      <c r="C6508" s="638">
        <v>4161.4539999999997</v>
      </c>
      <c r="D6508" s="633">
        <f t="shared" si="207"/>
        <v>4161.4539999999997</v>
      </c>
      <c r="E6508" s="608"/>
      <c r="F6508" s="760">
        <f t="shared" si="208"/>
        <v>1755.6453980288979</v>
      </c>
      <c r="M6508" s="443"/>
    </row>
    <row r="6509" spans="1:13">
      <c r="A6509" s="639">
        <v>92813</v>
      </c>
      <c r="B6509" s="639">
        <v>200</v>
      </c>
      <c r="C6509" s="638">
        <v>4051.8510000000001</v>
      </c>
      <c r="D6509" s="633">
        <f t="shared" si="207"/>
        <v>4051.8510000000001</v>
      </c>
      <c r="E6509" s="608"/>
      <c r="F6509" s="760">
        <f t="shared" si="208"/>
        <v>1709.4057898149995</v>
      </c>
      <c r="M6509" s="443"/>
    </row>
    <row r="6510" spans="1:13">
      <c r="A6510" s="639">
        <v>92813</v>
      </c>
      <c r="B6510" s="639">
        <v>300</v>
      </c>
      <c r="C6510" s="638">
        <v>4240.585</v>
      </c>
      <c r="D6510" s="633">
        <f t="shared" si="207"/>
        <v>4240.585</v>
      </c>
      <c r="E6510" s="608"/>
      <c r="F6510" s="760">
        <f t="shared" si="208"/>
        <v>1789.029396984894</v>
      </c>
      <c r="M6510" s="443"/>
    </row>
    <row r="6511" spans="1:13">
      <c r="A6511" s="639">
        <v>92813</v>
      </c>
      <c r="B6511" s="639">
        <v>400</v>
      </c>
      <c r="C6511" s="638">
        <v>4204.08</v>
      </c>
      <c r="D6511" s="633">
        <f t="shared" si="207"/>
        <v>4204.08</v>
      </c>
      <c r="E6511" s="608"/>
      <c r="F6511" s="760">
        <f t="shared" si="208"/>
        <v>1773.628569472432</v>
      </c>
      <c r="M6511" s="443"/>
    </row>
    <row r="6512" spans="1:13">
      <c r="A6512" s="639">
        <v>92813</v>
      </c>
      <c r="B6512" s="639">
        <v>500</v>
      </c>
      <c r="C6512" s="638">
        <v>4325.16</v>
      </c>
      <c r="D6512" s="633">
        <f t="shared" si="207"/>
        <v>4325.16</v>
      </c>
      <c r="E6512" s="608"/>
      <c r="F6512" s="760">
        <f t="shared" si="208"/>
        <v>1824.7101252924265</v>
      </c>
      <c r="M6512" s="443"/>
    </row>
    <row r="6513" spans="1:13">
      <c r="A6513" s="639">
        <v>92813</v>
      </c>
      <c r="B6513" s="639">
        <v>600</v>
      </c>
      <c r="C6513" s="638">
        <v>4618.3969999999999</v>
      </c>
      <c r="D6513" s="633">
        <f t="shared" si="207"/>
        <v>4618.3969999999999</v>
      </c>
      <c r="E6513" s="608"/>
      <c r="F6513" s="760">
        <f t="shared" si="208"/>
        <v>1948.4217389692326</v>
      </c>
      <c r="M6513" s="443"/>
    </row>
    <row r="6514" spans="1:13">
      <c r="A6514" s="639">
        <v>92813</v>
      </c>
      <c r="B6514" s="639">
        <v>700</v>
      </c>
      <c r="C6514" s="638">
        <v>5186.9660000000003</v>
      </c>
      <c r="D6514" s="633">
        <f t="shared" si="207"/>
        <v>5186.9660000000003</v>
      </c>
      <c r="E6514" s="608"/>
      <c r="F6514" s="760">
        <f t="shared" si="208"/>
        <v>2188.2911568005707</v>
      </c>
      <c r="M6514" s="443"/>
    </row>
    <row r="6515" spans="1:13">
      <c r="A6515" s="639">
        <v>92813</v>
      </c>
      <c r="B6515" s="639">
        <v>800</v>
      </c>
      <c r="C6515" s="638">
        <v>5587.0420000000004</v>
      </c>
      <c r="D6515" s="633">
        <f t="shared" si="207"/>
        <v>5587.0420000000004</v>
      </c>
      <c r="E6515" s="608"/>
      <c r="F6515" s="760">
        <f t="shared" si="208"/>
        <v>2357.0762949426266</v>
      </c>
      <c r="M6515" s="443"/>
    </row>
    <row r="6516" spans="1:13">
      <c r="A6516" s="639">
        <v>92813</v>
      </c>
      <c r="B6516" s="639">
        <v>900</v>
      </c>
      <c r="C6516" s="638">
        <v>5758.4160000000002</v>
      </c>
      <c r="D6516" s="633">
        <f t="shared" si="207"/>
        <v>5758.4160000000002</v>
      </c>
      <c r="E6516" s="608"/>
      <c r="F6516" s="760">
        <f t="shared" si="208"/>
        <v>2429.3760186550126</v>
      </c>
      <c r="M6516" s="443"/>
    </row>
    <row r="6517" spans="1:13">
      <c r="A6517" s="639">
        <v>92813</v>
      </c>
      <c r="B6517" s="639">
        <v>1000</v>
      </c>
      <c r="C6517" s="638">
        <v>5953.9089999999997</v>
      </c>
      <c r="D6517" s="633">
        <f t="shared" si="207"/>
        <v>5953.9089999999997</v>
      </c>
      <c r="E6517" s="608"/>
      <c r="F6517" s="760">
        <f t="shared" si="208"/>
        <v>2511.8511309106957</v>
      </c>
      <c r="M6517" s="443"/>
    </row>
    <row r="6518" spans="1:13">
      <c r="A6518" s="639">
        <v>92813</v>
      </c>
      <c r="B6518" s="639">
        <v>1100</v>
      </c>
      <c r="C6518" s="638">
        <v>5978.116</v>
      </c>
      <c r="D6518" s="633">
        <f t="shared" si="207"/>
        <v>5978.116</v>
      </c>
      <c r="E6518" s="608"/>
      <c r="F6518" s="760">
        <f t="shared" si="208"/>
        <v>2522.0636451305058</v>
      </c>
      <c r="M6518" s="443"/>
    </row>
    <row r="6519" spans="1:13">
      <c r="A6519" s="639">
        <v>92813</v>
      </c>
      <c r="B6519" s="639">
        <v>1200</v>
      </c>
      <c r="C6519" s="638">
        <v>5779.6189999999997</v>
      </c>
      <c r="D6519" s="633">
        <f t="shared" si="207"/>
        <v>5779.6189999999997</v>
      </c>
      <c r="E6519" s="608"/>
      <c r="F6519" s="760">
        <f t="shared" si="208"/>
        <v>2438.3211972811382</v>
      </c>
      <c r="M6519" s="443"/>
    </row>
    <row r="6520" spans="1:13">
      <c r="A6520" s="639">
        <v>92813</v>
      </c>
      <c r="B6520" s="639">
        <v>1300</v>
      </c>
      <c r="C6520" s="638">
        <v>5436.232</v>
      </c>
      <c r="D6520" s="633">
        <f t="shared" si="207"/>
        <v>5436.232</v>
      </c>
      <c r="E6520" s="608"/>
      <c r="F6520" s="760">
        <f t="shared" si="208"/>
        <v>2293.4521668189609</v>
      </c>
      <c r="M6520" s="443"/>
    </row>
    <row r="6521" spans="1:13">
      <c r="A6521" s="639">
        <v>92813</v>
      </c>
      <c r="B6521" s="639">
        <v>1400</v>
      </c>
      <c r="C6521" s="638">
        <v>5393.0450000000001</v>
      </c>
      <c r="D6521" s="633">
        <f t="shared" si="207"/>
        <v>5393.0450000000001</v>
      </c>
      <c r="E6521" s="608"/>
      <c r="F6521" s="760">
        <f t="shared" si="208"/>
        <v>2275.2323191876585</v>
      </c>
      <c r="M6521" s="443"/>
    </row>
    <row r="6522" spans="1:13">
      <c r="A6522" s="639">
        <v>92813</v>
      </c>
      <c r="B6522" s="639">
        <v>1500</v>
      </c>
      <c r="C6522" s="638">
        <v>5531.5870000000004</v>
      </c>
      <c r="D6522" s="633">
        <f t="shared" si="207"/>
        <v>5531.5870000000004</v>
      </c>
      <c r="E6522" s="608"/>
      <c r="F6522" s="760">
        <f t="shared" si="208"/>
        <v>2333.6807904993011</v>
      </c>
      <c r="M6522" s="443"/>
    </row>
    <row r="6523" spans="1:13">
      <c r="A6523" s="639">
        <v>92813</v>
      </c>
      <c r="B6523" s="639">
        <v>1600</v>
      </c>
      <c r="C6523" s="638">
        <v>5732.1350000000002</v>
      </c>
      <c r="D6523" s="633">
        <f t="shared" si="207"/>
        <v>5732.1350000000002</v>
      </c>
      <c r="E6523" s="608"/>
      <c r="F6523" s="760">
        <f t="shared" si="208"/>
        <v>2418.2885197410274</v>
      </c>
      <c r="M6523" s="443"/>
    </row>
    <row r="6524" spans="1:13">
      <c r="A6524" s="639">
        <v>92813</v>
      </c>
      <c r="B6524" s="639">
        <v>1700</v>
      </c>
      <c r="C6524" s="638">
        <v>6083.18</v>
      </c>
      <c r="D6524" s="633">
        <f t="shared" si="207"/>
        <v>6083.18</v>
      </c>
      <c r="E6524" s="608"/>
      <c r="F6524" s="760">
        <f t="shared" si="208"/>
        <v>2566.3883278251865</v>
      </c>
      <c r="M6524" s="443"/>
    </row>
    <row r="6525" spans="1:13">
      <c r="A6525" s="639">
        <v>92813</v>
      </c>
      <c r="B6525" s="639">
        <v>1800</v>
      </c>
      <c r="C6525" s="638">
        <v>6194.192</v>
      </c>
      <c r="D6525" s="633">
        <f t="shared" si="207"/>
        <v>6194.192</v>
      </c>
      <c r="E6525" s="608"/>
      <c r="F6525" s="760">
        <f t="shared" si="208"/>
        <v>2613.2223687459764</v>
      </c>
      <c r="M6525" s="443"/>
    </row>
    <row r="6526" spans="1:13">
      <c r="A6526" s="639">
        <v>92813</v>
      </c>
      <c r="B6526" s="639">
        <v>1900</v>
      </c>
      <c r="C6526" s="638">
        <v>6500.3019999999997</v>
      </c>
      <c r="D6526" s="633">
        <f t="shared" si="207"/>
        <v>6500.3019999999997</v>
      </c>
      <c r="E6526" s="608"/>
      <c r="F6526" s="760">
        <f t="shared" si="208"/>
        <v>2742.3648782608298</v>
      </c>
      <c r="M6526" s="443"/>
    </row>
    <row r="6527" spans="1:13">
      <c r="A6527" s="639">
        <v>92813</v>
      </c>
      <c r="B6527" s="639">
        <v>2000</v>
      </c>
      <c r="C6527" s="638">
        <v>6614.7849999999999</v>
      </c>
      <c r="D6527" s="633">
        <f t="shared" si="207"/>
        <v>6614.7849999999999</v>
      </c>
      <c r="E6527" s="608"/>
      <c r="F6527" s="760">
        <f t="shared" si="208"/>
        <v>2790.6632739904335</v>
      </c>
      <c r="M6527" s="443"/>
    </row>
    <row r="6528" spans="1:13">
      <c r="A6528" s="639">
        <v>92813</v>
      </c>
      <c r="B6528" s="639">
        <v>2100</v>
      </c>
      <c r="C6528" s="638">
        <v>6312.6220000000003</v>
      </c>
      <c r="D6528" s="633">
        <f t="shared" si="207"/>
        <v>6312.6220000000003</v>
      </c>
      <c r="E6528" s="608"/>
      <c r="F6528" s="760">
        <f t="shared" si="208"/>
        <v>2663.1859354437124</v>
      </c>
      <c r="M6528" s="443"/>
    </row>
    <row r="6529" spans="1:13">
      <c r="A6529" s="639">
        <v>92813</v>
      </c>
      <c r="B6529" s="639">
        <v>2200</v>
      </c>
      <c r="C6529" s="638">
        <v>5747.5029999999997</v>
      </c>
      <c r="D6529" s="633">
        <f t="shared" si="207"/>
        <v>5747.5029999999997</v>
      </c>
      <c r="E6529" s="608"/>
      <c r="F6529" s="760">
        <f t="shared" si="208"/>
        <v>2424.7720128847482</v>
      </c>
      <c r="M6529" s="443"/>
    </row>
    <row r="6530" spans="1:13">
      <c r="A6530" s="639">
        <v>92813</v>
      </c>
      <c r="B6530" s="639">
        <v>2300</v>
      </c>
      <c r="C6530" s="638">
        <v>5107.7489999999998</v>
      </c>
      <c r="D6530" s="633">
        <f t="shared" si="207"/>
        <v>5107.7489999999998</v>
      </c>
      <c r="E6530" s="608"/>
      <c r="F6530" s="760">
        <f t="shared" si="208"/>
        <v>2154.8708759334372</v>
      </c>
      <c r="M6530" s="443"/>
    </row>
    <row r="6531" spans="1:13">
      <c r="A6531" s="639">
        <v>92813</v>
      </c>
      <c r="B6531" s="639">
        <v>2400</v>
      </c>
      <c r="C6531" s="638">
        <v>4623.7079999999996</v>
      </c>
      <c r="D6531" s="633">
        <f t="shared" si="207"/>
        <v>4623.7079999999996</v>
      </c>
      <c r="E6531" s="608"/>
      <c r="F6531" s="760">
        <f t="shared" si="208"/>
        <v>1950.6623579233126</v>
      </c>
      <c r="M6531" s="443"/>
    </row>
    <row r="6532" spans="1:13">
      <c r="A6532" s="639">
        <v>92913</v>
      </c>
      <c r="B6532" s="639">
        <v>100</v>
      </c>
      <c r="C6532" s="638">
        <v>4253.1270000000004</v>
      </c>
      <c r="D6532" s="633">
        <f t="shared" si="207"/>
        <v>4253.1270000000004</v>
      </c>
      <c r="E6532" s="608"/>
      <c r="F6532" s="760">
        <f t="shared" si="208"/>
        <v>1794.3206496533314</v>
      </c>
      <c r="M6532" s="443"/>
    </row>
    <row r="6533" spans="1:13">
      <c r="A6533" s="639">
        <v>92913</v>
      </c>
      <c r="B6533" s="639">
        <v>200</v>
      </c>
      <c r="C6533" s="638">
        <v>4076.64</v>
      </c>
      <c r="D6533" s="633">
        <f t="shared" ref="D6533:D6596" si="209">C6533</f>
        <v>4076.64</v>
      </c>
      <c r="E6533" s="608"/>
      <c r="F6533" s="760">
        <f t="shared" si="208"/>
        <v>1719.8638397590184</v>
      </c>
      <c r="M6533" s="443"/>
    </row>
    <row r="6534" spans="1:13">
      <c r="A6534" s="639">
        <v>92913</v>
      </c>
      <c r="B6534" s="639">
        <v>300</v>
      </c>
      <c r="C6534" s="638">
        <v>4163.0829999999996</v>
      </c>
      <c r="D6534" s="633">
        <f t="shared" si="209"/>
        <v>4163.0829999999996</v>
      </c>
      <c r="E6534" s="608"/>
      <c r="F6534" s="760">
        <f t="shared" si="208"/>
        <v>1756.3326449270708</v>
      </c>
      <c r="M6534" s="443"/>
    </row>
    <row r="6535" spans="1:13">
      <c r="A6535" s="639">
        <v>92913</v>
      </c>
      <c r="B6535" s="639">
        <v>400</v>
      </c>
      <c r="C6535" s="638">
        <v>4150.5</v>
      </c>
      <c r="D6535" s="633">
        <f t="shared" si="209"/>
        <v>4150.5</v>
      </c>
      <c r="E6535" s="608"/>
      <c r="F6535" s="760">
        <f t="shared" si="208"/>
        <v>1751.0240950684404</v>
      </c>
      <c r="M6535" s="443"/>
    </row>
    <row r="6536" spans="1:13">
      <c r="A6536" s="639">
        <v>92913</v>
      </c>
      <c r="B6536" s="639">
        <v>500</v>
      </c>
      <c r="C6536" s="638">
        <v>4266.8999999999996</v>
      </c>
      <c r="D6536" s="633">
        <f t="shared" si="209"/>
        <v>4266.8999999999996</v>
      </c>
      <c r="E6536" s="608"/>
      <c r="F6536" s="760">
        <f t="shared" si="208"/>
        <v>1800.1312399102585</v>
      </c>
      <c r="M6536" s="443"/>
    </row>
    <row r="6537" spans="1:13">
      <c r="A6537" s="639">
        <v>92913</v>
      </c>
      <c r="B6537" s="639">
        <v>600</v>
      </c>
      <c r="C6537" s="638">
        <v>4490.5</v>
      </c>
      <c r="D6537" s="633">
        <f t="shared" si="209"/>
        <v>4490.5</v>
      </c>
      <c r="E6537" s="608"/>
      <c r="F6537" s="760">
        <f t="shared" si="208"/>
        <v>1894.4642088675657</v>
      </c>
      <c r="M6537" s="443"/>
    </row>
    <row r="6538" spans="1:13">
      <c r="A6538" s="639">
        <v>92913</v>
      </c>
      <c r="B6538" s="639">
        <v>700</v>
      </c>
      <c r="C6538" s="638">
        <v>4904.3329999999996</v>
      </c>
      <c r="D6538" s="633">
        <f t="shared" si="209"/>
        <v>4904.3329999999996</v>
      </c>
      <c r="E6538" s="608"/>
      <c r="F6538" s="760">
        <f t="shared" si="208"/>
        <v>2069.0531871435464</v>
      </c>
      <c r="M6538" s="443"/>
    </row>
    <row r="6539" spans="1:13">
      <c r="A6539" s="639">
        <v>92913</v>
      </c>
      <c r="B6539" s="639">
        <v>800</v>
      </c>
      <c r="C6539" s="638">
        <v>5391.2049999999999</v>
      </c>
      <c r="D6539" s="633">
        <f t="shared" si="209"/>
        <v>5391.2049999999999</v>
      </c>
      <c r="E6539" s="608"/>
      <c r="F6539" s="760">
        <f t="shared" si="208"/>
        <v>2274.456055042393</v>
      </c>
      <c r="M6539" s="443"/>
    </row>
    <row r="6540" spans="1:13">
      <c r="A6540" s="639">
        <v>92913</v>
      </c>
      <c r="B6540" s="639">
        <v>900</v>
      </c>
      <c r="C6540" s="638">
        <v>5653.2619999999997</v>
      </c>
      <c r="D6540" s="633">
        <f t="shared" si="209"/>
        <v>5653.2619999999997</v>
      </c>
      <c r="E6540" s="608"/>
      <c r="F6540" s="760">
        <f t="shared" si="208"/>
        <v>2385.0133665184435</v>
      </c>
      <c r="M6540" s="443"/>
    </row>
    <row r="6541" spans="1:13">
      <c r="A6541" s="639">
        <v>92913</v>
      </c>
      <c r="B6541" s="639">
        <v>1000</v>
      </c>
      <c r="C6541" s="638">
        <v>5743.8990000000003</v>
      </c>
      <c r="D6541" s="633">
        <f t="shared" si="209"/>
        <v>5743.8990000000003</v>
      </c>
      <c r="E6541" s="608"/>
      <c r="F6541" s="760">
        <f t="shared" si="208"/>
        <v>2423.2515476784774</v>
      </c>
      <c r="M6541" s="443"/>
    </row>
    <row r="6542" spans="1:13">
      <c r="A6542" s="639">
        <v>92913</v>
      </c>
      <c r="B6542" s="639">
        <v>1100</v>
      </c>
      <c r="C6542" s="638">
        <v>5811.9</v>
      </c>
      <c r="D6542" s="633">
        <f t="shared" si="209"/>
        <v>5811.9</v>
      </c>
      <c r="E6542" s="608"/>
      <c r="F6542" s="760">
        <f t="shared" si="208"/>
        <v>2451.9399923209899</v>
      </c>
      <c r="M6542" s="443"/>
    </row>
    <row r="6543" spans="1:13">
      <c r="A6543" s="639">
        <v>92913</v>
      </c>
      <c r="B6543" s="639">
        <v>1200</v>
      </c>
      <c r="C6543" s="638">
        <v>5861.9030000000002</v>
      </c>
      <c r="D6543" s="633">
        <f t="shared" si="209"/>
        <v>5861.9030000000002</v>
      </c>
      <c r="E6543" s="608"/>
      <c r="F6543" s="760">
        <f t="shared" si="208"/>
        <v>2473.0353923512776</v>
      </c>
      <c r="M6543" s="443"/>
    </row>
    <row r="6544" spans="1:13">
      <c r="A6544" s="639">
        <v>92913</v>
      </c>
      <c r="B6544" s="639">
        <v>1300</v>
      </c>
      <c r="C6544" s="638">
        <v>5916.674</v>
      </c>
      <c r="D6544" s="633">
        <f t="shared" si="209"/>
        <v>5916.674</v>
      </c>
      <c r="E6544" s="608"/>
      <c r="F6544" s="760">
        <f t="shared" si="208"/>
        <v>2496.1423290362536</v>
      </c>
      <c r="M6544" s="443"/>
    </row>
    <row r="6545" spans="1:13">
      <c r="A6545" s="639">
        <v>92913</v>
      </c>
      <c r="B6545" s="639">
        <v>1400</v>
      </c>
      <c r="C6545" s="638">
        <v>5890.4350000000004</v>
      </c>
      <c r="D6545" s="633">
        <f t="shared" si="209"/>
        <v>5890.4350000000004</v>
      </c>
      <c r="E6545" s="608"/>
      <c r="F6545" s="760">
        <f t="shared" si="208"/>
        <v>2485.0725491951498</v>
      </c>
      <c r="M6545" s="443"/>
    </row>
    <row r="6546" spans="1:13">
      <c r="A6546" s="639">
        <v>92913</v>
      </c>
      <c r="B6546" s="639">
        <v>1500</v>
      </c>
      <c r="C6546" s="638">
        <v>5941.3549999999996</v>
      </c>
      <c r="D6546" s="633">
        <f t="shared" si="209"/>
        <v>5941.3549999999996</v>
      </c>
      <c r="E6546" s="608"/>
      <c r="F6546" s="760">
        <f t="shared" si="208"/>
        <v>2506.5548156500072</v>
      </c>
      <c r="M6546" s="443"/>
    </row>
    <row r="6547" spans="1:13">
      <c r="A6547" s="639">
        <v>92913</v>
      </c>
      <c r="B6547" s="639">
        <v>1600</v>
      </c>
      <c r="C6547" s="638">
        <v>6214.3159999999998</v>
      </c>
      <c r="D6547" s="633">
        <f t="shared" si="209"/>
        <v>6214.3159999999998</v>
      </c>
      <c r="E6547" s="608"/>
      <c r="F6547" s="760">
        <f t="shared" si="208"/>
        <v>2621.7123359521333</v>
      </c>
      <c r="M6547" s="443"/>
    </row>
    <row r="6548" spans="1:13">
      <c r="A6548" s="639">
        <v>92913</v>
      </c>
      <c r="B6548" s="639">
        <v>1700</v>
      </c>
      <c r="C6548" s="638">
        <v>6598.8940000000002</v>
      </c>
      <c r="D6548" s="633">
        <f t="shared" si="209"/>
        <v>6598.8940000000002</v>
      </c>
      <c r="E6548" s="608"/>
      <c r="F6548" s="760">
        <f t="shared" si="208"/>
        <v>2783.9591362010751</v>
      </c>
      <c r="M6548" s="443"/>
    </row>
    <row r="6549" spans="1:13">
      <c r="A6549" s="639">
        <v>92913</v>
      </c>
      <c r="B6549" s="639">
        <v>1800</v>
      </c>
      <c r="C6549" s="638">
        <v>6797.2910000000002</v>
      </c>
      <c r="D6549" s="633">
        <f t="shared" si="209"/>
        <v>6797.2910000000002</v>
      </c>
      <c r="E6549" s="608"/>
      <c r="F6549" s="760">
        <f t="shared" si="208"/>
        <v>2867.6593957816781</v>
      </c>
      <c r="M6549" s="443"/>
    </row>
    <row r="6550" spans="1:13">
      <c r="A6550" s="639">
        <v>92913</v>
      </c>
      <c r="B6550" s="639">
        <v>1900</v>
      </c>
      <c r="C6550" s="638">
        <v>7133.7979999999998</v>
      </c>
      <c r="D6550" s="633">
        <f t="shared" si="209"/>
        <v>7133.7979999999998</v>
      </c>
      <c r="E6550" s="608"/>
      <c r="F6550" s="760">
        <f t="shared" si="208"/>
        <v>3009.6258733528612</v>
      </c>
      <c r="M6550" s="443"/>
    </row>
    <row r="6551" spans="1:13">
      <c r="A6551" s="639">
        <v>92913</v>
      </c>
      <c r="B6551" s="639">
        <v>2000</v>
      </c>
      <c r="C6551" s="638">
        <v>7069.1559999999999</v>
      </c>
      <c r="D6551" s="633">
        <f t="shared" si="209"/>
        <v>7069.1559999999999</v>
      </c>
      <c r="E6551" s="608"/>
      <c r="F6551" s="760">
        <f t="shared" si="208"/>
        <v>2982.3545326581461</v>
      </c>
      <c r="M6551" s="443"/>
    </row>
    <row r="6552" spans="1:13">
      <c r="A6552" s="639">
        <v>92913</v>
      </c>
      <c r="B6552" s="639">
        <v>2100</v>
      </c>
      <c r="C6552" s="638">
        <v>6572.6459999999997</v>
      </c>
      <c r="D6552" s="633">
        <f t="shared" si="209"/>
        <v>6572.6459999999997</v>
      </c>
      <c r="E6552" s="608"/>
      <c r="F6552" s="760">
        <f t="shared" si="208"/>
        <v>2772.8855594157822</v>
      </c>
      <c r="M6552" s="443"/>
    </row>
    <row r="6553" spans="1:13">
      <c r="A6553" s="639">
        <v>92913</v>
      </c>
      <c r="B6553" s="639">
        <v>2200</v>
      </c>
      <c r="C6553" s="638">
        <v>5799.9179999999997</v>
      </c>
      <c r="D6553" s="633">
        <f t="shared" si="209"/>
        <v>5799.9179999999997</v>
      </c>
      <c r="E6553" s="608"/>
      <c r="F6553" s="760">
        <f t="shared" si="208"/>
        <v>2446.8849939576335</v>
      </c>
      <c r="M6553" s="443"/>
    </row>
    <row r="6554" spans="1:13">
      <c r="A6554" s="639">
        <v>92913</v>
      </c>
      <c r="B6554" s="639">
        <v>2300</v>
      </c>
      <c r="C6554" s="638">
        <v>4909.8040000000001</v>
      </c>
      <c r="D6554" s="633">
        <f t="shared" si="209"/>
        <v>4909.8040000000001</v>
      </c>
      <c r="E6554" s="608"/>
      <c r="F6554" s="760">
        <f t="shared" si="208"/>
        <v>2071.3613073276497</v>
      </c>
      <c r="M6554" s="443"/>
    </row>
    <row r="6555" spans="1:13">
      <c r="A6555" s="639">
        <v>92913</v>
      </c>
      <c r="B6555" s="639">
        <v>2400</v>
      </c>
      <c r="C6555" s="638">
        <v>4338.8770000000004</v>
      </c>
      <c r="D6555" s="633">
        <f t="shared" si="209"/>
        <v>4338.8770000000004</v>
      </c>
      <c r="E6555" s="608"/>
      <c r="F6555" s="760">
        <f t="shared" si="208"/>
        <v>1830.497090118846</v>
      </c>
      <c r="M6555" s="443"/>
    </row>
    <row r="6556" spans="1:13">
      <c r="A6556" s="639">
        <v>93013</v>
      </c>
      <c r="B6556" s="639">
        <v>100</v>
      </c>
      <c r="C6556" s="638">
        <v>4067.2350000000001</v>
      </c>
      <c r="D6556" s="633">
        <f t="shared" si="209"/>
        <v>4067.2350000000001</v>
      </c>
      <c r="E6556" s="608"/>
      <c r="F6556" s="760">
        <f t="shared" si="208"/>
        <v>1715.8960330817224</v>
      </c>
      <c r="M6556" s="443"/>
    </row>
    <row r="6557" spans="1:13">
      <c r="A6557" s="639">
        <v>93013</v>
      </c>
      <c r="B6557" s="639">
        <v>200</v>
      </c>
      <c r="C6557" s="638">
        <v>3926.22</v>
      </c>
      <c r="D6557" s="633">
        <f t="shared" si="209"/>
        <v>3926.22</v>
      </c>
      <c r="E6557" s="608"/>
      <c r="F6557" s="760">
        <f t="shared" si="208"/>
        <v>1656.4042458835352</v>
      </c>
      <c r="M6557" s="443"/>
    </row>
    <row r="6558" spans="1:13">
      <c r="A6558" s="639">
        <v>93013</v>
      </c>
      <c r="B6558" s="639">
        <v>300</v>
      </c>
      <c r="C6558" s="638">
        <v>4064.7719999999999</v>
      </c>
      <c r="D6558" s="633">
        <f t="shared" si="209"/>
        <v>4064.7719999999999</v>
      </c>
      <c r="E6558" s="608"/>
      <c r="F6558" s="760">
        <f t="shared" si="208"/>
        <v>1714.856936022054</v>
      </c>
      <c r="M6558" s="443"/>
    </row>
    <row r="6559" spans="1:13">
      <c r="A6559" s="639">
        <v>93013</v>
      </c>
      <c r="B6559" s="639">
        <v>400</v>
      </c>
      <c r="C6559" s="638">
        <v>4074.846</v>
      </c>
      <c r="D6559" s="633">
        <f t="shared" si="209"/>
        <v>4074.846</v>
      </c>
      <c r="E6559" s="608"/>
      <c r="F6559" s="760">
        <f t="shared" si="208"/>
        <v>1719.1069822173845</v>
      </c>
      <c r="M6559" s="443"/>
    </row>
    <row r="6560" spans="1:13">
      <c r="A6560" s="639">
        <v>93013</v>
      </c>
      <c r="B6560" s="639">
        <v>500</v>
      </c>
      <c r="C6560" s="638">
        <v>4430.625</v>
      </c>
      <c r="D6560" s="633">
        <f t="shared" si="209"/>
        <v>4430.625</v>
      </c>
      <c r="E6560" s="608"/>
      <c r="F6560" s="760">
        <f t="shared" si="208"/>
        <v>1869.2039829448522</v>
      </c>
      <c r="M6560" s="443"/>
    </row>
    <row r="6561" spans="1:13">
      <c r="A6561" s="639">
        <v>93013</v>
      </c>
      <c r="B6561" s="639">
        <v>600</v>
      </c>
      <c r="C6561" s="638">
        <v>5247.2330000000002</v>
      </c>
      <c r="D6561" s="633">
        <f t="shared" si="209"/>
        <v>5247.2330000000002</v>
      </c>
      <c r="E6561" s="608"/>
      <c r="F6561" s="760">
        <f t="shared" si="208"/>
        <v>2213.716760736841</v>
      </c>
      <c r="M6561" s="443"/>
    </row>
    <row r="6562" spans="1:13">
      <c r="A6562" s="639">
        <v>93013</v>
      </c>
      <c r="B6562" s="639">
        <v>700</v>
      </c>
      <c r="C6562" s="638">
        <v>5971.4709999999995</v>
      </c>
      <c r="D6562" s="633">
        <f t="shared" si="209"/>
        <v>5971.4709999999995</v>
      </c>
      <c r="E6562" s="608"/>
      <c r="F6562" s="760">
        <f t="shared" si="208"/>
        <v>2519.2602346711083</v>
      </c>
      <c r="M6562" s="443"/>
    </row>
    <row r="6563" spans="1:13">
      <c r="A6563" s="639">
        <v>93013</v>
      </c>
      <c r="B6563" s="639">
        <v>800</v>
      </c>
      <c r="C6563" s="638">
        <v>6001.6040000000003</v>
      </c>
      <c r="D6563" s="633">
        <f t="shared" si="209"/>
        <v>6001.6040000000003</v>
      </c>
      <c r="E6563" s="608"/>
      <c r="F6563" s="760">
        <f t="shared" si="208"/>
        <v>2531.9728256978997</v>
      </c>
      <c r="M6563" s="443"/>
    </row>
    <row r="6564" spans="1:13">
      <c r="A6564" s="639">
        <v>93013</v>
      </c>
      <c r="B6564" s="639">
        <v>900</v>
      </c>
      <c r="C6564" s="638">
        <v>6000.4620000000004</v>
      </c>
      <c r="D6564" s="633">
        <f t="shared" si="209"/>
        <v>6000.4620000000004</v>
      </c>
      <c r="E6564" s="608"/>
      <c r="F6564" s="760">
        <f t="shared" ref="F6564:F6579" si="210">(D6564/(MAX($D$5860:$D$6579)))*$M$12</f>
        <v>2531.49103566861</v>
      </c>
      <c r="M6564" s="443"/>
    </row>
    <row r="6565" spans="1:13">
      <c r="A6565" s="639">
        <v>93013</v>
      </c>
      <c r="B6565" s="639">
        <v>1000</v>
      </c>
      <c r="C6565" s="638">
        <v>5943.1719999999996</v>
      </c>
      <c r="D6565" s="633">
        <f t="shared" si="209"/>
        <v>5943.1719999999996</v>
      </c>
      <c r="E6565" s="608"/>
      <c r="F6565" s="760">
        <f t="shared" si="210"/>
        <v>2507.3213764934567</v>
      </c>
      <c r="M6565" s="443"/>
    </row>
    <row r="6566" spans="1:13">
      <c r="A6566" s="639">
        <v>93013</v>
      </c>
      <c r="B6566" s="639">
        <v>1100</v>
      </c>
      <c r="C6566" s="638">
        <v>5936.3209999999999</v>
      </c>
      <c r="D6566" s="633">
        <f t="shared" si="209"/>
        <v>5936.3209999999999</v>
      </c>
      <c r="E6566" s="608"/>
      <c r="F6566" s="760">
        <f t="shared" si="210"/>
        <v>2504.4310582004046</v>
      </c>
      <c r="M6566" s="443"/>
    </row>
    <row r="6567" spans="1:13">
      <c r="A6567" s="639">
        <v>93013</v>
      </c>
      <c r="B6567" s="639">
        <v>1200</v>
      </c>
      <c r="C6567" s="638">
        <v>5878.9639999999999</v>
      </c>
      <c r="D6567" s="633">
        <f t="shared" si="209"/>
        <v>5878.9639999999999</v>
      </c>
      <c r="E6567" s="608"/>
      <c r="F6567" s="760">
        <f t="shared" si="210"/>
        <v>2480.2331328851797</v>
      </c>
      <c r="M6567" s="443"/>
    </row>
    <row r="6568" spans="1:13">
      <c r="A6568" s="639">
        <v>93013</v>
      </c>
      <c r="B6568" s="639">
        <v>1300</v>
      </c>
      <c r="C6568" s="638">
        <v>5488.518</v>
      </c>
      <c r="D6568" s="633">
        <f t="shared" si="209"/>
        <v>5488.518</v>
      </c>
      <c r="E6568" s="608"/>
      <c r="F6568" s="760">
        <f t="shared" si="210"/>
        <v>2315.5107250251408</v>
      </c>
      <c r="M6568" s="443"/>
    </row>
    <row r="6569" spans="1:13">
      <c r="A6569" s="639">
        <v>93013</v>
      </c>
      <c r="B6569" s="639">
        <v>1400</v>
      </c>
      <c r="C6569" s="638">
        <v>5501.38</v>
      </c>
      <c r="D6569" s="633">
        <f t="shared" si="209"/>
        <v>5501.38</v>
      </c>
      <c r="E6569" s="608"/>
      <c r="F6569" s="760">
        <f t="shared" si="210"/>
        <v>2320.9369801536245</v>
      </c>
      <c r="M6569" s="443"/>
    </row>
    <row r="6570" spans="1:13">
      <c r="A6570" s="639">
        <v>93013</v>
      </c>
      <c r="B6570" s="639">
        <v>1500</v>
      </c>
      <c r="C6570" s="638">
        <v>5465.29</v>
      </c>
      <c r="D6570" s="633">
        <f t="shared" si="209"/>
        <v>5465.29</v>
      </c>
      <c r="E6570" s="608"/>
      <c r="F6570" s="760">
        <f t="shared" si="210"/>
        <v>2305.7112339565342</v>
      </c>
      <c r="M6570" s="443"/>
    </row>
    <row r="6571" spans="1:13">
      <c r="A6571" s="639">
        <v>93013</v>
      </c>
      <c r="B6571" s="639">
        <v>1600</v>
      </c>
      <c r="C6571" s="638">
        <v>5726.491</v>
      </c>
      <c r="D6571" s="633">
        <f t="shared" si="209"/>
        <v>5726.491</v>
      </c>
      <c r="E6571" s="608"/>
      <c r="F6571" s="760">
        <f t="shared" si="210"/>
        <v>2415.9074138519622</v>
      </c>
      <c r="M6571" s="443"/>
    </row>
    <row r="6572" spans="1:13">
      <c r="A6572" s="639">
        <v>93013</v>
      </c>
      <c r="B6572" s="639">
        <v>1700</v>
      </c>
      <c r="C6572" s="638">
        <v>6109.5010000000002</v>
      </c>
      <c r="D6572" s="633">
        <f t="shared" si="209"/>
        <v>6109.5010000000002</v>
      </c>
      <c r="E6572" s="608"/>
      <c r="F6572" s="760">
        <f t="shared" si="210"/>
        <v>2577.4927020466766</v>
      </c>
      <c r="M6572" s="443"/>
    </row>
    <row r="6573" spans="1:13">
      <c r="A6573" s="639">
        <v>93013</v>
      </c>
      <c r="B6573" s="639">
        <v>1800</v>
      </c>
      <c r="C6573" s="638">
        <v>6385.2070000000003</v>
      </c>
      <c r="D6573" s="633">
        <f t="shared" si="209"/>
        <v>6385.2070000000003</v>
      </c>
      <c r="E6573" s="608"/>
      <c r="F6573" s="760">
        <f t="shared" si="210"/>
        <v>2693.8082903263876</v>
      </c>
      <c r="M6573" s="443"/>
    </row>
    <row r="6574" spans="1:13">
      <c r="A6574" s="639">
        <v>93013</v>
      </c>
      <c r="B6574" s="639">
        <v>1900</v>
      </c>
      <c r="C6574" s="638">
        <v>7155.3860000000004</v>
      </c>
      <c r="D6574" s="633">
        <f t="shared" si="209"/>
        <v>7155.3860000000004</v>
      </c>
      <c r="E6574" s="608"/>
      <c r="F6574" s="760">
        <f t="shared" si="210"/>
        <v>3018.7334768137302</v>
      </c>
      <c r="M6574" s="443"/>
    </row>
    <row r="6575" spans="1:13">
      <c r="A6575" s="639">
        <v>93013</v>
      </c>
      <c r="B6575" s="639">
        <v>2000</v>
      </c>
      <c r="C6575" s="638">
        <v>7174.5659999999998</v>
      </c>
      <c r="D6575" s="633">
        <f t="shared" si="209"/>
        <v>7174.5659999999998</v>
      </c>
      <c r="E6575" s="608"/>
      <c r="F6575" s="760">
        <f t="shared" si="210"/>
        <v>3026.8251867627514</v>
      </c>
      <c r="M6575" s="443"/>
    </row>
    <row r="6576" spans="1:13">
      <c r="A6576" s="639">
        <v>93013</v>
      </c>
      <c r="B6576" s="639">
        <v>2100</v>
      </c>
      <c r="C6576" s="638">
        <v>6643.2269999999999</v>
      </c>
      <c r="D6576" s="633">
        <f t="shared" si="209"/>
        <v>6643.2269999999999</v>
      </c>
      <c r="E6576" s="608"/>
      <c r="F6576" s="760">
        <f t="shared" si="210"/>
        <v>2802.6624613924178</v>
      </c>
      <c r="M6576" s="443"/>
    </row>
    <row r="6577" spans="1:13">
      <c r="A6577" s="639">
        <v>93013</v>
      </c>
      <c r="B6577" s="639">
        <v>2200</v>
      </c>
      <c r="C6577" s="638">
        <v>5943.1390000000001</v>
      </c>
      <c r="D6577" s="633">
        <f t="shared" si="209"/>
        <v>5943.1390000000001</v>
      </c>
      <c r="E6577" s="608"/>
      <c r="F6577" s="760">
        <f t="shared" si="210"/>
        <v>2507.3074543647649</v>
      </c>
      <c r="M6577" s="443"/>
    </row>
    <row r="6578" spans="1:13">
      <c r="A6578" s="639">
        <v>93013</v>
      </c>
      <c r="B6578" s="639">
        <v>2300</v>
      </c>
      <c r="C6578" s="638">
        <v>4997.9009999999998</v>
      </c>
      <c r="D6578" s="633">
        <f t="shared" si="209"/>
        <v>4997.9009999999998</v>
      </c>
      <c r="E6578" s="608"/>
      <c r="F6578" s="760">
        <f t="shared" si="210"/>
        <v>2108.5279064610659</v>
      </c>
      <c r="M6578" s="443"/>
    </row>
    <row r="6579" spans="1:13">
      <c r="A6579" s="639">
        <v>93013</v>
      </c>
      <c r="B6579" s="639">
        <v>2400</v>
      </c>
      <c r="C6579" s="638">
        <v>4287.8239999999996</v>
      </c>
      <c r="D6579" s="633">
        <f t="shared" si="209"/>
        <v>4287.8239999999996</v>
      </c>
      <c r="E6579" s="608"/>
      <c r="F6579" s="760">
        <f t="shared" si="210"/>
        <v>1808.9587132665317</v>
      </c>
      <c r="M6579" s="443"/>
    </row>
    <row r="6580" spans="1:13">
      <c r="A6580" s="639">
        <v>100113</v>
      </c>
      <c r="B6580" s="639">
        <v>100</v>
      </c>
      <c r="C6580" s="638">
        <v>4213.402</v>
      </c>
      <c r="D6580" s="633">
        <f t="shared" si="209"/>
        <v>4213.402</v>
      </c>
      <c r="E6580" s="608"/>
      <c r="F6580" s="760">
        <f t="shared" ref="F6580:F6643" si="211">(D6580/(MAX($D$6580:$D$7323)))*$M$13</f>
        <v>1777.7262409975081</v>
      </c>
      <c r="M6580" s="443"/>
    </row>
    <row r="6581" spans="1:13">
      <c r="A6581" s="639">
        <v>100113</v>
      </c>
      <c r="B6581" s="639">
        <v>200</v>
      </c>
      <c r="C6581" s="638">
        <v>4128.3</v>
      </c>
      <c r="D6581" s="633">
        <f t="shared" si="209"/>
        <v>4128.3</v>
      </c>
      <c r="E6581" s="608"/>
      <c r="F6581" s="760">
        <f t="shared" si="211"/>
        <v>1741.8198502563991</v>
      </c>
      <c r="M6581" s="443"/>
    </row>
    <row r="6582" spans="1:13">
      <c r="A6582" s="639">
        <v>100113</v>
      </c>
      <c r="B6582" s="639">
        <v>300</v>
      </c>
      <c r="C6582" s="638">
        <v>4120.3940000000002</v>
      </c>
      <c r="D6582" s="633">
        <f t="shared" si="209"/>
        <v>4120.3940000000002</v>
      </c>
      <c r="E6582" s="608"/>
      <c r="F6582" s="760">
        <f t="shared" si="211"/>
        <v>1738.4841363460419</v>
      </c>
      <c r="M6582" s="443"/>
    </row>
    <row r="6583" spans="1:13">
      <c r="A6583" s="639">
        <v>100113</v>
      </c>
      <c r="B6583" s="639">
        <v>400</v>
      </c>
      <c r="C6583" s="638">
        <v>4175.2309999999998</v>
      </c>
      <c r="D6583" s="633">
        <f t="shared" si="209"/>
        <v>4175.2309999999998</v>
      </c>
      <c r="E6583" s="608"/>
      <c r="F6583" s="760">
        <f t="shared" si="211"/>
        <v>1761.6210631993495</v>
      </c>
      <c r="M6583" s="443"/>
    </row>
    <row r="6584" spans="1:13">
      <c r="A6584" s="639">
        <v>100113</v>
      </c>
      <c r="B6584" s="639">
        <v>500</v>
      </c>
      <c r="C6584" s="638">
        <v>4519.8360000000002</v>
      </c>
      <c r="D6584" s="633">
        <f t="shared" si="209"/>
        <v>4519.8360000000002</v>
      </c>
      <c r="E6584" s="608"/>
      <c r="F6584" s="760">
        <f t="shared" si="211"/>
        <v>1907.0174320430883</v>
      </c>
      <c r="M6584" s="443"/>
    </row>
    <row r="6585" spans="1:13">
      <c r="A6585" s="639">
        <v>100113</v>
      </c>
      <c r="B6585" s="639">
        <v>600</v>
      </c>
      <c r="C6585" s="638">
        <v>5387.4009999999998</v>
      </c>
      <c r="D6585" s="633">
        <f t="shared" si="209"/>
        <v>5387.4009999999998</v>
      </c>
      <c r="E6585" s="608"/>
      <c r="F6585" s="760">
        <f t="shared" si="211"/>
        <v>2273.0620359690847</v>
      </c>
      <c r="M6585" s="443"/>
    </row>
    <row r="6586" spans="1:13">
      <c r="A6586" s="639">
        <v>100113</v>
      </c>
      <c r="B6586" s="639">
        <v>700</v>
      </c>
      <c r="C6586" s="638">
        <v>5898.9120000000003</v>
      </c>
      <c r="D6586" s="633">
        <f t="shared" si="209"/>
        <v>5898.9120000000003</v>
      </c>
      <c r="E6586" s="608"/>
      <c r="F6586" s="760">
        <f t="shared" si="211"/>
        <v>2488.8796881320823</v>
      </c>
      <c r="M6586" s="443"/>
    </row>
    <row r="6587" spans="1:13">
      <c r="A6587" s="639">
        <v>100113</v>
      </c>
      <c r="B6587" s="639">
        <v>800</v>
      </c>
      <c r="C6587" s="638">
        <v>5860.8050000000003</v>
      </c>
      <c r="D6587" s="633">
        <f t="shared" si="209"/>
        <v>5860.8050000000003</v>
      </c>
      <c r="E6587" s="608"/>
      <c r="F6587" s="760">
        <f t="shared" si="211"/>
        <v>2472.8015133304157</v>
      </c>
      <c r="M6587" s="443"/>
    </row>
    <row r="6588" spans="1:13">
      <c r="A6588" s="639">
        <v>100113</v>
      </c>
      <c r="B6588" s="639">
        <v>900</v>
      </c>
      <c r="C6588" s="638">
        <v>5497.0469999999996</v>
      </c>
      <c r="D6588" s="633">
        <f t="shared" si="209"/>
        <v>5497.0469999999996</v>
      </c>
      <c r="E6588" s="608"/>
      <c r="F6588" s="760">
        <f t="shared" si="211"/>
        <v>2319.3240758647353</v>
      </c>
      <c r="M6588" s="443"/>
    </row>
    <row r="6589" spans="1:13">
      <c r="A6589" s="639">
        <v>100113</v>
      </c>
      <c r="B6589" s="639">
        <v>1000</v>
      </c>
      <c r="C6589" s="638">
        <v>5337.6390000000001</v>
      </c>
      <c r="D6589" s="633">
        <f t="shared" si="209"/>
        <v>5337.6390000000001</v>
      </c>
      <c r="E6589" s="608"/>
      <c r="F6589" s="760">
        <f t="shared" si="211"/>
        <v>2252.0663623532</v>
      </c>
      <c r="M6589" s="443"/>
    </row>
    <row r="6590" spans="1:13">
      <c r="A6590" s="639">
        <v>100113</v>
      </c>
      <c r="B6590" s="639">
        <v>1100</v>
      </c>
      <c r="C6590" s="638">
        <v>5102.96</v>
      </c>
      <c r="D6590" s="633">
        <f t="shared" si="209"/>
        <v>5102.96</v>
      </c>
      <c r="E6590" s="608"/>
      <c r="F6590" s="760">
        <f t="shared" si="211"/>
        <v>2153.0501715147625</v>
      </c>
      <c r="M6590" s="443"/>
    </row>
    <row r="6591" spans="1:13">
      <c r="A6591" s="639">
        <v>100113</v>
      </c>
      <c r="B6591" s="639">
        <v>1200</v>
      </c>
      <c r="C6591" s="638">
        <v>4958.7979999999998</v>
      </c>
      <c r="D6591" s="633">
        <f t="shared" si="209"/>
        <v>4958.7979999999998</v>
      </c>
      <c r="E6591" s="608"/>
      <c r="F6591" s="760">
        <f t="shared" si="211"/>
        <v>2092.2250780737181</v>
      </c>
      <c r="M6591" s="443"/>
    </row>
    <row r="6592" spans="1:13">
      <c r="A6592" s="639">
        <v>100113</v>
      </c>
      <c r="B6592" s="639">
        <v>1300</v>
      </c>
      <c r="C6592" s="638">
        <v>4964.817</v>
      </c>
      <c r="D6592" s="633">
        <f t="shared" si="209"/>
        <v>4964.817</v>
      </c>
      <c r="E6592" s="608"/>
      <c r="F6592" s="760">
        <f t="shared" si="211"/>
        <v>2094.7646255093923</v>
      </c>
      <c r="M6592" s="443"/>
    </row>
    <row r="6593" spans="1:13">
      <c r="A6593" s="639">
        <v>100113</v>
      </c>
      <c r="B6593" s="639">
        <v>1400</v>
      </c>
      <c r="C6593" s="638">
        <v>5020.1719999999996</v>
      </c>
      <c r="D6593" s="633">
        <f t="shared" si="209"/>
        <v>5020.1719999999996</v>
      </c>
      <c r="E6593" s="608"/>
      <c r="F6593" s="760">
        <f t="shared" si="211"/>
        <v>2118.120107865554</v>
      </c>
      <c r="M6593" s="443"/>
    </row>
    <row r="6594" spans="1:13">
      <c r="A6594" s="639">
        <v>100113</v>
      </c>
      <c r="B6594" s="639">
        <v>1500</v>
      </c>
      <c r="C6594" s="638">
        <v>5300.4089999999997</v>
      </c>
      <c r="D6594" s="633">
        <f t="shared" si="209"/>
        <v>5300.4089999999997</v>
      </c>
      <c r="E6594" s="608"/>
      <c r="F6594" s="760">
        <f t="shared" si="211"/>
        <v>2236.3582129878323</v>
      </c>
      <c r="M6594" s="443"/>
    </row>
    <row r="6595" spans="1:13">
      <c r="A6595" s="639">
        <v>100113</v>
      </c>
      <c r="B6595" s="639">
        <v>1600</v>
      </c>
      <c r="C6595" s="638">
        <v>5590.1350000000002</v>
      </c>
      <c r="D6595" s="633">
        <f t="shared" si="209"/>
        <v>5590.1350000000002</v>
      </c>
      <c r="E6595" s="608"/>
      <c r="F6595" s="760">
        <f t="shared" si="211"/>
        <v>2358.5999342618161</v>
      </c>
      <c r="M6595" s="443"/>
    </row>
    <row r="6596" spans="1:13">
      <c r="A6596" s="639">
        <v>100113</v>
      </c>
      <c r="B6596" s="639">
        <v>1700</v>
      </c>
      <c r="C6596" s="638">
        <v>6044.1719999999996</v>
      </c>
      <c r="D6596" s="633">
        <f t="shared" si="209"/>
        <v>6044.1719999999996</v>
      </c>
      <c r="E6596" s="608"/>
      <c r="F6596" s="760">
        <f t="shared" si="211"/>
        <v>2550.1680517316859</v>
      </c>
      <c r="M6596" s="443"/>
    </row>
    <row r="6597" spans="1:13">
      <c r="A6597" s="639">
        <v>100113</v>
      </c>
      <c r="B6597" s="639">
        <v>1800</v>
      </c>
      <c r="C6597" s="638">
        <v>6429.3109999999997</v>
      </c>
      <c r="D6597" s="633">
        <f t="shared" ref="D6597:D6660" si="212">C6597</f>
        <v>6429.3109999999997</v>
      </c>
      <c r="E6597" s="608"/>
      <c r="F6597" s="760">
        <f t="shared" si="211"/>
        <v>2712.6665996346724</v>
      </c>
      <c r="M6597" s="443"/>
    </row>
    <row r="6598" spans="1:13">
      <c r="A6598" s="639">
        <v>100113</v>
      </c>
      <c r="B6598" s="639">
        <v>1900</v>
      </c>
      <c r="C6598" s="638">
        <v>7064.24</v>
      </c>
      <c r="D6598" s="633">
        <f t="shared" si="212"/>
        <v>7064.24</v>
      </c>
      <c r="E6598" s="608"/>
      <c r="F6598" s="760">
        <f t="shared" si="211"/>
        <v>2980.556999000863</v>
      </c>
      <c r="M6598" s="443"/>
    </row>
    <row r="6599" spans="1:13">
      <c r="A6599" s="639">
        <v>100113</v>
      </c>
      <c r="B6599" s="639">
        <v>2000</v>
      </c>
      <c r="C6599" s="638">
        <v>7169.6390000000001</v>
      </c>
      <c r="D6599" s="633">
        <f t="shared" si="212"/>
        <v>7169.6390000000001</v>
      </c>
      <c r="E6599" s="608"/>
      <c r="F6599" s="760">
        <f t="shared" si="211"/>
        <v>3025.0271369262018</v>
      </c>
      <c r="M6599" s="443"/>
    </row>
    <row r="6600" spans="1:13">
      <c r="A6600" s="639">
        <v>100113</v>
      </c>
      <c r="B6600" s="639">
        <v>2100</v>
      </c>
      <c r="C6600" s="638">
        <v>6738.0889999999999</v>
      </c>
      <c r="D6600" s="633">
        <f t="shared" si="212"/>
        <v>6738.0889999999999</v>
      </c>
      <c r="E6600" s="608"/>
      <c r="F6600" s="760">
        <f t="shared" si="211"/>
        <v>2842.9467754267589</v>
      </c>
      <c r="M6600" s="443"/>
    </row>
    <row r="6601" spans="1:13">
      <c r="A6601" s="639">
        <v>100113</v>
      </c>
      <c r="B6601" s="639">
        <v>2200</v>
      </c>
      <c r="C6601" s="638">
        <v>5905.2640000000001</v>
      </c>
      <c r="D6601" s="633">
        <f t="shared" si="212"/>
        <v>5905.2640000000001</v>
      </c>
      <c r="E6601" s="608"/>
      <c r="F6601" s="760">
        <f t="shared" si="211"/>
        <v>2491.5597355338768</v>
      </c>
      <c r="M6601" s="443"/>
    </row>
    <row r="6602" spans="1:13">
      <c r="A6602" s="639">
        <v>100113</v>
      </c>
      <c r="B6602" s="639">
        <v>2300</v>
      </c>
      <c r="C6602" s="638">
        <v>5008.0219999999999</v>
      </c>
      <c r="D6602" s="633">
        <f t="shared" si="212"/>
        <v>5008.0219999999999</v>
      </c>
      <c r="E6602" s="608"/>
      <c r="F6602" s="760">
        <f t="shared" si="211"/>
        <v>2112.9937577503456</v>
      </c>
      <c r="M6602" s="443"/>
    </row>
    <row r="6603" spans="1:13">
      <c r="A6603" s="639">
        <v>100113</v>
      </c>
      <c r="B6603" s="639">
        <v>2400</v>
      </c>
      <c r="C6603" s="638">
        <v>4344.8339999999998</v>
      </c>
      <c r="D6603" s="633">
        <f t="shared" si="212"/>
        <v>4344.8339999999998</v>
      </c>
      <c r="E6603" s="608"/>
      <c r="F6603" s="760">
        <f t="shared" si="211"/>
        <v>1833.180269667638</v>
      </c>
      <c r="M6603" s="443"/>
    </row>
    <row r="6604" spans="1:13">
      <c r="A6604" s="639">
        <v>100213</v>
      </c>
      <c r="B6604" s="639">
        <v>100</v>
      </c>
      <c r="C6604" s="638">
        <v>4294.1379999999999</v>
      </c>
      <c r="D6604" s="633">
        <f t="shared" si="212"/>
        <v>4294.1379999999999</v>
      </c>
      <c r="E6604" s="608"/>
      <c r="F6604" s="760">
        <f t="shared" si="211"/>
        <v>1811.7905210717031</v>
      </c>
      <c r="M6604" s="443"/>
    </row>
    <row r="6605" spans="1:13">
      <c r="A6605" s="639">
        <v>100213</v>
      </c>
      <c r="B6605" s="639">
        <v>200</v>
      </c>
      <c r="C6605" s="638">
        <v>4214.9520000000002</v>
      </c>
      <c r="D6605" s="633">
        <f t="shared" si="212"/>
        <v>4214.9520000000002</v>
      </c>
      <c r="E6605" s="608"/>
      <c r="F6605" s="760">
        <f t="shared" si="211"/>
        <v>1778.3802198187898</v>
      </c>
      <c r="M6605" s="443"/>
    </row>
    <row r="6606" spans="1:13">
      <c r="A6606" s="639">
        <v>100213</v>
      </c>
      <c r="B6606" s="639">
        <v>300</v>
      </c>
      <c r="C6606" s="638">
        <v>4115.1059999999998</v>
      </c>
      <c r="D6606" s="633">
        <f t="shared" si="212"/>
        <v>4115.1059999999998</v>
      </c>
      <c r="E6606" s="608"/>
      <c r="F6606" s="760">
        <f t="shared" si="211"/>
        <v>1736.2530137609206</v>
      </c>
      <c r="M6606" s="443"/>
    </row>
    <row r="6607" spans="1:13">
      <c r="A6607" s="639">
        <v>100213</v>
      </c>
      <c r="B6607" s="639">
        <v>400</v>
      </c>
      <c r="C6607" s="638">
        <v>4114.192</v>
      </c>
      <c r="D6607" s="633">
        <f t="shared" si="212"/>
        <v>4114.192</v>
      </c>
      <c r="E6607" s="608"/>
      <c r="F6607" s="760">
        <f t="shared" si="211"/>
        <v>1735.8673772172745</v>
      </c>
      <c r="M6607" s="443"/>
    </row>
    <row r="6608" spans="1:13">
      <c r="A6608" s="639">
        <v>100213</v>
      </c>
      <c r="B6608" s="639">
        <v>500</v>
      </c>
      <c r="C6608" s="638">
        <v>4501.5190000000002</v>
      </c>
      <c r="D6608" s="633">
        <f t="shared" si="212"/>
        <v>4501.5190000000002</v>
      </c>
      <c r="E6608" s="608"/>
      <c r="F6608" s="760">
        <f t="shared" si="211"/>
        <v>1899.2890900628188</v>
      </c>
      <c r="M6608" s="443"/>
    </row>
    <row r="6609" spans="1:13">
      <c r="A6609" s="639">
        <v>100213</v>
      </c>
      <c r="B6609" s="639">
        <v>600</v>
      </c>
      <c r="C6609" s="638">
        <v>5292.3410000000003</v>
      </c>
      <c r="D6609" s="633">
        <f t="shared" si="212"/>
        <v>5292.3410000000003</v>
      </c>
      <c r="E6609" s="608"/>
      <c r="F6609" s="760">
        <f t="shared" si="211"/>
        <v>2232.954147742606</v>
      </c>
      <c r="M6609" s="443"/>
    </row>
    <row r="6610" spans="1:13">
      <c r="A6610" s="639">
        <v>100213</v>
      </c>
      <c r="B6610" s="639">
        <v>700</v>
      </c>
      <c r="C6610" s="638">
        <v>6029.37</v>
      </c>
      <c r="D6610" s="633">
        <f t="shared" si="212"/>
        <v>6029.37</v>
      </c>
      <c r="E6610" s="608"/>
      <c r="F6610" s="760">
        <f t="shared" si="211"/>
        <v>2543.9227649493555</v>
      </c>
      <c r="M6610" s="443"/>
    </row>
    <row r="6611" spans="1:13">
      <c r="A6611" s="639">
        <v>100213</v>
      </c>
      <c r="B6611" s="639">
        <v>800</v>
      </c>
      <c r="C6611" s="638">
        <v>5982.9939999999997</v>
      </c>
      <c r="D6611" s="633">
        <f t="shared" si="212"/>
        <v>5982.9939999999997</v>
      </c>
      <c r="E6611" s="608"/>
      <c r="F6611" s="760">
        <f t="shared" si="211"/>
        <v>2524.3557186166054</v>
      </c>
      <c r="M6611" s="443"/>
    </row>
    <row r="6612" spans="1:13">
      <c r="A6612" s="639">
        <v>100213</v>
      </c>
      <c r="B6612" s="639">
        <v>900</v>
      </c>
      <c r="C6612" s="638">
        <v>5625.567</v>
      </c>
      <c r="D6612" s="633">
        <f t="shared" si="212"/>
        <v>5625.567</v>
      </c>
      <c r="E6612" s="608"/>
      <c r="F6612" s="760">
        <f t="shared" si="211"/>
        <v>2373.5494681944965</v>
      </c>
      <c r="M6612" s="443"/>
    </row>
    <row r="6613" spans="1:13">
      <c r="A6613" s="639">
        <v>100213</v>
      </c>
      <c r="B6613" s="639">
        <v>1000</v>
      </c>
      <c r="C6613" s="638">
        <v>5505.3339999999998</v>
      </c>
      <c r="D6613" s="633">
        <f t="shared" si="212"/>
        <v>5505.3339999999998</v>
      </c>
      <c r="E6613" s="608"/>
      <c r="F6613" s="760">
        <f t="shared" si="211"/>
        <v>2322.8205419885817</v>
      </c>
      <c r="M6613" s="443"/>
    </row>
    <row r="6614" spans="1:13">
      <c r="A6614" s="639">
        <v>100213</v>
      </c>
      <c r="B6614" s="639">
        <v>1100</v>
      </c>
      <c r="C6614" s="638">
        <v>5452.2389999999996</v>
      </c>
      <c r="D6614" s="633">
        <f t="shared" si="212"/>
        <v>5452.2389999999996</v>
      </c>
      <c r="E6614" s="608"/>
      <c r="F6614" s="760">
        <f t="shared" si="211"/>
        <v>2300.4186029460307</v>
      </c>
      <c r="M6614" s="443"/>
    </row>
    <row r="6615" spans="1:13">
      <c r="A6615" s="639">
        <v>100213</v>
      </c>
      <c r="B6615" s="639">
        <v>1200</v>
      </c>
      <c r="C6615" s="638">
        <v>5411.9430000000002</v>
      </c>
      <c r="D6615" s="633">
        <f t="shared" si="212"/>
        <v>5411.9430000000002</v>
      </c>
      <c r="E6615" s="608"/>
      <c r="F6615" s="760">
        <f t="shared" si="211"/>
        <v>2283.4168412799863</v>
      </c>
      <c r="M6615" s="443"/>
    </row>
    <row r="6616" spans="1:13">
      <c r="A6616" s="639">
        <v>100213</v>
      </c>
      <c r="B6616" s="639">
        <v>1300</v>
      </c>
      <c r="C6616" s="638">
        <v>5553.9570000000003</v>
      </c>
      <c r="D6616" s="633">
        <f t="shared" si="212"/>
        <v>5553.9570000000003</v>
      </c>
      <c r="E6616" s="608"/>
      <c r="F6616" s="760">
        <f t="shared" si="211"/>
        <v>2343.3356466512801</v>
      </c>
      <c r="M6616" s="443"/>
    </row>
    <row r="6617" spans="1:13">
      <c r="A6617" s="639">
        <v>100213</v>
      </c>
      <c r="B6617" s="639">
        <v>1400</v>
      </c>
      <c r="C6617" s="638">
        <v>5604.9589999999998</v>
      </c>
      <c r="D6617" s="633">
        <f t="shared" si="212"/>
        <v>5604.9589999999998</v>
      </c>
      <c r="E6617" s="608"/>
      <c r="F6617" s="760">
        <f t="shared" si="211"/>
        <v>2364.8545033241903</v>
      </c>
      <c r="M6617" s="443"/>
    </row>
    <row r="6618" spans="1:13">
      <c r="A6618" s="639">
        <v>100213</v>
      </c>
      <c r="B6618" s="639">
        <v>1500</v>
      </c>
      <c r="C6618" s="638">
        <v>5727.9570000000003</v>
      </c>
      <c r="D6618" s="633">
        <f t="shared" si="212"/>
        <v>5727.9570000000003</v>
      </c>
      <c r="E6618" s="608"/>
      <c r="F6618" s="760">
        <f t="shared" si="211"/>
        <v>2416.7500433629079</v>
      </c>
      <c r="M6618" s="443"/>
    </row>
    <row r="6619" spans="1:13">
      <c r="A6619" s="639">
        <v>100213</v>
      </c>
      <c r="B6619" s="639">
        <v>1600</v>
      </c>
      <c r="C6619" s="638">
        <v>6058.5860000000002</v>
      </c>
      <c r="D6619" s="633">
        <f t="shared" si="212"/>
        <v>6058.5860000000002</v>
      </c>
      <c r="E6619" s="608"/>
      <c r="F6619" s="760">
        <f t="shared" si="211"/>
        <v>2556.249632847786</v>
      </c>
      <c r="M6619" s="443"/>
    </row>
    <row r="6620" spans="1:13">
      <c r="A6620" s="639">
        <v>100213</v>
      </c>
      <c r="B6620" s="639">
        <v>1700</v>
      </c>
      <c r="C6620" s="638">
        <v>6388.9669999999996</v>
      </c>
      <c r="D6620" s="633">
        <f t="shared" si="212"/>
        <v>6388.9669999999996</v>
      </c>
      <c r="E6620" s="608"/>
      <c r="F6620" s="760">
        <f t="shared" si="211"/>
        <v>2695.6445857212589</v>
      </c>
      <c r="M6620" s="443"/>
    </row>
    <row r="6621" spans="1:13">
      <c r="A6621" s="639">
        <v>100213</v>
      </c>
      <c r="B6621" s="639">
        <v>1800</v>
      </c>
      <c r="C6621" s="638">
        <v>6437.9530000000004</v>
      </c>
      <c r="D6621" s="633">
        <f t="shared" si="212"/>
        <v>6437.9530000000004</v>
      </c>
      <c r="E6621" s="608"/>
      <c r="F6621" s="760">
        <f t="shared" si="211"/>
        <v>2716.3128480046835</v>
      </c>
      <c r="M6621" s="443"/>
    </row>
    <row r="6622" spans="1:13">
      <c r="A6622" s="639">
        <v>100213</v>
      </c>
      <c r="B6622" s="639">
        <v>1900</v>
      </c>
      <c r="C6622" s="638">
        <v>6934.8710000000001</v>
      </c>
      <c r="D6622" s="633">
        <f t="shared" si="212"/>
        <v>6934.8710000000001</v>
      </c>
      <c r="E6622" s="608"/>
      <c r="F6622" s="760">
        <f t="shared" si="211"/>
        <v>2925.973395045768</v>
      </c>
      <c r="M6622" s="443"/>
    </row>
    <row r="6623" spans="1:13">
      <c r="A6623" s="639">
        <v>100213</v>
      </c>
      <c r="B6623" s="639">
        <v>2000</v>
      </c>
      <c r="C6623" s="638">
        <v>7068.3670000000002</v>
      </c>
      <c r="D6623" s="633">
        <f t="shared" si="212"/>
        <v>7068.3670000000002</v>
      </c>
      <c r="E6623" s="608"/>
      <c r="F6623" s="760">
        <f t="shared" si="211"/>
        <v>2982.2982703527537</v>
      </c>
      <c r="M6623" s="443"/>
    </row>
    <row r="6624" spans="1:13">
      <c r="A6624" s="639">
        <v>100213</v>
      </c>
      <c r="B6624" s="639">
        <v>2100</v>
      </c>
      <c r="C6624" s="638">
        <v>6580.5370000000003</v>
      </c>
      <c r="D6624" s="633">
        <f t="shared" si="212"/>
        <v>6580.5370000000003</v>
      </c>
      <c r="E6624" s="608"/>
      <c r="F6624" s="760">
        <f t="shared" si="211"/>
        <v>2776.472148813481</v>
      </c>
      <c r="M6624" s="443"/>
    </row>
    <row r="6625" spans="1:13">
      <c r="A6625" s="639">
        <v>100213</v>
      </c>
      <c r="B6625" s="639">
        <v>2200</v>
      </c>
      <c r="C6625" s="638">
        <v>5845.38</v>
      </c>
      <c r="D6625" s="633">
        <f t="shared" si="212"/>
        <v>5845.38</v>
      </c>
      <c r="E6625" s="608"/>
      <c r="F6625" s="760">
        <f t="shared" si="211"/>
        <v>2466.2933692541114</v>
      </c>
      <c r="M6625" s="443"/>
    </row>
    <row r="6626" spans="1:13">
      <c r="A6626" s="639">
        <v>100213</v>
      </c>
      <c r="B6626" s="639">
        <v>2300</v>
      </c>
      <c r="C6626" s="638">
        <v>4906.4679999999998</v>
      </c>
      <c r="D6626" s="633">
        <f t="shared" si="212"/>
        <v>4906.4679999999998</v>
      </c>
      <c r="E6626" s="608"/>
      <c r="F6626" s="760">
        <f t="shared" si="211"/>
        <v>2070.1459092236064</v>
      </c>
      <c r="M6626" s="443"/>
    </row>
    <row r="6627" spans="1:13">
      <c r="A6627" s="639">
        <v>100213</v>
      </c>
      <c r="B6627" s="639">
        <v>2400</v>
      </c>
      <c r="C6627" s="638">
        <v>4300.2969999999996</v>
      </c>
      <c r="D6627" s="633">
        <f t="shared" si="212"/>
        <v>4300.2969999999996</v>
      </c>
      <c r="E6627" s="608"/>
      <c r="F6627" s="760">
        <f t="shared" si="211"/>
        <v>1814.3891375622027</v>
      </c>
      <c r="M6627" s="443"/>
    </row>
    <row r="6628" spans="1:13">
      <c r="A6628" s="639">
        <v>100313</v>
      </c>
      <c r="B6628" s="639">
        <v>100</v>
      </c>
      <c r="C6628" s="638">
        <v>4288.549</v>
      </c>
      <c r="D6628" s="633">
        <f t="shared" si="212"/>
        <v>4288.549</v>
      </c>
      <c r="E6628" s="608"/>
      <c r="F6628" s="760">
        <f t="shared" si="211"/>
        <v>1809.4324000187075</v>
      </c>
      <c r="M6628" s="443"/>
    </row>
    <row r="6629" spans="1:13">
      <c r="A6629" s="639">
        <v>100313</v>
      </c>
      <c r="B6629" s="639">
        <v>200</v>
      </c>
      <c r="C6629" s="638">
        <v>4190.8869999999997</v>
      </c>
      <c r="D6629" s="633">
        <f t="shared" si="212"/>
        <v>4190.8869999999997</v>
      </c>
      <c r="E6629" s="608"/>
      <c r="F6629" s="760">
        <f t="shared" si="211"/>
        <v>1768.2266712161152</v>
      </c>
      <c r="M6629" s="443"/>
    </row>
    <row r="6630" spans="1:13">
      <c r="A6630" s="639">
        <v>100313</v>
      </c>
      <c r="B6630" s="639">
        <v>300</v>
      </c>
      <c r="C6630" s="638">
        <v>4125.6419999999998</v>
      </c>
      <c r="D6630" s="633">
        <f t="shared" si="212"/>
        <v>4125.6419999999998</v>
      </c>
      <c r="E6630" s="608"/>
      <c r="F6630" s="760">
        <f t="shared" si="211"/>
        <v>1740.6983820583557</v>
      </c>
      <c r="M6630" s="443"/>
    </row>
    <row r="6631" spans="1:13">
      <c r="A6631" s="639">
        <v>100313</v>
      </c>
      <c r="B6631" s="639">
        <v>400</v>
      </c>
      <c r="C6631" s="638">
        <v>4174.6639999999998</v>
      </c>
      <c r="D6631" s="633">
        <f t="shared" si="212"/>
        <v>4174.6639999999998</v>
      </c>
      <c r="E6631" s="608"/>
      <c r="F6631" s="760">
        <f t="shared" si="211"/>
        <v>1761.3818335273063</v>
      </c>
      <c r="M6631" s="443"/>
    </row>
    <row r="6632" spans="1:13">
      <c r="A6632" s="639">
        <v>100313</v>
      </c>
      <c r="B6632" s="639">
        <v>500</v>
      </c>
      <c r="C6632" s="638">
        <v>4565.8370000000004</v>
      </c>
      <c r="D6632" s="633">
        <f t="shared" si="212"/>
        <v>4565.8370000000004</v>
      </c>
      <c r="E6632" s="608"/>
      <c r="F6632" s="760">
        <f t="shared" si="211"/>
        <v>1926.4262576932699</v>
      </c>
      <c r="M6632" s="443"/>
    </row>
    <row r="6633" spans="1:13">
      <c r="A6633" s="639">
        <v>100313</v>
      </c>
      <c r="B6633" s="639">
        <v>600</v>
      </c>
      <c r="C6633" s="638">
        <v>5520.3469999999998</v>
      </c>
      <c r="D6633" s="633">
        <f t="shared" si="212"/>
        <v>5520.3469999999998</v>
      </c>
      <c r="E6633" s="608"/>
      <c r="F6633" s="760">
        <f t="shared" si="211"/>
        <v>2329.1548542749706</v>
      </c>
      <c r="M6633" s="443"/>
    </row>
    <row r="6634" spans="1:13">
      <c r="A6634" s="639">
        <v>100313</v>
      </c>
      <c r="B6634" s="639">
        <v>700</v>
      </c>
      <c r="C6634" s="638">
        <v>6101.3459999999995</v>
      </c>
      <c r="D6634" s="633">
        <f t="shared" si="212"/>
        <v>6101.3459999999995</v>
      </c>
      <c r="E6634" s="608"/>
      <c r="F6634" s="760">
        <f t="shared" si="211"/>
        <v>2574.2910098787584</v>
      </c>
      <c r="M6634" s="443"/>
    </row>
    <row r="6635" spans="1:13">
      <c r="A6635" s="639">
        <v>100313</v>
      </c>
      <c r="B6635" s="639">
        <v>800</v>
      </c>
      <c r="C6635" s="638">
        <v>5923.402</v>
      </c>
      <c r="D6635" s="633">
        <f t="shared" si="212"/>
        <v>5923.402</v>
      </c>
      <c r="E6635" s="608"/>
      <c r="F6635" s="760">
        <f t="shared" si="211"/>
        <v>2499.2125535083337</v>
      </c>
      <c r="M6635" s="443"/>
    </row>
    <row r="6636" spans="1:13">
      <c r="A6636" s="639">
        <v>100313</v>
      </c>
      <c r="B6636" s="639">
        <v>900</v>
      </c>
      <c r="C6636" s="638">
        <v>5433.1850000000004</v>
      </c>
      <c r="D6636" s="633">
        <f t="shared" si="212"/>
        <v>5433.1850000000004</v>
      </c>
      <c r="E6636" s="608"/>
      <c r="F6636" s="760">
        <f t="shared" si="211"/>
        <v>2292.3793045842876</v>
      </c>
      <c r="M6636" s="443"/>
    </row>
    <row r="6637" spans="1:13">
      <c r="A6637" s="639">
        <v>100313</v>
      </c>
      <c r="B6637" s="639">
        <v>1000</v>
      </c>
      <c r="C6637" s="638">
        <v>5176.6639999999998</v>
      </c>
      <c r="D6637" s="633">
        <f t="shared" si="212"/>
        <v>5176.6639999999998</v>
      </c>
      <c r="E6637" s="608"/>
      <c r="F6637" s="760">
        <f t="shared" si="211"/>
        <v>2184.1474973494396</v>
      </c>
      <c r="M6637" s="443"/>
    </row>
    <row r="6638" spans="1:13">
      <c r="A6638" s="639">
        <v>100313</v>
      </c>
      <c r="B6638" s="639">
        <v>1100</v>
      </c>
      <c r="C6638" s="638">
        <v>5027.5720000000001</v>
      </c>
      <c r="D6638" s="633">
        <f t="shared" si="212"/>
        <v>5027.5720000000001</v>
      </c>
      <c r="E6638" s="608"/>
      <c r="F6638" s="760">
        <f t="shared" si="211"/>
        <v>2121.2423293348993</v>
      </c>
      <c r="M6638" s="443"/>
    </row>
    <row r="6639" spans="1:13">
      <c r="A6639" s="639">
        <v>100313</v>
      </c>
      <c r="B6639" s="639">
        <v>1200</v>
      </c>
      <c r="C6639" s="638">
        <v>4884.723</v>
      </c>
      <c r="D6639" s="633">
        <f t="shared" si="212"/>
        <v>4884.723</v>
      </c>
      <c r="E6639" s="608"/>
      <c r="F6639" s="760">
        <f t="shared" si="211"/>
        <v>2060.9712192437537</v>
      </c>
      <c r="M6639" s="443"/>
    </row>
    <row r="6640" spans="1:13">
      <c r="A6640" s="639">
        <v>100313</v>
      </c>
      <c r="B6640" s="639">
        <v>1300</v>
      </c>
      <c r="C6640" s="638">
        <v>4927.6530000000002</v>
      </c>
      <c r="D6640" s="633">
        <f t="shared" si="212"/>
        <v>4927.6530000000002</v>
      </c>
      <c r="E6640" s="608"/>
      <c r="F6640" s="760">
        <f t="shared" si="211"/>
        <v>2079.0843229841571</v>
      </c>
      <c r="M6640" s="443"/>
    </row>
    <row r="6641" spans="1:13">
      <c r="A6641" s="639">
        <v>100313</v>
      </c>
      <c r="B6641" s="639">
        <v>1400</v>
      </c>
      <c r="C6641" s="638">
        <v>5008.8530000000001</v>
      </c>
      <c r="D6641" s="633">
        <f t="shared" si="212"/>
        <v>5008.8530000000001</v>
      </c>
      <c r="E6641" s="608"/>
      <c r="F6641" s="760">
        <f t="shared" si="211"/>
        <v>2113.3443747829169</v>
      </c>
      <c r="M6641" s="443"/>
    </row>
    <row r="6642" spans="1:13">
      <c r="A6642" s="639">
        <v>100313</v>
      </c>
      <c r="B6642" s="639">
        <v>1500</v>
      </c>
      <c r="C6642" s="638">
        <v>5185.5309999999999</v>
      </c>
      <c r="D6642" s="633">
        <f t="shared" si="212"/>
        <v>5185.5309999999999</v>
      </c>
      <c r="E6642" s="608"/>
      <c r="F6642" s="760">
        <f t="shared" si="211"/>
        <v>2187.8886781289912</v>
      </c>
      <c r="M6642" s="443"/>
    </row>
    <row r="6643" spans="1:13">
      <c r="A6643" s="639">
        <v>100313</v>
      </c>
      <c r="B6643" s="639">
        <v>1600</v>
      </c>
      <c r="C6643" s="638">
        <v>5618.9920000000002</v>
      </c>
      <c r="D6643" s="633">
        <f t="shared" si="212"/>
        <v>5618.9920000000002</v>
      </c>
      <c r="E6643" s="608"/>
      <c r="F6643" s="760">
        <f t="shared" si="211"/>
        <v>2370.7753322268013</v>
      </c>
      <c r="M6643" s="443"/>
    </row>
    <row r="6644" spans="1:13">
      <c r="A6644" s="639">
        <v>100313</v>
      </c>
      <c r="B6644" s="639">
        <v>1700</v>
      </c>
      <c r="C6644" s="638">
        <v>5761.1120000000001</v>
      </c>
      <c r="D6644" s="633">
        <f t="shared" si="212"/>
        <v>5761.1120000000001</v>
      </c>
      <c r="E6644" s="608"/>
      <c r="F6644" s="760">
        <f t="shared" ref="F6644:F6707" si="213">(D6644/(MAX($D$6580:$D$7323)))*$M$13</f>
        <v>2430.7388613110347</v>
      </c>
      <c r="M6644" s="443"/>
    </row>
    <row r="6645" spans="1:13">
      <c r="A6645" s="639">
        <v>100313</v>
      </c>
      <c r="B6645" s="639">
        <v>1800</v>
      </c>
      <c r="C6645" s="638">
        <v>6144.2179999999998</v>
      </c>
      <c r="D6645" s="633">
        <f t="shared" si="212"/>
        <v>6144.2179999999998</v>
      </c>
      <c r="E6645" s="608"/>
      <c r="F6645" s="760">
        <f t="shared" si="213"/>
        <v>2592.3796421535912</v>
      </c>
      <c r="M6645" s="443"/>
    </row>
    <row r="6646" spans="1:13">
      <c r="A6646" s="639">
        <v>100313</v>
      </c>
      <c r="B6646" s="639">
        <v>1900</v>
      </c>
      <c r="C6646" s="638">
        <v>6816.3220000000001</v>
      </c>
      <c r="D6646" s="633">
        <f t="shared" si="212"/>
        <v>6816.3220000000001</v>
      </c>
      <c r="E6646" s="608"/>
      <c r="F6646" s="760">
        <f t="shared" si="213"/>
        <v>2875.9549851850393</v>
      </c>
      <c r="M6646" s="443"/>
    </row>
    <row r="6647" spans="1:13">
      <c r="A6647" s="639">
        <v>100313</v>
      </c>
      <c r="B6647" s="639">
        <v>2000</v>
      </c>
      <c r="C6647" s="638">
        <v>6843.8419999999996</v>
      </c>
      <c r="D6647" s="633">
        <f t="shared" si="212"/>
        <v>6843.8419999999996</v>
      </c>
      <c r="E6647" s="608"/>
      <c r="F6647" s="760">
        <f t="shared" si="213"/>
        <v>2887.5662736764416</v>
      </c>
      <c r="M6647" s="443"/>
    </row>
    <row r="6648" spans="1:13">
      <c r="A6648" s="639">
        <v>100313</v>
      </c>
      <c r="B6648" s="639">
        <v>2100</v>
      </c>
      <c r="C6648" s="638">
        <v>6375.2569999999996</v>
      </c>
      <c r="D6648" s="633">
        <f t="shared" si="212"/>
        <v>6375.2569999999996</v>
      </c>
      <c r="E6648" s="608"/>
      <c r="F6648" s="760">
        <f t="shared" si="213"/>
        <v>2689.8600375665669</v>
      </c>
      <c r="M6648" s="443"/>
    </row>
    <row r="6649" spans="1:13">
      <c r="A6649" s="639">
        <v>100313</v>
      </c>
      <c r="B6649" s="639">
        <v>2200</v>
      </c>
      <c r="C6649" s="638">
        <v>5621.0079999999998</v>
      </c>
      <c r="D6649" s="633">
        <f t="shared" si="212"/>
        <v>5621.0079999999998</v>
      </c>
      <c r="E6649" s="608"/>
      <c r="F6649" s="760">
        <f t="shared" si="213"/>
        <v>2371.6259266162879</v>
      </c>
      <c r="M6649" s="443"/>
    </row>
    <row r="6650" spans="1:13">
      <c r="A6650" s="639">
        <v>100313</v>
      </c>
      <c r="B6650" s="639">
        <v>2300</v>
      </c>
      <c r="C6650" s="638">
        <v>4819.6980000000003</v>
      </c>
      <c r="D6650" s="633">
        <f t="shared" si="212"/>
        <v>4819.6980000000003</v>
      </c>
      <c r="E6650" s="608"/>
      <c r="F6650" s="760">
        <f t="shared" si="213"/>
        <v>2033.5357528864342</v>
      </c>
      <c r="M6650" s="443"/>
    </row>
    <row r="6651" spans="1:13">
      <c r="A6651" s="639">
        <v>100313</v>
      </c>
      <c r="B6651" s="639">
        <v>2400</v>
      </c>
      <c r="C6651" s="638">
        <v>4261.1620000000003</v>
      </c>
      <c r="D6651" s="633">
        <f t="shared" si="212"/>
        <v>4261.1620000000003</v>
      </c>
      <c r="E6651" s="608"/>
      <c r="F6651" s="760">
        <f t="shared" si="213"/>
        <v>1797.8772271293894</v>
      </c>
      <c r="M6651" s="443"/>
    </row>
    <row r="6652" spans="1:13">
      <c r="A6652" s="639">
        <v>100413</v>
      </c>
      <c r="B6652" s="639">
        <v>100</v>
      </c>
      <c r="C6652" s="638">
        <v>4183.8729999999996</v>
      </c>
      <c r="D6652" s="633">
        <f t="shared" si="212"/>
        <v>4183.8729999999996</v>
      </c>
      <c r="E6652" s="608"/>
      <c r="F6652" s="760">
        <f t="shared" si="213"/>
        <v>1765.2673115693603</v>
      </c>
      <c r="M6652" s="443"/>
    </row>
    <row r="6653" spans="1:13">
      <c r="A6653" s="639">
        <v>100413</v>
      </c>
      <c r="B6653" s="639">
        <v>200</v>
      </c>
      <c r="C6653" s="638">
        <v>4080.951</v>
      </c>
      <c r="D6653" s="633">
        <f t="shared" si="212"/>
        <v>4080.951</v>
      </c>
      <c r="E6653" s="608"/>
      <c r="F6653" s="760">
        <f t="shared" si="213"/>
        <v>1721.8422739926125</v>
      </c>
      <c r="M6653" s="443"/>
    </row>
    <row r="6654" spans="1:13">
      <c r="A6654" s="639">
        <v>100413</v>
      </c>
      <c r="B6654" s="639">
        <v>300</v>
      </c>
      <c r="C6654" s="638">
        <v>4029.7660000000001</v>
      </c>
      <c r="D6654" s="633">
        <f t="shared" si="212"/>
        <v>4029.7660000000001</v>
      </c>
      <c r="E6654" s="608"/>
      <c r="F6654" s="760">
        <f t="shared" si="213"/>
        <v>1700.2462056266083</v>
      </c>
      <c r="M6654" s="443"/>
    </row>
    <row r="6655" spans="1:13">
      <c r="A6655" s="639">
        <v>100413</v>
      </c>
      <c r="B6655" s="639">
        <v>400</v>
      </c>
      <c r="C6655" s="638">
        <v>4079.748</v>
      </c>
      <c r="D6655" s="633">
        <f t="shared" si="212"/>
        <v>4079.748</v>
      </c>
      <c r="E6655" s="608"/>
      <c r="F6655" s="760">
        <f t="shared" si="213"/>
        <v>1721.3347020429337</v>
      </c>
      <c r="M6655" s="443"/>
    </row>
    <row r="6656" spans="1:13">
      <c r="A6656" s="639">
        <v>100413</v>
      </c>
      <c r="B6656" s="639">
        <v>500</v>
      </c>
      <c r="C6656" s="638">
        <v>4352.5550000000003</v>
      </c>
      <c r="D6656" s="633">
        <f t="shared" si="212"/>
        <v>4352.5550000000003</v>
      </c>
      <c r="E6656" s="608"/>
      <c r="F6656" s="760">
        <f t="shared" si="213"/>
        <v>1836.437928041262</v>
      </c>
      <c r="M6656" s="443"/>
    </row>
    <row r="6657" spans="1:13">
      <c r="A6657" s="639">
        <v>100413</v>
      </c>
      <c r="B6657" s="639">
        <v>600</v>
      </c>
      <c r="C6657" s="638">
        <v>5191.0529999999999</v>
      </c>
      <c r="D6657" s="633">
        <f t="shared" si="212"/>
        <v>5191.0529999999999</v>
      </c>
      <c r="E6657" s="608"/>
      <c r="F6657" s="760">
        <f t="shared" si="213"/>
        <v>2190.2185304200352</v>
      </c>
      <c r="M6657" s="443"/>
    </row>
    <row r="6658" spans="1:13">
      <c r="A6658" s="639">
        <v>100413</v>
      </c>
      <c r="B6658" s="639">
        <v>700</v>
      </c>
      <c r="C6658" s="638">
        <v>5914.4440000000004</v>
      </c>
      <c r="D6658" s="633">
        <f t="shared" si="212"/>
        <v>5914.4440000000004</v>
      </c>
      <c r="E6658" s="608"/>
      <c r="F6658" s="760">
        <f t="shared" si="213"/>
        <v>2495.4329778431456</v>
      </c>
      <c r="M6658" s="443"/>
    </row>
    <row r="6659" spans="1:13">
      <c r="A6659" s="639">
        <v>100413</v>
      </c>
      <c r="B6659" s="639">
        <v>800</v>
      </c>
      <c r="C6659" s="638">
        <v>5877.2280000000001</v>
      </c>
      <c r="D6659" s="633">
        <f t="shared" si="212"/>
        <v>5877.2280000000001</v>
      </c>
      <c r="E6659" s="608"/>
      <c r="F6659" s="760">
        <f t="shared" si="213"/>
        <v>2479.7307353832607</v>
      </c>
      <c r="M6659" s="443"/>
    </row>
    <row r="6660" spans="1:13">
      <c r="A6660" s="639">
        <v>100413</v>
      </c>
      <c r="B6660" s="639">
        <v>900</v>
      </c>
      <c r="C6660" s="638">
        <v>5789.0739999999996</v>
      </c>
      <c r="D6660" s="633">
        <f t="shared" si="212"/>
        <v>5789.0739999999996</v>
      </c>
      <c r="E6660" s="608"/>
      <c r="F6660" s="760">
        <f t="shared" si="213"/>
        <v>2442.5366392469568</v>
      </c>
      <c r="M6660" s="443"/>
    </row>
    <row r="6661" spans="1:13">
      <c r="A6661" s="639">
        <v>100413</v>
      </c>
      <c r="B6661" s="639">
        <v>1000</v>
      </c>
      <c r="C6661" s="638">
        <v>5767.1909999999998</v>
      </c>
      <c r="D6661" s="633">
        <f t="shared" ref="D6661:D6724" si="214">C6661</f>
        <v>5767.1909999999998</v>
      </c>
      <c r="E6661" s="608"/>
      <c r="F6661" s="760">
        <f t="shared" si="213"/>
        <v>2433.3037240559192</v>
      </c>
      <c r="M6661" s="443"/>
    </row>
    <row r="6662" spans="1:13">
      <c r="A6662" s="639">
        <v>100413</v>
      </c>
      <c r="B6662" s="639">
        <v>1100</v>
      </c>
      <c r="C6662" s="638">
        <v>5744.2740000000003</v>
      </c>
      <c r="D6662" s="633">
        <f t="shared" si="214"/>
        <v>5744.2740000000003</v>
      </c>
      <c r="E6662" s="608"/>
      <c r="F6662" s="760">
        <f t="shared" si="213"/>
        <v>2423.6345417028137</v>
      </c>
      <c r="M6662" s="443"/>
    </row>
    <row r="6663" spans="1:13">
      <c r="A6663" s="639">
        <v>100413</v>
      </c>
      <c r="B6663" s="639">
        <v>1200</v>
      </c>
      <c r="C6663" s="638">
        <v>5811.4350000000004</v>
      </c>
      <c r="D6663" s="633">
        <f t="shared" si="214"/>
        <v>5811.4350000000004</v>
      </c>
      <c r="E6663" s="608"/>
      <c r="F6663" s="760">
        <f t="shared" si="213"/>
        <v>2451.9712330680418</v>
      </c>
      <c r="M6663" s="443"/>
    </row>
    <row r="6664" spans="1:13">
      <c r="A6664" s="639">
        <v>100413</v>
      </c>
      <c r="B6664" s="639">
        <v>1300</v>
      </c>
      <c r="C6664" s="638">
        <v>5713.3879999999999</v>
      </c>
      <c r="D6664" s="633">
        <f t="shared" si="214"/>
        <v>5713.3879999999999</v>
      </c>
      <c r="E6664" s="608"/>
      <c r="F6664" s="760">
        <f t="shared" si="213"/>
        <v>2410.6030643646795</v>
      </c>
      <c r="M6664" s="443"/>
    </row>
    <row r="6665" spans="1:13">
      <c r="A6665" s="639">
        <v>100413</v>
      </c>
      <c r="B6665" s="639">
        <v>1400</v>
      </c>
      <c r="C6665" s="638">
        <v>5759.1239999999998</v>
      </c>
      <c r="D6665" s="633">
        <f t="shared" si="214"/>
        <v>5759.1239999999998</v>
      </c>
      <c r="E6665" s="608"/>
      <c r="F6665" s="760">
        <f t="shared" si="213"/>
        <v>2429.9000807325133</v>
      </c>
      <c r="M6665" s="443"/>
    </row>
    <row r="6666" spans="1:13">
      <c r="A6666" s="639">
        <v>100413</v>
      </c>
      <c r="B6666" s="639">
        <v>1500</v>
      </c>
      <c r="C6666" s="638">
        <v>5801.61</v>
      </c>
      <c r="D6666" s="633">
        <f t="shared" si="214"/>
        <v>5801.61</v>
      </c>
      <c r="E6666" s="608"/>
      <c r="F6666" s="760">
        <f t="shared" si="213"/>
        <v>2447.8258511847557</v>
      </c>
      <c r="M6666" s="443"/>
    </row>
    <row r="6667" spans="1:13">
      <c r="A6667" s="639">
        <v>100413</v>
      </c>
      <c r="B6667" s="639">
        <v>1600</v>
      </c>
      <c r="C6667" s="638">
        <v>6063.6189999999997</v>
      </c>
      <c r="D6667" s="633">
        <f t="shared" si="214"/>
        <v>6063.6189999999997</v>
      </c>
      <c r="E6667" s="608"/>
      <c r="F6667" s="760">
        <f t="shared" si="213"/>
        <v>2558.3731653687605</v>
      </c>
      <c r="M6667" s="443"/>
    </row>
    <row r="6668" spans="1:13">
      <c r="A6668" s="639">
        <v>100413</v>
      </c>
      <c r="B6668" s="639">
        <v>1700</v>
      </c>
      <c r="C6668" s="638">
        <v>6106.9380000000001</v>
      </c>
      <c r="D6668" s="633">
        <f t="shared" si="214"/>
        <v>6106.9380000000001</v>
      </c>
      <c r="E6668" s="608"/>
      <c r="F6668" s="760">
        <f t="shared" si="213"/>
        <v>2576.650396697215</v>
      </c>
      <c r="M6668" s="443"/>
    </row>
    <row r="6669" spans="1:13">
      <c r="A6669" s="639">
        <v>100413</v>
      </c>
      <c r="B6669" s="639">
        <v>1800</v>
      </c>
      <c r="C6669" s="638">
        <v>6333.41</v>
      </c>
      <c r="D6669" s="633">
        <f t="shared" si="214"/>
        <v>6333.41</v>
      </c>
      <c r="E6669" s="608"/>
      <c r="F6669" s="760">
        <f t="shared" si="213"/>
        <v>2672.203875157421</v>
      </c>
      <c r="M6669" s="443"/>
    </row>
    <row r="6670" spans="1:13">
      <c r="A6670" s="639">
        <v>100413</v>
      </c>
      <c r="B6670" s="639">
        <v>1900</v>
      </c>
      <c r="C6670" s="638">
        <v>6807.67</v>
      </c>
      <c r="D6670" s="633">
        <f t="shared" si="214"/>
        <v>6807.67</v>
      </c>
      <c r="E6670" s="608"/>
      <c r="F6670" s="760">
        <f t="shared" si="213"/>
        <v>2872.3045175968268</v>
      </c>
      <c r="M6670" s="443"/>
    </row>
    <row r="6671" spans="1:13">
      <c r="A6671" s="639">
        <v>100413</v>
      </c>
      <c r="B6671" s="639">
        <v>2000</v>
      </c>
      <c r="C6671" s="638">
        <v>6677.5789999999997</v>
      </c>
      <c r="D6671" s="633">
        <f t="shared" si="214"/>
        <v>6677.5789999999997</v>
      </c>
      <c r="E6671" s="608"/>
      <c r="F6671" s="760">
        <f t="shared" si="213"/>
        <v>2817.4162860875604</v>
      </c>
      <c r="M6671" s="443"/>
    </row>
    <row r="6672" spans="1:13">
      <c r="A6672" s="639">
        <v>100413</v>
      </c>
      <c r="B6672" s="639">
        <v>2100</v>
      </c>
      <c r="C6672" s="638">
        <v>6346.41</v>
      </c>
      <c r="D6672" s="633">
        <f t="shared" si="214"/>
        <v>6346.41</v>
      </c>
      <c r="E6672" s="608"/>
      <c r="F6672" s="760">
        <f t="shared" si="213"/>
        <v>2677.6888588197839</v>
      </c>
      <c r="M6672" s="443"/>
    </row>
    <row r="6673" spans="1:13">
      <c r="A6673" s="639">
        <v>100413</v>
      </c>
      <c r="B6673" s="639">
        <v>2200</v>
      </c>
      <c r="C6673" s="638">
        <v>5772.5990000000002</v>
      </c>
      <c r="D6673" s="633">
        <f t="shared" si="214"/>
        <v>5772.5990000000002</v>
      </c>
      <c r="E6673" s="608"/>
      <c r="F6673" s="760">
        <f t="shared" si="213"/>
        <v>2435.5854772594626</v>
      </c>
      <c r="M6673" s="443"/>
    </row>
    <row r="6674" spans="1:13">
      <c r="A6674" s="639">
        <v>100413</v>
      </c>
      <c r="B6674" s="639">
        <v>2300</v>
      </c>
      <c r="C6674" s="638">
        <v>5012.0950000000003</v>
      </c>
      <c r="D6674" s="633">
        <f t="shared" si="214"/>
        <v>5012.0950000000003</v>
      </c>
      <c r="E6674" s="608"/>
      <c r="F6674" s="760">
        <f t="shared" si="213"/>
        <v>2114.7122453239463</v>
      </c>
      <c r="M6674" s="443"/>
    </row>
    <row r="6675" spans="1:13">
      <c r="A6675" s="639">
        <v>100413</v>
      </c>
      <c r="B6675" s="639">
        <v>2400</v>
      </c>
      <c r="C6675" s="638">
        <v>4434.9799999999996</v>
      </c>
      <c r="D6675" s="633">
        <f t="shared" si="214"/>
        <v>4434.9799999999996</v>
      </c>
      <c r="E6675" s="608"/>
      <c r="F6675" s="760">
        <f t="shared" si="213"/>
        <v>1871.214834069744</v>
      </c>
      <c r="M6675" s="443"/>
    </row>
    <row r="6676" spans="1:13">
      <c r="A6676" s="639">
        <v>100513</v>
      </c>
      <c r="B6676" s="639">
        <v>100</v>
      </c>
      <c r="C6676" s="638">
        <v>4316.5870000000004</v>
      </c>
      <c r="D6676" s="633">
        <f t="shared" si="214"/>
        <v>4316.5870000000004</v>
      </c>
      <c r="E6676" s="608"/>
      <c r="F6676" s="760">
        <f t="shared" si="213"/>
        <v>1821.2622440129639</v>
      </c>
      <c r="M6676" s="443"/>
    </row>
    <row r="6677" spans="1:13">
      <c r="A6677" s="639">
        <v>100513</v>
      </c>
      <c r="B6677" s="639">
        <v>200</v>
      </c>
      <c r="C6677" s="638">
        <v>4211.7150000000001</v>
      </c>
      <c r="D6677" s="633">
        <f t="shared" si="214"/>
        <v>4211.7150000000001</v>
      </c>
      <c r="E6677" s="608"/>
      <c r="F6677" s="760">
        <f t="shared" si="213"/>
        <v>1777.0144588868613</v>
      </c>
      <c r="M6677" s="443"/>
    </row>
    <row r="6678" spans="1:13">
      <c r="A6678" s="639">
        <v>100513</v>
      </c>
      <c r="B6678" s="639">
        <v>300</v>
      </c>
      <c r="C6678" s="638">
        <v>4130.2700000000004</v>
      </c>
      <c r="D6678" s="633">
        <f t="shared" si="214"/>
        <v>4130.2700000000004</v>
      </c>
      <c r="E6678" s="608"/>
      <c r="F6678" s="760">
        <f t="shared" si="213"/>
        <v>1742.6510362421573</v>
      </c>
      <c r="M6678" s="443"/>
    </row>
    <row r="6679" spans="1:13">
      <c r="A6679" s="639">
        <v>100513</v>
      </c>
      <c r="B6679" s="639">
        <v>400</v>
      </c>
      <c r="C6679" s="638">
        <v>4092.9160000000002</v>
      </c>
      <c r="D6679" s="633">
        <f t="shared" si="214"/>
        <v>4092.9160000000002</v>
      </c>
      <c r="E6679" s="608"/>
      <c r="F6679" s="760">
        <f t="shared" si="213"/>
        <v>1726.8905685710874</v>
      </c>
      <c r="M6679" s="443"/>
    </row>
    <row r="6680" spans="1:13">
      <c r="A6680" s="639">
        <v>100513</v>
      </c>
      <c r="B6680" s="639">
        <v>500</v>
      </c>
      <c r="C6680" s="638">
        <v>4237.9719999999998</v>
      </c>
      <c r="D6680" s="633">
        <f t="shared" si="214"/>
        <v>4237.9719999999998</v>
      </c>
      <c r="E6680" s="608"/>
      <c r="F6680" s="760">
        <f t="shared" si="213"/>
        <v>1788.0928601193739</v>
      </c>
      <c r="M6680" s="443"/>
    </row>
    <row r="6681" spans="1:13">
      <c r="A6681" s="639">
        <v>100513</v>
      </c>
      <c r="B6681" s="639">
        <v>600</v>
      </c>
      <c r="C6681" s="638">
        <v>4523.8900000000003</v>
      </c>
      <c r="D6681" s="633">
        <f t="shared" si="214"/>
        <v>4523.8900000000003</v>
      </c>
      <c r="E6681" s="608"/>
      <c r="F6681" s="760">
        <f t="shared" si="213"/>
        <v>1908.7279031021053</v>
      </c>
      <c r="M6681" s="443"/>
    </row>
    <row r="6682" spans="1:13">
      <c r="A6682" s="639">
        <v>100513</v>
      </c>
      <c r="B6682" s="639">
        <v>700</v>
      </c>
      <c r="C6682" s="638">
        <v>5163.7550000000001</v>
      </c>
      <c r="D6682" s="633">
        <f t="shared" si="214"/>
        <v>5163.7550000000001</v>
      </c>
      <c r="E6682" s="608"/>
      <c r="F6682" s="760">
        <f t="shared" si="213"/>
        <v>2178.7009085727132</v>
      </c>
      <c r="M6682" s="443"/>
    </row>
    <row r="6683" spans="1:13">
      <c r="A6683" s="639">
        <v>100513</v>
      </c>
      <c r="B6683" s="639">
        <v>800</v>
      </c>
      <c r="C6683" s="638">
        <v>5720.0119999999997</v>
      </c>
      <c r="D6683" s="633">
        <f t="shared" si="214"/>
        <v>5720.0119999999997</v>
      </c>
      <c r="E6683" s="608"/>
      <c r="F6683" s="760">
        <f t="shared" si="213"/>
        <v>2413.3978745015634</v>
      </c>
      <c r="M6683" s="443"/>
    </row>
    <row r="6684" spans="1:13">
      <c r="A6684" s="639">
        <v>100513</v>
      </c>
      <c r="B6684" s="639">
        <v>900</v>
      </c>
      <c r="C6684" s="638">
        <v>6033.3190000000004</v>
      </c>
      <c r="D6684" s="633">
        <f t="shared" si="214"/>
        <v>6033.3190000000004</v>
      </c>
      <c r="E6684" s="608"/>
      <c r="F6684" s="760">
        <f t="shared" si="213"/>
        <v>2545.5889342172536</v>
      </c>
      <c r="M6684" s="443"/>
    </row>
    <row r="6685" spans="1:13">
      <c r="A6685" s="639">
        <v>100513</v>
      </c>
      <c r="B6685" s="639">
        <v>1000</v>
      </c>
      <c r="C6685" s="638">
        <v>6130.6819999999998</v>
      </c>
      <c r="D6685" s="633">
        <f t="shared" si="214"/>
        <v>6130.6819999999998</v>
      </c>
      <c r="E6685" s="608"/>
      <c r="F6685" s="760">
        <f t="shared" si="213"/>
        <v>2586.6685083956108</v>
      </c>
      <c r="M6685" s="443"/>
    </row>
    <row r="6686" spans="1:13">
      <c r="A6686" s="639">
        <v>100513</v>
      </c>
      <c r="B6686" s="639">
        <v>1100</v>
      </c>
      <c r="C6686" s="638">
        <v>5900.0550000000003</v>
      </c>
      <c r="D6686" s="633">
        <f t="shared" si="214"/>
        <v>5900.0550000000003</v>
      </c>
      <c r="E6686" s="608"/>
      <c r="F6686" s="760">
        <f t="shared" si="213"/>
        <v>2489.36194477255</v>
      </c>
      <c r="M6686" s="443"/>
    </row>
    <row r="6687" spans="1:13">
      <c r="A6687" s="639">
        <v>100513</v>
      </c>
      <c r="B6687" s="639">
        <v>1200</v>
      </c>
      <c r="C6687" s="638">
        <v>5959.98</v>
      </c>
      <c r="D6687" s="633">
        <f t="shared" si="214"/>
        <v>5959.98</v>
      </c>
      <c r="E6687" s="608"/>
      <c r="F6687" s="760">
        <f t="shared" si="213"/>
        <v>2514.6456098469421</v>
      </c>
      <c r="M6687" s="443"/>
    </row>
    <row r="6688" spans="1:13">
      <c r="A6688" s="639">
        <v>100513</v>
      </c>
      <c r="B6688" s="639">
        <v>1300</v>
      </c>
      <c r="C6688" s="638">
        <v>5763.1540000000005</v>
      </c>
      <c r="D6688" s="633">
        <f t="shared" si="214"/>
        <v>5763.1540000000005</v>
      </c>
      <c r="E6688" s="608"/>
      <c r="F6688" s="760">
        <f t="shared" si="213"/>
        <v>2431.6004256678457</v>
      </c>
      <c r="M6688" s="443"/>
    </row>
    <row r="6689" spans="1:13">
      <c r="A6689" s="639">
        <v>100513</v>
      </c>
      <c r="B6689" s="639">
        <v>1400</v>
      </c>
      <c r="C6689" s="638">
        <v>5852.3220000000001</v>
      </c>
      <c r="D6689" s="633">
        <f t="shared" si="214"/>
        <v>5852.3220000000001</v>
      </c>
      <c r="E6689" s="608"/>
      <c r="F6689" s="760">
        <f t="shared" si="213"/>
        <v>2469.2223505298139</v>
      </c>
      <c r="M6689" s="443"/>
    </row>
    <row r="6690" spans="1:13">
      <c r="A6690" s="639">
        <v>100513</v>
      </c>
      <c r="B6690" s="639">
        <v>1500</v>
      </c>
      <c r="C6690" s="638">
        <v>5923.3410000000003</v>
      </c>
      <c r="D6690" s="633">
        <f t="shared" si="214"/>
        <v>5923.3410000000003</v>
      </c>
      <c r="E6690" s="608"/>
      <c r="F6690" s="760">
        <f t="shared" si="213"/>
        <v>2499.186816277303</v>
      </c>
      <c r="M6690" s="443"/>
    </row>
    <row r="6691" spans="1:13">
      <c r="A6691" s="639">
        <v>100513</v>
      </c>
      <c r="B6691" s="639">
        <v>1600</v>
      </c>
      <c r="C6691" s="638">
        <v>5978.3249999999998</v>
      </c>
      <c r="D6691" s="633">
        <f t="shared" si="214"/>
        <v>5978.3249999999998</v>
      </c>
      <c r="E6691" s="608"/>
      <c r="F6691" s="760">
        <f t="shared" si="213"/>
        <v>2522.385765638177</v>
      </c>
      <c r="M6691" s="443"/>
    </row>
    <row r="6692" spans="1:13">
      <c r="A6692" s="639">
        <v>100513</v>
      </c>
      <c r="B6692" s="639">
        <v>1700</v>
      </c>
      <c r="C6692" s="638">
        <v>6157.9520000000002</v>
      </c>
      <c r="D6692" s="633">
        <f t="shared" si="214"/>
        <v>6157.9520000000002</v>
      </c>
      <c r="E6692" s="608"/>
      <c r="F6692" s="760">
        <f t="shared" si="213"/>
        <v>2598.1743164319678</v>
      </c>
      <c r="M6692" s="443"/>
    </row>
    <row r="6693" spans="1:13">
      <c r="A6693" s="639">
        <v>100513</v>
      </c>
      <c r="B6693" s="639">
        <v>1800</v>
      </c>
      <c r="C6693" s="638">
        <v>6497.5379999999996</v>
      </c>
      <c r="D6693" s="633">
        <f t="shared" si="214"/>
        <v>6497.5379999999996</v>
      </c>
      <c r="E6693" s="608"/>
      <c r="F6693" s="760">
        <f t="shared" si="213"/>
        <v>2741.453059660214</v>
      </c>
      <c r="M6693" s="443"/>
    </row>
    <row r="6694" spans="1:13">
      <c r="A6694" s="639">
        <v>100513</v>
      </c>
      <c r="B6694" s="639">
        <v>1900</v>
      </c>
      <c r="C6694" s="638">
        <v>6781.18</v>
      </c>
      <c r="D6694" s="633">
        <f t="shared" si="214"/>
        <v>6781.18</v>
      </c>
      <c r="E6694" s="608"/>
      <c r="F6694" s="760">
        <f t="shared" si="213"/>
        <v>2861.1278085802114</v>
      </c>
      <c r="M6694" s="443"/>
    </row>
    <row r="6695" spans="1:13">
      <c r="A6695" s="639">
        <v>100513</v>
      </c>
      <c r="B6695" s="639">
        <v>2000</v>
      </c>
      <c r="C6695" s="638">
        <v>6533.3919999999998</v>
      </c>
      <c r="D6695" s="633">
        <f t="shared" si="214"/>
        <v>6533.3919999999998</v>
      </c>
      <c r="E6695" s="608"/>
      <c r="F6695" s="760">
        <f t="shared" si="213"/>
        <v>2756.5806446010115</v>
      </c>
      <c r="M6695" s="443"/>
    </row>
    <row r="6696" spans="1:13">
      <c r="A6696" s="639">
        <v>100513</v>
      </c>
      <c r="B6696" s="639">
        <v>2100</v>
      </c>
      <c r="C6696" s="638">
        <v>6235.3760000000002</v>
      </c>
      <c r="D6696" s="633">
        <f t="shared" si="214"/>
        <v>6235.3760000000002</v>
      </c>
      <c r="E6696" s="608"/>
      <c r="F6696" s="760">
        <f t="shared" si="213"/>
        <v>2630.8411914377211</v>
      </c>
      <c r="M6696" s="443"/>
    </row>
    <row r="6697" spans="1:13">
      <c r="A6697" s="639">
        <v>100513</v>
      </c>
      <c r="B6697" s="639">
        <v>2200</v>
      </c>
      <c r="C6697" s="638">
        <v>5698.732</v>
      </c>
      <c r="D6697" s="633">
        <f t="shared" si="214"/>
        <v>5698.732</v>
      </c>
      <c r="E6697" s="608"/>
      <c r="F6697" s="760">
        <f t="shared" si="213"/>
        <v>2404.4193781680956</v>
      </c>
      <c r="M6697" s="443"/>
    </row>
    <row r="6698" spans="1:13">
      <c r="A6698" s="639">
        <v>100513</v>
      </c>
      <c r="B6698" s="639">
        <v>2300</v>
      </c>
      <c r="C6698" s="638">
        <v>5034.99</v>
      </c>
      <c r="D6698" s="633">
        <f t="shared" si="214"/>
        <v>5034.99</v>
      </c>
      <c r="E6698" s="608"/>
      <c r="F6698" s="760">
        <f t="shared" si="213"/>
        <v>2124.3721453970074</v>
      </c>
      <c r="M6698" s="443"/>
    </row>
    <row r="6699" spans="1:13">
      <c r="A6699" s="639">
        <v>100513</v>
      </c>
      <c r="B6699" s="639">
        <v>2400</v>
      </c>
      <c r="C6699" s="638">
        <v>4487.348</v>
      </c>
      <c r="D6699" s="633">
        <f t="shared" si="214"/>
        <v>4487.348</v>
      </c>
      <c r="E6699" s="608"/>
      <c r="F6699" s="760">
        <f t="shared" si="213"/>
        <v>1893.3100359490229</v>
      </c>
      <c r="M6699" s="443"/>
    </row>
    <row r="6700" spans="1:13">
      <c r="A6700" s="639">
        <v>100613</v>
      </c>
      <c r="B6700" s="639">
        <v>100</v>
      </c>
      <c r="C6700" s="638">
        <v>4307.3540000000003</v>
      </c>
      <c r="D6700" s="633">
        <f t="shared" si="214"/>
        <v>4307.3540000000003</v>
      </c>
      <c r="E6700" s="608"/>
      <c r="F6700" s="760">
        <f t="shared" si="213"/>
        <v>1817.3666398472258</v>
      </c>
      <c r="M6700" s="443"/>
    </row>
    <row r="6701" spans="1:13">
      <c r="A6701" s="639">
        <v>100613</v>
      </c>
      <c r="B6701" s="639">
        <v>200</v>
      </c>
      <c r="C6701" s="638">
        <v>4152.8689999999997</v>
      </c>
      <c r="D6701" s="633">
        <f t="shared" si="214"/>
        <v>4152.8689999999997</v>
      </c>
      <c r="E6701" s="608"/>
      <c r="F6701" s="760">
        <f t="shared" si="213"/>
        <v>1752.1860474564448</v>
      </c>
      <c r="M6701" s="443"/>
    </row>
    <row r="6702" spans="1:13">
      <c r="A6702" s="639">
        <v>100613</v>
      </c>
      <c r="B6702" s="639">
        <v>300</v>
      </c>
      <c r="C6702" s="638">
        <v>4078.8519999999999</v>
      </c>
      <c r="D6702" s="633">
        <f t="shared" si="214"/>
        <v>4078.8519999999999</v>
      </c>
      <c r="E6702" s="608"/>
      <c r="F6702" s="760">
        <f t="shared" si="213"/>
        <v>1720.9566600920507</v>
      </c>
      <c r="M6702" s="443"/>
    </row>
    <row r="6703" spans="1:13">
      <c r="A6703" s="639">
        <v>100613</v>
      </c>
      <c r="B6703" s="639">
        <v>400</v>
      </c>
      <c r="C6703" s="638">
        <v>4112.0559999999996</v>
      </c>
      <c r="D6703" s="633">
        <f t="shared" si="214"/>
        <v>4112.0559999999996</v>
      </c>
      <c r="E6703" s="608"/>
      <c r="F6703" s="760">
        <f t="shared" si="213"/>
        <v>1734.9661522093663</v>
      </c>
      <c r="M6703" s="443"/>
    </row>
    <row r="6704" spans="1:13">
      <c r="A6704" s="639">
        <v>100613</v>
      </c>
      <c r="B6704" s="639">
        <v>500</v>
      </c>
      <c r="C6704" s="638">
        <v>4220.8440000000001</v>
      </c>
      <c r="D6704" s="633">
        <f t="shared" si="214"/>
        <v>4220.8440000000001</v>
      </c>
      <c r="E6704" s="608"/>
      <c r="F6704" s="760">
        <f t="shared" si="213"/>
        <v>1780.8661831833006</v>
      </c>
      <c r="M6704" s="443"/>
    </row>
    <row r="6705" spans="1:13">
      <c r="A6705" s="639">
        <v>100613</v>
      </c>
      <c r="B6705" s="639">
        <v>600</v>
      </c>
      <c r="C6705" s="638">
        <v>4461.1120000000001</v>
      </c>
      <c r="D6705" s="633">
        <f t="shared" si="214"/>
        <v>4461.1120000000001</v>
      </c>
      <c r="E6705" s="608"/>
      <c r="F6705" s="760">
        <f t="shared" si="213"/>
        <v>1882.2404950747341</v>
      </c>
      <c r="M6705" s="443"/>
    </row>
    <row r="6706" spans="1:13">
      <c r="A6706" s="639">
        <v>100613</v>
      </c>
      <c r="B6706" s="639">
        <v>700</v>
      </c>
      <c r="C6706" s="638">
        <v>4968.1949999999997</v>
      </c>
      <c r="D6706" s="633">
        <f t="shared" si="214"/>
        <v>4968.1949999999997</v>
      </c>
      <c r="E6706" s="608"/>
      <c r="F6706" s="760">
        <f t="shared" si="213"/>
        <v>2096.1898774179663</v>
      </c>
      <c r="M6706" s="443"/>
    </row>
    <row r="6707" spans="1:13">
      <c r="A6707" s="639">
        <v>100613</v>
      </c>
      <c r="B6707" s="639">
        <v>800</v>
      </c>
      <c r="C6707" s="638">
        <v>5585.1080000000002</v>
      </c>
      <c r="D6707" s="633">
        <f t="shared" si="214"/>
        <v>5585.1080000000002</v>
      </c>
      <c r="E6707" s="608"/>
      <c r="F6707" s="760">
        <f t="shared" si="213"/>
        <v>2356.4789332717623</v>
      </c>
      <c r="M6707" s="443"/>
    </row>
    <row r="6708" spans="1:13">
      <c r="A6708" s="639">
        <v>100613</v>
      </c>
      <c r="B6708" s="639">
        <v>900</v>
      </c>
      <c r="C6708" s="638">
        <v>6237.4189999999999</v>
      </c>
      <c r="D6708" s="633">
        <f t="shared" si="214"/>
        <v>6237.4189999999999</v>
      </c>
      <c r="E6708" s="608"/>
      <c r="F6708" s="760">
        <f t="shared" ref="F6708:F6771" si="215">(D6708/(MAX($D$6580:$D$7323)))*$M$13</f>
        <v>2631.7031777163525</v>
      </c>
      <c r="M6708" s="443"/>
    </row>
    <row r="6709" spans="1:13">
      <c r="A6709" s="639">
        <v>100613</v>
      </c>
      <c r="B6709" s="639">
        <v>1000</v>
      </c>
      <c r="C6709" s="638">
        <v>6567.3329999999996</v>
      </c>
      <c r="D6709" s="633">
        <f t="shared" si="214"/>
        <v>6567.3329999999996</v>
      </c>
      <c r="E6709" s="608"/>
      <c r="F6709" s="760">
        <f t="shared" si="215"/>
        <v>2770.9010930998006</v>
      </c>
      <c r="M6709" s="443"/>
    </row>
    <row r="6710" spans="1:13">
      <c r="A6710" s="639">
        <v>100613</v>
      </c>
      <c r="B6710" s="639">
        <v>1100</v>
      </c>
      <c r="C6710" s="638">
        <v>6709.5230000000001</v>
      </c>
      <c r="D6710" s="633">
        <f t="shared" si="214"/>
        <v>6709.5230000000001</v>
      </c>
      <c r="E6710" s="608"/>
      <c r="F6710" s="760">
        <f t="shared" si="215"/>
        <v>2830.8941567114466</v>
      </c>
      <c r="M6710" s="443"/>
    </row>
    <row r="6711" spans="1:13">
      <c r="A6711" s="639">
        <v>100613</v>
      </c>
      <c r="B6711" s="639">
        <v>1200</v>
      </c>
      <c r="C6711" s="638">
        <v>6820.9219999999996</v>
      </c>
      <c r="D6711" s="633">
        <f t="shared" si="214"/>
        <v>6820.9219999999996</v>
      </c>
      <c r="E6711" s="608"/>
      <c r="F6711" s="760">
        <f t="shared" si="215"/>
        <v>2877.8958255578755</v>
      </c>
      <c r="M6711" s="443"/>
    </row>
    <row r="6712" spans="1:13">
      <c r="A6712" s="639">
        <v>100613</v>
      </c>
      <c r="B6712" s="639">
        <v>1300</v>
      </c>
      <c r="C6712" s="638">
        <v>6899.0870000000004</v>
      </c>
      <c r="D6712" s="633">
        <f t="shared" si="214"/>
        <v>6899.0870000000004</v>
      </c>
      <c r="E6712" s="608"/>
      <c r="F6712" s="760">
        <f t="shared" si="215"/>
        <v>2910.8753446323835</v>
      </c>
      <c r="M6712" s="443"/>
    </row>
    <row r="6713" spans="1:13">
      <c r="A6713" s="639">
        <v>100613</v>
      </c>
      <c r="B6713" s="639">
        <v>1400</v>
      </c>
      <c r="C6713" s="638">
        <v>6742.8469999999998</v>
      </c>
      <c r="D6713" s="633">
        <f t="shared" si="214"/>
        <v>6742.8469999999998</v>
      </c>
      <c r="E6713" s="608"/>
      <c r="F6713" s="760">
        <f t="shared" si="215"/>
        <v>2844.954279447184</v>
      </c>
      <c r="M6713" s="443"/>
    </row>
    <row r="6714" spans="1:13">
      <c r="A6714" s="639">
        <v>100613</v>
      </c>
      <c r="B6714" s="639">
        <v>1500</v>
      </c>
      <c r="C6714" s="638">
        <v>6659.8789999999999</v>
      </c>
      <c r="D6714" s="633">
        <f t="shared" si="214"/>
        <v>6659.8789999999999</v>
      </c>
      <c r="E6714" s="608"/>
      <c r="F6714" s="760">
        <f t="shared" si="215"/>
        <v>2809.9482698703428</v>
      </c>
      <c r="M6714" s="443"/>
    </row>
    <row r="6715" spans="1:13">
      <c r="A6715" s="639">
        <v>100613</v>
      </c>
      <c r="B6715" s="639">
        <v>1600</v>
      </c>
      <c r="C6715" s="638">
        <v>6882.7460000000001</v>
      </c>
      <c r="D6715" s="633">
        <f t="shared" si="214"/>
        <v>6882.7460000000001</v>
      </c>
      <c r="E6715" s="608"/>
      <c r="F6715" s="760">
        <f t="shared" si="215"/>
        <v>2903.9807201687931</v>
      </c>
      <c r="M6715" s="443"/>
    </row>
    <row r="6716" spans="1:13">
      <c r="A6716" s="639">
        <v>100613</v>
      </c>
      <c r="B6716" s="639">
        <v>1700</v>
      </c>
      <c r="C6716" s="638">
        <v>6934.5360000000001</v>
      </c>
      <c r="D6716" s="633">
        <f t="shared" si="214"/>
        <v>6934.5360000000001</v>
      </c>
      <c r="E6716" s="608"/>
      <c r="F6716" s="760">
        <f t="shared" si="215"/>
        <v>2925.8320512360069</v>
      </c>
      <c r="M6716" s="443"/>
    </row>
    <row r="6717" spans="1:13">
      <c r="A6717" s="639">
        <v>100613</v>
      </c>
      <c r="B6717" s="639">
        <v>1800</v>
      </c>
      <c r="C6717" s="638">
        <v>7085.2839999999997</v>
      </c>
      <c r="D6717" s="633">
        <f t="shared" si="214"/>
        <v>7085.2839999999997</v>
      </c>
      <c r="E6717" s="608"/>
      <c r="F6717" s="760">
        <f t="shared" si="215"/>
        <v>2989.4359217847682</v>
      </c>
      <c r="M6717" s="443"/>
    </row>
    <row r="6718" spans="1:13">
      <c r="A6718" s="639">
        <v>100613</v>
      </c>
      <c r="B6718" s="639">
        <v>1900</v>
      </c>
      <c r="C6718" s="638">
        <v>7336.5330000000004</v>
      </c>
      <c r="D6718" s="633">
        <f t="shared" si="214"/>
        <v>7336.5330000000004</v>
      </c>
      <c r="E6718" s="608"/>
      <c r="F6718" s="760">
        <f t="shared" si="215"/>
        <v>3095.443357183618</v>
      </c>
      <c r="M6718" s="443"/>
    </row>
    <row r="6719" spans="1:13">
      <c r="A6719" s="639">
        <v>100613</v>
      </c>
      <c r="B6719" s="639">
        <v>2000</v>
      </c>
      <c r="C6719" s="638">
        <v>7033.2839999999997</v>
      </c>
      <c r="D6719" s="633">
        <f t="shared" si="214"/>
        <v>7033.2839999999997</v>
      </c>
      <c r="E6719" s="608"/>
      <c r="F6719" s="760">
        <f t="shared" si="215"/>
        <v>2967.4959871353162</v>
      </c>
      <c r="M6719" s="443"/>
    </row>
    <row r="6720" spans="1:13">
      <c r="A6720" s="639">
        <v>100613</v>
      </c>
      <c r="B6720" s="639">
        <v>2100</v>
      </c>
      <c r="C6720" s="638">
        <v>6526.2269999999999</v>
      </c>
      <c r="D6720" s="633">
        <f t="shared" si="214"/>
        <v>6526.2269999999999</v>
      </c>
      <c r="E6720" s="608"/>
      <c r="F6720" s="760">
        <f t="shared" si="215"/>
        <v>2753.5575747594089</v>
      </c>
      <c r="M6720" s="443"/>
    </row>
    <row r="6721" spans="1:13">
      <c r="A6721" s="639">
        <v>100613</v>
      </c>
      <c r="B6721" s="639">
        <v>2200</v>
      </c>
      <c r="C6721" s="638">
        <v>5645.1660000000002</v>
      </c>
      <c r="D6721" s="633">
        <f t="shared" si="214"/>
        <v>5645.1660000000002</v>
      </c>
      <c r="E6721" s="608"/>
      <c r="F6721" s="760">
        <f t="shared" si="215"/>
        <v>2381.8187139482388</v>
      </c>
      <c r="M6721" s="443"/>
    </row>
    <row r="6722" spans="1:13">
      <c r="A6722" s="639">
        <v>100613</v>
      </c>
      <c r="B6722" s="639">
        <v>2300</v>
      </c>
      <c r="C6722" s="638">
        <v>4830.0259999999998</v>
      </c>
      <c r="D6722" s="633">
        <f t="shared" si="214"/>
        <v>4830.0259999999998</v>
      </c>
      <c r="E6722" s="608"/>
      <c r="F6722" s="760">
        <f t="shared" si="215"/>
        <v>2037.8933614452715</v>
      </c>
      <c r="M6722" s="443"/>
    </row>
    <row r="6723" spans="1:13">
      <c r="A6723" s="639">
        <v>100613</v>
      </c>
      <c r="B6723" s="639">
        <v>2400</v>
      </c>
      <c r="C6723" s="638">
        <v>4189.991</v>
      </c>
      <c r="D6723" s="633">
        <f t="shared" si="214"/>
        <v>4189.991</v>
      </c>
      <c r="E6723" s="608"/>
      <c r="F6723" s="760">
        <f t="shared" si="215"/>
        <v>1767.8486292652324</v>
      </c>
      <c r="M6723" s="443"/>
    </row>
    <row r="6724" spans="1:13">
      <c r="A6724" s="639">
        <v>100713</v>
      </c>
      <c r="B6724" s="639">
        <v>100</v>
      </c>
      <c r="C6724" s="638">
        <v>4206.8149999999996</v>
      </c>
      <c r="D6724" s="633">
        <f t="shared" si="214"/>
        <v>4206.8149999999996</v>
      </c>
      <c r="E6724" s="608"/>
      <c r="F6724" s="760">
        <f t="shared" si="215"/>
        <v>1774.9470419679703</v>
      </c>
      <c r="M6724" s="443"/>
    </row>
    <row r="6725" spans="1:13">
      <c r="A6725" s="639">
        <v>100713</v>
      </c>
      <c r="B6725" s="639">
        <v>200</v>
      </c>
      <c r="C6725" s="638">
        <v>4108.7309999999998</v>
      </c>
      <c r="D6725" s="633">
        <f t="shared" ref="D6725:D6788" si="216">C6725</f>
        <v>4108.7309999999998</v>
      </c>
      <c r="E6725" s="608"/>
      <c r="F6725" s="760">
        <f t="shared" si="215"/>
        <v>1733.5632621572618</v>
      </c>
      <c r="M6725" s="443"/>
    </row>
    <row r="6726" spans="1:13">
      <c r="A6726" s="639">
        <v>100713</v>
      </c>
      <c r="B6726" s="639">
        <v>300</v>
      </c>
      <c r="C6726" s="638">
        <v>4073.5549999999998</v>
      </c>
      <c r="D6726" s="633">
        <f t="shared" si="216"/>
        <v>4073.5549999999998</v>
      </c>
      <c r="E6726" s="608"/>
      <c r="F6726" s="760">
        <f t="shared" si="215"/>
        <v>1718.721740210548</v>
      </c>
      <c r="M6726" s="443"/>
    </row>
    <row r="6727" spans="1:13">
      <c r="A6727" s="639">
        <v>100713</v>
      </c>
      <c r="B6727" s="639">
        <v>400</v>
      </c>
      <c r="C6727" s="638">
        <v>4122.4979999999996</v>
      </c>
      <c r="D6727" s="633">
        <f t="shared" si="216"/>
        <v>4122.4979999999996</v>
      </c>
      <c r="E6727" s="608"/>
      <c r="F6727" s="760">
        <f t="shared" si="215"/>
        <v>1739.3718598557041</v>
      </c>
      <c r="M6727" s="443"/>
    </row>
    <row r="6728" spans="1:13">
      <c r="A6728" s="639">
        <v>100713</v>
      </c>
      <c r="B6728" s="639">
        <v>500</v>
      </c>
      <c r="C6728" s="638">
        <v>4482.9030000000002</v>
      </c>
      <c r="D6728" s="633">
        <f t="shared" si="216"/>
        <v>4482.9030000000002</v>
      </c>
      <c r="E6728" s="608"/>
      <c r="F6728" s="760">
        <f t="shared" si="215"/>
        <v>1891.434593458315</v>
      </c>
      <c r="M6728" s="443"/>
    </row>
    <row r="6729" spans="1:13">
      <c r="A6729" s="639">
        <v>100713</v>
      </c>
      <c r="B6729" s="639">
        <v>600</v>
      </c>
      <c r="C6729" s="638">
        <v>5325.0129999999999</v>
      </c>
      <c r="D6729" s="633">
        <f t="shared" si="216"/>
        <v>5325.0129999999999</v>
      </c>
      <c r="E6729" s="608"/>
      <c r="F6729" s="760">
        <f t="shared" si="215"/>
        <v>2246.739177451585</v>
      </c>
      <c r="M6729" s="443"/>
    </row>
    <row r="6730" spans="1:13">
      <c r="A6730" s="639">
        <v>100713</v>
      </c>
      <c r="B6730" s="639">
        <v>700</v>
      </c>
      <c r="C6730" s="638">
        <v>6008.8429999999998</v>
      </c>
      <c r="D6730" s="633">
        <f t="shared" si="216"/>
        <v>6008.8429999999998</v>
      </c>
      <c r="E6730" s="608"/>
      <c r="F6730" s="760">
        <f t="shared" si="215"/>
        <v>2535.261975746484</v>
      </c>
      <c r="M6730" s="443"/>
    </row>
    <row r="6731" spans="1:13">
      <c r="A6731" s="639">
        <v>100713</v>
      </c>
      <c r="B6731" s="639">
        <v>800</v>
      </c>
      <c r="C6731" s="638">
        <v>6051.7340000000004</v>
      </c>
      <c r="D6731" s="633">
        <f t="shared" si="216"/>
        <v>6051.7340000000004</v>
      </c>
      <c r="E6731" s="608"/>
      <c r="F6731" s="760">
        <f t="shared" si="215"/>
        <v>2553.3586245359006</v>
      </c>
      <c r="M6731" s="443"/>
    </row>
    <row r="6732" spans="1:13">
      <c r="A6732" s="639">
        <v>100713</v>
      </c>
      <c r="B6732" s="639">
        <v>900</v>
      </c>
      <c r="C6732" s="638">
        <v>5973.1379999999999</v>
      </c>
      <c r="D6732" s="633">
        <f t="shared" si="216"/>
        <v>5973.1379999999999</v>
      </c>
      <c r="E6732" s="608"/>
      <c r="F6732" s="760">
        <f t="shared" si="215"/>
        <v>2520.197257156894</v>
      </c>
      <c r="M6732" s="443"/>
    </row>
    <row r="6733" spans="1:13">
      <c r="A6733" s="639">
        <v>100713</v>
      </c>
      <c r="B6733" s="639">
        <v>1000</v>
      </c>
      <c r="C6733" s="638">
        <v>5750.7539999999999</v>
      </c>
      <c r="D6733" s="633">
        <f t="shared" si="216"/>
        <v>5750.7539999999999</v>
      </c>
      <c r="E6733" s="608"/>
      <c r="F6733" s="760">
        <f t="shared" si="215"/>
        <v>2426.3685950975919</v>
      </c>
      <c r="M6733" s="443"/>
    </row>
    <row r="6734" spans="1:13">
      <c r="A6734" s="639">
        <v>100713</v>
      </c>
      <c r="B6734" s="639">
        <v>1100</v>
      </c>
      <c r="C6734" s="638">
        <v>5584.5460000000003</v>
      </c>
      <c r="D6734" s="633">
        <f t="shared" si="216"/>
        <v>5584.5460000000003</v>
      </c>
      <c r="E6734" s="608"/>
      <c r="F6734" s="760">
        <f t="shared" si="215"/>
        <v>2356.2418132088201</v>
      </c>
      <c r="M6734" s="443"/>
    </row>
    <row r="6735" spans="1:13">
      <c r="A6735" s="639">
        <v>100713</v>
      </c>
      <c r="B6735" s="639">
        <v>1200</v>
      </c>
      <c r="C6735" s="638">
        <v>5552.8329999999996</v>
      </c>
      <c r="D6735" s="633">
        <f t="shared" si="216"/>
        <v>5552.8329999999996</v>
      </c>
      <c r="E6735" s="608"/>
      <c r="F6735" s="760">
        <f t="shared" si="215"/>
        <v>2342.8614065253955</v>
      </c>
      <c r="M6735" s="443"/>
    </row>
    <row r="6736" spans="1:13">
      <c r="A6736" s="639">
        <v>100713</v>
      </c>
      <c r="B6736" s="639">
        <v>1300</v>
      </c>
      <c r="C6736" s="638">
        <v>5169.4629999999997</v>
      </c>
      <c r="D6736" s="633">
        <f t="shared" si="216"/>
        <v>5169.4629999999997</v>
      </c>
      <c r="E6736" s="608"/>
      <c r="F6736" s="760">
        <f t="shared" si="215"/>
        <v>2181.1092383223104</v>
      </c>
      <c r="M6736" s="443"/>
    </row>
    <row r="6737" spans="1:13">
      <c r="A6737" s="639">
        <v>100713</v>
      </c>
      <c r="B6737" s="639">
        <v>1400</v>
      </c>
      <c r="C6737" s="638">
        <v>5127.9840000000004</v>
      </c>
      <c r="D6737" s="633">
        <f t="shared" si="216"/>
        <v>5127.9840000000004</v>
      </c>
      <c r="E6737" s="608"/>
      <c r="F6737" s="760">
        <f t="shared" si="215"/>
        <v>2163.6083431429911</v>
      </c>
      <c r="M6737" s="443"/>
    </row>
    <row r="6738" spans="1:13">
      <c r="A6738" s="639">
        <v>100713</v>
      </c>
      <c r="B6738" s="639">
        <v>1500</v>
      </c>
      <c r="C6738" s="638">
        <v>5198.9889999999996</v>
      </c>
      <c r="D6738" s="633">
        <f t="shared" si="216"/>
        <v>5198.9889999999996</v>
      </c>
      <c r="E6738" s="608"/>
      <c r="F6738" s="760">
        <f t="shared" si="215"/>
        <v>2193.5669019849975</v>
      </c>
      <c r="M6738" s="443"/>
    </row>
    <row r="6739" spans="1:13">
      <c r="A6739" s="639">
        <v>100713</v>
      </c>
      <c r="B6739" s="639">
        <v>1600</v>
      </c>
      <c r="C6739" s="638">
        <v>5460.8490000000002</v>
      </c>
      <c r="D6739" s="633">
        <f t="shared" si="216"/>
        <v>5460.8490000000002</v>
      </c>
      <c r="E6739" s="608"/>
      <c r="F6739" s="760">
        <f t="shared" si="215"/>
        <v>2304.0513498177957</v>
      </c>
      <c r="M6739" s="443"/>
    </row>
    <row r="6740" spans="1:13">
      <c r="A6740" s="639">
        <v>100713</v>
      </c>
      <c r="B6740" s="639">
        <v>1700</v>
      </c>
      <c r="C6740" s="638">
        <v>6230.7969999999996</v>
      </c>
      <c r="D6740" s="633">
        <f t="shared" si="216"/>
        <v>6230.7969999999996</v>
      </c>
      <c r="E6740" s="608"/>
      <c r="F6740" s="760">
        <f t="shared" si="215"/>
        <v>2628.9092114231084</v>
      </c>
      <c r="M6740" s="443"/>
    </row>
    <row r="6741" spans="1:13">
      <c r="A6741" s="639">
        <v>100713</v>
      </c>
      <c r="B6741" s="639">
        <v>1800</v>
      </c>
      <c r="C6741" s="638">
        <v>6540.6189999999997</v>
      </c>
      <c r="D6741" s="633">
        <f t="shared" si="216"/>
        <v>6540.6189999999997</v>
      </c>
      <c r="E6741" s="608"/>
      <c r="F6741" s="760">
        <f t="shared" si="215"/>
        <v>2759.6298735954647</v>
      </c>
      <c r="M6741" s="443"/>
    </row>
    <row r="6742" spans="1:13">
      <c r="A6742" s="639">
        <v>100713</v>
      </c>
      <c r="B6742" s="639">
        <v>1900</v>
      </c>
      <c r="C6742" s="638">
        <v>7146.4690000000001</v>
      </c>
      <c r="D6742" s="633">
        <f t="shared" si="216"/>
        <v>7146.4690000000001</v>
      </c>
      <c r="E6742" s="608"/>
      <c r="F6742" s="760">
        <f t="shared" si="215"/>
        <v>3015.2512083525899</v>
      </c>
      <c r="M6742" s="443"/>
    </row>
    <row r="6743" spans="1:13">
      <c r="A6743" s="639">
        <v>100713</v>
      </c>
      <c r="B6743" s="639">
        <v>2000</v>
      </c>
      <c r="C6743" s="638">
        <v>7137.1379999999999</v>
      </c>
      <c r="D6743" s="633">
        <f t="shared" si="216"/>
        <v>7137.1379999999999</v>
      </c>
      <c r="E6743" s="608"/>
      <c r="F6743" s="760">
        <f t="shared" si="215"/>
        <v>3011.3142558484742</v>
      </c>
      <c r="M6743" s="443"/>
    </row>
    <row r="6744" spans="1:13">
      <c r="A6744" s="639">
        <v>100713</v>
      </c>
      <c r="B6744" s="639">
        <v>2100</v>
      </c>
      <c r="C6744" s="638">
        <v>6679.7079999999996</v>
      </c>
      <c r="D6744" s="633">
        <f t="shared" si="216"/>
        <v>6679.7079999999996</v>
      </c>
      <c r="E6744" s="608"/>
      <c r="F6744" s="760">
        <f t="shared" si="215"/>
        <v>2818.3145576427269</v>
      </c>
      <c r="M6744" s="443"/>
    </row>
    <row r="6745" spans="1:13">
      <c r="A6745" s="639">
        <v>100713</v>
      </c>
      <c r="B6745" s="639">
        <v>2200</v>
      </c>
      <c r="C6745" s="638">
        <v>5956.0739999999996</v>
      </c>
      <c r="D6745" s="633">
        <f t="shared" si="216"/>
        <v>5956.0739999999996</v>
      </c>
      <c r="E6745" s="608"/>
      <c r="F6745" s="760">
        <f t="shared" si="215"/>
        <v>2512.9975832173122</v>
      </c>
      <c r="M6745" s="443"/>
    </row>
    <row r="6746" spans="1:13">
      <c r="A6746" s="639">
        <v>100713</v>
      </c>
      <c r="B6746" s="639">
        <v>2300</v>
      </c>
      <c r="C6746" s="638">
        <v>5010.0829999999996</v>
      </c>
      <c r="D6746" s="633">
        <f t="shared" si="216"/>
        <v>5010.0829999999996</v>
      </c>
      <c r="E6746" s="608"/>
      <c r="F6746" s="760">
        <f t="shared" si="215"/>
        <v>2113.8633386217402</v>
      </c>
      <c r="M6746" s="443"/>
    </row>
    <row r="6747" spans="1:13">
      <c r="A6747" s="639">
        <v>100713</v>
      </c>
      <c r="B6747" s="639">
        <v>2400</v>
      </c>
      <c r="C6747" s="638">
        <v>4403.2179999999998</v>
      </c>
      <c r="D6747" s="633">
        <f t="shared" si="216"/>
        <v>4403.2179999999998</v>
      </c>
      <c r="E6747" s="608"/>
      <c r="F6747" s="760">
        <f t="shared" si="215"/>
        <v>1857.8137532171306</v>
      </c>
      <c r="M6747" s="443"/>
    </row>
    <row r="6748" spans="1:13">
      <c r="A6748" s="639">
        <v>100813</v>
      </c>
      <c r="B6748" s="639">
        <v>100</v>
      </c>
      <c r="C6748" s="638">
        <v>4376.8459999999995</v>
      </c>
      <c r="D6748" s="633">
        <f t="shared" si="216"/>
        <v>4376.8459999999995</v>
      </c>
      <c r="E6748" s="608"/>
      <c r="F6748" s="760">
        <f t="shared" si="215"/>
        <v>1846.6868309752967</v>
      </c>
      <c r="M6748" s="443"/>
    </row>
    <row r="6749" spans="1:13">
      <c r="A6749" s="639">
        <v>100813</v>
      </c>
      <c r="B6749" s="639">
        <v>200</v>
      </c>
      <c r="C6749" s="638">
        <v>4324.66</v>
      </c>
      <c r="D6749" s="633">
        <f t="shared" si="216"/>
        <v>4324.66</v>
      </c>
      <c r="E6749" s="608"/>
      <c r="F6749" s="760">
        <f t="shared" si="215"/>
        <v>1824.6684188672914</v>
      </c>
      <c r="M6749" s="443"/>
    </row>
    <row r="6750" spans="1:13">
      <c r="A6750" s="639">
        <v>100813</v>
      </c>
      <c r="B6750" s="639">
        <v>300</v>
      </c>
      <c r="C6750" s="638">
        <v>4321.0360000000001</v>
      </c>
      <c r="D6750" s="633">
        <f t="shared" si="216"/>
        <v>4321.0360000000001</v>
      </c>
      <c r="E6750" s="608"/>
      <c r="F6750" s="760">
        <f t="shared" si="215"/>
        <v>1823.1393741909524</v>
      </c>
      <c r="M6750" s="443"/>
    </row>
    <row r="6751" spans="1:13">
      <c r="A6751" s="639">
        <v>100813</v>
      </c>
      <c r="B6751" s="639">
        <v>400</v>
      </c>
      <c r="C6751" s="638">
        <v>4357.9160000000002</v>
      </c>
      <c r="D6751" s="633">
        <f t="shared" si="216"/>
        <v>4357.9160000000002</v>
      </c>
      <c r="E6751" s="608"/>
      <c r="F6751" s="760">
        <f t="shared" si="215"/>
        <v>1838.6998509192563</v>
      </c>
      <c r="M6751" s="443"/>
    </row>
    <row r="6752" spans="1:13">
      <c r="A6752" s="639">
        <v>100813</v>
      </c>
      <c r="B6752" s="639">
        <v>500</v>
      </c>
      <c r="C6752" s="638">
        <v>4845.9350000000004</v>
      </c>
      <c r="D6752" s="633">
        <f t="shared" si="216"/>
        <v>4845.9350000000004</v>
      </c>
      <c r="E6752" s="608"/>
      <c r="F6752" s="760">
        <f t="shared" si="215"/>
        <v>2044.6057156825434</v>
      </c>
      <c r="M6752" s="443"/>
    </row>
    <row r="6753" spans="1:13">
      <c r="A6753" s="639">
        <v>100813</v>
      </c>
      <c r="B6753" s="639">
        <v>600</v>
      </c>
      <c r="C6753" s="638">
        <v>5750.7489999999998</v>
      </c>
      <c r="D6753" s="633">
        <f t="shared" si="216"/>
        <v>5750.7489999999998</v>
      </c>
      <c r="E6753" s="608"/>
      <c r="F6753" s="760">
        <f t="shared" si="215"/>
        <v>2426.366485488491</v>
      </c>
      <c r="M6753" s="443"/>
    </row>
    <row r="6754" spans="1:13">
      <c r="A6754" s="639">
        <v>100813</v>
      </c>
      <c r="B6754" s="639">
        <v>700</v>
      </c>
      <c r="C6754" s="638">
        <v>6403.0110000000004</v>
      </c>
      <c r="D6754" s="633">
        <f t="shared" si="216"/>
        <v>6403.0110000000004</v>
      </c>
      <c r="E6754" s="608"/>
      <c r="F6754" s="760">
        <f t="shared" si="215"/>
        <v>2701.570055763892</v>
      </c>
      <c r="M6754" s="443"/>
    </row>
    <row r="6755" spans="1:13">
      <c r="A6755" s="639">
        <v>100813</v>
      </c>
      <c r="B6755" s="639">
        <v>800</v>
      </c>
      <c r="C6755" s="638">
        <v>6021.6440000000002</v>
      </c>
      <c r="D6755" s="633">
        <f t="shared" si="216"/>
        <v>6021.6440000000002</v>
      </c>
      <c r="E6755" s="608"/>
      <c r="F6755" s="760">
        <f t="shared" si="215"/>
        <v>2540.662996966631</v>
      </c>
      <c r="M6755" s="443"/>
    </row>
    <row r="6756" spans="1:13">
      <c r="A6756" s="639">
        <v>100813</v>
      </c>
      <c r="B6756" s="639">
        <v>900</v>
      </c>
      <c r="C6756" s="638">
        <v>5515.6769999999997</v>
      </c>
      <c r="D6756" s="633">
        <f t="shared" si="216"/>
        <v>5515.6769999999997</v>
      </c>
      <c r="E6756" s="608"/>
      <c r="F6756" s="760">
        <f t="shared" si="215"/>
        <v>2327.1844793747218</v>
      </c>
      <c r="M6756" s="443"/>
    </row>
    <row r="6757" spans="1:13">
      <c r="A6757" s="639">
        <v>100813</v>
      </c>
      <c r="B6757" s="639">
        <v>1000</v>
      </c>
      <c r="C6757" s="638">
        <v>5326.3069999999998</v>
      </c>
      <c r="D6757" s="633">
        <f t="shared" si="216"/>
        <v>5326.3069999999998</v>
      </c>
      <c r="E6757" s="608"/>
      <c r="F6757" s="760">
        <f t="shared" si="215"/>
        <v>2247.2851442869</v>
      </c>
      <c r="M6757" s="443"/>
    </row>
    <row r="6758" spans="1:13">
      <c r="A6758" s="639">
        <v>100813</v>
      </c>
      <c r="B6758" s="639">
        <v>1100</v>
      </c>
      <c r="C6758" s="638">
        <v>5118.3329999999996</v>
      </c>
      <c r="D6758" s="633">
        <f t="shared" si="216"/>
        <v>5118.3329999999996</v>
      </c>
      <c r="E6758" s="608"/>
      <c r="F6758" s="760">
        <f t="shared" si="215"/>
        <v>2159.5363756564166</v>
      </c>
      <c r="M6758" s="443"/>
    </row>
    <row r="6759" spans="1:13">
      <c r="A6759" s="639">
        <v>100813</v>
      </c>
      <c r="B6759" s="639">
        <v>1200</v>
      </c>
      <c r="C6759" s="638">
        <v>5008.9620000000004</v>
      </c>
      <c r="D6759" s="633">
        <f t="shared" si="216"/>
        <v>5008.9620000000004</v>
      </c>
      <c r="E6759" s="608"/>
      <c r="F6759" s="760">
        <f t="shared" si="215"/>
        <v>2113.3903642613168</v>
      </c>
      <c r="M6759" s="443"/>
    </row>
    <row r="6760" spans="1:13">
      <c r="A6760" s="639">
        <v>100813</v>
      </c>
      <c r="B6760" s="639">
        <v>1300</v>
      </c>
      <c r="C6760" s="638">
        <v>4978.5360000000001</v>
      </c>
      <c r="D6760" s="633">
        <f t="shared" si="216"/>
        <v>4978.5360000000001</v>
      </c>
      <c r="E6760" s="608"/>
      <c r="F6760" s="760">
        <f t="shared" si="215"/>
        <v>2100.5529709604662</v>
      </c>
      <c r="M6760" s="443"/>
    </row>
    <row r="6761" spans="1:13">
      <c r="A6761" s="639">
        <v>100813</v>
      </c>
      <c r="B6761" s="639">
        <v>1400</v>
      </c>
      <c r="C6761" s="638">
        <v>4950.3670000000002</v>
      </c>
      <c r="D6761" s="633">
        <f t="shared" si="216"/>
        <v>4950.3670000000002</v>
      </c>
      <c r="E6761" s="608"/>
      <c r="F6761" s="760">
        <f t="shared" si="215"/>
        <v>2088.6678552077656</v>
      </c>
      <c r="M6761" s="443"/>
    </row>
    <row r="6762" spans="1:13">
      <c r="A6762" s="639">
        <v>100813</v>
      </c>
      <c r="B6762" s="639">
        <v>1500</v>
      </c>
      <c r="C6762" s="638">
        <v>5053.2030000000004</v>
      </c>
      <c r="D6762" s="633">
        <f t="shared" si="216"/>
        <v>5053.2030000000004</v>
      </c>
      <c r="E6762" s="608"/>
      <c r="F6762" s="760">
        <f t="shared" si="215"/>
        <v>2132.0566075079782</v>
      </c>
      <c r="M6762" s="443"/>
    </row>
    <row r="6763" spans="1:13">
      <c r="A6763" s="639">
        <v>100813</v>
      </c>
      <c r="B6763" s="639">
        <v>1600</v>
      </c>
      <c r="C6763" s="638">
        <v>5381.835</v>
      </c>
      <c r="D6763" s="633">
        <f t="shared" si="216"/>
        <v>5381.835</v>
      </c>
      <c r="E6763" s="608"/>
      <c r="F6763" s="760">
        <f t="shared" si="215"/>
        <v>2270.7136191179534</v>
      </c>
      <c r="M6763" s="443"/>
    </row>
    <row r="6764" spans="1:13">
      <c r="A6764" s="639">
        <v>100813</v>
      </c>
      <c r="B6764" s="639">
        <v>1700</v>
      </c>
      <c r="C6764" s="638">
        <v>5775.9759999999997</v>
      </c>
      <c r="D6764" s="633">
        <f t="shared" si="216"/>
        <v>5775.9759999999997</v>
      </c>
      <c r="E6764" s="608"/>
      <c r="F6764" s="760">
        <f t="shared" si="215"/>
        <v>2437.0103072462161</v>
      </c>
      <c r="M6764" s="443"/>
    </row>
    <row r="6765" spans="1:13">
      <c r="A6765" s="639">
        <v>100813</v>
      </c>
      <c r="B6765" s="639">
        <v>1800</v>
      </c>
      <c r="C6765" s="638">
        <v>6127.4539999999997</v>
      </c>
      <c r="D6765" s="633">
        <f t="shared" si="216"/>
        <v>6127.4539999999997</v>
      </c>
      <c r="E6765" s="608"/>
      <c r="F6765" s="760">
        <f t="shared" si="215"/>
        <v>2585.3065447600643</v>
      </c>
      <c r="M6765" s="443"/>
    </row>
    <row r="6766" spans="1:13">
      <c r="A6766" s="639">
        <v>100813</v>
      </c>
      <c r="B6766" s="639">
        <v>1900</v>
      </c>
      <c r="C6766" s="638">
        <v>6965.473</v>
      </c>
      <c r="D6766" s="633">
        <f t="shared" si="216"/>
        <v>6965.473</v>
      </c>
      <c r="E6766" s="608"/>
      <c r="F6766" s="760">
        <f t="shared" si="215"/>
        <v>2938.8850465869705</v>
      </c>
      <c r="M6766" s="443"/>
    </row>
    <row r="6767" spans="1:13">
      <c r="A6767" s="639">
        <v>100813</v>
      </c>
      <c r="B6767" s="639">
        <v>2000</v>
      </c>
      <c r="C6767" s="638">
        <v>7093.9059999999999</v>
      </c>
      <c r="D6767" s="633">
        <f t="shared" si="216"/>
        <v>7093.9059999999999</v>
      </c>
      <c r="E6767" s="608"/>
      <c r="F6767" s="760">
        <f t="shared" si="215"/>
        <v>2993.0737317183757</v>
      </c>
      <c r="M6767" s="443"/>
    </row>
    <row r="6768" spans="1:13">
      <c r="A6768" s="639">
        <v>100813</v>
      </c>
      <c r="B6768" s="639">
        <v>2100</v>
      </c>
      <c r="C6768" s="638">
        <v>6618.08</v>
      </c>
      <c r="D6768" s="633">
        <f t="shared" si="216"/>
        <v>6618.08</v>
      </c>
      <c r="E6768" s="608"/>
      <c r="F6768" s="760">
        <f t="shared" si="215"/>
        <v>2792.3123597085651</v>
      </c>
      <c r="M6768" s="443"/>
    </row>
    <row r="6769" spans="1:13">
      <c r="A6769" s="639">
        <v>100813</v>
      </c>
      <c r="B6769" s="639">
        <v>2200</v>
      </c>
      <c r="C6769" s="638">
        <v>5832.68</v>
      </c>
      <c r="D6769" s="633">
        <f t="shared" si="216"/>
        <v>5832.68</v>
      </c>
      <c r="E6769" s="608"/>
      <c r="F6769" s="760">
        <f t="shared" si="215"/>
        <v>2460.9349621378033</v>
      </c>
      <c r="M6769" s="443"/>
    </row>
    <row r="6770" spans="1:13">
      <c r="A6770" s="639">
        <v>100813</v>
      </c>
      <c r="B6770" s="639">
        <v>2300</v>
      </c>
      <c r="C6770" s="638">
        <v>5007.7569999999996</v>
      </c>
      <c r="D6770" s="633">
        <f t="shared" si="216"/>
        <v>5007.7569999999996</v>
      </c>
      <c r="E6770" s="608"/>
      <c r="F6770" s="760">
        <f t="shared" si="215"/>
        <v>2112.8819484679975</v>
      </c>
      <c r="M6770" s="443"/>
    </row>
    <row r="6771" spans="1:13">
      <c r="A6771" s="639">
        <v>100813</v>
      </c>
      <c r="B6771" s="639">
        <v>2400</v>
      </c>
      <c r="C6771" s="638">
        <v>4352.9650000000001</v>
      </c>
      <c r="D6771" s="633">
        <f t="shared" si="216"/>
        <v>4352.9650000000001</v>
      </c>
      <c r="E6771" s="608"/>
      <c r="F6771" s="760">
        <f t="shared" si="215"/>
        <v>1836.6109159875364</v>
      </c>
      <c r="M6771" s="443"/>
    </row>
    <row r="6772" spans="1:13">
      <c r="A6772" s="639">
        <v>100913</v>
      </c>
      <c r="B6772" s="639">
        <v>100</v>
      </c>
      <c r="C6772" s="638">
        <v>4311.165</v>
      </c>
      <c r="D6772" s="633">
        <f t="shared" si="216"/>
        <v>4311.165</v>
      </c>
      <c r="E6772" s="608"/>
      <c r="F6772" s="760">
        <f t="shared" ref="F6772:F6835" si="217">(D6772/(MAX($D$6580:$D$7323)))*$M$13</f>
        <v>1818.9745839039383</v>
      </c>
      <c r="M6772" s="443"/>
    </row>
    <row r="6773" spans="1:13">
      <c r="A6773" s="639">
        <v>100913</v>
      </c>
      <c r="B6773" s="639">
        <v>200</v>
      </c>
      <c r="C6773" s="638">
        <v>4267.3310000000001</v>
      </c>
      <c r="D6773" s="633">
        <f t="shared" si="216"/>
        <v>4267.3310000000001</v>
      </c>
      <c r="E6773" s="608"/>
      <c r="F6773" s="760">
        <f t="shared" si="217"/>
        <v>1800.4800628380908</v>
      </c>
      <c r="M6773" s="443"/>
    </row>
    <row r="6774" spans="1:13">
      <c r="A6774" s="639">
        <v>100913</v>
      </c>
      <c r="B6774" s="639">
        <v>300</v>
      </c>
      <c r="C6774" s="638">
        <v>4277.3680000000004</v>
      </c>
      <c r="D6774" s="633">
        <f t="shared" si="216"/>
        <v>4277.3680000000004</v>
      </c>
      <c r="E6774" s="608"/>
      <c r="F6774" s="760">
        <f t="shared" si="217"/>
        <v>1804.7148921472549</v>
      </c>
      <c r="M6774" s="443"/>
    </row>
    <row r="6775" spans="1:13">
      <c r="A6775" s="639">
        <v>100913</v>
      </c>
      <c r="B6775" s="639">
        <v>400</v>
      </c>
      <c r="C6775" s="638">
        <v>4341.2359999999999</v>
      </c>
      <c r="D6775" s="633">
        <f t="shared" si="216"/>
        <v>4341.2359999999999</v>
      </c>
      <c r="E6775" s="608"/>
      <c r="F6775" s="760">
        <f t="shared" si="217"/>
        <v>1831.6621949586242</v>
      </c>
      <c r="M6775" s="443"/>
    </row>
    <row r="6776" spans="1:13">
      <c r="A6776" s="639">
        <v>100913</v>
      </c>
      <c r="B6776" s="639">
        <v>500</v>
      </c>
      <c r="C6776" s="638">
        <v>4797.5529999999999</v>
      </c>
      <c r="D6776" s="633">
        <f t="shared" si="216"/>
        <v>4797.5529999999999</v>
      </c>
      <c r="E6776" s="608"/>
      <c r="F6776" s="760">
        <f t="shared" si="217"/>
        <v>2024.1922941785087</v>
      </c>
      <c r="M6776" s="443"/>
    </row>
    <row r="6777" spans="1:13">
      <c r="A6777" s="639">
        <v>100913</v>
      </c>
      <c r="B6777" s="639">
        <v>600</v>
      </c>
      <c r="C6777" s="638">
        <v>5701.9380000000001</v>
      </c>
      <c r="D6777" s="633">
        <f t="shared" si="216"/>
        <v>5701.9380000000001</v>
      </c>
      <c r="E6777" s="608"/>
      <c r="F6777" s="760">
        <f t="shared" si="217"/>
        <v>2405.7720595235983</v>
      </c>
      <c r="M6777" s="443"/>
    </row>
    <row r="6778" spans="1:13">
      <c r="A6778" s="639">
        <v>100913</v>
      </c>
      <c r="B6778" s="639">
        <v>700</v>
      </c>
      <c r="C6778" s="638">
        <v>6393.652</v>
      </c>
      <c r="D6778" s="633">
        <f t="shared" si="216"/>
        <v>6393.652</v>
      </c>
      <c r="E6778" s="608"/>
      <c r="F6778" s="760">
        <f t="shared" si="217"/>
        <v>2697.6212894488108</v>
      </c>
      <c r="M6778" s="443"/>
    </row>
    <row r="6779" spans="1:13">
      <c r="A6779" s="639">
        <v>100913</v>
      </c>
      <c r="B6779" s="639">
        <v>800</v>
      </c>
      <c r="C6779" s="638">
        <v>6168.1019999999999</v>
      </c>
      <c r="D6779" s="633">
        <f t="shared" si="216"/>
        <v>6168.1019999999999</v>
      </c>
      <c r="E6779" s="608"/>
      <c r="F6779" s="760">
        <f t="shared" si="217"/>
        <v>2602.4568229068127</v>
      </c>
      <c r="M6779" s="443"/>
    </row>
    <row r="6780" spans="1:13">
      <c r="A6780" s="639">
        <v>100913</v>
      </c>
      <c r="B6780" s="639">
        <v>900</v>
      </c>
      <c r="C6780" s="638">
        <v>5562.2449999999999</v>
      </c>
      <c r="D6780" s="633">
        <f t="shared" si="216"/>
        <v>5562.2449999999999</v>
      </c>
      <c r="E6780" s="608"/>
      <c r="F6780" s="760">
        <f t="shared" si="217"/>
        <v>2346.8325346969464</v>
      </c>
      <c r="M6780" s="443"/>
    </row>
    <row r="6781" spans="1:13">
      <c r="A6781" s="639">
        <v>100913</v>
      </c>
      <c r="B6781" s="639">
        <v>1000</v>
      </c>
      <c r="C6781" s="638">
        <v>5271.6180000000004</v>
      </c>
      <c r="D6781" s="633">
        <f t="shared" si="216"/>
        <v>5271.6180000000004</v>
      </c>
      <c r="E6781" s="608"/>
      <c r="F6781" s="760">
        <f t="shared" si="217"/>
        <v>2224.2106618629796</v>
      </c>
      <c r="M6781" s="443"/>
    </row>
    <row r="6782" spans="1:13">
      <c r="A6782" s="639">
        <v>100913</v>
      </c>
      <c r="B6782" s="639">
        <v>1100</v>
      </c>
      <c r="C6782" s="638">
        <v>5044.4949999999999</v>
      </c>
      <c r="D6782" s="633">
        <f t="shared" si="216"/>
        <v>5044.4949999999999</v>
      </c>
      <c r="E6782" s="608"/>
      <c r="F6782" s="760">
        <f t="shared" si="217"/>
        <v>2128.3825122978351</v>
      </c>
      <c r="M6782" s="443"/>
    </row>
    <row r="6783" spans="1:13">
      <c r="A6783" s="639">
        <v>100913</v>
      </c>
      <c r="B6783" s="639">
        <v>1200</v>
      </c>
      <c r="C6783" s="638">
        <v>4990.51</v>
      </c>
      <c r="D6783" s="633">
        <f t="shared" si="216"/>
        <v>4990.51</v>
      </c>
      <c r="E6783" s="608"/>
      <c r="F6783" s="760">
        <f t="shared" si="217"/>
        <v>2105.6050628353223</v>
      </c>
      <c r="M6783" s="443"/>
    </row>
    <row r="6784" spans="1:13">
      <c r="A6784" s="639">
        <v>100913</v>
      </c>
      <c r="B6784" s="639">
        <v>1300</v>
      </c>
      <c r="C6784" s="638">
        <v>4861.03</v>
      </c>
      <c r="D6784" s="633">
        <f t="shared" si="216"/>
        <v>4861.03</v>
      </c>
      <c r="E6784" s="608"/>
      <c r="F6784" s="760">
        <f t="shared" si="217"/>
        <v>2050.9746255581867</v>
      </c>
      <c r="M6784" s="443"/>
    </row>
    <row r="6785" spans="1:13">
      <c r="A6785" s="639">
        <v>100913</v>
      </c>
      <c r="B6785" s="639">
        <v>1400</v>
      </c>
      <c r="C6785" s="638">
        <v>4846.3220000000001</v>
      </c>
      <c r="D6785" s="633">
        <f t="shared" si="216"/>
        <v>4846.3220000000001</v>
      </c>
      <c r="E6785" s="608"/>
      <c r="F6785" s="760">
        <f t="shared" si="217"/>
        <v>2044.7689994269535</v>
      </c>
      <c r="M6785" s="443"/>
    </row>
    <row r="6786" spans="1:13">
      <c r="A6786" s="639">
        <v>100913</v>
      </c>
      <c r="B6786" s="639">
        <v>1500</v>
      </c>
      <c r="C6786" s="638">
        <v>4977.7290000000003</v>
      </c>
      <c r="D6786" s="633">
        <f t="shared" si="216"/>
        <v>4977.7290000000003</v>
      </c>
      <c r="E6786" s="608"/>
      <c r="F6786" s="760">
        <f t="shared" si="217"/>
        <v>2100.2124800515794</v>
      </c>
      <c r="M6786" s="443"/>
    </row>
    <row r="6787" spans="1:13">
      <c r="A6787" s="639">
        <v>100913</v>
      </c>
      <c r="B6787" s="639">
        <v>1600</v>
      </c>
      <c r="C6787" s="638">
        <v>5317.4539999999997</v>
      </c>
      <c r="D6787" s="633">
        <f t="shared" si="216"/>
        <v>5317.4539999999997</v>
      </c>
      <c r="E6787" s="608"/>
      <c r="F6787" s="760">
        <f t="shared" si="217"/>
        <v>2243.5498704128308</v>
      </c>
      <c r="M6787" s="443"/>
    </row>
    <row r="6788" spans="1:13">
      <c r="A6788" s="639">
        <v>100913</v>
      </c>
      <c r="B6788" s="639">
        <v>1700</v>
      </c>
      <c r="C6788" s="638">
        <v>5764.8239999999996</v>
      </c>
      <c r="D6788" s="633">
        <f t="shared" si="216"/>
        <v>5764.8239999999996</v>
      </c>
      <c r="E6788" s="608"/>
      <c r="F6788" s="760">
        <f t="shared" si="217"/>
        <v>2432.305035107549</v>
      </c>
      <c r="M6788" s="443"/>
    </row>
    <row r="6789" spans="1:13">
      <c r="A6789" s="639">
        <v>100913</v>
      </c>
      <c r="B6789" s="639">
        <v>1800</v>
      </c>
      <c r="C6789" s="638">
        <v>6080.8959999999997</v>
      </c>
      <c r="D6789" s="633">
        <f t="shared" ref="D6789:D6852" si="218">C6789</f>
        <v>6080.8959999999997</v>
      </c>
      <c r="E6789" s="608"/>
      <c r="F6789" s="760">
        <f t="shared" si="217"/>
        <v>2565.6627086560411</v>
      </c>
      <c r="M6789" s="443"/>
    </row>
    <row r="6790" spans="1:13">
      <c r="A6790" s="639">
        <v>100913</v>
      </c>
      <c r="B6790" s="639">
        <v>1900</v>
      </c>
      <c r="C6790" s="638">
        <v>6879.915</v>
      </c>
      <c r="D6790" s="633">
        <f t="shared" si="218"/>
        <v>6879.915</v>
      </c>
      <c r="E6790" s="608"/>
      <c r="F6790" s="760">
        <f t="shared" si="217"/>
        <v>2902.7862594958583</v>
      </c>
      <c r="M6790" s="443"/>
    </row>
    <row r="6791" spans="1:13">
      <c r="A6791" s="639">
        <v>100913</v>
      </c>
      <c r="B6791" s="639">
        <v>2000</v>
      </c>
      <c r="C6791" s="638">
        <v>7002.5460000000003</v>
      </c>
      <c r="D6791" s="633">
        <f t="shared" si="218"/>
        <v>7002.5460000000003</v>
      </c>
      <c r="E6791" s="608"/>
      <c r="F6791" s="760">
        <f t="shared" si="217"/>
        <v>2954.5269542265696</v>
      </c>
      <c r="M6791" s="443"/>
    </row>
    <row r="6792" spans="1:13">
      <c r="A6792" s="639">
        <v>100913</v>
      </c>
      <c r="B6792" s="639">
        <v>2100</v>
      </c>
      <c r="C6792" s="638">
        <v>6543.165</v>
      </c>
      <c r="D6792" s="633">
        <f t="shared" si="218"/>
        <v>6543.165</v>
      </c>
      <c r="E6792" s="608"/>
      <c r="F6792" s="760">
        <f t="shared" si="217"/>
        <v>2760.7040865496479</v>
      </c>
      <c r="M6792" s="443"/>
    </row>
    <row r="6793" spans="1:13">
      <c r="A6793" s="639">
        <v>100913</v>
      </c>
      <c r="B6793" s="639">
        <v>2200</v>
      </c>
      <c r="C6793" s="638">
        <v>5822.8389999999999</v>
      </c>
      <c r="D6793" s="633">
        <f t="shared" si="218"/>
        <v>5822.8389999999999</v>
      </c>
      <c r="E6793" s="608"/>
      <c r="F6793" s="760">
        <f t="shared" si="217"/>
        <v>2456.7828295053941</v>
      </c>
      <c r="M6793" s="443"/>
    </row>
    <row r="6794" spans="1:13">
      <c r="A6794" s="639">
        <v>100913</v>
      </c>
      <c r="B6794" s="639">
        <v>2300</v>
      </c>
      <c r="C6794" s="638">
        <v>4993.9560000000001</v>
      </c>
      <c r="D6794" s="633">
        <f t="shared" si="218"/>
        <v>4993.9560000000001</v>
      </c>
      <c r="E6794" s="608"/>
      <c r="F6794" s="760">
        <f t="shared" si="217"/>
        <v>2107.0590054276686</v>
      </c>
      <c r="M6794" s="443"/>
    </row>
    <row r="6795" spans="1:13">
      <c r="A6795" s="639">
        <v>100913</v>
      </c>
      <c r="B6795" s="639">
        <v>2400</v>
      </c>
      <c r="C6795" s="638">
        <v>4357.58</v>
      </c>
      <c r="D6795" s="633">
        <f t="shared" si="218"/>
        <v>4357.58</v>
      </c>
      <c r="E6795" s="608"/>
      <c r="F6795" s="760">
        <f t="shared" si="217"/>
        <v>1838.558085187675</v>
      </c>
      <c r="M6795" s="443"/>
    </row>
    <row r="6796" spans="1:13">
      <c r="A6796" s="639">
        <v>101013</v>
      </c>
      <c r="B6796" s="639">
        <v>100</v>
      </c>
      <c r="C6796" s="638">
        <v>4342.7659999999996</v>
      </c>
      <c r="D6796" s="633">
        <f t="shared" si="218"/>
        <v>4342.7659999999996</v>
      </c>
      <c r="E6796" s="608"/>
      <c r="F6796" s="760">
        <f t="shared" si="217"/>
        <v>1832.3077353435024</v>
      </c>
      <c r="M6796" s="443"/>
    </row>
    <row r="6797" spans="1:13">
      <c r="A6797" s="639">
        <v>101013</v>
      </c>
      <c r="B6797" s="639">
        <v>200</v>
      </c>
      <c r="C6797" s="638">
        <v>4263.6719999999996</v>
      </c>
      <c r="D6797" s="633">
        <f t="shared" si="218"/>
        <v>4263.6719999999996</v>
      </c>
      <c r="E6797" s="608"/>
      <c r="F6797" s="760">
        <f t="shared" si="217"/>
        <v>1798.9362508980453</v>
      </c>
      <c r="M6797" s="443"/>
    </row>
    <row r="6798" spans="1:13">
      <c r="A6798" s="639">
        <v>101013</v>
      </c>
      <c r="B6798" s="639">
        <v>300</v>
      </c>
      <c r="C6798" s="638">
        <v>4226.6260000000002</v>
      </c>
      <c r="D6798" s="633">
        <f t="shared" si="218"/>
        <v>4226.6260000000002</v>
      </c>
      <c r="E6798" s="608"/>
      <c r="F6798" s="760">
        <f t="shared" si="217"/>
        <v>1783.3057351475918</v>
      </c>
      <c r="M6798" s="443"/>
    </row>
    <row r="6799" spans="1:13">
      <c r="A6799" s="639">
        <v>101013</v>
      </c>
      <c r="B6799" s="639">
        <v>400</v>
      </c>
      <c r="C6799" s="638">
        <v>4297.3490000000002</v>
      </c>
      <c r="D6799" s="633">
        <f t="shared" si="218"/>
        <v>4297.3490000000002</v>
      </c>
      <c r="E6799" s="608"/>
      <c r="F6799" s="760">
        <f t="shared" si="217"/>
        <v>1813.1453120363069</v>
      </c>
      <c r="M6799" s="443"/>
    </row>
    <row r="6800" spans="1:13">
      <c r="A6800" s="639">
        <v>101013</v>
      </c>
      <c r="B6800" s="639">
        <v>500</v>
      </c>
      <c r="C6800" s="638">
        <v>4678.0190000000002</v>
      </c>
      <c r="D6800" s="633">
        <f t="shared" si="218"/>
        <v>4678.0190000000002</v>
      </c>
      <c r="E6800" s="608"/>
      <c r="F6800" s="760">
        <f t="shared" si="217"/>
        <v>1973.7582913249012</v>
      </c>
      <c r="M6800" s="443"/>
    </row>
    <row r="6801" spans="1:13">
      <c r="A6801" s="639">
        <v>101013</v>
      </c>
      <c r="B6801" s="639">
        <v>600</v>
      </c>
      <c r="C6801" s="638">
        <v>5572.5159999999996</v>
      </c>
      <c r="D6801" s="633">
        <f t="shared" si="218"/>
        <v>5572.5159999999996</v>
      </c>
      <c r="E6801" s="608"/>
      <c r="F6801" s="760">
        <f t="shared" si="217"/>
        <v>2351.1660937120332</v>
      </c>
      <c r="M6801" s="443"/>
    </row>
    <row r="6802" spans="1:13">
      <c r="A6802" s="639">
        <v>101013</v>
      </c>
      <c r="B6802" s="639">
        <v>700</v>
      </c>
      <c r="C6802" s="638">
        <v>6324.8239999999996</v>
      </c>
      <c r="D6802" s="633">
        <f t="shared" si="218"/>
        <v>6324.8239999999996</v>
      </c>
      <c r="E6802" s="608"/>
      <c r="F6802" s="760">
        <f t="shared" si="217"/>
        <v>2668.5812544093401</v>
      </c>
      <c r="M6802" s="443"/>
    </row>
    <row r="6803" spans="1:13">
      <c r="A6803" s="639">
        <v>101013</v>
      </c>
      <c r="B6803" s="639">
        <v>800</v>
      </c>
      <c r="C6803" s="638">
        <v>5951.4560000000001</v>
      </c>
      <c r="D6803" s="633">
        <f t="shared" si="218"/>
        <v>5951.4560000000001</v>
      </c>
      <c r="E6803" s="608"/>
      <c r="F6803" s="760">
        <f t="shared" si="217"/>
        <v>2511.0491482517132</v>
      </c>
      <c r="M6803" s="443"/>
    </row>
    <row r="6804" spans="1:13">
      <c r="A6804" s="639">
        <v>101013</v>
      </c>
      <c r="B6804" s="639">
        <v>900</v>
      </c>
      <c r="C6804" s="638">
        <v>5400.5569999999998</v>
      </c>
      <c r="D6804" s="633">
        <f t="shared" si="218"/>
        <v>5400.5569999999998</v>
      </c>
      <c r="E6804" s="608"/>
      <c r="F6804" s="760">
        <f t="shared" si="217"/>
        <v>2278.6128394353964</v>
      </c>
      <c r="M6804" s="443"/>
    </row>
    <row r="6805" spans="1:13">
      <c r="A6805" s="639">
        <v>101013</v>
      </c>
      <c r="B6805" s="639">
        <v>1000</v>
      </c>
      <c r="C6805" s="638">
        <v>5137.0349999999999</v>
      </c>
      <c r="D6805" s="633">
        <f t="shared" si="218"/>
        <v>5137.0349999999999</v>
      </c>
      <c r="E6805" s="608"/>
      <c r="F6805" s="760">
        <f t="shared" si="217"/>
        <v>2167.427157537456</v>
      </c>
      <c r="M6805" s="443"/>
    </row>
    <row r="6806" spans="1:13">
      <c r="A6806" s="639">
        <v>101013</v>
      </c>
      <c r="B6806" s="639">
        <v>1100</v>
      </c>
      <c r="C6806" s="638">
        <v>4982.933</v>
      </c>
      <c r="D6806" s="633">
        <f t="shared" si="218"/>
        <v>4982.933</v>
      </c>
      <c r="E6806" s="608"/>
      <c r="F6806" s="760">
        <f t="shared" si="217"/>
        <v>2102.4081612038049</v>
      </c>
      <c r="M6806" s="443"/>
    </row>
    <row r="6807" spans="1:13">
      <c r="A6807" s="639">
        <v>101013</v>
      </c>
      <c r="B6807" s="639">
        <v>1200</v>
      </c>
      <c r="C6807" s="638">
        <v>4947.5929999999998</v>
      </c>
      <c r="D6807" s="633">
        <f t="shared" si="218"/>
        <v>4947.5929999999998</v>
      </c>
      <c r="E6807" s="608"/>
      <c r="F6807" s="760">
        <f t="shared" si="217"/>
        <v>2087.4974440785813</v>
      </c>
      <c r="M6807" s="443"/>
    </row>
    <row r="6808" spans="1:13">
      <c r="A6808" s="639">
        <v>101013</v>
      </c>
      <c r="B6808" s="639">
        <v>1300</v>
      </c>
      <c r="C6808" s="638">
        <v>4995.42</v>
      </c>
      <c r="D6808" s="633">
        <f t="shared" si="218"/>
        <v>4995.42</v>
      </c>
      <c r="E6808" s="608"/>
      <c r="F6808" s="760">
        <f t="shared" si="217"/>
        <v>2107.6766989724151</v>
      </c>
      <c r="M6808" s="443"/>
    </row>
    <row r="6809" spans="1:13">
      <c r="A6809" s="639">
        <v>101013</v>
      </c>
      <c r="B6809" s="639">
        <v>1400</v>
      </c>
      <c r="C6809" s="638">
        <v>4926.17</v>
      </c>
      <c r="D6809" s="633">
        <f t="shared" si="218"/>
        <v>4926.17</v>
      </c>
      <c r="E6809" s="608"/>
      <c r="F6809" s="760">
        <f t="shared" si="217"/>
        <v>2078.4586129248273</v>
      </c>
      <c r="M6809" s="443"/>
    </row>
    <row r="6810" spans="1:13">
      <c r="A6810" s="639">
        <v>101013</v>
      </c>
      <c r="B6810" s="639">
        <v>1500</v>
      </c>
      <c r="C6810" s="638">
        <v>5079.4889999999996</v>
      </c>
      <c r="D6810" s="633">
        <f t="shared" si="218"/>
        <v>5079.4889999999996</v>
      </c>
      <c r="E6810" s="608"/>
      <c r="F6810" s="760">
        <f t="shared" si="217"/>
        <v>2143.1472444732758</v>
      </c>
      <c r="M6810" s="443"/>
    </row>
    <row r="6811" spans="1:13">
      <c r="A6811" s="639">
        <v>101013</v>
      </c>
      <c r="B6811" s="639">
        <v>1600</v>
      </c>
      <c r="C6811" s="638">
        <v>5351.4219999999996</v>
      </c>
      <c r="D6811" s="633">
        <f t="shared" si="218"/>
        <v>5351.4219999999996</v>
      </c>
      <c r="E6811" s="608"/>
      <c r="F6811" s="760">
        <f t="shared" si="217"/>
        <v>2257.8817108007652</v>
      </c>
      <c r="M6811" s="443"/>
    </row>
    <row r="6812" spans="1:13">
      <c r="A6812" s="639">
        <v>101013</v>
      </c>
      <c r="B6812" s="639">
        <v>1700</v>
      </c>
      <c r="C6812" s="638">
        <v>5731.3940000000002</v>
      </c>
      <c r="D6812" s="633">
        <f t="shared" si="218"/>
        <v>5731.3940000000002</v>
      </c>
      <c r="E6812" s="608"/>
      <c r="F6812" s="760">
        <f t="shared" si="217"/>
        <v>2418.2001886588728</v>
      </c>
      <c r="M6812" s="443"/>
    </row>
    <row r="6813" spans="1:13">
      <c r="A6813" s="639">
        <v>101013</v>
      </c>
      <c r="B6813" s="639">
        <v>1800</v>
      </c>
      <c r="C6813" s="638">
        <v>5939.6610000000001</v>
      </c>
      <c r="D6813" s="633">
        <f t="shared" si="218"/>
        <v>5939.6610000000001</v>
      </c>
      <c r="E6813" s="608"/>
      <c r="F6813" s="760">
        <f t="shared" si="217"/>
        <v>2506.072580382669</v>
      </c>
      <c r="M6813" s="443"/>
    </row>
    <row r="6814" spans="1:13">
      <c r="A6814" s="639">
        <v>101013</v>
      </c>
      <c r="B6814" s="639">
        <v>1900</v>
      </c>
      <c r="C6814" s="638">
        <v>6762.2219999999998</v>
      </c>
      <c r="D6814" s="633">
        <f t="shared" si="218"/>
        <v>6762.2219999999998</v>
      </c>
      <c r="E6814" s="608"/>
      <c r="F6814" s="760">
        <f t="shared" si="217"/>
        <v>2853.1290147132054</v>
      </c>
      <c r="M6814" s="443"/>
    </row>
    <row r="6815" spans="1:13">
      <c r="A6815" s="639">
        <v>101013</v>
      </c>
      <c r="B6815" s="639">
        <v>2000</v>
      </c>
      <c r="C6815" s="638">
        <v>6825.5540000000001</v>
      </c>
      <c r="D6815" s="633">
        <f t="shared" si="218"/>
        <v>6825.5540000000001</v>
      </c>
      <c r="E6815" s="608"/>
      <c r="F6815" s="760">
        <f t="shared" si="217"/>
        <v>2879.8501674289578</v>
      </c>
      <c r="M6815" s="443"/>
    </row>
    <row r="6816" spans="1:13">
      <c r="A6816" s="639">
        <v>101013</v>
      </c>
      <c r="B6816" s="639">
        <v>2100</v>
      </c>
      <c r="C6816" s="638">
        <v>6492.1779999999999</v>
      </c>
      <c r="D6816" s="633">
        <f t="shared" si="218"/>
        <v>6492.1779999999999</v>
      </c>
      <c r="E6816" s="608"/>
      <c r="F6816" s="760">
        <f t="shared" si="217"/>
        <v>2739.1915587040398</v>
      </c>
      <c r="M6816" s="443"/>
    </row>
    <row r="6817" spans="1:13">
      <c r="A6817" s="639">
        <v>101013</v>
      </c>
      <c r="B6817" s="639">
        <v>2200</v>
      </c>
      <c r="C6817" s="638">
        <v>5735.74</v>
      </c>
      <c r="D6817" s="633">
        <f t="shared" si="218"/>
        <v>5735.74</v>
      </c>
      <c r="E6817" s="608"/>
      <c r="F6817" s="760">
        <f t="shared" si="217"/>
        <v>2420.0338608893826</v>
      </c>
      <c r="M6817" s="443"/>
    </row>
    <row r="6818" spans="1:13">
      <c r="A6818" s="639">
        <v>101013</v>
      </c>
      <c r="B6818" s="639">
        <v>2300</v>
      </c>
      <c r="C6818" s="638">
        <v>4970.8530000000001</v>
      </c>
      <c r="D6818" s="633">
        <f t="shared" si="218"/>
        <v>4970.8530000000001</v>
      </c>
      <c r="E6818" s="608"/>
      <c r="F6818" s="760">
        <f t="shared" si="217"/>
        <v>2097.3113456160095</v>
      </c>
      <c r="M6818" s="443"/>
    </row>
    <row r="6819" spans="1:13">
      <c r="A6819" s="639">
        <v>101013</v>
      </c>
      <c r="B6819" s="639">
        <v>2400</v>
      </c>
      <c r="C6819" s="638">
        <v>4402.0860000000002</v>
      </c>
      <c r="D6819" s="633">
        <f t="shared" si="218"/>
        <v>4402.0860000000002</v>
      </c>
      <c r="E6819" s="608"/>
      <c r="F6819" s="760">
        <f t="shared" si="217"/>
        <v>1857.336137716685</v>
      </c>
      <c r="M6819" s="443"/>
    </row>
    <row r="6820" spans="1:13">
      <c r="A6820" s="639">
        <v>101113</v>
      </c>
      <c r="B6820" s="639">
        <v>100</v>
      </c>
      <c r="C6820" s="638">
        <v>4304.1819999999998</v>
      </c>
      <c r="D6820" s="633">
        <f t="shared" si="218"/>
        <v>4304.1819999999998</v>
      </c>
      <c r="E6820" s="608"/>
      <c r="F6820" s="760">
        <f t="shared" si="217"/>
        <v>1816.0283038336088</v>
      </c>
      <c r="M6820" s="443"/>
    </row>
    <row r="6821" spans="1:13">
      <c r="A6821" s="639">
        <v>101113</v>
      </c>
      <c r="B6821" s="639">
        <v>200</v>
      </c>
      <c r="C6821" s="638">
        <v>4273.4570000000003</v>
      </c>
      <c r="D6821" s="633">
        <f t="shared" si="218"/>
        <v>4273.4570000000003</v>
      </c>
      <c r="E6821" s="608"/>
      <c r="F6821" s="760">
        <f t="shared" si="217"/>
        <v>1803.0647559085241</v>
      </c>
      <c r="M6821" s="443"/>
    </row>
    <row r="6822" spans="1:13">
      <c r="A6822" s="639">
        <v>101113</v>
      </c>
      <c r="B6822" s="639">
        <v>300</v>
      </c>
      <c r="C6822" s="638">
        <v>4274.5739999999996</v>
      </c>
      <c r="D6822" s="633">
        <f t="shared" si="218"/>
        <v>4274.5739999999996</v>
      </c>
      <c r="E6822" s="608"/>
      <c r="F6822" s="760">
        <f t="shared" si="217"/>
        <v>1803.5360425816671</v>
      </c>
      <c r="M6822" s="443"/>
    </row>
    <row r="6823" spans="1:13">
      <c r="A6823" s="639">
        <v>101113</v>
      </c>
      <c r="B6823" s="639">
        <v>400</v>
      </c>
      <c r="C6823" s="638">
        <v>4297.8990000000003</v>
      </c>
      <c r="D6823" s="633">
        <f t="shared" si="218"/>
        <v>4297.8990000000003</v>
      </c>
      <c r="E6823" s="608"/>
      <c r="F6823" s="760">
        <f t="shared" si="217"/>
        <v>1813.3773690374071</v>
      </c>
      <c r="M6823" s="443"/>
    </row>
    <row r="6824" spans="1:13">
      <c r="A6824" s="639">
        <v>101113</v>
      </c>
      <c r="B6824" s="639">
        <v>500</v>
      </c>
      <c r="C6824" s="638">
        <v>4710.8040000000001</v>
      </c>
      <c r="D6824" s="633">
        <f t="shared" si="218"/>
        <v>4710.8040000000001</v>
      </c>
      <c r="E6824" s="608"/>
      <c r="F6824" s="760">
        <f t="shared" si="217"/>
        <v>1987.5909981995605</v>
      </c>
      <c r="M6824" s="443"/>
    </row>
    <row r="6825" spans="1:13">
      <c r="A6825" s="639">
        <v>101113</v>
      </c>
      <c r="B6825" s="639">
        <v>600</v>
      </c>
      <c r="C6825" s="638">
        <v>5438.9160000000002</v>
      </c>
      <c r="D6825" s="633">
        <f t="shared" si="218"/>
        <v>5438.9160000000002</v>
      </c>
      <c r="E6825" s="608"/>
      <c r="F6825" s="760">
        <f t="shared" si="217"/>
        <v>2294.7973385357491</v>
      </c>
      <c r="M6825" s="443"/>
    </row>
    <row r="6826" spans="1:13">
      <c r="A6826" s="639">
        <v>101113</v>
      </c>
      <c r="B6826" s="639">
        <v>700</v>
      </c>
      <c r="C6826" s="638">
        <v>6143.2860000000001</v>
      </c>
      <c r="D6826" s="633">
        <f t="shared" si="218"/>
        <v>6143.2860000000001</v>
      </c>
      <c r="E6826" s="608"/>
      <c r="F6826" s="760">
        <f t="shared" si="217"/>
        <v>2591.986411017182</v>
      </c>
      <c r="M6826" s="443"/>
    </row>
    <row r="6827" spans="1:13">
      <c r="A6827" s="639">
        <v>101113</v>
      </c>
      <c r="B6827" s="639">
        <v>800</v>
      </c>
      <c r="C6827" s="638">
        <v>6075.5469999999996</v>
      </c>
      <c r="D6827" s="633">
        <f t="shared" si="218"/>
        <v>6075.5469999999996</v>
      </c>
      <c r="E6827" s="608"/>
      <c r="F6827" s="760">
        <f t="shared" si="217"/>
        <v>2563.4058488398887</v>
      </c>
      <c r="M6827" s="443"/>
    </row>
    <row r="6828" spans="1:13">
      <c r="A6828" s="639">
        <v>101113</v>
      </c>
      <c r="B6828" s="639">
        <v>900</v>
      </c>
      <c r="C6828" s="638">
        <v>5738.1419999999998</v>
      </c>
      <c r="D6828" s="633">
        <f t="shared" si="218"/>
        <v>5738.1419999999998</v>
      </c>
      <c r="E6828" s="608"/>
      <c r="F6828" s="760">
        <f t="shared" si="217"/>
        <v>2421.0473171014592</v>
      </c>
      <c r="M6828" s="443"/>
    </row>
    <row r="6829" spans="1:13">
      <c r="A6829" s="639">
        <v>101113</v>
      </c>
      <c r="B6829" s="639">
        <v>1000</v>
      </c>
      <c r="C6829" s="638">
        <v>5453.9930000000004</v>
      </c>
      <c r="D6829" s="633">
        <f t="shared" si="218"/>
        <v>5453.9930000000004</v>
      </c>
      <c r="E6829" s="608"/>
      <c r="F6829" s="760">
        <f t="shared" si="217"/>
        <v>2301.1586538186298</v>
      </c>
      <c r="M6829" s="443"/>
    </row>
    <row r="6830" spans="1:13">
      <c r="A6830" s="639">
        <v>101113</v>
      </c>
      <c r="B6830" s="639">
        <v>1100</v>
      </c>
      <c r="C6830" s="638">
        <v>5395.8329999999996</v>
      </c>
      <c r="D6830" s="633">
        <f t="shared" si="218"/>
        <v>5395.8329999999996</v>
      </c>
      <c r="E6830" s="608"/>
      <c r="F6830" s="760">
        <f t="shared" si="217"/>
        <v>2276.6196807568576</v>
      </c>
      <c r="M6830" s="443"/>
    </row>
    <row r="6831" spans="1:13">
      <c r="A6831" s="639">
        <v>101113</v>
      </c>
      <c r="B6831" s="639">
        <v>1200</v>
      </c>
      <c r="C6831" s="638">
        <v>5144.8050000000003</v>
      </c>
      <c r="D6831" s="633">
        <f t="shared" si="218"/>
        <v>5144.8050000000003</v>
      </c>
      <c r="E6831" s="608"/>
      <c r="F6831" s="760">
        <f t="shared" si="217"/>
        <v>2170.7054900802686</v>
      </c>
      <c r="M6831" s="443"/>
    </row>
    <row r="6832" spans="1:13">
      <c r="A6832" s="639">
        <v>101113</v>
      </c>
      <c r="B6832" s="639">
        <v>1300</v>
      </c>
      <c r="C6832" s="638">
        <v>5147.4459999999999</v>
      </c>
      <c r="D6832" s="633">
        <f t="shared" si="218"/>
        <v>5147.4459999999999</v>
      </c>
      <c r="E6832" s="608"/>
      <c r="F6832" s="760">
        <f t="shared" si="217"/>
        <v>2171.8197856073689</v>
      </c>
      <c r="M6832" s="443"/>
    </row>
    <row r="6833" spans="1:13">
      <c r="A6833" s="639">
        <v>101113</v>
      </c>
      <c r="B6833" s="639">
        <v>1400</v>
      </c>
      <c r="C6833" s="638">
        <v>5138.7269999999999</v>
      </c>
      <c r="D6833" s="633">
        <f t="shared" si="218"/>
        <v>5138.7269999999999</v>
      </c>
      <c r="E6833" s="608"/>
      <c r="F6833" s="760">
        <f t="shared" si="217"/>
        <v>2168.1410492572036</v>
      </c>
      <c r="M6833" s="443"/>
    </row>
    <row r="6834" spans="1:13">
      <c r="A6834" s="639">
        <v>101113</v>
      </c>
      <c r="B6834" s="639">
        <v>1500</v>
      </c>
      <c r="C6834" s="638">
        <v>5029.5079999999998</v>
      </c>
      <c r="D6834" s="633">
        <f t="shared" si="218"/>
        <v>5029.5079999999998</v>
      </c>
      <c r="E6834" s="608"/>
      <c r="F6834" s="760">
        <f t="shared" si="217"/>
        <v>2122.059169978771</v>
      </c>
      <c r="M6834" s="443"/>
    </row>
    <row r="6835" spans="1:13">
      <c r="A6835" s="639">
        <v>101113</v>
      </c>
      <c r="B6835" s="639">
        <v>1600</v>
      </c>
      <c r="C6835" s="638">
        <v>5304.7330000000002</v>
      </c>
      <c r="D6835" s="633">
        <f t="shared" si="218"/>
        <v>5304.7330000000002</v>
      </c>
      <c r="E6835" s="608"/>
      <c r="F6835" s="760">
        <f t="shared" si="217"/>
        <v>2238.1826029382987</v>
      </c>
      <c r="M6835" s="443"/>
    </row>
    <row r="6836" spans="1:13">
      <c r="A6836" s="639">
        <v>101113</v>
      </c>
      <c r="B6836" s="639">
        <v>1700</v>
      </c>
      <c r="C6836" s="638">
        <v>5664.8770000000004</v>
      </c>
      <c r="D6836" s="633">
        <f t="shared" si="218"/>
        <v>5664.8770000000004</v>
      </c>
      <c r="E6836" s="608"/>
      <c r="F6836" s="760">
        <f t="shared" ref="F6836:F6899" si="219">(D6836/(MAX($D$6580:$D$7323)))*$M$13</f>
        <v>2390.1352149458421</v>
      </c>
      <c r="M6836" s="443"/>
    </row>
    <row r="6837" spans="1:13">
      <c r="A6837" s="639">
        <v>101113</v>
      </c>
      <c r="B6837" s="639">
        <v>1800</v>
      </c>
      <c r="C6837" s="638">
        <v>6072.2690000000002</v>
      </c>
      <c r="D6837" s="633">
        <f t="shared" si="218"/>
        <v>6072.2690000000002</v>
      </c>
      <c r="E6837" s="608"/>
      <c r="F6837" s="760">
        <f t="shared" si="219"/>
        <v>2562.0227891133331</v>
      </c>
      <c r="M6837" s="443"/>
    </row>
    <row r="6838" spans="1:13">
      <c r="A6838" s="639">
        <v>101113</v>
      </c>
      <c r="B6838" s="639">
        <v>1900</v>
      </c>
      <c r="C6838" s="638">
        <v>6761.6989999999996</v>
      </c>
      <c r="D6838" s="633">
        <f t="shared" si="218"/>
        <v>6761.6989999999996</v>
      </c>
      <c r="E6838" s="608"/>
      <c r="F6838" s="760">
        <f t="shared" si="219"/>
        <v>2852.9083496012504</v>
      </c>
      <c r="M6838" s="443"/>
    </row>
    <row r="6839" spans="1:13">
      <c r="A6839" s="639">
        <v>101113</v>
      </c>
      <c r="B6839" s="639">
        <v>2000</v>
      </c>
      <c r="C6839" s="638">
        <v>6801.7529999999997</v>
      </c>
      <c r="D6839" s="633">
        <f t="shared" si="218"/>
        <v>6801.7529999999997</v>
      </c>
      <c r="E6839" s="608"/>
      <c r="F6839" s="760">
        <f t="shared" si="219"/>
        <v>2869.8080061868113</v>
      </c>
      <c r="M6839" s="443"/>
    </row>
    <row r="6840" spans="1:13">
      <c r="A6840" s="639">
        <v>101113</v>
      </c>
      <c r="B6840" s="639">
        <v>2100</v>
      </c>
      <c r="C6840" s="638">
        <v>6488.2820000000002</v>
      </c>
      <c r="D6840" s="633">
        <f t="shared" si="218"/>
        <v>6488.2820000000002</v>
      </c>
      <c r="E6840" s="608"/>
      <c r="F6840" s="760">
        <f t="shared" si="219"/>
        <v>2737.5477512926118</v>
      </c>
      <c r="M6840" s="443"/>
    </row>
    <row r="6841" spans="1:13">
      <c r="A6841" s="639">
        <v>101113</v>
      </c>
      <c r="B6841" s="639">
        <v>2200</v>
      </c>
      <c r="C6841" s="638">
        <v>5874.3739999999998</v>
      </c>
      <c r="D6841" s="633">
        <f t="shared" si="218"/>
        <v>5874.3739999999998</v>
      </c>
      <c r="E6841" s="608"/>
      <c r="F6841" s="760">
        <f t="shared" si="219"/>
        <v>2478.5265705084616</v>
      </c>
      <c r="M6841" s="443"/>
    </row>
    <row r="6842" spans="1:13">
      <c r="A6842" s="639">
        <v>101113</v>
      </c>
      <c r="B6842" s="639">
        <v>2300</v>
      </c>
      <c r="C6842" s="638">
        <v>5092.7039999999997</v>
      </c>
      <c r="D6842" s="633">
        <f t="shared" si="218"/>
        <v>5092.7039999999997</v>
      </c>
      <c r="E6842" s="608"/>
      <c r="F6842" s="760">
        <f t="shared" si="219"/>
        <v>2148.7229413269779</v>
      </c>
      <c r="M6842" s="443"/>
    </row>
    <row r="6843" spans="1:13">
      <c r="A6843" s="639">
        <v>101113</v>
      </c>
      <c r="B6843" s="639">
        <v>2400</v>
      </c>
      <c r="C6843" s="638">
        <v>4519.8209999999999</v>
      </c>
      <c r="D6843" s="633">
        <f t="shared" si="218"/>
        <v>4519.8209999999999</v>
      </c>
      <c r="E6843" s="608"/>
      <c r="F6843" s="760">
        <f t="shared" si="219"/>
        <v>1907.0111032157854</v>
      </c>
      <c r="M6843" s="443"/>
    </row>
    <row r="6844" spans="1:13">
      <c r="A6844" s="639">
        <v>101213</v>
      </c>
      <c r="B6844" s="639">
        <v>100</v>
      </c>
      <c r="C6844" s="638">
        <v>4400.8540000000003</v>
      </c>
      <c r="D6844" s="633">
        <f t="shared" si="218"/>
        <v>4400.8540000000003</v>
      </c>
      <c r="E6844" s="608"/>
      <c r="F6844" s="760">
        <f t="shared" si="219"/>
        <v>1856.8163300342212</v>
      </c>
      <c r="M6844" s="443"/>
    </row>
    <row r="6845" spans="1:13">
      <c r="A6845" s="639">
        <v>101213</v>
      </c>
      <c r="B6845" s="639">
        <v>200</v>
      </c>
      <c r="C6845" s="638">
        <v>4289.3710000000001</v>
      </c>
      <c r="D6845" s="633">
        <f t="shared" si="218"/>
        <v>4289.3710000000001</v>
      </c>
      <c r="E6845" s="608"/>
      <c r="F6845" s="760">
        <f t="shared" si="219"/>
        <v>1809.779219754897</v>
      </c>
      <c r="M6845" s="443"/>
    </row>
    <row r="6846" spans="1:13">
      <c r="A6846" s="639">
        <v>101213</v>
      </c>
      <c r="B6846" s="639">
        <v>300</v>
      </c>
      <c r="C6846" s="638">
        <v>4271.3249999999998</v>
      </c>
      <c r="D6846" s="633">
        <f t="shared" si="218"/>
        <v>4271.3249999999998</v>
      </c>
      <c r="E6846" s="608"/>
      <c r="F6846" s="760">
        <f t="shared" si="219"/>
        <v>1802.1652185878963</v>
      </c>
      <c r="M6846" s="443"/>
    </row>
    <row r="6847" spans="1:13">
      <c r="A6847" s="639">
        <v>101213</v>
      </c>
      <c r="B6847" s="639">
        <v>400</v>
      </c>
      <c r="C6847" s="638">
        <v>4245.5510000000004</v>
      </c>
      <c r="D6847" s="633">
        <f t="shared" si="218"/>
        <v>4245.5510000000004</v>
      </c>
      <c r="E6847" s="608"/>
      <c r="F6847" s="760">
        <f t="shared" si="219"/>
        <v>1791.2906055945318</v>
      </c>
      <c r="M6847" s="443"/>
    </row>
    <row r="6848" spans="1:13">
      <c r="A6848" s="639">
        <v>101213</v>
      </c>
      <c r="B6848" s="639">
        <v>500</v>
      </c>
      <c r="C6848" s="638">
        <v>4434.9380000000001</v>
      </c>
      <c r="D6848" s="633">
        <f t="shared" si="218"/>
        <v>4434.9380000000001</v>
      </c>
      <c r="E6848" s="608"/>
      <c r="F6848" s="760">
        <f t="shared" si="219"/>
        <v>1871.1971133532963</v>
      </c>
      <c r="M6848" s="443"/>
    </row>
    <row r="6849" spans="1:13">
      <c r="A6849" s="639">
        <v>101213</v>
      </c>
      <c r="B6849" s="639">
        <v>600</v>
      </c>
      <c r="C6849" s="638">
        <v>4745.6049999999996</v>
      </c>
      <c r="D6849" s="633">
        <f t="shared" si="218"/>
        <v>4745.6049999999996</v>
      </c>
      <c r="E6849" s="608"/>
      <c r="F6849" s="760">
        <f t="shared" si="219"/>
        <v>2002.274299463706</v>
      </c>
      <c r="M6849" s="443"/>
    </row>
    <row r="6850" spans="1:13">
      <c r="A6850" s="639">
        <v>101213</v>
      </c>
      <c r="B6850" s="639">
        <v>700</v>
      </c>
      <c r="C6850" s="638">
        <v>5383.2920000000004</v>
      </c>
      <c r="D6850" s="633">
        <f t="shared" si="218"/>
        <v>5383.2920000000004</v>
      </c>
      <c r="E6850" s="608"/>
      <c r="F6850" s="760">
        <f t="shared" si="219"/>
        <v>2271.3283592099583</v>
      </c>
      <c r="M6850" s="443"/>
    </row>
    <row r="6851" spans="1:13">
      <c r="A6851" s="639">
        <v>101213</v>
      </c>
      <c r="B6851" s="639">
        <v>800</v>
      </c>
      <c r="C6851" s="638">
        <v>5871.1049999999996</v>
      </c>
      <c r="D6851" s="633">
        <f t="shared" si="218"/>
        <v>5871.1049999999996</v>
      </c>
      <c r="E6851" s="608"/>
      <c r="F6851" s="760">
        <f t="shared" si="219"/>
        <v>2477.1473080782876</v>
      </c>
      <c r="M6851" s="443"/>
    </row>
    <row r="6852" spans="1:13">
      <c r="A6852" s="639">
        <v>101213</v>
      </c>
      <c r="B6852" s="639">
        <v>900</v>
      </c>
      <c r="C6852" s="638">
        <v>5780.3040000000001</v>
      </c>
      <c r="D6852" s="633">
        <f t="shared" si="218"/>
        <v>5780.3040000000001</v>
      </c>
      <c r="E6852" s="608"/>
      <c r="F6852" s="760">
        <f t="shared" si="219"/>
        <v>2438.8363848839626</v>
      </c>
      <c r="M6852" s="443"/>
    </row>
    <row r="6853" spans="1:13">
      <c r="A6853" s="639">
        <v>101213</v>
      </c>
      <c r="B6853" s="639">
        <v>1000</v>
      </c>
      <c r="C6853" s="638">
        <v>5756.2820000000002</v>
      </c>
      <c r="D6853" s="633">
        <f t="shared" ref="D6853:D6916" si="220">C6853</f>
        <v>5756.2820000000002</v>
      </c>
      <c r="E6853" s="608"/>
      <c r="F6853" s="760">
        <f t="shared" si="219"/>
        <v>2428.7009789195563</v>
      </c>
      <c r="M6853" s="443"/>
    </row>
    <row r="6854" spans="1:13">
      <c r="A6854" s="639">
        <v>101213</v>
      </c>
      <c r="B6854" s="639">
        <v>1100</v>
      </c>
      <c r="C6854" s="638">
        <v>5651.9049999999997</v>
      </c>
      <c r="D6854" s="633">
        <f t="shared" si="220"/>
        <v>5651.9049999999997</v>
      </c>
      <c r="E6854" s="608"/>
      <c r="F6854" s="760">
        <f t="shared" si="219"/>
        <v>2384.6620450944438</v>
      </c>
      <c r="M6854" s="443"/>
    </row>
    <row r="6855" spans="1:13">
      <c r="A6855" s="639">
        <v>101213</v>
      </c>
      <c r="B6855" s="639">
        <v>1200</v>
      </c>
      <c r="C6855" s="638">
        <v>5680.5940000000001</v>
      </c>
      <c r="D6855" s="633">
        <f t="shared" si="220"/>
        <v>5680.5940000000001</v>
      </c>
      <c r="E6855" s="608"/>
      <c r="F6855" s="760">
        <f t="shared" si="219"/>
        <v>2396.7665601936387</v>
      </c>
      <c r="M6855" s="443"/>
    </row>
    <row r="6856" spans="1:13">
      <c r="A6856" s="639">
        <v>101213</v>
      </c>
      <c r="B6856" s="639">
        <v>1300</v>
      </c>
      <c r="C6856" s="638">
        <v>5521.6530000000002</v>
      </c>
      <c r="D6856" s="633">
        <f t="shared" si="220"/>
        <v>5521.6530000000002</v>
      </c>
      <c r="E6856" s="608"/>
      <c r="F6856" s="760">
        <f t="shared" si="219"/>
        <v>2329.7058841721282</v>
      </c>
      <c r="M6856" s="443"/>
    </row>
    <row r="6857" spans="1:13">
      <c r="A6857" s="639">
        <v>101213</v>
      </c>
      <c r="B6857" s="639">
        <v>1400</v>
      </c>
      <c r="C6857" s="638">
        <v>5522.1769999999997</v>
      </c>
      <c r="D6857" s="633">
        <f t="shared" si="220"/>
        <v>5522.1769999999997</v>
      </c>
      <c r="E6857" s="608"/>
      <c r="F6857" s="760">
        <f t="shared" si="219"/>
        <v>2329.9269712059031</v>
      </c>
      <c r="M6857" s="443"/>
    </row>
    <row r="6858" spans="1:13">
      <c r="A6858" s="639">
        <v>101213</v>
      </c>
      <c r="B6858" s="639">
        <v>1500</v>
      </c>
      <c r="C6858" s="638">
        <v>5509.93</v>
      </c>
      <c r="D6858" s="633">
        <f t="shared" si="220"/>
        <v>5509.93</v>
      </c>
      <c r="E6858" s="608"/>
      <c r="F6858" s="760">
        <f t="shared" si="219"/>
        <v>2324.7596946741373</v>
      </c>
      <c r="M6858" s="443"/>
    </row>
    <row r="6859" spans="1:13">
      <c r="A6859" s="639">
        <v>101213</v>
      </c>
      <c r="B6859" s="639">
        <v>1600</v>
      </c>
      <c r="C6859" s="638">
        <v>5626.94</v>
      </c>
      <c r="D6859" s="633">
        <f t="shared" si="220"/>
        <v>5626.94</v>
      </c>
      <c r="E6859" s="608"/>
      <c r="F6859" s="760">
        <f t="shared" si="219"/>
        <v>2374.1287668536061</v>
      </c>
      <c r="M6859" s="443"/>
    </row>
    <row r="6860" spans="1:13">
      <c r="A6860" s="639">
        <v>101213</v>
      </c>
      <c r="B6860" s="639">
        <v>1700</v>
      </c>
      <c r="C6860" s="638">
        <v>5886.6459999999997</v>
      </c>
      <c r="D6860" s="633">
        <f t="shared" si="220"/>
        <v>5886.6459999999997</v>
      </c>
      <c r="E6860" s="608"/>
      <c r="F6860" s="760">
        <f t="shared" si="219"/>
        <v>2483.7043950857324</v>
      </c>
      <c r="M6860" s="443"/>
    </row>
    <row r="6861" spans="1:13">
      <c r="A6861" s="639">
        <v>101213</v>
      </c>
      <c r="B6861" s="639">
        <v>1800</v>
      </c>
      <c r="C6861" s="638">
        <v>6124.4350000000004</v>
      </c>
      <c r="D6861" s="633">
        <f t="shared" si="220"/>
        <v>6124.4350000000004</v>
      </c>
      <c r="E6861" s="608"/>
      <c r="F6861" s="760">
        <f t="shared" si="219"/>
        <v>2584.0327627849356</v>
      </c>
      <c r="M6861" s="443"/>
    </row>
    <row r="6862" spans="1:13">
      <c r="A6862" s="639">
        <v>101213</v>
      </c>
      <c r="B6862" s="639">
        <v>1900</v>
      </c>
      <c r="C6862" s="638">
        <v>6614.6450000000004</v>
      </c>
      <c r="D6862" s="633">
        <f t="shared" si="220"/>
        <v>6614.6450000000004</v>
      </c>
      <c r="E6862" s="608"/>
      <c r="F6862" s="760">
        <f t="shared" si="219"/>
        <v>2790.8630582562409</v>
      </c>
      <c r="M6862" s="443"/>
    </row>
    <row r="6863" spans="1:13">
      <c r="A6863" s="639">
        <v>101213</v>
      </c>
      <c r="B6863" s="639">
        <v>2000</v>
      </c>
      <c r="C6863" s="638">
        <v>6482.4949999999999</v>
      </c>
      <c r="D6863" s="633">
        <f t="shared" si="220"/>
        <v>6482.4949999999999</v>
      </c>
      <c r="E6863" s="608"/>
      <c r="F6863" s="760">
        <f t="shared" si="219"/>
        <v>2735.1060897192197</v>
      </c>
      <c r="M6863" s="443"/>
    </row>
    <row r="6864" spans="1:13">
      <c r="A6864" s="639">
        <v>101213</v>
      </c>
      <c r="B6864" s="639">
        <v>2100</v>
      </c>
      <c r="C6864" s="638">
        <v>6221.2569999999996</v>
      </c>
      <c r="D6864" s="633">
        <f t="shared" si="220"/>
        <v>6221.2569999999996</v>
      </c>
      <c r="E6864" s="608"/>
      <c r="F6864" s="760">
        <f t="shared" si="219"/>
        <v>2624.8840772585745</v>
      </c>
      <c r="M6864" s="443"/>
    </row>
    <row r="6865" spans="1:13">
      <c r="A6865" s="639">
        <v>101213</v>
      </c>
      <c r="B6865" s="639">
        <v>2200</v>
      </c>
      <c r="C6865" s="638">
        <v>5645.8980000000001</v>
      </c>
      <c r="D6865" s="633">
        <f t="shared" si="220"/>
        <v>5645.8980000000001</v>
      </c>
      <c r="E6865" s="608"/>
      <c r="F6865" s="760">
        <f t="shared" si="219"/>
        <v>2382.1275607206121</v>
      </c>
      <c r="M6865" s="443"/>
    </row>
    <row r="6866" spans="1:13">
      <c r="A6866" s="639">
        <v>101213</v>
      </c>
      <c r="B6866" s="639">
        <v>2300</v>
      </c>
      <c r="C6866" s="638">
        <v>5084.1379999999999</v>
      </c>
      <c r="D6866" s="633">
        <f t="shared" si="220"/>
        <v>5084.1379999999999</v>
      </c>
      <c r="E6866" s="608"/>
      <c r="F6866" s="760">
        <f t="shared" si="219"/>
        <v>2145.1087590153011</v>
      </c>
      <c r="M6866" s="443"/>
    </row>
    <row r="6867" spans="1:13">
      <c r="A6867" s="639">
        <v>101213</v>
      </c>
      <c r="B6867" s="639">
        <v>2400</v>
      </c>
      <c r="C6867" s="638">
        <v>4475.1949999999997</v>
      </c>
      <c r="D6867" s="633">
        <f t="shared" si="220"/>
        <v>4475.1949999999997</v>
      </c>
      <c r="E6867" s="608"/>
      <c r="F6867" s="760">
        <f t="shared" si="219"/>
        <v>1888.1824200683538</v>
      </c>
      <c r="M6867" s="443"/>
    </row>
    <row r="6868" spans="1:13">
      <c r="A6868" s="639">
        <v>101313</v>
      </c>
      <c r="B6868" s="639">
        <v>100</v>
      </c>
      <c r="C6868" s="638">
        <v>4361.174</v>
      </c>
      <c r="D6868" s="633">
        <f t="shared" si="220"/>
        <v>4361.174</v>
      </c>
      <c r="E6868" s="608"/>
      <c r="F6868" s="760">
        <f t="shared" si="219"/>
        <v>1840.0744722094082</v>
      </c>
      <c r="M6868" s="443"/>
    </row>
    <row r="6869" spans="1:13">
      <c r="A6869" s="639">
        <v>101313</v>
      </c>
      <c r="B6869" s="639">
        <v>200</v>
      </c>
      <c r="C6869" s="638">
        <v>4129.7460000000001</v>
      </c>
      <c r="D6869" s="633">
        <f t="shared" si="220"/>
        <v>4129.7460000000001</v>
      </c>
      <c r="E6869" s="608"/>
      <c r="F6869" s="760">
        <f t="shared" si="219"/>
        <v>1742.4299492083819</v>
      </c>
      <c r="M6869" s="443"/>
    </row>
    <row r="6870" spans="1:13">
      <c r="A6870" s="639">
        <v>101313</v>
      </c>
      <c r="B6870" s="639">
        <v>300</v>
      </c>
      <c r="C6870" s="638">
        <v>4120.5079999999998</v>
      </c>
      <c r="D6870" s="633">
        <f t="shared" si="220"/>
        <v>4120.5079999999998</v>
      </c>
      <c r="E6870" s="608"/>
      <c r="F6870" s="760">
        <f t="shared" si="219"/>
        <v>1738.5322354335426</v>
      </c>
      <c r="M6870" s="443"/>
    </row>
    <row r="6871" spans="1:13">
      <c r="A6871" s="639">
        <v>101313</v>
      </c>
      <c r="B6871" s="639">
        <v>400</v>
      </c>
      <c r="C6871" s="638">
        <v>4045.0819999999999</v>
      </c>
      <c r="D6871" s="633">
        <f t="shared" si="220"/>
        <v>4045.0819999999999</v>
      </c>
      <c r="E6871" s="608"/>
      <c r="F6871" s="760">
        <f t="shared" si="219"/>
        <v>1706.7083602245125</v>
      </c>
      <c r="M6871" s="443"/>
    </row>
    <row r="6872" spans="1:13">
      <c r="A6872" s="639">
        <v>101313</v>
      </c>
      <c r="B6872" s="639">
        <v>500</v>
      </c>
      <c r="C6872" s="638">
        <v>4111.9660000000003</v>
      </c>
      <c r="D6872" s="633">
        <f t="shared" si="220"/>
        <v>4111.9660000000003</v>
      </c>
      <c r="E6872" s="608"/>
      <c r="F6872" s="760">
        <f t="shared" si="219"/>
        <v>1734.9281792455502</v>
      </c>
      <c r="M6872" s="443"/>
    </row>
    <row r="6873" spans="1:13">
      <c r="A6873" s="639">
        <v>101313</v>
      </c>
      <c r="B6873" s="639">
        <v>600</v>
      </c>
      <c r="C6873" s="638">
        <v>4327.6350000000002</v>
      </c>
      <c r="D6873" s="633">
        <f t="shared" si="220"/>
        <v>4327.6350000000002</v>
      </c>
      <c r="E6873" s="608"/>
      <c r="F6873" s="760">
        <f t="shared" si="219"/>
        <v>1825.9236362823322</v>
      </c>
      <c r="M6873" s="443"/>
    </row>
    <row r="6874" spans="1:13">
      <c r="A6874" s="639">
        <v>101313</v>
      </c>
      <c r="B6874" s="639">
        <v>700</v>
      </c>
      <c r="C6874" s="638">
        <v>4889.2179999999998</v>
      </c>
      <c r="D6874" s="633">
        <f t="shared" si="220"/>
        <v>4889.2179999999998</v>
      </c>
      <c r="E6874" s="608"/>
      <c r="F6874" s="760">
        <f t="shared" si="219"/>
        <v>2062.8677578254706</v>
      </c>
      <c r="M6874" s="443"/>
    </row>
    <row r="6875" spans="1:13">
      <c r="A6875" s="639">
        <v>101313</v>
      </c>
      <c r="B6875" s="639">
        <v>800</v>
      </c>
      <c r="C6875" s="638">
        <v>5614.866</v>
      </c>
      <c r="D6875" s="633">
        <f t="shared" si="220"/>
        <v>5614.866</v>
      </c>
      <c r="E6875" s="608"/>
      <c r="F6875" s="760">
        <f t="shared" si="219"/>
        <v>2369.034482796731</v>
      </c>
      <c r="M6875" s="443"/>
    </row>
    <row r="6876" spans="1:13">
      <c r="A6876" s="639">
        <v>101313</v>
      </c>
      <c r="B6876" s="639">
        <v>900</v>
      </c>
      <c r="C6876" s="638">
        <v>6364.2690000000002</v>
      </c>
      <c r="D6876" s="633">
        <f t="shared" si="220"/>
        <v>6364.2690000000002</v>
      </c>
      <c r="E6876" s="608"/>
      <c r="F6876" s="760">
        <f t="shared" si="219"/>
        <v>2685.2239606064099</v>
      </c>
      <c r="M6876" s="443"/>
    </row>
    <row r="6877" spans="1:13">
      <c r="A6877" s="639">
        <v>101313</v>
      </c>
      <c r="B6877" s="639">
        <v>1000</v>
      </c>
      <c r="C6877" s="638">
        <v>6724.1120000000001</v>
      </c>
      <c r="D6877" s="633">
        <f t="shared" si="220"/>
        <v>6724.1120000000001</v>
      </c>
      <c r="E6877" s="608"/>
      <c r="F6877" s="760">
        <f t="shared" si="219"/>
        <v>2837.0495741460786</v>
      </c>
      <c r="M6877" s="443"/>
    </row>
    <row r="6878" spans="1:13">
      <c r="A6878" s="639">
        <v>101313</v>
      </c>
      <c r="B6878" s="639">
        <v>1100</v>
      </c>
      <c r="C6878" s="638">
        <v>6828.2619999999997</v>
      </c>
      <c r="D6878" s="633">
        <f t="shared" si="220"/>
        <v>6828.2619999999997</v>
      </c>
      <c r="E6878" s="608"/>
      <c r="F6878" s="760">
        <f t="shared" si="219"/>
        <v>2880.9927317180095</v>
      </c>
      <c r="M6878" s="443"/>
    </row>
    <row r="6879" spans="1:13">
      <c r="A6879" s="639">
        <v>101313</v>
      </c>
      <c r="B6879" s="639">
        <v>1200</v>
      </c>
      <c r="C6879" s="638">
        <v>7055.6610000000001</v>
      </c>
      <c r="D6879" s="633">
        <f t="shared" si="220"/>
        <v>7055.6610000000001</v>
      </c>
      <c r="E6879" s="608"/>
      <c r="F6879" s="760">
        <f t="shared" si="219"/>
        <v>2976.9373317055242</v>
      </c>
      <c r="M6879" s="443"/>
    </row>
    <row r="6880" spans="1:13">
      <c r="A6880" s="639">
        <v>101313</v>
      </c>
      <c r="B6880" s="639">
        <v>1300</v>
      </c>
      <c r="C6880" s="638">
        <v>7023.0330000000004</v>
      </c>
      <c r="D6880" s="633">
        <f t="shared" si="220"/>
        <v>7023.0330000000004</v>
      </c>
      <c r="E6880" s="608"/>
      <c r="F6880" s="760">
        <f t="shared" si="219"/>
        <v>2963.170866556633</v>
      </c>
      <c r="M6880" s="443"/>
    </row>
    <row r="6881" spans="1:13">
      <c r="A6881" s="639">
        <v>101313</v>
      </c>
      <c r="B6881" s="639">
        <v>1400</v>
      </c>
      <c r="C6881" s="638">
        <v>6967.0050000000001</v>
      </c>
      <c r="D6881" s="633">
        <f t="shared" si="220"/>
        <v>6967.0050000000001</v>
      </c>
      <c r="E6881" s="608"/>
      <c r="F6881" s="760">
        <f t="shared" si="219"/>
        <v>2939.5314308154893</v>
      </c>
      <c r="M6881" s="443"/>
    </row>
    <row r="6882" spans="1:13">
      <c r="A6882" s="639">
        <v>101313</v>
      </c>
      <c r="B6882" s="639">
        <v>1500</v>
      </c>
      <c r="C6882" s="638">
        <v>6813.2690000000002</v>
      </c>
      <c r="D6882" s="633">
        <f t="shared" si="220"/>
        <v>6813.2690000000002</v>
      </c>
      <c r="E6882" s="608"/>
      <c r="F6882" s="760">
        <f t="shared" si="219"/>
        <v>2874.6668578680246</v>
      </c>
      <c r="M6882" s="443"/>
    </row>
    <row r="6883" spans="1:13">
      <c r="A6883" s="639">
        <v>101313</v>
      </c>
      <c r="B6883" s="639">
        <v>1600</v>
      </c>
      <c r="C6883" s="638">
        <v>6780.3050000000003</v>
      </c>
      <c r="D6883" s="633">
        <f t="shared" si="220"/>
        <v>6780.3050000000003</v>
      </c>
      <c r="E6883" s="608"/>
      <c r="F6883" s="760">
        <f t="shared" si="219"/>
        <v>2860.7586269875524</v>
      </c>
      <c r="M6883" s="443"/>
    </row>
    <row r="6884" spans="1:13">
      <c r="A6884" s="639">
        <v>101313</v>
      </c>
      <c r="B6884" s="639">
        <v>1700</v>
      </c>
      <c r="C6884" s="638">
        <v>6403.23</v>
      </c>
      <c r="D6884" s="633">
        <f t="shared" si="220"/>
        <v>6403.23</v>
      </c>
      <c r="E6884" s="608"/>
      <c r="F6884" s="760">
        <f t="shared" si="219"/>
        <v>2701.6624566425116</v>
      </c>
      <c r="M6884" s="443"/>
    </row>
    <row r="6885" spans="1:13">
      <c r="A6885" s="639">
        <v>101313</v>
      </c>
      <c r="B6885" s="639">
        <v>1800</v>
      </c>
      <c r="C6885" s="638">
        <v>6245.81</v>
      </c>
      <c r="D6885" s="633">
        <f t="shared" si="220"/>
        <v>6245.81</v>
      </c>
      <c r="E6885" s="608"/>
      <c r="F6885" s="760">
        <f t="shared" si="219"/>
        <v>2635.2435237094978</v>
      </c>
      <c r="M6885" s="443"/>
    </row>
    <row r="6886" spans="1:13">
      <c r="A6886" s="639">
        <v>101313</v>
      </c>
      <c r="B6886" s="639">
        <v>1900</v>
      </c>
      <c r="C6886" s="638">
        <v>6554.6610000000001</v>
      </c>
      <c r="D6886" s="633">
        <f t="shared" si="220"/>
        <v>6554.6610000000001</v>
      </c>
      <c r="E6886" s="608"/>
      <c r="F6886" s="760">
        <f t="shared" si="219"/>
        <v>2765.5544997944571</v>
      </c>
      <c r="M6886" s="443"/>
    </row>
    <row r="6887" spans="1:13">
      <c r="A6887" s="639">
        <v>101313</v>
      </c>
      <c r="B6887" s="639">
        <v>2000</v>
      </c>
      <c r="C6887" s="638">
        <v>6466.0420000000004</v>
      </c>
      <c r="D6887" s="633">
        <f t="shared" si="220"/>
        <v>6466.0420000000004</v>
      </c>
      <c r="E6887" s="608"/>
      <c r="F6887" s="760">
        <f t="shared" si="219"/>
        <v>2728.1642100117697</v>
      </c>
      <c r="M6887" s="443"/>
    </row>
    <row r="6888" spans="1:13">
      <c r="A6888" s="639">
        <v>101313</v>
      </c>
      <c r="B6888" s="639">
        <v>2100</v>
      </c>
      <c r="C6888" s="638">
        <v>6247.9120000000003</v>
      </c>
      <c r="D6888" s="633">
        <f t="shared" si="220"/>
        <v>6247.9120000000003</v>
      </c>
      <c r="E6888" s="608"/>
      <c r="F6888" s="760">
        <f t="shared" si="219"/>
        <v>2636.13040337552</v>
      </c>
      <c r="M6888" s="443"/>
    </row>
    <row r="6889" spans="1:13">
      <c r="A6889" s="639">
        <v>101313</v>
      </c>
      <c r="B6889" s="639">
        <v>2200</v>
      </c>
      <c r="C6889" s="638">
        <v>5770.2669999999998</v>
      </c>
      <c r="D6889" s="633">
        <f t="shared" si="220"/>
        <v>5770.2669999999998</v>
      </c>
      <c r="E6889" s="608"/>
      <c r="F6889" s="760">
        <f t="shared" si="219"/>
        <v>2434.6015555747981</v>
      </c>
      <c r="M6889" s="443"/>
    </row>
    <row r="6890" spans="1:13">
      <c r="A6890" s="639">
        <v>101313</v>
      </c>
      <c r="B6890" s="639">
        <v>2300</v>
      </c>
      <c r="C6890" s="638">
        <v>5128.9799999999996</v>
      </c>
      <c r="D6890" s="633">
        <f t="shared" si="220"/>
        <v>5128.9799999999996</v>
      </c>
      <c r="E6890" s="608"/>
      <c r="F6890" s="760">
        <f t="shared" si="219"/>
        <v>2164.0285772758916</v>
      </c>
      <c r="M6890" s="443"/>
    </row>
    <row r="6891" spans="1:13">
      <c r="A6891" s="639">
        <v>101313</v>
      </c>
      <c r="B6891" s="639">
        <v>2400</v>
      </c>
      <c r="C6891" s="638">
        <v>4600.308</v>
      </c>
      <c r="D6891" s="633">
        <f t="shared" si="220"/>
        <v>4600.308</v>
      </c>
      <c r="E6891" s="608"/>
      <c r="F6891" s="760">
        <f t="shared" si="219"/>
        <v>1940.9703247567556</v>
      </c>
      <c r="M6891" s="443"/>
    </row>
    <row r="6892" spans="1:13">
      <c r="A6892" s="639">
        <v>101413</v>
      </c>
      <c r="B6892" s="639">
        <v>100</v>
      </c>
      <c r="C6892" s="638">
        <v>4488.9350000000004</v>
      </c>
      <c r="D6892" s="633">
        <f t="shared" si="220"/>
        <v>4488.9350000000004</v>
      </c>
      <c r="E6892" s="608"/>
      <c r="F6892" s="760">
        <f t="shared" si="219"/>
        <v>1893.9796258776514</v>
      </c>
      <c r="M6892" s="443"/>
    </row>
    <row r="6893" spans="1:13">
      <c r="A6893" s="639">
        <v>101413</v>
      </c>
      <c r="B6893" s="639">
        <v>200</v>
      </c>
      <c r="C6893" s="638">
        <v>4239.5060000000003</v>
      </c>
      <c r="D6893" s="633">
        <f t="shared" si="220"/>
        <v>4239.5060000000003</v>
      </c>
      <c r="E6893" s="608"/>
      <c r="F6893" s="760">
        <f t="shared" si="219"/>
        <v>1788.740088191533</v>
      </c>
      <c r="M6893" s="443"/>
    </row>
    <row r="6894" spans="1:13">
      <c r="A6894" s="639">
        <v>101413</v>
      </c>
      <c r="B6894" s="639">
        <v>300</v>
      </c>
      <c r="C6894" s="638">
        <v>4189.5600000000004</v>
      </c>
      <c r="D6894" s="633">
        <f t="shared" si="220"/>
        <v>4189.5600000000004</v>
      </c>
      <c r="E6894" s="608"/>
      <c r="F6894" s="760">
        <f t="shared" si="219"/>
        <v>1767.6667809607343</v>
      </c>
      <c r="M6894" s="443"/>
    </row>
    <row r="6895" spans="1:13">
      <c r="A6895" s="639">
        <v>101413</v>
      </c>
      <c r="B6895" s="639">
        <v>400</v>
      </c>
      <c r="C6895" s="638">
        <v>4198.4480000000003</v>
      </c>
      <c r="D6895" s="633">
        <f t="shared" si="220"/>
        <v>4198.4480000000003</v>
      </c>
      <c r="E6895" s="608"/>
      <c r="F6895" s="760">
        <f t="shared" si="219"/>
        <v>1771.41682209851</v>
      </c>
      <c r="M6895" s="443"/>
    </row>
    <row r="6896" spans="1:13">
      <c r="A6896" s="639">
        <v>101413</v>
      </c>
      <c r="B6896" s="639">
        <v>500</v>
      </c>
      <c r="C6896" s="638">
        <v>4352.6760000000004</v>
      </c>
      <c r="D6896" s="633">
        <f t="shared" si="220"/>
        <v>4352.6760000000004</v>
      </c>
      <c r="E6896" s="608"/>
      <c r="F6896" s="760">
        <f t="shared" si="219"/>
        <v>1836.4889805815037</v>
      </c>
      <c r="M6896" s="443"/>
    </row>
    <row r="6897" spans="1:13">
      <c r="A6897" s="639">
        <v>101413</v>
      </c>
      <c r="B6897" s="639">
        <v>600</v>
      </c>
      <c r="C6897" s="638">
        <v>4664.1930000000002</v>
      </c>
      <c r="D6897" s="633">
        <f t="shared" si="220"/>
        <v>4664.1930000000002</v>
      </c>
      <c r="E6897" s="608"/>
      <c r="F6897" s="760">
        <f t="shared" si="219"/>
        <v>1967.924800239068</v>
      </c>
      <c r="M6897" s="443"/>
    </row>
    <row r="6898" spans="1:13">
      <c r="A6898" s="639">
        <v>101413</v>
      </c>
      <c r="B6898" s="639">
        <v>700</v>
      </c>
      <c r="C6898" s="638">
        <v>5008.5829999999996</v>
      </c>
      <c r="D6898" s="633">
        <f t="shared" si="220"/>
        <v>5008.5829999999996</v>
      </c>
      <c r="E6898" s="608"/>
      <c r="F6898" s="760">
        <f t="shared" si="219"/>
        <v>2113.2304558914675</v>
      </c>
      <c r="M6898" s="443"/>
    </row>
    <row r="6899" spans="1:13">
      <c r="A6899" s="639">
        <v>101413</v>
      </c>
      <c r="B6899" s="639">
        <v>800</v>
      </c>
      <c r="C6899" s="638">
        <v>5437.13</v>
      </c>
      <c r="D6899" s="633">
        <f t="shared" si="220"/>
        <v>5437.13</v>
      </c>
      <c r="E6899" s="608"/>
      <c r="F6899" s="760">
        <f t="shared" si="219"/>
        <v>2294.0437861649043</v>
      </c>
      <c r="M6899" s="443"/>
    </row>
    <row r="6900" spans="1:13">
      <c r="A6900" s="639">
        <v>101413</v>
      </c>
      <c r="B6900" s="639">
        <v>900</v>
      </c>
      <c r="C6900" s="638">
        <v>5752.8469999999998</v>
      </c>
      <c r="D6900" s="633">
        <f t="shared" si="220"/>
        <v>5752.8469999999998</v>
      </c>
      <c r="E6900" s="608"/>
      <c r="F6900" s="760">
        <f t="shared" ref="F6900:F6963" si="221">(D6900/(MAX($D$6580:$D$7323)))*$M$13</f>
        <v>2427.2516774672317</v>
      </c>
      <c r="M6900" s="443"/>
    </row>
    <row r="6901" spans="1:13">
      <c r="A6901" s="639">
        <v>101413</v>
      </c>
      <c r="B6901" s="639">
        <v>1000</v>
      </c>
      <c r="C6901" s="638">
        <v>6000.4660000000003</v>
      </c>
      <c r="D6901" s="633">
        <f t="shared" si="220"/>
        <v>6000.4660000000003</v>
      </c>
      <c r="E6901" s="608"/>
      <c r="F6901" s="760">
        <f t="shared" si="221"/>
        <v>2531.7275366588215</v>
      </c>
      <c r="M6901" s="443"/>
    </row>
    <row r="6902" spans="1:13">
      <c r="A6902" s="639">
        <v>101413</v>
      </c>
      <c r="B6902" s="639">
        <v>1100</v>
      </c>
      <c r="C6902" s="638">
        <v>6112.4309999999996</v>
      </c>
      <c r="D6902" s="633">
        <f t="shared" si="220"/>
        <v>6112.4309999999996</v>
      </c>
      <c r="E6902" s="608"/>
      <c r="F6902" s="760">
        <f t="shared" si="221"/>
        <v>2578.9680132554736</v>
      </c>
      <c r="M6902" s="443"/>
    </row>
    <row r="6903" spans="1:13">
      <c r="A6903" s="639">
        <v>101413</v>
      </c>
      <c r="B6903" s="639">
        <v>1200</v>
      </c>
      <c r="C6903" s="638">
        <v>6159.0460000000003</v>
      </c>
      <c r="D6903" s="633">
        <f t="shared" si="220"/>
        <v>6159.0460000000003</v>
      </c>
      <c r="E6903" s="608"/>
      <c r="F6903" s="760">
        <f t="shared" si="221"/>
        <v>2598.6358989032465</v>
      </c>
      <c r="M6903" s="443"/>
    </row>
    <row r="6904" spans="1:13">
      <c r="A6904" s="639">
        <v>101413</v>
      </c>
      <c r="B6904" s="639">
        <v>1300</v>
      </c>
      <c r="C6904" s="638">
        <v>5890.2340000000004</v>
      </c>
      <c r="D6904" s="633">
        <f t="shared" si="220"/>
        <v>5890.2340000000004</v>
      </c>
      <c r="E6904" s="608"/>
      <c r="F6904" s="760">
        <f t="shared" si="221"/>
        <v>2485.218250576545</v>
      </c>
      <c r="M6904" s="443"/>
    </row>
    <row r="6905" spans="1:13">
      <c r="A6905" s="639">
        <v>101413</v>
      </c>
      <c r="B6905" s="639">
        <v>1400</v>
      </c>
      <c r="C6905" s="638">
        <v>5679.7659999999996</v>
      </c>
      <c r="D6905" s="633">
        <f t="shared" si="220"/>
        <v>5679.7659999999996</v>
      </c>
      <c r="E6905" s="608"/>
      <c r="F6905" s="760">
        <f t="shared" si="221"/>
        <v>2396.417208926528</v>
      </c>
      <c r="M6905" s="443"/>
    </row>
    <row r="6906" spans="1:13">
      <c r="A6906" s="639">
        <v>101413</v>
      </c>
      <c r="B6906" s="639">
        <v>1500</v>
      </c>
      <c r="C6906" s="638">
        <v>5663.223</v>
      </c>
      <c r="D6906" s="633">
        <f t="shared" si="220"/>
        <v>5663.223</v>
      </c>
      <c r="E6906" s="608"/>
      <c r="F6906" s="760">
        <f t="shared" si="221"/>
        <v>2389.437356255261</v>
      </c>
      <c r="M6906" s="443"/>
    </row>
    <row r="6907" spans="1:13">
      <c r="A6907" s="639">
        <v>101413</v>
      </c>
      <c r="B6907" s="639">
        <v>1600</v>
      </c>
      <c r="C6907" s="638">
        <v>5853.7150000000001</v>
      </c>
      <c r="D6907" s="633">
        <f t="shared" si="220"/>
        <v>5853.7150000000001</v>
      </c>
      <c r="E6907" s="608"/>
      <c r="F6907" s="760">
        <f t="shared" si="221"/>
        <v>2469.810087625327</v>
      </c>
      <c r="M6907" s="443"/>
    </row>
    <row r="6908" spans="1:13">
      <c r="A6908" s="639">
        <v>101413</v>
      </c>
      <c r="B6908" s="639">
        <v>1700</v>
      </c>
      <c r="C6908" s="638">
        <v>6130.9290000000001</v>
      </c>
      <c r="D6908" s="633">
        <f t="shared" si="220"/>
        <v>6130.9290000000001</v>
      </c>
      <c r="E6908" s="608"/>
      <c r="F6908" s="760">
        <f t="shared" si="221"/>
        <v>2586.7727230851956</v>
      </c>
      <c r="M6908" s="443"/>
    </row>
    <row r="6909" spans="1:13">
      <c r="A6909" s="639">
        <v>101413</v>
      </c>
      <c r="B6909" s="639">
        <v>1800</v>
      </c>
      <c r="C6909" s="638">
        <v>6411.1440000000002</v>
      </c>
      <c r="D6909" s="633">
        <f t="shared" si="220"/>
        <v>6411.1440000000002</v>
      </c>
      <c r="E6909" s="608"/>
      <c r="F6909" s="760">
        <f t="shared" si="221"/>
        <v>2705.0015459274305</v>
      </c>
      <c r="M6909" s="443"/>
    </row>
    <row r="6910" spans="1:13">
      <c r="A6910" s="639">
        <v>101413</v>
      </c>
      <c r="B6910" s="639">
        <v>1900</v>
      </c>
      <c r="C6910" s="638">
        <v>6937.0959999999995</v>
      </c>
      <c r="D6910" s="633">
        <f t="shared" si="220"/>
        <v>6937.0959999999995</v>
      </c>
      <c r="E6910" s="608"/>
      <c r="F6910" s="760">
        <f t="shared" si="221"/>
        <v>2926.9121710956724</v>
      </c>
      <c r="M6910" s="443"/>
    </row>
    <row r="6911" spans="1:13">
      <c r="A6911" s="639">
        <v>101413</v>
      </c>
      <c r="B6911" s="639">
        <v>2000</v>
      </c>
      <c r="C6911" s="638">
        <v>6844.9809999999998</v>
      </c>
      <c r="D6911" s="633">
        <f t="shared" si="220"/>
        <v>6844.9809999999998</v>
      </c>
      <c r="E6911" s="608"/>
      <c r="F6911" s="760">
        <f t="shared" si="221"/>
        <v>2888.0468426296288</v>
      </c>
      <c r="M6911" s="443"/>
    </row>
    <row r="6912" spans="1:13">
      <c r="A6912" s="639">
        <v>101413</v>
      </c>
      <c r="B6912" s="639">
        <v>2100</v>
      </c>
      <c r="C6912" s="638">
        <v>6382.24</v>
      </c>
      <c r="D6912" s="633">
        <f t="shared" si="220"/>
        <v>6382.24</v>
      </c>
      <c r="E6912" s="608"/>
      <c r="F6912" s="760">
        <f t="shared" si="221"/>
        <v>2692.8063176368964</v>
      </c>
      <c r="M6912" s="443"/>
    </row>
    <row r="6913" spans="1:13">
      <c r="A6913" s="639">
        <v>101413</v>
      </c>
      <c r="B6913" s="639">
        <v>2200</v>
      </c>
      <c r="C6913" s="638">
        <v>5593.6540000000005</v>
      </c>
      <c r="D6913" s="633">
        <f t="shared" si="220"/>
        <v>5593.6540000000005</v>
      </c>
      <c r="E6913" s="608"/>
      <c r="F6913" s="760">
        <f t="shared" si="221"/>
        <v>2360.084677147036</v>
      </c>
      <c r="M6913" s="443"/>
    </row>
    <row r="6914" spans="1:13">
      <c r="A6914" s="639">
        <v>101413</v>
      </c>
      <c r="B6914" s="639">
        <v>2300</v>
      </c>
      <c r="C6914" s="638">
        <v>4763.7299999999996</v>
      </c>
      <c r="D6914" s="633">
        <f t="shared" si="220"/>
        <v>4763.7299999999996</v>
      </c>
      <c r="E6914" s="608"/>
      <c r="F6914" s="760">
        <f t="shared" si="221"/>
        <v>2009.9216324545007</v>
      </c>
      <c r="M6914" s="443"/>
    </row>
    <row r="6915" spans="1:13">
      <c r="A6915" s="639">
        <v>101413</v>
      </c>
      <c r="B6915" s="639">
        <v>2400</v>
      </c>
      <c r="C6915" s="638">
        <v>4170.0870000000004</v>
      </c>
      <c r="D6915" s="633">
        <f t="shared" si="220"/>
        <v>4170.0870000000004</v>
      </c>
      <c r="E6915" s="608"/>
      <c r="F6915" s="760">
        <f t="shared" si="221"/>
        <v>1759.4506973563348</v>
      </c>
      <c r="M6915" s="443"/>
    </row>
    <row r="6916" spans="1:13">
      <c r="A6916" s="639">
        <v>101513</v>
      </c>
      <c r="B6916" s="639">
        <v>100</v>
      </c>
      <c r="C6916" s="638">
        <v>4187.6120000000001</v>
      </c>
      <c r="D6916" s="633">
        <f t="shared" si="220"/>
        <v>4187.6120000000001</v>
      </c>
      <c r="E6916" s="608"/>
      <c r="F6916" s="760">
        <f t="shared" si="221"/>
        <v>1766.8448772550203</v>
      </c>
      <c r="M6916" s="443"/>
    </row>
    <row r="6917" spans="1:13">
      <c r="A6917" s="639">
        <v>101513</v>
      </c>
      <c r="B6917" s="639">
        <v>200</v>
      </c>
      <c r="C6917" s="638">
        <v>4120.8789999999999</v>
      </c>
      <c r="D6917" s="633">
        <f t="shared" ref="D6917:D6980" si="222">C6917</f>
        <v>4120.8789999999999</v>
      </c>
      <c r="E6917" s="608"/>
      <c r="F6917" s="760">
        <f t="shared" si="221"/>
        <v>1738.6887684288301</v>
      </c>
      <c r="M6917" s="443"/>
    </row>
    <row r="6918" spans="1:13">
      <c r="A6918" s="639">
        <v>101513</v>
      </c>
      <c r="B6918" s="639">
        <v>300</v>
      </c>
      <c r="C6918" s="638">
        <v>4126.027</v>
      </c>
      <c r="D6918" s="633">
        <f t="shared" si="222"/>
        <v>4126.027</v>
      </c>
      <c r="E6918" s="608"/>
      <c r="F6918" s="760">
        <f t="shared" si="221"/>
        <v>1740.8608219591258</v>
      </c>
      <c r="M6918" s="443"/>
    </row>
    <row r="6919" spans="1:13">
      <c r="A6919" s="639">
        <v>101513</v>
      </c>
      <c r="B6919" s="639">
        <v>400</v>
      </c>
      <c r="C6919" s="638">
        <v>4235.9120000000003</v>
      </c>
      <c r="D6919" s="633">
        <f t="shared" si="222"/>
        <v>4235.9120000000003</v>
      </c>
      <c r="E6919" s="608"/>
      <c r="F6919" s="760">
        <f t="shared" si="221"/>
        <v>1787.2237011697998</v>
      </c>
      <c r="M6919" s="443"/>
    </row>
    <row r="6920" spans="1:13">
      <c r="A6920" s="639">
        <v>101513</v>
      </c>
      <c r="B6920" s="639">
        <v>500</v>
      </c>
      <c r="C6920" s="638">
        <v>4654.4960000000001</v>
      </c>
      <c r="D6920" s="633">
        <f t="shared" si="222"/>
        <v>4654.4960000000001</v>
      </c>
      <c r="E6920" s="608"/>
      <c r="F6920" s="760">
        <f t="shared" si="221"/>
        <v>1963.8334243487652</v>
      </c>
      <c r="M6920" s="443"/>
    </row>
    <row r="6921" spans="1:13">
      <c r="A6921" s="639">
        <v>101513</v>
      </c>
      <c r="B6921" s="639">
        <v>600</v>
      </c>
      <c r="C6921" s="638">
        <v>5571.02</v>
      </c>
      <c r="D6921" s="633">
        <f t="shared" si="222"/>
        <v>5571.02</v>
      </c>
      <c r="E6921" s="608"/>
      <c r="F6921" s="760">
        <f t="shared" si="221"/>
        <v>2350.5348986690415</v>
      </c>
      <c r="M6921" s="443"/>
    </row>
    <row r="6922" spans="1:13">
      <c r="A6922" s="639">
        <v>101513</v>
      </c>
      <c r="B6922" s="639">
        <v>700</v>
      </c>
      <c r="C6922" s="638">
        <v>6359.2089999999998</v>
      </c>
      <c r="D6922" s="633">
        <f t="shared" si="222"/>
        <v>6359.2089999999998</v>
      </c>
      <c r="E6922" s="608"/>
      <c r="F6922" s="760">
        <f t="shared" si="221"/>
        <v>2683.0890361962902</v>
      </c>
      <c r="M6922" s="443"/>
    </row>
    <row r="6923" spans="1:13">
      <c r="A6923" s="639">
        <v>101513</v>
      </c>
      <c r="B6923" s="639">
        <v>800</v>
      </c>
      <c r="C6923" s="638">
        <v>6354.0540000000001</v>
      </c>
      <c r="D6923" s="633">
        <f t="shared" si="222"/>
        <v>6354.0540000000001</v>
      </c>
      <c r="E6923" s="608"/>
      <c r="F6923" s="760">
        <f t="shared" si="221"/>
        <v>2680.9140292132529</v>
      </c>
      <c r="M6923" s="443"/>
    </row>
    <row r="6924" spans="1:13">
      <c r="A6924" s="639">
        <v>101513</v>
      </c>
      <c r="B6924" s="639">
        <v>900</v>
      </c>
      <c r="C6924" s="638">
        <v>6119.0950000000003</v>
      </c>
      <c r="D6924" s="633">
        <f t="shared" si="222"/>
        <v>6119.0950000000003</v>
      </c>
      <c r="E6924" s="608"/>
      <c r="F6924" s="760">
        <f t="shared" si="221"/>
        <v>2581.7797002651646</v>
      </c>
      <c r="M6924" s="443"/>
    </row>
    <row r="6925" spans="1:13">
      <c r="A6925" s="639">
        <v>101513</v>
      </c>
      <c r="B6925" s="639">
        <v>1000</v>
      </c>
      <c r="C6925" s="638">
        <v>5708.741</v>
      </c>
      <c r="D6925" s="633">
        <f t="shared" si="222"/>
        <v>5708.741</v>
      </c>
      <c r="E6925" s="608"/>
      <c r="F6925" s="760">
        <f t="shared" si="221"/>
        <v>2408.642393666295</v>
      </c>
      <c r="M6925" s="443"/>
    </row>
    <row r="6926" spans="1:13">
      <c r="A6926" s="639">
        <v>101513</v>
      </c>
      <c r="B6926" s="639">
        <v>1100</v>
      </c>
      <c r="C6926" s="638">
        <v>5545.1279999999997</v>
      </c>
      <c r="D6926" s="633">
        <f t="shared" si="222"/>
        <v>5545.1279999999997</v>
      </c>
      <c r="E6926" s="608"/>
      <c r="F6926" s="760">
        <f t="shared" si="221"/>
        <v>2339.610498900895</v>
      </c>
      <c r="M6926" s="443"/>
    </row>
    <row r="6927" spans="1:13">
      <c r="A6927" s="639">
        <v>101513</v>
      </c>
      <c r="B6927" s="639">
        <v>1200</v>
      </c>
      <c r="C6927" s="638">
        <v>5406.9520000000002</v>
      </c>
      <c r="D6927" s="633">
        <f t="shared" si="222"/>
        <v>5406.9520000000002</v>
      </c>
      <c r="E6927" s="608"/>
      <c r="F6927" s="760">
        <f t="shared" si="221"/>
        <v>2281.3110294754592</v>
      </c>
      <c r="M6927" s="443"/>
    </row>
    <row r="6928" spans="1:13">
      <c r="A6928" s="639">
        <v>101513</v>
      </c>
      <c r="B6928" s="639">
        <v>1300</v>
      </c>
      <c r="C6928" s="638">
        <v>5228.0780000000004</v>
      </c>
      <c r="D6928" s="633">
        <f t="shared" si="222"/>
        <v>5228.0780000000004</v>
      </c>
      <c r="E6928" s="608"/>
      <c r="F6928" s="760">
        <f t="shared" si="221"/>
        <v>2205.8401858122652</v>
      </c>
      <c r="M6928" s="443"/>
    </row>
    <row r="6929" spans="1:13">
      <c r="A6929" s="639">
        <v>101513</v>
      </c>
      <c r="B6929" s="639">
        <v>1400</v>
      </c>
      <c r="C6929" s="638">
        <v>5181.0280000000002</v>
      </c>
      <c r="D6929" s="633">
        <f t="shared" si="222"/>
        <v>5181.0280000000002</v>
      </c>
      <c r="E6929" s="608"/>
      <c r="F6929" s="760">
        <f t="shared" si="221"/>
        <v>2185.9887641727128</v>
      </c>
      <c r="M6929" s="443"/>
    </row>
    <row r="6930" spans="1:13">
      <c r="A6930" s="639">
        <v>101513</v>
      </c>
      <c r="B6930" s="639">
        <v>1500</v>
      </c>
      <c r="C6930" s="638">
        <v>5157.4750000000004</v>
      </c>
      <c r="D6930" s="633">
        <f t="shared" si="222"/>
        <v>5157.4750000000004</v>
      </c>
      <c r="E6930" s="608"/>
      <c r="F6930" s="760">
        <f t="shared" si="221"/>
        <v>2176.0512395419714</v>
      </c>
      <c r="M6930" s="443"/>
    </row>
    <row r="6931" spans="1:13">
      <c r="A6931" s="639">
        <v>101513</v>
      </c>
      <c r="B6931" s="639">
        <v>1600</v>
      </c>
      <c r="C6931" s="638">
        <v>5574.6409999999996</v>
      </c>
      <c r="D6931" s="633">
        <f t="shared" si="222"/>
        <v>5574.6409999999996</v>
      </c>
      <c r="E6931" s="608"/>
      <c r="F6931" s="760">
        <f t="shared" si="221"/>
        <v>2352.0626775799196</v>
      </c>
      <c r="M6931" s="443"/>
    </row>
    <row r="6932" spans="1:13">
      <c r="A6932" s="639">
        <v>101513</v>
      </c>
      <c r="B6932" s="639">
        <v>1700</v>
      </c>
      <c r="C6932" s="638">
        <v>6110.5050000000001</v>
      </c>
      <c r="D6932" s="633">
        <f t="shared" si="222"/>
        <v>6110.5050000000001</v>
      </c>
      <c r="E6932" s="608"/>
      <c r="F6932" s="760">
        <f t="shared" si="221"/>
        <v>2578.1553918298036</v>
      </c>
      <c r="M6932" s="443"/>
    </row>
    <row r="6933" spans="1:13">
      <c r="A6933" s="639">
        <v>101513</v>
      </c>
      <c r="B6933" s="639">
        <v>1800</v>
      </c>
      <c r="C6933" s="638">
        <v>6670.7389999999996</v>
      </c>
      <c r="D6933" s="633">
        <f t="shared" si="222"/>
        <v>6670.7389999999996</v>
      </c>
      <c r="E6933" s="608"/>
      <c r="F6933" s="760">
        <f t="shared" si="221"/>
        <v>2814.5303408375166</v>
      </c>
      <c r="M6933" s="443"/>
    </row>
    <row r="6934" spans="1:13">
      <c r="A6934" s="639">
        <v>101513</v>
      </c>
      <c r="B6934" s="639">
        <v>1900</v>
      </c>
      <c r="C6934" s="638">
        <v>7161.0630000000001</v>
      </c>
      <c r="D6934" s="633">
        <f t="shared" si="222"/>
        <v>7161.0630000000001</v>
      </c>
      <c r="E6934" s="608"/>
      <c r="F6934" s="760">
        <f t="shared" si="221"/>
        <v>3021.4087353963228</v>
      </c>
      <c r="M6934" s="443"/>
    </row>
    <row r="6935" spans="1:13">
      <c r="A6935" s="639">
        <v>101513</v>
      </c>
      <c r="B6935" s="639">
        <v>2000</v>
      </c>
      <c r="C6935" s="638">
        <v>6983.1819999999998</v>
      </c>
      <c r="D6935" s="633">
        <f t="shared" si="222"/>
        <v>6983.1819999999998</v>
      </c>
      <c r="E6935" s="608"/>
      <c r="F6935" s="760">
        <f t="shared" si="221"/>
        <v>2946.3568601005691</v>
      </c>
      <c r="M6935" s="443"/>
    </row>
    <row r="6936" spans="1:13">
      <c r="A6936" s="639">
        <v>101513</v>
      </c>
      <c r="B6936" s="639">
        <v>2100</v>
      </c>
      <c r="C6936" s="638">
        <v>6469.5919999999996</v>
      </c>
      <c r="D6936" s="633">
        <f t="shared" si="222"/>
        <v>6469.5919999999996</v>
      </c>
      <c r="E6936" s="608"/>
      <c r="F6936" s="760">
        <f t="shared" si="221"/>
        <v>2729.662032473414</v>
      </c>
      <c r="M6936" s="443"/>
    </row>
    <row r="6937" spans="1:13">
      <c r="A6937" s="639">
        <v>101513</v>
      </c>
      <c r="B6937" s="639">
        <v>2200</v>
      </c>
      <c r="C6937" s="638">
        <v>5682.5910000000003</v>
      </c>
      <c r="D6937" s="633">
        <f t="shared" si="222"/>
        <v>5682.5910000000003</v>
      </c>
      <c r="E6937" s="608"/>
      <c r="F6937" s="760">
        <f t="shared" si="221"/>
        <v>2397.6091380685421</v>
      </c>
      <c r="M6937" s="443"/>
    </row>
    <row r="6938" spans="1:13">
      <c r="A6938" s="639">
        <v>101513</v>
      </c>
      <c r="B6938" s="639">
        <v>2300</v>
      </c>
      <c r="C6938" s="638">
        <v>4827.6360000000004</v>
      </c>
      <c r="D6938" s="633">
        <f t="shared" si="222"/>
        <v>4827.6360000000004</v>
      </c>
      <c r="E6938" s="608"/>
      <c r="F6938" s="760">
        <f t="shared" si="221"/>
        <v>2036.8849682950372</v>
      </c>
      <c r="M6938" s="443"/>
    </row>
    <row r="6939" spans="1:13">
      <c r="A6939" s="639">
        <v>101513</v>
      </c>
      <c r="B6939" s="639">
        <v>2400</v>
      </c>
      <c r="C6939" s="638">
        <v>4275.7349999999997</v>
      </c>
      <c r="D6939" s="633">
        <f t="shared" si="222"/>
        <v>4275.7349999999997</v>
      </c>
      <c r="E6939" s="608"/>
      <c r="F6939" s="760">
        <f t="shared" si="221"/>
        <v>1804.0258938148982</v>
      </c>
      <c r="M6939" s="443"/>
    </row>
    <row r="6940" spans="1:13">
      <c r="A6940" s="639">
        <v>101613</v>
      </c>
      <c r="B6940" s="639">
        <v>100</v>
      </c>
      <c r="C6940" s="638">
        <v>4203.7489999999998</v>
      </c>
      <c r="D6940" s="633">
        <f t="shared" si="222"/>
        <v>4203.7489999999998</v>
      </c>
      <c r="E6940" s="608"/>
      <c r="F6940" s="760">
        <f t="shared" si="221"/>
        <v>1773.6534296672933</v>
      </c>
      <c r="M6940" s="443"/>
    </row>
    <row r="6941" spans="1:13">
      <c r="A6941" s="639">
        <v>101613</v>
      </c>
      <c r="B6941" s="639">
        <v>200</v>
      </c>
      <c r="C6941" s="638">
        <v>4083.6849999999999</v>
      </c>
      <c r="D6941" s="633">
        <f t="shared" si="222"/>
        <v>4083.6849999999999</v>
      </c>
      <c r="E6941" s="608"/>
      <c r="F6941" s="760">
        <f t="shared" si="221"/>
        <v>1722.9958082489893</v>
      </c>
      <c r="M6941" s="443"/>
    </row>
    <row r="6942" spans="1:13">
      <c r="A6942" s="639">
        <v>101613</v>
      </c>
      <c r="B6942" s="639">
        <v>300</v>
      </c>
      <c r="C6942" s="638">
        <v>4069.9319999999998</v>
      </c>
      <c r="D6942" s="633">
        <f t="shared" si="222"/>
        <v>4069.9319999999998</v>
      </c>
      <c r="E6942" s="608"/>
      <c r="F6942" s="760">
        <f t="shared" si="221"/>
        <v>1717.1931174560295</v>
      </c>
      <c r="M6942" s="443"/>
    </row>
    <row r="6943" spans="1:13">
      <c r="A6943" s="639">
        <v>101613</v>
      </c>
      <c r="B6943" s="639">
        <v>400</v>
      </c>
      <c r="C6943" s="638">
        <v>4116.2539999999999</v>
      </c>
      <c r="D6943" s="633">
        <f t="shared" si="222"/>
        <v>4116.2539999999999</v>
      </c>
      <c r="E6943" s="608"/>
      <c r="F6943" s="760">
        <f t="shared" si="221"/>
        <v>1736.7373800104895</v>
      </c>
      <c r="M6943" s="443"/>
    </row>
    <row r="6944" spans="1:13">
      <c r="A6944" s="639">
        <v>101613</v>
      </c>
      <c r="B6944" s="639">
        <v>500</v>
      </c>
      <c r="C6944" s="638">
        <v>4484.9350000000004</v>
      </c>
      <c r="D6944" s="633">
        <f t="shared" si="222"/>
        <v>4484.9350000000004</v>
      </c>
      <c r="E6944" s="608"/>
      <c r="F6944" s="760">
        <f t="shared" si="221"/>
        <v>1892.2919385969244</v>
      </c>
      <c r="M6944" s="443"/>
    </row>
    <row r="6945" spans="1:13">
      <c r="A6945" s="639">
        <v>101613</v>
      </c>
      <c r="B6945" s="639">
        <v>600</v>
      </c>
      <c r="C6945" s="638">
        <v>5357.1750000000002</v>
      </c>
      <c r="D6945" s="633">
        <f t="shared" si="222"/>
        <v>5357.1750000000002</v>
      </c>
      <c r="E6945" s="608"/>
      <c r="F6945" s="760">
        <f t="shared" si="221"/>
        <v>2260.3090270322709</v>
      </c>
      <c r="M6945" s="443"/>
    </row>
    <row r="6946" spans="1:13">
      <c r="A6946" s="639">
        <v>101613</v>
      </c>
      <c r="B6946" s="639">
        <v>700</v>
      </c>
      <c r="C6946" s="638">
        <v>6062.0950000000003</v>
      </c>
      <c r="D6946" s="633">
        <f t="shared" si="222"/>
        <v>6062.0950000000003</v>
      </c>
      <c r="E6946" s="608"/>
      <c r="F6946" s="760">
        <f t="shared" si="221"/>
        <v>2557.7301565148041</v>
      </c>
      <c r="M6946" s="443"/>
    </row>
    <row r="6947" spans="1:13">
      <c r="A6947" s="639">
        <v>101613</v>
      </c>
      <c r="B6947" s="639">
        <v>800</v>
      </c>
      <c r="C6947" s="638">
        <v>5896.2160000000003</v>
      </c>
      <c r="D6947" s="633">
        <f t="shared" si="222"/>
        <v>5896.2160000000003</v>
      </c>
      <c r="E6947" s="608"/>
      <c r="F6947" s="760">
        <f t="shared" si="221"/>
        <v>2487.7421869048721</v>
      </c>
      <c r="M6947" s="443"/>
    </row>
    <row r="6948" spans="1:13">
      <c r="A6948" s="639">
        <v>101613</v>
      </c>
      <c r="B6948" s="639">
        <v>900</v>
      </c>
      <c r="C6948" s="638">
        <v>5391.09</v>
      </c>
      <c r="D6948" s="633">
        <f t="shared" si="222"/>
        <v>5391.09</v>
      </c>
      <c r="E6948" s="608"/>
      <c r="F6948" s="760">
        <f t="shared" si="221"/>
        <v>2274.6185055637357</v>
      </c>
      <c r="M6948" s="443"/>
    </row>
    <row r="6949" spans="1:13">
      <c r="A6949" s="639">
        <v>101613</v>
      </c>
      <c r="B6949" s="639">
        <v>1000</v>
      </c>
      <c r="C6949" s="638">
        <v>5312.6679999999997</v>
      </c>
      <c r="D6949" s="633">
        <f t="shared" si="222"/>
        <v>5312.6679999999997</v>
      </c>
      <c r="E6949" s="608"/>
      <c r="F6949" s="760">
        <f t="shared" si="221"/>
        <v>2241.530552581441</v>
      </c>
      <c r="M6949" s="443"/>
    </row>
    <row r="6950" spans="1:13">
      <c r="A6950" s="639">
        <v>101613</v>
      </c>
      <c r="B6950" s="639">
        <v>1100</v>
      </c>
      <c r="C6950" s="638">
        <v>5206.384</v>
      </c>
      <c r="D6950" s="633">
        <f t="shared" si="222"/>
        <v>5206.384</v>
      </c>
      <c r="E6950" s="608"/>
      <c r="F6950" s="760">
        <f t="shared" si="221"/>
        <v>2196.6870138452418</v>
      </c>
      <c r="M6950" s="443"/>
    </row>
    <row r="6951" spans="1:13">
      <c r="A6951" s="639">
        <v>101613</v>
      </c>
      <c r="B6951" s="639">
        <v>1200</v>
      </c>
      <c r="C6951" s="638">
        <v>5134.0460000000003</v>
      </c>
      <c r="D6951" s="633">
        <f t="shared" si="222"/>
        <v>5134.0460000000003</v>
      </c>
      <c r="E6951" s="608"/>
      <c r="F6951" s="760">
        <f t="shared" si="221"/>
        <v>2166.1660332169331</v>
      </c>
      <c r="M6951" s="443"/>
    </row>
    <row r="6952" spans="1:13">
      <c r="A6952" s="639">
        <v>101613</v>
      </c>
      <c r="B6952" s="639">
        <v>1300</v>
      </c>
      <c r="C6952" s="638">
        <v>2908.4160000000002</v>
      </c>
      <c r="D6952" s="633">
        <f t="shared" si="222"/>
        <v>2908.4160000000002</v>
      </c>
      <c r="E6952" s="608"/>
      <c r="F6952" s="760">
        <f t="shared" si="221"/>
        <v>1227.1241725657815</v>
      </c>
      <c r="M6952" s="443"/>
    </row>
    <row r="6953" spans="1:13">
      <c r="A6953" s="639">
        <v>101613</v>
      </c>
      <c r="B6953" s="639">
        <v>1400</v>
      </c>
      <c r="C6953" s="638">
        <v>2079.1930000000002</v>
      </c>
      <c r="D6953" s="633">
        <f t="shared" si="222"/>
        <v>2079.1930000000002</v>
      </c>
      <c r="E6953" s="608"/>
      <c r="F6953" s="760">
        <f t="shared" si="221"/>
        <v>877.25689506919389</v>
      </c>
      <c r="M6953" s="443"/>
    </row>
    <row r="6954" spans="1:13">
      <c r="A6954" s="639">
        <v>101613</v>
      </c>
      <c r="B6954" s="639">
        <v>1500</v>
      </c>
      <c r="C6954" s="638">
        <v>2084.0129999999999</v>
      </c>
      <c r="D6954" s="633">
        <f t="shared" si="222"/>
        <v>2084.0129999999999</v>
      </c>
      <c r="E6954" s="608"/>
      <c r="F6954" s="760">
        <f t="shared" si="221"/>
        <v>879.29055824246984</v>
      </c>
      <c r="M6954" s="443"/>
    </row>
    <row r="6955" spans="1:13">
      <c r="A6955" s="639">
        <v>101613</v>
      </c>
      <c r="B6955" s="639">
        <v>1600</v>
      </c>
      <c r="C6955" s="638">
        <v>2178.8420000000001</v>
      </c>
      <c r="D6955" s="633">
        <f t="shared" si="222"/>
        <v>2178.8420000000001</v>
      </c>
      <c r="E6955" s="608"/>
      <c r="F6955" s="760">
        <f t="shared" si="221"/>
        <v>919.30098252848711</v>
      </c>
      <c r="M6955" s="443"/>
    </row>
    <row r="6956" spans="1:13">
      <c r="A6956" s="639">
        <v>101613</v>
      </c>
      <c r="B6956" s="639">
        <v>1700</v>
      </c>
      <c r="C6956" s="638">
        <v>2350.7330000000002</v>
      </c>
      <c r="D6956" s="633">
        <f t="shared" si="222"/>
        <v>2350.7330000000002</v>
      </c>
      <c r="E6956" s="608"/>
      <c r="F6956" s="760">
        <f t="shared" si="221"/>
        <v>991.82554612135164</v>
      </c>
      <c r="M6956" s="443"/>
    </row>
    <row r="6957" spans="1:13">
      <c r="A6957" s="639">
        <v>101613</v>
      </c>
      <c r="B6957" s="639">
        <v>1800</v>
      </c>
      <c r="C6957" s="638">
        <v>2544.9160000000002</v>
      </c>
      <c r="D6957" s="633">
        <f t="shared" si="222"/>
        <v>2544.9160000000002</v>
      </c>
      <c r="E6957" s="608"/>
      <c r="F6957" s="760">
        <f t="shared" si="221"/>
        <v>1073.7555909297082</v>
      </c>
      <c r="M6957" s="443"/>
    </row>
    <row r="6958" spans="1:13">
      <c r="A6958" s="639">
        <v>101613</v>
      </c>
      <c r="B6958" s="639">
        <v>1900</v>
      </c>
      <c r="C6958" s="638">
        <v>2826.3359999999998</v>
      </c>
      <c r="D6958" s="633">
        <f t="shared" si="222"/>
        <v>2826.3359999999998</v>
      </c>
      <c r="E6958" s="608"/>
      <c r="F6958" s="760">
        <f t="shared" si="221"/>
        <v>1192.4928295652614</v>
      </c>
      <c r="M6958" s="443"/>
    </row>
    <row r="6959" spans="1:13">
      <c r="A6959" s="639">
        <v>101613</v>
      </c>
      <c r="B6959" s="639">
        <v>2000</v>
      </c>
      <c r="C6959" s="638">
        <v>2797.7820000000002</v>
      </c>
      <c r="D6959" s="633">
        <f t="shared" si="222"/>
        <v>2797.7820000000002</v>
      </c>
      <c r="E6959" s="608"/>
      <c r="F6959" s="760">
        <f t="shared" si="221"/>
        <v>1180.4452739117914</v>
      </c>
      <c r="M6959" s="443"/>
    </row>
    <row r="6960" spans="1:13">
      <c r="A6960" s="639">
        <v>101613</v>
      </c>
      <c r="B6960" s="639">
        <v>2100</v>
      </c>
      <c r="C6960" s="638">
        <v>2615.125</v>
      </c>
      <c r="D6960" s="633">
        <f t="shared" si="222"/>
        <v>2615.125</v>
      </c>
      <c r="E6960" s="608"/>
      <c r="F6960" s="760">
        <f t="shared" si="221"/>
        <v>1103.37830000285</v>
      </c>
      <c r="M6960" s="443"/>
    </row>
    <row r="6961" spans="1:13">
      <c r="A6961" s="639">
        <v>101613</v>
      </c>
      <c r="B6961" s="639">
        <v>2200</v>
      </c>
      <c r="C6961" s="638">
        <v>2404.9319999999998</v>
      </c>
      <c r="D6961" s="633">
        <f t="shared" si="222"/>
        <v>2404.9319999999998</v>
      </c>
      <c r="E6961" s="608"/>
      <c r="F6961" s="760">
        <f t="shared" si="221"/>
        <v>1014.6932868533831</v>
      </c>
      <c r="M6961" s="443"/>
    </row>
    <row r="6962" spans="1:13">
      <c r="A6962" s="639">
        <v>101613</v>
      </c>
      <c r="B6962" s="639">
        <v>2300</v>
      </c>
      <c r="C6962" s="638">
        <v>2072.1390000000001</v>
      </c>
      <c r="D6962" s="633">
        <f t="shared" si="222"/>
        <v>2072.1390000000001</v>
      </c>
      <c r="E6962" s="608"/>
      <c r="F6962" s="760">
        <f t="shared" si="221"/>
        <v>874.28065854963165</v>
      </c>
      <c r="M6962" s="443"/>
    </row>
    <row r="6963" spans="1:13">
      <c r="A6963" s="639">
        <v>101613</v>
      </c>
      <c r="B6963" s="639">
        <v>2400</v>
      </c>
      <c r="C6963" s="638">
        <v>1827.64</v>
      </c>
      <c r="D6963" s="633">
        <f t="shared" si="222"/>
        <v>1827.64</v>
      </c>
      <c r="E6963" s="608"/>
      <c r="F6963" s="760">
        <f t="shared" si="221"/>
        <v>771.12119543700919</v>
      </c>
      <c r="M6963" s="443"/>
    </row>
    <row r="6964" spans="1:13">
      <c r="A6964" s="639">
        <v>101713</v>
      </c>
      <c r="B6964" s="639">
        <v>100</v>
      </c>
      <c r="C6964" s="638">
        <v>1722.145</v>
      </c>
      <c r="D6964" s="633">
        <f t="shared" si="222"/>
        <v>1722.145</v>
      </c>
      <c r="E6964" s="608"/>
      <c r="F6964" s="760">
        <f t="shared" ref="F6964:F7027" si="223">(D6964/(MAX($D$6580:$D$7323)))*$M$13</f>
        <v>726.61055301693341</v>
      </c>
      <c r="M6964" s="443"/>
    </row>
    <row r="6965" spans="1:13">
      <c r="A6965" s="639">
        <v>101713</v>
      </c>
      <c r="B6965" s="639">
        <v>200</v>
      </c>
      <c r="C6965" s="638">
        <v>1683.96</v>
      </c>
      <c r="D6965" s="633">
        <f t="shared" si="222"/>
        <v>1683.96</v>
      </c>
      <c r="E6965" s="608"/>
      <c r="F6965" s="760">
        <f t="shared" si="223"/>
        <v>710.4994683132926</v>
      </c>
      <c r="M6965" s="443"/>
    </row>
    <row r="6966" spans="1:13">
      <c r="A6966" s="639">
        <v>101713</v>
      </c>
      <c r="B6966" s="639">
        <v>300</v>
      </c>
      <c r="C6966" s="638">
        <v>1659.559</v>
      </c>
      <c r="D6966" s="633">
        <f t="shared" si="222"/>
        <v>1659.559</v>
      </c>
      <c r="E6966" s="608"/>
      <c r="F6966" s="760">
        <f t="shared" si="223"/>
        <v>700.20415397903719</v>
      </c>
      <c r="M6966" s="443"/>
    </row>
    <row r="6967" spans="1:13">
      <c r="A6967" s="639">
        <v>101713</v>
      </c>
      <c r="B6967" s="639">
        <v>400</v>
      </c>
      <c r="C6967" s="638">
        <v>1671.019</v>
      </c>
      <c r="D6967" s="633">
        <f t="shared" si="222"/>
        <v>1671.019</v>
      </c>
      <c r="E6967" s="608"/>
      <c r="F6967" s="760">
        <f t="shared" si="223"/>
        <v>705.03937803832025</v>
      </c>
      <c r="M6967" s="443"/>
    </row>
    <row r="6968" spans="1:13">
      <c r="A6968" s="639">
        <v>101713</v>
      </c>
      <c r="B6968" s="639">
        <v>500</v>
      </c>
      <c r="C6968" s="638">
        <v>1810.3440000000001</v>
      </c>
      <c r="D6968" s="633">
        <f t="shared" si="222"/>
        <v>1810.3440000000001</v>
      </c>
      <c r="E6968" s="608"/>
      <c r="F6968" s="760">
        <f t="shared" si="223"/>
        <v>763.82363563514525</v>
      </c>
      <c r="M6968" s="443"/>
    </row>
    <row r="6969" spans="1:13">
      <c r="A6969" s="639">
        <v>101713</v>
      </c>
      <c r="B6969" s="639">
        <v>600</v>
      </c>
      <c r="C6969" s="638">
        <v>2203.3710000000001</v>
      </c>
      <c r="D6969" s="633">
        <f t="shared" si="222"/>
        <v>2203.3710000000001</v>
      </c>
      <c r="E6969" s="608"/>
      <c r="F6969" s="760">
        <f t="shared" si="223"/>
        <v>929.65030285572573</v>
      </c>
      <c r="M6969" s="443"/>
    </row>
    <row r="6970" spans="1:13">
      <c r="A6970" s="639">
        <v>101713</v>
      </c>
      <c r="B6970" s="639">
        <v>700</v>
      </c>
      <c r="C6970" s="638">
        <v>2567.3580000000002</v>
      </c>
      <c r="D6970" s="633">
        <f t="shared" si="222"/>
        <v>2567.3580000000002</v>
      </c>
      <c r="E6970" s="608"/>
      <c r="F6970" s="760">
        <f t="shared" si="223"/>
        <v>1083.2243604182274</v>
      </c>
      <c r="M6970" s="443"/>
    </row>
    <row r="6971" spans="1:13">
      <c r="A6971" s="639">
        <v>101713</v>
      </c>
      <c r="B6971" s="639">
        <v>800</v>
      </c>
      <c r="C6971" s="638">
        <v>2512.92</v>
      </c>
      <c r="D6971" s="633">
        <f t="shared" si="222"/>
        <v>2512.92</v>
      </c>
      <c r="E6971" s="608"/>
      <c r="F6971" s="760">
        <f t="shared" si="223"/>
        <v>1060.2557803711722</v>
      </c>
      <c r="M6971" s="443"/>
    </row>
    <row r="6972" spans="1:13">
      <c r="A6972" s="639">
        <v>101713</v>
      </c>
      <c r="B6972" s="639">
        <v>900</v>
      </c>
      <c r="C6972" s="638">
        <v>2365.7530000000002</v>
      </c>
      <c r="D6972" s="633">
        <f t="shared" si="222"/>
        <v>2365.7530000000002</v>
      </c>
      <c r="E6972" s="608"/>
      <c r="F6972" s="760">
        <f t="shared" si="223"/>
        <v>998.16281186048172</v>
      </c>
      <c r="M6972" s="443"/>
    </row>
    <row r="6973" spans="1:13">
      <c r="A6973" s="639">
        <v>101713</v>
      </c>
      <c r="B6973" s="639">
        <v>1000</v>
      </c>
      <c r="C6973" s="638">
        <v>2259.2310000000002</v>
      </c>
      <c r="D6973" s="633">
        <f t="shared" si="222"/>
        <v>2259.2310000000002</v>
      </c>
      <c r="E6973" s="608"/>
      <c r="F6973" s="760">
        <f t="shared" si="223"/>
        <v>953.21885573107932</v>
      </c>
      <c r="M6973" s="443"/>
    </row>
    <row r="6974" spans="1:13">
      <c r="A6974" s="639">
        <v>101713</v>
      </c>
      <c r="B6974" s="639">
        <v>1100</v>
      </c>
      <c r="C6974" s="638">
        <v>2161.0160000000001</v>
      </c>
      <c r="D6974" s="633">
        <f t="shared" si="222"/>
        <v>2161.0160000000001</v>
      </c>
      <c r="E6974" s="608"/>
      <c r="F6974" s="760">
        <f t="shared" si="223"/>
        <v>911.77980416192679</v>
      </c>
      <c r="M6974" s="443"/>
    </row>
    <row r="6975" spans="1:13">
      <c r="A6975" s="639">
        <v>101713</v>
      </c>
      <c r="B6975" s="639">
        <v>1200</v>
      </c>
      <c r="C6975" s="638">
        <v>2058.9789999999998</v>
      </c>
      <c r="D6975" s="633">
        <f t="shared" si="222"/>
        <v>2058.9789999999998</v>
      </c>
      <c r="E6975" s="608"/>
      <c r="F6975" s="760">
        <f t="shared" si="223"/>
        <v>868.72816739603945</v>
      </c>
      <c r="M6975" s="443"/>
    </row>
    <row r="6976" spans="1:13">
      <c r="A6976" s="639">
        <v>101713</v>
      </c>
      <c r="B6976" s="639">
        <v>1300</v>
      </c>
      <c r="C6976" s="638">
        <v>2053.346</v>
      </c>
      <c r="D6976" s="633">
        <f t="shared" si="222"/>
        <v>2053.346</v>
      </c>
      <c r="E6976" s="608"/>
      <c r="F6976" s="760">
        <f t="shared" si="223"/>
        <v>866.3514817829556</v>
      </c>
      <c r="M6976" s="443"/>
    </row>
    <row r="6977" spans="1:13">
      <c r="A6977" s="639">
        <v>101713</v>
      </c>
      <c r="B6977" s="639">
        <v>1400</v>
      </c>
      <c r="C6977" s="638">
        <v>2035.15</v>
      </c>
      <c r="D6977" s="633">
        <f t="shared" si="222"/>
        <v>2035.15</v>
      </c>
      <c r="E6977" s="608"/>
      <c r="F6977" s="760">
        <f t="shared" si="223"/>
        <v>858.67419234292811</v>
      </c>
      <c r="M6977" s="443"/>
    </row>
    <row r="6978" spans="1:13">
      <c r="A6978" s="639">
        <v>101713</v>
      </c>
      <c r="B6978" s="639">
        <v>1500</v>
      </c>
      <c r="C6978" s="638">
        <v>2032.848</v>
      </c>
      <c r="D6978" s="633">
        <f t="shared" si="222"/>
        <v>2032.848</v>
      </c>
      <c r="E6978" s="608"/>
      <c r="F6978" s="760">
        <f t="shared" si="223"/>
        <v>857.70292831286974</v>
      </c>
      <c r="M6978" s="443"/>
    </row>
    <row r="6979" spans="1:13">
      <c r="A6979" s="639">
        <v>101713</v>
      </c>
      <c r="B6979" s="639">
        <v>1600</v>
      </c>
      <c r="C6979" s="638">
        <v>2245.0070000000001</v>
      </c>
      <c r="D6979" s="633">
        <f t="shared" si="222"/>
        <v>2245.0070000000001</v>
      </c>
      <c r="E6979" s="608"/>
      <c r="F6979" s="760">
        <f t="shared" si="223"/>
        <v>947.21743976081382</v>
      </c>
      <c r="M6979" s="443"/>
    </row>
    <row r="6980" spans="1:13">
      <c r="A6980" s="639">
        <v>101713</v>
      </c>
      <c r="B6980" s="639">
        <v>1700</v>
      </c>
      <c r="C6980" s="638">
        <v>2655.8409999999999</v>
      </c>
      <c r="D6980" s="633">
        <f t="shared" si="222"/>
        <v>2655.8409999999999</v>
      </c>
      <c r="E6980" s="608"/>
      <c r="F6980" s="760">
        <f t="shared" si="223"/>
        <v>1120.5572688333707</v>
      </c>
      <c r="M6980" s="443"/>
    </row>
    <row r="6981" spans="1:13">
      <c r="A6981" s="639">
        <v>101713</v>
      </c>
      <c r="B6981" s="639">
        <v>1800</v>
      </c>
      <c r="C6981" s="638">
        <v>2848.5239999999999</v>
      </c>
      <c r="D6981" s="633">
        <f t="shared" ref="D6981:D7044" si="224">C6981</f>
        <v>2848.5239999999999</v>
      </c>
      <c r="E6981" s="608"/>
      <c r="F6981" s="760">
        <f t="shared" si="223"/>
        <v>1201.8544309114548</v>
      </c>
      <c r="M6981" s="443"/>
    </row>
    <row r="6982" spans="1:13">
      <c r="A6982" s="639">
        <v>101713</v>
      </c>
      <c r="B6982" s="639">
        <v>1900</v>
      </c>
      <c r="C6982" s="638">
        <v>2993.634</v>
      </c>
      <c r="D6982" s="633">
        <f t="shared" si="224"/>
        <v>2993.634</v>
      </c>
      <c r="E6982" s="608"/>
      <c r="F6982" s="760">
        <f t="shared" si="223"/>
        <v>1263.0795062380314</v>
      </c>
      <c r="M6982" s="443"/>
    </row>
    <row r="6983" spans="1:13">
      <c r="A6983" s="639">
        <v>101713</v>
      </c>
      <c r="B6983" s="639">
        <v>2000</v>
      </c>
      <c r="C6983" s="638">
        <v>2958.8359999999998</v>
      </c>
      <c r="D6983" s="633">
        <f t="shared" si="224"/>
        <v>2958.8359999999998</v>
      </c>
      <c r="E6983" s="608"/>
      <c r="F6983" s="760">
        <f t="shared" si="223"/>
        <v>1248.3974707393459</v>
      </c>
      <c r="M6983" s="443"/>
    </row>
    <row r="6984" spans="1:13">
      <c r="A6984" s="639">
        <v>101713</v>
      </c>
      <c r="B6984" s="639">
        <v>2100</v>
      </c>
      <c r="C6984" s="638">
        <v>2766.5390000000002</v>
      </c>
      <c r="D6984" s="633">
        <f t="shared" si="224"/>
        <v>2766.5390000000002</v>
      </c>
      <c r="E6984" s="608"/>
      <c r="F6984" s="760">
        <f t="shared" si="223"/>
        <v>1167.2631704838525</v>
      </c>
      <c r="M6984" s="443"/>
    </row>
    <row r="6985" spans="1:13">
      <c r="A6985" s="639">
        <v>101713</v>
      </c>
      <c r="B6985" s="639">
        <v>2200</v>
      </c>
      <c r="C6985" s="638">
        <v>2460.364</v>
      </c>
      <c r="D6985" s="633">
        <f t="shared" si="224"/>
        <v>2460.364</v>
      </c>
      <c r="E6985" s="608"/>
      <c r="F6985" s="760">
        <f t="shared" si="223"/>
        <v>1038.0812571896993</v>
      </c>
      <c r="M6985" s="443"/>
    </row>
    <row r="6986" spans="1:13">
      <c r="A6986" s="639">
        <v>101713</v>
      </c>
      <c r="B6986" s="639">
        <v>2300</v>
      </c>
      <c r="C6986" s="638">
        <v>2083.54</v>
      </c>
      <c r="D6986" s="633">
        <f t="shared" si="224"/>
        <v>2083.54</v>
      </c>
      <c r="E6986" s="608"/>
      <c r="F6986" s="760">
        <f t="shared" si="223"/>
        <v>879.09098922152396</v>
      </c>
      <c r="M6986" s="443"/>
    </row>
    <row r="6987" spans="1:13">
      <c r="A6987" s="639">
        <v>101713</v>
      </c>
      <c r="B6987" s="639">
        <v>2400</v>
      </c>
      <c r="C6987" s="638">
        <v>1857.2280000000001</v>
      </c>
      <c r="D6987" s="633">
        <f t="shared" si="224"/>
        <v>1857.2280000000001</v>
      </c>
      <c r="E6987" s="608"/>
      <c r="F6987" s="760">
        <f t="shared" si="223"/>
        <v>783.60501825254744</v>
      </c>
      <c r="M6987" s="443"/>
    </row>
    <row r="6988" spans="1:13">
      <c r="A6988" s="639">
        <v>101813</v>
      </c>
      <c r="B6988" s="639">
        <v>100</v>
      </c>
      <c r="C6988" s="638">
        <v>1733.4949999999999</v>
      </c>
      <c r="D6988" s="633">
        <f t="shared" si="224"/>
        <v>1733.4949999999999</v>
      </c>
      <c r="E6988" s="608"/>
      <c r="F6988" s="760">
        <f t="shared" si="223"/>
        <v>731.39936567599648</v>
      </c>
      <c r="M6988" s="443"/>
    </row>
    <row r="6989" spans="1:13">
      <c r="A6989" s="639">
        <v>101813</v>
      </c>
      <c r="B6989" s="639">
        <v>200</v>
      </c>
      <c r="C6989" s="638">
        <v>1721.3910000000001</v>
      </c>
      <c r="D6989" s="633">
        <f t="shared" si="224"/>
        <v>1721.3910000000001</v>
      </c>
      <c r="E6989" s="608"/>
      <c r="F6989" s="760">
        <f t="shared" si="223"/>
        <v>726.29242396451639</v>
      </c>
      <c r="M6989" s="443"/>
    </row>
    <row r="6990" spans="1:13">
      <c r="A6990" s="639">
        <v>101813</v>
      </c>
      <c r="B6990" s="639">
        <v>300</v>
      </c>
      <c r="C6990" s="638">
        <v>1674.693</v>
      </c>
      <c r="D6990" s="633">
        <f t="shared" si="224"/>
        <v>1674.693</v>
      </c>
      <c r="E6990" s="608"/>
      <c r="F6990" s="760">
        <f t="shared" si="223"/>
        <v>706.58951880566815</v>
      </c>
      <c r="M6990" s="443"/>
    </row>
    <row r="6991" spans="1:13">
      <c r="A6991" s="639">
        <v>101813</v>
      </c>
      <c r="B6991" s="639">
        <v>400</v>
      </c>
      <c r="C6991" s="638">
        <v>1705.1659999999999</v>
      </c>
      <c r="D6991" s="633">
        <f t="shared" si="224"/>
        <v>1705.1659999999999</v>
      </c>
      <c r="E6991" s="608"/>
      <c r="F6991" s="760">
        <f t="shared" si="223"/>
        <v>719.44674243206714</v>
      </c>
      <c r="M6991" s="443"/>
    </row>
    <row r="6992" spans="1:13">
      <c r="A6992" s="639">
        <v>101813</v>
      </c>
      <c r="B6992" s="639">
        <v>500</v>
      </c>
      <c r="C6992" s="638">
        <v>1914.5060000000001</v>
      </c>
      <c r="D6992" s="633">
        <f t="shared" si="224"/>
        <v>1914.5060000000001</v>
      </c>
      <c r="E6992" s="608"/>
      <c r="F6992" s="760">
        <f t="shared" si="223"/>
        <v>807.7718562689189</v>
      </c>
      <c r="M6992" s="443"/>
    </row>
    <row r="6993" spans="1:13">
      <c r="A6993" s="639">
        <v>101813</v>
      </c>
      <c r="B6993" s="639">
        <v>600</v>
      </c>
      <c r="C6993" s="638">
        <v>2247.27</v>
      </c>
      <c r="D6993" s="633">
        <f t="shared" si="224"/>
        <v>2247.27</v>
      </c>
      <c r="E6993" s="608"/>
      <c r="F6993" s="760">
        <f t="shared" si="223"/>
        <v>948.17224883988501</v>
      </c>
      <c r="M6993" s="443"/>
    </row>
    <row r="6994" spans="1:13">
      <c r="A6994" s="639">
        <v>101813</v>
      </c>
      <c r="B6994" s="639">
        <v>700</v>
      </c>
      <c r="C6994" s="638">
        <v>2529.2600000000002</v>
      </c>
      <c r="D6994" s="633">
        <f t="shared" si="224"/>
        <v>2529.2600000000002</v>
      </c>
      <c r="E6994" s="608"/>
      <c r="F6994" s="760">
        <f t="shared" si="223"/>
        <v>1067.1499829129423</v>
      </c>
      <c r="M6994" s="443"/>
    </row>
    <row r="6995" spans="1:13">
      <c r="A6995" s="639">
        <v>101813</v>
      </c>
      <c r="B6995" s="639">
        <v>800</v>
      </c>
      <c r="C6995" s="638">
        <v>2471.7170000000001</v>
      </c>
      <c r="D6995" s="633">
        <f t="shared" si="224"/>
        <v>2471.7170000000001</v>
      </c>
      <c r="E6995" s="608"/>
      <c r="F6995" s="760">
        <f t="shared" si="223"/>
        <v>1042.8713356142227</v>
      </c>
      <c r="M6995" s="443"/>
    </row>
    <row r="6996" spans="1:13">
      <c r="A6996" s="639">
        <v>101813</v>
      </c>
      <c r="B6996" s="639">
        <v>900</v>
      </c>
      <c r="C6996" s="638">
        <v>2323.107</v>
      </c>
      <c r="D6996" s="633">
        <f t="shared" si="224"/>
        <v>2323.107</v>
      </c>
      <c r="E6996" s="608"/>
      <c r="F6996" s="760">
        <f t="shared" si="223"/>
        <v>980.16953391700997</v>
      </c>
      <c r="M6996" s="443"/>
    </row>
    <row r="6997" spans="1:13">
      <c r="A6997" s="639">
        <v>101813</v>
      </c>
      <c r="B6997" s="639">
        <v>1000</v>
      </c>
      <c r="C6997" s="638">
        <v>564.35400000000004</v>
      </c>
      <c r="D6997" s="633">
        <f t="shared" si="224"/>
        <v>564.35400000000004</v>
      </c>
      <c r="E6997" s="608"/>
      <c r="F6997" s="760">
        <f t="shared" si="223"/>
        <v>238.11326690686235</v>
      </c>
      <c r="M6997" s="443"/>
    </row>
    <row r="6998" spans="1:13">
      <c r="A6998" s="639">
        <v>101813</v>
      </c>
      <c r="B6998" s="639">
        <v>1100</v>
      </c>
      <c r="C6998" s="638">
        <v>2E-3</v>
      </c>
      <c r="D6998" s="633">
        <f t="shared" si="224"/>
        <v>2E-3</v>
      </c>
      <c r="E6998" s="608"/>
      <c r="F6998" s="760">
        <f t="shared" si="223"/>
        <v>8.4384364036353893E-4</v>
      </c>
      <c r="M6998" s="443"/>
    </row>
    <row r="6999" spans="1:13">
      <c r="A6999" s="639">
        <v>101813</v>
      </c>
      <c r="B6999" s="639">
        <v>1200</v>
      </c>
      <c r="C6999" s="638">
        <v>3.0000000000000001E-3</v>
      </c>
      <c r="D6999" s="633">
        <f t="shared" si="224"/>
        <v>3.0000000000000001E-3</v>
      </c>
      <c r="E6999" s="608"/>
      <c r="F6999" s="760">
        <f t="shared" si="223"/>
        <v>1.2657654605453086E-3</v>
      </c>
      <c r="M6999" s="443"/>
    </row>
    <row r="7000" spans="1:13">
      <c r="A7000" s="639">
        <v>101813</v>
      </c>
      <c r="B7000" s="639">
        <v>1300</v>
      </c>
      <c r="C7000" s="638">
        <v>4.0000000000000001E-3</v>
      </c>
      <c r="D7000" s="633">
        <f t="shared" si="224"/>
        <v>4.0000000000000001E-3</v>
      </c>
      <c r="E7000" s="608"/>
      <c r="F7000" s="760">
        <f t="shared" si="223"/>
        <v>1.6876872807270779E-3</v>
      </c>
      <c r="M7000" s="443"/>
    </row>
    <row r="7001" spans="1:13">
      <c r="A7001" s="639">
        <v>101813</v>
      </c>
      <c r="B7001" s="639">
        <v>1400</v>
      </c>
      <c r="C7001" s="638">
        <v>6.0000000000000001E-3</v>
      </c>
      <c r="D7001" s="633">
        <f t="shared" si="224"/>
        <v>6.0000000000000001E-3</v>
      </c>
      <c r="E7001" s="608"/>
      <c r="F7001" s="760">
        <f t="shared" si="223"/>
        <v>2.5315309210906171E-3</v>
      </c>
      <c r="M7001" s="443"/>
    </row>
    <row r="7002" spans="1:13">
      <c r="A7002" s="639">
        <v>101813</v>
      </c>
      <c r="B7002" s="639">
        <v>1500</v>
      </c>
      <c r="C7002" s="638">
        <v>8.0000000000000002E-3</v>
      </c>
      <c r="D7002" s="633">
        <f t="shared" si="224"/>
        <v>8.0000000000000002E-3</v>
      </c>
      <c r="E7002" s="608"/>
      <c r="F7002" s="760">
        <f t="shared" si="223"/>
        <v>3.3753745614541557E-3</v>
      </c>
      <c r="M7002" s="443"/>
    </row>
    <row r="7003" spans="1:13">
      <c r="A7003" s="639">
        <v>101813</v>
      </c>
      <c r="B7003" s="639">
        <v>1600</v>
      </c>
      <c r="C7003" s="638">
        <v>7.0000000000000001E-3</v>
      </c>
      <c r="D7003" s="633">
        <f t="shared" si="224"/>
        <v>7.0000000000000001E-3</v>
      </c>
      <c r="E7003" s="608"/>
      <c r="F7003" s="760">
        <f t="shared" si="223"/>
        <v>2.9534527412723869E-3</v>
      </c>
      <c r="M7003" s="443"/>
    </row>
    <row r="7004" spans="1:13">
      <c r="A7004" s="639">
        <v>101813</v>
      </c>
      <c r="B7004" s="639">
        <v>1700</v>
      </c>
      <c r="C7004" s="638">
        <v>8.0000000000000002E-3</v>
      </c>
      <c r="D7004" s="633">
        <f t="shared" si="224"/>
        <v>8.0000000000000002E-3</v>
      </c>
      <c r="E7004" s="608"/>
      <c r="F7004" s="760">
        <f t="shared" si="223"/>
        <v>3.3753745614541557E-3</v>
      </c>
      <c r="M7004" s="443"/>
    </row>
    <row r="7005" spans="1:13">
      <c r="A7005" s="639">
        <v>101813</v>
      </c>
      <c r="B7005" s="639">
        <v>1800</v>
      </c>
      <c r="C7005" s="638">
        <v>7.0000000000000001E-3</v>
      </c>
      <c r="D7005" s="633">
        <f t="shared" si="224"/>
        <v>7.0000000000000001E-3</v>
      </c>
      <c r="E7005" s="608"/>
      <c r="F7005" s="760">
        <f t="shared" si="223"/>
        <v>2.9534527412723869E-3</v>
      </c>
      <c r="M7005" s="443"/>
    </row>
    <row r="7006" spans="1:13">
      <c r="A7006" s="639">
        <v>101813</v>
      </c>
      <c r="B7006" s="639">
        <v>1900</v>
      </c>
      <c r="C7006" s="638">
        <v>8.9999999999999993E-3</v>
      </c>
      <c r="D7006" s="633">
        <f t="shared" si="224"/>
        <v>8.9999999999999993E-3</v>
      </c>
      <c r="E7006" s="608"/>
      <c r="F7006" s="760">
        <f t="shared" si="223"/>
        <v>3.797296381635925E-3</v>
      </c>
      <c r="M7006" s="443"/>
    </row>
    <row r="7007" spans="1:13">
      <c r="A7007" s="639">
        <v>101813</v>
      </c>
      <c r="B7007" s="639">
        <v>2000</v>
      </c>
      <c r="C7007" s="638">
        <v>1.2E-2</v>
      </c>
      <c r="D7007" s="633">
        <f t="shared" si="224"/>
        <v>1.2E-2</v>
      </c>
      <c r="E7007" s="608"/>
      <c r="F7007" s="760">
        <f t="shared" si="223"/>
        <v>5.0630618421812342E-3</v>
      </c>
      <c r="M7007" s="443"/>
    </row>
    <row r="7008" spans="1:13">
      <c r="A7008" s="639">
        <v>101813</v>
      </c>
      <c r="B7008" s="639">
        <v>2100</v>
      </c>
      <c r="C7008" s="638">
        <v>1.7000000000000001E-2</v>
      </c>
      <c r="D7008" s="633">
        <f t="shared" si="224"/>
        <v>1.7000000000000001E-2</v>
      </c>
      <c r="E7008" s="608"/>
      <c r="F7008" s="760">
        <f t="shared" si="223"/>
        <v>7.1726709430900825E-3</v>
      </c>
      <c r="M7008" s="443"/>
    </row>
    <row r="7009" spans="1:13">
      <c r="A7009" s="639">
        <v>101813</v>
      </c>
      <c r="B7009" s="639">
        <v>2200</v>
      </c>
      <c r="C7009" s="638">
        <v>2.4E-2</v>
      </c>
      <c r="D7009" s="633">
        <f t="shared" si="224"/>
        <v>2.4E-2</v>
      </c>
      <c r="E7009" s="608"/>
      <c r="F7009" s="760">
        <f t="shared" si="223"/>
        <v>1.0126123684362468E-2</v>
      </c>
      <c r="M7009" s="443"/>
    </row>
    <row r="7010" spans="1:13">
      <c r="A7010" s="639">
        <v>101813</v>
      </c>
      <c r="B7010" s="639">
        <v>2300</v>
      </c>
      <c r="C7010" s="638">
        <v>0.03</v>
      </c>
      <c r="D7010" s="633">
        <f t="shared" si="224"/>
        <v>0.03</v>
      </c>
      <c r="E7010" s="608"/>
      <c r="F7010" s="760">
        <f t="shared" si="223"/>
        <v>1.2657654605453086E-2</v>
      </c>
      <c r="M7010" s="443"/>
    </row>
    <row r="7011" spans="1:13">
      <c r="A7011" s="639">
        <v>101813</v>
      </c>
      <c r="B7011" s="639">
        <v>2400</v>
      </c>
      <c r="C7011" s="638">
        <v>3.1E-2</v>
      </c>
      <c r="D7011" s="633">
        <f t="shared" si="224"/>
        <v>3.1E-2</v>
      </c>
      <c r="E7011" s="608"/>
      <c r="F7011" s="760">
        <f t="shared" si="223"/>
        <v>1.3079576425634854E-2</v>
      </c>
      <c r="M7011" s="443"/>
    </row>
    <row r="7012" spans="1:13">
      <c r="A7012" s="639">
        <v>101913</v>
      </c>
      <c r="B7012" s="639">
        <v>100</v>
      </c>
      <c r="C7012" s="638">
        <v>2.8000000000000001E-2</v>
      </c>
      <c r="D7012" s="633">
        <f t="shared" si="224"/>
        <v>2.8000000000000001E-2</v>
      </c>
      <c r="E7012" s="608"/>
      <c r="F7012" s="760">
        <f t="shared" si="223"/>
        <v>1.1813810965089547E-2</v>
      </c>
      <c r="M7012" s="443"/>
    </row>
    <row r="7013" spans="1:13">
      <c r="A7013" s="639">
        <v>101913</v>
      </c>
      <c r="B7013" s="639">
        <v>200</v>
      </c>
      <c r="C7013" s="638">
        <v>2.8000000000000001E-2</v>
      </c>
      <c r="D7013" s="633">
        <f t="shared" si="224"/>
        <v>2.8000000000000001E-2</v>
      </c>
      <c r="E7013" s="608"/>
      <c r="F7013" s="760">
        <f t="shared" si="223"/>
        <v>1.1813810965089547E-2</v>
      </c>
      <c r="M7013" s="443"/>
    </row>
    <row r="7014" spans="1:13">
      <c r="A7014" s="639">
        <v>101913</v>
      </c>
      <c r="B7014" s="639">
        <v>300</v>
      </c>
      <c r="C7014" s="638">
        <v>0.03</v>
      </c>
      <c r="D7014" s="633">
        <f t="shared" si="224"/>
        <v>0.03</v>
      </c>
      <c r="E7014" s="608"/>
      <c r="F7014" s="760">
        <f t="shared" si="223"/>
        <v>1.2657654605453086E-2</v>
      </c>
      <c r="M7014" s="443"/>
    </row>
    <row r="7015" spans="1:13">
      <c r="A7015" s="639">
        <v>101913</v>
      </c>
      <c r="B7015" s="639">
        <v>400</v>
      </c>
      <c r="C7015" s="638">
        <v>3.1E-2</v>
      </c>
      <c r="D7015" s="633">
        <f t="shared" si="224"/>
        <v>3.1E-2</v>
      </c>
      <c r="E7015" s="608"/>
      <c r="F7015" s="760">
        <f t="shared" si="223"/>
        <v>1.3079576425634854E-2</v>
      </c>
      <c r="M7015" s="443"/>
    </row>
    <row r="7016" spans="1:13">
      <c r="A7016" s="639">
        <v>101913</v>
      </c>
      <c r="B7016" s="639">
        <v>500</v>
      </c>
      <c r="C7016" s="638">
        <v>3.2000000000000001E-2</v>
      </c>
      <c r="D7016" s="633">
        <f t="shared" si="224"/>
        <v>3.2000000000000001E-2</v>
      </c>
      <c r="E7016" s="608"/>
      <c r="F7016" s="760">
        <f t="shared" si="223"/>
        <v>1.3501498245816623E-2</v>
      </c>
      <c r="M7016" s="443"/>
    </row>
    <row r="7017" spans="1:13">
      <c r="A7017" s="639">
        <v>101913</v>
      </c>
      <c r="B7017" s="639">
        <v>600</v>
      </c>
      <c r="C7017" s="638">
        <v>3.2000000000000001E-2</v>
      </c>
      <c r="D7017" s="633">
        <f t="shared" si="224"/>
        <v>3.2000000000000001E-2</v>
      </c>
      <c r="E7017" s="608"/>
      <c r="F7017" s="760">
        <f t="shared" si="223"/>
        <v>1.3501498245816623E-2</v>
      </c>
      <c r="M7017" s="443"/>
    </row>
    <row r="7018" spans="1:13">
      <c r="A7018" s="639">
        <v>101913</v>
      </c>
      <c r="B7018" s="639">
        <v>700</v>
      </c>
      <c r="C7018" s="638">
        <v>3.3000000000000002E-2</v>
      </c>
      <c r="D7018" s="633">
        <f t="shared" si="224"/>
        <v>3.3000000000000002E-2</v>
      </c>
      <c r="E7018" s="608"/>
      <c r="F7018" s="760">
        <f t="shared" si="223"/>
        <v>1.3923420065998393E-2</v>
      </c>
      <c r="M7018" s="443"/>
    </row>
    <row r="7019" spans="1:13">
      <c r="A7019" s="639">
        <v>101913</v>
      </c>
      <c r="B7019" s="639">
        <v>800</v>
      </c>
      <c r="C7019" s="638">
        <v>0.03</v>
      </c>
      <c r="D7019" s="633">
        <f t="shared" si="224"/>
        <v>0.03</v>
      </c>
      <c r="E7019" s="608"/>
      <c r="F7019" s="760">
        <f t="shared" si="223"/>
        <v>1.2657654605453086E-2</v>
      </c>
      <c r="M7019" s="443"/>
    </row>
    <row r="7020" spans="1:13">
      <c r="A7020" s="639">
        <v>101913</v>
      </c>
      <c r="B7020" s="639">
        <v>900</v>
      </c>
      <c r="C7020" s="638">
        <v>2.3E-2</v>
      </c>
      <c r="D7020" s="633">
        <f t="shared" si="224"/>
        <v>2.3E-2</v>
      </c>
      <c r="E7020" s="608"/>
      <c r="F7020" s="760">
        <f t="shared" si="223"/>
        <v>9.7042018641806983E-3</v>
      </c>
      <c r="M7020" s="443"/>
    </row>
    <row r="7021" spans="1:13">
      <c r="A7021" s="639">
        <v>101913</v>
      </c>
      <c r="B7021" s="639">
        <v>1000</v>
      </c>
      <c r="C7021" s="638">
        <v>1.6E-2</v>
      </c>
      <c r="D7021" s="633">
        <f t="shared" si="224"/>
        <v>1.6E-2</v>
      </c>
      <c r="E7021" s="608"/>
      <c r="F7021" s="760">
        <f t="shared" si="223"/>
        <v>6.7507491229083115E-3</v>
      </c>
      <c r="M7021" s="443"/>
    </row>
    <row r="7022" spans="1:13">
      <c r="A7022" s="639">
        <v>101913</v>
      </c>
      <c r="B7022" s="639">
        <v>1100</v>
      </c>
      <c r="C7022" s="638">
        <v>1.0999999999999999E-2</v>
      </c>
      <c r="D7022" s="633">
        <f t="shared" si="224"/>
        <v>1.0999999999999999E-2</v>
      </c>
      <c r="E7022" s="608"/>
      <c r="F7022" s="760">
        <f t="shared" si="223"/>
        <v>4.6411400219994641E-3</v>
      </c>
      <c r="M7022" s="443"/>
    </row>
    <row r="7023" spans="1:13">
      <c r="A7023" s="639">
        <v>101913</v>
      </c>
      <c r="B7023" s="639">
        <v>1200</v>
      </c>
      <c r="C7023" s="638">
        <v>0.01</v>
      </c>
      <c r="D7023" s="633">
        <f t="shared" si="224"/>
        <v>0.01</v>
      </c>
      <c r="E7023" s="608"/>
      <c r="F7023" s="760">
        <f t="shared" si="223"/>
        <v>4.2192182018176948E-3</v>
      </c>
      <c r="M7023" s="443"/>
    </row>
    <row r="7024" spans="1:13">
      <c r="A7024" s="639">
        <v>101913</v>
      </c>
      <c r="B7024" s="639">
        <v>1300</v>
      </c>
      <c r="C7024" s="638">
        <v>1.4E-2</v>
      </c>
      <c r="D7024" s="633">
        <f t="shared" si="224"/>
        <v>1.4E-2</v>
      </c>
      <c r="E7024" s="608"/>
      <c r="F7024" s="760">
        <f t="shared" si="223"/>
        <v>5.9069054825447737E-3</v>
      </c>
      <c r="M7024" s="443"/>
    </row>
    <row r="7025" spans="1:13">
      <c r="A7025" s="639">
        <v>101913</v>
      </c>
      <c r="B7025" s="639">
        <v>1400</v>
      </c>
      <c r="C7025" s="638">
        <v>2.5000000000000001E-2</v>
      </c>
      <c r="D7025" s="633">
        <f t="shared" si="224"/>
        <v>2.5000000000000001E-2</v>
      </c>
      <c r="E7025" s="608"/>
      <c r="F7025" s="760">
        <f t="shared" si="223"/>
        <v>1.0548045504544239E-2</v>
      </c>
      <c r="M7025" s="443"/>
    </row>
    <row r="7026" spans="1:13">
      <c r="A7026" s="639">
        <v>101913</v>
      </c>
      <c r="B7026" s="639">
        <v>1500</v>
      </c>
      <c r="C7026" s="638">
        <v>3.1E-2</v>
      </c>
      <c r="D7026" s="633">
        <f t="shared" si="224"/>
        <v>3.1E-2</v>
      </c>
      <c r="E7026" s="608"/>
      <c r="F7026" s="760">
        <f t="shared" si="223"/>
        <v>1.3079576425634854E-2</v>
      </c>
      <c r="M7026" s="443"/>
    </row>
    <row r="7027" spans="1:13">
      <c r="A7027" s="639">
        <v>101913</v>
      </c>
      <c r="B7027" s="639">
        <v>1600</v>
      </c>
      <c r="C7027" s="638">
        <v>4.1000000000000002E-2</v>
      </c>
      <c r="D7027" s="633">
        <f t="shared" si="224"/>
        <v>4.1000000000000002E-2</v>
      </c>
      <c r="E7027" s="608"/>
      <c r="F7027" s="760">
        <f t="shared" si="223"/>
        <v>1.7298794627452548E-2</v>
      </c>
      <c r="M7027" s="443"/>
    </row>
    <row r="7028" spans="1:13">
      <c r="A7028" s="639">
        <v>101913</v>
      </c>
      <c r="B7028" s="639">
        <v>1700</v>
      </c>
      <c r="C7028" s="638">
        <v>3.2000000000000001E-2</v>
      </c>
      <c r="D7028" s="633">
        <f t="shared" si="224"/>
        <v>3.2000000000000001E-2</v>
      </c>
      <c r="E7028" s="608"/>
      <c r="F7028" s="760">
        <f t="shared" ref="F7028:F7091" si="225">(D7028/(MAX($D$6580:$D$7323)))*$M$13</f>
        <v>1.3501498245816623E-2</v>
      </c>
      <c r="M7028" s="443"/>
    </row>
    <row r="7029" spans="1:13">
      <c r="A7029" s="639">
        <v>101913</v>
      </c>
      <c r="B7029" s="639">
        <v>1800</v>
      </c>
      <c r="C7029" s="638">
        <v>2.8000000000000001E-2</v>
      </c>
      <c r="D7029" s="633">
        <f t="shared" si="224"/>
        <v>2.8000000000000001E-2</v>
      </c>
      <c r="E7029" s="608"/>
      <c r="F7029" s="760">
        <f t="shared" si="225"/>
        <v>1.1813810965089547E-2</v>
      </c>
      <c r="M7029" s="443"/>
    </row>
    <row r="7030" spans="1:13">
      <c r="A7030" s="639">
        <v>101913</v>
      </c>
      <c r="B7030" s="639">
        <v>1900</v>
      </c>
      <c r="C7030" s="638">
        <v>2.5000000000000001E-2</v>
      </c>
      <c r="D7030" s="633">
        <f t="shared" si="224"/>
        <v>2.5000000000000001E-2</v>
      </c>
      <c r="E7030" s="608"/>
      <c r="F7030" s="760">
        <f t="shared" si="225"/>
        <v>1.0548045504544239E-2</v>
      </c>
      <c r="M7030" s="443"/>
    </row>
    <row r="7031" spans="1:13">
      <c r="A7031" s="639">
        <v>101913</v>
      </c>
      <c r="B7031" s="639">
        <v>2000</v>
      </c>
      <c r="C7031" s="638">
        <v>2.1999999999999999E-2</v>
      </c>
      <c r="D7031" s="633">
        <f t="shared" si="224"/>
        <v>2.1999999999999999E-2</v>
      </c>
      <c r="E7031" s="608"/>
      <c r="F7031" s="760">
        <f t="shared" si="225"/>
        <v>9.2822800439989282E-3</v>
      </c>
      <c r="M7031" s="443"/>
    </row>
    <row r="7032" spans="1:13">
      <c r="A7032" s="639">
        <v>101913</v>
      </c>
      <c r="B7032" s="639">
        <v>2100</v>
      </c>
      <c r="C7032" s="638">
        <v>2.5999999999999999E-2</v>
      </c>
      <c r="D7032" s="633">
        <f t="shared" si="224"/>
        <v>2.5999999999999999E-2</v>
      </c>
      <c r="E7032" s="608"/>
      <c r="F7032" s="760">
        <f t="shared" si="225"/>
        <v>1.0969967324726005E-2</v>
      </c>
      <c r="M7032" s="443"/>
    </row>
    <row r="7033" spans="1:13">
      <c r="A7033" s="639">
        <v>101913</v>
      </c>
      <c r="B7033" s="639">
        <v>2200</v>
      </c>
      <c r="C7033" s="638">
        <v>2.5999999999999999E-2</v>
      </c>
      <c r="D7033" s="633">
        <f t="shared" si="224"/>
        <v>2.5999999999999999E-2</v>
      </c>
      <c r="E7033" s="608"/>
      <c r="F7033" s="760">
        <f t="shared" si="225"/>
        <v>1.0969967324726005E-2</v>
      </c>
      <c r="M7033" s="443"/>
    </row>
    <row r="7034" spans="1:13">
      <c r="A7034" s="639">
        <v>101913</v>
      </c>
      <c r="B7034" s="639">
        <v>2300</v>
      </c>
      <c r="C7034" s="638">
        <v>2.1000000000000001E-2</v>
      </c>
      <c r="D7034" s="633">
        <f t="shared" si="224"/>
        <v>2.1000000000000001E-2</v>
      </c>
      <c r="E7034" s="608"/>
      <c r="F7034" s="760">
        <f t="shared" si="225"/>
        <v>8.8603582238171597E-3</v>
      </c>
      <c r="M7034" s="443"/>
    </row>
    <row r="7035" spans="1:13">
      <c r="A7035" s="639">
        <v>101913</v>
      </c>
      <c r="B7035" s="639">
        <v>2400</v>
      </c>
      <c r="C7035" s="638">
        <v>2.4E-2</v>
      </c>
      <c r="D7035" s="633">
        <f t="shared" si="224"/>
        <v>2.4E-2</v>
      </c>
      <c r="E7035" s="608"/>
      <c r="F7035" s="760">
        <f t="shared" si="225"/>
        <v>1.0126123684362468E-2</v>
      </c>
      <c r="M7035" s="443"/>
    </row>
    <row r="7036" spans="1:13">
      <c r="A7036" s="639">
        <v>102013</v>
      </c>
      <c r="B7036" s="639">
        <v>100</v>
      </c>
      <c r="C7036" s="638">
        <v>2.7E-2</v>
      </c>
      <c r="D7036" s="633">
        <f t="shared" si="224"/>
        <v>2.7E-2</v>
      </c>
      <c r="E7036" s="608"/>
      <c r="F7036" s="760">
        <f t="shared" si="225"/>
        <v>1.1391889144907777E-2</v>
      </c>
      <c r="M7036" s="443"/>
    </row>
    <row r="7037" spans="1:13">
      <c r="A7037" s="639">
        <v>102013</v>
      </c>
      <c r="B7037" s="639">
        <v>200</v>
      </c>
      <c r="C7037" s="638">
        <v>0.03</v>
      </c>
      <c r="D7037" s="633">
        <f t="shared" si="224"/>
        <v>0.03</v>
      </c>
      <c r="E7037" s="608"/>
      <c r="F7037" s="760">
        <f t="shared" si="225"/>
        <v>1.2657654605453086E-2</v>
      </c>
      <c r="M7037" s="443"/>
    </row>
    <row r="7038" spans="1:13">
      <c r="A7038" s="639">
        <v>102013</v>
      </c>
      <c r="B7038" s="639">
        <v>300</v>
      </c>
      <c r="C7038" s="638">
        <v>3.2000000000000001E-2</v>
      </c>
      <c r="D7038" s="633">
        <f t="shared" si="224"/>
        <v>3.2000000000000001E-2</v>
      </c>
      <c r="E7038" s="608"/>
      <c r="F7038" s="760">
        <f t="shared" si="225"/>
        <v>1.3501498245816623E-2</v>
      </c>
      <c r="M7038" s="443"/>
    </row>
    <row r="7039" spans="1:13">
      <c r="A7039" s="639">
        <v>102013</v>
      </c>
      <c r="B7039" s="639">
        <v>400</v>
      </c>
      <c r="C7039" s="638">
        <v>3.3000000000000002E-2</v>
      </c>
      <c r="D7039" s="633">
        <f t="shared" si="224"/>
        <v>3.3000000000000002E-2</v>
      </c>
      <c r="E7039" s="608"/>
      <c r="F7039" s="760">
        <f t="shared" si="225"/>
        <v>1.3923420065998393E-2</v>
      </c>
      <c r="M7039" s="443"/>
    </row>
    <row r="7040" spans="1:13">
      <c r="A7040" s="639">
        <v>102013</v>
      </c>
      <c r="B7040" s="639">
        <v>500</v>
      </c>
      <c r="C7040" s="638">
        <v>3.2000000000000001E-2</v>
      </c>
      <c r="D7040" s="633">
        <f t="shared" si="224"/>
        <v>3.2000000000000001E-2</v>
      </c>
      <c r="E7040" s="608"/>
      <c r="F7040" s="760">
        <f t="shared" si="225"/>
        <v>1.3501498245816623E-2</v>
      </c>
      <c r="M7040" s="443"/>
    </row>
    <row r="7041" spans="1:13">
      <c r="A7041" s="639">
        <v>102013</v>
      </c>
      <c r="B7041" s="639">
        <v>600</v>
      </c>
      <c r="C7041" s="638">
        <v>3.1E-2</v>
      </c>
      <c r="D7041" s="633">
        <f t="shared" si="224"/>
        <v>3.1E-2</v>
      </c>
      <c r="E7041" s="608"/>
      <c r="F7041" s="760">
        <f t="shared" si="225"/>
        <v>1.3079576425634854E-2</v>
      </c>
      <c r="M7041" s="443"/>
    </row>
    <row r="7042" spans="1:13">
      <c r="A7042" s="639">
        <v>102013</v>
      </c>
      <c r="B7042" s="639">
        <v>700</v>
      </c>
      <c r="C7042" s="638">
        <v>2.8000000000000001E-2</v>
      </c>
      <c r="D7042" s="633">
        <f t="shared" si="224"/>
        <v>2.8000000000000001E-2</v>
      </c>
      <c r="E7042" s="608"/>
      <c r="F7042" s="760">
        <f t="shared" si="225"/>
        <v>1.1813810965089547E-2</v>
      </c>
      <c r="M7042" s="443"/>
    </row>
    <row r="7043" spans="1:13">
      <c r="A7043" s="639">
        <v>102013</v>
      </c>
      <c r="B7043" s="639">
        <v>800</v>
      </c>
      <c r="C7043" s="638">
        <v>0.02</v>
      </c>
      <c r="D7043" s="633">
        <f t="shared" si="224"/>
        <v>0.02</v>
      </c>
      <c r="E7043" s="608"/>
      <c r="F7043" s="760">
        <f t="shared" si="225"/>
        <v>8.4384364036353895E-3</v>
      </c>
      <c r="M7043" s="443"/>
    </row>
    <row r="7044" spans="1:13">
      <c r="A7044" s="639">
        <v>102013</v>
      </c>
      <c r="B7044" s="639">
        <v>900</v>
      </c>
      <c r="C7044" s="638">
        <v>1.7999999999999999E-2</v>
      </c>
      <c r="D7044" s="633">
        <f t="shared" si="224"/>
        <v>1.7999999999999999E-2</v>
      </c>
      <c r="E7044" s="608"/>
      <c r="F7044" s="760">
        <f t="shared" si="225"/>
        <v>7.5945927632718501E-3</v>
      </c>
      <c r="M7044" s="443"/>
    </row>
    <row r="7045" spans="1:13">
      <c r="A7045" s="639">
        <v>102013</v>
      </c>
      <c r="B7045" s="639">
        <v>1000</v>
      </c>
      <c r="C7045" s="638">
        <v>1.0999999999999999E-2</v>
      </c>
      <c r="D7045" s="633">
        <f t="shared" ref="D7045:D7108" si="226">C7045</f>
        <v>1.0999999999999999E-2</v>
      </c>
      <c r="E7045" s="608"/>
      <c r="F7045" s="760">
        <f t="shared" si="225"/>
        <v>4.6411400219994641E-3</v>
      </c>
      <c r="M7045" s="443"/>
    </row>
    <row r="7046" spans="1:13">
      <c r="A7046" s="639">
        <v>102013</v>
      </c>
      <c r="B7046" s="639">
        <v>1100</v>
      </c>
      <c r="C7046" s="638">
        <v>0.01</v>
      </c>
      <c r="D7046" s="633">
        <f t="shared" si="226"/>
        <v>0.01</v>
      </c>
      <c r="E7046" s="608"/>
      <c r="F7046" s="760">
        <f t="shared" si="225"/>
        <v>4.2192182018176948E-3</v>
      </c>
      <c r="M7046" s="443"/>
    </row>
    <row r="7047" spans="1:13">
      <c r="A7047" s="639">
        <v>102013</v>
      </c>
      <c r="B7047" s="639">
        <v>1200</v>
      </c>
      <c r="C7047" s="638">
        <v>7.0000000000000001E-3</v>
      </c>
      <c r="D7047" s="633">
        <f t="shared" si="226"/>
        <v>7.0000000000000001E-3</v>
      </c>
      <c r="E7047" s="608"/>
      <c r="F7047" s="760">
        <f t="shared" si="225"/>
        <v>2.9534527412723869E-3</v>
      </c>
      <c r="M7047" s="443"/>
    </row>
    <row r="7048" spans="1:13">
      <c r="A7048" s="639">
        <v>102013</v>
      </c>
      <c r="B7048" s="639">
        <v>1300</v>
      </c>
      <c r="C7048" s="638">
        <v>8.0000000000000002E-3</v>
      </c>
      <c r="D7048" s="633">
        <f t="shared" si="226"/>
        <v>8.0000000000000002E-3</v>
      </c>
      <c r="E7048" s="608"/>
      <c r="F7048" s="760">
        <f t="shared" si="225"/>
        <v>3.3753745614541557E-3</v>
      </c>
      <c r="M7048" s="443"/>
    </row>
    <row r="7049" spans="1:13">
      <c r="A7049" s="639">
        <v>102013</v>
      </c>
      <c r="B7049" s="639">
        <v>1400</v>
      </c>
      <c r="C7049" s="638">
        <v>1.2E-2</v>
      </c>
      <c r="D7049" s="633">
        <f t="shared" si="226"/>
        <v>1.2E-2</v>
      </c>
      <c r="E7049" s="608"/>
      <c r="F7049" s="760">
        <f t="shared" si="225"/>
        <v>5.0630618421812342E-3</v>
      </c>
      <c r="M7049" s="443"/>
    </row>
    <row r="7050" spans="1:13">
      <c r="A7050" s="639">
        <v>102013</v>
      </c>
      <c r="B7050" s="639">
        <v>1500</v>
      </c>
      <c r="C7050" s="638">
        <v>1.0999999999999999E-2</v>
      </c>
      <c r="D7050" s="633">
        <f t="shared" si="226"/>
        <v>1.0999999999999999E-2</v>
      </c>
      <c r="E7050" s="608"/>
      <c r="F7050" s="760">
        <f t="shared" si="225"/>
        <v>4.6411400219994641E-3</v>
      </c>
      <c r="M7050" s="443"/>
    </row>
    <row r="7051" spans="1:13">
      <c r="A7051" s="639">
        <v>102013</v>
      </c>
      <c r="B7051" s="639">
        <v>1600</v>
      </c>
      <c r="C7051" s="638">
        <v>8.0000000000000002E-3</v>
      </c>
      <c r="D7051" s="633">
        <f t="shared" si="226"/>
        <v>8.0000000000000002E-3</v>
      </c>
      <c r="E7051" s="608"/>
      <c r="F7051" s="760">
        <f t="shared" si="225"/>
        <v>3.3753745614541557E-3</v>
      </c>
      <c r="M7051" s="443"/>
    </row>
    <row r="7052" spans="1:13">
      <c r="A7052" s="639">
        <v>102013</v>
      </c>
      <c r="B7052" s="639">
        <v>1700</v>
      </c>
      <c r="C7052" s="638">
        <v>7.0000000000000001E-3</v>
      </c>
      <c r="D7052" s="633">
        <f t="shared" si="226"/>
        <v>7.0000000000000001E-3</v>
      </c>
      <c r="E7052" s="608"/>
      <c r="F7052" s="760">
        <f t="shared" si="225"/>
        <v>2.9534527412723869E-3</v>
      </c>
      <c r="M7052" s="443"/>
    </row>
    <row r="7053" spans="1:13">
      <c r="A7053" s="639">
        <v>102013</v>
      </c>
      <c r="B7053" s="639">
        <v>1800</v>
      </c>
      <c r="C7053" s="638">
        <v>0.01</v>
      </c>
      <c r="D7053" s="633">
        <f t="shared" si="226"/>
        <v>0.01</v>
      </c>
      <c r="E7053" s="608"/>
      <c r="F7053" s="760">
        <f t="shared" si="225"/>
        <v>4.2192182018176948E-3</v>
      </c>
      <c r="M7053" s="443"/>
    </row>
    <row r="7054" spans="1:13">
      <c r="A7054" s="639">
        <v>102013</v>
      </c>
      <c r="B7054" s="639">
        <v>1900</v>
      </c>
      <c r="C7054" s="638">
        <v>1.4E-2</v>
      </c>
      <c r="D7054" s="633">
        <f t="shared" si="226"/>
        <v>1.4E-2</v>
      </c>
      <c r="E7054" s="608"/>
      <c r="F7054" s="760">
        <f t="shared" si="225"/>
        <v>5.9069054825447737E-3</v>
      </c>
      <c r="M7054" s="443"/>
    </row>
    <row r="7055" spans="1:13">
      <c r="A7055" s="639">
        <v>102013</v>
      </c>
      <c r="B7055" s="639">
        <v>2000</v>
      </c>
      <c r="C7055" s="638">
        <v>1.4999999999999999E-2</v>
      </c>
      <c r="D7055" s="633">
        <f t="shared" si="226"/>
        <v>1.4999999999999999E-2</v>
      </c>
      <c r="E7055" s="608"/>
      <c r="F7055" s="760">
        <f t="shared" si="225"/>
        <v>6.328827302726543E-3</v>
      </c>
      <c r="M7055" s="443"/>
    </row>
    <row r="7056" spans="1:13">
      <c r="A7056" s="639">
        <v>102013</v>
      </c>
      <c r="B7056" s="639">
        <v>2100</v>
      </c>
      <c r="C7056" s="638">
        <v>1.9E-2</v>
      </c>
      <c r="D7056" s="633">
        <f t="shared" si="226"/>
        <v>1.9E-2</v>
      </c>
      <c r="E7056" s="608"/>
      <c r="F7056" s="760">
        <f t="shared" si="225"/>
        <v>8.0165145834536211E-3</v>
      </c>
      <c r="M7056" s="443"/>
    </row>
    <row r="7057" spans="1:13">
      <c r="A7057" s="639">
        <v>102013</v>
      </c>
      <c r="B7057" s="639">
        <v>2200</v>
      </c>
      <c r="C7057" s="638">
        <v>2.3E-2</v>
      </c>
      <c r="D7057" s="633">
        <f t="shared" si="226"/>
        <v>2.3E-2</v>
      </c>
      <c r="E7057" s="608"/>
      <c r="F7057" s="760">
        <f t="shared" si="225"/>
        <v>9.7042018641806983E-3</v>
      </c>
      <c r="M7057" s="443"/>
    </row>
    <row r="7058" spans="1:13">
      <c r="A7058" s="639">
        <v>102013</v>
      </c>
      <c r="B7058" s="639">
        <v>2300</v>
      </c>
      <c r="C7058" s="638">
        <v>2.8000000000000001E-2</v>
      </c>
      <c r="D7058" s="633">
        <f t="shared" si="226"/>
        <v>2.8000000000000001E-2</v>
      </c>
      <c r="E7058" s="608"/>
      <c r="F7058" s="760">
        <f t="shared" si="225"/>
        <v>1.1813810965089547E-2</v>
      </c>
      <c r="M7058" s="443"/>
    </row>
    <row r="7059" spans="1:13">
      <c r="A7059" s="639">
        <v>102013</v>
      </c>
      <c r="B7059" s="639">
        <v>2400</v>
      </c>
      <c r="C7059" s="638">
        <v>2.7E-2</v>
      </c>
      <c r="D7059" s="633">
        <f t="shared" si="226"/>
        <v>2.7E-2</v>
      </c>
      <c r="E7059" s="608"/>
      <c r="F7059" s="760">
        <f t="shared" si="225"/>
        <v>1.1391889144907777E-2</v>
      </c>
      <c r="M7059" s="443"/>
    </row>
    <row r="7060" spans="1:13">
      <c r="A7060" s="639">
        <v>102113</v>
      </c>
      <c r="B7060" s="639">
        <v>100</v>
      </c>
      <c r="C7060" s="638">
        <v>2.9000000000000001E-2</v>
      </c>
      <c r="D7060" s="633">
        <f t="shared" si="226"/>
        <v>2.9000000000000001E-2</v>
      </c>
      <c r="E7060" s="608"/>
      <c r="F7060" s="760">
        <f t="shared" si="225"/>
        <v>1.2235732785271316E-2</v>
      </c>
      <c r="M7060" s="443"/>
    </row>
    <row r="7061" spans="1:13">
      <c r="A7061" s="639">
        <v>102113</v>
      </c>
      <c r="B7061" s="639">
        <v>200</v>
      </c>
      <c r="C7061" s="638">
        <v>2.8000000000000001E-2</v>
      </c>
      <c r="D7061" s="633">
        <f t="shared" si="226"/>
        <v>2.8000000000000001E-2</v>
      </c>
      <c r="E7061" s="608"/>
      <c r="F7061" s="760">
        <f t="shared" si="225"/>
        <v>1.1813810965089547E-2</v>
      </c>
      <c r="M7061" s="443"/>
    </row>
    <row r="7062" spans="1:13">
      <c r="A7062" s="639">
        <v>102113</v>
      </c>
      <c r="B7062" s="639">
        <v>300</v>
      </c>
      <c r="C7062" s="638">
        <v>2.8000000000000001E-2</v>
      </c>
      <c r="D7062" s="633">
        <f t="shared" si="226"/>
        <v>2.8000000000000001E-2</v>
      </c>
      <c r="E7062" s="608"/>
      <c r="F7062" s="760">
        <f t="shared" si="225"/>
        <v>1.1813810965089547E-2</v>
      </c>
      <c r="M7062" s="443"/>
    </row>
    <row r="7063" spans="1:13">
      <c r="A7063" s="639">
        <v>102113</v>
      </c>
      <c r="B7063" s="639">
        <v>400</v>
      </c>
      <c r="C7063" s="638">
        <v>3.4000000000000002E-2</v>
      </c>
      <c r="D7063" s="633">
        <f t="shared" si="226"/>
        <v>3.4000000000000002E-2</v>
      </c>
      <c r="E7063" s="608"/>
      <c r="F7063" s="760">
        <f t="shared" si="225"/>
        <v>1.4345341886180165E-2</v>
      </c>
      <c r="M7063" s="443"/>
    </row>
    <row r="7064" spans="1:13">
      <c r="A7064" s="639">
        <v>102113</v>
      </c>
      <c r="B7064" s="639">
        <v>500</v>
      </c>
      <c r="C7064" s="638">
        <v>0.04</v>
      </c>
      <c r="D7064" s="633">
        <f t="shared" si="226"/>
        <v>0.04</v>
      </c>
      <c r="E7064" s="608"/>
      <c r="F7064" s="760">
        <f t="shared" si="225"/>
        <v>1.6876872807270779E-2</v>
      </c>
      <c r="M7064" s="443"/>
    </row>
    <row r="7065" spans="1:13">
      <c r="A7065" s="639">
        <v>102113</v>
      </c>
      <c r="B7065" s="639">
        <v>600</v>
      </c>
      <c r="C7065" s="638">
        <v>4.2999999999999997E-2</v>
      </c>
      <c r="D7065" s="633">
        <f t="shared" si="226"/>
        <v>4.2999999999999997E-2</v>
      </c>
      <c r="E7065" s="608"/>
      <c r="F7065" s="760">
        <f t="shared" si="225"/>
        <v>1.8142638267816088E-2</v>
      </c>
      <c r="M7065" s="443"/>
    </row>
    <row r="7066" spans="1:13">
      <c r="A7066" s="639">
        <v>102113</v>
      </c>
      <c r="B7066" s="639">
        <v>700</v>
      </c>
      <c r="C7066" s="638">
        <v>2.1000000000000001E-2</v>
      </c>
      <c r="D7066" s="633">
        <f t="shared" si="226"/>
        <v>2.1000000000000001E-2</v>
      </c>
      <c r="E7066" s="608"/>
      <c r="F7066" s="760">
        <f t="shared" si="225"/>
        <v>8.8603582238171597E-3</v>
      </c>
      <c r="M7066" s="443"/>
    </row>
    <row r="7067" spans="1:13">
      <c r="A7067" s="639">
        <v>102113</v>
      </c>
      <c r="B7067" s="639">
        <v>800</v>
      </c>
      <c r="C7067" s="638">
        <v>0</v>
      </c>
      <c r="D7067" s="633">
        <f t="shared" si="226"/>
        <v>0</v>
      </c>
      <c r="E7067" s="608"/>
      <c r="F7067" s="760">
        <f t="shared" si="225"/>
        <v>0</v>
      </c>
      <c r="M7067" s="443"/>
    </row>
    <row r="7068" spans="1:13">
      <c r="A7068" s="639">
        <v>102113</v>
      </c>
      <c r="B7068" s="639">
        <v>900</v>
      </c>
      <c r="C7068" s="638">
        <v>0</v>
      </c>
      <c r="D7068" s="633">
        <f t="shared" si="226"/>
        <v>0</v>
      </c>
      <c r="E7068" s="608"/>
      <c r="F7068" s="760">
        <f t="shared" si="225"/>
        <v>0</v>
      </c>
      <c r="M7068" s="443"/>
    </row>
    <row r="7069" spans="1:13">
      <c r="A7069" s="639">
        <v>102113</v>
      </c>
      <c r="B7069" s="639">
        <v>1000</v>
      </c>
      <c r="C7069" s="638">
        <v>0</v>
      </c>
      <c r="D7069" s="633">
        <f t="shared" si="226"/>
        <v>0</v>
      </c>
      <c r="E7069" s="608"/>
      <c r="F7069" s="760">
        <f t="shared" si="225"/>
        <v>0</v>
      </c>
      <c r="M7069" s="443"/>
    </row>
    <row r="7070" spans="1:13">
      <c r="A7070" s="639">
        <v>102113</v>
      </c>
      <c r="B7070" s="639">
        <v>1100</v>
      </c>
      <c r="C7070" s="638">
        <v>0</v>
      </c>
      <c r="D7070" s="633">
        <f t="shared" si="226"/>
        <v>0</v>
      </c>
      <c r="E7070" s="608"/>
      <c r="F7070" s="760">
        <f t="shared" si="225"/>
        <v>0</v>
      </c>
      <c r="M7070" s="443"/>
    </row>
    <row r="7071" spans="1:13">
      <c r="A7071" s="639">
        <v>102113</v>
      </c>
      <c r="B7071" s="639">
        <v>1200</v>
      </c>
      <c r="C7071" s="638">
        <v>0</v>
      </c>
      <c r="D7071" s="633">
        <f t="shared" si="226"/>
        <v>0</v>
      </c>
      <c r="E7071" s="608"/>
      <c r="F7071" s="760">
        <f t="shared" si="225"/>
        <v>0</v>
      </c>
      <c r="M7071" s="443"/>
    </row>
    <row r="7072" spans="1:13">
      <c r="A7072" s="639">
        <v>102113</v>
      </c>
      <c r="B7072" s="639">
        <v>1300</v>
      </c>
      <c r="C7072" s="638">
        <v>0</v>
      </c>
      <c r="D7072" s="633">
        <f t="shared" si="226"/>
        <v>0</v>
      </c>
      <c r="E7072" s="608"/>
      <c r="F7072" s="760">
        <f t="shared" si="225"/>
        <v>0</v>
      </c>
      <c r="M7072" s="443"/>
    </row>
    <row r="7073" spans="1:13">
      <c r="A7073" s="639">
        <v>102113</v>
      </c>
      <c r="B7073" s="639">
        <v>1400</v>
      </c>
      <c r="C7073" s="638">
        <v>0</v>
      </c>
      <c r="D7073" s="633">
        <f t="shared" si="226"/>
        <v>0</v>
      </c>
      <c r="E7073" s="608"/>
      <c r="F7073" s="760">
        <f t="shared" si="225"/>
        <v>0</v>
      </c>
      <c r="M7073" s="443"/>
    </row>
    <row r="7074" spans="1:13">
      <c r="A7074" s="639">
        <v>102113</v>
      </c>
      <c r="B7074" s="639">
        <v>1500</v>
      </c>
      <c r="C7074" s="638">
        <v>0</v>
      </c>
      <c r="D7074" s="633">
        <f t="shared" si="226"/>
        <v>0</v>
      </c>
      <c r="E7074" s="608"/>
      <c r="F7074" s="760">
        <f t="shared" si="225"/>
        <v>0</v>
      </c>
      <c r="M7074" s="443"/>
    </row>
    <row r="7075" spans="1:13">
      <c r="A7075" s="639">
        <v>102113</v>
      </c>
      <c r="B7075" s="639">
        <v>1600</v>
      </c>
      <c r="C7075" s="638">
        <v>0</v>
      </c>
      <c r="D7075" s="633">
        <f t="shared" si="226"/>
        <v>0</v>
      </c>
      <c r="E7075" s="608"/>
      <c r="F7075" s="760">
        <f t="shared" si="225"/>
        <v>0</v>
      </c>
      <c r="M7075" s="443"/>
    </row>
    <row r="7076" spans="1:13">
      <c r="A7076" s="639">
        <v>102113</v>
      </c>
      <c r="B7076" s="639">
        <v>1700</v>
      </c>
      <c r="C7076" s="638">
        <v>0</v>
      </c>
      <c r="D7076" s="633">
        <f t="shared" si="226"/>
        <v>0</v>
      </c>
      <c r="E7076" s="608"/>
      <c r="F7076" s="760">
        <f t="shared" si="225"/>
        <v>0</v>
      </c>
      <c r="M7076" s="443"/>
    </row>
    <row r="7077" spans="1:13">
      <c r="A7077" s="639">
        <v>102113</v>
      </c>
      <c r="B7077" s="639">
        <v>1800</v>
      </c>
      <c r="C7077" s="638">
        <v>0</v>
      </c>
      <c r="D7077" s="633">
        <f t="shared" si="226"/>
        <v>0</v>
      </c>
      <c r="E7077" s="608"/>
      <c r="F7077" s="760">
        <f t="shared" si="225"/>
        <v>0</v>
      </c>
      <c r="M7077" s="443"/>
    </row>
    <row r="7078" spans="1:13">
      <c r="A7078" s="639">
        <v>102113</v>
      </c>
      <c r="B7078" s="639">
        <v>1900</v>
      </c>
      <c r="C7078" s="638">
        <v>0</v>
      </c>
      <c r="D7078" s="633">
        <f t="shared" si="226"/>
        <v>0</v>
      </c>
      <c r="E7078" s="608"/>
      <c r="F7078" s="760">
        <f t="shared" si="225"/>
        <v>0</v>
      </c>
      <c r="M7078" s="443"/>
    </row>
    <row r="7079" spans="1:13">
      <c r="A7079" s="639">
        <v>102113</v>
      </c>
      <c r="B7079" s="639">
        <v>2000</v>
      </c>
      <c r="C7079" s="638">
        <v>0</v>
      </c>
      <c r="D7079" s="633">
        <f t="shared" si="226"/>
        <v>0</v>
      </c>
      <c r="E7079" s="608"/>
      <c r="F7079" s="760">
        <f t="shared" si="225"/>
        <v>0</v>
      </c>
      <c r="M7079" s="443"/>
    </row>
    <row r="7080" spans="1:13">
      <c r="A7080" s="639">
        <v>102113</v>
      </c>
      <c r="B7080" s="639">
        <v>2100</v>
      </c>
      <c r="C7080" s="638">
        <v>0</v>
      </c>
      <c r="D7080" s="633">
        <f t="shared" si="226"/>
        <v>0</v>
      </c>
      <c r="E7080" s="608"/>
      <c r="F7080" s="760">
        <f t="shared" si="225"/>
        <v>0</v>
      </c>
      <c r="M7080" s="443"/>
    </row>
    <row r="7081" spans="1:13">
      <c r="A7081" s="639">
        <v>102113</v>
      </c>
      <c r="B7081" s="639">
        <v>2200</v>
      </c>
      <c r="C7081" s="638">
        <v>0</v>
      </c>
      <c r="D7081" s="633">
        <f t="shared" si="226"/>
        <v>0</v>
      </c>
      <c r="E7081" s="608"/>
      <c r="F7081" s="760">
        <f t="shared" si="225"/>
        <v>0</v>
      </c>
      <c r="M7081" s="443"/>
    </row>
    <row r="7082" spans="1:13">
      <c r="A7082" s="639">
        <v>102113</v>
      </c>
      <c r="B7082" s="639">
        <v>2300</v>
      </c>
      <c r="C7082" s="638">
        <v>0</v>
      </c>
      <c r="D7082" s="633">
        <f t="shared" si="226"/>
        <v>0</v>
      </c>
      <c r="E7082" s="608"/>
      <c r="F7082" s="760">
        <f t="shared" si="225"/>
        <v>0</v>
      </c>
      <c r="M7082" s="443"/>
    </row>
    <row r="7083" spans="1:13">
      <c r="A7083" s="639">
        <v>102113</v>
      </c>
      <c r="B7083" s="639">
        <v>2400</v>
      </c>
      <c r="C7083" s="638">
        <v>0</v>
      </c>
      <c r="D7083" s="633">
        <f t="shared" si="226"/>
        <v>0</v>
      </c>
      <c r="E7083" s="608"/>
      <c r="F7083" s="760">
        <f t="shared" si="225"/>
        <v>0</v>
      </c>
      <c r="M7083" s="443"/>
    </row>
    <row r="7084" spans="1:13">
      <c r="A7084" s="639">
        <v>102213</v>
      </c>
      <c r="B7084" s="639">
        <v>100</v>
      </c>
      <c r="C7084" s="638">
        <v>0</v>
      </c>
      <c r="D7084" s="633">
        <f t="shared" si="226"/>
        <v>0</v>
      </c>
      <c r="E7084" s="608"/>
      <c r="F7084" s="760">
        <f t="shared" si="225"/>
        <v>0</v>
      </c>
      <c r="M7084" s="443"/>
    </row>
    <row r="7085" spans="1:13">
      <c r="A7085" s="639">
        <v>102213</v>
      </c>
      <c r="B7085" s="639">
        <v>200</v>
      </c>
      <c r="C7085" s="638">
        <v>0</v>
      </c>
      <c r="D7085" s="633">
        <f t="shared" si="226"/>
        <v>0</v>
      </c>
      <c r="E7085" s="608"/>
      <c r="F7085" s="760">
        <f t="shared" si="225"/>
        <v>0</v>
      </c>
      <c r="M7085" s="443"/>
    </row>
    <row r="7086" spans="1:13">
      <c r="A7086" s="639">
        <v>102213</v>
      </c>
      <c r="B7086" s="639">
        <v>300</v>
      </c>
      <c r="C7086" s="638">
        <v>0</v>
      </c>
      <c r="D7086" s="633">
        <f t="shared" si="226"/>
        <v>0</v>
      </c>
      <c r="E7086" s="608"/>
      <c r="F7086" s="760">
        <f t="shared" si="225"/>
        <v>0</v>
      </c>
      <c r="M7086" s="443"/>
    </row>
    <row r="7087" spans="1:13">
      <c r="A7087" s="639">
        <v>102213</v>
      </c>
      <c r="B7087" s="639">
        <v>400</v>
      </c>
      <c r="C7087" s="638">
        <v>0</v>
      </c>
      <c r="D7087" s="633">
        <f t="shared" si="226"/>
        <v>0</v>
      </c>
      <c r="E7087" s="608"/>
      <c r="F7087" s="760">
        <f t="shared" si="225"/>
        <v>0</v>
      </c>
      <c r="M7087" s="443"/>
    </row>
    <row r="7088" spans="1:13">
      <c r="A7088" s="639">
        <v>102213</v>
      </c>
      <c r="B7088" s="639">
        <v>500</v>
      </c>
      <c r="C7088" s="638">
        <v>0</v>
      </c>
      <c r="D7088" s="633">
        <f t="shared" si="226"/>
        <v>0</v>
      </c>
      <c r="E7088" s="608"/>
      <c r="F7088" s="760">
        <f t="shared" si="225"/>
        <v>0</v>
      </c>
      <c r="M7088" s="443"/>
    </row>
    <row r="7089" spans="1:13">
      <c r="A7089" s="639">
        <v>102213</v>
      </c>
      <c r="B7089" s="639">
        <v>600</v>
      </c>
      <c r="C7089" s="638">
        <v>0</v>
      </c>
      <c r="D7089" s="633">
        <f t="shared" si="226"/>
        <v>0</v>
      </c>
      <c r="E7089" s="608"/>
      <c r="F7089" s="760">
        <f t="shared" si="225"/>
        <v>0</v>
      </c>
      <c r="M7089" s="443"/>
    </row>
    <row r="7090" spans="1:13">
      <c r="A7090" s="639">
        <v>102213</v>
      </c>
      <c r="B7090" s="639">
        <v>700</v>
      </c>
      <c r="C7090" s="638">
        <v>0</v>
      </c>
      <c r="D7090" s="633">
        <f t="shared" si="226"/>
        <v>0</v>
      </c>
      <c r="E7090" s="608"/>
      <c r="F7090" s="760">
        <f t="shared" si="225"/>
        <v>0</v>
      </c>
      <c r="M7090" s="443"/>
    </row>
    <row r="7091" spans="1:13">
      <c r="A7091" s="639">
        <v>102213</v>
      </c>
      <c r="B7091" s="639">
        <v>800</v>
      </c>
      <c r="C7091" s="638">
        <v>0</v>
      </c>
      <c r="D7091" s="633">
        <f t="shared" si="226"/>
        <v>0</v>
      </c>
      <c r="E7091" s="608"/>
      <c r="F7091" s="760">
        <f t="shared" si="225"/>
        <v>0</v>
      </c>
      <c r="M7091" s="443"/>
    </row>
    <row r="7092" spans="1:13">
      <c r="A7092" s="639">
        <v>102213</v>
      </c>
      <c r="B7092" s="639">
        <v>900</v>
      </c>
      <c r="C7092" s="638">
        <v>0</v>
      </c>
      <c r="D7092" s="633">
        <f t="shared" si="226"/>
        <v>0</v>
      </c>
      <c r="E7092" s="608"/>
      <c r="F7092" s="760">
        <f t="shared" ref="F7092:F7155" si="227">(D7092/(MAX($D$6580:$D$7323)))*$M$13</f>
        <v>0</v>
      </c>
      <c r="M7092" s="443"/>
    </row>
    <row r="7093" spans="1:13">
      <c r="A7093" s="639">
        <v>102213</v>
      </c>
      <c r="B7093" s="639">
        <v>1000</v>
      </c>
      <c r="C7093" s="638">
        <v>0</v>
      </c>
      <c r="D7093" s="633">
        <f t="shared" si="226"/>
        <v>0</v>
      </c>
      <c r="E7093" s="608"/>
      <c r="F7093" s="760">
        <f t="shared" si="227"/>
        <v>0</v>
      </c>
      <c r="M7093" s="443"/>
    </row>
    <row r="7094" spans="1:13">
      <c r="A7094" s="639">
        <v>102213</v>
      </c>
      <c r="B7094" s="639">
        <v>1100</v>
      </c>
      <c r="C7094" s="638">
        <v>0</v>
      </c>
      <c r="D7094" s="633">
        <f t="shared" si="226"/>
        <v>0</v>
      </c>
      <c r="E7094" s="608"/>
      <c r="F7094" s="760">
        <f t="shared" si="227"/>
        <v>0</v>
      </c>
      <c r="M7094" s="443"/>
    </row>
    <row r="7095" spans="1:13">
      <c r="A7095" s="639">
        <v>102213</v>
      </c>
      <c r="B7095" s="639">
        <v>1200</v>
      </c>
      <c r="C7095" s="638">
        <v>0</v>
      </c>
      <c r="D7095" s="633">
        <f t="shared" si="226"/>
        <v>0</v>
      </c>
      <c r="E7095" s="608"/>
      <c r="F7095" s="760">
        <f t="shared" si="227"/>
        <v>0</v>
      </c>
      <c r="M7095" s="443"/>
    </row>
    <row r="7096" spans="1:13">
      <c r="A7096" s="639">
        <v>102213</v>
      </c>
      <c r="B7096" s="639">
        <v>1300</v>
      </c>
      <c r="C7096" s="638">
        <v>0</v>
      </c>
      <c r="D7096" s="633">
        <f t="shared" si="226"/>
        <v>0</v>
      </c>
      <c r="E7096" s="608"/>
      <c r="F7096" s="760">
        <f t="shared" si="227"/>
        <v>0</v>
      </c>
      <c r="M7096" s="443"/>
    </row>
    <row r="7097" spans="1:13">
      <c r="A7097" s="639">
        <v>102213</v>
      </c>
      <c r="B7097" s="639">
        <v>1400</v>
      </c>
      <c r="C7097" s="638">
        <v>0</v>
      </c>
      <c r="D7097" s="633">
        <f t="shared" si="226"/>
        <v>0</v>
      </c>
      <c r="E7097" s="608"/>
      <c r="F7097" s="760">
        <f t="shared" si="227"/>
        <v>0</v>
      </c>
      <c r="M7097" s="443"/>
    </row>
    <row r="7098" spans="1:13">
      <c r="A7098" s="639">
        <v>102213</v>
      </c>
      <c r="B7098" s="639">
        <v>1500</v>
      </c>
      <c r="C7098" s="638">
        <v>0</v>
      </c>
      <c r="D7098" s="633">
        <f t="shared" si="226"/>
        <v>0</v>
      </c>
      <c r="E7098" s="608"/>
      <c r="F7098" s="760">
        <f t="shared" si="227"/>
        <v>0</v>
      </c>
      <c r="M7098" s="443"/>
    </row>
    <row r="7099" spans="1:13">
      <c r="A7099" s="639">
        <v>102213</v>
      </c>
      <c r="B7099" s="639">
        <v>1600</v>
      </c>
      <c r="C7099" s="638">
        <v>0</v>
      </c>
      <c r="D7099" s="633">
        <f t="shared" si="226"/>
        <v>0</v>
      </c>
      <c r="E7099" s="608"/>
      <c r="F7099" s="760">
        <f t="shared" si="227"/>
        <v>0</v>
      </c>
      <c r="M7099" s="443"/>
    </row>
    <row r="7100" spans="1:13">
      <c r="A7100" s="639">
        <v>102213</v>
      </c>
      <c r="B7100" s="639">
        <v>1700</v>
      </c>
      <c r="C7100" s="638">
        <v>0</v>
      </c>
      <c r="D7100" s="633">
        <f t="shared" si="226"/>
        <v>0</v>
      </c>
      <c r="E7100" s="608"/>
      <c r="F7100" s="760">
        <f t="shared" si="227"/>
        <v>0</v>
      </c>
      <c r="M7100" s="443"/>
    </row>
    <row r="7101" spans="1:13">
      <c r="A7101" s="639">
        <v>102213</v>
      </c>
      <c r="B7101" s="639">
        <v>1800</v>
      </c>
      <c r="C7101" s="638">
        <v>0</v>
      </c>
      <c r="D7101" s="633">
        <f t="shared" si="226"/>
        <v>0</v>
      </c>
      <c r="E7101" s="608"/>
      <c r="F7101" s="760">
        <f t="shared" si="227"/>
        <v>0</v>
      </c>
      <c r="M7101" s="443"/>
    </row>
    <row r="7102" spans="1:13">
      <c r="A7102" s="639">
        <v>102213</v>
      </c>
      <c r="B7102" s="639">
        <v>1900</v>
      </c>
      <c r="C7102" s="638">
        <v>0</v>
      </c>
      <c r="D7102" s="633">
        <f t="shared" si="226"/>
        <v>0</v>
      </c>
      <c r="E7102" s="608"/>
      <c r="F7102" s="760">
        <f t="shared" si="227"/>
        <v>0</v>
      </c>
      <c r="M7102" s="443"/>
    </row>
    <row r="7103" spans="1:13">
      <c r="A7103" s="639">
        <v>102213</v>
      </c>
      <c r="B7103" s="639">
        <v>2000</v>
      </c>
      <c r="C7103" s="638">
        <v>0</v>
      </c>
      <c r="D7103" s="633">
        <f t="shared" si="226"/>
        <v>0</v>
      </c>
      <c r="E7103" s="608"/>
      <c r="F7103" s="760">
        <f t="shared" si="227"/>
        <v>0</v>
      </c>
      <c r="M7103" s="443"/>
    </row>
    <row r="7104" spans="1:13">
      <c r="A7104" s="639">
        <v>102213</v>
      </c>
      <c r="B7104" s="639">
        <v>2100</v>
      </c>
      <c r="C7104" s="638">
        <v>0</v>
      </c>
      <c r="D7104" s="633">
        <f t="shared" si="226"/>
        <v>0</v>
      </c>
      <c r="E7104" s="608"/>
      <c r="F7104" s="760">
        <f t="shared" si="227"/>
        <v>0</v>
      </c>
      <c r="M7104" s="443"/>
    </row>
    <row r="7105" spans="1:13">
      <c r="A7105" s="639">
        <v>102213</v>
      </c>
      <c r="B7105" s="639">
        <v>2200</v>
      </c>
      <c r="C7105" s="638">
        <v>0</v>
      </c>
      <c r="D7105" s="633">
        <f t="shared" si="226"/>
        <v>0</v>
      </c>
      <c r="E7105" s="608"/>
      <c r="F7105" s="760">
        <f t="shared" si="227"/>
        <v>0</v>
      </c>
      <c r="M7105" s="443"/>
    </row>
    <row r="7106" spans="1:13">
      <c r="A7106" s="639">
        <v>102213</v>
      </c>
      <c r="B7106" s="639">
        <v>2300</v>
      </c>
      <c r="C7106" s="638">
        <v>0</v>
      </c>
      <c r="D7106" s="633">
        <f t="shared" si="226"/>
        <v>0</v>
      </c>
      <c r="E7106" s="608"/>
      <c r="F7106" s="760">
        <f t="shared" si="227"/>
        <v>0</v>
      </c>
      <c r="M7106" s="443"/>
    </row>
    <row r="7107" spans="1:13">
      <c r="A7107" s="639">
        <v>102213</v>
      </c>
      <c r="B7107" s="639">
        <v>2400</v>
      </c>
      <c r="C7107" s="638">
        <v>0</v>
      </c>
      <c r="D7107" s="633">
        <f t="shared" si="226"/>
        <v>0</v>
      </c>
      <c r="E7107" s="608"/>
      <c r="F7107" s="760">
        <f t="shared" si="227"/>
        <v>0</v>
      </c>
      <c r="M7107" s="443"/>
    </row>
    <row r="7108" spans="1:13">
      <c r="A7108" s="639">
        <v>102313</v>
      </c>
      <c r="B7108" s="639">
        <v>100</v>
      </c>
      <c r="C7108" s="638">
        <v>0</v>
      </c>
      <c r="D7108" s="633">
        <f t="shared" si="226"/>
        <v>0</v>
      </c>
      <c r="E7108" s="608"/>
      <c r="F7108" s="760">
        <f t="shared" si="227"/>
        <v>0</v>
      </c>
      <c r="M7108" s="443"/>
    </row>
    <row r="7109" spans="1:13">
      <c r="A7109" s="639">
        <v>102313</v>
      </c>
      <c r="B7109" s="639">
        <v>200</v>
      </c>
      <c r="C7109" s="638">
        <v>0</v>
      </c>
      <c r="D7109" s="633">
        <f t="shared" ref="D7109:D7172" si="228">C7109</f>
        <v>0</v>
      </c>
      <c r="E7109" s="608"/>
      <c r="F7109" s="760">
        <f t="shared" si="227"/>
        <v>0</v>
      </c>
      <c r="M7109" s="443"/>
    </row>
    <row r="7110" spans="1:13">
      <c r="A7110" s="639">
        <v>102313</v>
      </c>
      <c r="B7110" s="639">
        <v>300</v>
      </c>
      <c r="C7110" s="638">
        <v>0</v>
      </c>
      <c r="D7110" s="633">
        <f t="shared" si="228"/>
        <v>0</v>
      </c>
      <c r="E7110" s="608"/>
      <c r="F7110" s="760">
        <f t="shared" si="227"/>
        <v>0</v>
      </c>
      <c r="M7110" s="443"/>
    </row>
    <row r="7111" spans="1:13">
      <c r="A7111" s="639">
        <v>102313</v>
      </c>
      <c r="B7111" s="639">
        <v>400</v>
      </c>
      <c r="C7111" s="638">
        <v>0</v>
      </c>
      <c r="D7111" s="633">
        <f t="shared" si="228"/>
        <v>0</v>
      </c>
      <c r="E7111" s="608"/>
      <c r="F7111" s="760">
        <f t="shared" si="227"/>
        <v>0</v>
      </c>
      <c r="M7111" s="443"/>
    </row>
    <row r="7112" spans="1:13">
      <c r="A7112" s="639">
        <v>102313</v>
      </c>
      <c r="B7112" s="639">
        <v>500</v>
      </c>
      <c r="C7112" s="638">
        <v>0</v>
      </c>
      <c r="D7112" s="633">
        <f t="shared" si="228"/>
        <v>0</v>
      </c>
      <c r="E7112" s="608"/>
      <c r="F7112" s="760">
        <f t="shared" si="227"/>
        <v>0</v>
      </c>
      <c r="M7112" s="443"/>
    </row>
    <row r="7113" spans="1:13">
      <c r="A7113" s="639">
        <v>102313</v>
      </c>
      <c r="B7113" s="639">
        <v>600</v>
      </c>
      <c r="C7113" s="638">
        <v>0</v>
      </c>
      <c r="D7113" s="633">
        <f t="shared" si="228"/>
        <v>0</v>
      </c>
      <c r="E7113" s="608"/>
      <c r="F7113" s="760">
        <f t="shared" si="227"/>
        <v>0</v>
      </c>
      <c r="M7113" s="443"/>
    </row>
    <row r="7114" spans="1:13">
      <c r="A7114" s="639">
        <v>102313</v>
      </c>
      <c r="B7114" s="639">
        <v>700</v>
      </c>
      <c r="C7114" s="638">
        <v>0</v>
      </c>
      <c r="D7114" s="633">
        <f t="shared" si="228"/>
        <v>0</v>
      </c>
      <c r="E7114" s="608"/>
      <c r="F7114" s="760">
        <f t="shared" si="227"/>
        <v>0</v>
      </c>
      <c r="M7114" s="443"/>
    </row>
    <row r="7115" spans="1:13">
      <c r="A7115" s="639">
        <v>102313</v>
      </c>
      <c r="B7115" s="639">
        <v>800</v>
      </c>
      <c r="C7115" s="638">
        <v>0</v>
      </c>
      <c r="D7115" s="633">
        <f t="shared" si="228"/>
        <v>0</v>
      </c>
      <c r="E7115" s="608"/>
      <c r="F7115" s="760">
        <f t="shared" si="227"/>
        <v>0</v>
      </c>
      <c r="M7115" s="443"/>
    </row>
    <row r="7116" spans="1:13">
      <c r="A7116" s="639">
        <v>102313</v>
      </c>
      <c r="B7116" s="639">
        <v>900</v>
      </c>
      <c r="C7116" s="638">
        <v>0</v>
      </c>
      <c r="D7116" s="633">
        <f t="shared" si="228"/>
        <v>0</v>
      </c>
      <c r="E7116" s="608"/>
      <c r="F7116" s="760">
        <f t="shared" si="227"/>
        <v>0</v>
      </c>
      <c r="M7116" s="443"/>
    </row>
    <row r="7117" spans="1:13">
      <c r="A7117" s="639">
        <v>102313</v>
      </c>
      <c r="B7117" s="639">
        <v>1000</v>
      </c>
      <c r="C7117" s="638">
        <v>0</v>
      </c>
      <c r="D7117" s="633">
        <f t="shared" si="228"/>
        <v>0</v>
      </c>
      <c r="E7117" s="608"/>
      <c r="F7117" s="760">
        <f t="shared" si="227"/>
        <v>0</v>
      </c>
      <c r="M7117" s="443"/>
    </row>
    <row r="7118" spans="1:13">
      <c r="A7118" s="639">
        <v>102313</v>
      </c>
      <c r="B7118" s="639">
        <v>1100</v>
      </c>
      <c r="C7118" s="638">
        <v>0</v>
      </c>
      <c r="D7118" s="633">
        <f t="shared" si="228"/>
        <v>0</v>
      </c>
      <c r="E7118" s="608"/>
      <c r="F7118" s="760">
        <f t="shared" si="227"/>
        <v>0</v>
      </c>
      <c r="M7118" s="443"/>
    </row>
    <row r="7119" spans="1:13">
      <c r="A7119" s="639">
        <v>102313</v>
      </c>
      <c r="B7119" s="639">
        <v>1200</v>
      </c>
      <c r="C7119" s="638">
        <v>0</v>
      </c>
      <c r="D7119" s="633">
        <f t="shared" si="228"/>
        <v>0</v>
      </c>
      <c r="E7119" s="608"/>
      <c r="F7119" s="760">
        <f t="shared" si="227"/>
        <v>0</v>
      </c>
      <c r="M7119" s="443"/>
    </row>
    <row r="7120" spans="1:13">
      <c r="A7120" s="639">
        <v>102313</v>
      </c>
      <c r="B7120" s="639">
        <v>1300</v>
      </c>
      <c r="C7120" s="638">
        <v>0</v>
      </c>
      <c r="D7120" s="633">
        <f t="shared" si="228"/>
        <v>0</v>
      </c>
      <c r="E7120" s="608"/>
      <c r="F7120" s="760">
        <f t="shared" si="227"/>
        <v>0</v>
      </c>
      <c r="M7120" s="443"/>
    </row>
    <row r="7121" spans="1:13">
      <c r="A7121" s="639">
        <v>102313</v>
      </c>
      <c r="B7121" s="639">
        <v>1400</v>
      </c>
      <c r="C7121" s="638">
        <v>0</v>
      </c>
      <c r="D7121" s="633">
        <f t="shared" si="228"/>
        <v>0</v>
      </c>
      <c r="E7121" s="608"/>
      <c r="F7121" s="760">
        <f t="shared" si="227"/>
        <v>0</v>
      </c>
      <c r="M7121" s="443"/>
    </row>
    <row r="7122" spans="1:13">
      <c r="A7122" s="639">
        <v>102313</v>
      </c>
      <c r="B7122" s="639">
        <v>1500</v>
      </c>
      <c r="C7122" s="638">
        <v>0</v>
      </c>
      <c r="D7122" s="633">
        <f t="shared" si="228"/>
        <v>0</v>
      </c>
      <c r="E7122" s="608"/>
      <c r="F7122" s="760">
        <f t="shared" si="227"/>
        <v>0</v>
      </c>
      <c r="M7122" s="443"/>
    </row>
    <row r="7123" spans="1:13">
      <c r="A7123" s="639">
        <v>102313</v>
      </c>
      <c r="B7123" s="639">
        <v>1600</v>
      </c>
      <c r="C7123" s="638">
        <v>0</v>
      </c>
      <c r="D7123" s="633">
        <f t="shared" si="228"/>
        <v>0</v>
      </c>
      <c r="E7123" s="608"/>
      <c r="F7123" s="760">
        <f t="shared" si="227"/>
        <v>0</v>
      </c>
      <c r="M7123" s="443"/>
    </row>
    <row r="7124" spans="1:13">
      <c r="A7124" s="639">
        <v>102313</v>
      </c>
      <c r="B7124" s="639">
        <v>1700</v>
      </c>
      <c r="C7124" s="638">
        <v>0</v>
      </c>
      <c r="D7124" s="633">
        <f t="shared" si="228"/>
        <v>0</v>
      </c>
      <c r="E7124" s="608"/>
      <c r="F7124" s="760">
        <f t="shared" si="227"/>
        <v>0</v>
      </c>
      <c r="M7124" s="443"/>
    </row>
    <row r="7125" spans="1:13">
      <c r="A7125" s="639">
        <v>102313</v>
      </c>
      <c r="B7125" s="639">
        <v>1800</v>
      </c>
      <c r="C7125" s="638">
        <v>0</v>
      </c>
      <c r="D7125" s="633">
        <f t="shared" si="228"/>
        <v>0</v>
      </c>
      <c r="E7125" s="608"/>
      <c r="F7125" s="760">
        <f t="shared" si="227"/>
        <v>0</v>
      </c>
      <c r="M7125" s="443"/>
    </row>
    <row r="7126" spans="1:13">
      <c r="A7126" s="639">
        <v>102313</v>
      </c>
      <c r="B7126" s="639">
        <v>1900</v>
      </c>
      <c r="C7126" s="638">
        <v>0</v>
      </c>
      <c r="D7126" s="633">
        <f t="shared" si="228"/>
        <v>0</v>
      </c>
      <c r="E7126" s="608"/>
      <c r="F7126" s="760">
        <f t="shared" si="227"/>
        <v>0</v>
      </c>
      <c r="M7126" s="443"/>
    </row>
    <row r="7127" spans="1:13">
      <c r="A7127" s="639">
        <v>102313</v>
      </c>
      <c r="B7127" s="639">
        <v>2000</v>
      </c>
      <c r="C7127" s="638">
        <v>0</v>
      </c>
      <c r="D7127" s="633">
        <f t="shared" si="228"/>
        <v>0</v>
      </c>
      <c r="E7127" s="608"/>
      <c r="F7127" s="760">
        <f t="shared" si="227"/>
        <v>0</v>
      </c>
      <c r="M7127" s="443"/>
    </row>
    <row r="7128" spans="1:13">
      <c r="A7128" s="639">
        <v>102313</v>
      </c>
      <c r="B7128" s="639">
        <v>2100</v>
      </c>
      <c r="C7128" s="638">
        <v>0</v>
      </c>
      <c r="D7128" s="633">
        <f t="shared" si="228"/>
        <v>0</v>
      </c>
      <c r="E7128" s="608"/>
      <c r="F7128" s="760">
        <f t="shared" si="227"/>
        <v>0</v>
      </c>
      <c r="M7128" s="443"/>
    </row>
    <row r="7129" spans="1:13">
      <c r="A7129" s="639">
        <v>102313</v>
      </c>
      <c r="B7129" s="639">
        <v>2200</v>
      </c>
      <c r="C7129" s="638">
        <v>0</v>
      </c>
      <c r="D7129" s="633">
        <f t="shared" si="228"/>
        <v>0</v>
      </c>
      <c r="E7129" s="608"/>
      <c r="F7129" s="760">
        <f t="shared" si="227"/>
        <v>0</v>
      </c>
      <c r="M7129" s="443"/>
    </row>
    <row r="7130" spans="1:13">
      <c r="A7130" s="639">
        <v>102313</v>
      </c>
      <c r="B7130" s="639">
        <v>2300</v>
      </c>
      <c r="C7130" s="638">
        <v>0</v>
      </c>
      <c r="D7130" s="633">
        <f t="shared" si="228"/>
        <v>0</v>
      </c>
      <c r="E7130" s="608"/>
      <c r="F7130" s="760">
        <f t="shared" si="227"/>
        <v>0</v>
      </c>
      <c r="M7130" s="443"/>
    </row>
    <row r="7131" spans="1:13">
      <c r="A7131" s="639">
        <v>102313</v>
      </c>
      <c r="B7131" s="639">
        <v>2400</v>
      </c>
      <c r="C7131" s="638">
        <v>0</v>
      </c>
      <c r="D7131" s="633">
        <f t="shared" si="228"/>
        <v>0</v>
      </c>
      <c r="E7131" s="608"/>
      <c r="F7131" s="760">
        <f t="shared" si="227"/>
        <v>0</v>
      </c>
      <c r="M7131" s="443"/>
    </row>
    <row r="7132" spans="1:13">
      <c r="A7132" s="639">
        <v>102413</v>
      </c>
      <c r="B7132" s="639">
        <v>100</v>
      </c>
      <c r="C7132" s="638">
        <v>0</v>
      </c>
      <c r="D7132" s="633">
        <f t="shared" si="228"/>
        <v>0</v>
      </c>
      <c r="E7132" s="608"/>
      <c r="F7132" s="760">
        <f t="shared" si="227"/>
        <v>0</v>
      </c>
      <c r="M7132" s="443"/>
    </row>
    <row r="7133" spans="1:13">
      <c r="A7133" s="639">
        <v>102413</v>
      </c>
      <c r="B7133" s="639">
        <v>200</v>
      </c>
      <c r="C7133" s="638">
        <v>0</v>
      </c>
      <c r="D7133" s="633">
        <f t="shared" si="228"/>
        <v>0</v>
      </c>
      <c r="E7133" s="608"/>
      <c r="F7133" s="760">
        <f t="shared" si="227"/>
        <v>0</v>
      </c>
      <c r="M7133" s="443"/>
    </row>
    <row r="7134" spans="1:13">
      <c r="A7134" s="639">
        <v>102413</v>
      </c>
      <c r="B7134" s="639">
        <v>300</v>
      </c>
      <c r="C7134" s="638">
        <v>0</v>
      </c>
      <c r="D7134" s="633">
        <f t="shared" si="228"/>
        <v>0</v>
      </c>
      <c r="E7134" s="608"/>
      <c r="F7134" s="760">
        <f t="shared" si="227"/>
        <v>0</v>
      </c>
      <c r="M7134" s="443"/>
    </row>
    <row r="7135" spans="1:13">
      <c r="A7135" s="639">
        <v>102413</v>
      </c>
      <c r="B7135" s="639">
        <v>400</v>
      </c>
      <c r="C7135" s="638">
        <v>0</v>
      </c>
      <c r="D7135" s="633">
        <f t="shared" si="228"/>
        <v>0</v>
      </c>
      <c r="E7135" s="608"/>
      <c r="F7135" s="760">
        <f t="shared" si="227"/>
        <v>0</v>
      </c>
      <c r="M7135" s="443"/>
    </row>
    <row r="7136" spans="1:13">
      <c r="A7136" s="639">
        <v>102413</v>
      </c>
      <c r="B7136" s="639">
        <v>500</v>
      </c>
      <c r="C7136" s="638">
        <v>0</v>
      </c>
      <c r="D7136" s="633">
        <f t="shared" si="228"/>
        <v>0</v>
      </c>
      <c r="E7136" s="608"/>
      <c r="F7136" s="760">
        <f t="shared" si="227"/>
        <v>0</v>
      </c>
      <c r="M7136" s="443"/>
    </row>
    <row r="7137" spans="1:13">
      <c r="A7137" s="639">
        <v>102413</v>
      </c>
      <c r="B7137" s="639">
        <v>600</v>
      </c>
      <c r="C7137" s="638">
        <v>0</v>
      </c>
      <c r="D7137" s="633">
        <f t="shared" si="228"/>
        <v>0</v>
      </c>
      <c r="E7137" s="608"/>
      <c r="F7137" s="760">
        <f t="shared" si="227"/>
        <v>0</v>
      </c>
      <c r="M7137" s="443"/>
    </row>
    <row r="7138" spans="1:13">
      <c r="A7138" s="639">
        <v>102413</v>
      </c>
      <c r="B7138" s="639">
        <v>700</v>
      </c>
      <c r="C7138" s="638">
        <v>0</v>
      </c>
      <c r="D7138" s="633">
        <f t="shared" si="228"/>
        <v>0</v>
      </c>
      <c r="E7138" s="608"/>
      <c r="F7138" s="760">
        <f t="shared" si="227"/>
        <v>0</v>
      </c>
      <c r="M7138" s="443"/>
    </row>
    <row r="7139" spans="1:13">
      <c r="A7139" s="639">
        <v>102413</v>
      </c>
      <c r="B7139" s="639">
        <v>800</v>
      </c>
      <c r="C7139" s="638">
        <v>0</v>
      </c>
      <c r="D7139" s="633">
        <f t="shared" si="228"/>
        <v>0</v>
      </c>
      <c r="E7139" s="608"/>
      <c r="F7139" s="760">
        <f t="shared" si="227"/>
        <v>0</v>
      </c>
      <c r="M7139" s="443"/>
    </row>
    <row r="7140" spans="1:13">
      <c r="A7140" s="639">
        <v>102413</v>
      </c>
      <c r="B7140" s="639">
        <v>900</v>
      </c>
      <c r="C7140" s="638">
        <v>0</v>
      </c>
      <c r="D7140" s="633">
        <f t="shared" si="228"/>
        <v>0</v>
      </c>
      <c r="E7140" s="608"/>
      <c r="F7140" s="760">
        <f t="shared" si="227"/>
        <v>0</v>
      </c>
      <c r="M7140" s="443"/>
    </row>
    <row r="7141" spans="1:13">
      <c r="A7141" s="639">
        <v>102413</v>
      </c>
      <c r="B7141" s="639">
        <v>1000</v>
      </c>
      <c r="C7141" s="638">
        <v>0</v>
      </c>
      <c r="D7141" s="633">
        <f t="shared" si="228"/>
        <v>0</v>
      </c>
      <c r="E7141" s="608"/>
      <c r="F7141" s="760">
        <f t="shared" si="227"/>
        <v>0</v>
      </c>
      <c r="M7141" s="443"/>
    </row>
    <row r="7142" spans="1:13">
      <c r="A7142" s="639">
        <v>102413</v>
      </c>
      <c r="B7142" s="639">
        <v>1100</v>
      </c>
      <c r="C7142" s="638">
        <v>0</v>
      </c>
      <c r="D7142" s="633">
        <f t="shared" si="228"/>
        <v>0</v>
      </c>
      <c r="E7142" s="608"/>
      <c r="F7142" s="760">
        <f t="shared" si="227"/>
        <v>0</v>
      </c>
      <c r="M7142" s="443"/>
    </row>
    <row r="7143" spans="1:13">
      <c r="A7143" s="639">
        <v>102413</v>
      </c>
      <c r="B7143" s="639">
        <v>1200</v>
      </c>
      <c r="C7143" s="638">
        <v>0</v>
      </c>
      <c r="D7143" s="633">
        <f t="shared" si="228"/>
        <v>0</v>
      </c>
      <c r="E7143" s="608"/>
      <c r="F7143" s="760">
        <f t="shared" si="227"/>
        <v>0</v>
      </c>
      <c r="M7143" s="443"/>
    </row>
    <row r="7144" spans="1:13">
      <c r="A7144" s="639">
        <v>102413</v>
      </c>
      <c r="B7144" s="639">
        <v>1300</v>
      </c>
      <c r="C7144" s="638">
        <v>0</v>
      </c>
      <c r="D7144" s="633">
        <f t="shared" si="228"/>
        <v>0</v>
      </c>
      <c r="E7144" s="608"/>
      <c r="F7144" s="760">
        <f t="shared" si="227"/>
        <v>0</v>
      </c>
      <c r="M7144" s="443"/>
    </row>
    <row r="7145" spans="1:13">
      <c r="A7145" s="639">
        <v>102413</v>
      </c>
      <c r="B7145" s="639">
        <v>1400</v>
      </c>
      <c r="C7145" s="638">
        <v>0</v>
      </c>
      <c r="D7145" s="633">
        <f t="shared" si="228"/>
        <v>0</v>
      </c>
      <c r="E7145" s="608"/>
      <c r="F7145" s="760">
        <f t="shared" si="227"/>
        <v>0</v>
      </c>
      <c r="M7145" s="443"/>
    </row>
    <row r="7146" spans="1:13">
      <c r="A7146" s="639">
        <v>102413</v>
      </c>
      <c r="B7146" s="639">
        <v>1500</v>
      </c>
      <c r="C7146" s="638">
        <v>0</v>
      </c>
      <c r="D7146" s="633">
        <f t="shared" si="228"/>
        <v>0</v>
      </c>
      <c r="E7146" s="608"/>
      <c r="F7146" s="760">
        <f t="shared" si="227"/>
        <v>0</v>
      </c>
      <c r="M7146" s="443"/>
    </row>
    <row r="7147" spans="1:13">
      <c r="A7147" s="639">
        <v>102413</v>
      </c>
      <c r="B7147" s="639">
        <v>1600</v>
      </c>
      <c r="C7147" s="638">
        <v>0</v>
      </c>
      <c r="D7147" s="633">
        <f t="shared" si="228"/>
        <v>0</v>
      </c>
      <c r="E7147" s="608"/>
      <c r="F7147" s="760">
        <f t="shared" si="227"/>
        <v>0</v>
      </c>
      <c r="M7147" s="443"/>
    </row>
    <row r="7148" spans="1:13">
      <c r="A7148" s="639">
        <v>102413</v>
      </c>
      <c r="B7148" s="639">
        <v>1700</v>
      </c>
      <c r="C7148" s="638">
        <v>0</v>
      </c>
      <c r="D7148" s="633">
        <f t="shared" si="228"/>
        <v>0</v>
      </c>
      <c r="E7148" s="608"/>
      <c r="F7148" s="760">
        <f t="shared" si="227"/>
        <v>0</v>
      </c>
      <c r="M7148" s="443"/>
    </row>
    <row r="7149" spans="1:13">
      <c r="A7149" s="639">
        <v>102413</v>
      </c>
      <c r="B7149" s="639">
        <v>1800</v>
      </c>
      <c r="C7149" s="638">
        <v>0</v>
      </c>
      <c r="D7149" s="633">
        <f t="shared" si="228"/>
        <v>0</v>
      </c>
      <c r="E7149" s="608"/>
      <c r="F7149" s="760">
        <f t="shared" si="227"/>
        <v>0</v>
      </c>
      <c r="M7149" s="443"/>
    </row>
    <row r="7150" spans="1:13">
      <c r="A7150" s="639">
        <v>102413</v>
      </c>
      <c r="B7150" s="639">
        <v>1900</v>
      </c>
      <c r="C7150" s="638">
        <v>0</v>
      </c>
      <c r="D7150" s="633">
        <f t="shared" si="228"/>
        <v>0</v>
      </c>
      <c r="E7150" s="608"/>
      <c r="F7150" s="760">
        <f t="shared" si="227"/>
        <v>0</v>
      </c>
      <c r="M7150" s="443"/>
    </row>
    <row r="7151" spans="1:13">
      <c r="A7151" s="639">
        <v>102413</v>
      </c>
      <c r="B7151" s="639">
        <v>2000</v>
      </c>
      <c r="C7151" s="638">
        <v>0</v>
      </c>
      <c r="D7151" s="633">
        <f t="shared" si="228"/>
        <v>0</v>
      </c>
      <c r="E7151" s="608"/>
      <c r="F7151" s="760">
        <f t="shared" si="227"/>
        <v>0</v>
      </c>
      <c r="M7151" s="443"/>
    </row>
    <row r="7152" spans="1:13">
      <c r="A7152" s="639">
        <v>102413</v>
      </c>
      <c r="B7152" s="639">
        <v>2100</v>
      </c>
      <c r="C7152" s="638">
        <v>0</v>
      </c>
      <c r="D7152" s="633">
        <f t="shared" si="228"/>
        <v>0</v>
      </c>
      <c r="E7152" s="608"/>
      <c r="F7152" s="760">
        <f t="shared" si="227"/>
        <v>0</v>
      </c>
      <c r="M7152" s="443"/>
    </row>
    <row r="7153" spans="1:13">
      <c r="A7153" s="639">
        <v>102413</v>
      </c>
      <c r="B7153" s="639">
        <v>2200</v>
      </c>
      <c r="C7153" s="638">
        <v>0</v>
      </c>
      <c r="D7153" s="633">
        <f t="shared" si="228"/>
        <v>0</v>
      </c>
      <c r="E7153" s="608"/>
      <c r="F7153" s="760">
        <f t="shared" si="227"/>
        <v>0</v>
      </c>
      <c r="M7153" s="443"/>
    </row>
    <row r="7154" spans="1:13">
      <c r="A7154" s="639">
        <v>102413</v>
      </c>
      <c r="B7154" s="639">
        <v>2300</v>
      </c>
      <c r="C7154" s="638">
        <v>0</v>
      </c>
      <c r="D7154" s="633">
        <f t="shared" si="228"/>
        <v>0</v>
      </c>
      <c r="E7154" s="608"/>
      <c r="F7154" s="760">
        <f t="shared" si="227"/>
        <v>0</v>
      </c>
      <c r="M7154" s="443"/>
    </row>
    <row r="7155" spans="1:13">
      <c r="A7155" s="639">
        <v>102413</v>
      </c>
      <c r="B7155" s="639">
        <v>2400</v>
      </c>
      <c r="C7155" s="638">
        <v>0</v>
      </c>
      <c r="D7155" s="633">
        <f t="shared" si="228"/>
        <v>0</v>
      </c>
      <c r="E7155" s="608"/>
      <c r="F7155" s="760">
        <f t="shared" si="227"/>
        <v>0</v>
      </c>
      <c r="M7155" s="443"/>
    </row>
    <row r="7156" spans="1:13">
      <c r="A7156" s="639">
        <v>102513</v>
      </c>
      <c r="B7156" s="639">
        <v>100</v>
      </c>
      <c r="C7156" s="638">
        <v>0</v>
      </c>
      <c r="D7156" s="633">
        <f t="shared" si="228"/>
        <v>0</v>
      </c>
      <c r="E7156" s="608"/>
      <c r="F7156" s="760">
        <f t="shared" ref="F7156:F7219" si="229">(D7156/(MAX($D$6580:$D$7323)))*$M$13</f>
        <v>0</v>
      </c>
      <c r="M7156" s="443"/>
    </row>
    <row r="7157" spans="1:13">
      <c r="A7157" s="639">
        <v>102513</v>
      </c>
      <c r="B7157" s="639">
        <v>200</v>
      </c>
      <c r="C7157" s="638">
        <v>0</v>
      </c>
      <c r="D7157" s="633">
        <f t="shared" si="228"/>
        <v>0</v>
      </c>
      <c r="E7157" s="608"/>
      <c r="F7157" s="760">
        <f t="shared" si="229"/>
        <v>0</v>
      </c>
      <c r="M7157" s="443"/>
    </row>
    <row r="7158" spans="1:13">
      <c r="A7158" s="639">
        <v>102513</v>
      </c>
      <c r="B7158" s="639">
        <v>300</v>
      </c>
      <c r="C7158" s="638">
        <v>0</v>
      </c>
      <c r="D7158" s="633">
        <f t="shared" si="228"/>
        <v>0</v>
      </c>
      <c r="E7158" s="608"/>
      <c r="F7158" s="760">
        <f t="shared" si="229"/>
        <v>0</v>
      </c>
      <c r="M7158" s="443"/>
    </row>
    <row r="7159" spans="1:13">
      <c r="A7159" s="639">
        <v>102513</v>
      </c>
      <c r="B7159" s="639">
        <v>400</v>
      </c>
      <c r="C7159" s="638">
        <v>0</v>
      </c>
      <c r="D7159" s="633">
        <f t="shared" si="228"/>
        <v>0</v>
      </c>
      <c r="E7159" s="608"/>
      <c r="F7159" s="760">
        <f t="shared" si="229"/>
        <v>0</v>
      </c>
      <c r="M7159" s="443"/>
    </row>
    <row r="7160" spans="1:13">
      <c r="A7160" s="639">
        <v>102513</v>
      </c>
      <c r="B7160" s="639">
        <v>500</v>
      </c>
      <c r="C7160" s="638">
        <v>0</v>
      </c>
      <c r="D7160" s="633">
        <f t="shared" si="228"/>
        <v>0</v>
      </c>
      <c r="E7160" s="608"/>
      <c r="F7160" s="760">
        <f t="shared" si="229"/>
        <v>0</v>
      </c>
      <c r="M7160" s="443"/>
    </row>
    <row r="7161" spans="1:13">
      <c r="A7161" s="639">
        <v>102513</v>
      </c>
      <c r="B7161" s="639">
        <v>600</v>
      </c>
      <c r="C7161" s="638">
        <v>0</v>
      </c>
      <c r="D7161" s="633">
        <f t="shared" si="228"/>
        <v>0</v>
      </c>
      <c r="E7161" s="608"/>
      <c r="F7161" s="760">
        <f t="shared" si="229"/>
        <v>0</v>
      </c>
      <c r="M7161" s="443"/>
    </row>
    <row r="7162" spans="1:13">
      <c r="A7162" s="639">
        <v>102513</v>
      </c>
      <c r="B7162" s="639">
        <v>700</v>
      </c>
      <c r="C7162" s="638">
        <v>0</v>
      </c>
      <c r="D7162" s="633">
        <f t="shared" si="228"/>
        <v>0</v>
      </c>
      <c r="E7162" s="608"/>
      <c r="F7162" s="760">
        <f t="shared" si="229"/>
        <v>0</v>
      </c>
      <c r="M7162" s="443"/>
    </row>
    <row r="7163" spans="1:13">
      <c r="A7163" s="639">
        <v>102513</v>
      </c>
      <c r="B7163" s="639">
        <v>800</v>
      </c>
      <c r="C7163" s="638">
        <v>0</v>
      </c>
      <c r="D7163" s="633">
        <f t="shared" si="228"/>
        <v>0</v>
      </c>
      <c r="E7163" s="608"/>
      <c r="F7163" s="760">
        <f t="shared" si="229"/>
        <v>0</v>
      </c>
      <c r="M7163" s="443"/>
    </row>
    <row r="7164" spans="1:13">
      <c r="A7164" s="639">
        <v>102513</v>
      </c>
      <c r="B7164" s="639">
        <v>900</v>
      </c>
      <c r="C7164" s="638">
        <v>0</v>
      </c>
      <c r="D7164" s="633">
        <f t="shared" si="228"/>
        <v>0</v>
      </c>
      <c r="E7164" s="608"/>
      <c r="F7164" s="760">
        <f t="shared" si="229"/>
        <v>0</v>
      </c>
      <c r="M7164" s="443"/>
    </row>
    <row r="7165" spans="1:13">
      <c r="A7165" s="639">
        <v>102513</v>
      </c>
      <c r="B7165" s="639">
        <v>1000</v>
      </c>
      <c r="C7165" s="638">
        <v>0</v>
      </c>
      <c r="D7165" s="633">
        <f t="shared" si="228"/>
        <v>0</v>
      </c>
      <c r="E7165" s="608"/>
      <c r="F7165" s="760">
        <f t="shared" si="229"/>
        <v>0</v>
      </c>
      <c r="M7165" s="443"/>
    </row>
    <row r="7166" spans="1:13">
      <c r="A7166" s="639">
        <v>102513</v>
      </c>
      <c r="B7166" s="639">
        <v>1100</v>
      </c>
      <c r="C7166" s="638">
        <v>0</v>
      </c>
      <c r="D7166" s="633">
        <f t="shared" si="228"/>
        <v>0</v>
      </c>
      <c r="E7166" s="608"/>
      <c r="F7166" s="760">
        <f t="shared" si="229"/>
        <v>0</v>
      </c>
      <c r="M7166" s="443"/>
    </row>
    <row r="7167" spans="1:13">
      <c r="A7167" s="639">
        <v>102513</v>
      </c>
      <c r="B7167" s="639">
        <v>1200</v>
      </c>
      <c r="C7167" s="638">
        <v>0</v>
      </c>
      <c r="D7167" s="633">
        <f t="shared" si="228"/>
        <v>0</v>
      </c>
      <c r="E7167" s="608"/>
      <c r="F7167" s="760">
        <f t="shared" si="229"/>
        <v>0</v>
      </c>
      <c r="M7167" s="443"/>
    </row>
    <row r="7168" spans="1:13">
      <c r="A7168" s="639">
        <v>102513</v>
      </c>
      <c r="B7168" s="639">
        <v>1300</v>
      </c>
      <c r="C7168" s="638">
        <v>0</v>
      </c>
      <c r="D7168" s="633">
        <f t="shared" si="228"/>
        <v>0</v>
      </c>
      <c r="E7168" s="608"/>
      <c r="F7168" s="760">
        <f t="shared" si="229"/>
        <v>0</v>
      </c>
      <c r="M7168" s="443"/>
    </row>
    <row r="7169" spans="1:13">
      <c r="A7169" s="639">
        <v>102513</v>
      </c>
      <c r="B7169" s="639">
        <v>1400</v>
      </c>
      <c r="C7169" s="638">
        <v>0</v>
      </c>
      <c r="D7169" s="633">
        <f t="shared" si="228"/>
        <v>0</v>
      </c>
      <c r="E7169" s="608"/>
      <c r="F7169" s="760">
        <f t="shared" si="229"/>
        <v>0</v>
      </c>
      <c r="M7169" s="443"/>
    </row>
    <row r="7170" spans="1:13">
      <c r="A7170" s="639">
        <v>102513</v>
      </c>
      <c r="B7170" s="639">
        <v>1500</v>
      </c>
      <c r="C7170" s="638">
        <v>0</v>
      </c>
      <c r="D7170" s="633">
        <f t="shared" si="228"/>
        <v>0</v>
      </c>
      <c r="E7170" s="608"/>
      <c r="F7170" s="760">
        <f t="shared" si="229"/>
        <v>0</v>
      </c>
      <c r="M7170" s="443"/>
    </row>
    <row r="7171" spans="1:13">
      <c r="A7171" s="639">
        <v>102513</v>
      </c>
      <c r="B7171" s="639">
        <v>1600</v>
      </c>
      <c r="C7171" s="638">
        <v>2E-3</v>
      </c>
      <c r="D7171" s="633">
        <f t="shared" si="228"/>
        <v>2E-3</v>
      </c>
      <c r="E7171" s="608"/>
      <c r="F7171" s="760">
        <f t="shared" si="229"/>
        <v>8.4384364036353893E-4</v>
      </c>
      <c r="M7171" s="443"/>
    </row>
    <row r="7172" spans="1:13">
      <c r="A7172" s="639">
        <v>102513</v>
      </c>
      <c r="B7172" s="639">
        <v>1700</v>
      </c>
      <c r="C7172" s="638">
        <v>2.1999999999999999E-2</v>
      </c>
      <c r="D7172" s="633">
        <f t="shared" si="228"/>
        <v>2.1999999999999999E-2</v>
      </c>
      <c r="E7172" s="608"/>
      <c r="F7172" s="760">
        <f t="shared" si="229"/>
        <v>9.2822800439989282E-3</v>
      </c>
      <c r="M7172" s="443"/>
    </row>
    <row r="7173" spans="1:13">
      <c r="A7173" s="639">
        <v>102513</v>
      </c>
      <c r="B7173" s="639">
        <v>1800</v>
      </c>
      <c r="C7173" s="638">
        <v>2.3E-2</v>
      </c>
      <c r="D7173" s="633">
        <f t="shared" ref="D7173:D7236" si="230">C7173</f>
        <v>2.3E-2</v>
      </c>
      <c r="E7173" s="608"/>
      <c r="F7173" s="760">
        <f t="shared" si="229"/>
        <v>9.7042018641806983E-3</v>
      </c>
      <c r="M7173" s="443"/>
    </row>
    <row r="7174" spans="1:13">
      <c r="A7174" s="639">
        <v>102513</v>
      </c>
      <c r="B7174" s="639">
        <v>1900</v>
      </c>
      <c r="C7174" s="638">
        <v>2.7E-2</v>
      </c>
      <c r="D7174" s="633">
        <f t="shared" si="230"/>
        <v>2.7E-2</v>
      </c>
      <c r="E7174" s="608"/>
      <c r="F7174" s="760">
        <f t="shared" si="229"/>
        <v>1.1391889144907777E-2</v>
      </c>
      <c r="M7174" s="443"/>
    </row>
    <row r="7175" spans="1:13">
      <c r="A7175" s="639">
        <v>102513</v>
      </c>
      <c r="B7175" s="639">
        <v>2000</v>
      </c>
      <c r="C7175" s="638">
        <v>0.03</v>
      </c>
      <c r="D7175" s="633">
        <f t="shared" si="230"/>
        <v>0.03</v>
      </c>
      <c r="E7175" s="608"/>
      <c r="F7175" s="760">
        <f t="shared" si="229"/>
        <v>1.2657654605453086E-2</v>
      </c>
      <c r="M7175" s="443"/>
    </row>
    <row r="7176" spans="1:13">
      <c r="A7176" s="639">
        <v>102513</v>
      </c>
      <c r="B7176" s="639">
        <v>2100</v>
      </c>
      <c r="C7176" s="638">
        <v>2.8000000000000001E-2</v>
      </c>
      <c r="D7176" s="633">
        <f t="shared" si="230"/>
        <v>2.8000000000000001E-2</v>
      </c>
      <c r="E7176" s="608"/>
      <c r="F7176" s="760">
        <f t="shared" si="229"/>
        <v>1.1813810965089547E-2</v>
      </c>
      <c r="M7176" s="443"/>
    </row>
    <row r="7177" spans="1:13">
      <c r="A7177" s="639">
        <v>102513</v>
      </c>
      <c r="B7177" s="639">
        <v>2200</v>
      </c>
      <c r="C7177" s="638">
        <v>2.8000000000000001E-2</v>
      </c>
      <c r="D7177" s="633">
        <f t="shared" si="230"/>
        <v>2.8000000000000001E-2</v>
      </c>
      <c r="E7177" s="608"/>
      <c r="F7177" s="760">
        <f t="shared" si="229"/>
        <v>1.1813810965089547E-2</v>
      </c>
      <c r="M7177" s="443"/>
    </row>
    <row r="7178" spans="1:13">
      <c r="A7178" s="639">
        <v>102513</v>
      </c>
      <c r="B7178" s="639">
        <v>2300</v>
      </c>
      <c r="C7178" s="638">
        <v>2.8000000000000001E-2</v>
      </c>
      <c r="D7178" s="633">
        <f t="shared" si="230"/>
        <v>2.8000000000000001E-2</v>
      </c>
      <c r="E7178" s="608"/>
      <c r="F7178" s="760">
        <f t="shared" si="229"/>
        <v>1.1813810965089547E-2</v>
      </c>
      <c r="M7178" s="443"/>
    </row>
    <row r="7179" spans="1:13">
      <c r="A7179" s="639">
        <v>102513</v>
      </c>
      <c r="B7179" s="639">
        <v>2400</v>
      </c>
      <c r="C7179" s="638">
        <v>2.9000000000000001E-2</v>
      </c>
      <c r="D7179" s="633">
        <f t="shared" si="230"/>
        <v>2.9000000000000001E-2</v>
      </c>
      <c r="E7179" s="608"/>
      <c r="F7179" s="760">
        <f t="shared" si="229"/>
        <v>1.2235732785271316E-2</v>
      </c>
      <c r="M7179" s="443"/>
    </row>
    <row r="7180" spans="1:13">
      <c r="A7180" s="639">
        <v>102613</v>
      </c>
      <c r="B7180" s="639">
        <v>100</v>
      </c>
      <c r="C7180" s="638">
        <v>3.2000000000000001E-2</v>
      </c>
      <c r="D7180" s="633">
        <f t="shared" si="230"/>
        <v>3.2000000000000001E-2</v>
      </c>
      <c r="E7180" s="608"/>
      <c r="F7180" s="760">
        <f t="shared" si="229"/>
        <v>1.3501498245816623E-2</v>
      </c>
      <c r="M7180" s="443"/>
    </row>
    <row r="7181" spans="1:13">
      <c r="A7181" s="639">
        <v>102613</v>
      </c>
      <c r="B7181" s="639">
        <v>200</v>
      </c>
      <c r="C7181" s="638">
        <v>3.2000000000000001E-2</v>
      </c>
      <c r="D7181" s="633">
        <f t="shared" si="230"/>
        <v>3.2000000000000001E-2</v>
      </c>
      <c r="E7181" s="608"/>
      <c r="F7181" s="760">
        <f t="shared" si="229"/>
        <v>1.3501498245816623E-2</v>
      </c>
      <c r="M7181" s="443"/>
    </row>
    <row r="7182" spans="1:13">
      <c r="A7182" s="639">
        <v>102613</v>
      </c>
      <c r="B7182" s="639">
        <v>300</v>
      </c>
      <c r="C7182" s="638">
        <v>0.03</v>
      </c>
      <c r="D7182" s="633">
        <f t="shared" si="230"/>
        <v>0.03</v>
      </c>
      <c r="E7182" s="608"/>
      <c r="F7182" s="760">
        <f t="shared" si="229"/>
        <v>1.2657654605453086E-2</v>
      </c>
      <c r="M7182" s="443"/>
    </row>
    <row r="7183" spans="1:13">
      <c r="A7183" s="639">
        <v>102613</v>
      </c>
      <c r="B7183" s="639">
        <v>400</v>
      </c>
      <c r="C7183" s="638">
        <v>0.03</v>
      </c>
      <c r="D7183" s="633">
        <f t="shared" si="230"/>
        <v>0.03</v>
      </c>
      <c r="E7183" s="608"/>
      <c r="F7183" s="760">
        <f t="shared" si="229"/>
        <v>1.2657654605453086E-2</v>
      </c>
      <c r="M7183" s="443"/>
    </row>
    <row r="7184" spans="1:13">
      <c r="A7184" s="639">
        <v>102613</v>
      </c>
      <c r="B7184" s="639">
        <v>500</v>
      </c>
      <c r="C7184" s="638">
        <v>3.6999999999999998E-2</v>
      </c>
      <c r="D7184" s="633">
        <f t="shared" si="230"/>
        <v>3.6999999999999998E-2</v>
      </c>
      <c r="E7184" s="608"/>
      <c r="F7184" s="760">
        <f t="shared" si="229"/>
        <v>1.561110734672547E-2</v>
      </c>
      <c r="M7184" s="443"/>
    </row>
    <row r="7185" spans="1:13">
      <c r="A7185" s="639">
        <v>102613</v>
      </c>
      <c r="B7185" s="639">
        <v>600</v>
      </c>
      <c r="C7185" s="638">
        <v>5.3999999999999999E-2</v>
      </c>
      <c r="D7185" s="633">
        <f t="shared" si="230"/>
        <v>5.3999999999999999E-2</v>
      </c>
      <c r="E7185" s="608"/>
      <c r="F7185" s="760">
        <f t="shared" si="229"/>
        <v>2.2783778289815555E-2</v>
      </c>
      <c r="M7185" s="443"/>
    </row>
    <row r="7186" spans="1:13">
      <c r="A7186" s="639">
        <v>102613</v>
      </c>
      <c r="B7186" s="639">
        <v>700</v>
      </c>
      <c r="C7186" s="638">
        <v>0.06</v>
      </c>
      <c r="D7186" s="633">
        <f t="shared" si="230"/>
        <v>0.06</v>
      </c>
      <c r="E7186" s="608"/>
      <c r="F7186" s="760">
        <f t="shared" si="229"/>
        <v>2.5315309210906172E-2</v>
      </c>
      <c r="M7186" s="443"/>
    </row>
    <row r="7187" spans="1:13">
      <c r="A7187" s="639">
        <v>102613</v>
      </c>
      <c r="B7187" s="639">
        <v>800</v>
      </c>
      <c r="C7187" s="638">
        <v>5.1999999999999998E-2</v>
      </c>
      <c r="D7187" s="633">
        <f t="shared" si="230"/>
        <v>5.1999999999999998E-2</v>
      </c>
      <c r="E7187" s="608"/>
      <c r="F7187" s="760">
        <f t="shared" si="229"/>
        <v>2.1939934649452011E-2</v>
      </c>
      <c r="M7187" s="443"/>
    </row>
    <row r="7188" spans="1:13">
      <c r="A7188" s="639">
        <v>102613</v>
      </c>
      <c r="B7188" s="639">
        <v>900</v>
      </c>
      <c r="C7188" s="638">
        <v>5.2999999999999999E-2</v>
      </c>
      <c r="D7188" s="633">
        <f t="shared" si="230"/>
        <v>5.2999999999999999E-2</v>
      </c>
      <c r="E7188" s="608"/>
      <c r="F7188" s="760">
        <f t="shared" si="229"/>
        <v>2.2361856469633783E-2</v>
      </c>
      <c r="M7188" s="443"/>
    </row>
    <row r="7189" spans="1:13">
      <c r="A7189" s="639">
        <v>102613</v>
      </c>
      <c r="B7189" s="639">
        <v>1000</v>
      </c>
      <c r="C7189" s="638">
        <v>5.3999999999999999E-2</v>
      </c>
      <c r="D7189" s="633">
        <f t="shared" si="230"/>
        <v>5.3999999999999999E-2</v>
      </c>
      <c r="E7189" s="608"/>
      <c r="F7189" s="760">
        <f t="shared" si="229"/>
        <v>2.2783778289815555E-2</v>
      </c>
      <c r="M7189" s="443"/>
    </row>
    <row r="7190" spans="1:13">
      <c r="A7190" s="639">
        <v>102613</v>
      </c>
      <c r="B7190" s="639">
        <v>1100</v>
      </c>
      <c r="C7190" s="638">
        <v>4.1000000000000002E-2</v>
      </c>
      <c r="D7190" s="633">
        <f t="shared" si="230"/>
        <v>4.1000000000000002E-2</v>
      </c>
      <c r="E7190" s="608"/>
      <c r="F7190" s="760">
        <f t="shared" si="229"/>
        <v>1.7298794627452548E-2</v>
      </c>
      <c r="M7190" s="443"/>
    </row>
    <row r="7191" spans="1:13">
      <c r="A7191" s="639">
        <v>102613</v>
      </c>
      <c r="B7191" s="639">
        <v>1200</v>
      </c>
      <c r="C7191" s="638">
        <v>3.3000000000000002E-2</v>
      </c>
      <c r="D7191" s="633">
        <f t="shared" si="230"/>
        <v>3.3000000000000002E-2</v>
      </c>
      <c r="E7191" s="608"/>
      <c r="F7191" s="760">
        <f t="shared" si="229"/>
        <v>1.3923420065998393E-2</v>
      </c>
      <c r="M7191" s="443"/>
    </row>
    <row r="7192" spans="1:13">
      <c r="A7192" s="639">
        <v>102613</v>
      </c>
      <c r="B7192" s="639">
        <v>1300</v>
      </c>
      <c r="C7192" s="638">
        <v>1.2999999999999999E-2</v>
      </c>
      <c r="D7192" s="633">
        <f t="shared" si="230"/>
        <v>1.2999999999999999E-2</v>
      </c>
      <c r="E7192" s="608"/>
      <c r="F7192" s="760">
        <f t="shared" si="229"/>
        <v>5.4849836623630027E-3</v>
      </c>
      <c r="M7192" s="443"/>
    </row>
    <row r="7193" spans="1:13">
      <c r="A7193" s="639">
        <v>102613</v>
      </c>
      <c r="B7193" s="639">
        <v>1400</v>
      </c>
      <c r="C7193" s="638">
        <v>1.2E-2</v>
      </c>
      <c r="D7193" s="633">
        <f t="shared" si="230"/>
        <v>1.2E-2</v>
      </c>
      <c r="E7193" s="608"/>
      <c r="F7193" s="760">
        <f t="shared" si="229"/>
        <v>5.0630618421812342E-3</v>
      </c>
      <c r="M7193" s="443"/>
    </row>
    <row r="7194" spans="1:13">
      <c r="A7194" s="639">
        <v>102613</v>
      </c>
      <c r="B7194" s="639">
        <v>1500</v>
      </c>
      <c r="C7194" s="638">
        <v>1.4E-2</v>
      </c>
      <c r="D7194" s="633">
        <f t="shared" si="230"/>
        <v>1.4E-2</v>
      </c>
      <c r="E7194" s="608"/>
      <c r="F7194" s="760">
        <f t="shared" si="229"/>
        <v>5.9069054825447737E-3</v>
      </c>
      <c r="M7194" s="443"/>
    </row>
    <row r="7195" spans="1:13">
      <c r="A7195" s="639">
        <v>102613</v>
      </c>
      <c r="B7195" s="639">
        <v>1600</v>
      </c>
      <c r="C7195" s="638">
        <v>1.7000000000000001E-2</v>
      </c>
      <c r="D7195" s="633">
        <f t="shared" si="230"/>
        <v>1.7000000000000001E-2</v>
      </c>
      <c r="E7195" s="608"/>
      <c r="F7195" s="760">
        <f t="shared" si="229"/>
        <v>7.1726709430900825E-3</v>
      </c>
      <c r="M7195" s="443"/>
    </row>
    <row r="7196" spans="1:13">
      <c r="A7196" s="639">
        <v>102613</v>
      </c>
      <c r="B7196" s="639">
        <v>1700</v>
      </c>
      <c r="C7196" s="638">
        <v>1.2999999999999999E-2</v>
      </c>
      <c r="D7196" s="633">
        <f t="shared" si="230"/>
        <v>1.2999999999999999E-2</v>
      </c>
      <c r="E7196" s="608"/>
      <c r="F7196" s="760">
        <f t="shared" si="229"/>
        <v>5.4849836623630027E-3</v>
      </c>
      <c r="M7196" s="443"/>
    </row>
    <row r="7197" spans="1:13">
      <c r="A7197" s="639">
        <v>102613</v>
      </c>
      <c r="B7197" s="639">
        <v>1800</v>
      </c>
      <c r="C7197" s="638">
        <v>1.4999999999999999E-2</v>
      </c>
      <c r="D7197" s="633">
        <f t="shared" si="230"/>
        <v>1.4999999999999999E-2</v>
      </c>
      <c r="E7197" s="608"/>
      <c r="F7197" s="760">
        <f t="shared" si="229"/>
        <v>6.328827302726543E-3</v>
      </c>
      <c r="M7197" s="443"/>
    </row>
    <row r="7198" spans="1:13">
      <c r="A7198" s="639">
        <v>102613</v>
      </c>
      <c r="B7198" s="639">
        <v>1900</v>
      </c>
      <c r="C7198" s="638">
        <v>0.02</v>
      </c>
      <c r="D7198" s="633">
        <f t="shared" si="230"/>
        <v>0.02</v>
      </c>
      <c r="E7198" s="608"/>
      <c r="F7198" s="760">
        <f t="shared" si="229"/>
        <v>8.4384364036353895E-3</v>
      </c>
      <c r="M7198" s="443"/>
    </row>
    <row r="7199" spans="1:13">
      <c r="A7199" s="639">
        <v>102613</v>
      </c>
      <c r="B7199" s="639">
        <v>2000</v>
      </c>
      <c r="C7199" s="638">
        <v>2.5000000000000001E-2</v>
      </c>
      <c r="D7199" s="633">
        <f t="shared" si="230"/>
        <v>2.5000000000000001E-2</v>
      </c>
      <c r="E7199" s="608"/>
      <c r="F7199" s="760">
        <f t="shared" si="229"/>
        <v>1.0548045504544239E-2</v>
      </c>
      <c r="M7199" s="443"/>
    </row>
    <row r="7200" spans="1:13">
      <c r="A7200" s="639">
        <v>102613</v>
      </c>
      <c r="B7200" s="639">
        <v>2100</v>
      </c>
      <c r="C7200" s="638">
        <v>2.1999999999999999E-2</v>
      </c>
      <c r="D7200" s="633">
        <f t="shared" si="230"/>
        <v>2.1999999999999999E-2</v>
      </c>
      <c r="E7200" s="608"/>
      <c r="F7200" s="760">
        <f t="shared" si="229"/>
        <v>9.2822800439989282E-3</v>
      </c>
      <c r="M7200" s="443"/>
    </row>
    <row r="7201" spans="1:13">
      <c r="A7201" s="639">
        <v>102613</v>
      </c>
      <c r="B7201" s="639">
        <v>2200</v>
      </c>
      <c r="C7201" s="638">
        <v>2.5000000000000001E-2</v>
      </c>
      <c r="D7201" s="633">
        <f t="shared" si="230"/>
        <v>2.5000000000000001E-2</v>
      </c>
      <c r="E7201" s="608"/>
      <c r="F7201" s="760">
        <f t="shared" si="229"/>
        <v>1.0548045504544239E-2</v>
      </c>
      <c r="M7201" s="443"/>
    </row>
    <row r="7202" spans="1:13">
      <c r="A7202" s="639">
        <v>102613</v>
      </c>
      <c r="B7202" s="639">
        <v>2300</v>
      </c>
      <c r="C7202" s="638">
        <v>2.4E-2</v>
      </c>
      <c r="D7202" s="633">
        <f t="shared" si="230"/>
        <v>2.4E-2</v>
      </c>
      <c r="E7202" s="608"/>
      <c r="F7202" s="760">
        <f t="shared" si="229"/>
        <v>1.0126123684362468E-2</v>
      </c>
      <c r="M7202" s="443"/>
    </row>
    <row r="7203" spans="1:13">
      <c r="A7203" s="639">
        <v>102613</v>
      </c>
      <c r="B7203" s="639">
        <v>2400</v>
      </c>
      <c r="C7203" s="638">
        <v>2.1999999999999999E-2</v>
      </c>
      <c r="D7203" s="633">
        <f t="shared" si="230"/>
        <v>2.1999999999999999E-2</v>
      </c>
      <c r="E7203" s="608"/>
      <c r="F7203" s="760">
        <f t="shared" si="229"/>
        <v>9.2822800439989282E-3</v>
      </c>
      <c r="M7203" s="443"/>
    </row>
    <row r="7204" spans="1:13">
      <c r="A7204" s="639">
        <v>102713</v>
      </c>
      <c r="B7204" s="639">
        <v>100</v>
      </c>
      <c r="C7204" s="638">
        <v>2.4E-2</v>
      </c>
      <c r="D7204" s="633">
        <f t="shared" si="230"/>
        <v>2.4E-2</v>
      </c>
      <c r="E7204" s="608"/>
      <c r="F7204" s="760">
        <f t="shared" si="229"/>
        <v>1.0126123684362468E-2</v>
      </c>
      <c r="M7204" s="443"/>
    </row>
    <row r="7205" spans="1:13">
      <c r="A7205" s="639">
        <v>102713</v>
      </c>
      <c r="B7205" s="639">
        <v>200</v>
      </c>
      <c r="C7205" s="638">
        <v>2.7E-2</v>
      </c>
      <c r="D7205" s="633">
        <f t="shared" si="230"/>
        <v>2.7E-2</v>
      </c>
      <c r="E7205" s="608"/>
      <c r="F7205" s="760">
        <f t="shared" si="229"/>
        <v>1.1391889144907777E-2</v>
      </c>
      <c r="M7205" s="443"/>
    </row>
    <row r="7206" spans="1:13">
      <c r="A7206" s="639">
        <v>102713</v>
      </c>
      <c r="B7206" s="639">
        <v>300</v>
      </c>
      <c r="C7206" s="638">
        <v>2.7E-2</v>
      </c>
      <c r="D7206" s="633">
        <f t="shared" si="230"/>
        <v>2.7E-2</v>
      </c>
      <c r="E7206" s="608"/>
      <c r="F7206" s="760">
        <f t="shared" si="229"/>
        <v>1.1391889144907777E-2</v>
      </c>
      <c r="M7206" s="443"/>
    </row>
    <row r="7207" spans="1:13">
      <c r="A7207" s="639">
        <v>102713</v>
      </c>
      <c r="B7207" s="639">
        <v>400</v>
      </c>
      <c r="C7207" s="638">
        <v>2.5999999999999999E-2</v>
      </c>
      <c r="D7207" s="633">
        <f t="shared" si="230"/>
        <v>2.5999999999999999E-2</v>
      </c>
      <c r="E7207" s="608"/>
      <c r="F7207" s="760">
        <f t="shared" si="229"/>
        <v>1.0969967324726005E-2</v>
      </c>
      <c r="M7207" s="443"/>
    </row>
    <row r="7208" spans="1:13">
      <c r="A7208" s="639">
        <v>102713</v>
      </c>
      <c r="B7208" s="639">
        <v>500</v>
      </c>
      <c r="C7208" s="638">
        <v>2.5999999999999999E-2</v>
      </c>
      <c r="D7208" s="633">
        <f t="shared" si="230"/>
        <v>2.5999999999999999E-2</v>
      </c>
      <c r="E7208" s="608"/>
      <c r="F7208" s="760">
        <f t="shared" si="229"/>
        <v>1.0969967324726005E-2</v>
      </c>
      <c r="M7208" s="443"/>
    </row>
    <row r="7209" spans="1:13">
      <c r="A7209" s="639">
        <v>102713</v>
      </c>
      <c r="B7209" s="639">
        <v>600</v>
      </c>
      <c r="C7209" s="638">
        <v>2.4E-2</v>
      </c>
      <c r="D7209" s="633">
        <f t="shared" si="230"/>
        <v>2.4E-2</v>
      </c>
      <c r="E7209" s="608"/>
      <c r="F7209" s="760">
        <f t="shared" si="229"/>
        <v>1.0126123684362468E-2</v>
      </c>
      <c r="M7209" s="443"/>
    </row>
    <row r="7210" spans="1:13">
      <c r="A7210" s="639">
        <v>102713</v>
      </c>
      <c r="B7210" s="639">
        <v>700</v>
      </c>
      <c r="C7210" s="638">
        <v>2.1000000000000001E-2</v>
      </c>
      <c r="D7210" s="633">
        <f t="shared" si="230"/>
        <v>2.1000000000000001E-2</v>
      </c>
      <c r="E7210" s="608"/>
      <c r="F7210" s="760">
        <f t="shared" si="229"/>
        <v>8.8603582238171597E-3</v>
      </c>
      <c r="M7210" s="443"/>
    </row>
    <row r="7211" spans="1:13">
      <c r="A7211" s="639">
        <v>102713</v>
      </c>
      <c r="B7211" s="639">
        <v>800</v>
      </c>
      <c r="C7211" s="638">
        <v>1.9E-2</v>
      </c>
      <c r="D7211" s="633">
        <f t="shared" si="230"/>
        <v>1.9E-2</v>
      </c>
      <c r="E7211" s="608"/>
      <c r="F7211" s="760">
        <f t="shared" si="229"/>
        <v>8.0165145834536211E-3</v>
      </c>
      <c r="M7211" s="443"/>
    </row>
    <row r="7212" spans="1:13">
      <c r="A7212" s="639">
        <v>102713</v>
      </c>
      <c r="B7212" s="639">
        <v>900</v>
      </c>
      <c r="C7212" s="638">
        <v>2.1999999999999999E-2</v>
      </c>
      <c r="D7212" s="633">
        <f t="shared" si="230"/>
        <v>2.1999999999999999E-2</v>
      </c>
      <c r="E7212" s="608"/>
      <c r="F7212" s="760">
        <f t="shared" si="229"/>
        <v>9.2822800439989282E-3</v>
      </c>
      <c r="M7212" s="443"/>
    </row>
    <row r="7213" spans="1:13">
      <c r="A7213" s="639">
        <v>102713</v>
      </c>
      <c r="B7213" s="639">
        <v>1000</v>
      </c>
      <c r="C7213" s="638">
        <v>1.7999999999999999E-2</v>
      </c>
      <c r="D7213" s="633">
        <f t="shared" si="230"/>
        <v>1.7999999999999999E-2</v>
      </c>
      <c r="E7213" s="608"/>
      <c r="F7213" s="760">
        <f t="shared" si="229"/>
        <v>7.5945927632718501E-3</v>
      </c>
      <c r="M7213" s="443"/>
    </row>
    <row r="7214" spans="1:13">
      <c r="A7214" s="639">
        <v>102713</v>
      </c>
      <c r="B7214" s="639">
        <v>1100</v>
      </c>
      <c r="C7214" s="638">
        <v>1.7000000000000001E-2</v>
      </c>
      <c r="D7214" s="633">
        <f t="shared" si="230"/>
        <v>1.7000000000000001E-2</v>
      </c>
      <c r="E7214" s="608"/>
      <c r="F7214" s="760">
        <f t="shared" si="229"/>
        <v>7.1726709430900825E-3</v>
      </c>
      <c r="M7214" s="443"/>
    </row>
    <row r="7215" spans="1:13">
      <c r="A7215" s="639">
        <v>102713</v>
      </c>
      <c r="B7215" s="639">
        <v>1200</v>
      </c>
      <c r="C7215" s="638">
        <v>1.6E-2</v>
      </c>
      <c r="D7215" s="633">
        <f t="shared" si="230"/>
        <v>1.6E-2</v>
      </c>
      <c r="E7215" s="608"/>
      <c r="F7215" s="760">
        <f t="shared" si="229"/>
        <v>6.7507491229083115E-3</v>
      </c>
      <c r="M7215" s="443"/>
    </row>
    <row r="7216" spans="1:13">
      <c r="A7216" s="639">
        <v>102713</v>
      </c>
      <c r="B7216" s="639">
        <v>1300</v>
      </c>
      <c r="C7216" s="638">
        <v>1.7999999999999999E-2</v>
      </c>
      <c r="D7216" s="633">
        <f t="shared" si="230"/>
        <v>1.7999999999999999E-2</v>
      </c>
      <c r="E7216" s="608"/>
      <c r="F7216" s="760">
        <f t="shared" si="229"/>
        <v>7.5945927632718501E-3</v>
      </c>
      <c r="M7216" s="443"/>
    </row>
    <row r="7217" spans="1:13">
      <c r="A7217" s="639">
        <v>102713</v>
      </c>
      <c r="B7217" s="639">
        <v>1400</v>
      </c>
      <c r="C7217" s="638">
        <v>0.02</v>
      </c>
      <c r="D7217" s="633">
        <f t="shared" si="230"/>
        <v>0.02</v>
      </c>
      <c r="E7217" s="608"/>
      <c r="F7217" s="760">
        <f t="shared" si="229"/>
        <v>8.4384364036353895E-3</v>
      </c>
      <c r="M7217" s="443"/>
    </row>
    <row r="7218" spans="1:13">
      <c r="A7218" s="639">
        <v>102713</v>
      </c>
      <c r="B7218" s="639">
        <v>1500</v>
      </c>
      <c r="C7218" s="638">
        <v>1.7999999999999999E-2</v>
      </c>
      <c r="D7218" s="633">
        <f t="shared" si="230"/>
        <v>1.7999999999999999E-2</v>
      </c>
      <c r="E7218" s="608"/>
      <c r="F7218" s="760">
        <f t="shared" si="229"/>
        <v>7.5945927632718501E-3</v>
      </c>
      <c r="M7218" s="443"/>
    </row>
    <row r="7219" spans="1:13">
      <c r="A7219" s="639">
        <v>102713</v>
      </c>
      <c r="B7219" s="639">
        <v>1600</v>
      </c>
      <c r="C7219" s="638">
        <v>1.7000000000000001E-2</v>
      </c>
      <c r="D7219" s="633">
        <f t="shared" si="230"/>
        <v>1.7000000000000001E-2</v>
      </c>
      <c r="E7219" s="608"/>
      <c r="F7219" s="760">
        <f t="shared" si="229"/>
        <v>7.1726709430900825E-3</v>
      </c>
      <c r="M7219" s="443"/>
    </row>
    <row r="7220" spans="1:13">
      <c r="A7220" s="639">
        <v>102713</v>
      </c>
      <c r="B7220" s="639">
        <v>1700</v>
      </c>
      <c r="C7220" s="638">
        <v>1.7000000000000001E-2</v>
      </c>
      <c r="D7220" s="633">
        <f t="shared" si="230"/>
        <v>1.7000000000000001E-2</v>
      </c>
      <c r="E7220" s="608"/>
      <c r="F7220" s="760">
        <f t="shared" ref="F7220:F7283" si="231">(D7220/(MAX($D$6580:$D$7323)))*$M$13</f>
        <v>7.1726709430900825E-3</v>
      </c>
      <c r="M7220" s="443"/>
    </row>
    <row r="7221" spans="1:13">
      <c r="A7221" s="639">
        <v>102713</v>
      </c>
      <c r="B7221" s="639">
        <v>1800</v>
      </c>
      <c r="C7221" s="638">
        <v>1.7000000000000001E-2</v>
      </c>
      <c r="D7221" s="633">
        <f t="shared" si="230"/>
        <v>1.7000000000000001E-2</v>
      </c>
      <c r="E7221" s="608"/>
      <c r="F7221" s="760">
        <f t="shared" si="231"/>
        <v>7.1726709430900825E-3</v>
      </c>
      <c r="M7221" s="443"/>
    </row>
    <row r="7222" spans="1:13">
      <c r="A7222" s="639">
        <v>102713</v>
      </c>
      <c r="B7222" s="639">
        <v>1900</v>
      </c>
      <c r="C7222" s="638">
        <v>1.9E-2</v>
      </c>
      <c r="D7222" s="633">
        <f t="shared" si="230"/>
        <v>1.9E-2</v>
      </c>
      <c r="E7222" s="608"/>
      <c r="F7222" s="760">
        <f t="shared" si="231"/>
        <v>8.0165145834536211E-3</v>
      </c>
      <c r="M7222" s="443"/>
    </row>
    <row r="7223" spans="1:13">
      <c r="A7223" s="639">
        <v>102713</v>
      </c>
      <c r="B7223" s="639">
        <v>2000</v>
      </c>
      <c r="C7223" s="638">
        <v>2.4E-2</v>
      </c>
      <c r="D7223" s="633">
        <f t="shared" si="230"/>
        <v>2.4E-2</v>
      </c>
      <c r="E7223" s="608"/>
      <c r="F7223" s="760">
        <f t="shared" si="231"/>
        <v>1.0126123684362468E-2</v>
      </c>
      <c r="M7223" s="443"/>
    </row>
    <row r="7224" spans="1:13">
      <c r="A7224" s="639">
        <v>102713</v>
      </c>
      <c r="B7224" s="639">
        <v>2100</v>
      </c>
      <c r="C7224" s="638">
        <v>2.5000000000000001E-2</v>
      </c>
      <c r="D7224" s="633">
        <f t="shared" si="230"/>
        <v>2.5000000000000001E-2</v>
      </c>
      <c r="E7224" s="608"/>
      <c r="F7224" s="760">
        <f t="shared" si="231"/>
        <v>1.0548045504544239E-2</v>
      </c>
      <c r="M7224" s="443"/>
    </row>
    <row r="7225" spans="1:13">
      <c r="A7225" s="639">
        <v>102713</v>
      </c>
      <c r="B7225" s="639">
        <v>2200</v>
      </c>
      <c r="C7225" s="638">
        <v>2.5000000000000001E-2</v>
      </c>
      <c r="D7225" s="633">
        <f t="shared" si="230"/>
        <v>2.5000000000000001E-2</v>
      </c>
      <c r="E7225" s="608"/>
      <c r="F7225" s="760">
        <f t="shared" si="231"/>
        <v>1.0548045504544239E-2</v>
      </c>
      <c r="M7225" s="443"/>
    </row>
    <row r="7226" spans="1:13">
      <c r="A7226" s="639">
        <v>102713</v>
      </c>
      <c r="B7226" s="639">
        <v>2300</v>
      </c>
      <c r="C7226" s="638">
        <v>0.03</v>
      </c>
      <c r="D7226" s="633">
        <f t="shared" si="230"/>
        <v>0.03</v>
      </c>
      <c r="E7226" s="608"/>
      <c r="F7226" s="760">
        <f t="shared" si="231"/>
        <v>1.2657654605453086E-2</v>
      </c>
      <c r="M7226" s="443"/>
    </row>
    <row r="7227" spans="1:13">
      <c r="A7227" s="639">
        <v>102713</v>
      </c>
      <c r="B7227" s="639">
        <v>2400</v>
      </c>
      <c r="C7227" s="638">
        <v>3.1E-2</v>
      </c>
      <c r="D7227" s="633">
        <f t="shared" si="230"/>
        <v>3.1E-2</v>
      </c>
      <c r="E7227" s="608"/>
      <c r="F7227" s="760">
        <f t="shared" si="231"/>
        <v>1.3079576425634854E-2</v>
      </c>
      <c r="M7227" s="443"/>
    </row>
    <row r="7228" spans="1:13">
      <c r="A7228" s="639">
        <v>102813</v>
      </c>
      <c r="B7228" s="639">
        <v>100</v>
      </c>
      <c r="C7228" s="638">
        <v>2.8000000000000001E-2</v>
      </c>
      <c r="D7228" s="633">
        <f t="shared" si="230"/>
        <v>2.8000000000000001E-2</v>
      </c>
      <c r="E7228" s="608"/>
      <c r="F7228" s="760">
        <f t="shared" si="231"/>
        <v>1.1813810965089547E-2</v>
      </c>
      <c r="M7228" s="443"/>
    </row>
    <row r="7229" spans="1:13">
      <c r="A7229" s="639">
        <v>102813</v>
      </c>
      <c r="B7229" s="639">
        <v>200</v>
      </c>
      <c r="C7229" s="638">
        <v>0.03</v>
      </c>
      <c r="D7229" s="633">
        <f t="shared" si="230"/>
        <v>0.03</v>
      </c>
      <c r="E7229" s="608"/>
      <c r="F7229" s="760">
        <f t="shared" si="231"/>
        <v>1.2657654605453086E-2</v>
      </c>
      <c r="M7229" s="443"/>
    </row>
    <row r="7230" spans="1:13">
      <c r="A7230" s="639">
        <v>102813</v>
      </c>
      <c r="B7230" s="639">
        <v>300</v>
      </c>
      <c r="C7230" s="638">
        <v>3.1E-2</v>
      </c>
      <c r="D7230" s="633">
        <f t="shared" si="230"/>
        <v>3.1E-2</v>
      </c>
      <c r="E7230" s="608"/>
      <c r="F7230" s="760">
        <f t="shared" si="231"/>
        <v>1.3079576425634854E-2</v>
      </c>
      <c r="M7230" s="443"/>
    </row>
    <row r="7231" spans="1:13">
      <c r="A7231" s="639">
        <v>102813</v>
      </c>
      <c r="B7231" s="639">
        <v>400</v>
      </c>
      <c r="C7231" s="638">
        <v>3.2000000000000001E-2</v>
      </c>
      <c r="D7231" s="633">
        <f t="shared" si="230"/>
        <v>3.2000000000000001E-2</v>
      </c>
      <c r="E7231" s="608"/>
      <c r="F7231" s="760">
        <f t="shared" si="231"/>
        <v>1.3501498245816623E-2</v>
      </c>
      <c r="M7231" s="443"/>
    </row>
    <row r="7232" spans="1:13">
      <c r="A7232" s="639">
        <v>102813</v>
      </c>
      <c r="B7232" s="639">
        <v>500</v>
      </c>
      <c r="C7232" s="638">
        <v>2.8000000000000001E-2</v>
      </c>
      <c r="D7232" s="633">
        <f t="shared" si="230"/>
        <v>2.8000000000000001E-2</v>
      </c>
      <c r="E7232" s="608"/>
      <c r="F7232" s="760">
        <f t="shared" si="231"/>
        <v>1.1813810965089547E-2</v>
      </c>
      <c r="M7232" s="443"/>
    </row>
    <row r="7233" spans="1:13">
      <c r="A7233" s="639">
        <v>102813</v>
      </c>
      <c r="B7233" s="639">
        <v>600</v>
      </c>
      <c r="C7233" s="638">
        <v>2.3E-2</v>
      </c>
      <c r="D7233" s="633">
        <f t="shared" si="230"/>
        <v>2.3E-2</v>
      </c>
      <c r="E7233" s="608"/>
      <c r="F7233" s="760">
        <f t="shared" si="231"/>
        <v>9.7042018641806983E-3</v>
      </c>
      <c r="M7233" s="443"/>
    </row>
    <row r="7234" spans="1:13">
      <c r="A7234" s="639">
        <v>102813</v>
      </c>
      <c r="B7234" s="639">
        <v>700</v>
      </c>
      <c r="C7234" s="638">
        <v>2.5999999999999999E-2</v>
      </c>
      <c r="D7234" s="633">
        <f t="shared" si="230"/>
        <v>2.5999999999999999E-2</v>
      </c>
      <c r="E7234" s="608"/>
      <c r="F7234" s="760">
        <f t="shared" si="231"/>
        <v>1.0969967324726005E-2</v>
      </c>
      <c r="M7234" s="443"/>
    </row>
    <row r="7235" spans="1:13">
      <c r="A7235" s="639">
        <v>102813</v>
      </c>
      <c r="B7235" s="639">
        <v>800</v>
      </c>
      <c r="C7235" s="638">
        <v>2.4E-2</v>
      </c>
      <c r="D7235" s="633">
        <f t="shared" si="230"/>
        <v>2.4E-2</v>
      </c>
      <c r="E7235" s="608"/>
      <c r="F7235" s="760">
        <f t="shared" si="231"/>
        <v>1.0126123684362468E-2</v>
      </c>
      <c r="M7235" s="443"/>
    </row>
    <row r="7236" spans="1:13">
      <c r="A7236" s="639">
        <v>102813</v>
      </c>
      <c r="B7236" s="639">
        <v>900</v>
      </c>
      <c r="C7236" s="638">
        <v>2.1999999999999999E-2</v>
      </c>
      <c r="D7236" s="633">
        <f t="shared" si="230"/>
        <v>2.1999999999999999E-2</v>
      </c>
      <c r="E7236" s="608"/>
      <c r="F7236" s="760">
        <f t="shared" si="231"/>
        <v>9.2822800439989282E-3</v>
      </c>
      <c r="M7236" s="443"/>
    </row>
    <row r="7237" spans="1:13">
      <c r="A7237" s="639">
        <v>102813</v>
      </c>
      <c r="B7237" s="639">
        <v>1000</v>
      </c>
      <c r="C7237" s="638">
        <v>2.4E-2</v>
      </c>
      <c r="D7237" s="633">
        <f t="shared" ref="D7237:D7300" si="232">C7237</f>
        <v>2.4E-2</v>
      </c>
      <c r="E7237" s="608"/>
      <c r="F7237" s="760">
        <f t="shared" si="231"/>
        <v>1.0126123684362468E-2</v>
      </c>
      <c r="M7237" s="443"/>
    </row>
    <row r="7238" spans="1:13">
      <c r="A7238" s="639">
        <v>102813</v>
      </c>
      <c r="B7238" s="639">
        <v>1100</v>
      </c>
      <c r="C7238" s="638">
        <v>2.4E-2</v>
      </c>
      <c r="D7238" s="633">
        <f t="shared" si="232"/>
        <v>2.4E-2</v>
      </c>
      <c r="E7238" s="608"/>
      <c r="F7238" s="760">
        <f t="shared" si="231"/>
        <v>1.0126123684362468E-2</v>
      </c>
      <c r="M7238" s="443"/>
    </row>
    <row r="7239" spans="1:13">
      <c r="A7239" s="639">
        <v>102813</v>
      </c>
      <c r="B7239" s="639">
        <v>1200</v>
      </c>
      <c r="C7239" s="638">
        <v>2.5000000000000001E-2</v>
      </c>
      <c r="D7239" s="633">
        <f t="shared" si="232"/>
        <v>2.5000000000000001E-2</v>
      </c>
      <c r="E7239" s="608"/>
      <c r="F7239" s="760">
        <f t="shared" si="231"/>
        <v>1.0548045504544239E-2</v>
      </c>
      <c r="M7239" s="443"/>
    </row>
    <row r="7240" spans="1:13">
      <c r="A7240" s="639">
        <v>102813</v>
      </c>
      <c r="B7240" s="639">
        <v>1300</v>
      </c>
      <c r="C7240" s="638">
        <v>2.1999999999999999E-2</v>
      </c>
      <c r="D7240" s="633">
        <f t="shared" si="232"/>
        <v>2.1999999999999999E-2</v>
      </c>
      <c r="E7240" s="608"/>
      <c r="F7240" s="760">
        <f t="shared" si="231"/>
        <v>9.2822800439989282E-3</v>
      </c>
      <c r="M7240" s="443"/>
    </row>
    <row r="7241" spans="1:13">
      <c r="A7241" s="639">
        <v>102813</v>
      </c>
      <c r="B7241" s="639">
        <v>1400</v>
      </c>
      <c r="C7241" s="638">
        <v>2.1000000000000001E-2</v>
      </c>
      <c r="D7241" s="633">
        <f t="shared" si="232"/>
        <v>2.1000000000000001E-2</v>
      </c>
      <c r="E7241" s="608"/>
      <c r="F7241" s="760">
        <f t="shared" si="231"/>
        <v>8.8603582238171597E-3</v>
      </c>
      <c r="M7241" s="443"/>
    </row>
    <row r="7242" spans="1:13">
      <c r="A7242" s="639">
        <v>102813</v>
      </c>
      <c r="B7242" s="639">
        <v>1500</v>
      </c>
      <c r="C7242" s="638">
        <v>2.1000000000000001E-2</v>
      </c>
      <c r="D7242" s="633">
        <f t="shared" si="232"/>
        <v>2.1000000000000001E-2</v>
      </c>
      <c r="E7242" s="608"/>
      <c r="F7242" s="760">
        <f t="shared" si="231"/>
        <v>8.8603582238171597E-3</v>
      </c>
      <c r="M7242" s="443"/>
    </row>
    <row r="7243" spans="1:13">
      <c r="A7243" s="639">
        <v>102813</v>
      </c>
      <c r="B7243" s="639">
        <v>1600</v>
      </c>
      <c r="C7243" s="638">
        <v>1.7000000000000001E-2</v>
      </c>
      <c r="D7243" s="633">
        <f t="shared" si="232"/>
        <v>1.7000000000000001E-2</v>
      </c>
      <c r="E7243" s="608"/>
      <c r="F7243" s="760">
        <f t="shared" si="231"/>
        <v>7.1726709430900825E-3</v>
      </c>
      <c r="M7243" s="443"/>
    </row>
    <row r="7244" spans="1:13">
      <c r="A7244" s="639">
        <v>102813</v>
      </c>
      <c r="B7244" s="639">
        <v>1700</v>
      </c>
      <c r="C7244" s="638">
        <v>1.9E-2</v>
      </c>
      <c r="D7244" s="633">
        <f t="shared" si="232"/>
        <v>1.9E-2</v>
      </c>
      <c r="E7244" s="608"/>
      <c r="F7244" s="760">
        <f t="shared" si="231"/>
        <v>8.0165145834536211E-3</v>
      </c>
      <c r="M7244" s="443"/>
    </row>
    <row r="7245" spans="1:13">
      <c r="A7245" s="639">
        <v>102813</v>
      </c>
      <c r="B7245" s="639">
        <v>1800</v>
      </c>
      <c r="C7245" s="638">
        <v>0.02</v>
      </c>
      <c r="D7245" s="633">
        <f t="shared" si="232"/>
        <v>0.02</v>
      </c>
      <c r="E7245" s="608"/>
      <c r="F7245" s="760">
        <f t="shared" si="231"/>
        <v>8.4384364036353895E-3</v>
      </c>
      <c r="M7245" s="443"/>
    </row>
    <row r="7246" spans="1:13">
      <c r="A7246" s="639">
        <v>102813</v>
      </c>
      <c r="B7246" s="639">
        <v>1900</v>
      </c>
      <c r="C7246" s="638">
        <v>2.1999999999999999E-2</v>
      </c>
      <c r="D7246" s="633">
        <f t="shared" si="232"/>
        <v>2.1999999999999999E-2</v>
      </c>
      <c r="E7246" s="608"/>
      <c r="F7246" s="760">
        <f t="shared" si="231"/>
        <v>9.2822800439989282E-3</v>
      </c>
      <c r="M7246" s="443"/>
    </row>
    <row r="7247" spans="1:13">
      <c r="A7247" s="639">
        <v>102813</v>
      </c>
      <c r="B7247" s="639">
        <v>2000</v>
      </c>
      <c r="C7247" s="638">
        <v>2.5000000000000001E-2</v>
      </c>
      <c r="D7247" s="633">
        <f t="shared" si="232"/>
        <v>2.5000000000000001E-2</v>
      </c>
      <c r="E7247" s="608"/>
      <c r="F7247" s="760">
        <f t="shared" si="231"/>
        <v>1.0548045504544239E-2</v>
      </c>
      <c r="M7247" s="443"/>
    </row>
    <row r="7248" spans="1:13">
      <c r="A7248" s="639">
        <v>102813</v>
      </c>
      <c r="B7248" s="639">
        <v>2100</v>
      </c>
      <c r="C7248" s="638">
        <v>2.5999999999999999E-2</v>
      </c>
      <c r="D7248" s="633">
        <f t="shared" si="232"/>
        <v>2.5999999999999999E-2</v>
      </c>
      <c r="E7248" s="608"/>
      <c r="F7248" s="760">
        <f t="shared" si="231"/>
        <v>1.0969967324726005E-2</v>
      </c>
      <c r="M7248" s="443"/>
    </row>
    <row r="7249" spans="1:13">
      <c r="A7249" s="639">
        <v>102813</v>
      </c>
      <c r="B7249" s="639">
        <v>2200</v>
      </c>
      <c r="C7249" s="638">
        <v>2.5999999999999999E-2</v>
      </c>
      <c r="D7249" s="633">
        <f t="shared" si="232"/>
        <v>2.5999999999999999E-2</v>
      </c>
      <c r="E7249" s="608"/>
      <c r="F7249" s="760">
        <f t="shared" si="231"/>
        <v>1.0969967324726005E-2</v>
      </c>
      <c r="M7249" s="443"/>
    </row>
    <row r="7250" spans="1:13">
      <c r="A7250" s="639">
        <v>102813</v>
      </c>
      <c r="B7250" s="639">
        <v>2300</v>
      </c>
      <c r="C7250" s="638">
        <v>2.5000000000000001E-2</v>
      </c>
      <c r="D7250" s="633">
        <f t="shared" si="232"/>
        <v>2.5000000000000001E-2</v>
      </c>
      <c r="E7250" s="608"/>
      <c r="F7250" s="760">
        <f t="shared" si="231"/>
        <v>1.0548045504544239E-2</v>
      </c>
      <c r="M7250" s="443"/>
    </row>
    <row r="7251" spans="1:13">
      <c r="A7251" s="639">
        <v>102813</v>
      </c>
      <c r="B7251" s="639">
        <v>2400</v>
      </c>
      <c r="C7251" s="638">
        <v>2.5000000000000001E-2</v>
      </c>
      <c r="D7251" s="633">
        <f t="shared" si="232"/>
        <v>2.5000000000000001E-2</v>
      </c>
      <c r="E7251" s="608"/>
      <c r="F7251" s="760">
        <f t="shared" si="231"/>
        <v>1.0548045504544239E-2</v>
      </c>
      <c r="M7251" s="443"/>
    </row>
    <row r="7252" spans="1:13">
      <c r="A7252" s="639">
        <v>102913</v>
      </c>
      <c r="B7252" s="639">
        <v>100</v>
      </c>
      <c r="C7252" s="638">
        <v>2.5000000000000001E-2</v>
      </c>
      <c r="D7252" s="633">
        <f t="shared" si="232"/>
        <v>2.5000000000000001E-2</v>
      </c>
      <c r="E7252" s="608"/>
      <c r="F7252" s="760">
        <f t="shared" si="231"/>
        <v>1.0548045504544239E-2</v>
      </c>
      <c r="M7252" s="443"/>
    </row>
    <row r="7253" spans="1:13">
      <c r="A7253" s="639">
        <v>102913</v>
      </c>
      <c r="B7253" s="639">
        <v>200</v>
      </c>
      <c r="C7253" s="638">
        <v>2.5999999999999999E-2</v>
      </c>
      <c r="D7253" s="633">
        <f t="shared" si="232"/>
        <v>2.5999999999999999E-2</v>
      </c>
      <c r="E7253" s="608"/>
      <c r="F7253" s="760">
        <f t="shared" si="231"/>
        <v>1.0969967324726005E-2</v>
      </c>
      <c r="M7253" s="443"/>
    </row>
    <row r="7254" spans="1:13">
      <c r="A7254" s="639">
        <v>102913</v>
      </c>
      <c r="B7254" s="639">
        <v>300</v>
      </c>
      <c r="C7254" s="638">
        <v>2.5999999999999999E-2</v>
      </c>
      <c r="D7254" s="633">
        <f t="shared" si="232"/>
        <v>2.5999999999999999E-2</v>
      </c>
      <c r="E7254" s="608"/>
      <c r="F7254" s="760">
        <f t="shared" si="231"/>
        <v>1.0969967324726005E-2</v>
      </c>
      <c r="M7254" s="443"/>
    </row>
    <row r="7255" spans="1:13">
      <c r="A7255" s="639">
        <v>102913</v>
      </c>
      <c r="B7255" s="639">
        <v>400</v>
      </c>
      <c r="C7255" s="638">
        <v>2.5999999999999999E-2</v>
      </c>
      <c r="D7255" s="633">
        <f t="shared" si="232"/>
        <v>2.5999999999999999E-2</v>
      </c>
      <c r="E7255" s="608"/>
      <c r="F7255" s="760">
        <f t="shared" si="231"/>
        <v>1.0969967324726005E-2</v>
      </c>
      <c r="M7255" s="443"/>
    </row>
    <row r="7256" spans="1:13">
      <c r="A7256" s="639">
        <v>102913</v>
      </c>
      <c r="B7256" s="639">
        <v>500</v>
      </c>
      <c r="C7256" s="638">
        <v>2.3E-2</v>
      </c>
      <c r="D7256" s="633">
        <f t="shared" si="232"/>
        <v>2.3E-2</v>
      </c>
      <c r="E7256" s="608"/>
      <c r="F7256" s="760">
        <f t="shared" si="231"/>
        <v>9.7042018641806983E-3</v>
      </c>
      <c r="M7256" s="443"/>
    </row>
    <row r="7257" spans="1:13">
      <c r="A7257" s="639">
        <v>102913</v>
      </c>
      <c r="B7257" s="639">
        <v>600</v>
      </c>
      <c r="C7257" s="638">
        <v>2.1999999999999999E-2</v>
      </c>
      <c r="D7257" s="633">
        <f t="shared" si="232"/>
        <v>2.1999999999999999E-2</v>
      </c>
      <c r="E7257" s="608"/>
      <c r="F7257" s="760">
        <f t="shared" si="231"/>
        <v>9.2822800439989282E-3</v>
      </c>
      <c r="M7257" s="443"/>
    </row>
    <row r="7258" spans="1:13">
      <c r="A7258" s="639">
        <v>102913</v>
      </c>
      <c r="B7258" s="639">
        <v>700</v>
      </c>
      <c r="C7258" s="638">
        <v>2.3E-2</v>
      </c>
      <c r="D7258" s="633">
        <f t="shared" si="232"/>
        <v>2.3E-2</v>
      </c>
      <c r="E7258" s="608"/>
      <c r="F7258" s="760">
        <f t="shared" si="231"/>
        <v>9.7042018641806983E-3</v>
      </c>
      <c r="M7258" s="443"/>
    </row>
    <row r="7259" spans="1:13">
      <c r="A7259" s="639">
        <v>102913</v>
      </c>
      <c r="B7259" s="639">
        <v>800</v>
      </c>
      <c r="C7259" s="638">
        <v>2.4E-2</v>
      </c>
      <c r="D7259" s="633">
        <f t="shared" si="232"/>
        <v>2.4E-2</v>
      </c>
      <c r="E7259" s="608"/>
      <c r="F7259" s="760">
        <f t="shared" si="231"/>
        <v>1.0126123684362468E-2</v>
      </c>
      <c r="M7259" s="443"/>
    </row>
    <row r="7260" spans="1:13">
      <c r="A7260" s="639">
        <v>102913</v>
      </c>
      <c r="B7260" s="639">
        <v>900</v>
      </c>
      <c r="C7260" s="638">
        <v>0.02</v>
      </c>
      <c r="D7260" s="633">
        <f t="shared" si="232"/>
        <v>0.02</v>
      </c>
      <c r="E7260" s="608"/>
      <c r="F7260" s="760">
        <f t="shared" si="231"/>
        <v>8.4384364036353895E-3</v>
      </c>
      <c r="M7260" s="443"/>
    </row>
    <row r="7261" spans="1:13">
      <c r="A7261" s="639">
        <v>102913</v>
      </c>
      <c r="B7261" s="639">
        <v>1000</v>
      </c>
      <c r="C7261" s="638">
        <v>2.1000000000000001E-2</v>
      </c>
      <c r="D7261" s="633">
        <f t="shared" si="232"/>
        <v>2.1000000000000001E-2</v>
      </c>
      <c r="E7261" s="608"/>
      <c r="F7261" s="760">
        <f t="shared" si="231"/>
        <v>8.8603582238171597E-3</v>
      </c>
      <c r="M7261" s="443"/>
    </row>
    <row r="7262" spans="1:13">
      <c r="A7262" s="639">
        <v>102913</v>
      </c>
      <c r="B7262" s="639">
        <v>1100</v>
      </c>
      <c r="C7262" s="638">
        <v>0.02</v>
      </c>
      <c r="D7262" s="633">
        <f t="shared" si="232"/>
        <v>0.02</v>
      </c>
      <c r="E7262" s="608"/>
      <c r="F7262" s="760">
        <f t="shared" si="231"/>
        <v>8.4384364036353895E-3</v>
      </c>
      <c r="M7262" s="443"/>
    </row>
    <row r="7263" spans="1:13">
      <c r="A7263" s="639">
        <v>102913</v>
      </c>
      <c r="B7263" s="639">
        <v>1200</v>
      </c>
      <c r="C7263" s="638">
        <v>1.9E-2</v>
      </c>
      <c r="D7263" s="633">
        <f t="shared" si="232"/>
        <v>1.9E-2</v>
      </c>
      <c r="E7263" s="608"/>
      <c r="F7263" s="760">
        <f t="shared" si="231"/>
        <v>8.0165145834536211E-3</v>
      </c>
      <c r="M7263" s="443"/>
    </row>
    <row r="7264" spans="1:13">
      <c r="A7264" s="639">
        <v>102913</v>
      </c>
      <c r="B7264" s="639">
        <v>1300</v>
      </c>
      <c r="C7264" s="638">
        <v>1.6E-2</v>
      </c>
      <c r="D7264" s="633">
        <f t="shared" si="232"/>
        <v>1.6E-2</v>
      </c>
      <c r="E7264" s="608"/>
      <c r="F7264" s="760">
        <f t="shared" si="231"/>
        <v>6.7507491229083115E-3</v>
      </c>
      <c r="M7264" s="443"/>
    </row>
    <row r="7265" spans="1:13">
      <c r="A7265" s="639">
        <v>102913</v>
      </c>
      <c r="B7265" s="639">
        <v>1400</v>
      </c>
      <c r="C7265" s="638">
        <v>1.9E-2</v>
      </c>
      <c r="D7265" s="633">
        <f t="shared" si="232"/>
        <v>1.9E-2</v>
      </c>
      <c r="E7265" s="608"/>
      <c r="F7265" s="760">
        <f t="shared" si="231"/>
        <v>8.0165145834536211E-3</v>
      </c>
      <c r="M7265" s="443"/>
    </row>
    <row r="7266" spans="1:13">
      <c r="A7266" s="639">
        <v>102913</v>
      </c>
      <c r="B7266" s="639">
        <v>1500</v>
      </c>
      <c r="C7266" s="638">
        <v>2.1999999999999999E-2</v>
      </c>
      <c r="D7266" s="633">
        <f t="shared" si="232"/>
        <v>2.1999999999999999E-2</v>
      </c>
      <c r="E7266" s="608"/>
      <c r="F7266" s="760">
        <f t="shared" si="231"/>
        <v>9.2822800439989282E-3</v>
      </c>
      <c r="M7266" s="443"/>
    </row>
    <row r="7267" spans="1:13">
      <c r="A7267" s="639">
        <v>102913</v>
      </c>
      <c r="B7267" s="639">
        <v>1600</v>
      </c>
      <c r="C7267" s="638">
        <v>2.1000000000000001E-2</v>
      </c>
      <c r="D7267" s="633">
        <f t="shared" si="232"/>
        <v>2.1000000000000001E-2</v>
      </c>
      <c r="E7267" s="608"/>
      <c r="F7267" s="760">
        <f t="shared" si="231"/>
        <v>8.8603582238171597E-3</v>
      </c>
      <c r="M7267" s="443"/>
    </row>
    <row r="7268" spans="1:13">
      <c r="A7268" s="639">
        <v>102913</v>
      </c>
      <c r="B7268" s="639">
        <v>1700</v>
      </c>
      <c r="C7268" s="638">
        <v>2.1999999999999999E-2</v>
      </c>
      <c r="D7268" s="633">
        <f t="shared" si="232"/>
        <v>2.1999999999999999E-2</v>
      </c>
      <c r="E7268" s="608"/>
      <c r="F7268" s="760">
        <f t="shared" si="231"/>
        <v>9.2822800439989282E-3</v>
      </c>
      <c r="M7268" s="443"/>
    </row>
    <row r="7269" spans="1:13">
      <c r="A7269" s="639">
        <v>102913</v>
      </c>
      <c r="B7269" s="639">
        <v>1800</v>
      </c>
      <c r="C7269" s="638">
        <v>2.3E-2</v>
      </c>
      <c r="D7269" s="633">
        <f t="shared" si="232"/>
        <v>2.3E-2</v>
      </c>
      <c r="E7269" s="608"/>
      <c r="F7269" s="760">
        <f t="shared" si="231"/>
        <v>9.7042018641806983E-3</v>
      </c>
      <c r="M7269" s="443"/>
    </row>
    <row r="7270" spans="1:13">
      <c r="A7270" s="639">
        <v>102913</v>
      </c>
      <c r="B7270" s="639">
        <v>1900</v>
      </c>
      <c r="C7270" s="638">
        <v>2.8000000000000001E-2</v>
      </c>
      <c r="D7270" s="633">
        <f t="shared" si="232"/>
        <v>2.8000000000000001E-2</v>
      </c>
      <c r="E7270" s="608"/>
      <c r="F7270" s="760">
        <f t="shared" si="231"/>
        <v>1.1813810965089547E-2</v>
      </c>
      <c r="M7270" s="443"/>
    </row>
    <row r="7271" spans="1:13">
      <c r="A7271" s="639">
        <v>102913</v>
      </c>
      <c r="B7271" s="639">
        <v>2000</v>
      </c>
      <c r="C7271" s="638">
        <v>3.1E-2</v>
      </c>
      <c r="D7271" s="633">
        <f t="shared" si="232"/>
        <v>3.1E-2</v>
      </c>
      <c r="E7271" s="608"/>
      <c r="F7271" s="760">
        <f t="shared" si="231"/>
        <v>1.3079576425634854E-2</v>
      </c>
      <c r="M7271" s="443"/>
    </row>
    <row r="7272" spans="1:13">
      <c r="A7272" s="639">
        <v>102913</v>
      </c>
      <c r="B7272" s="639">
        <v>2100</v>
      </c>
      <c r="C7272" s="638">
        <v>3.4000000000000002E-2</v>
      </c>
      <c r="D7272" s="633">
        <f t="shared" si="232"/>
        <v>3.4000000000000002E-2</v>
      </c>
      <c r="E7272" s="608"/>
      <c r="F7272" s="760">
        <f t="shared" si="231"/>
        <v>1.4345341886180165E-2</v>
      </c>
      <c r="M7272" s="443"/>
    </row>
    <row r="7273" spans="1:13">
      <c r="A7273" s="639">
        <v>102913</v>
      </c>
      <c r="B7273" s="639">
        <v>2200</v>
      </c>
      <c r="C7273" s="638">
        <v>3.2000000000000001E-2</v>
      </c>
      <c r="D7273" s="633">
        <f t="shared" si="232"/>
        <v>3.2000000000000001E-2</v>
      </c>
      <c r="E7273" s="608"/>
      <c r="F7273" s="760">
        <f t="shared" si="231"/>
        <v>1.3501498245816623E-2</v>
      </c>
      <c r="M7273" s="443"/>
    </row>
    <row r="7274" spans="1:13">
      <c r="A7274" s="639">
        <v>102913</v>
      </c>
      <c r="B7274" s="639">
        <v>2300</v>
      </c>
      <c r="C7274" s="638">
        <v>4.2000000000000003E-2</v>
      </c>
      <c r="D7274" s="633">
        <f t="shared" si="232"/>
        <v>4.2000000000000003E-2</v>
      </c>
      <c r="E7274" s="608"/>
      <c r="F7274" s="760">
        <f t="shared" si="231"/>
        <v>1.7720716447634319E-2</v>
      </c>
      <c r="M7274" s="443"/>
    </row>
    <row r="7275" spans="1:13">
      <c r="A7275" s="639">
        <v>102913</v>
      </c>
      <c r="B7275" s="639">
        <v>2400</v>
      </c>
      <c r="C7275" s="638">
        <v>4.9000000000000002E-2</v>
      </c>
      <c r="D7275" s="633">
        <f t="shared" si="232"/>
        <v>4.9000000000000002E-2</v>
      </c>
      <c r="E7275" s="608"/>
      <c r="F7275" s="760">
        <f t="shared" si="231"/>
        <v>2.0674169188906705E-2</v>
      </c>
      <c r="M7275" s="443"/>
    </row>
    <row r="7276" spans="1:13">
      <c r="A7276" s="639">
        <v>103013</v>
      </c>
      <c r="B7276" s="639">
        <v>100</v>
      </c>
      <c r="C7276" s="638">
        <v>5.0999999999999997E-2</v>
      </c>
      <c r="D7276" s="633">
        <f t="shared" si="232"/>
        <v>5.0999999999999997E-2</v>
      </c>
      <c r="E7276" s="608"/>
      <c r="F7276" s="760">
        <f t="shared" si="231"/>
        <v>2.1518012829270242E-2</v>
      </c>
      <c r="M7276" s="443"/>
    </row>
    <row r="7277" spans="1:13">
      <c r="A7277" s="639">
        <v>103013</v>
      </c>
      <c r="B7277" s="639">
        <v>200</v>
      </c>
      <c r="C7277" s="638">
        <v>5.0999999999999997E-2</v>
      </c>
      <c r="D7277" s="633">
        <f t="shared" si="232"/>
        <v>5.0999999999999997E-2</v>
      </c>
      <c r="E7277" s="608"/>
      <c r="F7277" s="760">
        <f t="shared" si="231"/>
        <v>2.1518012829270242E-2</v>
      </c>
      <c r="M7277" s="443"/>
    </row>
    <row r="7278" spans="1:13">
      <c r="A7278" s="639">
        <v>103013</v>
      </c>
      <c r="B7278" s="639">
        <v>300</v>
      </c>
      <c r="C7278" s="638">
        <v>4.9000000000000002E-2</v>
      </c>
      <c r="D7278" s="633">
        <f t="shared" si="232"/>
        <v>4.9000000000000002E-2</v>
      </c>
      <c r="E7278" s="608"/>
      <c r="F7278" s="760">
        <f t="shared" si="231"/>
        <v>2.0674169188906705E-2</v>
      </c>
      <c r="M7278" s="443"/>
    </row>
    <row r="7279" spans="1:13">
      <c r="A7279" s="639">
        <v>103013</v>
      </c>
      <c r="B7279" s="639">
        <v>400</v>
      </c>
      <c r="C7279" s="638">
        <v>4.7E-2</v>
      </c>
      <c r="D7279" s="633">
        <f t="shared" si="232"/>
        <v>4.7E-2</v>
      </c>
      <c r="E7279" s="608"/>
      <c r="F7279" s="760">
        <f t="shared" si="231"/>
        <v>1.9830325548543165E-2</v>
      </c>
      <c r="M7279" s="443"/>
    </row>
    <row r="7280" spans="1:13">
      <c r="A7280" s="639">
        <v>103013</v>
      </c>
      <c r="B7280" s="639">
        <v>500</v>
      </c>
      <c r="C7280" s="638">
        <v>4.3999999999999997E-2</v>
      </c>
      <c r="D7280" s="633">
        <f t="shared" si="232"/>
        <v>4.3999999999999997E-2</v>
      </c>
      <c r="E7280" s="608"/>
      <c r="F7280" s="760">
        <f t="shared" si="231"/>
        <v>1.8564560087997856E-2</v>
      </c>
      <c r="M7280" s="443"/>
    </row>
    <row r="7281" spans="1:13">
      <c r="A7281" s="639">
        <v>103013</v>
      </c>
      <c r="B7281" s="639">
        <v>600</v>
      </c>
      <c r="C7281" s="638">
        <v>4.4999999999999998E-2</v>
      </c>
      <c r="D7281" s="633">
        <f t="shared" si="232"/>
        <v>4.4999999999999998E-2</v>
      </c>
      <c r="E7281" s="608"/>
      <c r="F7281" s="760">
        <f t="shared" si="231"/>
        <v>1.8986481908179625E-2</v>
      </c>
      <c r="M7281" s="443"/>
    </row>
    <row r="7282" spans="1:13">
      <c r="A7282" s="639">
        <v>103013</v>
      </c>
      <c r="B7282" s="639">
        <v>700</v>
      </c>
      <c r="C7282" s="638">
        <v>0.04</v>
      </c>
      <c r="D7282" s="633">
        <f t="shared" si="232"/>
        <v>0.04</v>
      </c>
      <c r="E7282" s="608"/>
      <c r="F7282" s="760">
        <f t="shared" si="231"/>
        <v>1.6876872807270779E-2</v>
      </c>
      <c r="M7282" s="443"/>
    </row>
    <row r="7283" spans="1:13">
      <c r="A7283" s="639">
        <v>103013</v>
      </c>
      <c r="B7283" s="639">
        <v>800</v>
      </c>
      <c r="C7283" s="638">
        <v>4.4999999999999998E-2</v>
      </c>
      <c r="D7283" s="633">
        <f t="shared" si="232"/>
        <v>4.4999999999999998E-2</v>
      </c>
      <c r="E7283" s="608"/>
      <c r="F7283" s="760">
        <f t="shared" si="231"/>
        <v>1.8986481908179625E-2</v>
      </c>
      <c r="M7283" s="443"/>
    </row>
    <row r="7284" spans="1:13">
      <c r="A7284" s="639">
        <v>103013</v>
      </c>
      <c r="B7284" s="639">
        <v>900</v>
      </c>
      <c r="C7284" s="638">
        <v>4.3999999999999997E-2</v>
      </c>
      <c r="D7284" s="633">
        <f t="shared" si="232"/>
        <v>4.3999999999999997E-2</v>
      </c>
      <c r="E7284" s="608"/>
      <c r="F7284" s="760">
        <f t="shared" ref="F7284:F7323" si="233">(D7284/(MAX($D$6580:$D$7323)))*$M$13</f>
        <v>1.8564560087997856E-2</v>
      </c>
      <c r="M7284" s="443"/>
    </row>
    <row r="7285" spans="1:13">
      <c r="A7285" s="639">
        <v>103013</v>
      </c>
      <c r="B7285" s="639">
        <v>1000</v>
      </c>
      <c r="C7285" s="638">
        <v>3.6999999999999998E-2</v>
      </c>
      <c r="D7285" s="633">
        <f t="shared" si="232"/>
        <v>3.6999999999999998E-2</v>
      </c>
      <c r="E7285" s="608"/>
      <c r="F7285" s="760">
        <f t="shared" si="233"/>
        <v>1.561110734672547E-2</v>
      </c>
      <c r="M7285" s="443"/>
    </row>
    <row r="7286" spans="1:13">
      <c r="A7286" s="639">
        <v>103013</v>
      </c>
      <c r="B7286" s="639">
        <v>1100</v>
      </c>
      <c r="C7286" s="638">
        <v>2.7E-2</v>
      </c>
      <c r="D7286" s="633">
        <f t="shared" si="232"/>
        <v>2.7E-2</v>
      </c>
      <c r="E7286" s="608"/>
      <c r="F7286" s="760">
        <f t="shared" si="233"/>
        <v>1.1391889144907777E-2</v>
      </c>
      <c r="M7286" s="443"/>
    </row>
    <row r="7287" spans="1:13">
      <c r="A7287" s="639">
        <v>103013</v>
      </c>
      <c r="B7287" s="639">
        <v>1200</v>
      </c>
      <c r="C7287" s="638">
        <v>2.9000000000000001E-2</v>
      </c>
      <c r="D7287" s="633">
        <f t="shared" si="232"/>
        <v>2.9000000000000001E-2</v>
      </c>
      <c r="E7287" s="608"/>
      <c r="F7287" s="760">
        <f t="shared" si="233"/>
        <v>1.2235732785271316E-2</v>
      </c>
      <c r="M7287" s="443"/>
    </row>
    <row r="7288" spans="1:13">
      <c r="A7288" s="639">
        <v>103013</v>
      </c>
      <c r="B7288" s="639">
        <v>1300</v>
      </c>
      <c r="C7288" s="638">
        <v>2.5000000000000001E-2</v>
      </c>
      <c r="D7288" s="633">
        <f t="shared" si="232"/>
        <v>2.5000000000000001E-2</v>
      </c>
      <c r="E7288" s="608"/>
      <c r="F7288" s="760">
        <f t="shared" si="233"/>
        <v>1.0548045504544239E-2</v>
      </c>
      <c r="M7288" s="443"/>
    </row>
    <row r="7289" spans="1:13">
      <c r="A7289" s="639">
        <v>103013</v>
      </c>
      <c r="B7289" s="639">
        <v>1400</v>
      </c>
      <c r="C7289" s="638">
        <v>2.7E-2</v>
      </c>
      <c r="D7289" s="633">
        <f t="shared" si="232"/>
        <v>2.7E-2</v>
      </c>
      <c r="E7289" s="608"/>
      <c r="F7289" s="760">
        <f t="shared" si="233"/>
        <v>1.1391889144907777E-2</v>
      </c>
      <c r="M7289" s="443"/>
    </row>
    <row r="7290" spans="1:13">
      <c r="A7290" s="639">
        <v>103013</v>
      </c>
      <c r="B7290" s="639">
        <v>1500</v>
      </c>
      <c r="C7290" s="638">
        <v>2.5000000000000001E-2</v>
      </c>
      <c r="D7290" s="633">
        <f t="shared" si="232"/>
        <v>2.5000000000000001E-2</v>
      </c>
      <c r="E7290" s="608"/>
      <c r="F7290" s="760">
        <f t="shared" si="233"/>
        <v>1.0548045504544239E-2</v>
      </c>
      <c r="M7290" s="443"/>
    </row>
    <row r="7291" spans="1:13">
      <c r="A7291" s="639">
        <v>103013</v>
      </c>
      <c r="B7291" s="639">
        <v>1600</v>
      </c>
      <c r="C7291" s="638">
        <v>2.3E-2</v>
      </c>
      <c r="D7291" s="633">
        <f t="shared" si="232"/>
        <v>2.3E-2</v>
      </c>
      <c r="E7291" s="608"/>
      <c r="F7291" s="760">
        <f t="shared" si="233"/>
        <v>9.7042018641806983E-3</v>
      </c>
      <c r="M7291" s="443"/>
    </row>
    <row r="7292" spans="1:13">
      <c r="A7292" s="639">
        <v>103013</v>
      </c>
      <c r="B7292" s="639">
        <v>1700</v>
      </c>
      <c r="C7292" s="638">
        <v>0.02</v>
      </c>
      <c r="D7292" s="633">
        <f t="shared" si="232"/>
        <v>0.02</v>
      </c>
      <c r="E7292" s="608"/>
      <c r="F7292" s="760">
        <f t="shared" si="233"/>
        <v>8.4384364036353895E-3</v>
      </c>
      <c r="M7292" s="443"/>
    </row>
    <row r="7293" spans="1:13">
      <c r="A7293" s="639">
        <v>103013</v>
      </c>
      <c r="B7293" s="639">
        <v>1800</v>
      </c>
      <c r="C7293" s="638">
        <v>2.4E-2</v>
      </c>
      <c r="D7293" s="633">
        <f t="shared" si="232"/>
        <v>2.4E-2</v>
      </c>
      <c r="E7293" s="608"/>
      <c r="F7293" s="760">
        <f t="shared" si="233"/>
        <v>1.0126123684362468E-2</v>
      </c>
      <c r="M7293" s="443"/>
    </row>
    <row r="7294" spans="1:13">
      <c r="A7294" s="639">
        <v>103013</v>
      </c>
      <c r="B7294" s="639">
        <v>1900</v>
      </c>
      <c r="C7294" s="638">
        <v>2.5999999999999999E-2</v>
      </c>
      <c r="D7294" s="633">
        <f t="shared" si="232"/>
        <v>2.5999999999999999E-2</v>
      </c>
      <c r="E7294" s="608"/>
      <c r="F7294" s="760">
        <f t="shared" si="233"/>
        <v>1.0969967324726005E-2</v>
      </c>
      <c r="M7294" s="443"/>
    </row>
    <row r="7295" spans="1:13">
      <c r="A7295" s="639">
        <v>103013</v>
      </c>
      <c r="B7295" s="639">
        <v>2000</v>
      </c>
      <c r="C7295" s="638">
        <v>3.4000000000000002E-2</v>
      </c>
      <c r="D7295" s="633">
        <f t="shared" si="232"/>
        <v>3.4000000000000002E-2</v>
      </c>
      <c r="E7295" s="608"/>
      <c r="F7295" s="760">
        <f t="shared" si="233"/>
        <v>1.4345341886180165E-2</v>
      </c>
      <c r="M7295" s="443"/>
    </row>
    <row r="7296" spans="1:13">
      <c r="A7296" s="639">
        <v>103013</v>
      </c>
      <c r="B7296" s="639">
        <v>2100</v>
      </c>
      <c r="C7296" s="638">
        <v>4.4999999999999998E-2</v>
      </c>
      <c r="D7296" s="633">
        <f t="shared" si="232"/>
        <v>4.4999999999999998E-2</v>
      </c>
      <c r="E7296" s="608"/>
      <c r="F7296" s="760">
        <f t="shared" si="233"/>
        <v>1.8986481908179625E-2</v>
      </c>
      <c r="M7296" s="443"/>
    </row>
    <row r="7297" spans="1:13">
      <c r="A7297" s="639">
        <v>103013</v>
      </c>
      <c r="B7297" s="639">
        <v>2200</v>
      </c>
      <c r="C7297" s="638">
        <v>0.04</v>
      </c>
      <c r="D7297" s="633">
        <f t="shared" si="232"/>
        <v>0.04</v>
      </c>
      <c r="E7297" s="608"/>
      <c r="F7297" s="760">
        <f t="shared" si="233"/>
        <v>1.6876872807270779E-2</v>
      </c>
      <c r="M7297" s="443"/>
    </row>
    <row r="7298" spans="1:13">
      <c r="A7298" s="639">
        <v>103013</v>
      </c>
      <c r="B7298" s="639">
        <v>2300</v>
      </c>
      <c r="C7298" s="638">
        <v>4.7E-2</v>
      </c>
      <c r="D7298" s="633">
        <f t="shared" si="232"/>
        <v>4.7E-2</v>
      </c>
      <c r="E7298" s="608"/>
      <c r="F7298" s="760">
        <f t="shared" si="233"/>
        <v>1.9830325548543165E-2</v>
      </c>
      <c r="M7298" s="443"/>
    </row>
    <row r="7299" spans="1:13">
      <c r="A7299" s="639">
        <v>103013</v>
      </c>
      <c r="B7299" s="639">
        <v>2400</v>
      </c>
      <c r="C7299" s="638">
        <v>5.1999999999999998E-2</v>
      </c>
      <c r="D7299" s="633">
        <f t="shared" si="232"/>
        <v>5.1999999999999998E-2</v>
      </c>
      <c r="E7299" s="608"/>
      <c r="F7299" s="760">
        <f t="shared" si="233"/>
        <v>2.1939934649452011E-2</v>
      </c>
      <c r="M7299" s="443"/>
    </row>
    <row r="7300" spans="1:13">
      <c r="A7300" s="639">
        <v>103113</v>
      </c>
      <c r="B7300" s="639">
        <v>100</v>
      </c>
      <c r="C7300" s="638">
        <v>5.5E-2</v>
      </c>
      <c r="D7300" s="633">
        <f t="shared" si="232"/>
        <v>5.5E-2</v>
      </c>
      <c r="E7300" s="608"/>
      <c r="F7300" s="760">
        <f t="shared" si="233"/>
        <v>2.3205700109997323E-2</v>
      </c>
      <c r="M7300" s="443"/>
    </row>
    <row r="7301" spans="1:13">
      <c r="A7301" s="639">
        <v>103113</v>
      </c>
      <c r="B7301" s="639">
        <v>200</v>
      </c>
      <c r="C7301" s="638">
        <v>5.2999999999999999E-2</v>
      </c>
      <c r="D7301" s="633">
        <f t="shared" ref="D7301:D7364" si="234">C7301</f>
        <v>5.2999999999999999E-2</v>
      </c>
      <c r="E7301" s="608"/>
      <c r="F7301" s="760">
        <f t="shared" si="233"/>
        <v>2.2361856469633783E-2</v>
      </c>
      <c r="M7301" s="443"/>
    </row>
    <row r="7302" spans="1:13">
      <c r="A7302" s="639">
        <v>103113</v>
      </c>
      <c r="B7302" s="639">
        <v>300</v>
      </c>
      <c r="C7302" s="638">
        <v>5.5E-2</v>
      </c>
      <c r="D7302" s="633">
        <f t="shared" si="234"/>
        <v>5.5E-2</v>
      </c>
      <c r="E7302" s="608"/>
      <c r="F7302" s="760">
        <f t="shared" si="233"/>
        <v>2.3205700109997323E-2</v>
      </c>
      <c r="M7302" s="443"/>
    </row>
    <row r="7303" spans="1:13">
      <c r="A7303" s="639">
        <v>103113</v>
      </c>
      <c r="B7303" s="639">
        <v>400</v>
      </c>
      <c r="C7303" s="638">
        <v>6.7000000000000004E-2</v>
      </c>
      <c r="D7303" s="633">
        <f t="shared" si="234"/>
        <v>6.7000000000000004E-2</v>
      </c>
      <c r="E7303" s="608"/>
      <c r="F7303" s="760">
        <f t="shared" si="233"/>
        <v>2.8268761952178558E-2</v>
      </c>
      <c r="M7303" s="443"/>
    </row>
    <row r="7304" spans="1:13">
      <c r="A7304" s="639">
        <v>103113</v>
      </c>
      <c r="B7304" s="639">
        <v>500</v>
      </c>
      <c r="C7304" s="638">
        <v>7.9000000000000001E-2</v>
      </c>
      <c r="D7304" s="633">
        <f t="shared" si="234"/>
        <v>7.9000000000000001E-2</v>
      </c>
      <c r="E7304" s="608"/>
      <c r="F7304" s="760">
        <f t="shared" si="233"/>
        <v>3.333182379435979E-2</v>
      </c>
      <c r="M7304" s="443"/>
    </row>
    <row r="7305" spans="1:13">
      <c r="A7305" s="639">
        <v>103113</v>
      </c>
      <c r="B7305" s="639">
        <v>600</v>
      </c>
      <c r="C7305" s="638">
        <v>7.3999999999999996E-2</v>
      </c>
      <c r="D7305" s="633">
        <f t="shared" si="234"/>
        <v>7.3999999999999996E-2</v>
      </c>
      <c r="E7305" s="608"/>
      <c r="F7305" s="760">
        <f t="shared" si="233"/>
        <v>3.1222214693450941E-2</v>
      </c>
      <c r="M7305" s="443"/>
    </row>
    <row r="7306" spans="1:13">
      <c r="A7306" s="639">
        <v>103113</v>
      </c>
      <c r="B7306" s="639">
        <v>700</v>
      </c>
      <c r="C7306" s="638">
        <v>8.6999999999999994E-2</v>
      </c>
      <c r="D7306" s="633">
        <f t="shared" si="234"/>
        <v>8.6999999999999994E-2</v>
      </c>
      <c r="E7306" s="608"/>
      <c r="F7306" s="760">
        <f t="shared" si="233"/>
        <v>3.6707198355813944E-2</v>
      </c>
      <c r="M7306" s="443"/>
    </row>
    <row r="7307" spans="1:13">
      <c r="A7307" s="639">
        <v>103113</v>
      </c>
      <c r="B7307" s="639">
        <v>800</v>
      </c>
      <c r="C7307" s="638">
        <v>8.1000000000000003E-2</v>
      </c>
      <c r="D7307" s="633">
        <f t="shared" si="234"/>
        <v>8.1000000000000003E-2</v>
      </c>
      <c r="E7307" s="608"/>
      <c r="F7307" s="760">
        <f t="shared" si="233"/>
        <v>3.4175667434723334E-2</v>
      </c>
      <c r="M7307" s="443"/>
    </row>
    <row r="7308" spans="1:13">
      <c r="A7308" s="639">
        <v>103113</v>
      </c>
      <c r="B7308" s="639">
        <v>900</v>
      </c>
      <c r="C7308" s="638">
        <v>7.2999999999999995E-2</v>
      </c>
      <c r="D7308" s="633">
        <f t="shared" si="234"/>
        <v>7.2999999999999995E-2</v>
      </c>
      <c r="E7308" s="608"/>
      <c r="F7308" s="760">
        <f t="shared" si="233"/>
        <v>3.0800292873269172E-2</v>
      </c>
      <c r="M7308" s="443"/>
    </row>
    <row r="7309" spans="1:13">
      <c r="A7309" s="639">
        <v>103113</v>
      </c>
      <c r="B7309" s="639">
        <v>1000</v>
      </c>
      <c r="C7309" s="638">
        <v>7.0999999999999994E-2</v>
      </c>
      <c r="D7309" s="633">
        <f t="shared" si="234"/>
        <v>7.0999999999999994E-2</v>
      </c>
      <c r="E7309" s="608"/>
      <c r="F7309" s="760">
        <f t="shared" si="233"/>
        <v>2.9956449232905628E-2</v>
      </c>
      <c r="M7309" s="443"/>
    </row>
    <row r="7310" spans="1:13">
      <c r="A7310" s="639">
        <v>103113</v>
      </c>
      <c r="B7310" s="639">
        <v>1100</v>
      </c>
      <c r="C7310" s="638">
        <v>8.2000000000000003E-2</v>
      </c>
      <c r="D7310" s="633">
        <f t="shared" si="234"/>
        <v>8.2000000000000003E-2</v>
      </c>
      <c r="E7310" s="608"/>
      <c r="F7310" s="760">
        <f t="shared" si="233"/>
        <v>3.4597589254905095E-2</v>
      </c>
      <c r="M7310" s="443"/>
    </row>
    <row r="7311" spans="1:13">
      <c r="A7311" s="639">
        <v>103113</v>
      </c>
      <c r="B7311" s="639">
        <v>1200</v>
      </c>
      <c r="C7311" s="638">
        <v>4.3999999999999997E-2</v>
      </c>
      <c r="D7311" s="633">
        <f t="shared" si="234"/>
        <v>4.3999999999999997E-2</v>
      </c>
      <c r="E7311" s="608"/>
      <c r="F7311" s="760">
        <f t="shared" si="233"/>
        <v>1.8564560087997856E-2</v>
      </c>
      <c r="M7311" s="443"/>
    </row>
    <row r="7312" spans="1:13">
      <c r="A7312" s="639">
        <v>103113</v>
      </c>
      <c r="B7312" s="639">
        <v>1300</v>
      </c>
      <c r="C7312" s="638">
        <v>3.2000000000000001E-2</v>
      </c>
      <c r="D7312" s="633">
        <f t="shared" si="234"/>
        <v>3.2000000000000001E-2</v>
      </c>
      <c r="E7312" s="608"/>
      <c r="F7312" s="760">
        <f t="shared" si="233"/>
        <v>1.3501498245816623E-2</v>
      </c>
      <c r="M7312" s="443"/>
    </row>
    <row r="7313" spans="1:13">
      <c r="A7313" s="639">
        <v>103113</v>
      </c>
      <c r="B7313" s="639">
        <v>1400</v>
      </c>
      <c r="C7313" s="638">
        <v>2.9000000000000001E-2</v>
      </c>
      <c r="D7313" s="633">
        <f t="shared" si="234"/>
        <v>2.9000000000000001E-2</v>
      </c>
      <c r="E7313" s="608"/>
      <c r="F7313" s="760">
        <f t="shared" si="233"/>
        <v>1.2235732785271316E-2</v>
      </c>
      <c r="M7313" s="443"/>
    </row>
    <row r="7314" spans="1:13">
      <c r="A7314" s="639">
        <v>103113</v>
      </c>
      <c r="B7314" s="639">
        <v>1500</v>
      </c>
      <c r="C7314" s="638">
        <v>5.2999999999999999E-2</v>
      </c>
      <c r="D7314" s="633">
        <f t="shared" si="234"/>
        <v>5.2999999999999999E-2</v>
      </c>
      <c r="E7314" s="608"/>
      <c r="F7314" s="760">
        <f t="shared" si="233"/>
        <v>2.2361856469633783E-2</v>
      </c>
      <c r="M7314" s="443"/>
    </row>
    <row r="7315" spans="1:13">
      <c r="A7315" s="639">
        <v>103113</v>
      </c>
      <c r="B7315" s="639">
        <v>1600</v>
      </c>
      <c r="C7315" s="638">
        <v>3.9E-2</v>
      </c>
      <c r="D7315" s="633">
        <f t="shared" si="234"/>
        <v>3.9E-2</v>
      </c>
      <c r="E7315" s="608"/>
      <c r="F7315" s="760">
        <f t="shared" si="233"/>
        <v>1.6454950987089011E-2</v>
      </c>
      <c r="M7315" s="443"/>
    </row>
    <row r="7316" spans="1:13">
      <c r="A7316" s="639">
        <v>103113</v>
      </c>
      <c r="B7316" s="639">
        <v>1700</v>
      </c>
      <c r="C7316" s="638">
        <v>4.1000000000000002E-2</v>
      </c>
      <c r="D7316" s="633">
        <f t="shared" si="234"/>
        <v>4.1000000000000002E-2</v>
      </c>
      <c r="E7316" s="608"/>
      <c r="F7316" s="760">
        <f t="shared" si="233"/>
        <v>1.7298794627452548E-2</v>
      </c>
      <c r="M7316" s="443"/>
    </row>
    <row r="7317" spans="1:13">
      <c r="A7317" s="639">
        <v>103113</v>
      </c>
      <c r="B7317" s="639">
        <v>1800</v>
      </c>
      <c r="C7317" s="638">
        <v>4.7E-2</v>
      </c>
      <c r="D7317" s="633">
        <f t="shared" si="234"/>
        <v>4.7E-2</v>
      </c>
      <c r="E7317" s="608"/>
      <c r="F7317" s="760">
        <f t="shared" si="233"/>
        <v>1.9830325548543165E-2</v>
      </c>
      <c r="M7317" s="443"/>
    </row>
    <row r="7318" spans="1:13">
      <c r="A7318" s="639">
        <v>103113</v>
      </c>
      <c r="B7318" s="639">
        <v>1900</v>
      </c>
      <c r="C7318" s="638">
        <v>4.2000000000000003E-2</v>
      </c>
      <c r="D7318" s="633">
        <f t="shared" si="234"/>
        <v>4.2000000000000003E-2</v>
      </c>
      <c r="E7318" s="608"/>
      <c r="F7318" s="760">
        <f t="shared" si="233"/>
        <v>1.7720716447634319E-2</v>
      </c>
      <c r="M7318" s="443"/>
    </row>
    <row r="7319" spans="1:13">
      <c r="A7319" s="639">
        <v>103113</v>
      </c>
      <c r="B7319" s="639">
        <v>2000</v>
      </c>
      <c r="C7319" s="638">
        <v>5.0999999999999997E-2</v>
      </c>
      <c r="D7319" s="633">
        <f t="shared" si="234"/>
        <v>5.0999999999999997E-2</v>
      </c>
      <c r="E7319" s="608"/>
      <c r="F7319" s="760">
        <f t="shared" si="233"/>
        <v>2.1518012829270242E-2</v>
      </c>
      <c r="M7319" s="443"/>
    </row>
    <row r="7320" spans="1:13">
      <c r="A7320" s="639">
        <v>103113</v>
      </c>
      <c r="B7320" s="639">
        <v>2100</v>
      </c>
      <c r="C7320" s="638">
        <v>6.0999999999999999E-2</v>
      </c>
      <c r="D7320" s="633">
        <f t="shared" si="234"/>
        <v>6.0999999999999999E-2</v>
      </c>
      <c r="E7320" s="608"/>
      <c r="F7320" s="760">
        <f t="shared" si="233"/>
        <v>2.5737231031087937E-2</v>
      </c>
      <c r="M7320" s="443"/>
    </row>
    <row r="7321" spans="1:13">
      <c r="A7321" s="639">
        <v>103113</v>
      </c>
      <c r="B7321" s="639">
        <v>2200</v>
      </c>
      <c r="C7321" s="638">
        <v>0.06</v>
      </c>
      <c r="D7321" s="633">
        <f t="shared" si="234"/>
        <v>0.06</v>
      </c>
      <c r="E7321" s="608"/>
      <c r="F7321" s="760">
        <f t="shared" si="233"/>
        <v>2.5315309210906172E-2</v>
      </c>
      <c r="M7321" s="443"/>
    </row>
    <row r="7322" spans="1:13">
      <c r="A7322" s="639">
        <v>103113</v>
      </c>
      <c r="B7322" s="639">
        <v>2300</v>
      </c>
      <c r="C7322" s="638">
        <v>0.05</v>
      </c>
      <c r="D7322" s="633">
        <f t="shared" si="234"/>
        <v>0.05</v>
      </c>
      <c r="E7322" s="608"/>
      <c r="F7322" s="760">
        <f t="shared" si="233"/>
        <v>2.1096091009088477E-2</v>
      </c>
      <c r="M7322" s="443"/>
    </row>
    <row r="7323" spans="1:13">
      <c r="A7323" s="639">
        <v>103113</v>
      </c>
      <c r="B7323" s="639">
        <v>2400</v>
      </c>
      <c r="C7323" s="638">
        <v>5.8000000000000003E-2</v>
      </c>
      <c r="D7323" s="633">
        <f t="shared" si="234"/>
        <v>5.8000000000000003E-2</v>
      </c>
      <c r="E7323" s="608"/>
      <c r="F7323" s="760">
        <f t="shared" si="233"/>
        <v>2.4471465570542632E-2</v>
      </c>
      <c r="M7323" s="443"/>
    </row>
    <row r="7324" spans="1:13">
      <c r="A7324" s="639">
        <v>110113</v>
      </c>
      <c r="B7324" s="639">
        <v>100</v>
      </c>
      <c r="C7324" s="638">
        <v>0.06</v>
      </c>
      <c r="D7324" s="633">
        <f t="shared" si="234"/>
        <v>0.06</v>
      </c>
      <c r="E7324" s="608"/>
      <c r="F7324" s="760">
        <f t="shared" ref="F7324:F7387" si="235">(D7324/(MAX($D$7324:$D$8043)))*$M$14</f>
        <v>2.5315086179269353E-2</v>
      </c>
      <c r="M7324" s="443"/>
    </row>
    <row r="7325" spans="1:13">
      <c r="A7325" s="639">
        <v>110113</v>
      </c>
      <c r="B7325" s="639">
        <v>200</v>
      </c>
      <c r="C7325" s="638">
        <v>5.5E-2</v>
      </c>
      <c r="D7325" s="633">
        <f t="shared" si="234"/>
        <v>5.5E-2</v>
      </c>
      <c r="E7325" s="608"/>
      <c r="F7325" s="760">
        <f t="shared" si="235"/>
        <v>2.3205495664330243E-2</v>
      </c>
      <c r="M7325" s="443"/>
    </row>
    <row r="7326" spans="1:13">
      <c r="A7326" s="639">
        <v>110113</v>
      </c>
      <c r="B7326" s="639">
        <v>300</v>
      </c>
      <c r="C7326" s="638">
        <v>5.8999999999999997E-2</v>
      </c>
      <c r="D7326" s="633">
        <f t="shared" si="234"/>
        <v>5.8999999999999997E-2</v>
      </c>
      <c r="E7326" s="608"/>
      <c r="F7326" s="760">
        <f t="shared" si="235"/>
        <v>2.489316807628153E-2</v>
      </c>
      <c r="M7326" s="443"/>
    </row>
    <row r="7327" spans="1:13">
      <c r="A7327" s="639">
        <v>110113</v>
      </c>
      <c r="B7327" s="639">
        <v>400</v>
      </c>
      <c r="C7327" s="638">
        <v>4.5999999999999999E-2</v>
      </c>
      <c r="D7327" s="633">
        <f t="shared" si="234"/>
        <v>4.5999999999999999E-2</v>
      </c>
      <c r="E7327" s="608"/>
      <c r="F7327" s="760">
        <f t="shared" si="235"/>
        <v>1.9408232737439839E-2</v>
      </c>
      <c r="M7327" s="443"/>
    </row>
    <row r="7328" spans="1:13">
      <c r="A7328" s="639">
        <v>110113</v>
      </c>
      <c r="B7328" s="639">
        <v>500</v>
      </c>
      <c r="C7328" s="638">
        <v>4.1000000000000002E-2</v>
      </c>
      <c r="D7328" s="633">
        <f t="shared" si="234"/>
        <v>4.1000000000000002E-2</v>
      </c>
      <c r="E7328" s="608"/>
      <c r="F7328" s="760">
        <f t="shared" si="235"/>
        <v>1.7298642222500726E-2</v>
      </c>
      <c r="M7328" s="443"/>
    </row>
    <row r="7329" spans="1:13">
      <c r="A7329" s="639">
        <v>110113</v>
      </c>
      <c r="B7329" s="639">
        <v>600</v>
      </c>
      <c r="C7329" s="638">
        <v>5.5E-2</v>
      </c>
      <c r="D7329" s="633">
        <f t="shared" si="234"/>
        <v>5.5E-2</v>
      </c>
      <c r="E7329" s="608"/>
      <c r="F7329" s="760">
        <f t="shared" si="235"/>
        <v>2.3205495664330243E-2</v>
      </c>
      <c r="M7329" s="443"/>
    </row>
    <row r="7330" spans="1:13">
      <c r="A7330" s="639">
        <v>110113</v>
      </c>
      <c r="B7330" s="639">
        <v>700</v>
      </c>
      <c r="C7330" s="638">
        <v>4.7E-2</v>
      </c>
      <c r="D7330" s="633">
        <f t="shared" si="234"/>
        <v>4.7E-2</v>
      </c>
      <c r="E7330" s="608"/>
      <c r="F7330" s="760">
        <f t="shared" si="235"/>
        <v>1.9830150840427663E-2</v>
      </c>
      <c r="M7330" s="443"/>
    </row>
    <row r="7331" spans="1:13">
      <c r="A7331" s="639">
        <v>110113</v>
      </c>
      <c r="B7331" s="639">
        <v>800</v>
      </c>
      <c r="C7331" s="638">
        <v>3.5000000000000003E-2</v>
      </c>
      <c r="D7331" s="633">
        <f t="shared" si="234"/>
        <v>3.5000000000000003E-2</v>
      </c>
      <c r="E7331" s="608"/>
      <c r="F7331" s="760">
        <f t="shared" si="235"/>
        <v>1.4767133604573792E-2</v>
      </c>
      <c r="M7331" s="443"/>
    </row>
    <row r="7332" spans="1:13">
      <c r="A7332" s="639">
        <v>110113</v>
      </c>
      <c r="B7332" s="639">
        <v>900</v>
      </c>
      <c r="C7332" s="638">
        <v>4.8000000000000001E-2</v>
      </c>
      <c r="D7332" s="633">
        <f t="shared" si="234"/>
        <v>4.8000000000000001E-2</v>
      </c>
      <c r="E7332" s="608"/>
      <c r="F7332" s="760">
        <f t="shared" si="235"/>
        <v>2.0252068943415486E-2</v>
      </c>
      <c r="M7332" s="443"/>
    </row>
    <row r="7333" spans="1:13">
      <c r="A7333" s="639">
        <v>110113</v>
      </c>
      <c r="B7333" s="639">
        <v>1000</v>
      </c>
      <c r="C7333" s="638">
        <v>6.6000000000000003E-2</v>
      </c>
      <c r="D7333" s="633">
        <f t="shared" si="234"/>
        <v>6.6000000000000003E-2</v>
      </c>
      <c r="E7333" s="608"/>
      <c r="F7333" s="760">
        <f t="shared" si="235"/>
        <v>2.7846594797196294E-2</v>
      </c>
      <c r="M7333" s="443"/>
    </row>
    <row r="7334" spans="1:13">
      <c r="A7334" s="639">
        <v>110113</v>
      </c>
      <c r="B7334" s="639">
        <v>1100</v>
      </c>
      <c r="C7334" s="638">
        <v>4.2000000000000003E-2</v>
      </c>
      <c r="D7334" s="633">
        <f t="shared" si="234"/>
        <v>4.2000000000000003E-2</v>
      </c>
      <c r="E7334" s="608"/>
      <c r="F7334" s="760">
        <f t="shared" si="235"/>
        <v>1.7720560325488549E-2</v>
      </c>
      <c r="M7334" s="443"/>
    </row>
    <row r="7335" spans="1:13">
      <c r="A7335" s="639">
        <v>110113</v>
      </c>
      <c r="B7335" s="639">
        <v>1200</v>
      </c>
      <c r="C7335" s="638">
        <v>3.6999999999999998E-2</v>
      </c>
      <c r="D7335" s="633">
        <f t="shared" si="234"/>
        <v>3.6999999999999998E-2</v>
      </c>
      <c r="E7335" s="608"/>
      <c r="F7335" s="760">
        <f t="shared" si="235"/>
        <v>1.5610969810549435E-2</v>
      </c>
      <c r="M7335" s="443"/>
    </row>
    <row r="7336" spans="1:13">
      <c r="A7336" s="639">
        <v>110113</v>
      </c>
      <c r="B7336" s="639">
        <v>1300</v>
      </c>
      <c r="C7336" s="638">
        <v>3.2000000000000001E-2</v>
      </c>
      <c r="D7336" s="633">
        <f t="shared" si="234"/>
        <v>3.2000000000000001E-2</v>
      </c>
      <c r="E7336" s="608"/>
      <c r="F7336" s="760">
        <f t="shared" si="235"/>
        <v>1.3501379295610322E-2</v>
      </c>
      <c r="M7336" s="443"/>
    </row>
    <row r="7337" spans="1:13">
      <c r="A7337" s="639">
        <v>110113</v>
      </c>
      <c r="B7337" s="639">
        <v>1400</v>
      </c>
      <c r="C7337" s="638">
        <v>2.9000000000000001E-2</v>
      </c>
      <c r="D7337" s="633">
        <f t="shared" si="234"/>
        <v>2.9000000000000001E-2</v>
      </c>
      <c r="E7337" s="608"/>
      <c r="F7337" s="760">
        <f t="shared" si="235"/>
        <v>1.2235624986646857E-2</v>
      </c>
      <c r="M7337" s="443"/>
    </row>
    <row r="7338" spans="1:13">
      <c r="A7338" s="639">
        <v>110113</v>
      </c>
      <c r="B7338" s="639">
        <v>1500</v>
      </c>
      <c r="C7338" s="638">
        <v>2.9000000000000001E-2</v>
      </c>
      <c r="D7338" s="633">
        <f t="shared" si="234"/>
        <v>2.9000000000000001E-2</v>
      </c>
      <c r="E7338" s="608"/>
      <c r="F7338" s="760">
        <f t="shared" si="235"/>
        <v>1.2235624986646857E-2</v>
      </c>
      <c r="M7338" s="443"/>
    </row>
    <row r="7339" spans="1:13">
      <c r="A7339" s="639">
        <v>110113</v>
      </c>
      <c r="B7339" s="639">
        <v>1600</v>
      </c>
      <c r="C7339" s="638">
        <v>3.1E-2</v>
      </c>
      <c r="D7339" s="633">
        <f t="shared" si="234"/>
        <v>3.1E-2</v>
      </c>
      <c r="E7339" s="608"/>
      <c r="F7339" s="760">
        <f t="shared" si="235"/>
        <v>1.30794611926225E-2</v>
      </c>
      <c r="M7339" s="443"/>
    </row>
    <row r="7340" spans="1:13">
      <c r="A7340" s="639">
        <v>110113</v>
      </c>
      <c r="B7340" s="639">
        <v>1700</v>
      </c>
      <c r="C7340" s="638">
        <v>2.9000000000000001E-2</v>
      </c>
      <c r="D7340" s="633">
        <f t="shared" si="234"/>
        <v>2.9000000000000001E-2</v>
      </c>
      <c r="E7340" s="608"/>
      <c r="F7340" s="760">
        <f t="shared" si="235"/>
        <v>1.2235624986646857E-2</v>
      </c>
      <c r="M7340" s="443"/>
    </row>
    <row r="7341" spans="1:13">
      <c r="A7341" s="639">
        <v>110113</v>
      </c>
      <c r="B7341" s="639">
        <v>1800</v>
      </c>
      <c r="C7341" s="638">
        <v>0.03</v>
      </c>
      <c r="D7341" s="633">
        <f t="shared" si="234"/>
        <v>0.03</v>
      </c>
      <c r="E7341" s="608"/>
      <c r="F7341" s="760">
        <f t="shared" si="235"/>
        <v>1.2657543089634677E-2</v>
      </c>
      <c r="M7341" s="443"/>
    </row>
    <row r="7342" spans="1:13">
      <c r="A7342" s="639">
        <v>110113</v>
      </c>
      <c r="B7342" s="639">
        <v>1900</v>
      </c>
      <c r="C7342" s="638">
        <v>3.3000000000000002E-2</v>
      </c>
      <c r="D7342" s="633">
        <f t="shared" si="234"/>
        <v>3.3000000000000002E-2</v>
      </c>
      <c r="E7342" s="608"/>
      <c r="F7342" s="760">
        <f t="shared" si="235"/>
        <v>1.3923297398598147E-2</v>
      </c>
      <c r="M7342" s="443"/>
    </row>
    <row r="7343" spans="1:13">
      <c r="A7343" s="639">
        <v>110113</v>
      </c>
      <c r="B7343" s="639">
        <v>2000</v>
      </c>
      <c r="C7343" s="638">
        <v>3.3000000000000002E-2</v>
      </c>
      <c r="D7343" s="633">
        <f t="shared" si="234"/>
        <v>3.3000000000000002E-2</v>
      </c>
      <c r="E7343" s="608"/>
      <c r="F7343" s="760">
        <f t="shared" si="235"/>
        <v>1.3923297398598147E-2</v>
      </c>
      <c r="M7343" s="443"/>
    </row>
    <row r="7344" spans="1:13">
      <c r="A7344" s="639">
        <v>110113</v>
      </c>
      <c r="B7344" s="639">
        <v>2100</v>
      </c>
      <c r="C7344" s="638">
        <v>3.4000000000000002E-2</v>
      </c>
      <c r="D7344" s="633">
        <f t="shared" si="234"/>
        <v>3.4000000000000002E-2</v>
      </c>
      <c r="E7344" s="608"/>
      <c r="F7344" s="760">
        <f t="shared" si="235"/>
        <v>1.434521550158597E-2</v>
      </c>
      <c r="M7344" s="443"/>
    </row>
    <row r="7345" spans="1:13">
      <c r="A7345" s="639">
        <v>110113</v>
      </c>
      <c r="B7345" s="639">
        <v>2200</v>
      </c>
      <c r="C7345" s="638">
        <v>3.6999999999999998E-2</v>
      </c>
      <c r="D7345" s="633">
        <f t="shared" si="234"/>
        <v>3.6999999999999998E-2</v>
      </c>
      <c r="E7345" s="608"/>
      <c r="F7345" s="760">
        <f t="shared" si="235"/>
        <v>1.5610969810549435E-2</v>
      </c>
      <c r="M7345" s="443"/>
    </row>
    <row r="7346" spans="1:13">
      <c r="A7346" s="639">
        <v>110113</v>
      </c>
      <c r="B7346" s="639">
        <v>2300</v>
      </c>
      <c r="C7346" s="638">
        <v>3.6999999999999998E-2</v>
      </c>
      <c r="D7346" s="633">
        <f t="shared" si="234"/>
        <v>3.6999999999999998E-2</v>
      </c>
      <c r="E7346" s="608"/>
      <c r="F7346" s="760">
        <f t="shared" si="235"/>
        <v>1.5610969810549435E-2</v>
      </c>
      <c r="M7346" s="443"/>
    </row>
    <row r="7347" spans="1:13">
      <c r="A7347" s="639">
        <v>110113</v>
      </c>
      <c r="B7347" s="639">
        <v>2400</v>
      </c>
      <c r="C7347" s="638">
        <v>0.04</v>
      </c>
      <c r="D7347" s="633">
        <f t="shared" si="234"/>
        <v>0.04</v>
      </c>
      <c r="E7347" s="608"/>
      <c r="F7347" s="760">
        <f t="shared" si="235"/>
        <v>1.6876724119512902E-2</v>
      </c>
      <c r="M7347" s="443"/>
    </row>
    <row r="7348" spans="1:13">
      <c r="A7348" s="639">
        <v>110213</v>
      </c>
      <c r="B7348" s="639">
        <v>100</v>
      </c>
      <c r="C7348" s="638">
        <v>4.2999999999999997E-2</v>
      </c>
      <c r="D7348" s="633">
        <f t="shared" si="234"/>
        <v>4.2999999999999997E-2</v>
      </c>
      <c r="E7348" s="608"/>
      <c r="F7348" s="760">
        <f t="shared" si="235"/>
        <v>1.8142478428476369E-2</v>
      </c>
      <c r="M7348" s="443"/>
    </row>
    <row r="7349" spans="1:13">
      <c r="A7349" s="639">
        <v>110213</v>
      </c>
      <c r="B7349" s="639">
        <v>200</v>
      </c>
      <c r="C7349" s="638">
        <v>4.3999999999999997E-2</v>
      </c>
      <c r="D7349" s="633">
        <f t="shared" si="234"/>
        <v>4.3999999999999997E-2</v>
      </c>
      <c r="E7349" s="608"/>
      <c r="F7349" s="760">
        <f t="shared" si="235"/>
        <v>1.8564396531464192E-2</v>
      </c>
      <c r="M7349" s="443"/>
    </row>
    <row r="7350" spans="1:13">
      <c r="A7350" s="639">
        <v>110213</v>
      </c>
      <c r="B7350" s="639">
        <v>300</v>
      </c>
      <c r="C7350" s="638">
        <v>4.2000000000000003E-2</v>
      </c>
      <c r="D7350" s="633">
        <f t="shared" si="234"/>
        <v>4.2000000000000003E-2</v>
      </c>
      <c r="E7350" s="608"/>
      <c r="F7350" s="760">
        <f t="shared" si="235"/>
        <v>1.7720560325488549E-2</v>
      </c>
      <c r="M7350" s="443"/>
    </row>
    <row r="7351" spans="1:13">
      <c r="A7351" s="639">
        <v>110213</v>
      </c>
      <c r="B7351" s="639">
        <v>400</v>
      </c>
      <c r="C7351" s="638">
        <v>4.1000000000000002E-2</v>
      </c>
      <c r="D7351" s="633">
        <f t="shared" si="234"/>
        <v>4.1000000000000002E-2</v>
      </c>
      <c r="E7351" s="608"/>
      <c r="F7351" s="760">
        <f t="shared" si="235"/>
        <v>1.7298642222500726E-2</v>
      </c>
      <c r="M7351" s="443"/>
    </row>
    <row r="7352" spans="1:13">
      <c r="A7352" s="639">
        <v>110213</v>
      </c>
      <c r="B7352" s="639">
        <v>500</v>
      </c>
      <c r="C7352" s="638">
        <v>4.1000000000000002E-2</v>
      </c>
      <c r="D7352" s="633">
        <f t="shared" si="234"/>
        <v>4.1000000000000002E-2</v>
      </c>
      <c r="E7352" s="608"/>
      <c r="F7352" s="760">
        <f t="shared" si="235"/>
        <v>1.7298642222500726E-2</v>
      </c>
      <c r="M7352" s="443"/>
    </row>
    <row r="7353" spans="1:13">
      <c r="A7353" s="639">
        <v>110213</v>
      </c>
      <c r="B7353" s="639">
        <v>600</v>
      </c>
      <c r="C7353" s="638">
        <v>3.7999999999999999E-2</v>
      </c>
      <c r="D7353" s="633">
        <f t="shared" si="234"/>
        <v>3.7999999999999999E-2</v>
      </c>
      <c r="E7353" s="608"/>
      <c r="F7353" s="760">
        <f t="shared" si="235"/>
        <v>1.6032887913537259E-2</v>
      </c>
      <c r="M7353" s="443"/>
    </row>
    <row r="7354" spans="1:13">
      <c r="A7354" s="639">
        <v>110213</v>
      </c>
      <c r="B7354" s="639">
        <v>700</v>
      </c>
      <c r="C7354" s="638">
        <v>4.5999999999999999E-2</v>
      </c>
      <c r="D7354" s="633">
        <f t="shared" si="234"/>
        <v>4.5999999999999999E-2</v>
      </c>
      <c r="E7354" s="608"/>
      <c r="F7354" s="760">
        <f t="shared" si="235"/>
        <v>1.9408232737439839E-2</v>
      </c>
      <c r="M7354" s="443"/>
    </row>
    <row r="7355" spans="1:13">
      <c r="A7355" s="639">
        <v>110213</v>
      </c>
      <c r="B7355" s="639">
        <v>800</v>
      </c>
      <c r="C7355" s="638">
        <v>3.9E-2</v>
      </c>
      <c r="D7355" s="633">
        <f t="shared" si="234"/>
        <v>3.9E-2</v>
      </c>
      <c r="E7355" s="608"/>
      <c r="F7355" s="760">
        <f t="shared" si="235"/>
        <v>1.6454806016525082E-2</v>
      </c>
      <c r="M7355" s="443"/>
    </row>
    <row r="7356" spans="1:13">
      <c r="A7356" s="639">
        <v>110213</v>
      </c>
      <c r="B7356" s="639">
        <v>900</v>
      </c>
      <c r="C7356" s="638">
        <v>4.1000000000000002E-2</v>
      </c>
      <c r="D7356" s="633">
        <f t="shared" si="234"/>
        <v>4.1000000000000002E-2</v>
      </c>
      <c r="E7356" s="608"/>
      <c r="F7356" s="760">
        <f t="shared" si="235"/>
        <v>1.7298642222500726E-2</v>
      </c>
      <c r="M7356" s="443"/>
    </row>
    <row r="7357" spans="1:13">
      <c r="A7357" s="639">
        <v>110213</v>
      </c>
      <c r="B7357" s="639">
        <v>1000</v>
      </c>
      <c r="C7357" s="638">
        <v>3.5000000000000003E-2</v>
      </c>
      <c r="D7357" s="633">
        <f t="shared" si="234"/>
        <v>3.5000000000000003E-2</v>
      </c>
      <c r="E7357" s="608"/>
      <c r="F7357" s="760">
        <f t="shared" si="235"/>
        <v>1.4767133604573792E-2</v>
      </c>
      <c r="M7357" s="443"/>
    </row>
    <row r="7358" spans="1:13">
      <c r="A7358" s="639">
        <v>110213</v>
      </c>
      <c r="B7358" s="639">
        <v>1100</v>
      </c>
      <c r="C7358" s="638">
        <v>0.03</v>
      </c>
      <c r="D7358" s="633">
        <f t="shared" si="234"/>
        <v>0.03</v>
      </c>
      <c r="E7358" s="608"/>
      <c r="F7358" s="760">
        <f t="shared" si="235"/>
        <v>1.2657543089634677E-2</v>
      </c>
      <c r="M7358" s="443"/>
    </row>
    <row r="7359" spans="1:13">
      <c r="A7359" s="639">
        <v>110213</v>
      </c>
      <c r="B7359" s="639">
        <v>1200</v>
      </c>
      <c r="C7359" s="638">
        <v>3.4000000000000002E-2</v>
      </c>
      <c r="D7359" s="633">
        <f t="shared" si="234"/>
        <v>3.4000000000000002E-2</v>
      </c>
      <c r="E7359" s="608"/>
      <c r="F7359" s="760">
        <f t="shared" si="235"/>
        <v>1.434521550158597E-2</v>
      </c>
      <c r="M7359" s="443"/>
    </row>
    <row r="7360" spans="1:13">
      <c r="A7360" s="639">
        <v>110213</v>
      </c>
      <c r="B7360" s="639">
        <v>1300</v>
      </c>
      <c r="C7360" s="638">
        <v>3.3000000000000002E-2</v>
      </c>
      <c r="D7360" s="633">
        <f t="shared" si="234"/>
        <v>3.3000000000000002E-2</v>
      </c>
      <c r="E7360" s="608"/>
      <c r="F7360" s="760">
        <f t="shared" si="235"/>
        <v>1.3923297398598147E-2</v>
      </c>
      <c r="M7360" s="443"/>
    </row>
    <row r="7361" spans="1:13">
      <c r="A7361" s="639">
        <v>110213</v>
      </c>
      <c r="B7361" s="639">
        <v>1400</v>
      </c>
      <c r="C7361" s="638">
        <v>0.03</v>
      </c>
      <c r="D7361" s="633">
        <f t="shared" si="234"/>
        <v>0.03</v>
      </c>
      <c r="E7361" s="608"/>
      <c r="F7361" s="760">
        <f t="shared" si="235"/>
        <v>1.2657543089634677E-2</v>
      </c>
      <c r="M7361" s="443"/>
    </row>
    <row r="7362" spans="1:13">
      <c r="A7362" s="639">
        <v>110213</v>
      </c>
      <c r="B7362" s="639">
        <v>1500</v>
      </c>
      <c r="C7362" s="638">
        <v>3.1E-2</v>
      </c>
      <c r="D7362" s="633">
        <f t="shared" si="234"/>
        <v>3.1E-2</v>
      </c>
      <c r="E7362" s="608"/>
      <c r="F7362" s="760">
        <f t="shared" si="235"/>
        <v>1.30794611926225E-2</v>
      </c>
      <c r="M7362" s="443"/>
    </row>
    <row r="7363" spans="1:13">
      <c r="A7363" s="639">
        <v>110213</v>
      </c>
      <c r="B7363" s="639">
        <v>1600</v>
      </c>
      <c r="C7363" s="638">
        <v>0.03</v>
      </c>
      <c r="D7363" s="633">
        <f t="shared" si="234"/>
        <v>0.03</v>
      </c>
      <c r="E7363" s="608"/>
      <c r="F7363" s="760">
        <f t="shared" si="235"/>
        <v>1.2657543089634677E-2</v>
      </c>
      <c r="M7363" s="443"/>
    </row>
    <row r="7364" spans="1:13">
      <c r="A7364" s="639">
        <v>110213</v>
      </c>
      <c r="B7364" s="639">
        <v>1700</v>
      </c>
      <c r="C7364" s="638">
        <v>3.2000000000000001E-2</v>
      </c>
      <c r="D7364" s="633">
        <f t="shared" si="234"/>
        <v>3.2000000000000001E-2</v>
      </c>
      <c r="E7364" s="608"/>
      <c r="F7364" s="760">
        <f t="shared" si="235"/>
        <v>1.3501379295610322E-2</v>
      </c>
      <c r="M7364" s="443"/>
    </row>
    <row r="7365" spans="1:13">
      <c r="A7365" s="639">
        <v>110213</v>
      </c>
      <c r="B7365" s="639">
        <v>1800</v>
      </c>
      <c r="C7365" s="638">
        <v>2.7E-2</v>
      </c>
      <c r="D7365" s="633">
        <f t="shared" ref="D7365:D7428" si="236">C7365</f>
        <v>2.7E-2</v>
      </c>
      <c r="E7365" s="608"/>
      <c r="F7365" s="760">
        <f t="shared" si="235"/>
        <v>1.1391788780671212E-2</v>
      </c>
      <c r="M7365" s="443"/>
    </row>
    <row r="7366" spans="1:13">
      <c r="A7366" s="639">
        <v>110213</v>
      </c>
      <c r="B7366" s="639">
        <v>1900</v>
      </c>
      <c r="C7366" s="638">
        <v>2.5999999999999999E-2</v>
      </c>
      <c r="D7366" s="633">
        <f t="shared" si="236"/>
        <v>2.5999999999999999E-2</v>
      </c>
      <c r="E7366" s="608"/>
      <c r="F7366" s="760">
        <f t="shared" si="235"/>
        <v>1.0969870677683386E-2</v>
      </c>
      <c r="M7366" s="443"/>
    </row>
    <row r="7367" spans="1:13">
      <c r="A7367" s="639">
        <v>110213</v>
      </c>
      <c r="B7367" s="639">
        <v>2000</v>
      </c>
      <c r="C7367" s="638">
        <v>2.8000000000000001E-2</v>
      </c>
      <c r="D7367" s="633">
        <f t="shared" si="236"/>
        <v>2.8000000000000001E-2</v>
      </c>
      <c r="E7367" s="608"/>
      <c r="F7367" s="760">
        <f t="shared" si="235"/>
        <v>1.1813706883659033E-2</v>
      </c>
      <c r="M7367" s="443"/>
    </row>
    <row r="7368" spans="1:13">
      <c r="A7368" s="639">
        <v>110213</v>
      </c>
      <c r="B7368" s="639">
        <v>2100</v>
      </c>
      <c r="C7368" s="638">
        <v>0.03</v>
      </c>
      <c r="D7368" s="633">
        <f t="shared" si="236"/>
        <v>0.03</v>
      </c>
      <c r="E7368" s="608"/>
      <c r="F7368" s="760">
        <f t="shared" si="235"/>
        <v>1.2657543089634677E-2</v>
      </c>
      <c r="M7368" s="443"/>
    </row>
    <row r="7369" spans="1:13">
      <c r="A7369" s="639">
        <v>110213</v>
      </c>
      <c r="B7369" s="639">
        <v>2200</v>
      </c>
      <c r="C7369" s="638">
        <v>3.2000000000000001E-2</v>
      </c>
      <c r="D7369" s="633">
        <f t="shared" si="236"/>
        <v>3.2000000000000001E-2</v>
      </c>
      <c r="E7369" s="608"/>
      <c r="F7369" s="760">
        <f t="shared" si="235"/>
        <v>1.3501379295610322E-2</v>
      </c>
      <c r="M7369" s="443"/>
    </row>
    <row r="7370" spans="1:13">
      <c r="A7370" s="639">
        <v>110213</v>
      </c>
      <c r="B7370" s="639">
        <v>2300</v>
      </c>
      <c r="C7370" s="638">
        <v>2.7E-2</v>
      </c>
      <c r="D7370" s="633">
        <f t="shared" si="236"/>
        <v>2.7E-2</v>
      </c>
      <c r="E7370" s="608"/>
      <c r="F7370" s="760">
        <f t="shared" si="235"/>
        <v>1.1391788780671212E-2</v>
      </c>
      <c r="M7370" s="443"/>
    </row>
    <row r="7371" spans="1:13">
      <c r="A7371" s="639">
        <v>110213</v>
      </c>
      <c r="B7371" s="639">
        <v>2400</v>
      </c>
      <c r="C7371" s="638">
        <v>0.03</v>
      </c>
      <c r="D7371" s="633">
        <f t="shared" si="236"/>
        <v>0.03</v>
      </c>
      <c r="E7371" s="608"/>
      <c r="F7371" s="760">
        <f t="shared" si="235"/>
        <v>1.2657543089634677E-2</v>
      </c>
      <c r="M7371" s="443"/>
    </row>
    <row r="7372" spans="1:13">
      <c r="A7372" s="639">
        <v>110313</v>
      </c>
      <c r="B7372" s="639">
        <v>100</v>
      </c>
      <c r="C7372" s="638">
        <v>0.03</v>
      </c>
      <c r="D7372" s="633">
        <f t="shared" si="236"/>
        <v>0.03</v>
      </c>
      <c r="E7372" s="608"/>
      <c r="F7372" s="760">
        <f t="shared" si="235"/>
        <v>1.2657543089634677E-2</v>
      </c>
      <c r="M7372" s="443"/>
    </row>
    <row r="7373" spans="1:13">
      <c r="A7373" s="639">
        <v>110313</v>
      </c>
      <c r="B7373" s="639">
        <v>200</v>
      </c>
      <c r="C7373" s="638">
        <v>2.5999999999999999E-2</v>
      </c>
      <c r="D7373" s="633">
        <f t="shared" si="236"/>
        <v>2.5999999999999999E-2</v>
      </c>
      <c r="E7373" s="608"/>
      <c r="F7373" s="760">
        <f t="shared" si="235"/>
        <v>1.0969870677683386E-2</v>
      </c>
      <c r="M7373" s="443"/>
    </row>
    <row r="7374" spans="1:13">
      <c r="A7374" s="639">
        <v>110313</v>
      </c>
      <c r="B7374" s="639">
        <v>300</v>
      </c>
      <c r="C7374" s="638">
        <v>2.7E-2</v>
      </c>
      <c r="D7374" s="633">
        <f t="shared" si="236"/>
        <v>2.7E-2</v>
      </c>
      <c r="E7374" s="608"/>
      <c r="F7374" s="760">
        <f t="shared" si="235"/>
        <v>1.1391788780671212E-2</v>
      </c>
      <c r="M7374" s="443"/>
    </row>
    <row r="7375" spans="1:13">
      <c r="A7375" s="639">
        <v>110313</v>
      </c>
      <c r="B7375" s="639">
        <v>400</v>
      </c>
      <c r="C7375" s="638">
        <v>2.5000000000000001E-2</v>
      </c>
      <c r="D7375" s="633">
        <f t="shared" si="236"/>
        <v>2.5000000000000001E-2</v>
      </c>
      <c r="E7375" s="608"/>
      <c r="F7375" s="760">
        <f t="shared" si="235"/>
        <v>1.0547952574695565E-2</v>
      </c>
      <c r="M7375" s="443"/>
    </row>
    <row r="7376" spans="1:13">
      <c r="A7376" s="639">
        <v>110313</v>
      </c>
      <c r="B7376" s="639">
        <v>500</v>
      </c>
      <c r="C7376" s="638">
        <v>2.4E-2</v>
      </c>
      <c r="D7376" s="633">
        <f t="shared" si="236"/>
        <v>2.4E-2</v>
      </c>
      <c r="E7376" s="608"/>
      <c r="F7376" s="760">
        <f t="shared" si="235"/>
        <v>1.0126034471707743E-2</v>
      </c>
      <c r="M7376" s="443"/>
    </row>
    <row r="7377" spans="1:13">
      <c r="A7377" s="639">
        <v>110313</v>
      </c>
      <c r="B7377" s="639">
        <v>600</v>
      </c>
      <c r="C7377" s="638">
        <v>2.1999999999999999E-2</v>
      </c>
      <c r="D7377" s="633">
        <f t="shared" si="236"/>
        <v>2.1999999999999999E-2</v>
      </c>
      <c r="E7377" s="608"/>
      <c r="F7377" s="760">
        <f t="shared" si="235"/>
        <v>9.2821982657320962E-3</v>
      </c>
      <c r="M7377" s="443"/>
    </row>
    <row r="7378" spans="1:13">
      <c r="A7378" s="639">
        <v>110313</v>
      </c>
      <c r="B7378" s="639">
        <v>700</v>
      </c>
      <c r="C7378" s="638">
        <v>2.1000000000000001E-2</v>
      </c>
      <c r="D7378" s="633">
        <f t="shared" si="236"/>
        <v>2.1000000000000001E-2</v>
      </c>
      <c r="E7378" s="608"/>
      <c r="F7378" s="760">
        <f t="shared" si="235"/>
        <v>8.8602801627442745E-3</v>
      </c>
      <c r="M7378" s="443"/>
    </row>
    <row r="7379" spans="1:13">
      <c r="A7379" s="639">
        <v>110313</v>
      </c>
      <c r="B7379" s="639">
        <v>800</v>
      </c>
      <c r="C7379" s="638">
        <v>1.7999999999999999E-2</v>
      </c>
      <c r="D7379" s="633">
        <f t="shared" si="236"/>
        <v>1.7999999999999999E-2</v>
      </c>
      <c r="E7379" s="608"/>
      <c r="F7379" s="760">
        <f t="shared" si="235"/>
        <v>7.5945258537808069E-3</v>
      </c>
      <c r="M7379" s="443"/>
    </row>
    <row r="7380" spans="1:13">
      <c r="A7380" s="639">
        <v>110313</v>
      </c>
      <c r="B7380" s="639">
        <v>900</v>
      </c>
      <c r="C7380" s="638">
        <v>2.1000000000000001E-2</v>
      </c>
      <c r="D7380" s="633">
        <f t="shared" si="236"/>
        <v>2.1000000000000001E-2</v>
      </c>
      <c r="E7380" s="608"/>
      <c r="F7380" s="760">
        <f t="shared" si="235"/>
        <v>8.8602801627442745E-3</v>
      </c>
      <c r="M7380" s="443"/>
    </row>
    <row r="7381" spans="1:13">
      <c r="A7381" s="639">
        <v>110313</v>
      </c>
      <c r="B7381" s="639">
        <v>1000</v>
      </c>
      <c r="C7381" s="638">
        <v>2.1000000000000001E-2</v>
      </c>
      <c r="D7381" s="633">
        <f t="shared" si="236"/>
        <v>2.1000000000000001E-2</v>
      </c>
      <c r="E7381" s="608"/>
      <c r="F7381" s="760">
        <f t="shared" si="235"/>
        <v>8.8602801627442745E-3</v>
      </c>
      <c r="M7381" s="443"/>
    </row>
    <row r="7382" spans="1:13">
      <c r="A7382" s="639">
        <v>110313</v>
      </c>
      <c r="B7382" s="639">
        <v>1100</v>
      </c>
      <c r="C7382" s="638">
        <v>1.7999999999999999E-2</v>
      </c>
      <c r="D7382" s="633">
        <f t="shared" si="236"/>
        <v>1.7999999999999999E-2</v>
      </c>
      <c r="E7382" s="608"/>
      <c r="F7382" s="760">
        <f t="shared" si="235"/>
        <v>7.5945258537808069E-3</v>
      </c>
      <c r="M7382" s="443"/>
    </row>
    <row r="7383" spans="1:13">
      <c r="A7383" s="639">
        <v>110313</v>
      </c>
      <c r="B7383" s="639">
        <v>1200</v>
      </c>
      <c r="C7383" s="638">
        <v>2.1999999999999999E-2</v>
      </c>
      <c r="D7383" s="633">
        <f t="shared" si="236"/>
        <v>2.1999999999999999E-2</v>
      </c>
      <c r="E7383" s="608"/>
      <c r="F7383" s="760">
        <f t="shared" si="235"/>
        <v>9.2821982657320962E-3</v>
      </c>
      <c r="M7383" s="443"/>
    </row>
    <row r="7384" spans="1:13">
      <c r="A7384" s="639">
        <v>110313</v>
      </c>
      <c r="B7384" s="639">
        <v>1300</v>
      </c>
      <c r="C7384" s="638">
        <v>2.3E-2</v>
      </c>
      <c r="D7384" s="633">
        <f t="shared" si="236"/>
        <v>2.3E-2</v>
      </c>
      <c r="E7384" s="608"/>
      <c r="F7384" s="760">
        <f t="shared" si="235"/>
        <v>9.7041163687199197E-3</v>
      </c>
      <c r="M7384" s="443"/>
    </row>
    <row r="7385" spans="1:13">
      <c r="A7385" s="639">
        <v>110313</v>
      </c>
      <c r="B7385" s="639">
        <v>1400</v>
      </c>
      <c r="C7385" s="638">
        <v>2.1999999999999999E-2</v>
      </c>
      <c r="D7385" s="633">
        <f t="shared" si="236"/>
        <v>2.1999999999999999E-2</v>
      </c>
      <c r="E7385" s="608"/>
      <c r="F7385" s="760">
        <f t="shared" si="235"/>
        <v>9.2821982657320962E-3</v>
      </c>
      <c r="M7385" s="443"/>
    </row>
    <row r="7386" spans="1:13">
      <c r="A7386" s="639">
        <v>110313</v>
      </c>
      <c r="B7386" s="639">
        <v>1500</v>
      </c>
      <c r="C7386" s="638">
        <v>1.9E-2</v>
      </c>
      <c r="D7386" s="633">
        <f t="shared" si="236"/>
        <v>1.9E-2</v>
      </c>
      <c r="E7386" s="608"/>
      <c r="F7386" s="760">
        <f t="shared" si="235"/>
        <v>8.0164439567686294E-3</v>
      </c>
      <c r="M7386" s="443"/>
    </row>
    <row r="7387" spans="1:13">
      <c r="A7387" s="639">
        <v>110313</v>
      </c>
      <c r="B7387" s="639">
        <v>1600</v>
      </c>
      <c r="C7387" s="638">
        <v>1.9E-2</v>
      </c>
      <c r="D7387" s="633">
        <f t="shared" si="236"/>
        <v>1.9E-2</v>
      </c>
      <c r="E7387" s="608"/>
      <c r="F7387" s="760">
        <f t="shared" si="235"/>
        <v>8.0164439567686294E-3</v>
      </c>
      <c r="M7387" s="443"/>
    </row>
    <row r="7388" spans="1:13">
      <c r="A7388" s="639">
        <v>110313</v>
      </c>
      <c r="B7388" s="639">
        <v>1700</v>
      </c>
      <c r="C7388" s="638">
        <v>2.1000000000000001E-2</v>
      </c>
      <c r="D7388" s="633">
        <f t="shared" si="236"/>
        <v>2.1000000000000001E-2</v>
      </c>
      <c r="E7388" s="608"/>
      <c r="F7388" s="760">
        <f t="shared" ref="F7388:F7451" si="237">(D7388/(MAX($D$7324:$D$8043)))*$M$14</f>
        <v>8.8602801627442745E-3</v>
      </c>
      <c r="M7388" s="443"/>
    </row>
    <row r="7389" spans="1:13">
      <c r="A7389" s="639">
        <v>110313</v>
      </c>
      <c r="B7389" s="639">
        <v>1800</v>
      </c>
      <c r="C7389" s="638">
        <v>2.1000000000000001E-2</v>
      </c>
      <c r="D7389" s="633">
        <f t="shared" si="236"/>
        <v>2.1000000000000001E-2</v>
      </c>
      <c r="E7389" s="608"/>
      <c r="F7389" s="760">
        <f t="shared" si="237"/>
        <v>8.8602801627442745E-3</v>
      </c>
      <c r="M7389" s="443"/>
    </row>
    <row r="7390" spans="1:13">
      <c r="A7390" s="639">
        <v>110313</v>
      </c>
      <c r="B7390" s="639">
        <v>1900</v>
      </c>
      <c r="C7390" s="638">
        <v>2.4E-2</v>
      </c>
      <c r="D7390" s="633">
        <f t="shared" si="236"/>
        <v>2.4E-2</v>
      </c>
      <c r="E7390" s="608"/>
      <c r="F7390" s="760">
        <f t="shared" si="237"/>
        <v>1.0126034471707743E-2</v>
      </c>
      <c r="M7390" s="443"/>
    </row>
    <row r="7391" spans="1:13">
      <c r="A7391" s="639">
        <v>110313</v>
      </c>
      <c r="B7391" s="639">
        <v>2000</v>
      </c>
      <c r="C7391" s="638">
        <v>2.5000000000000001E-2</v>
      </c>
      <c r="D7391" s="633">
        <f t="shared" si="236"/>
        <v>2.5000000000000001E-2</v>
      </c>
      <c r="E7391" s="608"/>
      <c r="F7391" s="760">
        <f t="shared" si="237"/>
        <v>1.0547952574695565E-2</v>
      </c>
      <c r="M7391" s="443"/>
    </row>
    <row r="7392" spans="1:13">
      <c r="A7392" s="639">
        <v>110313</v>
      </c>
      <c r="B7392" s="639">
        <v>2100</v>
      </c>
      <c r="C7392" s="638">
        <v>2.8000000000000001E-2</v>
      </c>
      <c r="D7392" s="633">
        <f t="shared" si="236"/>
        <v>2.8000000000000001E-2</v>
      </c>
      <c r="E7392" s="608"/>
      <c r="F7392" s="760">
        <f t="shared" si="237"/>
        <v>1.1813706883659033E-2</v>
      </c>
      <c r="M7392" s="443"/>
    </row>
    <row r="7393" spans="1:13">
      <c r="A7393" s="639">
        <v>110313</v>
      </c>
      <c r="B7393" s="639">
        <v>2200</v>
      </c>
      <c r="C7393" s="638">
        <v>2.8000000000000001E-2</v>
      </c>
      <c r="D7393" s="633">
        <f t="shared" si="236"/>
        <v>2.8000000000000001E-2</v>
      </c>
      <c r="E7393" s="608"/>
      <c r="F7393" s="760">
        <f t="shared" si="237"/>
        <v>1.1813706883659033E-2</v>
      </c>
      <c r="M7393" s="443"/>
    </row>
    <row r="7394" spans="1:13">
      <c r="A7394" s="639">
        <v>110313</v>
      </c>
      <c r="B7394" s="639">
        <v>2300</v>
      </c>
      <c r="C7394" s="638">
        <v>2.9000000000000001E-2</v>
      </c>
      <c r="D7394" s="633">
        <f t="shared" si="236"/>
        <v>2.9000000000000001E-2</v>
      </c>
      <c r="E7394" s="608"/>
      <c r="F7394" s="760">
        <f t="shared" si="237"/>
        <v>1.2235624986646857E-2</v>
      </c>
      <c r="M7394" s="443"/>
    </row>
    <row r="7395" spans="1:13">
      <c r="A7395" s="639">
        <v>110313</v>
      </c>
      <c r="B7395" s="639">
        <v>2400</v>
      </c>
      <c r="C7395" s="638">
        <v>1846.11</v>
      </c>
      <c r="D7395" s="633">
        <f t="shared" si="236"/>
        <v>1846.11</v>
      </c>
      <c r="E7395" s="608"/>
      <c r="F7395" s="760">
        <f t="shared" si="237"/>
        <v>778.90722910684906</v>
      </c>
      <c r="M7395" s="443"/>
    </row>
    <row r="7396" spans="1:13">
      <c r="A7396" s="639">
        <v>110413</v>
      </c>
      <c r="B7396" s="639">
        <v>100</v>
      </c>
      <c r="C7396" s="638">
        <v>3090.8319999999999</v>
      </c>
      <c r="D7396" s="633">
        <f t="shared" si="236"/>
        <v>3090.8319999999999</v>
      </c>
      <c r="E7396" s="608"/>
      <c r="F7396" s="760">
        <f t="shared" si="237"/>
        <v>1304.0779740940577</v>
      </c>
      <c r="M7396" s="443"/>
    </row>
    <row r="7397" spans="1:13">
      <c r="A7397" s="639">
        <v>110413</v>
      </c>
      <c r="B7397" s="639">
        <v>200</v>
      </c>
      <c r="C7397" s="638">
        <v>3222.6280000000002</v>
      </c>
      <c r="D7397" s="633">
        <f t="shared" si="236"/>
        <v>3222.6280000000002</v>
      </c>
      <c r="E7397" s="608"/>
      <c r="F7397" s="760">
        <f t="shared" si="237"/>
        <v>1359.6850923954407</v>
      </c>
      <c r="M7397" s="443"/>
    </row>
    <row r="7398" spans="1:13">
      <c r="A7398" s="639">
        <v>110413</v>
      </c>
      <c r="B7398" s="639">
        <v>300</v>
      </c>
      <c r="C7398" s="638">
        <v>3213.3290000000002</v>
      </c>
      <c r="D7398" s="633">
        <f t="shared" si="236"/>
        <v>3213.3290000000002</v>
      </c>
      <c r="E7398" s="608"/>
      <c r="F7398" s="760">
        <f t="shared" si="237"/>
        <v>1355.761675955757</v>
      </c>
      <c r="M7398" s="443"/>
    </row>
    <row r="7399" spans="1:13">
      <c r="A7399" s="639">
        <v>110413</v>
      </c>
      <c r="B7399" s="639">
        <v>400</v>
      </c>
      <c r="C7399" s="638">
        <v>3234.78</v>
      </c>
      <c r="D7399" s="633">
        <f t="shared" si="236"/>
        <v>3234.78</v>
      </c>
      <c r="E7399" s="608"/>
      <c r="F7399" s="760">
        <f t="shared" si="237"/>
        <v>1364.8122411829488</v>
      </c>
      <c r="M7399" s="443"/>
    </row>
    <row r="7400" spans="1:13">
      <c r="A7400" s="639">
        <v>110413</v>
      </c>
      <c r="B7400" s="639">
        <v>500</v>
      </c>
      <c r="C7400" s="638">
        <v>3343.94</v>
      </c>
      <c r="D7400" s="633">
        <f t="shared" si="236"/>
        <v>3343.94</v>
      </c>
      <c r="E7400" s="608"/>
      <c r="F7400" s="760">
        <f t="shared" si="237"/>
        <v>1410.8688213050996</v>
      </c>
      <c r="M7400" s="443"/>
    </row>
    <row r="7401" spans="1:13">
      <c r="A7401" s="639">
        <v>110413</v>
      </c>
      <c r="B7401" s="639">
        <v>600</v>
      </c>
      <c r="C7401" s="638">
        <v>3688.7170000000001</v>
      </c>
      <c r="D7401" s="633">
        <f t="shared" si="236"/>
        <v>3688.7170000000001</v>
      </c>
      <c r="E7401" s="608"/>
      <c r="F7401" s="760">
        <f t="shared" si="237"/>
        <v>1556.3364790989322</v>
      </c>
      <c r="M7401" s="443"/>
    </row>
    <row r="7402" spans="1:13">
      <c r="A7402" s="639">
        <v>110413</v>
      </c>
      <c r="B7402" s="639">
        <v>700</v>
      </c>
      <c r="C7402" s="638">
        <v>4213.1670000000004</v>
      </c>
      <c r="D7402" s="633">
        <f t="shared" si="236"/>
        <v>4213.1670000000004</v>
      </c>
      <c r="E7402" s="608"/>
      <c r="F7402" s="760">
        <f t="shared" si="237"/>
        <v>1777.6114282108956</v>
      </c>
      <c r="M7402" s="443"/>
    </row>
    <row r="7403" spans="1:13">
      <c r="A7403" s="639">
        <v>110413</v>
      </c>
      <c r="B7403" s="639">
        <v>800</v>
      </c>
      <c r="C7403" s="638">
        <v>4268.8680000000004</v>
      </c>
      <c r="D7403" s="633">
        <f t="shared" si="236"/>
        <v>4268.8680000000004</v>
      </c>
      <c r="E7403" s="608"/>
      <c r="F7403" s="760">
        <f t="shared" si="237"/>
        <v>1801.1126884654204</v>
      </c>
      <c r="M7403" s="443"/>
    </row>
    <row r="7404" spans="1:13">
      <c r="A7404" s="639">
        <v>110413</v>
      </c>
      <c r="B7404" s="639">
        <v>900</v>
      </c>
      <c r="C7404" s="638">
        <v>4079.1909999999998</v>
      </c>
      <c r="D7404" s="633">
        <f t="shared" si="236"/>
        <v>4079.1909999999998</v>
      </c>
      <c r="E7404" s="608"/>
      <c r="F7404" s="760">
        <f t="shared" si="237"/>
        <v>1721.0845284449988</v>
      </c>
      <c r="M7404" s="443"/>
    </row>
    <row r="7405" spans="1:13">
      <c r="A7405" s="639">
        <v>110413</v>
      </c>
      <c r="B7405" s="639">
        <v>1000</v>
      </c>
      <c r="C7405" s="638">
        <v>3614.1280000000002</v>
      </c>
      <c r="D7405" s="633">
        <f t="shared" si="236"/>
        <v>3614.1280000000002</v>
      </c>
      <c r="E7405" s="608"/>
      <c r="F7405" s="760">
        <f t="shared" si="237"/>
        <v>1524.8660297151735</v>
      </c>
      <c r="M7405" s="443"/>
    </row>
    <row r="7406" spans="1:13">
      <c r="A7406" s="639">
        <v>110413</v>
      </c>
      <c r="B7406" s="639">
        <v>1100</v>
      </c>
      <c r="C7406" s="638">
        <v>3450.953</v>
      </c>
      <c r="D7406" s="633">
        <f t="shared" si="236"/>
        <v>3450.953</v>
      </c>
      <c r="E7406" s="608"/>
      <c r="F7406" s="760">
        <f t="shared" si="237"/>
        <v>1456.0195432601352</v>
      </c>
      <c r="M7406" s="443"/>
    </row>
    <row r="7407" spans="1:13">
      <c r="A7407" s="639">
        <v>110413</v>
      </c>
      <c r="B7407" s="639">
        <v>1200</v>
      </c>
      <c r="C7407" s="638">
        <v>3389.8339999999998</v>
      </c>
      <c r="D7407" s="633">
        <f t="shared" si="236"/>
        <v>3389.8339999999998</v>
      </c>
      <c r="E7407" s="608"/>
      <c r="F7407" s="760">
        <f t="shared" si="237"/>
        <v>1430.2323307236227</v>
      </c>
      <c r="M7407" s="443"/>
    </row>
    <row r="7408" spans="1:13">
      <c r="A7408" s="639">
        <v>110413</v>
      </c>
      <c r="B7408" s="639">
        <v>1300</v>
      </c>
      <c r="C7408" s="638">
        <v>3363.5810000000001</v>
      </c>
      <c r="D7408" s="633">
        <f t="shared" si="236"/>
        <v>3363.5810000000001</v>
      </c>
      <c r="E7408" s="608"/>
      <c r="F7408" s="760">
        <f t="shared" si="237"/>
        <v>1419.1557147658834</v>
      </c>
      <c r="M7408" s="443"/>
    </row>
    <row r="7409" spans="1:13">
      <c r="A7409" s="639">
        <v>110413</v>
      </c>
      <c r="B7409" s="639">
        <v>1400</v>
      </c>
      <c r="C7409" s="638">
        <v>3457.81</v>
      </c>
      <c r="D7409" s="633">
        <f t="shared" si="236"/>
        <v>3457.81</v>
      </c>
      <c r="E7409" s="608"/>
      <c r="F7409" s="760">
        <f t="shared" si="237"/>
        <v>1458.9126356923227</v>
      </c>
      <c r="M7409" s="443"/>
    </row>
    <row r="7410" spans="1:13">
      <c r="A7410" s="639">
        <v>110413</v>
      </c>
      <c r="B7410" s="639">
        <v>1500</v>
      </c>
      <c r="C7410" s="638">
        <v>3545.3760000000002</v>
      </c>
      <c r="D7410" s="633">
        <f t="shared" si="236"/>
        <v>3545.3760000000002</v>
      </c>
      <c r="E7410" s="608"/>
      <c r="F7410" s="760">
        <f t="shared" si="237"/>
        <v>1495.8583162985547</v>
      </c>
      <c r="M7410" s="443"/>
    </row>
    <row r="7411" spans="1:13">
      <c r="A7411" s="639">
        <v>110413</v>
      </c>
      <c r="B7411" s="639">
        <v>1600</v>
      </c>
      <c r="C7411" s="638">
        <v>3718.4209999999998</v>
      </c>
      <c r="D7411" s="633">
        <f t="shared" si="236"/>
        <v>3718.4209999999998</v>
      </c>
      <c r="E7411" s="608"/>
      <c r="F7411" s="760">
        <f t="shared" si="237"/>
        <v>1568.8691344300821</v>
      </c>
      <c r="M7411" s="443"/>
    </row>
    <row r="7412" spans="1:13">
      <c r="A7412" s="639">
        <v>110413</v>
      </c>
      <c r="B7412" s="639">
        <v>1700</v>
      </c>
      <c r="C7412" s="638">
        <v>4218.0169999999998</v>
      </c>
      <c r="D7412" s="633">
        <f t="shared" si="236"/>
        <v>4218.0169999999998</v>
      </c>
      <c r="E7412" s="608"/>
      <c r="F7412" s="760">
        <f t="shared" si="237"/>
        <v>1779.6577310103864</v>
      </c>
      <c r="M7412" s="443"/>
    </row>
    <row r="7413" spans="1:13">
      <c r="A7413" s="639">
        <v>110413</v>
      </c>
      <c r="B7413" s="639">
        <v>1800</v>
      </c>
      <c r="C7413" s="638">
        <v>4762.7610000000004</v>
      </c>
      <c r="D7413" s="633">
        <f t="shared" si="236"/>
        <v>4762.7610000000004</v>
      </c>
      <c r="E7413" s="608"/>
      <c r="F7413" s="760">
        <f t="shared" si="237"/>
        <v>2009.4950861043851</v>
      </c>
      <c r="M7413" s="443"/>
    </row>
    <row r="7414" spans="1:13">
      <c r="A7414" s="639">
        <v>110413</v>
      </c>
      <c r="B7414" s="639">
        <v>1900</v>
      </c>
      <c r="C7414" s="638">
        <v>4910.3389999999999</v>
      </c>
      <c r="D7414" s="633">
        <f t="shared" si="236"/>
        <v>4910.3389999999999</v>
      </c>
      <c r="E7414" s="608"/>
      <c r="F7414" s="760">
        <f t="shared" si="237"/>
        <v>2071.7609159071217</v>
      </c>
      <c r="M7414" s="443"/>
    </row>
    <row r="7415" spans="1:13">
      <c r="A7415" s="639">
        <v>110413</v>
      </c>
      <c r="B7415" s="639">
        <v>2000</v>
      </c>
      <c r="C7415" s="638">
        <v>4781.8599999999997</v>
      </c>
      <c r="D7415" s="633">
        <f t="shared" si="236"/>
        <v>4781.8599999999997</v>
      </c>
      <c r="E7415" s="608"/>
      <c r="F7415" s="760">
        <f t="shared" si="237"/>
        <v>2017.5532999533491</v>
      </c>
      <c r="M7415" s="443"/>
    </row>
    <row r="7416" spans="1:13">
      <c r="A7416" s="639">
        <v>110413</v>
      </c>
      <c r="B7416" s="639">
        <v>2100</v>
      </c>
      <c r="C7416" s="638">
        <v>4577.49</v>
      </c>
      <c r="D7416" s="633">
        <f t="shared" si="236"/>
        <v>4577.49</v>
      </c>
      <c r="E7416" s="608"/>
      <c r="F7416" s="760">
        <f t="shared" si="237"/>
        <v>1931.3258972457279</v>
      </c>
      <c r="M7416" s="443"/>
    </row>
    <row r="7417" spans="1:13">
      <c r="A7417" s="639">
        <v>110413</v>
      </c>
      <c r="B7417" s="639">
        <v>2200</v>
      </c>
      <c r="C7417" s="638">
        <v>4257.7690000000002</v>
      </c>
      <c r="D7417" s="633">
        <f t="shared" si="236"/>
        <v>4257.7690000000002</v>
      </c>
      <c r="E7417" s="608"/>
      <c r="F7417" s="760">
        <f t="shared" si="237"/>
        <v>1796.4298194403584</v>
      </c>
      <c r="M7417" s="443"/>
    </row>
    <row r="7418" spans="1:13">
      <c r="A7418" s="639">
        <v>110413</v>
      </c>
      <c r="B7418" s="639">
        <v>2300</v>
      </c>
      <c r="C7418" s="638">
        <v>3761.5120000000002</v>
      </c>
      <c r="D7418" s="633">
        <f t="shared" si="236"/>
        <v>3761.5120000000002</v>
      </c>
      <c r="E7418" s="608"/>
      <c r="F7418" s="760">
        <f t="shared" si="237"/>
        <v>1587.0500074059305</v>
      </c>
      <c r="M7418" s="443"/>
    </row>
    <row r="7419" spans="1:13">
      <c r="A7419" s="639">
        <v>110413</v>
      </c>
      <c r="B7419" s="639">
        <v>2400</v>
      </c>
      <c r="C7419" s="638">
        <v>3215.1170000000002</v>
      </c>
      <c r="D7419" s="633">
        <f t="shared" si="236"/>
        <v>3215.1170000000002</v>
      </c>
      <c r="E7419" s="608"/>
      <c r="F7419" s="760">
        <f t="shared" si="237"/>
        <v>1356.5160655238992</v>
      </c>
      <c r="M7419" s="443"/>
    </row>
    <row r="7420" spans="1:13">
      <c r="A7420" s="639">
        <v>110513</v>
      </c>
      <c r="B7420" s="639">
        <v>100</v>
      </c>
      <c r="C7420" s="638">
        <v>2914.5720000000001</v>
      </c>
      <c r="D7420" s="633">
        <f t="shared" si="236"/>
        <v>2914.5720000000001</v>
      </c>
      <c r="E7420" s="608"/>
      <c r="F7420" s="760">
        <f t="shared" si="237"/>
        <v>1229.710689261424</v>
      </c>
      <c r="M7420" s="443"/>
    </row>
    <row r="7421" spans="1:13">
      <c r="A7421" s="639">
        <v>110513</v>
      </c>
      <c r="B7421" s="639">
        <v>200</v>
      </c>
      <c r="C7421" s="638">
        <v>2999.1060000000002</v>
      </c>
      <c r="D7421" s="633">
        <f t="shared" si="236"/>
        <v>2999.1060000000002</v>
      </c>
      <c r="E7421" s="608"/>
      <c r="F7421" s="760">
        <f t="shared" si="237"/>
        <v>1265.3771141793966</v>
      </c>
      <c r="M7421" s="443"/>
    </row>
    <row r="7422" spans="1:13">
      <c r="A7422" s="639">
        <v>110513</v>
      </c>
      <c r="B7422" s="639">
        <v>300</v>
      </c>
      <c r="C7422" s="638">
        <v>3048.2869999999998</v>
      </c>
      <c r="D7422" s="633">
        <f t="shared" si="236"/>
        <v>3048.2869999999998</v>
      </c>
      <c r="E7422" s="608"/>
      <c r="F7422" s="760">
        <f t="shared" si="237"/>
        <v>1286.1274684024409</v>
      </c>
      <c r="M7422" s="443"/>
    </row>
    <row r="7423" spans="1:13">
      <c r="A7423" s="639">
        <v>110513</v>
      </c>
      <c r="B7423" s="639">
        <v>400</v>
      </c>
      <c r="C7423" s="638">
        <v>3030.3310000000001</v>
      </c>
      <c r="D7423" s="633">
        <f t="shared" si="236"/>
        <v>3030.3310000000001</v>
      </c>
      <c r="E7423" s="608"/>
      <c r="F7423" s="760">
        <f t="shared" si="237"/>
        <v>1278.5515069451915</v>
      </c>
      <c r="M7423" s="443"/>
    </row>
    <row r="7424" spans="1:13">
      <c r="A7424" s="639">
        <v>110513</v>
      </c>
      <c r="B7424" s="639">
        <v>500</v>
      </c>
      <c r="C7424" s="638">
        <v>3148.866</v>
      </c>
      <c r="D7424" s="633">
        <f t="shared" si="236"/>
        <v>3148.866</v>
      </c>
      <c r="E7424" s="608"/>
      <c r="F7424" s="760">
        <f t="shared" si="237"/>
        <v>1328.563569282853</v>
      </c>
      <c r="M7424" s="443"/>
    </row>
    <row r="7425" spans="1:13">
      <c r="A7425" s="639">
        <v>110513</v>
      </c>
      <c r="B7425" s="639">
        <v>600</v>
      </c>
      <c r="C7425" s="638">
        <v>3569.1579999999999</v>
      </c>
      <c r="D7425" s="633">
        <f t="shared" si="236"/>
        <v>3569.1579999999999</v>
      </c>
      <c r="E7425" s="608"/>
      <c r="F7425" s="760">
        <f t="shared" si="237"/>
        <v>1505.8923726238108</v>
      </c>
      <c r="M7425" s="443"/>
    </row>
    <row r="7426" spans="1:13">
      <c r="A7426" s="639">
        <v>110513</v>
      </c>
      <c r="B7426" s="639">
        <v>700</v>
      </c>
      <c r="C7426" s="638">
        <v>4159.3</v>
      </c>
      <c r="D7426" s="633">
        <f t="shared" si="236"/>
        <v>4159.3</v>
      </c>
      <c r="E7426" s="608"/>
      <c r="F7426" s="760">
        <f t="shared" si="237"/>
        <v>1754.8839657572505</v>
      </c>
      <c r="M7426" s="443"/>
    </row>
    <row r="7427" spans="1:13">
      <c r="A7427" s="639">
        <v>110513</v>
      </c>
      <c r="B7427" s="639">
        <v>800</v>
      </c>
      <c r="C7427" s="638">
        <v>4226.8710000000001</v>
      </c>
      <c r="D7427" s="633">
        <f t="shared" si="236"/>
        <v>4226.8710000000001</v>
      </c>
      <c r="E7427" s="608"/>
      <c r="F7427" s="760">
        <f t="shared" si="237"/>
        <v>1783.3933938942407</v>
      </c>
      <c r="M7427" s="443"/>
    </row>
    <row r="7428" spans="1:13">
      <c r="A7428" s="639">
        <v>110513</v>
      </c>
      <c r="B7428" s="639">
        <v>900</v>
      </c>
      <c r="C7428" s="638">
        <v>3957.174</v>
      </c>
      <c r="D7428" s="633">
        <f t="shared" si="236"/>
        <v>3957.174</v>
      </c>
      <c r="E7428" s="608"/>
      <c r="F7428" s="760">
        <f t="shared" si="237"/>
        <v>1669.603347272734</v>
      </c>
      <c r="M7428" s="443"/>
    </row>
    <row r="7429" spans="1:13">
      <c r="A7429" s="639">
        <v>110513</v>
      </c>
      <c r="B7429" s="639">
        <v>1000</v>
      </c>
      <c r="C7429" s="638">
        <v>3551.5790000000002</v>
      </c>
      <c r="D7429" s="633">
        <f t="shared" ref="D7429:D7492" si="238">C7429</f>
        <v>3551.5790000000002</v>
      </c>
      <c r="E7429" s="608"/>
      <c r="F7429" s="760">
        <f t="shared" si="237"/>
        <v>1498.4754742913881</v>
      </c>
      <c r="M7429" s="443"/>
    </row>
    <row r="7430" spans="1:13">
      <c r="A7430" s="639">
        <v>110513</v>
      </c>
      <c r="B7430" s="639">
        <v>1100</v>
      </c>
      <c r="C7430" s="638">
        <v>3312.607</v>
      </c>
      <c r="D7430" s="633">
        <f t="shared" si="238"/>
        <v>3312.607</v>
      </c>
      <c r="E7430" s="608"/>
      <c r="F7430" s="760">
        <f t="shared" si="237"/>
        <v>1397.6488613841821</v>
      </c>
      <c r="M7430" s="443"/>
    </row>
    <row r="7431" spans="1:13">
      <c r="A7431" s="639">
        <v>110513</v>
      </c>
      <c r="B7431" s="639">
        <v>1200</v>
      </c>
      <c r="C7431" s="638">
        <v>3215.1109999999999</v>
      </c>
      <c r="D7431" s="633">
        <f t="shared" si="238"/>
        <v>3215.1109999999999</v>
      </c>
      <c r="E7431" s="608"/>
      <c r="F7431" s="760">
        <f t="shared" si="237"/>
        <v>1356.513534015281</v>
      </c>
      <c r="M7431" s="443"/>
    </row>
    <row r="7432" spans="1:13">
      <c r="A7432" s="639">
        <v>110513</v>
      </c>
      <c r="B7432" s="639">
        <v>1300</v>
      </c>
      <c r="C7432" s="638">
        <v>3236.9250000000002</v>
      </c>
      <c r="D7432" s="633">
        <f t="shared" si="238"/>
        <v>3236.9250000000002</v>
      </c>
      <c r="E7432" s="608"/>
      <c r="F7432" s="760">
        <f t="shared" si="237"/>
        <v>1365.7172555138577</v>
      </c>
      <c r="M7432" s="443"/>
    </row>
    <row r="7433" spans="1:13">
      <c r="A7433" s="639">
        <v>110513</v>
      </c>
      <c r="B7433" s="639">
        <v>1400</v>
      </c>
      <c r="C7433" s="638">
        <v>3230.1039999999998</v>
      </c>
      <c r="D7433" s="633">
        <f t="shared" si="238"/>
        <v>3230.1039999999998</v>
      </c>
      <c r="E7433" s="608"/>
      <c r="F7433" s="760">
        <f t="shared" si="237"/>
        <v>1362.8393521333776</v>
      </c>
      <c r="M7433" s="443"/>
    </row>
    <row r="7434" spans="1:13">
      <c r="A7434" s="639">
        <v>110513</v>
      </c>
      <c r="B7434" s="639">
        <v>1500</v>
      </c>
      <c r="C7434" s="638">
        <v>3315.3009999999999</v>
      </c>
      <c r="D7434" s="633">
        <f t="shared" si="238"/>
        <v>3315.3009999999999</v>
      </c>
      <c r="E7434" s="608"/>
      <c r="F7434" s="760">
        <f t="shared" si="237"/>
        <v>1398.7855087536311</v>
      </c>
      <c r="M7434" s="443"/>
    </row>
    <row r="7435" spans="1:13">
      <c r="A7435" s="639">
        <v>110513</v>
      </c>
      <c r="B7435" s="639">
        <v>1600</v>
      </c>
      <c r="C7435" s="638">
        <v>3719.4319999999998</v>
      </c>
      <c r="D7435" s="633">
        <f t="shared" si="238"/>
        <v>3719.4319999999998</v>
      </c>
      <c r="E7435" s="608"/>
      <c r="F7435" s="760">
        <f t="shared" si="237"/>
        <v>1569.295693632203</v>
      </c>
      <c r="M7435" s="443"/>
    </row>
    <row r="7436" spans="1:13">
      <c r="A7436" s="639">
        <v>110513</v>
      </c>
      <c r="B7436" s="639">
        <v>1700</v>
      </c>
      <c r="C7436" s="638">
        <v>4069.482</v>
      </c>
      <c r="D7436" s="633">
        <f t="shared" si="238"/>
        <v>4069.482</v>
      </c>
      <c r="E7436" s="608"/>
      <c r="F7436" s="760">
        <f t="shared" si="237"/>
        <v>1716.9881255830901</v>
      </c>
      <c r="M7436" s="443"/>
    </row>
    <row r="7437" spans="1:13">
      <c r="A7437" s="639">
        <v>110513</v>
      </c>
      <c r="B7437" s="639">
        <v>1800</v>
      </c>
      <c r="C7437" s="638">
        <v>4509.3620000000001</v>
      </c>
      <c r="D7437" s="633">
        <f t="shared" si="238"/>
        <v>4509.3620000000001</v>
      </c>
      <c r="E7437" s="608"/>
      <c r="F7437" s="760">
        <f t="shared" si="237"/>
        <v>1902.5814607253735</v>
      </c>
      <c r="M7437" s="443"/>
    </row>
    <row r="7438" spans="1:13">
      <c r="A7438" s="639">
        <v>110513</v>
      </c>
      <c r="B7438" s="639">
        <v>1900</v>
      </c>
      <c r="C7438" s="638">
        <v>4614.1679999999997</v>
      </c>
      <c r="D7438" s="633">
        <f t="shared" si="238"/>
        <v>4614.1679999999997</v>
      </c>
      <c r="E7438" s="608"/>
      <c r="F7438" s="760">
        <f t="shared" si="237"/>
        <v>1946.8010094271151</v>
      </c>
      <c r="M7438" s="443"/>
    </row>
    <row r="7439" spans="1:13">
      <c r="A7439" s="639">
        <v>110513</v>
      </c>
      <c r="B7439" s="639">
        <v>2000</v>
      </c>
      <c r="C7439" s="638">
        <v>4529.71</v>
      </c>
      <c r="D7439" s="633">
        <f t="shared" si="238"/>
        <v>4529.71</v>
      </c>
      <c r="E7439" s="608"/>
      <c r="F7439" s="760">
        <f t="shared" si="237"/>
        <v>1911.1666502849698</v>
      </c>
      <c r="M7439" s="443"/>
    </row>
    <row r="7440" spans="1:13">
      <c r="A7440" s="639">
        <v>110513</v>
      </c>
      <c r="B7440" s="639">
        <v>2100</v>
      </c>
      <c r="C7440" s="638">
        <v>4350.393</v>
      </c>
      <c r="D7440" s="633">
        <f t="shared" si="238"/>
        <v>4350.393</v>
      </c>
      <c r="E7440" s="608"/>
      <c r="F7440" s="760">
        <f t="shared" si="237"/>
        <v>1835.5095618115024</v>
      </c>
      <c r="M7440" s="443"/>
    </row>
    <row r="7441" spans="1:13">
      <c r="A7441" s="639">
        <v>110513</v>
      </c>
      <c r="B7441" s="639">
        <v>2200</v>
      </c>
      <c r="C7441" s="638">
        <v>4060.9340000000002</v>
      </c>
      <c r="D7441" s="633">
        <f t="shared" si="238"/>
        <v>4060.9340000000002</v>
      </c>
      <c r="E7441" s="608"/>
      <c r="F7441" s="760">
        <f t="shared" si="237"/>
        <v>1713.3815696387503</v>
      </c>
      <c r="M7441" s="443"/>
    </row>
    <row r="7442" spans="1:13">
      <c r="A7442" s="639">
        <v>110513</v>
      </c>
      <c r="B7442" s="639">
        <v>2300</v>
      </c>
      <c r="C7442" s="638">
        <v>3507.7220000000002</v>
      </c>
      <c r="D7442" s="633">
        <f t="shared" si="238"/>
        <v>3507.7220000000002</v>
      </c>
      <c r="E7442" s="608"/>
      <c r="F7442" s="760">
        <f t="shared" si="237"/>
        <v>1479.9714120486512</v>
      </c>
      <c r="M7442" s="443"/>
    </row>
    <row r="7443" spans="1:13">
      <c r="A7443" s="639">
        <v>110513</v>
      </c>
      <c r="B7443" s="639">
        <v>2400</v>
      </c>
      <c r="C7443" s="638">
        <v>2983.799</v>
      </c>
      <c r="D7443" s="633">
        <f t="shared" si="238"/>
        <v>2983.799</v>
      </c>
      <c r="E7443" s="608"/>
      <c r="F7443" s="760">
        <f t="shared" si="237"/>
        <v>1258.918813776962</v>
      </c>
      <c r="M7443" s="443"/>
    </row>
    <row r="7444" spans="1:13">
      <c r="A7444" s="639">
        <v>110613</v>
      </c>
      <c r="B7444" s="639">
        <v>100</v>
      </c>
      <c r="C7444" s="638">
        <v>2700.5279999999998</v>
      </c>
      <c r="D7444" s="633">
        <f t="shared" si="238"/>
        <v>2700.5279999999998</v>
      </c>
      <c r="E7444" s="608"/>
      <c r="F7444" s="760">
        <f t="shared" si="237"/>
        <v>1139.4016508254986</v>
      </c>
      <c r="M7444" s="443"/>
    </row>
    <row r="7445" spans="1:13">
      <c r="A7445" s="639">
        <v>110613</v>
      </c>
      <c r="B7445" s="639">
        <v>200</v>
      </c>
      <c r="C7445" s="638">
        <v>2834.5889999999999</v>
      </c>
      <c r="D7445" s="633">
        <f t="shared" si="238"/>
        <v>2834.5889999999999</v>
      </c>
      <c r="E7445" s="608"/>
      <c r="F7445" s="760">
        <f t="shared" si="237"/>
        <v>1195.964413630149</v>
      </c>
      <c r="M7445" s="443"/>
    </row>
    <row r="7446" spans="1:13">
      <c r="A7446" s="639">
        <v>110613</v>
      </c>
      <c r="B7446" s="639">
        <v>300</v>
      </c>
      <c r="C7446" s="638">
        <v>2747.9679999999998</v>
      </c>
      <c r="D7446" s="633">
        <f t="shared" si="238"/>
        <v>2747.9679999999998</v>
      </c>
      <c r="E7446" s="608"/>
      <c r="F7446" s="760">
        <f t="shared" si="237"/>
        <v>1159.4174456312408</v>
      </c>
      <c r="M7446" s="443"/>
    </row>
    <row r="7447" spans="1:13">
      <c r="A7447" s="639">
        <v>110613</v>
      </c>
      <c r="B7447" s="639">
        <v>400</v>
      </c>
      <c r="C7447" s="638">
        <v>2757.7869999999998</v>
      </c>
      <c r="D7447" s="633">
        <f t="shared" si="238"/>
        <v>2757.7869999999998</v>
      </c>
      <c r="E7447" s="608"/>
      <c r="F7447" s="760">
        <f t="shared" si="237"/>
        <v>1163.5602594844781</v>
      </c>
      <c r="M7447" s="443"/>
    </row>
    <row r="7448" spans="1:13">
      <c r="A7448" s="639">
        <v>110613</v>
      </c>
      <c r="B7448" s="639">
        <v>500</v>
      </c>
      <c r="C7448" s="638">
        <v>2831.1860000000001</v>
      </c>
      <c r="D7448" s="633">
        <f t="shared" si="238"/>
        <v>2831.1860000000001</v>
      </c>
      <c r="E7448" s="608"/>
      <c r="F7448" s="760">
        <f t="shared" si="237"/>
        <v>1194.5286263256814</v>
      </c>
      <c r="M7448" s="443"/>
    </row>
    <row r="7449" spans="1:13">
      <c r="A7449" s="639">
        <v>110613</v>
      </c>
      <c r="B7449" s="639">
        <v>600</v>
      </c>
      <c r="C7449" s="638">
        <v>3171.6390000000001</v>
      </c>
      <c r="D7449" s="633">
        <f t="shared" si="238"/>
        <v>3171.6390000000001</v>
      </c>
      <c r="E7449" s="608"/>
      <c r="F7449" s="760">
        <f t="shared" si="237"/>
        <v>1338.1719102421946</v>
      </c>
      <c r="M7449" s="443"/>
    </row>
    <row r="7450" spans="1:13">
      <c r="A7450" s="639">
        <v>110613</v>
      </c>
      <c r="B7450" s="639">
        <v>700</v>
      </c>
      <c r="C7450" s="638">
        <v>3811.1509999999998</v>
      </c>
      <c r="D7450" s="633">
        <f t="shared" si="238"/>
        <v>3811.1509999999998</v>
      </c>
      <c r="E7450" s="608"/>
      <c r="F7450" s="760">
        <f t="shared" si="237"/>
        <v>1607.9936001201429</v>
      </c>
      <c r="M7450" s="443"/>
    </row>
    <row r="7451" spans="1:13">
      <c r="A7451" s="639">
        <v>110613</v>
      </c>
      <c r="B7451" s="639">
        <v>800</v>
      </c>
      <c r="C7451" s="638">
        <v>3995.4780000000001</v>
      </c>
      <c r="D7451" s="633">
        <f t="shared" si="238"/>
        <v>3995.4780000000001</v>
      </c>
      <c r="E7451" s="608"/>
      <c r="F7451" s="760">
        <f t="shared" si="237"/>
        <v>1685.7644982895795</v>
      </c>
      <c r="M7451" s="443"/>
    </row>
    <row r="7452" spans="1:13">
      <c r="A7452" s="639">
        <v>110613</v>
      </c>
      <c r="B7452" s="639">
        <v>900</v>
      </c>
      <c r="C7452" s="638">
        <v>3857.3429999999998</v>
      </c>
      <c r="D7452" s="633">
        <f t="shared" si="238"/>
        <v>3857.3429999999998</v>
      </c>
      <c r="E7452" s="608"/>
      <c r="F7452" s="760">
        <f t="shared" ref="F7452:F7515" si="239">(D7452/(MAX($D$7324:$D$8043)))*$M$14</f>
        <v>1627.4828411333565</v>
      </c>
      <c r="M7452" s="443"/>
    </row>
    <row r="7453" spans="1:13">
      <c r="A7453" s="639">
        <v>110613</v>
      </c>
      <c r="B7453" s="639">
        <v>1000</v>
      </c>
      <c r="C7453" s="638">
        <v>3686.451</v>
      </c>
      <c r="D7453" s="633">
        <f t="shared" si="238"/>
        <v>3686.451</v>
      </c>
      <c r="E7453" s="608"/>
      <c r="F7453" s="760">
        <f t="shared" si="239"/>
        <v>1555.3804126775615</v>
      </c>
      <c r="M7453" s="443"/>
    </row>
    <row r="7454" spans="1:13">
      <c r="A7454" s="639">
        <v>110613</v>
      </c>
      <c r="B7454" s="639">
        <v>1100</v>
      </c>
      <c r="C7454" s="638">
        <v>3562.5630000000001</v>
      </c>
      <c r="D7454" s="633">
        <f t="shared" si="238"/>
        <v>3562.5630000000001</v>
      </c>
      <c r="E7454" s="608"/>
      <c r="F7454" s="760">
        <f t="shared" si="239"/>
        <v>1503.1098227346065</v>
      </c>
      <c r="M7454" s="443"/>
    </row>
    <row r="7455" spans="1:13">
      <c r="A7455" s="639">
        <v>110613</v>
      </c>
      <c r="B7455" s="639">
        <v>1200</v>
      </c>
      <c r="C7455" s="638">
        <v>3707.2950000000001</v>
      </c>
      <c r="D7455" s="633">
        <f t="shared" si="238"/>
        <v>3707.2950000000001</v>
      </c>
      <c r="E7455" s="608"/>
      <c r="F7455" s="760">
        <f t="shared" si="239"/>
        <v>1564.1748736162397</v>
      </c>
      <c r="M7455" s="443"/>
    </row>
    <row r="7456" spans="1:13">
      <c r="A7456" s="639">
        <v>110613</v>
      </c>
      <c r="B7456" s="639">
        <v>1300</v>
      </c>
      <c r="C7456" s="638">
        <v>3544.7</v>
      </c>
      <c r="D7456" s="633">
        <f t="shared" si="238"/>
        <v>3544.7</v>
      </c>
      <c r="E7456" s="608"/>
      <c r="F7456" s="760">
        <f t="shared" si="239"/>
        <v>1495.5730996609345</v>
      </c>
      <c r="M7456" s="443"/>
    </row>
    <row r="7457" spans="1:13">
      <c r="A7457" s="639">
        <v>110613</v>
      </c>
      <c r="B7457" s="639">
        <v>1400</v>
      </c>
      <c r="C7457" s="638">
        <v>3353.5369999999998</v>
      </c>
      <c r="D7457" s="633">
        <f t="shared" si="238"/>
        <v>3353.5369999999998</v>
      </c>
      <c r="E7457" s="608"/>
      <c r="F7457" s="760">
        <f t="shared" si="239"/>
        <v>1414.9179693394735</v>
      </c>
      <c r="M7457" s="443"/>
    </row>
    <row r="7458" spans="1:13">
      <c r="A7458" s="639">
        <v>110613</v>
      </c>
      <c r="B7458" s="639">
        <v>1500</v>
      </c>
      <c r="C7458" s="638">
        <v>3478.877</v>
      </c>
      <c r="D7458" s="633">
        <f t="shared" si="238"/>
        <v>3478.877</v>
      </c>
      <c r="E7458" s="608"/>
      <c r="F7458" s="760">
        <f t="shared" si="239"/>
        <v>1467.8011843679674</v>
      </c>
      <c r="M7458" s="443"/>
    </row>
    <row r="7459" spans="1:13">
      <c r="A7459" s="639">
        <v>110613</v>
      </c>
      <c r="B7459" s="639">
        <v>1600</v>
      </c>
      <c r="C7459" s="638">
        <v>3793.5529999999999</v>
      </c>
      <c r="D7459" s="633">
        <f t="shared" si="238"/>
        <v>3793.5529999999999</v>
      </c>
      <c r="E7459" s="608"/>
      <c r="F7459" s="760">
        <f t="shared" si="239"/>
        <v>1600.5686853437633</v>
      </c>
      <c r="M7459" s="443"/>
    </row>
    <row r="7460" spans="1:13">
      <c r="A7460" s="639">
        <v>110613</v>
      </c>
      <c r="B7460" s="639">
        <v>1700</v>
      </c>
      <c r="C7460" s="638">
        <v>4163.8010000000004</v>
      </c>
      <c r="D7460" s="633">
        <f t="shared" si="238"/>
        <v>4163.8010000000004</v>
      </c>
      <c r="E7460" s="608"/>
      <c r="F7460" s="760">
        <f t="shared" si="239"/>
        <v>1756.7830191387989</v>
      </c>
      <c r="M7460" s="443"/>
    </row>
    <row r="7461" spans="1:13">
      <c r="A7461" s="639">
        <v>110613</v>
      </c>
      <c r="B7461" s="639">
        <v>1800</v>
      </c>
      <c r="C7461" s="638">
        <v>4403.4939999999997</v>
      </c>
      <c r="D7461" s="633">
        <f t="shared" si="238"/>
        <v>4403.4939999999997</v>
      </c>
      <c r="E7461" s="608"/>
      <c r="F7461" s="760">
        <f t="shared" si="239"/>
        <v>1857.9138349982588</v>
      </c>
      <c r="M7461" s="443"/>
    </row>
    <row r="7462" spans="1:13">
      <c r="A7462" s="639">
        <v>110613</v>
      </c>
      <c r="B7462" s="639">
        <v>1900</v>
      </c>
      <c r="C7462" s="638">
        <v>4456.9650000000001</v>
      </c>
      <c r="D7462" s="633">
        <f t="shared" si="238"/>
        <v>4456.9650000000001</v>
      </c>
      <c r="E7462" s="608"/>
      <c r="F7462" s="760">
        <f t="shared" si="239"/>
        <v>1880.4742178831209</v>
      </c>
      <c r="M7462" s="443"/>
    </row>
    <row r="7463" spans="1:13">
      <c r="A7463" s="639">
        <v>110613</v>
      </c>
      <c r="B7463" s="639">
        <v>2000</v>
      </c>
      <c r="C7463" s="638">
        <v>4375.5209999999997</v>
      </c>
      <c r="D7463" s="633">
        <f t="shared" si="238"/>
        <v>4375.5209999999997</v>
      </c>
      <c r="E7463" s="608"/>
      <c r="F7463" s="760">
        <f t="shared" si="239"/>
        <v>1846.1115199033804</v>
      </c>
      <c r="M7463" s="443"/>
    </row>
    <row r="7464" spans="1:13">
      <c r="A7464" s="639">
        <v>110613</v>
      </c>
      <c r="B7464" s="639">
        <v>2100</v>
      </c>
      <c r="C7464" s="638">
        <v>4204.4279999999999</v>
      </c>
      <c r="D7464" s="633">
        <f t="shared" si="238"/>
        <v>4204.4279999999999</v>
      </c>
      <c r="E7464" s="608"/>
      <c r="F7464" s="760">
        <f t="shared" si="239"/>
        <v>1773.9242859088847</v>
      </c>
      <c r="M7464" s="443"/>
    </row>
    <row r="7465" spans="1:13">
      <c r="A7465" s="639">
        <v>110613</v>
      </c>
      <c r="B7465" s="639">
        <v>2200</v>
      </c>
      <c r="C7465" s="638">
        <v>3902.88</v>
      </c>
      <c r="D7465" s="633">
        <f t="shared" si="238"/>
        <v>3902.88</v>
      </c>
      <c r="E7465" s="608"/>
      <c r="F7465" s="760">
        <f t="shared" si="239"/>
        <v>1646.6957257891129</v>
      </c>
      <c r="M7465" s="443"/>
    </row>
    <row r="7466" spans="1:13">
      <c r="A7466" s="639">
        <v>110613</v>
      </c>
      <c r="B7466" s="639">
        <v>2300</v>
      </c>
      <c r="C7466" s="638">
        <v>3418.2649999999999</v>
      </c>
      <c r="D7466" s="633">
        <f t="shared" si="238"/>
        <v>3418.2649999999999</v>
      </c>
      <c r="E7466" s="608"/>
      <c r="F7466" s="760">
        <f t="shared" si="239"/>
        <v>1442.2278843096694</v>
      </c>
      <c r="M7466" s="443"/>
    </row>
    <row r="7467" spans="1:13">
      <c r="A7467" s="639">
        <v>110613</v>
      </c>
      <c r="B7467" s="639">
        <v>2400</v>
      </c>
      <c r="C7467" s="638">
        <v>2945.76</v>
      </c>
      <c r="D7467" s="633">
        <f t="shared" si="238"/>
        <v>2945.76</v>
      </c>
      <c r="E7467" s="608"/>
      <c r="F7467" s="760">
        <f t="shared" si="239"/>
        <v>1242.8694710574084</v>
      </c>
      <c r="M7467" s="443"/>
    </row>
    <row r="7468" spans="1:13">
      <c r="A7468" s="639">
        <v>110713</v>
      </c>
      <c r="B7468" s="639">
        <v>100</v>
      </c>
      <c r="C7468" s="638">
        <v>2642.181</v>
      </c>
      <c r="D7468" s="633">
        <f t="shared" si="238"/>
        <v>2642.181</v>
      </c>
      <c r="E7468" s="608"/>
      <c r="F7468" s="760">
        <f t="shared" si="239"/>
        <v>1114.783995270468</v>
      </c>
      <c r="M7468" s="443"/>
    </row>
    <row r="7469" spans="1:13">
      <c r="A7469" s="639">
        <v>110713</v>
      </c>
      <c r="B7469" s="639">
        <v>200</v>
      </c>
      <c r="C7469" s="638">
        <v>2791.29</v>
      </c>
      <c r="D7469" s="633">
        <f t="shared" si="238"/>
        <v>2791.29</v>
      </c>
      <c r="E7469" s="608"/>
      <c r="F7469" s="760">
        <f t="shared" si="239"/>
        <v>1177.6957816888792</v>
      </c>
      <c r="M7469" s="443"/>
    </row>
    <row r="7470" spans="1:13">
      <c r="A7470" s="639">
        <v>110713</v>
      </c>
      <c r="B7470" s="639">
        <v>300</v>
      </c>
      <c r="C7470" s="638">
        <v>2766.0169999999998</v>
      </c>
      <c r="D7470" s="633">
        <f t="shared" si="238"/>
        <v>2766.0169999999998</v>
      </c>
      <c r="E7470" s="608"/>
      <c r="F7470" s="760">
        <f t="shared" si="239"/>
        <v>1167.032645472068</v>
      </c>
      <c r="M7470" s="443"/>
    </row>
    <row r="7471" spans="1:13">
      <c r="A7471" s="639">
        <v>110713</v>
      </c>
      <c r="B7471" s="639">
        <v>400</v>
      </c>
      <c r="C7471" s="638">
        <v>2769.2460000000001</v>
      </c>
      <c r="D7471" s="633">
        <f t="shared" si="238"/>
        <v>2769.2460000000001</v>
      </c>
      <c r="E7471" s="608"/>
      <c r="F7471" s="760">
        <f t="shared" si="239"/>
        <v>1168.3950190266157</v>
      </c>
      <c r="M7471" s="443"/>
    </row>
    <row r="7472" spans="1:13">
      <c r="A7472" s="639">
        <v>110713</v>
      </c>
      <c r="B7472" s="639">
        <v>500</v>
      </c>
      <c r="C7472" s="638">
        <v>2885.1390000000001</v>
      </c>
      <c r="D7472" s="633">
        <f t="shared" si="238"/>
        <v>2885.1390000000001</v>
      </c>
      <c r="E7472" s="608"/>
      <c r="F7472" s="760">
        <f t="shared" si="239"/>
        <v>1217.2923737361837</v>
      </c>
      <c r="M7472" s="443"/>
    </row>
    <row r="7473" spans="1:13">
      <c r="A7473" s="639">
        <v>110713</v>
      </c>
      <c r="B7473" s="639">
        <v>600</v>
      </c>
      <c r="C7473" s="638">
        <v>3203.498</v>
      </c>
      <c r="D7473" s="633">
        <f t="shared" si="238"/>
        <v>3203.498</v>
      </c>
      <c r="E7473" s="608"/>
      <c r="F7473" s="760">
        <f t="shared" si="239"/>
        <v>1351.6137990852837</v>
      </c>
      <c r="M7473" s="443"/>
    </row>
    <row r="7474" spans="1:13">
      <c r="A7474" s="639">
        <v>110713</v>
      </c>
      <c r="B7474" s="639">
        <v>700</v>
      </c>
      <c r="C7474" s="638">
        <v>3851.395</v>
      </c>
      <c r="D7474" s="633">
        <f t="shared" si="238"/>
        <v>3851.395</v>
      </c>
      <c r="E7474" s="608"/>
      <c r="F7474" s="760">
        <f t="shared" si="239"/>
        <v>1624.9732722567851</v>
      </c>
      <c r="M7474" s="443"/>
    </row>
    <row r="7475" spans="1:13">
      <c r="A7475" s="639">
        <v>110713</v>
      </c>
      <c r="B7475" s="639">
        <v>800</v>
      </c>
      <c r="C7475" s="638">
        <v>4029.71</v>
      </c>
      <c r="D7475" s="633">
        <f t="shared" si="238"/>
        <v>4029.71</v>
      </c>
      <c r="E7475" s="608"/>
      <c r="F7475" s="760">
        <f t="shared" si="239"/>
        <v>1700.2075987910587</v>
      </c>
      <c r="M7475" s="443"/>
    </row>
    <row r="7476" spans="1:13">
      <c r="A7476" s="639">
        <v>110713</v>
      </c>
      <c r="B7476" s="639">
        <v>900</v>
      </c>
      <c r="C7476" s="638">
        <v>3754.6880000000001</v>
      </c>
      <c r="D7476" s="633">
        <f t="shared" si="238"/>
        <v>3754.6880000000001</v>
      </c>
      <c r="E7476" s="608"/>
      <c r="F7476" s="760">
        <f t="shared" si="239"/>
        <v>1584.1708382711415</v>
      </c>
      <c r="M7476" s="443"/>
    </row>
    <row r="7477" spans="1:13">
      <c r="A7477" s="639">
        <v>110713</v>
      </c>
      <c r="B7477" s="639">
        <v>1000</v>
      </c>
      <c r="C7477" s="638">
        <v>3761.9789999999998</v>
      </c>
      <c r="D7477" s="633">
        <f t="shared" si="238"/>
        <v>3761.9789999999998</v>
      </c>
      <c r="E7477" s="608"/>
      <c r="F7477" s="760">
        <f t="shared" si="239"/>
        <v>1587.2470431600259</v>
      </c>
      <c r="M7477" s="443"/>
    </row>
    <row r="7478" spans="1:13">
      <c r="A7478" s="639">
        <v>110713</v>
      </c>
      <c r="B7478" s="639">
        <v>1100</v>
      </c>
      <c r="C7478" s="638">
        <v>3415.2950000000001</v>
      </c>
      <c r="D7478" s="633">
        <f t="shared" si="238"/>
        <v>3415.2950000000001</v>
      </c>
      <c r="E7478" s="608"/>
      <c r="F7478" s="760">
        <f t="shared" si="239"/>
        <v>1440.9747875437956</v>
      </c>
      <c r="M7478" s="443"/>
    </row>
    <row r="7479" spans="1:13">
      <c r="A7479" s="639">
        <v>110713</v>
      </c>
      <c r="B7479" s="639">
        <v>1200</v>
      </c>
      <c r="C7479" s="638">
        <v>3450.1460000000002</v>
      </c>
      <c r="D7479" s="633">
        <f t="shared" si="238"/>
        <v>3450.1460000000002</v>
      </c>
      <c r="E7479" s="608"/>
      <c r="F7479" s="760">
        <f t="shared" si="239"/>
        <v>1455.6790553510243</v>
      </c>
      <c r="M7479" s="443"/>
    </row>
    <row r="7480" spans="1:13">
      <c r="A7480" s="639">
        <v>110713</v>
      </c>
      <c r="B7480" s="639">
        <v>1300</v>
      </c>
      <c r="C7480" s="638">
        <v>3528.9140000000002</v>
      </c>
      <c r="D7480" s="633">
        <f t="shared" si="238"/>
        <v>3528.9140000000002</v>
      </c>
      <c r="E7480" s="608"/>
      <c r="F7480" s="760">
        <f t="shared" si="239"/>
        <v>1488.9127004871691</v>
      </c>
      <c r="M7480" s="443"/>
    </row>
    <row r="7481" spans="1:13">
      <c r="A7481" s="639">
        <v>110713</v>
      </c>
      <c r="B7481" s="639">
        <v>1400</v>
      </c>
      <c r="C7481" s="638">
        <v>3524.6779999999999</v>
      </c>
      <c r="D7481" s="633">
        <f t="shared" si="238"/>
        <v>3524.6779999999999</v>
      </c>
      <c r="E7481" s="608"/>
      <c r="F7481" s="760">
        <f t="shared" si="239"/>
        <v>1487.1254554029124</v>
      </c>
      <c r="M7481" s="443"/>
    </row>
    <row r="7482" spans="1:13">
      <c r="A7482" s="639">
        <v>110713</v>
      </c>
      <c r="B7482" s="639">
        <v>1500</v>
      </c>
      <c r="C7482" s="638">
        <v>3691.7910000000002</v>
      </c>
      <c r="D7482" s="633">
        <f t="shared" si="238"/>
        <v>3691.7910000000002</v>
      </c>
      <c r="E7482" s="608"/>
      <c r="F7482" s="760">
        <f t="shared" si="239"/>
        <v>1557.6334553475167</v>
      </c>
      <c r="M7482" s="443"/>
    </row>
    <row r="7483" spans="1:13">
      <c r="A7483" s="639">
        <v>110713</v>
      </c>
      <c r="B7483" s="639">
        <v>1600</v>
      </c>
      <c r="C7483" s="638">
        <v>4111.1139999999996</v>
      </c>
      <c r="D7483" s="633">
        <f t="shared" si="238"/>
        <v>4111.1139999999996</v>
      </c>
      <c r="E7483" s="608"/>
      <c r="F7483" s="760">
        <f t="shared" si="239"/>
        <v>1734.5534200466791</v>
      </c>
      <c r="M7483" s="443"/>
    </row>
    <row r="7484" spans="1:13">
      <c r="A7484" s="639">
        <v>110713</v>
      </c>
      <c r="B7484" s="639">
        <v>1700</v>
      </c>
      <c r="C7484" s="638">
        <v>4329.4269999999997</v>
      </c>
      <c r="D7484" s="633">
        <f t="shared" si="238"/>
        <v>4329.4269999999997</v>
      </c>
      <c r="E7484" s="608"/>
      <c r="F7484" s="760">
        <f t="shared" si="239"/>
        <v>1826.6636268642596</v>
      </c>
      <c r="M7484" s="443"/>
    </row>
    <row r="7485" spans="1:13">
      <c r="A7485" s="639">
        <v>110713</v>
      </c>
      <c r="B7485" s="639">
        <v>1800</v>
      </c>
      <c r="C7485" s="638">
        <v>4584.6080000000002</v>
      </c>
      <c r="D7485" s="633">
        <f t="shared" si="238"/>
        <v>4584.6080000000002</v>
      </c>
      <c r="E7485" s="608"/>
      <c r="F7485" s="760">
        <f t="shared" si="239"/>
        <v>1934.3291103027955</v>
      </c>
      <c r="M7485" s="443"/>
    </row>
    <row r="7486" spans="1:13">
      <c r="A7486" s="639">
        <v>110713</v>
      </c>
      <c r="B7486" s="639">
        <v>1900</v>
      </c>
      <c r="C7486" s="638">
        <v>4614.4129999999996</v>
      </c>
      <c r="D7486" s="633">
        <f t="shared" si="238"/>
        <v>4614.4129999999996</v>
      </c>
      <c r="E7486" s="608"/>
      <c r="F7486" s="760">
        <f t="shared" si="239"/>
        <v>1946.9043793623473</v>
      </c>
      <c r="M7486" s="443"/>
    </row>
    <row r="7487" spans="1:13">
      <c r="A7487" s="639">
        <v>110713</v>
      </c>
      <c r="B7487" s="639">
        <v>2000</v>
      </c>
      <c r="C7487" s="638">
        <v>4639.5739999999996</v>
      </c>
      <c r="D7487" s="633">
        <f t="shared" si="238"/>
        <v>4639.5739999999996</v>
      </c>
      <c r="E7487" s="608"/>
      <c r="F7487" s="760">
        <f t="shared" si="239"/>
        <v>1957.5202607516237</v>
      </c>
      <c r="M7487" s="443"/>
    </row>
    <row r="7488" spans="1:13">
      <c r="A7488" s="639">
        <v>110713</v>
      </c>
      <c r="B7488" s="639">
        <v>2100</v>
      </c>
      <c r="C7488" s="638">
        <v>4513.8950000000004</v>
      </c>
      <c r="D7488" s="633">
        <f t="shared" si="238"/>
        <v>4513.8950000000004</v>
      </c>
      <c r="E7488" s="608"/>
      <c r="F7488" s="760">
        <f t="shared" si="239"/>
        <v>1904.4940154862174</v>
      </c>
      <c r="M7488" s="443"/>
    </row>
    <row r="7489" spans="1:13">
      <c r="A7489" s="639">
        <v>110713</v>
      </c>
      <c r="B7489" s="639">
        <v>2200</v>
      </c>
      <c r="C7489" s="638">
        <v>4233.2879999999996</v>
      </c>
      <c r="D7489" s="633">
        <f t="shared" si="238"/>
        <v>4233.2879999999996</v>
      </c>
      <c r="E7489" s="608"/>
      <c r="F7489" s="760">
        <f t="shared" si="239"/>
        <v>1786.1008423611133</v>
      </c>
      <c r="M7489" s="443"/>
    </row>
    <row r="7490" spans="1:13">
      <c r="A7490" s="639">
        <v>110713</v>
      </c>
      <c r="B7490" s="639">
        <v>2300</v>
      </c>
      <c r="C7490" s="638">
        <v>3699.3119999999999</v>
      </c>
      <c r="D7490" s="633">
        <f t="shared" si="238"/>
        <v>3699.3119999999999</v>
      </c>
      <c r="E7490" s="608"/>
      <c r="F7490" s="760">
        <f t="shared" si="239"/>
        <v>1560.8067014000881</v>
      </c>
      <c r="M7490" s="443"/>
    </row>
    <row r="7491" spans="1:13">
      <c r="A7491" s="639">
        <v>110713</v>
      </c>
      <c r="B7491" s="639">
        <v>2400</v>
      </c>
      <c r="C7491" s="638">
        <v>3164.4520000000002</v>
      </c>
      <c r="D7491" s="633">
        <f t="shared" si="238"/>
        <v>3164.4520000000002</v>
      </c>
      <c r="E7491" s="608"/>
      <c r="F7491" s="760">
        <f t="shared" si="239"/>
        <v>1335.1395848360212</v>
      </c>
      <c r="M7491" s="443"/>
    </row>
    <row r="7492" spans="1:13">
      <c r="A7492" s="639">
        <v>110813</v>
      </c>
      <c r="B7492" s="639">
        <v>100</v>
      </c>
      <c r="C7492" s="638">
        <v>2883.4119999999998</v>
      </c>
      <c r="D7492" s="633">
        <f t="shared" si="238"/>
        <v>2883.4119999999998</v>
      </c>
      <c r="E7492" s="608"/>
      <c r="F7492" s="760">
        <f t="shared" si="239"/>
        <v>1216.5637211723235</v>
      </c>
      <c r="M7492" s="443"/>
    </row>
    <row r="7493" spans="1:13">
      <c r="A7493" s="639">
        <v>110813</v>
      </c>
      <c r="B7493" s="639">
        <v>200</v>
      </c>
      <c r="C7493" s="638">
        <v>3059.6570000000002</v>
      </c>
      <c r="D7493" s="633">
        <f t="shared" ref="D7493:D7556" si="240">C7493</f>
        <v>3059.6570000000002</v>
      </c>
      <c r="E7493" s="608"/>
      <c r="F7493" s="760">
        <f t="shared" si="239"/>
        <v>1290.9246772334125</v>
      </c>
      <c r="M7493" s="443"/>
    </row>
    <row r="7494" spans="1:13">
      <c r="A7494" s="639">
        <v>110813</v>
      </c>
      <c r="B7494" s="639">
        <v>300</v>
      </c>
      <c r="C7494" s="638">
        <v>3065.4780000000001</v>
      </c>
      <c r="D7494" s="633">
        <f t="shared" si="240"/>
        <v>3065.4780000000001</v>
      </c>
      <c r="E7494" s="608"/>
      <c r="F7494" s="760">
        <f t="shared" si="239"/>
        <v>1293.3806625109046</v>
      </c>
      <c r="M7494" s="443"/>
    </row>
    <row r="7495" spans="1:13">
      <c r="A7495" s="639">
        <v>110813</v>
      </c>
      <c r="B7495" s="639">
        <v>400</v>
      </c>
      <c r="C7495" s="638">
        <v>3064.0259999999998</v>
      </c>
      <c r="D7495" s="633">
        <f t="shared" si="240"/>
        <v>3064.0259999999998</v>
      </c>
      <c r="E7495" s="608"/>
      <c r="F7495" s="760">
        <f t="shared" si="239"/>
        <v>1292.7680374253662</v>
      </c>
      <c r="M7495" s="443"/>
    </row>
    <row r="7496" spans="1:13">
      <c r="A7496" s="639">
        <v>110813</v>
      </c>
      <c r="B7496" s="639">
        <v>500</v>
      </c>
      <c r="C7496" s="638">
        <v>3143.5149999999999</v>
      </c>
      <c r="D7496" s="633">
        <f t="shared" si="240"/>
        <v>3143.5149999999999</v>
      </c>
      <c r="E7496" s="608"/>
      <c r="F7496" s="760">
        <f t="shared" si="239"/>
        <v>1326.3058855137651</v>
      </c>
      <c r="M7496" s="443"/>
    </row>
    <row r="7497" spans="1:13">
      <c r="A7497" s="639">
        <v>110813</v>
      </c>
      <c r="B7497" s="639">
        <v>600</v>
      </c>
      <c r="C7497" s="638">
        <v>3489.0250000000001</v>
      </c>
      <c r="D7497" s="633">
        <f t="shared" si="240"/>
        <v>3489.0250000000001</v>
      </c>
      <c r="E7497" s="608"/>
      <c r="F7497" s="760">
        <f t="shared" si="239"/>
        <v>1472.0828092770876</v>
      </c>
      <c r="M7497" s="443"/>
    </row>
    <row r="7498" spans="1:13">
      <c r="A7498" s="639">
        <v>110813</v>
      </c>
      <c r="B7498" s="639">
        <v>700</v>
      </c>
      <c r="C7498" s="638">
        <v>4042.6990000000001</v>
      </c>
      <c r="D7498" s="633">
        <f t="shared" si="240"/>
        <v>4042.6990000000001</v>
      </c>
      <c r="E7498" s="608"/>
      <c r="F7498" s="760">
        <f t="shared" si="239"/>
        <v>1705.6878930307676</v>
      </c>
      <c r="M7498" s="443"/>
    </row>
    <row r="7499" spans="1:13">
      <c r="A7499" s="639">
        <v>110813</v>
      </c>
      <c r="B7499" s="639">
        <v>800</v>
      </c>
      <c r="C7499" s="638">
        <v>4147.857</v>
      </c>
      <c r="D7499" s="633">
        <f t="shared" si="240"/>
        <v>4147.857</v>
      </c>
      <c r="E7499" s="608"/>
      <c r="F7499" s="760">
        <f t="shared" si="239"/>
        <v>1750.0559569047607</v>
      </c>
      <c r="M7499" s="443"/>
    </row>
    <row r="7500" spans="1:13">
      <c r="A7500" s="639">
        <v>110813</v>
      </c>
      <c r="B7500" s="639">
        <v>900</v>
      </c>
      <c r="C7500" s="638">
        <v>4102.8</v>
      </c>
      <c r="D7500" s="633">
        <f t="shared" si="240"/>
        <v>4102.8</v>
      </c>
      <c r="E7500" s="608"/>
      <c r="F7500" s="760">
        <f t="shared" si="239"/>
        <v>1731.0455929384386</v>
      </c>
      <c r="M7500" s="443"/>
    </row>
    <row r="7501" spans="1:13">
      <c r="A7501" s="639">
        <v>110813</v>
      </c>
      <c r="B7501" s="639">
        <v>1000</v>
      </c>
      <c r="C7501" s="638">
        <v>3838.288</v>
      </c>
      <c r="D7501" s="633">
        <f t="shared" si="240"/>
        <v>3838.288</v>
      </c>
      <c r="E7501" s="608"/>
      <c r="F7501" s="760">
        <f t="shared" si="239"/>
        <v>1619.4431916809235</v>
      </c>
      <c r="M7501" s="443"/>
    </row>
    <row r="7502" spans="1:13">
      <c r="A7502" s="639">
        <v>110813</v>
      </c>
      <c r="B7502" s="639">
        <v>1100</v>
      </c>
      <c r="C7502" s="638">
        <v>3750.8879999999999</v>
      </c>
      <c r="D7502" s="633">
        <f t="shared" si="240"/>
        <v>3750.8879999999999</v>
      </c>
      <c r="E7502" s="608"/>
      <c r="F7502" s="760">
        <f t="shared" si="239"/>
        <v>1582.5675494797879</v>
      </c>
      <c r="M7502" s="443"/>
    </row>
    <row r="7503" spans="1:13">
      <c r="A7503" s="639">
        <v>110813</v>
      </c>
      <c r="B7503" s="639">
        <v>1200</v>
      </c>
      <c r="C7503" s="638">
        <v>3608.567</v>
      </c>
      <c r="D7503" s="633">
        <f t="shared" si="240"/>
        <v>3608.567</v>
      </c>
      <c r="E7503" s="608"/>
      <c r="F7503" s="760">
        <f t="shared" si="239"/>
        <v>1522.5197431444581</v>
      </c>
      <c r="M7503" s="443"/>
    </row>
    <row r="7504" spans="1:13">
      <c r="A7504" s="639">
        <v>110813</v>
      </c>
      <c r="B7504" s="639">
        <v>1300</v>
      </c>
      <c r="C7504" s="638">
        <v>3528.34</v>
      </c>
      <c r="D7504" s="633">
        <f t="shared" si="240"/>
        <v>3528.34</v>
      </c>
      <c r="E7504" s="608"/>
      <c r="F7504" s="760">
        <f t="shared" si="239"/>
        <v>1488.6705194960539</v>
      </c>
      <c r="M7504" s="443"/>
    </row>
    <row r="7505" spans="1:13">
      <c r="A7505" s="639">
        <v>110813</v>
      </c>
      <c r="B7505" s="639">
        <v>1400</v>
      </c>
      <c r="C7505" s="638">
        <v>3641.8470000000002</v>
      </c>
      <c r="D7505" s="633">
        <f t="shared" si="240"/>
        <v>3641.8470000000002</v>
      </c>
      <c r="E7505" s="608"/>
      <c r="F7505" s="760">
        <f t="shared" si="239"/>
        <v>1536.5611776118928</v>
      </c>
      <c r="M7505" s="443"/>
    </row>
    <row r="7506" spans="1:13">
      <c r="A7506" s="639">
        <v>110813</v>
      </c>
      <c r="B7506" s="639">
        <v>1500</v>
      </c>
      <c r="C7506" s="638">
        <v>3575.1770000000001</v>
      </c>
      <c r="D7506" s="633">
        <f t="shared" si="240"/>
        <v>3575.1770000000001</v>
      </c>
      <c r="E7506" s="608"/>
      <c r="F7506" s="760">
        <f t="shared" si="239"/>
        <v>1508.4318976856946</v>
      </c>
      <c r="M7506" s="443"/>
    </row>
    <row r="7507" spans="1:13">
      <c r="A7507" s="639">
        <v>110813</v>
      </c>
      <c r="B7507" s="639">
        <v>1600</v>
      </c>
      <c r="C7507" s="638">
        <v>3883.0949999999998</v>
      </c>
      <c r="D7507" s="633">
        <f t="shared" si="240"/>
        <v>3883.0949999999998</v>
      </c>
      <c r="E7507" s="608"/>
      <c r="F7507" s="760">
        <f t="shared" si="239"/>
        <v>1638.3480761214987</v>
      </c>
      <c r="M7507" s="443"/>
    </row>
    <row r="7508" spans="1:13">
      <c r="A7508" s="639">
        <v>110813</v>
      </c>
      <c r="B7508" s="639">
        <v>1700</v>
      </c>
      <c r="C7508" s="638">
        <v>4208.82</v>
      </c>
      <c r="D7508" s="633">
        <f t="shared" si="240"/>
        <v>4208.82</v>
      </c>
      <c r="E7508" s="608"/>
      <c r="F7508" s="760">
        <f t="shared" si="239"/>
        <v>1775.7773502172074</v>
      </c>
      <c r="M7508" s="443"/>
    </row>
    <row r="7509" spans="1:13">
      <c r="A7509" s="639">
        <v>110813</v>
      </c>
      <c r="B7509" s="639">
        <v>1800</v>
      </c>
      <c r="C7509" s="638">
        <v>4600.09</v>
      </c>
      <c r="D7509" s="633">
        <f t="shared" si="240"/>
        <v>4600.09</v>
      </c>
      <c r="E7509" s="608"/>
      <c r="F7509" s="760">
        <f t="shared" si="239"/>
        <v>1940.8612463732527</v>
      </c>
      <c r="M7509" s="443"/>
    </row>
    <row r="7510" spans="1:13">
      <c r="A7510" s="639">
        <v>110813</v>
      </c>
      <c r="B7510" s="639">
        <v>1900</v>
      </c>
      <c r="C7510" s="638">
        <v>4621.59</v>
      </c>
      <c r="D7510" s="633">
        <f t="shared" si="240"/>
        <v>4621.59</v>
      </c>
      <c r="E7510" s="608"/>
      <c r="F7510" s="760">
        <f t="shared" si="239"/>
        <v>1949.9324855874911</v>
      </c>
      <c r="M7510" s="443"/>
    </row>
    <row r="7511" spans="1:13">
      <c r="A7511" s="639">
        <v>110813</v>
      </c>
      <c r="B7511" s="639">
        <v>2000</v>
      </c>
      <c r="C7511" s="638">
        <v>4555.5410000000002</v>
      </c>
      <c r="D7511" s="633">
        <f t="shared" si="240"/>
        <v>4555.5410000000002</v>
      </c>
      <c r="E7511" s="608"/>
      <c r="F7511" s="760">
        <f t="shared" si="239"/>
        <v>1922.0652168032484</v>
      </c>
      <c r="M7511" s="443"/>
    </row>
    <row r="7512" spans="1:13">
      <c r="A7512" s="639">
        <v>110813</v>
      </c>
      <c r="B7512" s="639">
        <v>2100</v>
      </c>
      <c r="C7512" s="638">
        <v>4438.3670000000002</v>
      </c>
      <c r="D7512" s="633">
        <f t="shared" si="240"/>
        <v>4438.3670000000002</v>
      </c>
      <c r="E7512" s="608"/>
      <c r="F7512" s="760">
        <f t="shared" si="239"/>
        <v>1872.6273850037533</v>
      </c>
      <c r="M7512" s="443"/>
    </row>
    <row r="7513" spans="1:13">
      <c r="A7513" s="639">
        <v>110813</v>
      </c>
      <c r="B7513" s="639">
        <v>2200</v>
      </c>
      <c r="C7513" s="638">
        <v>4156.875</v>
      </c>
      <c r="D7513" s="633">
        <f t="shared" si="240"/>
        <v>4156.875</v>
      </c>
      <c r="E7513" s="608"/>
      <c r="F7513" s="760">
        <f t="shared" si="239"/>
        <v>1753.8608143575052</v>
      </c>
      <c r="M7513" s="443"/>
    </row>
    <row r="7514" spans="1:13">
      <c r="A7514" s="639">
        <v>110813</v>
      </c>
      <c r="B7514" s="639">
        <v>2300</v>
      </c>
      <c r="C7514" s="638">
        <v>3775.6990000000001</v>
      </c>
      <c r="D7514" s="633">
        <f t="shared" si="240"/>
        <v>3775.6990000000001</v>
      </c>
      <c r="E7514" s="608"/>
      <c r="F7514" s="760">
        <f t="shared" si="239"/>
        <v>1593.0357595330188</v>
      </c>
      <c r="M7514" s="443"/>
    </row>
    <row r="7515" spans="1:13">
      <c r="A7515" s="639">
        <v>110813</v>
      </c>
      <c r="B7515" s="639">
        <v>2400</v>
      </c>
      <c r="C7515" s="638">
        <v>3319.3510000000001</v>
      </c>
      <c r="D7515" s="633">
        <f t="shared" si="240"/>
        <v>3319.3510000000001</v>
      </c>
      <c r="E7515" s="608"/>
      <c r="F7515" s="760">
        <f t="shared" si="239"/>
        <v>1400.4942770707321</v>
      </c>
      <c r="M7515" s="443"/>
    </row>
    <row r="7516" spans="1:13">
      <c r="A7516" s="639">
        <v>110913</v>
      </c>
      <c r="B7516" s="639">
        <v>100</v>
      </c>
      <c r="C7516" s="638">
        <v>3065.0590000000002</v>
      </c>
      <c r="D7516" s="633">
        <f t="shared" si="240"/>
        <v>3065.0590000000002</v>
      </c>
      <c r="E7516" s="608"/>
      <c r="F7516" s="760">
        <f t="shared" ref="F7516:F7579" si="241">(D7516/(MAX($D$7324:$D$8043)))*$M$14</f>
        <v>1293.2038788257526</v>
      </c>
      <c r="M7516" s="443"/>
    </row>
    <row r="7517" spans="1:13">
      <c r="A7517" s="639">
        <v>110913</v>
      </c>
      <c r="B7517" s="639">
        <v>200</v>
      </c>
      <c r="C7517" s="638">
        <v>3094.0329999999999</v>
      </c>
      <c r="D7517" s="633">
        <f t="shared" si="240"/>
        <v>3094.0329999999999</v>
      </c>
      <c r="E7517" s="608"/>
      <c r="F7517" s="760">
        <f t="shared" si="241"/>
        <v>1305.4285339417218</v>
      </c>
      <c r="M7517" s="443"/>
    </row>
    <row r="7518" spans="1:13">
      <c r="A7518" s="639">
        <v>110913</v>
      </c>
      <c r="B7518" s="639">
        <v>300</v>
      </c>
      <c r="C7518" s="638">
        <v>3068.3939999999998</v>
      </c>
      <c r="D7518" s="633">
        <f t="shared" si="240"/>
        <v>3068.3939999999998</v>
      </c>
      <c r="E7518" s="608"/>
      <c r="F7518" s="760">
        <f t="shared" si="241"/>
        <v>1294.6109756992169</v>
      </c>
      <c r="M7518" s="443"/>
    </row>
    <row r="7519" spans="1:13">
      <c r="A7519" s="639">
        <v>110913</v>
      </c>
      <c r="B7519" s="639">
        <v>400</v>
      </c>
      <c r="C7519" s="638">
        <v>3050.8330000000001</v>
      </c>
      <c r="D7519" s="633">
        <f t="shared" si="240"/>
        <v>3050.8330000000001</v>
      </c>
      <c r="E7519" s="608"/>
      <c r="F7519" s="760">
        <f t="shared" si="241"/>
        <v>1287.2016718926477</v>
      </c>
      <c r="M7519" s="443"/>
    </row>
    <row r="7520" spans="1:13">
      <c r="A7520" s="639">
        <v>110913</v>
      </c>
      <c r="B7520" s="639">
        <v>500</v>
      </c>
      <c r="C7520" s="638">
        <v>3086.4319999999998</v>
      </c>
      <c r="D7520" s="633">
        <f t="shared" si="240"/>
        <v>3086.4319999999998</v>
      </c>
      <c r="E7520" s="608"/>
      <c r="F7520" s="760">
        <f t="shared" si="241"/>
        <v>1302.2215344409112</v>
      </c>
      <c r="M7520" s="443"/>
    </row>
    <row r="7521" spans="1:13">
      <c r="A7521" s="639">
        <v>110913</v>
      </c>
      <c r="B7521" s="639">
        <v>600</v>
      </c>
      <c r="C7521" s="638">
        <v>3186.8180000000002</v>
      </c>
      <c r="D7521" s="633">
        <f t="shared" si="240"/>
        <v>3186.8180000000002</v>
      </c>
      <c r="E7521" s="608"/>
      <c r="F7521" s="760">
        <f t="shared" si="241"/>
        <v>1344.5762051274469</v>
      </c>
      <c r="M7521" s="443"/>
    </row>
    <row r="7522" spans="1:13">
      <c r="A7522" s="639">
        <v>110913</v>
      </c>
      <c r="B7522" s="639">
        <v>700</v>
      </c>
      <c r="C7522" s="638">
        <v>3477.366</v>
      </c>
      <c r="D7522" s="633">
        <f t="shared" si="240"/>
        <v>3477.366</v>
      </c>
      <c r="E7522" s="608"/>
      <c r="F7522" s="760">
        <f t="shared" si="241"/>
        <v>1467.1636661143527</v>
      </c>
      <c r="M7522" s="443"/>
    </row>
    <row r="7523" spans="1:13">
      <c r="A7523" s="639">
        <v>110913</v>
      </c>
      <c r="B7523" s="639">
        <v>800</v>
      </c>
      <c r="C7523" s="638">
        <v>3836.66</v>
      </c>
      <c r="D7523" s="633">
        <f t="shared" si="240"/>
        <v>3836.66</v>
      </c>
      <c r="E7523" s="608"/>
      <c r="F7523" s="760">
        <f t="shared" si="241"/>
        <v>1618.7563090092594</v>
      </c>
      <c r="M7523" s="443"/>
    </row>
    <row r="7524" spans="1:13">
      <c r="A7524" s="639">
        <v>110913</v>
      </c>
      <c r="B7524" s="639">
        <v>900</v>
      </c>
      <c r="C7524" s="638">
        <v>4117.7749999999996</v>
      </c>
      <c r="D7524" s="633">
        <f t="shared" si="240"/>
        <v>4117.7749999999996</v>
      </c>
      <c r="E7524" s="608"/>
      <c r="F7524" s="760">
        <f t="shared" si="241"/>
        <v>1737.3638165306811</v>
      </c>
      <c r="M7524" s="443"/>
    </row>
    <row r="7525" spans="1:13">
      <c r="A7525" s="639">
        <v>110913</v>
      </c>
      <c r="B7525" s="639">
        <v>1000</v>
      </c>
      <c r="C7525" s="638">
        <v>4319.0879999999997</v>
      </c>
      <c r="D7525" s="633">
        <f t="shared" si="240"/>
        <v>4319.0879999999997</v>
      </c>
      <c r="E7525" s="608"/>
      <c r="F7525" s="760">
        <f t="shared" si="241"/>
        <v>1822.3014155974688</v>
      </c>
      <c r="M7525" s="443"/>
    </row>
    <row r="7526" spans="1:13">
      <c r="A7526" s="639">
        <v>110913</v>
      </c>
      <c r="B7526" s="639">
        <v>1100</v>
      </c>
      <c r="C7526" s="638">
        <v>4242.8249999999998</v>
      </c>
      <c r="D7526" s="633">
        <f t="shared" si="240"/>
        <v>4242.8249999999998</v>
      </c>
      <c r="E7526" s="608"/>
      <c r="F7526" s="760">
        <f t="shared" si="241"/>
        <v>1790.1246753093083</v>
      </c>
      <c r="M7526" s="443"/>
    </row>
    <row r="7527" spans="1:13">
      <c r="A7527" s="639">
        <v>110913</v>
      </c>
      <c r="B7527" s="639">
        <v>1200</v>
      </c>
      <c r="C7527" s="638">
        <v>4224.7920000000004</v>
      </c>
      <c r="D7527" s="633">
        <f t="shared" si="240"/>
        <v>4224.7920000000004</v>
      </c>
      <c r="E7527" s="608"/>
      <c r="F7527" s="760">
        <f t="shared" si="241"/>
        <v>1782.516226158129</v>
      </c>
      <c r="M7527" s="443"/>
    </row>
    <row r="7528" spans="1:13">
      <c r="A7528" s="639">
        <v>110913</v>
      </c>
      <c r="B7528" s="639">
        <v>1300</v>
      </c>
      <c r="C7528" s="638">
        <v>3961.3960000000002</v>
      </c>
      <c r="D7528" s="633">
        <f t="shared" si="240"/>
        <v>3961.3960000000002</v>
      </c>
      <c r="E7528" s="608"/>
      <c r="F7528" s="760">
        <f t="shared" si="241"/>
        <v>1671.3846855035486</v>
      </c>
      <c r="M7528" s="443"/>
    </row>
    <row r="7529" spans="1:13">
      <c r="A7529" s="639">
        <v>110913</v>
      </c>
      <c r="B7529" s="639">
        <v>1400</v>
      </c>
      <c r="C7529" s="638">
        <v>4093.9059999999999</v>
      </c>
      <c r="D7529" s="633">
        <f t="shared" si="240"/>
        <v>4093.9059999999999</v>
      </c>
      <c r="E7529" s="608"/>
      <c r="F7529" s="760">
        <f t="shared" si="241"/>
        <v>1727.293053330465</v>
      </c>
      <c r="M7529" s="443"/>
    </row>
    <row r="7530" spans="1:13">
      <c r="A7530" s="639">
        <v>110913</v>
      </c>
      <c r="B7530" s="639">
        <v>1500</v>
      </c>
      <c r="C7530" s="638">
        <v>3987.1</v>
      </c>
      <c r="D7530" s="633">
        <f t="shared" si="240"/>
        <v>3987.1</v>
      </c>
      <c r="E7530" s="608"/>
      <c r="F7530" s="760">
        <f t="shared" si="241"/>
        <v>1682.2296684227474</v>
      </c>
      <c r="M7530" s="443"/>
    </row>
    <row r="7531" spans="1:13">
      <c r="A7531" s="639">
        <v>110913</v>
      </c>
      <c r="B7531" s="639">
        <v>1600</v>
      </c>
      <c r="C7531" s="638">
        <v>4182.8980000000001</v>
      </c>
      <c r="D7531" s="633">
        <f t="shared" si="240"/>
        <v>4182.8980000000001</v>
      </c>
      <c r="E7531" s="608"/>
      <c r="F7531" s="760">
        <f t="shared" si="241"/>
        <v>1764.8403891515572</v>
      </c>
      <c r="M7531" s="443"/>
    </row>
    <row r="7532" spans="1:13">
      <c r="A7532" s="639">
        <v>110913</v>
      </c>
      <c r="B7532" s="639">
        <v>1700</v>
      </c>
      <c r="C7532" s="638">
        <v>4442.0169999999998</v>
      </c>
      <c r="D7532" s="633">
        <f t="shared" si="240"/>
        <v>4442.0169999999998</v>
      </c>
      <c r="E7532" s="608"/>
      <c r="F7532" s="760">
        <f t="shared" si="241"/>
        <v>1874.1673860796586</v>
      </c>
      <c r="M7532" s="443"/>
    </row>
    <row r="7533" spans="1:13">
      <c r="A7533" s="639">
        <v>110913</v>
      </c>
      <c r="B7533" s="639">
        <v>1800</v>
      </c>
      <c r="C7533" s="638">
        <v>4551.7550000000001</v>
      </c>
      <c r="D7533" s="633">
        <f t="shared" si="240"/>
        <v>4551.7550000000001</v>
      </c>
      <c r="E7533" s="608"/>
      <c r="F7533" s="760">
        <f t="shared" si="241"/>
        <v>1920.4678348653365</v>
      </c>
      <c r="M7533" s="443"/>
    </row>
    <row r="7534" spans="1:13">
      <c r="A7534" s="639">
        <v>110913</v>
      </c>
      <c r="B7534" s="639">
        <v>1900</v>
      </c>
      <c r="C7534" s="638">
        <v>4497.2939999999999</v>
      </c>
      <c r="D7534" s="633">
        <f t="shared" si="240"/>
        <v>4497.2939999999999</v>
      </c>
      <c r="E7534" s="608"/>
      <c r="F7534" s="760">
        <f t="shared" si="241"/>
        <v>1897.4897530585165</v>
      </c>
      <c r="M7534" s="443"/>
    </row>
    <row r="7535" spans="1:13">
      <c r="A7535" s="639">
        <v>110913</v>
      </c>
      <c r="B7535" s="639">
        <v>2000</v>
      </c>
      <c r="C7535" s="638">
        <v>4234.6220000000003</v>
      </c>
      <c r="D7535" s="633">
        <f t="shared" si="240"/>
        <v>4234.6220000000003</v>
      </c>
      <c r="E7535" s="608"/>
      <c r="F7535" s="760">
        <f t="shared" si="241"/>
        <v>1786.6636811104995</v>
      </c>
      <c r="M7535" s="443"/>
    </row>
    <row r="7536" spans="1:13">
      <c r="A7536" s="639">
        <v>110913</v>
      </c>
      <c r="B7536" s="639">
        <v>2100</v>
      </c>
      <c r="C7536" s="638">
        <v>4075.877</v>
      </c>
      <c r="D7536" s="633">
        <f t="shared" si="240"/>
        <v>4075.877</v>
      </c>
      <c r="E7536" s="608"/>
      <c r="F7536" s="760">
        <f t="shared" si="241"/>
        <v>1719.6862918516972</v>
      </c>
      <c r="M7536" s="443"/>
    </row>
    <row r="7537" spans="1:13">
      <c r="A7537" s="639">
        <v>110913</v>
      </c>
      <c r="B7537" s="639">
        <v>2200</v>
      </c>
      <c r="C7537" s="638">
        <v>3876.663</v>
      </c>
      <c r="D7537" s="633">
        <f t="shared" si="240"/>
        <v>3876.663</v>
      </c>
      <c r="E7537" s="608"/>
      <c r="F7537" s="760">
        <f t="shared" si="241"/>
        <v>1635.6342988830813</v>
      </c>
      <c r="M7537" s="443"/>
    </row>
    <row r="7538" spans="1:13">
      <c r="A7538" s="639">
        <v>110913</v>
      </c>
      <c r="B7538" s="639">
        <v>2300</v>
      </c>
      <c r="C7538" s="638">
        <v>3550.8629999999998</v>
      </c>
      <c r="D7538" s="633">
        <f t="shared" si="240"/>
        <v>3550.8629999999998</v>
      </c>
      <c r="E7538" s="608"/>
      <c r="F7538" s="760">
        <f t="shared" si="241"/>
        <v>1498.1733809296486</v>
      </c>
      <c r="M7538" s="443"/>
    </row>
    <row r="7539" spans="1:13">
      <c r="A7539" s="639">
        <v>110913</v>
      </c>
      <c r="B7539" s="639">
        <v>2400</v>
      </c>
      <c r="C7539" s="638">
        <v>3210.6619999999998</v>
      </c>
      <c r="D7539" s="633">
        <f t="shared" si="240"/>
        <v>3210.6619999999998</v>
      </c>
      <c r="E7539" s="608"/>
      <c r="F7539" s="760">
        <f t="shared" si="241"/>
        <v>1354.6364203750884</v>
      </c>
      <c r="M7539" s="443"/>
    </row>
    <row r="7540" spans="1:13">
      <c r="A7540" s="639">
        <v>111013</v>
      </c>
      <c r="B7540" s="639">
        <v>100</v>
      </c>
      <c r="C7540" s="638">
        <v>2968.0990000000002</v>
      </c>
      <c r="D7540" s="633">
        <f t="shared" si="240"/>
        <v>2968.0990000000002</v>
      </c>
      <c r="E7540" s="608"/>
      <c r="F7540" s="760">
        <f t="shared" si="241"/>
        <v>1252.2946995600532</v>
      </c>
      <c r="M7540" s="443"/>
    </row>
    <row r="7541" spans="1:13">
      <c r="A7541" s="639">
        <v>111013</v>
      </c>
      <c r="B7541" s="639">
        <v>200</v>
      </c>
      <c r="C7541" s="638">
        <v>3038.3670000000002</v>
      </c>
      <c r="D7541" s="633">
        <f t="shared" si="240"/>
        <v>3038.3670000000002</v>
      </c>
      <c r="E7541" s="608"/>
      <c r="F7541" s="760">
        <f t="shared" si="241"/>
        <v>1281.9420408208016</v>
      </c>
      <c r="M7541" s="443"/>
    </row>
    <row r="7542" spans="1:13">
      <c r="A7542" s="639">
        <v>111013</v>
      </c>
      <c r="B7542" s="639">
        <v>300</v>
      </c>
      <c r="C7542" s="638">
        <v>2952.3789999999999</v>
      </c>
      <c r="D7542" s="633">
        <f t="shared" si="240"/>
        <v>2952.3789999999999</v>
      </c>
      <c r="E7542" s="608"/>
      <c r="F7542" s="760">
        <f t="shared" si="241"/>
        <v>1245.6621469810846</v>
      </c>
      <c r="M7542" s="443"/>
    </row>
    <row r="7543" spans="1:13">
      <c r="A7543" s="639">
        <v>111013</v>
      </c>
      <c r="B7543" s="639">
        <v>400</v>
      </c>
      <c r="C7543" s="638">
        <v>2936.194</v>
      </c>
      <c r="D7543" s="633">
        <f t="shared" si="240"/>
        <v>2936.194</v>
      </c>
      <c r="E7543" s="608"/>
      <c r="F7543" s="760">
        <f t="shared" si="241"/>
        <v>1238.8334024842268</v>
      </c>
      <c r="M7543" s="443"/>
    </row>
    <row r="7544" spans="1:13">
      <c r="A7544" s="639">
        <v>111013</v>
      </c>
      <c r="B7544" s="639">
        <v>500</v>
      </c>
      <c r="C7544" s="638">
        <v>2948.8339999999998</v>
      </c>
      <c r="D7544" s="633">
        <f t="shared" si="240"/>
        <v>2948.8339999999998</v>
      </c>
      <c r="E7544" s="608"/>
      <c r="F7544" s="760">
        <f t="shared" si="241"/>
        <v>1244.1664473059927</v>
      </c>
      <c r="M7544" s="443"/>
    </row>
    <row r="7545" spans="1:13">
      <c r="A7545" s="639">
        <v>111013</v>
      </c>
      <c r="B7545" s="639">
        <v>600</v>
      </c>
      <c r="C7545" s="638">
        <v>3016.2979999999998</v>
      </c>
      <c r="D7545" s="633">
        <f t="shared" si="240"/>
        <v>3016.2979999999998</v>
      </c>
      <c r="E7545" s="608"/>
      <c r="F7545" s="760">
        <f t="shared" si="241"/>
        <v>1272.6307302059631</v>
      </c>
      <c r="M7545" s="443"/>
    </row>
    <row r="7546" spans="1:13">
      <c r="A7546" s="639">
        <v>111013</v>
      </c>
      <c r="B7546" s="639">
        <v>700</v>
      </c>
      <c r="C7546" s="638">
        <v>3258.1680000000001</v>
      </c>
      <c r="D7546" s="633">
        <f t="shared" si="240"/>
        <v>3258.1680000000001</v>
      </c>
      <c r="E7546" s="608"/>
      <c r="F7546" s="760">
        <f t="shared" si="241"/>
        <v>1374.680061775628</v>
      </c>
      <c r="M7546" s="443"/>
    </row>
    <row r="7547" spans="1:13">
      <c r="A7547" s="639">
        <v>111013</v>
      </c>
      <c r="B7547" s="639">
        <v>800</v>
      </c>
      <c r="C7547" s="638">
        <v>3613.636</v>
      </c>
      <c r="D7547" s="633">
        <f t="shared" si="240"/>
        <v>3613.636</v>
      </c>
      <c r="E7547" s="608"/>
      <c r="F7547" s="760">
        <f t="shared" si="241"/>
        <v>1524.6584460085035</v>
      </c>
      <c r="M7547" s="443"/>
    </row>
    <row r="7548" spans="1:13">
      <c r="A7548" s="639">
        <v>111013</v>
      </c>
      <c r="B7548" s="639">
        <v>900</v>
      </c>
      <c r="C7548" s="638">
        <v>3975.4679999999998</v>
      </c>
      <c r="D7548" s="633">
        <f t="shared" si="240"/>
        <v>3975.4679999999998</v>
      </c>
      <c r="E7548" s="608"/>
      <c r="F7548" s="760">
        <f t="shared" si="241"/>
        <v>1677.321917048793</v>
      </c>
      <c r="M7548" s="443"/>
    </row>
    <row r="7549" spans="1:13">
      <c r="A7549" s="639">
        <v>111013</v>
      </c>
      <c r="B7549" s="639">
        <v>1000</v>
      </c>
      <c r="C7549" s="638">
        <v>4147.3440000000001</v>
      </c>
      <c r="D7549" s="633">
        <f t="shared" si="240"/>
        <v>4147.3440000000001</v>
      </c>
      <c r="E7549" s="608"/>
      <c r="F7549" s="760">
        <f t="shared" si="241"/>
        <v>1749.839512917928</v>
      </c>
      <c r="M7549" s="443"/>
    </row>
    <row r="7550" spans="1:13">
      <c r="A7550" s="639">
        <v>111013</v>
      </c>
      <c r="B7550" s="639">
        <v>1100</v>
      </c>
      <c r="C7550" s="638">
        <v>3905.5419999999999</v>
      </c>
      <c r="D7550" s="633">
        <f t="shared" si="240"/>
        <v>3905.5419999999999</v>
      </c>
      <c r="E7550" s="608"/>
      <c r="F7550" s="760">
        <f t="shared" si="241"/>
        <v>1647.8188717792666</v>
      </c>
      <c r="M7550" s="443"/>
    </row>
    <row r="7551" spans="1:13">
      <c r="A7551" s="639">
        <v>111013</v>
      </c>
      <c r="B7551" s="639">
        <v>1200</v>
      </c>
      <c r="C7551" s="638">
        <v>3848.1770000000001</v>
      </c>
      <c r="D7551" s="633">
        <f t="shared" si="240"/>
        <v>3848.1770000000001</v>
      </c>
      <c r="E7551" s="608"/>
      <c r="F7551" s="760">
        <f t="shared" si="241"/>
        <v>1623.6155398013702</v>
      </c>
      <c r="M7551" s="443"/>
    </row>
    <row r="7552" spans="1:13">
      <c r="A7552" s="639">
        <v>111013</v>
      </c>
      <c r="B7552" s="639">
        <v>1300</v>
      </c>
      <c r="C7552" s="638">
        <v>3894.3739999999998</v>
      </c>
      <c r="D7552" s="633">
        <f t="shared" si="240"/>
        <v>3894.3739999999998</v>
      </c>
      <c r="E7552" s="608"/>
      <c r="F7552" s="760">
        <f t="shared" si="241"/>
        <v>1643.1068904050985</v>
      </c>
      <c r="M7552" s="443"/>
    </row>
    <row r="7553" spans="1:13">
      <c r="A7553" s="639">
        <v>111013</v>
      </c>
      <c r="B7553" s="639">
        <v>1400</v>
      </c>
      <c r="C7553" s="638">
        <v>3852.1840000000002</v>
      </c>
      <c r="D7553" s="633">
        <f t="shared" si="240"/>
        <v>3852.1840000000002</v>
      </c>
      <c r="E7553" s="608"/>
      <c r="F7553" s="760">
        <f t="shared" si="241"/>
        <v>1625.3061656400425</v>
      </c>
      <c r="M7553" s="443"/>
    </row>
    <row r="7554" spans="1:13">
      <c r="A7554" s="639">
        <v>111013</v>
      </c>
      <c r="B7554" s="639">
        <v>1500</v>
      </c>
      <c r="C7554" s="638">
        <v>3863.9870000000001</v>
      </c>
      <c r="D7554" s="633">
        <f t="shared" si="240"/>
        <v>3863.9870000000001</v>
      </c>
      <c r="E7554" s="608"/>
      <c r="F7554" s="760">
        <f t="shared" si="241"/>
        <v>1630.2860650096077</v>
      </c>
      <c r="M7554" s="443"/>
    </row>
    <row r="7555" spans="1:13">
      <c r="A7555" s="639">
        <v>111013</v>
      </c>
      <c r="B7555" s="639">
        <v>1600</v>
      </c>
      <c r="C7555" s="638">
        <v>4093.1950000000002</v>
      </c>
      <c r="D7555" s="633">
        <f t="shared" si="240"/>
        <v>4093.1950000000002</v>
      </c>
      <c r="E7555" s="608"/>
      <c r="F7555" s="760">
        <f t="shared" si="241"/>
        <v>1726.9930695592407</v>
      </c>
      <c r="M7555" s="443"/>
    </row>
    <row r="7556" spans="1:13">
      <c r="A7556" s="639">
        <v>111013</v>
      </c>
      <c r="B7556" s="639">
        <v>1700</v>
      </c>
      <c r="C7556" s="638">
        <v>4571.5529999999999</v>
      </c>
      <c r="D7556" s="633">
        <f t="shared" si="240"/>
        <v>4571.5529999999999</v>
      </c>
      <c r="E7556" s="608"/>
      <c r="F7556" s="760">
        <f t="shared" si="241"/>
        <v>1928.8209694682894</v>
      </c>
      <c r="M7556" s="443"/>
    </row>
    <row r="7557" spans="1:13">
      <c r="A7557" s="639">
        <v>111013</v>
      </c>
      <c r="B7557" s="639">
        <v>1800</v>
      </c>
      <c r="C7557" s="638">
        <v>5006.9260000000004</v>
      </c>
      <c r="D7557" s="633">
        <f t="shared" ref="D7557:D7620" si="242">C7557</f>
        <v>5006.9260000000004</v>
      </c>
      <c r="E7557" s="608"/>
      <c r="F7557" s="760">
        <f t="shared" si="241"/>
        <v>2112.5127197204069</v>
      </c>
      <c r="M7557" s="443"/>
    </row>
    <row r="7558" spans="1:13">
      <c r="A7558" s="639">
        <v>111013</v>
      </c>
      <c r="B7558" s="639">
        <v>1900</v>
      </c>
      <c r="C7558" s="638">
        <v>4981.4350000000004</v>
      </c>
      <c r="D7558" s="633">
        <f t="shared" si="242"/>
        <v>4981.4350000000004</v>
      </c>
      <c r="E7558" s="608"/>
      <c r="F7558" s="760">
        <f t="shared" si="241"/>
        <v>2101.7576053571443</v>
      </c>
      <c r="M7558" s="443"/>
    </row>
    <row r="7559" spans="1:13">
      <c r="A7559" s="639">
        <v>111013</v>
      </c>
      <c r="B7559" s="639">
        <v>2000</v>
      </c>
      <c r="C7559" s="638">
        <v>4803.482</v>
      </c>
      <c r="D7559" s="633">
        <f t="shared" si="242"/>
        <v>4803.482</v>
      </c>
      <c r="E7559" s="608"/>
      <c r="F7559" s="760">
        <f t="shared" si="241"/>
        <v>2026.6760131761521</v>
      </c>
      <c r="M7559" s="443"/>
    </row>
    <row r="7560" spans="1:13">
      <c r="A7560" s="639">
        <v>111013</v>
      </c>
      <c r="B7560" s="639">
        <v>2100</v>
      </c>
      <c r="C7560" s="638">
        <v>4518.0190000000002</v>
      </c>
      <c r="D7560" s="633">
        <f t="shared" si="242"/>
        <v>4518.0190000000002</v>
      </c>
      <c r="E7560" s="608"/>
      <c r="F7560" s="760">
        <f t="shared" si="241"/>
        <v>1906.2340057429394</v>
      </c>
      <c r="M7560" s="443"/>
    </row>
    <row r="7561" spans="1:13">
      <c r="A7561" s="639">
        <v>111013</v>
      </c>
      <c r="B7561" s="639">
        <v>2200</v>
      </c>
      <c r="C7561" s="638">
        <v>4319.6589999999997</v>
      </c>
      <c r="D7561" s="633">
        <f t="shared" si="242"/>
        <v>4319.6589999999997</v>
      </c>
      <c r="E7561" s="608"/>
      <c r="F7561" s="760">
        <f t="shared" si="241"/>
        <v>1822.5423308342745</v>
      </c>
      <c r="M7561" s="443"/>
    </row>
    <row r="7562" spans="1:13">
      <c r="A7562" s="639">
        <v>111013</v>
      </c>
      <c r="B7562" s="639">
        <v>2300</v>
      </c>
      <c r="C7562" s="638">
        <v>3749.8049999999998</v>
      </c>
      <c r="D7562" s="633">
        <f t="shared" si="242"/>
        <v>3749.8049999999998</v>
      </c>
      <c r="E7562" s="608"/>
      <c r="F7562" s="760">
        <f t="shared" si="241"/>
        <v>1582.1106121742521</v>
      </c>
      <c r="M7562" s="443"/>
    </row>
    <row r="7563" spans="1:13">
      <c r="A7563" s="639">
        <v>111013</v>
      </c>
      <c r="B7563" s="639">
        <v>2400</v>
      </c>
      <c r="C7563" s="638">
        <v>3257.223</v>
      </c>
      <c r="D7563" s="633">
        <f t="shared" si="242"/>
        <v>3257.223</v>
      </c>
      <c r="E7563" s="608"/>
      <c r="F7563" s="760">
        <f t="shared" si="241"/>
        <v>1374.2813491683046</v>
      </c>
      <c r="M7563" s="443"/>
    </row>
    <row r="7564" spans="1:13">
      <c r="A7564" s="639">
        <v>111113</v>
      </c>
      <c r="B7564" s="639">
        <v>100</v>
      </c>
      <c r="C7564" s="638">
        <v>2946.7350000000001</v>
      </c>
      <c r="D7564" s="633">
        <f t="shared" si="242"/>
        <v>2946.7350000000001</v>
      </c>
      <c r="E7564" s="608"/>
      <c r="F7564" s="760">
        <f t="shared" si="241"/>
        <v>1243.2808412078214</v>
      </c>
      <c r="M7564" s="443"/>
    </row>
    <row r="7565" spans="1:13">
      <c r="A7565" s="639">
        <v>111113</v>
      </c>
      <c r="B7565" s="639">
        <v>200</v>
      </c>
      <c r="C7565" s="638">
        <v>3099.9450000000002</v>
      </c>
      <c r="D7565" s="633">
        <f t="shared" si="242"/>
        <v>3099.9450000000002</v>
      </c>
      <c r="E7565" s="608"/>
      <c r="F7565" s="760">
        <f t="shared" si="241"/>
        <v>1307.9229137665859</v>
      </c>
      <c r="M7565" s="443"/>
    </row>
    <row r="7566" spans="1:13">
      <c r="A7566" s="639">
        <v>111113</v>
      </c>
      <c r="B7566" s="639">
        <v>300</v>
      </c>
      <c r="C7566" s="638">
        <v>3079.1320000000001</v>
      </c>
      <c r="D7566" s="633">
        <f t="shared" si="242"/>
        <v>3079.1320000000001</v>
      </c>
      <c r="E7566" s="608"/>
      <c r="F7566" s="760">
        <f t="shared" si="241"/>
        <v>1299.1415322891003</v>
      </c>
      <c r="M7566" s="443"/>
    </row>
    <row r="7567" spans="1:13">
      <c r="A7567" s="639">
        <v>111113</v>
      </c>
      <c r="B7567" s="639">
        <v>400</v>
      </c>
      <c r="C7567" s="638">
        <v>3072.0970000000002</v>
      </c>
      <c r="D7567" s="633">
        <f t="shared" si="242"/>
        <v>3072.0970000000002</v>
      </c>
      <c r="E7567" s="608"/>
      <c r="F7567" s="760">
        <f t="shared" si="241"/>
        <v>1296.173338434581</v>
      </c>
      <c r="M7567" s="443"/>
    </row>
    <row r="7568" spans="1:13">
      <c r="A7568" s="639">
        <v>111113</v>
      </c>
      <c r="B7568" s="639">
        <v>500</v>
      </c>
      <c r="C7568" s="638">
        <v>3130.8560000000002</v>
      </c>
      <c r="D7568" s="633">
        <f t="shared" si="242"/>
        <v>3130.8560000000002</v>
      </c>
      <c r="E7568" s="608"/>
      <c r="F7568" s="760">
        <f t="shared" si="241"/>
        <v>1320.9648242480425</v>
      </c>
      <c r="M7568" s="443"/>
    </row>
    <row r="7569" spans="1:13">
      <c r="A7569" s="639">
        <v>111113</v>
      </c>
      <c r="B7569" s="639">
        <v>600</v>
      </c>
      <c r="C7569" s="638">
        <v>3460.6</v>
      </c>
      <c r="D7569" s="633">
        <f t="shared" si="242"/>
        <v>3460.6</v>
      </c>
      <c r="E7569" s="608"/>
      <c r="F7569" s="760">
        <f t="shared" si="241"/>
        <v>1460.089787199659</v>
      </c>
      <c r="M7569" s="443"/>
    </row>
    <row r="7570" spans="1:13">
      <c r="A7570" s="639">
        <v>111113</v>
      </c>
      <c r="B7570" s="639">
        <v>700</v>
      </c>
      <c r="C7570" s="638">
        <v>4036.67</v>
      </c>
      <c r="D7570" s="633">
        <f t="shared" si="242"/>
        <v>4036.67</v>
      </c>
      <c r="E7570" s="608"/>
      <c r="F7570" s="760">
        <f t="shared" si="241"/>
        <v>1703.144148787854</v>
      </c>
      <c r="M7570" s="443"/>
    </row>
    <row r="7571" spans="1:13">
      <c r="A7571" s="639">
        <v>111113</v>
      </c>
      <c r="B7571" s="639">
        <v>800</v>
      </c>
      <c r="C7571" s="638">
        <v>4224.1540000000005</v>
      </c>
      <c r="D7571" s="633">
        <f t="shared" si="242"/>
        <v>4224.1540000000005</v>
      </c>
      <c r="E7571" s="608"/>
      <c r="F7571" s="760">
        <f t="shared" si="241"/>
        <v>1782.2470424084229</v>
      </c>
      <c r="M7571" s="443"/>
    </row>
    <row r="7572" spans="1:13">
      <c r="A7572" s="639">
        <v>111113</v>
      </c>
      <c r="B7572" s="639">
        <v>900</v>
      </c>
      <c r="C7572" s="638">
        <v>4182.3050000000003</v>
      </c>
      <c r="D7572" s="633">
        <f t="shared" si="242"/>
        <v>4182.3050000000003</v>
      </c>
      <c r="E7572" s="608"/>
      <c r="F7572" s="760">
        <f t="shared" si="241"/>
        <v>1764.5901917164856</v>
      </c>
      <c r="M7572" s="443"/>
    </row>
    <row r="7573" spans="1:13">
      <c r="A7573" s="639">
        <v>111113</v>
      </c>
      <c r="B7573" s="639">
        <v>1000</v>
      </c>
      <c r="C7573" s="638">
        <v>4062.058</v>
      </c>
      <c r="D7573" s="633">
        <f t="shared" si="242"/>
        <v>4062.058</v>
      </c>
      <c r="E7573" s="608"/>
      <c r="F7573" s="760">
        <f t="shared" si="241"/>
        <v>1713.8558055865087</v>
      </c>
      <c r="M7573" s="443"/>
    </row>
    <row r="7574" spans="1:13">
      <c r="A7574" s="639">
        <v>111113</v>
      </c>
      <c r="B7574" s="639">
        <v>1100</v>
      </c>
      <c r="C7574" s="638">
        <v>3978.498</v>
      </c>
      <c r="D7574" s="633">
        <f t="shared" si="242"/>
        <v>3978.498</v>
      </c>
      <c r="E7574" s="608"/>
      <c r="F7574" s="760">
        <f t="shared" si="241"/>
        <v>1678.6003289008461</v>
      </c>
      <c r="M7574" s="443"/>
    </row>
    <row r="7575" spans="1:13">
      <c r="A7575" s="639">
        <v>111113</v>
      </c>
      <c r="B7575" s="639">
        <v>1200</v>
      </c>
      <c r="C7575" s="638">
        <v>3862.86</v>
      </c>
      <c r="D7575" s="633">
        <f t="shared" si="242"/>
        <v>3862.86</v>
      </c>
      <c r="E7575" s="608"/>
      <c r="F7575" s="760">
        <f t="shared" si="241"/>
        <v>1629.8105633075404</v>
      </c>
      <c r="M7575" s="443"/>
    </row>
    <row r="7576" spans="1:13">
      <c r="A7576" s="639">
        <v>111113</v>
      </c>
      <c r="B7576" s="639">
        <v>1300</v>
      </c>
      <c r="C7576" s="638">
        <v>3675.1010000000001</v>
      </c>
      <c r="D7576" s="633">
        <f t="shared" si="242"/>
        <v>3675.1010000000001</v>
      </c>
      <c r="E7576" s="608"/>
      <c r="F7576" s="760">
        <f t="shared" si="241"/>
        <v>1550.5916422086498</v>
      </c>
      <c r="M7576" s="443"/>
    </row>
    <row r="7577" spans="1:13">
      <c r="A7577" s="639">
        <v>111113</v>
      </c>
      <c r="B7577" s="639">
        <v>1400</v>
      </c>
      <c r="C7577" s="638">
        <v>3824.326</v>
      </c>
      <c r="D7577" s="633">
        <f t="shared" si="242"/>
        <v>3824.326</v>
      </c>
      <c r="E7577" s="608"/>
      <c r="F7577" s="760">
        <f t="shared" si="241"/>
        <v>1613.5523711270075</v>
      </c>
      <c r="M7577" s="443"/>
    </row>
    <row r="7578" spans="1:13">
      <c r="A7578" s="639">
        <v>111113</v>
      </c>
      <c r="B7578" s="639">
        <v>1500</v>
      </c>
      <c r="C7578" s="638">
        <v>3912.75</v>
      </c>
      <c r="D7578" s="633">
        <f t="shared" si="242"/>
        <v>3912.75</v>
      </c>
      <c r="E7578" s="608"/>
      <c r="F7578" s="760">
        <f t="shared" si="241"/>
        <v>1650.8600574656027</v>
      </c>
      <c r="M7578" s="443"/>
    </row>
    <row r="7579" spans="1:13">
      <c r="A7579" s="639">
        <v>111113</v>
      </c>
      <c r="B7579" s="639">
        <v>1600</v>
      </c>
      <c r="C7579" s="638">
        <v>4174.8890000000001</v>
      </c>
      <c r="D7579" s="633">
        <f t="shared" si="242"/>
        <v>4174.8890000000001</v>
      </c>
      <c r="E7579" s="608"/>
      <c r="F7579" s="760">
        <f t="shared" si="241"/>
        <v>1761.4612470647278</v>
      </c>
      <c r="M7579" s="443"/>
    </row>
    <row r="7580" spans="1:13">
      <c r="A7580" s="639">
        <v>111113</v>
      </c>
      <c r="B7580" s="639">
        <v>1700</v>
      </c>
      <c r="C7580" s="638">
        <v>4562.0690000000004</v>
      </c>
      <c r="D7580" s="633">
        <f t="shared" si="242"/>
        <v>4562.0690000000004</v>
      </c>
      <c r="E7580" s="608"/>
      <c r="F7580" s="760">
        <f t="shared" ref="F7580:F7643" si="243">(D7580/(MAX($D$7324:$D$8043)))*$M$14</f>
        <v>1924.8194981795532</v>
      </c>
      <c r="M7580" s="443"/>
    </row>
    <row r="7581" spans="1:13">
      <c r="A7581" s="639">
        <v>111113</v>
      </c>
      <c r="B7581" s="639">
        <v>1800</v>
      </c>
      <c r="C7581" s="638">
        <v>4937.6059999999998</v>
      </c>
      <c r="D7581" s="633">
        <f t="shared" si="242"/>
        <v>4937.6059999999998</v>
      </c>
      <c r="E7581" s="608"/>
      <c r="F7581" s="760">
        <f t="shared" si="243"/>
        <v>2083.2653568212909</v>
      </c>
      <c r="M7581" s="443"/>
    </row>
    <row r="7582" spans="1:13">
      <c r="A7582" s="639">
        <v>111113</v>
      </c>
      <c r="B7582" s="639">
        <v>1900</v>
      </c>
      <c r="C7582" s="638">
        <v>4982.3029999999999</v>
      </c>
      <c r="D7582" s="633">
        <f t="shared" si="242"/>
        <v>4982.3029999999999</v>
      </c>
      <c r="E7582" s="608"/>
      <c r="F7582" s="760">
        <f t="shared" si="243"/>
        <v>2102.1238302705374</v>
      </c>
      <c r="M7582" s="443"/>
    </row>
    <row r="7583" spans="1:13">
      <c r="A7583" s="639">
        <v>111113</v>
      </c>
      <c r="B7583" s="639">
        <v>2000</v>
      </c>
      <c r="C7583" s="638">
        <v>4943.027</v>
      </c>
      <c r="D7583" s="633">
        <f t="shared" si="242"/>
        <v>4943.027</v>
      </c>
      <c r="E7583" s="608"/>
      <c r="F7583" s="760">
        <f t="shared" si="243"/>
        <v>2085.5525748575878</v>
      </c>
      <c r="M7583" s="443"/>
    </row>
    <row r="7584" spans="1:13">
      <c r="A7584" s="639">
        <v>111113</v>
      </c>
      <c r="B7584" s="639">
        <v>2100</v>
      </c>
      <c r="C7584" s="638">
        <v>4845.5690000000004</v>
      </c>
      <c r="D7584" s="633">
        <f t="shared" si="242"/>
        <v>4845.5690000000004</v>
      </c>
      <c r="E7584" s="608"/>
      <c r="F7584" s="760">
        <f t="shared" si="243"/>
        <v>2044.4332803766006</v>
      </c>
      <c r="M7584" s="443"/>
    </row>
    <row r="7585" spans="1:13">
      <c r="A7585" s="639">
        <v>111113</v>
      </c>
      <c r="B7585" s="639">
        <v>2200</v>
      </c>
      <c r="C7585" s="638">
        <v>4567.59</v>
      </c>
      <c r="D7585" s="633">
        <f t="shared" si="242"/>
        <v>4567.59</v>
      </c>
      <c r="E7585" s="608"/>
      <c r="F7585" s="760">
        <f t="shared" si="243"/>
        <v>1927.1489080261485</v>
      </c>
      <c r="M7585" s="443"/>
    </row>
    <row r="7586" spans="1:13">
      <c r="A7586" s="639">
        <v>111113</v>
      </c>
      <c r="B7586" s="639">
        <v>2300</v>
      </c>
      <c r="C7586" s="638">
        <v>3988.4209999999998</v>
      </c>
      <c r="D7586" s="633">
        <f t="shared" si="242"/>
        <v>3988.4209999999998</v>
      </c>
      <c r="E7586" s="608"/>
      <c r="F7586" s="760">
        <f t="shared" si="243"/>
        <v>1682.7870222367942</v>
      </c>
      <c r="M7586" s="443"/>
    </row>
    <row r="7587" spans="1:13">
      <c r="A7587" s="639">
        <v>111113</v>
      </c>
      <c r="B7587" s="639">
        <v>2400</v>
      </c>
      <c r="C7587" s="638">
        <v>3493.087</v>
      </c>
      <c r="D7587" s="633">
        <f t="shared" si="242"/>
        <v>3493.087</v>
      </c>
      <c r="E7587" s="608"/>
      <c r="F7587" s="760">
        <f t="shared" si="243"/>
        <v>1473.7966406114244</v>
      </c>
      <c r="M7587" s="443"/>
    </row>
    <row r="7588" spans="1:13">
      <c r="A7588" s="639">
        <v>111213</v>
      </c>
      <c r="B7588" s="639">
        <v>100</v>
      </c>
      <c r="C7588" s="638">
        <v>3167.2049999999999</v>
      </c>
      <c r="D7588" s="633">
        <f t="shared" si="242"/>
        <v>3167.2049999999999</v>
      </c>
      <c r="E7588" s="608"/>
      <c r="F7588" s="760">
        <f t="shared" si="243"/>
        <v>1336.3011253735467</v>
      </c>
      <c r="M7588" s="443"/>
    </row>
    <row r="7589" spans="1:13">
      <c r="A7589" s="639">
        <v>111213</v>
      </c>
      <c r="B7589" s="639">
        <v>200</v>
      </c>
      <c r="C7589" s="638">
        <v>3284.886</v>
      </c>
      <c r="D7589" s="633">
        <f t="shared" si="242"/>
        <v>3284.886</v>
      </c>
      <c r="E7589" s="608"/>
      <c r="F7589" s="760">
        <f t="shared" si="243"/>
        <v>1385.9528696512566</v>
      </c>
      <c r="M7589" s="443"/>
    </row>
    <row r="7590" spans="1:13">
      <c r="A7590" s="639">
        <v>111213</v>
      </c>
      <c r="B7590" s="639">
        <v>300</v>
      </c>
      <c r="C7590" s="638">
        <v>3267.5439999999999</v>
      </c>
      <c r="D7590" s="633">
        <f t="shared" si="242"/>
        <v>3267.5439999999999</v>
      </c>
      <c r="E7590" s="608"/>
      <c r="F7590" s="760">
        <f t="shared" si="243"/>
        <v>1378.6359659092418</v>
      </c>
      <c r="M7590" s="443"/>
    </row>
    <row r="7591" spans="1:13">
      <c r="A7591" s="639">
        <v>111213</v>
      </c>
      <c r="B7591" s="639">
        <v>400</v>
      </c>
      <c r="C7591" s="638">
        <v>3295.7109999999998</v>
      </c>
      <c r="D7591" s="633">
        <f t="shared" si="242"/>
        <v>3295.7109999999998</v>
      </c>
      <c r="E7591" s="608"/>
      <c r="F7591" s="760">
        <f t="shared" si="243"/>
        <v>1390.5201331160997</v>
      </c>
      <c r="M7591" s="443"/>
    </row>
    <row r="7592" spans="1:13">
      <c r="A7592" s="639">
        <v>111213</v>
      </c>
      <c r="B7592" s="639">
        <v>500</v>
      </c>
      <c r="C7592" s="638">
        <v>3399.1370000000002</v>
      </c>
      <c r="D7592" s="633">
        <f t="shared" si="242"/>
        <v>3399.1370000000002</v>
      </c>
      <c r="E7592" s="608"/>
      <c r="F7592" s="760">
        <f t="shared" si="243"/>
        <v>1434.1574348357185</v>
      </c>
      <c r="M7592" s="443"/>
    </row>
    <row r="7593" spans="1:13">
      <c r="A7593" s="639">
        <v>111213</v>
      </c>
      <c r="B7593" s="639">
        <v>600</v>
      </c>
      <c r="C7593" s="638">
        <v>3770.7339999999999</v>
      </c>
      <c r="D7593" s="633">
        <f t="shared" si="242"/>
        <v>3770.7339999999999</v>
      </c>
      <c r="E7593" s="608"/>
      <c r="F7593" s="760">
        <f t="shared" si="243"/>
        <v>1590.9409361516844</v>
      </c>
      <c r="M7593" s="443"/>
    </row>
    <row r="7594" spans="1:13">
      <c r="A7594" s="639">
        <v>111213</v>
      </c>
      <c r="B7594" s="639">
        <v>700</v>
      </c>
      <c r="C7594" s="638">
        <v>4443.3590000000004</v>
      </c>
      <c r="D7594" s="633">
        <f t="shared" si="242"/>
        <v>4443.3590000000004</v>
      </c>
      <c r="E7594" s="608"/>
      <c r="F7594" s="760">
        <f t="shared" si="243"/>
        <v>1874.7336001738686</v>
      </c>
      <c r="M7594" s="443"/>
    </row>
    <row r="7595" spans="1:13">
      <c r="A7595" s="639">
        <v>111213</v>
      </c>
      <c r="B7595" s="639">
        <v>800</v>
      </c>
      <c r="C7595" s="638">
        <v>4501.5129999999999</v>
      </c>
      <c r="D7595" s="633">
        <f t="shared" si="242"/>
        <v>4501.5129999999999</v>
      </c>
      <c r="E7595" s="608"/>
      <c r="F7595" s="760">
        <f t="shared" si="243"/>
        <v>1899.2698255350222</v>
      </c>
      <c r="M7595" s="443"/>
    </row>
    <row r="7596" spans="1:13">
      <c r="A7596" s="639">
        <v>111213</v>
      </c>
      <c r="B7596" s="639">
        <v>900</v>
      </c>
      <c r="C7596" s="638">
        <v>4176.0360000000001</v>
      </c>
      <c r="D7596" s="633">
        <f t="shared" si="242"/>
        <v>4176.0360000000001</v>
      </c>
      <c r="E7596" s="608"/>
      <c r="F7596" s="760">
        <f t="shared" si="243"/>
        <v>1761.9451871288547</v>
      </c>
      <c r="M7596" s="443"/>
    </row>
    <row r="7597" spans="1:13">
      <c r="A7597" s="639">
        <v>111213</v>
      </c>
      <c r="B7597" s="639">
        <v>1000</v>
      </c>
      <c r="C7597" s="638">
        <v>3873.0590000000002</v>
      </c>
      <c r="D7597" s="633">
        <f t="shared" si="242"/>
        <v>3873.0590000000002</v>
      </c>
      <c r="E7597" s="608"/>
      <c r="F7597" s="760">
        <f t="shared" si="243"/>
        <v>1634.1137060399133</v>
      </c>
      <c r="M7597" s="443"/>
    </row>
    <row r="7598" spans="1:13">
      <c r="A7598" s="639">
        <v>111213</v>
      </c>
      <c r="B7598" s="639">
        <v>1100</v>
      </c>
      <c r="C7598" s="638">
        <v>3828.2890000000002</v>
      </c>
      <c r="D7598" s="633">
        <f t="shared" si="242"/>
        <v>3828.2890000000002</v>
      </c>
      <c r="E7598" s="608"/>
      <c r="F7598" s="760">
        <f t="shared" si="243"/>
        <v>1615.2244325691483</v>
      </c>
      <c r="M7598" s="443"/>
    </row>
    <row r="7599" spans="1:13">
      <c r="A7599" s="639">
        <v>111213</v>
      </c>
      <c r="B7599" s="639">
        <v>1200</v>
      </c>
      <c r="C7599" s="638">
        <v>3826.8609999999999</v>
      </c>
      <c r="D7599" s="633">
        <f t="shared" si="242"/>
        <v>3826.8609999999999</v>
      </c>
      <c r="E7599" s="608"/>
      <c r="F7599" s="760">
        <f t="shared" si="243"/>
        <v>1614.6219335180817</v>
      </c>
      <c r="M7599" s="443"/>
    </row>
    <row r="7600" spans="1:13">
      <c r="A7600" s="639">
        <v>111213</v>
      </c>
      <c r="B7600" s="639">
        <v>1300</v>
      </c>
      <c r="C7600" s="638">
        <v>3733.3409999999999</v>
      </c>
      <c r="D7600" s="633">
        <f t="shared" si="242"/>
        <v>3733.3409999999999</v>
      </c>
      <c r="E7600" s="608"/>
      <c r="F7600" s="760">
        <f t="shared" si="243"/>
        <v>1575.1641525266605</v>
      </c>
      <c r="M7600" s="443"/>
    </row>
    <row r="7601" spans="1:13">
      <c r="A7601" s="639">
        <v>111213</v>
      </c>
      <c r="B7601" s="639">
        <v>1400</v>
      </c>
      <c r="C7601" s="638">
        <v>3799.3440000000001</v>
      </c>
      <c r="D7601" s="633">
        <f t="shared" si="242"/>
        <v>3799.3440000000001</v>
      </c>
      <c r="E7601" s="608"/>
      <c r="F7601" s="760">
        <f t="shared" si="243"/>
        <v>1603.0120130781659</v>
      </c>
      <c r="M7601" s="443"/>
    </row>
    <row r="7602" spans="1:13">
      <c r="A7602" s="639">
        <v>111213</v>
      </c>
      <c r="B7602" s="639">
        <v>1500</v>
      </c>
      <c r="C7602" s="638">
        <v>3943.69</v>
      </c>
      <c r="D7602" s="633">
        <f t="shared" si="242"/>
        <v>3943.69</v>
      </c>
      <c r="E7602" s="608"/>
      <c r="F7602" s="760">
        <f t="shared" si="243"/>
        <v>1663.9142035720461</v>
      </c>
      <c r="M7602" s="443"/>
    </row>
    <row r="7603" spans="1:13">
      <c r="A7603" s="639">
        <v>111213</v>
      </c>
      <c r="B7603" s="639">
        <v>1600</v>
      </c>
      <c r="C7603" s="638">
        <v>3989.1089999999999</v>
      </c>
      <c r="D7603" s="633">
        <f t="shared" si="242"/>
        <v>3989.1089999999999</v>
      </c>
      <c r="E7603" s="608"/>
      <c r="F7603" s="760">
        <f t="shared" si="243"/>
        <v>1683.07730189165</v>
      </c>
      <c r="M7603" s="443"/>
    </row>
    <row r="7604" spans="1:13">
      <c r="A7604" s="639">
        <v>111213</v>
      </c>
      <c r="B7604" s="639">
        <v>1700</v>
      </c>
      <c r="C7604" s="638">
        <v>4462.0720000000001</v>
      </c>
      <c r="D7604" s="633">
        <f t="shared" si="242"/>
        <v>4462.0720000000001</v>
      </c>
      <c r="E7604" s="608"/>
      <c r="F7604" s="760">
        <f t="shared" si="243"/>
        <v>1882.6289536350796</v>
      </c>
      <c r="M7604" s="443"/>
    </row>
    <row r="7605" spans="1:13">
      <c r="A7605" s="639">
        <v>111213</v>
      </c>
      <c r="B7605" s="639">
        <v>1800</v>
      </c>
      <c r="C7605" s="638">
        <v>4966.1049999999996</v>
      </c>
      <c r="D7605" s="633">
        <f t="shared" si="242"/>
        <v>4966.1049999999996</v>
      </c>
      <c r="E7605" s="608"/>
      <c r="F7605" s="760">
        <f t="shared" si="243"/>
        <v>2095.2896008383404</v>
      </c>
      <c r="M7605" s="443"/>
    </row>
    <row r="7606" spans="1:13">
      <c r="A7606" s="639">
        <v>111213</v>
      </c>
      <c r="B7606" s="639">
        <v>1900</v>
      </c>
      <c r="C7606" s="638">
        <v>5162.5420000000004</v>
      </c>
      <c r="D7606" s="633">
        <f t="shared" si="242"/>
        <v>5162.5420000000004</v>
      </c>
      <c r="E7606" s="608"/>
      <c r="F7606" s="760">
        <f t="shared" si="243"/>
        <v>2178.1699272349597</v>
      </c>
      <c r="M7606" s="443"/>
    </row>
    <row r="7607" spans="1:13">
      <c r="A7607" s="639">
        <v>111213</v>
      </c>
      <c r="B7607" s="639">
        <v>2000</v>
      </c>
      <c r="C7607" s="638">
        <v>5038.3469999999998</v>
      </c>
      <c r="D7607" s="633">
        <f t="shared" si="242"/>
        <v>5038.3469999999998</v>
      </c>
      <c r="E7607" s="608"/>
      <c r="F7607" s="760">
        <f t="shared" si="243"/>
        <v>2125.769808434387</v>
      </c>
      <c r="M7607" s="443"/>
    </row>
    <row r="7608" spans="1:13">
      <c r="A7608" s="639">
        <v>111213</v>
      </c>
      <c r="B7608" s="639">
        <v>2100</v>
      </c>
      <c r="C7608" s="638">
        <v>4954.3180000000002</v>
      </c>
      <c r="D7608" s="633">
        <f t="shared" si="242"/>
        <v>4954.3180000000002</v>
      </c>
      <c r="E7608" s="608"/>
      <c r="F7608" s="760">
        <f t="shared" si="243"/>
        <v>2090.3164521584231</v>
      </c>
      <c r="M7608" s="443"/>
    </row>
    <row r="7609" spans="1:13">
      <c r="A7609" s="639">
        <v>111213</v>
      </c>
      <c r="B7609" s="639">
        <v>2200</v>
      </c>
      <c r="C7609" s="638">
        <v>4640.1220000000003</v>
      </c>
      <c r="D7609" s="633">
        <f t="shared" si="242"/>
        <v>4640.1220000000003</v>
      </c>
      <c r="E7609" s="608"/>
      <c r="F7609" s="760">
        <f t="shared" si="243"/>
        <v>1957.7514718720615</v>
      </c>
      <c r="M7609" s="443"/>
    </row>
    <row r="7610" spans="1:13">
      <c r="A7610" s="639">
        <v>111213</v>
      </c>
      <c r="B7610" s="639">
        <v>2300</v>
      </c>
      <c r="C7610" s="638">
        <v>4161.7749999999996</v>
      </c>
      <c r="D7610" s="633">
        <f t="shared" si="242"/>
        <v>4161.7749999999996</v>
      </c>
      <c r="E7610" s="608"/>
      <c r="F7610" s="760">
        <f t="shared" si="243"/>
        <v>1755.9282130621452</v>
      </c>
      <c r="M7610" s="443"/>
    </row>
    <row r="7611" spans="1:13">
      <c r="A7611" s="639">
        <v>111213</v>
      </c>
      <c r="B7611" s="639">
        <v>2400</v>
      </c>
      <c r="C7611" s="638">
        <v>3709.1419999999998</v>
      </c>
      <c r="D7611" s="633">
        <f t="shared" si="242"/>
        <v>3709.1419999999998</v>
      </c>
      <c r="E7611" s="608"/>
      <c r="F7611" s="760">
        <f t="shared" si="243"/>
        <v>1564.9541563524581</v>
      </c>
      <c r="M7611" s="443"/>
    </row>
    <row r="7612" spans="1:13">
      <c r="A7612" s="639">
        <v>111313</v>
      </c>
      <c r="B7612" s="639">
        <v>100</v>
      </c>
      <c r="C7612" s="638">
        <v>3453.3420000000001</v>
      </c>
      <c r="D7612" s="633">
        <f t="shared" si="242"/>
        <v>3453.3420000000001</v>
      </c>
      <c r="E7612" s="608"/>
      <c r="F7612" s="760">
        <f t="shared" si="243"/>
        <v>1457.0275056081732</v>
      </c>
      <c r="M7612" s="443"/>
    </row>
    <row r="7613" spans="1:13">
      <c r="A7613" s="639">
        <v>111313</v>
      </c>
      <c r="B7613" s="639">
        <v>200</v>
      </c>
      <c r="C7613" s="638">
        <v>3531.252</v>
      </c>
      <c r="D7613" s="633">
        <f t="shared" si="242"/>
        <v>3531.252</v>
      </c>
      <c r="E7613" s="608"/>
      <c r="F7613" s="760">
        <f t="shared" si="243"/>
        <v>1489.8991450119545</v>
      </c>
      <c r="M7613" s="443"/>
    </row>
    <row r="7614" spans="1:13">
      <c r="A7614" s="639">
        <v>111313</v>
      </c>
      <c r="B7614" s="639">
        <v>300</v>
      </c>
      <c r="C7614" s="638">
        <v>3490.442</v>
      </c>
      <c r="D7614" s="633">
        <f t="shared" si="242"/>
        <v>3490.442</v>
      </c>
      <c r="E7614" s="608"/>
      <c r="F7614" s="760">
        <f t="shared" si="243"/>
        <v>1472.6806672290215</v>
      </c>
      <c r="M7614" s="443"/>
    </row>
    <row r="7615" spans="1:13">
      <c r="A7615" s="639">
        <v>111313</v>
      </c>
      <c r="B7615" s="639">
        <v>400</v>
      </c>
      <c r="C7615" s="638">
        <v>3504.7359999999999</v>
      </c>
      <c r="D7615" s="633">
        <f t="shared" si="242"/>
        <v>3504.7359999999999</v>
      </c>
      <c r="E7615" s="608"/>
      <c r="F7615" s="760">
        <f t="shared" si="243"/>
        <v>1478.7115645931294</v>
      </c>
      <c r="M7615" s="443"/>
    </row>
    <row r="7616" spans="1:13">
      <c r="A7616" s="639">
        <v>111313</v>
      </c>
      <c r="B7616" s="639">
        <v>500</v>
      </c>
      <c r="C7616" s="638">
        <v>3514.89</v>
      </c>
      <c r="D7616" s="633">
        <f t="shared" si="242"/>
        <v>3514.89</v>
      </c>
      <c r="E7616" s="608"/>
      <c r="F7616" s="760">
        <f t="shared" si="243"/>
        <v>1482.9957210108676</v>
      </c>
      <c r="M7616" s="443"/>
    </row>
    <row r="7617" spans="1:13">
      <c r="A7617" s="639">
        <v>111313</v>
      </c>
      <c r="B7617" s="639">
        <v>600</v>
      </c>
      <c r="C7617" s="638">
        <v>3872.2429999999999</v>
      </c>
      <c r="D7617" s="633">
        <f t="shared" si="242"/>
        <v>3872.2429999999999</v>
      </c>
      <c r="E7617" s="608"/>
      <c r="F7617" s="760">
        <f t="shared" si="243"/>
        <v>1633.7694208678752</v>
      </c>
      <c r="M7617" s="443"/>
    </row>
    <row r="7618" spans="1:13">
      <c r="A7618" s="639">
        <v>111313</v>
      </c>
      <c r="B7618" s="639">
        <v>700</v>
      </c>
      <c r="C7618" s="638">
        <v>4496.0050000000001</v>
      </c>
      <c r="D7618" s="633">
        <f t="shared" si="242"/>
        <v>4496.0050000000001</v>
      </c>
      <c r="E7618" s="608"/>
      <c r="F7618" s="760">
        <f t="shared" si="243"/>
        <v>1896.9459006237655</v>
      </c>
      <c r="M7618" s="443"/>
    </row>
    <row r="7619" spans="1:13">
      <c r="A7619" s="639">
        <v>111313</v>
      </c>
      <c r="B7619" s="639">
        <v>800</v>
      </c>
      <c r="C7619" s="638">
        <v>4658.3140000000003</v>
      </c>
      <c r="D7619" s="633">
        <f t="shared" si="242"/>
        <v>4658.3140000000003</v>
      </c>
      <c r="E7619" s="608"/>
      <c r="F7619" s="760">
        <f t="shared" si="243"/>
        <v>1965.4270060016158</v>
      </c>
      <c r="M7619" s="443"/>
    </row>
    <row r="7620" spans="1:13">
      <c r="A7620" s="639">
        <v>111313</v>
      </c>
      <c r="B7620" s="639">
        <v>900</v>
      </c>
      <c r="C7620" s="638">
        <v>4533.4610000000002</v>
      </c>
      <c r="D7620" s="633">
        <f t="shared" si="242"/>
        <v>4533.4610000000002</v>
      </c>
      <c r="E7620" s="608"/>
      <c r="F7620" s="760">
        <f t="shared" si="243"/>
        <v>1912.7492650892773</v>
      </c>
      <c r="M7620" s="443"/>
    </row>
    <row r="7621" spans="1:13">
      <c r="A7621" s="639">
        <v>111313</v>
      </c>
      <c r="B7621" s="639">
        <v>1000</v>
      </c>
      <c r="C7621" s="638">
        <v>4117.4579999999996</v>
      </c>
      <c r="D7621" s="633">
        <f t="shared" ref="D7621:D7684" si="244">C7621</f>
        <v>4117.4579999999996</v>
      </c>
      <c r="E7621" s="608"/>
      <c r="F7621" s="760">
        <f t="shared" si="243"/>
        <v>1737.2300684920338</v>
      </c>
      <c r="M7621" s="443"/>
    </row>
    <row r="7622" spans="1:13">
      <c r="A7622" s="639">
        <v>111313</v>
      </c>
      <c r="B7622" s="639">
        <v>1100</v>
      </c>
      <c r="C7622" s="638">
        <v>3946.8530000000001</v>
      </c>
      <c r="D7622" s="633">
        <f t="shared" si="244"/>
        <v>3946.8530000000001</v>
      </c>
      <c r="E7622" s="608"/>
      <c r="F7622" s="760">
        <f t="shared" si="243"/>
        <v>1665.2487305317966</v>
      </c>
      <c r="M7622" s="443"/>
    </row>
    <row r="7623" spans="1:13">
      <c r="A7623" s="639">
        <v>111313</v>
      </c>
      <c r="B7623" s="639">
        <v>1200</v>
      </c>
      <c r="C7623" s="638">
        <v>3735.3789999999999</v>
      </c>
      <c r="D7623" s="633">
        <f t="shared" si="244"/>
        <v>3735.3789999999999</v>
      </c>
      <c r="E7623" s="608"/>
      <c r="F7623" s="760">
        <f t="shared" si="243"/>
        <v>1576.0240216205498</v>
      </c>
      <c r="M7623" s="443"/>
    </row>
    <row r="7624" spans="1:13">
      <c r="A7624" s="639">
        <v>111313</v>
      </c>
      <c r="B7624" s="639">
        <v>1300</v>
      </c>
      <c r="C7624" s="638">
        <v>3545.6</v>
      </c>
      <c r="D7624" s="633">
        <f t="shared" si="244"/>
        <v>3545.6</v>
      </c>
      <c r="E7624" s="608"/>
      <c r="F7624" s="760">
        <f t="shared" si="243"/>
        <v>1495.9528259536237</v>
      </c>
      <c r="M7624" s="443"/>
    </row>
    <row r="7625" spans="1:13">
      <c r="A7625" s="639">
        <v>111313</v>
      </c>
      <c r="B7625" s="639">
        <v>1400</v>
      </c>
      <c r="C7625" s="638">
        <v>3539.203</v>
      </c>
      <c r="D7625" s="633">
        <f t="shared" si="244"/>
        <v>3539.203</v>
      </c>
      <c r="E7625" s="608"/>
      <c r="F7625" s="760">
        <f t="shared" si="243"/>
        <v>1493.2538158488107</v>
      </c>
      <c r="M7625" s="443"/>
    </row>
    <row r="7626" spans="1:13">
      <c r="A7626" s="639">
        <v>111313</v>
      </c>
      <c r="B7626" s="639">
        <v>1500</v>
      </c>
      <c r="C7626" s="638">
        <v>3531.1329999999998</v>
      </c>
      <c r="D7626" s="633">
        <f t="shared" si="244"/>
        <v>3531.1329999999998</v>
      </c>
      <c r="E7626" s="608"/>
      <c r="F7626" s="760">
        <f t="shared" si="243"/>
        <v>1489.8489367576988</v>
      </c>
      <c r="M7626" s="443"/>
    </row>
    <row r="7627" spans="1:13">
      <c r="A7627" s="639">
        <v>111313</v>
      </c>
      <c r="B7627" s="639">
        <v>1600</v>
      </c>
      <c r="C7627" s="638">
        <v>3801.9830000000002</v>
      </c>
      <c r="D7627" s="633">
        <f t="shared" si="244"/>
        <v>3801.9830000000002</v>
      </c>
      <c r="E7627" s="608"/>
      <c r="F7627" s="760">
        <f t="shared" si="243"/>
        <v>1604.1254549519506</v>
      </c>
      <c r="M7627" s="443"/>
    </row>
    <row r="7628" spans="1:13">
      <c r="A7628" s="639">
        <v>111313</v>
      </c>
      <c r="B7628" s="639">
        <v>1700</v>
      </c>
      <c r="C7628" s="638">
        <v>4397.0919999999996</v>
      </c>
      <c r="D7628" s="633">
        <f t="shared" si="244"/>
        <v>4397.0919999999996</v>
      </c>
      <c r="E7628" s="608"/>
      <c r="F7628" s="760">
        <f t="shared" si="243"/>
        <v>1855.2127153029307</v>
      </c>
      <c r="M7628" s="443"/>
    </row>
    <row r="7629" spans="1:13">
      <c r="A7629" s="639">
        <v>111313</v>
      </c>
      <c r="B7629" s="639">
        <v>1800</v>
      </c>
      <c r="C7629" s="638">
        <v>4968.1480000000001</v>
      </c>
      <c r="D7629" s="633">
        <f t="shared" si="244"/>
        <v>4968.1480000000001</v>
      </c>
      <c r="E7629" s="608"/>
      <c r="F7629" s="760">
        <f t="shared" si="243"/>
        <v>2096.1515795227447</v>
      </c>
      <c r="M7629" s="443"/>
    </row>
    <row r="7630" spans="1:13">
      <c r="A7630" s="639">
        <v>111313</v>
      </c>
      <c r="B7630" s="639">
        <v>1900</v>
      </c>
      <c r="C7630" s="638">
        <v>5085.03</v>
      </c>
      <c r="D7630" s="633">
        <f t="shared" si="244"/>
        <v>5085.03</v>
      </c>
      <c r="E7630" s="608"/>
      <c r="F7630" s="760">
        <f t="shared" si="243"/>
        <v>2145.4662112361675</v>
      </c>
      <c r="M7630" s="443"/>
    </row>
    <row r="7631" spans="1:13">
      <c r="A7631" s="639">
        <v>111313</v>
      </c>
      <c r="B7631" s="639">
        <v>2000</v>
      </c>
      <c r="C7631" s="638">
        <v>5106.4110000000001</v>
      </c>
      <c r="D7631" s="633">
        <f t="shared" si="244"/>
        <v>5106.4110000000001</v>
      </c>
      <c r="E7631" s="608"/>
      <c r="F7631" s="760">
        <f t="shared" si="243"/>
        <v>2154.48724219615</v>
      </c>
      <c r="M7631" s="443"/>
    </row>
    <row r="7632" spans="1:13">
      <c r="A7632" s="639">
        <v>111313</v>
      </c>
      <c r="B7632" s="639">
        <v>2100</v>
      </c>
      <c r="C7632" s="638">
        <v>4956.5640000000003</v>
      </c>
      <c r="D7632" s="633">
        <f t="shared" si="244"/>
        <v>4956.5640000000003</v>
      </c>
      <c r="E7632" s="608"/>
      <c r="F7632" s="760">
        <f t="shared" si="243"/>
        <v>2091.2640802177343</v>
      </c>
      <c r="M7632" s="443"/>
    </row>
    <row r="7633" spans="1:13">
      <c r="A7633" s="639">
        <v>111313</v>
      </c>
      <c r="B7633" s="639">
        <v>2200</v>
      </c>
      <c r="C7633" s="638">
        <v>4774.83</v>
      </c>
      <c r="D7633" s="633">
        <f t="shared" si="244"/>
        <v>4774.83</v>
      </c>
      <c r="E7633" s="608"/>
      <c r="F7633" s="760">
        <f t="shared" si="243"/>
        <v>2014.5872156893449</v>
      </c>
      <c r="M7633" s="443"/>
    </row>
    <row r="7634" spans="1:13">
      <c r="A7634" s="639">
        <v>111313</v>
      </c>
      <c r="B7634" s="639">
        <v>2300</v>
      </c>
      <c r="C7634" s="638">
        <v>4241.3090000000002</v>
      </c>
      <c r="D7634" s="633">
        <f t="shared" si="244"/>
        <v>4241.3090000000002</v>
      </c>
      <c r="E7634" s="608"/>
      <c r="F7634" s="760">
        <f t="shared" si="243"/>
        <v>1789.4850474651789</v>
      </c>
      <c r="M7634" s="443"/>
    </row>
    <row r="7635" spans="1:13">
      <c r="A7635" s="639">
        <v>111313</v>
      </c>
      <c r="B7635" s="639">
        <v>2400</v>
      </c>
      <c r="C7635" s="638">
        <v>3588.7429999999999</v>
      </c>
      <c r="D7635" s="633">
        <f t="shared" si="244"/>
        <v>3588.7429999999999</v>
      </c>
      <c r="E7635" s="608"/>
      <c r="F7635" s="760">
        <f t="shared" si="243"/>
        <v>1514.1556386708276</v>
      </c>
      <c r="M7635" s="443"/>
    </row>
    <row r="7636" spans="1:13">
      <c r="A7636" s="639">
        <v>111413</v>
      </c>
      <c r="B7636" s="639">
        <v>100</v>
      </c>
      <c r="C7636" s="638">
        <v>3284.3229999999999</v>
      </c>
      <c r="D7636" s="633">
        <f t="shared" si="244"/>
        <v>3284.3229999999999</v>
      </c>
      <c r="E7636" s="608"/>
      <c r="F7636" s="760">
        <f t="shared" si="243"/>
        <v>1385.7153297592743</v>
      </c>
      <c r="M7636" s="443"/>
    </row>
    <row r="7637" spans="1:13">
      <c r="A7637" s="639">
        <v>111413</v>
      </c>
      <c r="B7637" s="639">
        <v>200</v>
      </c>
      <c r="C7637" s="638">
        <v>3427.6280000000002</v>
      </c>
      <c r="D7637" s="633">
        <f t="shared" si="244"/>
        <v>3427.6280000000002</v>
      </c>
      <c r="E7637" s="608"/>
      <c r="F7637" s="760">
        <f t="shared" si="243"/>
        <v>1446.1783035079445</v>
      </c>
      <c r="M7637" s="443"/>
    </row>
    <row r="7638" spans="1:13">
      <c r="A7638" s="639">
        <v>111413</v>
      </c>
      <c r="B7638" s="639">
        <v>300</v>
      </c>
      <c r="C7638" s="638">
        <v>3395.6930000000002</v>
      </c>
      <c r="D7638" s="633">
        <f t="shared" si="244"/>
        <v>3395.6930000000002</v>
      </c>
      <c r="E7638" s="608"/>
      <c r="F7638" s="760">
        <f t="shared" si="243"/>
        <v>1432.7043488890286</v>
      </c>
      <c r="M7638" s="443"/>
    </row>
    <row r="7639" spans="1:13">
      <c r="A7639" s="639">
        <v>111413</v>
      </c>
      <c r="B7639" s="639">
        <v>400</v>
      </c>
      <c r="C7639" s="638">
        <v>3408.9279999999999</v>
      </c>
      <c r="D7639" s="633">
        <f t="shared" si="244"/>
        <v>3408.9279999999999</v>
      </c>
      <c r="E7639" s="608"/>
      <c r="F7639" s="760">
        <f t="shared" si="243"/>
        <v>1438.288434982072</v>
      </c>
      <c r="M7639" s="443"/>
    </row>
    <row r="7640" spans="1:13">
      <c r="A7640" s="639">
        <v>111413</v>
      </c>
      <c r="B7640" s="639">
        <v>500</v>
      </c>
      <c r="C7640" s="638">
        <v>3485.4119999999998</v>
      </c>
      <c r="D7640" s="633">
        <f t="shared" si="244"/>
        <v>3485.4119999999998</v>
      </c>
      <c r="E7640" s="608"/>
      <c r="F7640" s="760">
        <f t="shared" si="243"/>
        <v>1470.5584191709927</v>
      </c>
      <c r="M7640" s="443"/>
    </row>
    <row r="7641" spans="1:13">
      <c r="A7641" s="639">
        <v>111413</v>
      </c>
      <c r="B7641" s="639">
        <v>600</v>
      </c>
      <c r="C7641" s="638">
        <v>3820.5129999999999</v>
      </c>
      <c r="D7641" s="633">
        <f t="shared" si="244"/>
        <v>3820.5129999999999</v>
      </c>
      <c r="E7641" s="608"/>
      <c r="F7641" s="760">
        <f t="shared" si="243"/>
        <v>1611.943597400315</v>
      </c>
      <c r="M7641" s="443"/>
    </row>
    <row r="7642" spans="1:13">
      <c r="A7642" s="639">
        <v>111413</v>
      </c>
      <c r="B7642" s="639">
        <v>700</v>
      </c>
      <c r="C7642" s="638">
        <v>4453.72</v>
      </c>
      <c r="D7642" s="633">
        <f t="shared" si="244"/>
        <v>4453.72</v>
      </c>
      <c r="E7642" s="608"/>
      <c r="F7642" s="760">
        <f t="shared" si="243"/>
        <v>1879.1050936389252</v>
      </c>
      <c r="M7642" s="443"/>
    </row>
    <row r="7643" spans="1:13">
      <c r="A7643" s="639">
        <v>111413</v>
      </c>
      <c r="B7643" s="639">
        <v>800</v>
      </c>
      <c r="C7643" s="638">
        <v>4543.3760000000002</v>
      </c>
      <c r="D7643" s="633">
        <f t="shared" si="244"/>
        <v>4543.3760000000002</v>
      </c>
      <c r="E7643" s="608"/>
      <c r="F7643" s="760">
        <f t="shared" si="243"/>
        <v>1916.9325830804014</v>
      </c>
      <c r="M7643" s="443"/>
    </row>
    <row r="7644" spans="1:13">
      <c r="A7644" s="639">
        <v>111413</v>
      </c>
      <c r="B7644" s="639">
        <v>900</v>
      </c>
      <c r="C7644" s="638">
        <v>4118.5360000000001</v>
      </c>
      <c r="D7644" s="633">
        <f t="shared" si="244"/>
        <v>4118.5360000000001</v>
      </c>
      <c r="E7644" s="608"/>
      <c r="F7644" s="760">
        <f t="shared" ref="F7644:F7707" si="245">(D7644/(MAX($D$7324:$D$8043)))*$M$14</f>
        <v>1737.6848962070549</v>
      </c>
      <c r="M7644" s="443"/>
    </row>
    <row r="7645" spans="1:13">
      <c r="A7645" s="639">
        <v>111413</v>
      </c>
      <c r="B7645" s="639">
        <v>1000</v>
      </c>
      <c r="C7645" s="638">
        <v>3801.8180000000002</v>
      </c>
      <c r="D7645" s="633">
        <f t="shared" si="244"/>
        <v>3801.8180000000002</v>
      </c>
      <c r="E7645" s="608"/>
      <c r="F7645" s="760">
        <f t="shared" si="245"/>
        <v>1604.0558384649578</v>
      </c>
      <c r="M7645" s="443"/>
    </row>
    <row r="7646" spans="1:13">
      <c r="A7646" s="639">
        <v>111413</v>
      </c>
      <c r="B7646" s="639">
        <v>1100</v>
      </c>
      <c r="C7646" s="638">
        <v>3591.0810000000001</v>
      </c>
      <c r="D7646" s="633">
        <f t="shared" si="244"/>
        <v>3591.0810000000001</v>
      </c>
      <c r="E7646" s="608"/>
      <c r="F7646" s="760">
        <f t="shared" si="245"/>
        <v>1515.1420831956129</v>
      </c>
      <c r="M7646" s="443"/>
    </row>
    <row r="7647" spans="1:13">
      <c r="A7647" s="639">
        <v>111413</v>
      </c>
      <c r="B7647" s="639">
        <v>1200</v>
      </c>
      <c r="C7647" s="638">
        <v>3468.8150000000001</v>
      </c>
      <c r="D7647" s="633">
        <f t="shared" si="244"/>
        <v>3468.8150000000001</v>
      </c>
      <c r="E7647" s="608"/>
      <c r="F7647" s="760">
        <f t="shared" si="245"/>
        <v>1463.5558444157039</v>
      </c>
      <c r="M7647" s="443"/>
    </row>
    <row r="7648" spans="1:13">
      <c r="A7648" s="639">
        <v>111413</v>
      </c>
      <c r="B7648" s="639">
        <v>1300</v>
      </c>
      <c r="C7648" s="638">
        <v>3330.942</v>
      </c>
      <c r="D7648" s="633">
        <f t="shared" si="244"/>
        <v>3330.942</v>
      </c>
      <c r="E7648" s="608"/>
      <c r="F7648" s="760">
        <f t="shared" si="245"/>
        <v>1405.3847298024637</v>
      </c>
      <c r="M7648" s="443"/>
    </row>
    <row r="7649" spans="1:13">
      <c r="A7649" s="639">
        <v>111413</v>
      </c>
      <c r="B7649" s="639">
        <v>1400</v>
      </c>
      <c r="C7649" s="638">
        <v>3270.3180000000002</v>
      </c>
      <c r="D7649" s="633">
        <f t="shared" si="244"/>
        <v>3270.3180000000002</v>
      </c>
      <c r="E7649" s="608"/>
      <c r="F7649" s="760">
        <f t="shared" si="245"/>
        <v>1379.8063667269303</v>
      </c>
      <c r="M7649" s="443"/>
    </row>
    <row r="7650" spans="1:13">
      <c r="A7650" s="639">
        <v>111413</v>
      </c>
      <c r="B7650" s="639">
        <v>1500</v>
      </c>
      <c r="C7650" s="638">
        <v>3261.1840000000002</v>
      </c>
      <c r="D7650" s="633">
        <f t="shared" si="244"/>
        <v>3261.1840000000002</v>
      </c>
      <c r="E7650" s="608"/>
      <c r="F7650" s="760">
        <f t="shared" si="245"/>
        <v>1375.9525667742394</v>
      </c>
      <c r="M7650" s="443"/>
    </row>
    <row r="7651" spans="1:13">
      <c r="A7651" s="639">
        <v>111413</v>
      </c>
      <c r="B7651" s="639">
        <v>1600</v>
      </c>
      <c r="C7651" s="638">
        <v>3499.4360000000001</v>
      </c>
      <c r="D7651" s="633">
        <f t="shared" si="244"/>
        <v>3499.4360000000001</v>
      </c>
      <c r="E7651" s="608"/>
      <c r="F7651" s="760">
        <f t="shared" si="245"/>
        <v>1476.4753986472942</v>
      </c>
      <c r="M7651" s="443"/>
    </row>
    <row r="7652" spans="1:13">
      <c r="A7652" s="639">
        <v>111413</v>
      </c>
      <c r="B7652" s="639">
        <v>1700</v>
      </c>
      <c r="C7652" s="638">
        <v>4012.37</v>
      </c>
      <c r="D7652" s="633">
        <f t="shared" si="244"/>
        <v>4012.37</v>
      </c>
      <c r="E7652" s="608"/>
      <c r="F7652" s="760">
        <f t="shared" si="245"/>
        <v>1692.8915388852495</v>
      </c>
      <c r="M7652" s="443"/>
    </row>
    <row r="7653" spans="1:13">
      <c r="A7653" s="639">
        <v>111413</v>
      </c>
      <c r="B7653" s="639">
        <v>1800</v>
      </c>
      <c r="C7653" s="638">
        <v>4567.3999999999996</v>
      </c>
      <c r="D7653" s="633">
        <f t="shared" si="244"/>
        <v>4567.3999999999996</v>
      </c>
      <c r="E7653" s="608"/>
      <c r="F7653" s="760">
        <f t="shared" si="245"/>
        <v>1927.0687435865807</v>
      </c>
      <c r="M7653" s="443"/>
    </row>
    <row r="7654" spans="1:13">
      <c r="A7654" s="639">
        <v>111413</v>
      </c>
      <c r="B7654" s="639">
        <v>1900</v>
      </c>
      <c r="C7654" s="638">
        <v>4756.9629999999997</v>
      </c>
      <c r="D7654" s="633">
        <f t="shared" si="244"/>
        <v>4756.9629999999997</v>
      </c>
      <c r="E7654" s="608"/>
      <c r="F7654" s="760">
        <f t="shared" si="245"/>
        <v>2007.0488049432615</v>
      </c>
      <c r="M7654" s="443"/>
    </row>
    <row r="7655" spans="1:13">
      <c r="A7655" s="639">
        <v>111413</v>
      </c>
      <c r="B7655" s="639">
        <v>2000</v>
      </c>
      <c r="C7655" s="638">
        <v>4689.5950000000003</v>
      </c>
      <c r="D7655" s="633">
        <f t="shared" si="244"/>
        <v>4689.5950000000003</v>
      </c>
      <c r="E7655" s="608"/>
      <c r="F7655" s="760">
        <f t="shared" si="245"/>
        <v>1978.6250261811781</v>
      </c>
      <c r="M7655" s="443"/>
    </row>
    <row r="7656" spans="1:13">
      <c r="A7656" s="639">
        <v>111413</v>
      </c>
      <c r="B7656" s="639">
        <v>2100</v>
      </c>
      <c r="C7656" s="638">
        <v>4557.625</v>
      </c>
      <c r="D7656" s="633">
        <f t="shared" si="244"/>
        <v>4557.625</v>
      </c>
      <c r="E7656" s="608"/>
      <c r="F7656" s="760">
        <f t="shared" si="245"/>
        <v>1922.9444941298748</v>
      </c>
      <c r="M7656" s="443"/>
    </row>
    <row r="7657" spans="1:13">
      <c r="A7657" s="639">
        <v>111413</v>
      </c>
      <c r="B7657" s="639">
        <v>2200</v>
      </c>
      <c r="C7657" s="638">
        <v>4173.4179999999997</v>
      </c>
      <c r="D7657" s="633">
        <f t="shared" si="244"/>
        <v>4173.4179999999997</v>
      </c>
      <c r="E7657" s="608"/>
      <c r="F7657" s="760">
        <f t="shared" si="245"/>
        <v>1760.8406055352325</v>
      </c>
      <c r="M7657" s="443"/>
    </row>
    <row r="7658" spans="1:13">
      <c r="A7658" s="639">
        <v>111413</v>
      </c>
      <c r="B7658" s="639">
        <v>2300</v>
      </c>
      <c r="C7658" s="638">
        <v>3768.797</v>
      </c>
      <c r="D7658" s="633">
        <f t="shared" si="244"/>
        <v>3768.797</v>
      </c>
      <c r="E7658" s="608"/>
      <c r="F7658" s="760">
        <f t="shared" si="245"/>
        <v>1590.1236807861967</v>
      </c>
      <c r="M7658" s="443"/>
    </row>
    <row r="7659" spans="1:13">
      <c r="A7659" s="639">
        <v>111413</v>
      </c>
      <c r="B7659" s="639">
        <v>2400</v>
      </c>
      <c r="C7659" s="638">
        <v>3248.4430000000002</v>
      </c>
      <c r="D7659" s="633">
        <f t="shared" si="244"/>
        <v>3248.4430000000002</v>
      </c>
      <c r="E7659" s="608"/>
      <c r="F7659" s="760">
        <f t="shared" si="245"/>
        <v>1370.5769082240715</v>
      </c>
      <c r="M7659" s="443"/>
    </row>
    <row r="7660" spans="1:13">
      <c r="A7660" s="639">
        <v>111513</v>
      </c>
      <c r="B7660" s="639">
        <v>100</v>
      </c>
      <c r="C7660" s="638">
        <v>3006.3020000000001</v>
      </c>
      <c r="D7660" s="633">
        <f t="shared" si="244"/>
        <v>3006.3020000000001</v>
      </c>
      <c r="E7660" s="608"/>
      <c r="F7660" s="760">
        <f t="shared" si="245"/>
        <v>1268.4132368484973</v>
      </c>
      <c r="M7660" s="443"/>
    </row>
    <row r="7661" spans="1:13">
      <c r="A7661" s="639">
        <v>111513</v>
      </c>
      <c r="B7661" s="639">
        <v>200</v>
      </c>
      <c r="C7661" s="638">
        <v>3093.105</v>
      </c>
      <c r="D7661" s="633">
        <f t="shared" si="244"/>
        <v>3093.105</v>
      </c>
      <c r="E7661" s="608"/>
      <c r="F7661" s="760">
        <f t="shared" si="245"/>
        <v>1305.0369939421491</v>
      </c>
      <c r="M7661" s="443"/>
    </row>
    <row r="7662" spans="1:13">
      <c r="A7662" s="639">
        <v>111513</v>
      </c>
      <c r="B7662" s="639">
        <v>300</v>
      </c>
      <c r="C7662" s="638">
        <v>3058.3679999999999</v>
      </c>
      <c r="D7662" s="633">
        <f t="shared" si="244"/>
        <v>3058.3679999999999</v>
      </c>
      <c r="E7662" s="608"/>
      <c r="F7662" s="760">
        <f t="shared" si="245"/>
        <v>1290.3808247986608</v>
      </c>
      <c r="M7662" s="443"/>
    </row>
    <row r="7663" spans="1:13">
      <c r="A7663" s="639">
        <v>111513</v>
      </c>
      <c r="B7663" s="639">
        <v>400</v>
      </c>
      <c r="C7663" s="638">
        <v>3042.105</v>
      </c>
      <c r="D7663" s="633">
        <f t="shared" si="244"/>
        <v>3042.105</v>
      </c>
      <c r="E7663" s="608"/>
      <c r="F7663" s="760">
        <f t="shared" si="245"/>
        <v>1283.5191706897701</v>
      </c>
      <c r="M7663" s="443"/>
    </row>
    <row r="7664" spans="1:13">
      <c r="A7664" s="639">
        <v>111513</v>
      </c>
      <c r="B7664" s="639">
        <v>500</v>
      </c>
      <c r="C7664" s="638">
        <v>3127.2469999999998</v>
      </c>
      <c r="D7664" s="633">
        <f t="shared" si="244"/>
        <v>3127.2469999999998</v>
      </c>
      <c r="E7664" s="608"/>
      <c r="F7664" s="760">
        <f t="shared" si="245"/>
        <v>1319.4421218143591</v>
      </c>
      <c r="M7664" s="443"/>
    </row>
    <row r="7665" spans="1:13">
      <c r="A7665" s="639">
        <v>111513</v>
      </c>
      <c r="B7665" s="639">
        <v>600</v>
      </c>
      <c r="C7665" s="638">
        <v>3457.6179999999999</v>
      </c>
      <c r="D7665" s="633">
        <f t="shared" si="244"/>
        <v>3457.6179999999999</v>
      </c>
      <c r="E7665" s="608"/>
      <c r="F7665" s="760">
        <f t="shared" si="245"/>
        <v>1458.8316274165493</v>
      </c>
      <c r="M7665" s="443"/>
    </row>
    <row r="7666" spans="1:13">
      <c r="A7666" s="639">
        <v>111513</v>
      </c>
      <c r="B7666" s="639">
        <v>700</v>
      </c>
      <c r="C7666" s="638">
        <v>3997.13</v>
      </c>
      <c r="D7666" s="633">
        <f t="shared" si="244"/>
        <v>3997.13</v>
      </c>
      <c r="E7666" s="608"/>
      <c r="F7666" s="760">
        <f t="shared" si="245"/>
        <v>1686.4615069957154</v>
      </c>
      <c r="M7666" s="443"/>
    </row>
    <row r="7667" spans="1:13">
      <c r="A7667" s="639">
        <v>111513</v>
      </c>
      <c r="B7667" s="639">
        <v>800</v>
      </c>
      <c r="C7667" s="638">
        <v>4240.5240000000003</v>
      </c>
      <c r="D7667" s="633">
        <f t="shared" si="244"/>
        <v>4240.5240000000003</v>
      </c>
      <c r="E7667" s="608"/>
      <c r="F7667" s="760">
        <f t="shared" si="245"/>
        <v>1789.1538417543336</v>
      </c>
      <c r="M7667" s="443"/>
    </row>
    <row r="7668" spans="1:13">
      <c r="A7668" s="639">
        <v>111513</v>
      </c>
      <c r="B7668" s="639">
        <v>900</v>
      </c>
      <c r="C7668" s="638">
        <v>4045.4789999999998</v>
      </c>
      <c r="D7668" s="633">
        <f t="shared" si="244"/>
        <v>4045.4789999999998</v>
      </c>
      <c r="E7668" s="608"/>
      <c r="F7668" s="760">
        <f t="shared" si="245"/>
        <v>1706.8608253570735</v>
      </c>
      <c r="M7668" s="443"/>
    </row>
    <row r="7669" spans="1:13">
      <c r="A7669" s="639">
        <v>111513</v>
      </c>
      <c r="B7669" s="639">
        <v>1000</v>
      </c>
      <c r="C7669" s="638">
        <v>3768.848</v>
      </c>
      <c r="D7669" s="633">
        <f t="shared" si="244"/>
        <v>3768.848</v>
      </c>
      <c r="E7669" s="608"/>
      <c r="F7669" s="760">
        <f t="shared" si="245"/>
        <v>1590.1451986094492</v>
      </c>
      <c r="M7669" s="443"/>
    </row>
    <row r="7670" spans="1:13">
      <c r="A7670" s="639">
        <v>111513</v>
      </c>
      <c r="B7670" s="639">
        <v>1100</v>
      </c>
      <c r="C7670" s="638">
        <v>3491.9389999999999</v>
      </c>
      <c r="D7670" s="633">
        <f t="shared" si="244"/>
        <v>3491.9389999999999</v>
      </c>
      <c r="E7670" s="608"/>
      <c r="F7670" s="760">
        <f t="shared" si="245"/>
        <v>1473.3122786291942</v>
      </c>
      <c r="M7670" s="443"/>
    </row>
    <row r="7671" spans="1:13">
      <c r="A7671" s="639">
        <v>111513</v>
      </c>
      <c r="B7671" s="639">
        <v>1200</v>
      </c>
      <c r="C7671" s="638">
        <v>3411.7159999999999</v>
      </c>
      <c r="D7671" s="633">
        <f t="shared" si="244"/>
        <v>3411.7159999999999</v>
      </c>
      <c r="E7671" s="608"/>
      <c r="F7671" s="760">
        <f t="shared" si="245"/>
        <v>1439.4647426532022</v>
      </c>
      <c r="M7671" s="443"/>
    </row>
    <row r="7672" spans="1:13">
      <c r="A7672" s="639">
        <v>111513</v>
      </c>
      <c r="B7672" s="639">
        <v>1300</v>
      </c>
      <c r="C7672" s="638">
        <v>3296.0940000000001</v>
      </c>
      <c r="D7672" s="633">
        <f t="shared" si="244"/>
        <v>3296.0940000000001</v>
      </c>
      <c r="E7672" s="608"/>
      <c r="F7672" s="760">
        <f t="shared" si="245"/>
        <v>1390.6817277495443</v>
      </c>
      <c r="M7672" s="443"/>
    </row>
    <row r="7673" spans="1:13">
      <c r="A7673" s="639">
        <v>111513</v>
      </c>
      <c r="B7673" s="639">
        <v>1400</v>
      </c>
      <c r="C7673" s="638">
        <v>3262.0140000000001</v>
      </c>
      <c r="D7673" s="633">
        <f t="shared" si="244"/>
        <v>3262.0140000000001</v>
      </c>
      <c r="E7673" s="608"/>
      <c r="F7673" s="760">
        <f t="shared" si="245"/>
        <v>1376.3027587997192</v>
      </c>
      <c r="M7673" s="443"/>
    </row>
    <row r="7674" spans="1:13">
      <c r="A7674" s="639">
        <v>111513</v>
      </c>
      <c r="B7674" s="639">
        <v>1500</v>
      </c>
      <c r="C7674" s="638">
        <v>3349.3040000000001</v>
      </c>
      <c r="D7674" s="633">
        <f t="shared" si="244"/>
        <v>3349.3040000000001</v>
      </c>
      <c r="E7674" s="608"/>
      <c r="F7674" s="760">
        <f t="shared" si="245"/>
        <v>1413.1319900095261</v>
      </c>
      <c r="M7674" s="443"/>
    </row>
    <row r="7675" spans="1:13">
      <c r="A7675" s="639">
        <v>111513</v>
      </c>
      <c r="B7675" s="639">
        <v>1600</v>
      </c>
      <c r="C7675" s="638">
        <v>3689.643</v>
      </c>
      <c r="D7675" s="633">
        <f t="shared" si="244"/>
        <v>3689.643</v>
      </c>
      <c r="E7675" s="608"/>
      <c r="F7675" s="760">
        <f t="shared" si="245"/>
        <v>1556.7271752622987</v>
      </c>
      <c r="M7675" s="443"/>
    </row>
    <row r="7676" spans="1:13">
      <c r="A7676" s="639">
        <v>111513</v>
      </c>
      <c r="B7676" s="639">
        <v>1700</v>
      </c>
      <c r="C7676" s="638">
        <v>4048.9050000000002</v>
      </c>
      <c r="D7676" s="633">
        <f t="shared" si="244"/>
        <v>4048.9050000000002</v>
      </c>
      <c r="E7676" s="608"/>
      <c r="F7676" s="760">
        <f t="shared" si="245"/>
        <v>1708.3063167779098</v>
      </c>
      <c r="M7676" s="443"/>
    </row>
    <row r="7677" spans="1:13">
      <c r="A7677" s="639">
        <v>111513</v>
      </c>
      <c r="B7677" s="639">
        <v>1800</v>
      </c>
      <c r="C7677" s="638">
        <v>4498.5330000000004</v>
      </c>
      <c r="D7677" s="633">
        <f t="shared" si="244"/>
        <v>4498.5330000000004</v>
      </c>
      <c r="E7677" s="608"/>
      <c r="F7677" s="760">
        <f t="shared" si="245"/>
        <v>1898.0125095881187</v>
      </c>
      <c r="M7677" s="443"/>
    </row>
    <row r="7678" spans="1:13">
      <c r="A7678" s="639">
        <v>111513</v>
      </c>
      <c r="B7678" s="639">
        <v>1900</v>
      </c>
      <c r="C7678" s="638">
        <v>4571.9589999999998</v>
      </c>
      <c r="D7678" s="633">
        <f t="shared" si="244"/>
        <v>4571.9589999999998</v>
      </c>
      <c r="E7678" s="608"/>
      <c r="F7678" s="760">
        <f t="shared" si="245"/>
        <v>1928.9922682181023</v>
      </c>
      <c r="M7678" s="443"/>
    </row>
    <row r="7679" spans="1:13">
      <c r="A7679" s="639">
        <v>111513</v>
      </c>
      <c r="B7679" s="639">
        <v>2000</v>
      </c>
      <c r="C7679" s="638">
        <v>4547.33</v>
      </c>
      <c r="D7679" s="633">
        <f t="shared" si="244"/>
        <v>4547.33</v>
      </c>
      <c r="E7679" s="608"/>
      <c r="F7679" s="760">
        <f t="shared" si="245"/>
        <v>1918.6008472596152</v>
      </c>
      <c r="M7679" s="443"/>
    </row>
    <row r="7680" spans="1:13">
      <c r="A7680" s="639">
        <v>111513</v>
      </c>
      <c r="B7680" s="639">
        <v>2100</v>
      </c>
      <c r="C7680" s="638">
        <v>4424.1419999999998</v>
      </c>
      <c r="D7680" s="633">
        <f t="shared" si="244"/>
        <v>4424.1419999999998</v>
      </c>
      <c r="E7680" s="608"/>
      <c r="F7680" s="760">
        <f t="shared" si="245"/>
        <v>1866.6255999887514</v>
      </c>
      <c r="M7680" s="443"/>
    </row>
    <row r="7681" spans="1:13">
      <c r="A7681" s="639">
        <v>111513</v>
      </c>
      <c r="B7681" s="639">
        <v>2200</v>
      </c>
      <c r="C7681" s="638">
        <v>4234.3580000000002</v>
      </c>
      <c r="D7681" s="633">
        <f t="shared" si="244"/>
        <v>4234.3580000000002</v>
      </c>
      <c r="E7681" s="608"/>
      <c r="F7681" s="760">
        <f t="shared" si="245"/>
        <v>1786.5522947313107</v>
      </c>
      <c r="M7681" s="443"/>
    </row>
    <row r="7682" spans="1:13">
      <c r="A7682" s="639">
        <v>111513</v>
      </c>
      <c r="B7682" s="639">
        <v>2300</v>
      </c>
      <c r="C7682" s="638">
        <v>3794.009</v>
      </c>
      <c r="D7682" s="633">
        <f t="shared" si="244"/>
        <v>3794.009</v>
      </c>
      <c r="E7682" s="608"/>
      <c r="F7682" s="760">
        <f t="shared" si="245"/>
        <v>1600.7610799987258</v>
      </c>
      <c r="M7682" s="443"/>
    </row>
    <row r="7683" spans="1:13">
      <c r="A7683" s="639">
        <v>111513</v>
      </c>
      <c r="B7683" s="639">
        <v>2400</v>
      </c>
      <c r="C7683" s="638">
        <v>3394.3539999999998</v>
      </c>
      <c r="D7683" s="633">
        <f t="shared" si="244"/>
        <v>3394.3539999999998</v>
      </c>
      <c r="E7683" s="608"/>
      <c r="F7683" s="760">
        <f t="shared" si="245"/>
        <v>1432.1394005491277</v>
      </c>
      <c r="M7683" s="443"/>
    </row>
    <row r="7684" spans="1:13">
      <c r="A7684" s="639">
        <v>111613</v>
      </c>
      <c r="B7684" s="639">
        <v>100</v>
      </c>
      <c r="C7684" s="638">
        <v>3069.2649999999999</v>
      </c>
      <c r="D7684" s="633">
        <f t="shared" si="244"/>
        <v>3069.2649999999999</v>
      </c>
      <c r="E7684" s="608"/>
      <c r="F7684" s="760">
        <f t="shared" si="245"/>
        <v>1294.9784663669191</v>
      </c>
      <c r="M7684" s="443"/>
    </row>
    <row r="7685" spans="1:13">
      <c r="A7685" s="639">
        <v>111613</v>
      </c>
      <c r="B7685" s="639">
        <v>200</v>
      </c>
      <c r="C7685" s="638">
        <v>3163.3180000000002</v>
      </c>
      <c r="D7685" s="633">
        <f t="shared" ref="D7685:D7748" si="246">C7685</f>
        <v>3163.3180000000002</v>
      </c>
      <c r="E7685" s="608"/>
      <c r="F7685" s="760">
        <f t="shared" si="245"/>
        <v>1334.6611297072332</v>
      </c>
      <c r="M7685" s="443"/>
    </row>
    <row r="7686" spans="1:13">
      <c r="A7686" s="639">
        <v>111613</v>
      </c>
      <c r="B7686" s="639">
        <v>300</v>
      </c>
      <c r="C7686" s="638">
        <v>3076.2469999999998</v>
      </c>
      <c r="D7686" s="633">
        <f t="shared" si="246"/>
        <v>3076.2469999999998</v>
      </c>
      <c r="E7686" s="608"/>
      <c r="F7686" s="760">
        <f t="shared" si="245"/>
        <v>1297.9242985619801</v>
      </c>
      <c r="M7686" s="443"/>
    </row>
    <row r="7687" spans="1:13">
      <c r="A7687" s="639">
        <v>111613</v>
      </c>
      <c r="B7687" s="639">
        <v>400</v>
      </c>
      <c r="C7687" s="638">
        <v>3000.268</v>
      </c>
      <c r="D7687" s="633">
        <f t="shared" si="246"/>
        <v>3000.268</v>
      </c>
      <c r="E7687" s="608"/>
      <c r="F7687" s="760">
        <f t="shared" si="245"/>
        <v>1265.8673830150685</v>
      </c>
      <c r="M7687" s="443"/>
    </row>
    <row r="7688" spans="1:13">
      <c r="A7688" s="639">
        <v>111613</v>
      </c>
      <c r="B7688" s="639">
        <v>500</v>
      </c>
      <c r="C7688" s="638">
        <v>3052.6030000000001</v>
      </c>
      <c r="D7688" s="633">
        <f t="shared" si="246"/>
        <v>3052.6030000000001</v>
      </c>
      <c r="E7688" s="608"/>
      <c r="F7688" s="760">
        <f t="shared" si="245"/>
        <v>1287.9484669349361</v>
      </c>
      <c r="M7688" s="443"/>
    </row>
    <row r="7689" spans="1:13">
      <c r="A7689" s="639">
        <v>111613</v>
      </c>
      <c r="B7689" s="639">
        <v>600</v>
      </c>
      <c r="C7689" s="638">
        <v>3208.335</v>
      </c>
      <c r="D7689" s="633">
        <f t="shared" si="246"/>
        <v>3208.335</v>
      </c>
      <c r="E7689" s="608"/>
      <c r="F7689" s="760">
        <f t="shared" si="245"/>
        <v>1353.6546169494359</v>
      </c>
      <c r="M7689" s="443"/>
    </row>
    <row r="7690" spans="1:13">
      <c r="A7690" s="639">
        <v>111613</v>
      </c>
      <c r="B7690" s="639">
        <v>700</v>
      </c>
      <c r="C7690" s="638">
        <v>3482.2289999999998</v>
      </c>
      <c r="D7690" s="633">
        <f t="shared" si="246"/>
        <v>3482.2289999999998</v>
      </c>
      <c r="E7690" s="608"/>
      <c r="F7690" s="760">
        <f t="shared" si="245"/>
        <v>1469.2154538491825</v>
      </c>
      <c r="M7690" s="443"/>
    </row>
    <row r="7691" spans="1:13">
      <c r="A7691" s="639">
        <v>111613</v>
      </c>
      <c r="B7691" s="639">
        <v>800</v>
      </c>
      <c r="C7691" s="638">
        <v>3833.25</v>
      </c>
      <c r="D7691" s="633">
        <f t="shared" si="246"/>
        <v>3833.25</v>
      </c>
      <c r="E7691" s="608"/>
      <c r="F7691" s="760">
        <f t="shared" si="245"/>
        <v>1617.3175682780709</v>
      </c>
      <c r="M7691" s="443"/>
    </row>
    <row r="7692" spans="1:13">
      <c r="A7692" s="639">
        <v>111613</v>
      </c>
      <c r="B7692" s="639">
        <v>900</v>
      </c>
      <c r="C7692" s="638">
        <v>3923.7559999999999</v>
      </c>
      <c r="D7692" s="633">
        <f t="shared" si="246"/>
        <v>3923.7559999999999</v>
      </c>
      <c r="E7692" s="608"/>
      <c r="F7692" s="760">
        <f t="shared" si="245"/>
        <v>1655.5036881070866</v>
      </c>
      <c r="M7692" s="443"/>
    </row>
    <row r="7693" spans="1:13">
      <c r="A7693" s="639">
        <v>111613</v>
      </c>
      <c r="B7693" s="639">
        <v>1000</v>
      </c>
      <c r="C7693" s="638">
        <v>3760.3049999999998</v>
      </c>
      <c r="D7693" s="633">
        <f t="shared" si="246"/>
        <v>3760.3049999999998</v>
      </c>
      <c r="E7693" s="608"/>
      <c r="F7693" s="760">
        <f t="shared" si="245"/>
        <v>1586.5407522556243</v>
      </c>
      <c r="M7693" s="443"/>
    </row>
    <row r="7694" spans="1:13">
      <c r="A7694" s="639">
        <v>111613</v>
      </c>
      <c r="B7694" s="639">
        <v>1100</v>
      </c>
      <c r="C7694" s="638">
        <v>3751.8710000000001</v>
      </c>
      <c r="D7694" s="633">
        <f t="shared" si="246"/>
        <v>3751.8710000000001</v>
      </c>
      <c r="E7694" s="608"/>
      <c r="F7694" s="760">
        <f t="shared" si="245"/>
        <v>1582.9822949750248</v>
      </c>
      <c r="M7694" s="443"/>
    </row>
    <row r="7695" spans="1:13">
      <c r="A7695" s="639">
        <v>111613</v>
      </c>
      <c r="B7695" s="639">
        <v>1200</v>
      </c>
      <c r="C7695" s="638">
        <v>3657.5830000000001</v>
      </c>
      <c r="D7695" s="633">
        <f t="shared" si="246"/>
        <v>3657.5830000000001</v>
      </c>
      <c r="E7695" s="608"/>
      <c r="F7695" s="760">
        <f t="shared" si="245"/>
        <v>1543.2004808805091</v>
      </c>
      <c r="M7695" s="443"/>
    </row>
    <row r="7696" spans="1:13">
      <c r="A7696" s="639">
        <v>111613</v>
      </c>
      <c r="B7696" s="639">
        <v>1300</v>
      </c>
      <c r="C7696" s="638">
        <v>3699.076</v>
      </c>
      <c r="D7696" s="633">
        <f t="shared" si="246"/>
        <v>3699.076</v>
      </c>
      <c r="E7696" s="608"/>
      <c r="F7696" s="760">
        <f t="shared" si="245"/>
        <v>1560.7071287277829</v>
      </c>
      <c r="M7696" s="443"/>
    </row>
    <row r="7697" spans="1:13">
      <c r="A7697" s="639">
        <v>111613</v>
      </c>
      <c r="B7697" s="639">
        <v>1400</v>
      </c>
      <c r="C7697" s="638">
        <v>3628.277</v>
      </c>
      <c r="D7697" s="633">
        <f t="shared" si="246"/>
        <v>3628.277</v>
      </c>
      <c r="E7697" s="608"/>
      <c r="F7697" s="760">
        <f t="shared" si="245"/>
        <v>1530.835748954348</v>
      </c>
      <c r="M7697" s="443"/>
    </row>
    <row r="7698" spans="1:13">
      <c r="A7698" s="639">
        <v>111613</v>
      </c>
      <c r="B7698" s="639">
        <v>1500</v>
      </c>
      <c r="C7698" s="638">
        <v>3669.3339999999998</v>
      </c>
      <c r="D7698" s="633">
        <f t="shared" si="246"/>
        <v>3669.3339999999998</v>
      </c>
      <c r="E7698" s="608"/>
      <c r="F7698" s="760">
        <f t="shared" si="245"/>
        <v>1548.158440508719</v>
      </c>
      <c r="M7698" s="443"/>
    </row>
    <row r="7699" spans="1:13">
      <c r="A7699" s="639">
        <v>111613</v>
      </c>
      <c r="B7699" s="639">
        <v>1600</v>
      </c>
      <c r="C7699" s="638">
        <v>4002.16</v>
      </c>
      <c r="D7699" s="633">
        <f t="shared" si="246"/>
        <v>4002.16</v>
      </c>
      <c r="E7699" s="608"/>
      <c r="F7699" s="760">
        <f t="shared" si="245"/>
        <v>1688.583755053744</v>
      </c>
      <c r="M7699" s="443"/>
    </row>
    <row r="7700" spans="1:13">
      <c r="A7700" s="639">
        <v>111613</v>
      </c>
      <c r="B7700" s="639">
        <v>1700</v>
      </c>
      <c r="C7700" s="638">
        <v>4130.0640000000003</v>
      </c>
      <c r="D7700" s="633">
        <f t="shared" si="246"/>
        <v>4130.0640000000003</v>
      </c>
      <c r="E7700" s="608"/>
      <c r="F7700" s="760">
        <f t="shared" si="245"/>
        <v>1742.5487680982988</v>
      </c>
      <c r="M7700" s="443"/>
    </row>
    <row r="7701" spans="1:13">
      <c r="A7701" s="639">
        <v>111613</v>
      </c>
      <c r="B7701" s="639">
        <v>1800</v>
      </c>
      <c r="C7701" s="638">
        <v>4414.0550000000003</v>
      </c>
      <c r="D7701" s="633">
        <f t="shared" si="246"/>
        <v>4414.0550000000003</v>
      </c>
      <c r="E7701" s="608"/>
      <c r="F7701" s="760">
        <f t="shared" si="245"/>
        <v>1862.3697120839133</v>
      </c>
      <c r="M7701" s="443"/>
    </row>
    <row r="7702" spans="1:13">
      <c r="A7702" s="639">
        <v>111613</v>
      </c>
      <c r="B7702" s="639">
        <v>1900</v>
      </c>
      <c r="C7702" s="638">
        <v>4487.7969999999996</v>
      </c>
      <c r="D7702" s="633">
        <f t="shared" si="246"/>
        <v>4487.7969999999996</v>
      </c>
      <c r="E7702" s="608"/>
      <c r="F7702" s="760">
        <f t="shared" si="245"/>
        <v>1893.4827968344412</v>
      </c>
      <c r="M7702" s="443"/>
    </row>
    <row r="7703" spans="1:13">
      <c r="A7703" s="639">
        <v>111613</v>
      </c>
      <c r="B7703" s="639">
        <v>2000</v>
      </c>
      <c r="C7703" s="638">
        <v>4262.1949999999997</v>
      </c>
      <c r="D7703" s="633">
        <f t="shared" si="246"/>
        <v>4262.1949999999997</v>
      </c>
      <c r="E7703" s="608"/>
      <c r="F7703" s="760">
        <f t="shared" si="245"/>
        <v>1798.2972289641823</v>
      </c>
      <c r="M7703" s="443"/>
    </row>
    <row r="7704" spans="1:13">
      <c r="A7704" s="639">
        <v>111613</v>
      </c>
      <c r="B7704" s="639">
        <v>2100</v>
      </c>
      <c r="C7704" s="638">
        <v>4190.3100000000004</v>
      </c>
      <c r="D7704" s="633">
        <f t="shared" si="246"/>
        <v>4190.3100000000004</v>
      </c>
      <c r="E7704" s="608"/>
      <c r="F7704" s="760">
        <f t="shared" si="245"/>
        <v>1767.9676461309032</v>
      </c>
      <c r="M7704" s="443"/>
    </row>
    <row r="7705" spans="1:13">
      <c r="A7705" s="639">
        <v>111613</v>
      </c>
      <c r="B7705" s="639">
        <v>2200</v>
      </c>
      <c r="C7705" s="638">
        <v>3988.7370000000001</v>
      </c>
      <c r="D7705" s="633">
        <f t="shared" si="246"/>
        <v>3988.7370000000001</v>
      </c>
      <c r="E7705" s="608"/>
      <c r="F7705" s="760">
        <f t="shared" si="245"/>
        <v>1682.9203483573385</v>
      </c>
      <c r="M7705" s="443"/>
    </row>
    <row r="7706" spans="1:13">
      <c r="A7706" s="639">
        <v>111613</v>
      </c>
      <c r="B7706" s="639">
        <v>2300</v>
      </c>
      <c r="C7706" s="638">
        <v>3603.1509999999998</v>
      </c>
      <c r="D7706" s="633">
        <f t="shared" si="246"/>
        <v>3603.1509999999998</v>
      </c>
      <c r="E7706" s="608"/>
      <c r="F7706" s="760">
        <f t="shared" si="245"/>
        <v>1520.234634698676</v>
      </c>
      <c r="M7706" s="443"/>
    </row>
    <row r="7707" spans="1:13">
      <c r="A7707" s="639">
        <v>111613</v>
      </c>
      <c r="B7707" s="639">
        <v>2400</v>
      </c>
      <c r="C7707" s="638">
        <v>3193.6289999999999</v>
      </c>
      <c r="D7707" s="633">
        <f t="shared" si="246"/>
        <v>3193.6289999999999</v>
      </c>
      <c r="E7707" s="608"/>
      <c r="F7707" s="760">
        <f t="shared" si="245"/>
        <v>1347.4498893268969</v>
      </c>
      <c r="M7707" s="443"/>
    </row>
    <row r="7708" spans="1:13">
      <c r="A7708" s="639">
        <v>111713</v>
      </c>
      <c r="B7708" s="639">
        <v>100</v>
      </c>
      <c r="C7708" s="638">
        <v>2888.6950000000002</v>
      </c>
      <c r="D7708" s="633">
        <f t="shared" si="246"/>
        <v>2888.6950000000002</v>
      </c>
      <c r="E7708" s="608"/>
      <c r="F7708" s="760">
        <f t="shared" ref="F7708:F7771" si="247">(D7708/(MAX($D$7324:$D$8043)))*$M$14</f>
        <v>1218.7927145104084</v>
      </c>
      <c r="M7708" s="443"/>
    </row>
    <row r="7709" spans="1:13">
      <c r="A7709" s="639">
        <v>111713</v>
      </c>
      <c r="B7709" s="639">
        <v>200</v>
      </c>
      <c r="C7709" s="638">
        <v>2937.4690000000001</v>
      </c>
      <c r="D7709" s="633">
        <f t="shared" si="246"/>
        <v>2937.4690000000001</v>
      </c>
      <c r="E7709" s="608"/>
      <c r="F7709" s="760">
        <f t="shared" si="247"/>
        <v>1239.3713480655363</v>
      </c>
      <c r="M7709" s="443"/>
    </row>
    <row r="7710" spans="1:13">
      <c r="A7710" s="639">
        <v>111713</v>
      </c>
      <c r="B7710" s="639">
        <v>300</v>
      </c>
      <c r="C7710" s="638">
        <v>2843.873</v>
      </c>
      <c r="D7710" s="633">
        <f t="shared" si="246"/>
        <v>2843.873</v>
      </c>
      <c r="E7710" s="608"/>
      <c r="F7710" s="760">
        <f t="shared" si="247"/>
        <v>1199.8815012982882</v>
      </c>
      <c r="M7710" s="443"/>
    </row>
    <row r="7711" spans="1:13">
      <c r="A7711" s="639">
        <v>111713</v>
      </c>
      <c r="B7711" s="639">
        <v>400</v>
      </c>
      <c r="C7711" s="638">
        <v>2795.3389999999999</v>
      </c>
      <c r="D7711" s="633">
        <f t="shared" si="246"/>
        <v>2795.3389999999999</v>
      </c>
      <c r="E7711" s="608"/>
      <c r="F7711" s="760">
        <f t="shared" si="247"/>
        <v>1179.4041280878769</v>
      </c>
      <c r="M7711" s="443"/>
    </row>
    <row r="7712" spans="1:13">
      <c r="A7712" s="639">
        <v>111713</v>
      </c>
      <c r="B7712" s="639">
        <v>500</v>
      </c>
      <c r="C7712" s="638">
        <v>2781.71</v>
      </c>
      <c r="D7712" s="633">
        <f t="shared" si="246"/>
        <v>2781.71</v>
      </c>
      <c r="E7712" s="608"/>
      <c r="F7712" s="760">
        <f t="shared" si="247"/>
        <v>1173.653806262256</v>
      </c>
      <c r="M7712" s="443"/>
    </row>
    <row r="7713" spans="1:13">
      <c r="A7713" s="639">
        <v>111713</v>
      </c>
      <c r="B7713" s="639">
        <v>600</v>
      </c>
      <c r="C7713" s="638">
        <v>2910.93</v>
      </c>
      <c r="D7713" s="633">
        <f t="shared" si="246"/>
        <v>2910.93</v>
      </c>
      <c r="E7713" s="608"/>
      <c r="F7713" s="760">
        <f t="shared" si="247"/>
        <v>1228.1740635303422</v>
      </c>
      <c r="M7713" s="443"/>
    </row>
    <row r="7714" spans="1:13">
      <c r="A7714" s="639">
        <v>111713</v>
      </c>
      <c r="B7714" s="639">
        <v>700</v>
      </c>
      <c r="C7714" s="638">
        <v>3081.8049999999998</v>
      </c>
      <c r="D7714" s="633">
        <f t="shared" si="246"/>
        <v>3081.8049999999998</v>
      </c>
      <c r="E7714" s="608"/>
      <c r="F7714" s="760">
        <f t="shared" si="247"/>
        <v>1300.2693193783864</v>
      </c>
      <c r="M7714" s="443"/>
    </row>
    <row r="7715" spans="1:13">
      <c r="A7715" s="639">
        <v>111713</v>
      </c>
      <c r="B7715" s="639">
        <v>800</v>
      </c>
      <c r="C7715" s="638">
        <v>3452.4470000000001</v>
      </c>
      <c r="D7715" s="633">
        <f t="shared" si="246"/>
        <v>3452.4470000000001</v>
      </c>
      <c r="E7715" s="608"/>
      <c r="F7715" s="760">
        <f t="shared" si="247"/>
        <v>1456.6498889059994</v>
      </c>
      <c r="M7715" s="443"/>
    </row>
    <row r="7716" spans="1:13">
      <c r="A7716" s="639">
        <v>111713</v>
      </c>
      <c r="B7716" s="639">
        <v>900</v>
      </c>
      <c r="C7716" s="638">
        <v>3696.7170000000001</v>
      </c>
      <c r="D7716" s="633">
        <f t="shared" si="246"/>
        <v>3696.7170000000001</v>
      </c>
      <c r="E7716" s="608"/>
      <c r="F7716" s="760">
        <f t="shared" si="247"/>
        <v>1559.7118239228348</v>
      </c>
      <c r="M7716" s="443"/>
    </row>
    <row r="7717" spans="1:13">
      <c r="A7717" s="639">
        <v>111713</v>
      </c>
      <c r="B7717" s="639">
        <v>1000</v>
      </c>
      <c r="C7717" s="638">
        <v>4009.6959999999999</v>
      </c>
      <c r="D7717" s="633">
        <f t="shared" si="246"/>
        <v>4009.6959999999999</v>
      </c>
      <c r="E7717" s="608"/>
      <c r="F7717" s="760">
        <f t="shared" si="247"/>
        <v>1691.7633298778603</v>
      </c>
      <c r="M7717" s="443"/>
    </row>
    <row r="7718" spans="1:13">
      <c r="A7718" s="639">
        <v>111713</v>
      </c>
      <c r="B7718" s="639">
        <v>1100</v>
      </c>
      <c r="C7718" s="638">
        <v>4151.8509999999997</v>
      </c>
      <c r="D7718" s="633">
        <f t="shared" si="246"/>
        <v>4151.8509999999997</v>
      </c>
      <c r="E7718" s="608"/>
      <c r="F7718" s="760">
        <f t="shared" si="247"/>
        <v>1751.7410978080941</v>
      </c>
      <c r="M7718" s="443"/>
    </row>
    <row r="7719" spans="1:13">
      <c r="A7719" s="639">
        <v>111713</v>
      </c>
      <c r="B7719" s="639">
        <v>1200</v>
      </c>
      <c r="C7719" s="638">
        <v>4141.37</v>
      </c>
      <c r="D7719" s="633">
        <f t="shared" si="246"/>
        <v>4141.37</v>
      </c>
      <c r="E7719" s="608"/>
      <c r="F7719" s="760">
        <f t="shared" si="247"/>
        <v>1747.318974170679</v>
      </c>
      <c r="M7719" s="443"/>
    </row>
    <row r="7720" spans="1:13">
      <c r="A7720" s="639">
        <v>111713</v>
      </c>
      <c r="B7720" s="639">
        <v>1300</v>
      </c>
      <c r="C7720" s="638">
        <v>4232.6310000000003</v>
      </c>
      <c r="D7720" s="633">
        <f t="shared" si="246"/>
        <v>4232.6310000000003</v>
      </c>
      <c r="E7720" s="608"/>
      <c r="F7720" s="760">
        <f t="shared" si="247"/>
        <v>1785.8236421674508</v>
      </c>
      <c r="M7720" s="443"/>
    </row>
    <row r="7721" spans="1:13">
      <c r="A7721" s="639">
        <v>111713</v>
      </c>
      <c r="B7721" s="639">
        <v>1400</v>
      </c>
      <c r="C7721" s="638">
        <v>4121.7510000000002</v>
      </c>
      <c r="D7721" s="633">
        <f t="shared" si="246"/>
        <v>4121.7510000000002</v>
      </c>
      <c r="E7721" s="608"/>
      <c r="F7721" s="760">
        <f t="shared" si="247"/>
        <v>1739.0413629081609</v>
      </c>
      <c r="M7721" s="443"/>
    </row>
    <row r="7722" spans="1:13">
      <c r="A7722" s="639">
        <v>111713</v>
      </c>
      <c r="B7722" s="639">
        <v>1500</v>
      </c>
      <c r="C7722" s="638">
        <v>3965.2049999999999</v>
      </c>
      <c r="D7722" s="633">
        <f t="shared" si="246"/>
        <v>3965.2049999999999</v>
      </c>
      <c r="E7722" s="608"/>
      <c r="F7722" s="760">
        <f t="shared" si="247"/>
        <v>1672.991771557829</v>
      </c>
      <c r="M7722" s="443"/>
    </row>
    <row r="7723" spans="1:13">
      <c r="A7723" s="639">
        <v>111713</v>
      </c>
      <c r="B7723" s="639">
        <v>1600</v>
      </c>
      <c r="C7723" s="638">
        <v>3806.1640000000002</v>
      </c>
      <c r="D7723" s="633">
        <f t="shared" si="246"/>
        <v>3806.1640000000002</v>
      </c>
      <c r="E7723" s="608"/>
      <c r="F7723" s="760">
        <f t="shared" si="247"/>
        <v>1605.889494540543</v>
      </c>
      <c r="M7723" s="443"/>
    </row>
    <row r="7724" spans="1:13">
      <c r="A7724" s="639">
        <v>111713</v>
      </c>
      <c r="B7724" s="639">
        <v>1700</v>
      </c>
      <c r="C7724" s="638">
        <v>4410.2079999999996</v>
      </c>
      <c r="D7724" s="633">
        <f t="shared" si="246"/>
        <v>4410.2079999999996</v>
      </c>
      <c r="E7724" s="608"/>
      <c r="F7724" s="760">
        <f t="shared" si="247"/>
        <v>1860.7465931417189</v>
      </c>
      <c r="M7724" s="443"/>
    </row>
    <row r="7725" spans="1:13">
      <c r="A7725" s="639">
        <v>111713</v>
      </c>
      <c r="B7725" s="639">
        <v>1800</v>
      </c>
      <c r="C7725" s="638">
        <v>4686.1530000000002</v>
      </c>
      <c r="D7725" s="633">
        <f t="shared" si="246"/>
        <v>4686.1530000000002</v>
      </c>
      <c r="E7725" s="608"/>
      <c r="F7725" s="760">
        <f t="shared" si="247"/>
        <v>1977.172784070694</v>
      </c>
      <c r="M7725" s="443"/>
    </row>
    <row r="7726" spans="1:13">
      <c r="A7726" s="639">
        <v>111713</v>
      </c>
      <c r="B7726" s="639">
        <v>1900</v>
      </c>
      <c r="C7726" s="638">
        <v>4665.3090000000002</v>
      </c>
      <c r="D7726" s="633">
        <f t="shared" si="246"/>
        <v>4665.3090000000002</v>
      </c>
      <c r="E7726" s="608"/>
      <c r="F7726" s="760">
        <f t="shared" si="247"/>
        <v>1968.3783231320158</v>
      </c>
      <c r="M7726" s="443"/>
    </row>
    <row r="7727" spans="1:13">
      <c r="A7727" s="639">
        <v>111713</v>
      </c>
      <c r="B7727" s="639">
        <v>2000</v>
      </c>
      <c r="C7727" s="638">
        <v>4492.2569999999996</v>
      </c>
      <c r="D7727" s="633">
        <f t="shared" si="246"/>
        <v>4492.2569999999996</v>
      </c>
      <c r="E7727" s="608"/>
      <c r="F7727" s="760">
        <f t="shared" si="247"/>
        <v>1895.3645515737669</v>
      </c>
      <c r="M7727" s="443"/>
    </row>
    <row r="7728" spans="1:13">
      <c r="A7728" s="639">
        <v>111713</v>
      </c>
      <c r="B7728" s="639">
        <v>2100</v>
      </c>
      <c r="C7728" s="638">
        <v>4271.25</v>
      </c>
      <c r="D7728" s="633">
        <f t="shared" si="246"/>
        <v>4271.25</v>
      </c>
      <c r="E7728" s="608"/>
      <c r="F7728" s="760">
        <f t="shared" si="247"/>
        <v>1802.1176973867373</v>
      </c>
      <c r="M7728" s="443"/>
    </row>
    <row r="7729" spans="1:13">
      <c r="A7729" s="639">
        <v>111713</v>
      </c>
      <c r="B7729" s="639">
        <v>2200</v>
      </c>
      <c r="C7729" s="638">
        <v>3925.4780000000001</v>
      </c>
      <c r="D7729" s="633">
        <f t="shared" si="246"/>
        <v>3925.4780000000001</v>
      </c>
      <c r="E7729" s="608"/>
      <c r="F7729" s="760">
        <f t="shared" si="247"/>
        <v>1656.2302310804318</v>
      </c>
      <c r="M7729" s="443"/>
    </row>
    <row r="7730" spans="1:13">
      <c r="A7730" s="639">
        <v>111713</v>
      </c>
      <c r="B7730" s="639">
        <v>2300</v>
      </c>
      <c r="C7730" s="638">
        <v>3447.3989999999999</v>
      </c>
      <c r="D7730" s="633">
        <f t="shared" si="246"/>
        <v>3447.3989999999999</v>
      </c>
      <c r="E7730" s="608"/>
      <c r="F7730" s="760">
        <f t="shared" si="247"/>
        <v>1454.5200463221165</v>
      </c>
      <c r="M7730" s="443"/>
    </row>
    <row r="7731" spans="1:13">
      <c r="A7731" s="639">
        <v>111713</v>
      </c>
      <c r="B7731" s="639">
        <v>2400</v>
      </c>
      <c r="C7731" s="638">
        <v>2928.3270000000002</v>
      </c>
      <c r="D7731" s="633">
        <f t="shared" si="246"/>
        <v>2928.3270000000002</v>
      </c>
      <c r="E7731" s="608"/>
      <c r="F7731" s="760">
        <f t="shared" si="247"/>
        <v>1235.5141727680218</v>
      </c>
      <c r="M7731" s="443"/>
    </row>
    <row r="7732" spans="1:13">
      <c r="A7732" s="639">
        <v>111813</v>
      </c>
      <c r="B7732" s="639">
        <v>100</v>
      </c>
      <c r="C7732" s="638">
        <v>2635.1080000000002</v>
      </c>
      <c r="D7732" s="633">
        <f t="shared" si="246"/>
        <v>2635.1080000000002</v>
      </c>
      <c r="E7732" s="608"/>
      <c r="F7732" s="760">
        <f t="shared" si="247"/>
        <v>1111.7997685280352</v>
      </c>
      <c r="M7732" s="443"/>
    </row>
    <row r="7733" spans="1:13">
      <c r="A7733" s="639">
        <v>111813</v>
      </c>
      <c r="B7733" s="639">
        <v>200</v>
      </c>
      <c r="C7733" s="638">
        <v>2785.5360000000001</v>
      </c>
      <c r="D7733" s="633">
        <f t="shared" si="246"/>
        <v>2785.5360000000001</v>
      </c>
      <c r="E7733" s="608"/>
      <c r="F7733" s="760">
        <f t="shared" si="247"/>
        <v>1175.2680649242875</v>
      </c>
      <c r="M7733" s="443"/>
    </row>
    <row r="7734" spans="1:13">
      <c r="A7734" s="639">
        <v>111813</v>
      </c>
      <c r="B7734" s="639">
        <v>300</v>
      </c>
      <c r="C7734" s="638">
        <v>2837.549</v>
      </c>
      <c r="D7734" s="633">
        <f t="shared" si="246"/>
        <v>2837.549</v>
      </c>
      <c r="E7734" s="608"/>
      <c r="F7734" s="760">
        <f t="shared" si="247"/>
        <v>1197.213291214993</v>
      </c>
      <c r="M7734" s="443"/>
    </row>
    <row r="7735" spans="1:13">
      <c r="A7735" s="639">
        <v>111813</v>
      </c>
      <c r="B7735" s="639">
        <v>400</v>
      </c>
      <c r="C7735" s="638">
        <v>2819.4720000000002</v>
      </c>
      <c r="D7735" s="633">
        <f t="shared" si="246"/>
        <v>2819.4720000000002</v>
      </c>
      <c r="E7735" s="608"/>
      <c r="F7735" s="760">
        <f t="shared" si="247"/>
        <v>1189.5862776672823</v>
      </c>
      <c r="M7735" s="443"/>
    </row>
    <row r="7736" spans="1:13">
      <c r="A7736" s="639">
        <v>111813</v>
      </c>
      <c r="B7736" s="639">
        <v>500</v>
      </c>
      <c r="C7736" s="638">
        <v>2914.5250000000001</v>
      </c>
      <c r="D7736" s="633">
        <f t="shared" si="246"/>
        <v>2914.5250000000001</v>
      </c>
      <c r="E7736" s="608"/>
      <c r="F7736" s="760">
        <f t="shared" si="247"/>
        <v>1229.6908591105837</v>
      </c>
      <c r="M7736" s="443"/>
    </row>
    <row r="7737" spans="1:13">
      <c r="A7737" s="639">
        <v>111813</v>
      </c>
      <c r="B7737" s="639">
        <v>600</v>
      </c>
      <c r="C7737" s="638">
        <v>3274.299</v>
      </c>
      <c r="D7737" s="633">
        <f t="shared" si="246"/>
        <v>3274.299</v>
      </c>
      <c r="E7737" s="608"/>
      <c r="F7737" s="760">
        <f t="shared" si="247"/>
        <v>1381.4860226949245</v>
      </c>
      <c r="M7737" s="443"/>
    </row>
    <row r="7738" spans="1:13">
      <c r="A7738" s="639">
        <v>111813</v>
      </c>
      <c r="B7738" s="639">
        <v>700</v>
      </c>
      <c r="C7738" s="638">
        <v>3866.4479999999999</v>
      </c>
      <c r="D7738" s="633">
        <f t="shared" si="246"/>
        <v>3866.4479999999999</v>
      </c>
      <c r="E7738" s="608"/>
      <c r="F7738" s="760">
        <f t="shared" si="247"/>
        <v>1631.3244054610607</v>
      </c>
      <c r="M7738" s="443"/>
    </row>
    <row r="7739" spans="1:13">
      <c r="A7739" s="639">
        <v>111813</v>
      </c>
      <c r="B7739" s="639">
        <v>800</v>
      </c>
      <c r="C7739" s="638">
        <v>4098.402</v>
      </c>
      <c r="D7739" s="633">
        <f t="shared" si="246"/>
        <v>4098.402</v>
      </c>
      <c r="E7739" s="608"/>
      <c r="F7739" s="760">
        <f t="shared" si="247"/>
        <v>1729.189997121498</v>
      </c>
      <c r="M7739" s="443"/>
    </row>
    <row r="7740" spans="1:13">
      <c r="A7740" s="639">
        <v>111813</v>
      </c>
      <c r="B7740" s="639">
        <v>900</v>
      </c>
      <c r="C7740" s="638">
        <v>4016.4609999999998</v>
      </c>
      <c r="D7740" s="633">
        <f t="shared" si="246"/>
        <v>4016.4609999999998</v>
      </c>
      <c r="E7740" s="608"/>
      <c r="F7740" s="760">
        <f t="shared" si="247"/>
        <v>1694.6176058445726</v>
      </c>
      <c r="M7740" s="443"/>
    </row>
    <row r="7741" spans="1:13">
      <c r="A7741" s="639">
        <v>111813</v>
      </c>
      <c r="B7741" s="639">
        <v>1000</v>
      </c>
      <c r="C7741" s="638">
        <v>3864.9409999999998</v>
      </c>
      <c r="D7741" s="633">
        <f t="shared" si="246"/>
        <v>3864.9409999999998</v>
      </c>
      <c r="E7741" s="608"/>
      <c r="F7741" s="760">
        <f t="shared" si="247"/>
        <v>1630.6885748798582</v>
      </c>
      <c r="M7741" s="443"/>
    </row>
    <row r="7742" spans="1:13">
      <c r="A7742" s="639">
        <v>111813</v>
      </c>
      <c r="B7742" s="639">
        <v>1100</v>
      </c>
      <c r="C7742" s="638">
        <v>3749.86</v>
      </c>
      <c r="D7742" s="633">
        <f t="shared" si="246"/>
        <v>3749.86</v>
      </c>
      <c r="E7742" s="608"/>
      <c r="F7742" s="760">
        <f t="shared" si="247"/>
        <v>1582.1338176699164</v>
      </c>
      <c r="M7742" s="443"/>
    </row>
    <row r="7743" spans="1:13">
      <c r="A7743" s="639">
        <v>111813</v>
      </c>
      <c r="B7743" s="639">
        <v>1200</v>
      </c>
      <c r="C7743" s="638">
        <v>4055.6770000000001</v>
      </c>
      <c r="D7743" s="633">
        <f t="shared" si="246"/>
        <v>4055.6770000000001</v>
      </c>
      <c r="E7743" s="608"/>
      <c r="F7743" s="760">
        <f t="shared" si="247"/>
        <v>1711.1635461713433</v>
      </c>
      <c r="M7743" s="443"/>
    </row>
    <row r="7744" spans="1:13">
      <c r="A7744" s="639">
        <v>111813</v>
      </c>
      <c r="B7744" s="639">
        <v>1300</v>
      </c>
      <c r="C7744" s="638">
        <v>4054.5010000000002</v>
      </c>
      <c r="D7744" s="633">
        <f t="shared" si="246"/>
        <v>4054.5010000000002</v>
      </c>
      <c r="E7744" s="608"/>
      <c r="F7744" s="760">
        <f t="shared" si="247"/>
        <v>1710.6673704822297</v>
      </c>
      <c r="M7744" s="443"/>
    </row>
    <row r="7745" spans="1:13">
      <c r="A7745" s="639">
        <v>111813</v>
      </c>
      <c r="B7745" s="639">
        <v>1400</v>
      </c>
      <c r="C7745" s="638">
        <v>4078.7539999999999</v>
      </c>
      <c r="D7745" s="633">
        <f t="shared" si="246"/>
        <v>4078.7539999999999</v>
      </c>
      <c r="E7745" s="608"/>
      <c r="F7745" s="760">
        <f t="shared" si="247"/>
        <v>1720.9001502339931</v>
      </c>
      <c r="M7745" s="443"/>
    </row>
    <row r="7746" spans="1:13">
      <c r="A7746" s="639">
        <v>111813</v>
      </c>
      <c r="B7746" s="639">
        <v>1500</v>
      </c>
      <c r="C7746" s="638">
        <v>4053.0520000000001</v>
      </c>
      <c r="D7746" s="633">
        <f t="shared" si="246"/>
        <v>4053.0520000000001</v>
      </c>
      <c r="E7746" s="608"/>
      <c r="F7746" s="760">
        <f t="shared" si="247"/>
        <v>1710.0560111510003</v>
      </c>
      <c r="M7746" s="443"/>
    </row>
    <row r="7747" spans="1:13">
      <c r="A7747" s="639">
        <v>111813</v>
      </c>
      <c r="B7747" s="639">
        <v>1600</v>
      </c>
      <c r="C7747" s="638">
        <v>4254.26</v>
      </c>
      <c r="D7747" s="633">
        <f t="shared" si="246"/>
        <v>4254.26</v>
      </c>
      <c r="E7747" s="608"/>
      <c r="F7747" s="760">
        <f t="shared" si="247"/>
        <v>1794.9493088169743</v>
      </c>
      <c r="M7747" s="443"/>
    </row>
    <row r="7748" spans="1:13">
      <c r="A7748" s="639">
        <v>111813</v>
      </c>
      <c r="B7748" s="639">
        <v>1700</v>
      </c>
      <c r="C7748" s="638">
        <v>4591.6040000000003</v>
      </c>
      <c r="D7748" s="633">
        <f t="shared" si="246"/>
        <v>4591.6040000000003</v>
      </c>
      <c r="E7748" s="608"/>
      <c r="F7748" s="760">
        <f t="shared" si="247"/>
        <v>1937.2808493512982</v>
      </c>
      <c r="M7748" s="443"/>
    </row>
    <row r="7749" spans="1:13">
      <c r="A7749" s="639">
        <v>111813</v>
      </c>
      <c r="B7749" s="639">
        <v>1800</v>
      </c>
      <c r="C7749" s="638">
        <v>5002.2550000000001</v>
      </c>
      <c r="D7749" s="633">
        <f t="shared" ref="D7749:D7812" si="248">C7749</f>
        <v>5002.2550000000001</v>
      </c>
      <c r="E7749" s="608"/>
      <c r="F7749" s="760">
        <f t="shared" si="247"/>
        <v>2110.5419402613506</v>
      </c>
      <c r="M7749" s="443"/>
    </row>
    <row r="7750" spans="1:13">
      <c r="A7750" s="639">
        <v>111813</v>
      </c>
      <c r="B7750" s="639">
        <v>1900</v>
      </c>
      <c r="C7750" s="638">
        <v>5166.7839999999997</v>
      </c>
      <c r="D7750" s="633">
        <f t="shared" si="248"/>
        <v>5166.7839999999997</v>
      </c>
      <c r="E7750" s="608"/>
      <c r="F7750" s="760">
        <f t="shared" si="247"/>
        <v>2179.9597038278339</v>
      </c>
      <c r="M7750" s="443"/>
    </row>
    <row r="7751" spans="1:13">
      <c r="A7751" s="639">
        <v>111813</v>
      </c>
      <c r="B7751" s="639">
        <v>2000</v>
      </c>
      <c r="C7751" s="638">
        <v>5115.51</v>
      </c>
      <c r="D7751" s="633">
        <f t="shared" si="248"/>
        <v>5115.51</v>
      </c>
      <c r="E7751" s="608"/>
      <c r="F7751" s="760">
        <f t="shared" si="247"/>
        <v>2158.3262750152362</v>
      </c>
      <c r="M7751" s="443"/>
    </row>
    <row r="7752" spans="1:13">
      <c r="A7752" s="639">
        <v>111813</v>
      </c>
      <c r="B7752" s="639">
        <v>2100</v>
      </c>
      <c r="C7752" s="638">
        <v>4885.0770000000002</v>
      </c>
      <c r="D7752" s="633">
        <f t="shared" si="248"/>
        <v>4885.0770000000002</v>
      </c>
      <c r="E7752" s="608"/>
      <c r="F7752" s="760">
        <f t="shared" si="247"/>
        <v>2061.1024207894434</v>
      </c>
      <c r="M7752" s="443"/>
    </row>
    <row r="7753" spans="1:13">
      <c r="A7753" s="639">
        <v>111813</v>
      </c>
      <c r="B7753" s="639">
        <v>2200</v>
      </c>
      <c r="C7753" s="638">
        <v>4568.6360000000004</v>
      </c>
      <c r="D7753" s="633">
        <f t="shared" si="248"/>
        <v>4568.6360000000004</v>
      </c>
      <c r="E7753" s="608"/>
      <c r="F7753" s="760">
        <f t="shared" si="247"/>
        <v>1927.5902343618741</v>
      </c>
      <c r="M7753" s="443"/>
    </row>
    <row r="7754" spans="1:13">
      <c r="A7754" s="639">
        <v>111813</v>
      </c>
      <c r="B7754" s="639">
        <v>2300</v>
      </c>
      <c r="C7754" s="638">
        <v>4051.422</v>
      </c>
      <c r="D7754" s="633">
        <f t="shared" si="248"/>
        <v>4051.422</v>
      </c>
      <c r="E7754" s="608"/>
      <c r="F7754" s="760">
        <f t="shared" si="247"/>
        <v>1709.3682846431302</v>
      </c>
      <c r="M7754" s="443"/>
    </row>
    <row r="7755" spans="1:13">
      <c r="A7755" s="639">
        <v>111813</v>
      </c>
      <c r="B7755" s="639">
        <v>2400</v>
      </c>
      <c r="C7755" s="638">
        <v>3518.7339999999999</v>
      </c>
      <c r="D7755" s="633">
        <f t="shared" si="248"/>
        <v>3518.7339999999999</v>
      </c>
      <c r="E7755" s="608"/>
      <c r="F7755" s="760">
        <f t="shared" si="247"/>
        <v>1484.6175741987529</v>
      </c>
      <c r="M7755" s="443"/>
    </row>
    <row r="7756" spans="1:13">
      <c r="A7756" s="639">
        <v>111913</v>
      </c>
      <c r="B7756" s="639">
        <v>100</v>
      </c>
      <c r="C7756" s="638">
        <v>3189.884</v>
      </c>
      <c r="D7756" s="633">
        <f t="shared" si="248"/>
        <v>3189.884</v>
      </c>
      <c r="E7756" s="608"/>
      <c r="F7756" s="760">
        <f t="shared" si="247"/>
        <v>1345.8698060312074</v>
      </c>
      <c r="M7756" s="443"/>
    </row>
    <row r="7757" spans="1:13">
      <c r="A7757" s="639">
        <v>111913</v>
      </c>
      <c r="B7757" s="639">
        <v>200</v>
      </c>
      <c r="C7757" s="638">
        <v>3321.9110000000001</v>
      </c>
      <c r="D7757" s="633">
        <f t="shared" si="248"/>
        <v>3321.9110000000001</v>
      </c>
      <c r="E7757" s="608"/>
      <c r="F7757" s="760">
        <f t="shared" si="247"/>
        <v>1401.5743874143807</v>
      </c>
      <c r="M7757" s="443"/>
    </row>
    <row r="7758" spans="1:13">
      <c r="A7758" s="639">
        <v>111913</v>
      </c>
      <c r="B7758" s="639">
        <v>300</v>
      </c>
      <c r="C7758" s="638">
        <v>3242.7249999999999</v>
      </c>
      <c r="D7758" s="633">
        <f t="shared" si="248"/>
        <v>3242.7249999999999</v>
      </c>
      <c r="E7758" s="608"/>
      <c r="F7758" s="760">
        <f t="shared" si="247"/>
        <v>1368.1643805111871</v>
      </c>
      <c r="M7758" s="443"/>
    </row>
    <row r="7759" spans="1:13">
      <c r="A7759" s="639">
        <v>111913</v>
      </c>
      <c r="B7759" s="639">
        <v>400</v>
      </c>
      <c r="C7759" s="638">
        <v>3262.7950000000001</v>
      </c>
      <c r="D7759" s="633">
        <f t="shared" si="248"/>
        <v>3262.7950000000001</v>
      </c>
      <c r="E7759" s="608"/>
      <c r="F7759" s="760">
        <f t="shared" si="247"/>
        <v>1376.6322768381528</v>
      </c>
      <c r="M7759" s="443"/>
    </row>
    <row r="7760" spans="1:13">
      <c r="A7760" s="639">
        <v>111913</v>
      </c>
      <c r="B7760" s="639">
        <v>500</v>
      </c>
      <c r="C7760" s="638">
        <v>3318.4229999999998</v>
      </c>
      <c r="D7760" s="633">
        <f t="shared" si="248"/>
        <v>3318.4229999999998</v>
      </c>
      <c r="E7760" s="608"/>
      <c r="F7760" s="760">
        <f t="shared" si="247"/>
        <v>1400.1027370711593</v>
      </c>
      <c r="M7760" s="443"/>
    </row>
    <row r="7761" spans="1:13">
      <c r="A7761" s="639">
        <v>111913</v>
      </c>
      <c r="B7761" s="639">
        <v>600</v>
      </c>
      <c r="C7761" s="638">
        <v>3599.3890000000001</v>
      </c>
      <c r="D7761" s="633">
        <f t="shared" si="248"/>
        <v>3599.3890000000001</v>
      </c>
      <c r="E7761" s="608"/>
      <c r="F7761" s="760">
        <f t="shared" si="247"/>
        <v>1518.6473787952359</v>
      </c>
      <c r="M7761" s="443"/>
    </row>
    <row r="7762" spans="1:13">
      <c r="A7762" s="639">
        <v>111913</v>
      </c>
      <c r="B7762" s="639">
        <v>700</v>
      </c>
      <c r="C7762" s="638">
        <v>4191.0919999999996</v>
      </c>
      <c r="D7762" s="633">
        <f t="shared" si="248"/>
        <v>4191.0919999999996</v>
      </c>
      <c r="E7762" s="608"/>
      <c r="F7762" s="760">
        <f t="shared" si="247"/>
        <v>1768.2975860874392</v>
      </c>
      <c r="M7762" s="443"/>
    </row>
    <row r="7763" spans="1:13">
      <c r="A7763" s="639">
        <v>111913</v>
      </c>
      <c r="B7763" s="639">
        <v>800</v>
      </c>
      <c r="C7763" s="638">
        <v>4440.8119999999999</v>
      </c>
      <c r="D7763" s="633">
        <f t="shared" si="248"/>
        <v>4440.8119999999999</v>
      </c>
      <c r="E7763" s="608"/>
      <c r="F7763" s="760">
        <f t="shared" si="247"/>
        <v>1873.6589747655582</v>
      </c>
      <c r="M7763" s="443"/>
    </row>
    <row r="7764" spans="1:13">
      <c r="A7764" s="639">
        <v>111913</v>
      </c>
      <c r="B7764" s="639">
        <v>900</v>
      </c>
      <c r="C7764" s="638">
        <v>4348.6620000000003</v>
      </c>
      <c r="D7764" s="633">
        <f t="shared" si="248"/>
        <v>4348.6620000000003</v>
      </c>
      <c r="E7764" s="608"/>
      <c r="F7764" s="760">
        <f t="shared" si="247"/>
        <v>1834.7792215752306</v>
      </c>
      <c r="M7764" s="443"/>
    </row>
    <row r="7765" spans="1:13">
      <c r="A7765" s="639">
        <v>111913</v>
      </c>
      <c r="B7765" s="639">
        <v>1000</v>
      </c>
      <c r="C7765" s="638">
        <v>4145.8670000000002</v>
      </c>
      <c r="D7765" s="633">
        <f t="shared" si="248"/>
        <v>4145.8670000000002</v>
      </c>
      <c r="E7765" s="608"/>
      <c r="F7765" s="760">
        <f t="shared" si="247"/>
        <v>1749.2163398798152</v>
      </c>
      <c r="M7765" s="443"/>
    </row>
    <row r="7766" spans="1:13">
      <c r="A7766" s="639">
        <v>111913</v>
      </c>
      <c r="B7766" s="639">
        <v>1100</v>
      </c>
      <c r="C7766" s="638">
        <v>3859.0369999999998</v>
      </c>
      <c r="D7766" s="633">
        <f t="shared" si="248"/>
        <v>3859.0369999999998</v>
      </c>
      <c r="E7766" s="608"/>
      <c r="F7766" s="760">
        <f t="shared" si="247"/>
        <v>1628.1975703998178</v>
      </c>
      <c r="M7766" s="443"/>
    </row>
    <row r="7767" spans="1:13">
      <c r="A7767" s="639">
        <v>111913</v>
      </c>
      <c r="B7767" s="639">
        <v>1200</v>
      </c>
      <c r="C7767" s="638">
        <v>3679.3090000000002</v>
      </c>
      <c r="D7767" s="633">
        <f t="shared" si="248"/>
        <v>3679.3090000000002</v>
      </c>
      <c r="E7767" s="608"/>
      <c r="F7767" s="760">
        <f t="shared" si="247"/>
        <v>1552.3670735860228</v>
      </c>
      <c r="M7767" s="443"/>
    </row>
    <row r="7768" spans="1:13">
      <c r="A7768" s="639">
        <v>111913</v>
      </c>
      <c r="B7768" s="639">
        <v>1300</v>
      </c>
      <c r="C7768" s="638">
        <v>3557.5929999999998</v>
      </c>
      <c r="D7768" s="633">
        <f t="shared" si="248"/>
        <v>3557.5929999999998</v>
      </c>
      <c r="E7768" s="608"/>
      <c r="F7768" s="760">
        <f t="shared" si="247"/>
        <v>1501.0128897627567</v>
      </c>
      <c r="M7768" s="443"/>
    </row>
    <row r="7769" spans="1:13">
      <c r="A7769" s="639">
        <v>111913</v>
      </c>
      <c r="B7769" s="639">
        <v>1400</v>
      </c>
      <c r="C7769" s="638">
        <v>3554.056</v>
      </c>
      <c r="D7769" s="633">
        <f t="shared" si="248"/>
        <v>3554.056</v>
      </c>
      <c r="E7769" s="608"/>
      <c r="F7769" s="760">
        <f t="shared" si="247"/>
        <v>1499.5205654324889</v>
      </c>
      <c r="M7769" s="443"/>
    </row>
    <row r="7770" spans="1:13">
      <c r="A7770" s="639">
        <v>111913</v>
      </c>
      <c r="B7770" s="639">
        <v>1500</v>
      </c>
      <c r="C7770" s="638">
        <v>3570.1840000000002</v>
      </c>
      <c r="D7770" s="633">
        <f t="shared" si="248"/>
        <v>3570.1840000000002</v>
      </c>
      <c r="E7770" s="608"/>
      <c r="F7770" s="760">
        <f t="shared" si="247"/>
        <v>1506.3252605974765</v>
      </c>
      <c r="M7770" s="443"/>
    </row>
    <row r="7771" spans="1:13">
      <c r="A7771" s="639">
        <v>111913</v>
      </c>
      <c r="B7771" s="639">
        <v>1600</v>
      </c>
      <c r="C7771" s="638">
        <v>3844.2730000000001</v>
      </c>
      <c r="D7771" s="633">
        <f t="shared" si="248"/>
        <v>3844.2730000000001</v>
      </c>
      <c r="E7771" s="608"/>
      <c r="F7771" s="760">
        <f t="shared" si="247"/>
        <v>1621.9683715273056</v>
      </c>
      <c r="M7771" s="443"/>
    </row>
    <row r="7772" spans="1:13">
      <c r="A7772" s="639">
        <v>111913</v>
      </c>
      <c r="B7772" s="639">
        <v>1700</v>
      </c>
      <c r="C7772" s="638">
        <v>4354.0169999999998</v>
      </c>
      <c r="D7772" s="633">
        <f t="shared" si="248"/>
        <v>4354.0169999999998</v>
      </c>
      <c r="E7772" s="608"/>
      <c r="F7772" s="760">
        <f t="shared" ref="F7772:F7835" si="249">(D7772/(MAX($D$7324:$D$8043)))*$M$14</f>
        <v>1837.0385930167301</v>
      </c>
      <c r="M7772" s="443"/>
    </row>
    <row r="7773" spans="1:13">
      <c r="A7773" s="639">
        <v>111913</v>
      </c>
      <c r="B7773" s="639">
        <v>1800</v>
      </c>
      <c r="C7773" s="638">
        <v>4938.3999999999996</v>
      </c>
      <c r="D7773" s="633">
        <f t="shared" si="248"/>
        <v>4938.3999999999996</v>
      </c>
      <c r="E7773" s="608"/>
      <c r="F7773" s="760">
        <f t="shared" si="249"/>
        <v>2083.600359795063</v>
      </c>
      <c r="M7773" s="443"/>
    </row>
    <row r="7774" spans="1:13">
      <c r="A7774" s="639">
        <v>111913</v>
      </c>
      <c r="B7774" s="639">
        <v>1900</v>
      </c>
      <c r="C7774" s="638">
        <v>5199.692</v>
      </c>
      <c r="D7774" s="633">
        <f t="shared" si="248"/>
        <v>5199.692</v>
      </c>
      <c r="E7774" s="608"/>
      <c r="F7774" s="760">
        <f t="shared" si="249"/>
        <v>2193.844184760957</v>
      </c>
      <c r="M7774" s="443"/>
    </row>
    <row r="7775" spans="1:13">
      <c r="A7775" s="639">
        <v>111913</v>
      </c>
      <c r="B7775" s="639">
        <v>2000</v>
      </c>
      <c r="C7775" s="638">
        <v>5161.4260000000004</v>
      </c>
      <c r="D7775" s="633">
        <f t="shared" si="248"/>
        <v>5161.4260000000004</v>
      </c>
      <c r="E7775" s="608"/>
      <c r="F7775" s="760">
        <f t="shared" si="249"/>
        <v>2177.6990666320253</v>
      </c>
      <c r="M7775" s="443"/>
    </row>
    <row r="7776" spans="1:13">
      <c r="A7776" s="639">
        <v>111913</v>
      </c>
      <c r="B7776" s="639">
        <v>2100</v>
      </c>
      <c r="C7776" s="638">
        <v>5070.7920000000004</v>
      </c>
      <c r="D7776" s="633">
        <f t="shared" si="248"/>
        <v>5070.7920000000004</v>
      </c>
      <c r="E7776" s="608"/>
      <c r="F7776" s="760">
        <f t="shared" si="249"/>
        <v>2139.4589412858272</v>
      </c>
      <c r="M7776" s="443"/>
    </row>
    <row r="7777" spans="1:13">
      <c r="A7777" s="639">
        <v>111913</v>
      </c>
      <c r="B7777" s="639">
        <v>2200</v>
      </c>
      <c r="C7777" s="638">
        <v>4694.9870000000001</v>
      </c>
      <c r="D7777" s="633">
        <f t="shared" si="248"/>
        <v>4694.9870000000001</v>
      </c>
      <c r="E7777" s="608"/>
      <c r="F7777" s="760">
        <f t="shared" si="249"/>
        <v>1980.9000085924881</v>
      </c>
      <c r="M7777" s="443"/>
    </row>
    <row r="7778" spans="1:13">
      <c r="A7778" s="639">
        <v>111913</v>
      </c>
      <c r="B7778" s="639">
        <v>2300</v>
      </c>
      <c r="C7778" s="638">
        <v>4164.6790000000001</v>
      </c>
      <c r="D7778" s="633">
        <f t="shared" si="248"/>
        <v>4164.6790000000001</v>
      </c>
      <c r="E7778" s="608"/>
      <c r="F7778" s="760">
        <f t="shared" si="249"/>
        <v>1757.1534632332221</v>
      </c>
      <c r="M7778" s="443"/>
    </row>
    <row r="7779" spans="1:13">
      <c r="A7779" s="639">
        <v>111913</v>
      </c>
      <c r="B7779" s="639">
        <v>2400</v>
      </c>
      <c r="C7779" s="638">
        <v>3591.5320000000002</v>
      </c>
      <c r="D7779" s="633">
        <f t="shared" si="248"/>
        <v>3591.5320000000002</v>
      </c>
      <c r="E7779" s="608"/>
      <c r="F7779" s="760">
        <f t="shared" si="249"/>
        <v>1515.3323682600605</v>
      </c>
      <c r="M7779" s="443"/>
    </row>
    <row r="7780" spans="1:13">
      <c r="A7780" s="639">
        <v>112013</v>
      </c>
      <c r="B7780" s="639">
        <v>100</v>
      </c>
      <c r="C7780" s="638">
        <v>3359.26</v>
      </c>
      <c r="D7780" s="633">
        <f t="shared" si="248"/>
        <v>3359.26</v>
      </c>
      <c r="E7780" s="608"/>
      <c r="F7780" s="760">
        <f t="shared" si="249"/>
        <v>1417.3326066428731</v>
      </c>
      <c r="M7780" s="443"/>
    </row>
    <row r="7781" spans="1:13">
      <c r="A7781" s="639">
        <v>112013</v>
      </c>
      <c r="B7781" s="639">
        <v>200</v>
      </c>
      <c r="C7781" s="638">
        <v>3477.7779999999998</v>
      </c>
      <c r="D7781" s="633">
        <f t="shared" si="248"/>
        <v>3477.7779999999998</v>
      </c>
      <c r="E7781" s="608"/>
      <c r="F7781" s="760">
        <f t="shared" si="249"/>
        <v>1467.3374963727836</v>
      </c>
      <c r="M7781" s="443"/>
    </row>
    <row r="7782" spans="1:13">
      <c r="A7782" s="639">
        <v>112013</v>
      </c>
      <c r="B7782" s="639">
        <v>300</v>
      </c>
      <c r="C7782" s="638">
        <v>3441.16</v>
      </c>
      <c r="D7782" s="633">
        <f t="shared" si="248"/>
        <v>3441.16</v>
      </c>
      <c r="E7782" s="608"/>
      <c r="F7782" s="760">
        <f t="shared" si="249"/>
        <v>1451.8876992775756</v>
      </c>
      <c r="M7782" s="443"/>
    </row>
    <row r="7783" spans="1:13">
      <c r="A7783" s="639">
        <v>112013</v>
      </c>
      <c r="B7783" s="639">
        <v>400</v>
      </c>
      <c r="C7783" s="638">
        <v>3444.3989999999999</v>
      </c>
      <c r="D7783" s="633">
        <f t="shared" si="248"/>
        <v>3444.3989999999999</v>
      </c>
      <c r="E7783" s="608"/>
      <c r="F7783" s="760">
        <f t="shared" si="249"/>
        <v>1453.2542920131532</v>
      </c>
      <c r="M7783" s="443"/>
    </row>
    <row r="7784" spans="1:13">
      <c r="A7784" s="639">
        <v>112013</v>
      </c>
      <c r="B7784" s="639">
        <v>500</v>
      </c>
      <c r="C7784" s="638">
        <v>3542.9549999999999</v>
      </c>
      <c r="D7784" s="633">
        <f t="shared" si="248"/>
        <v>3542.9549999999999</v>
      </c>
      <c r="E7784" s="608"/>
      <c r="F7784" s="760">
        <f t="shared" si="249"/>
        <v>1494.836852571221</v>
      </c>
      <c r="M7784" s="443"/>
    </row>
    <row r="7785" spans="1:13">
      <c r="A7785" s="639">
        <v>112013</v>
      </c>
      <c r="B7785" s="639">
        <v>600</v>
      </c>
      <c r="C7785" s="638">
        <v>3906.11</v>
      </c>
      <c r="D7785" s="633">
        <f t="shared" si="248"/>
        <v>3906.11</v>
      </c>
      <c r="E7785" s="608"/>
      <c r="F7785" s="760">
        <f t="shared" si="249"/>
        <v>1648.0585212617636</v>
      </c>
      <c r="M7785" s="443"/>
    </row>
    <row r="7786" spans="1:13">
      <c r="A7786" s="639">
        <v>112013</v>
      </c>
      <c r="B7786" s="639">
        <v>700</v>
      </c>
      <c r="C7786" s="638">
        <v>4482.3540000000003</v>
      </c>
      <c r="D7786" s="633">
        <f t="shared" si="248"/>
        <v>4482.3540000000003</v>
      </c>
      <c r="E7786" s="608"/>
      <c r="F7786" s="760">
        <f t="shared" si="249"/>
        <v>1891.1862965998787</v>
      </c>
      <c r="M7786" s="443"/>
    </row>
    <row r="7787" spans="1:13">
      <c r="A7787" s="639">
        <v>112013</v>
      </c>
      <c r="B7787" s="639">
        <v>800</v>
      </c>
      <c r="C7787" s="638">
        <v>4689.192</v>
      </c>
      <c r="D7787" s="633">
        <f t="shared" si="248"/>
        <v>4689.192</v>
      </c>
      <c r="E7787" s="608"/>
      <c r="F7787" s="760">
        <f t="shared" si="249"/>
        <v>1978.4549931856739</v>
      </c>
      <c r="M7787" s="443"/>
    </row>
    <row r="7788" spans="1:13">
      <c r="A7788" s="639">
        <v>112013</v>
      </c>
      <c r="B7788" s="639">
        <v>900</v>
      </c>
      <c r="C7788" s="638">
        <v>4481.3860000000004</v>
      </c>
      <c r="D7788" s="633">
        <f t="shared" si="248"/>
        <v>4481.3860000000004</v>
      </c>
      <c r="E7788" s="608"/>
      <c r="F7788" s="760">
        <f t="shared" si="249"/>
        <v>1890.7778798761865</v>
      </c>
      <c r="M7788" s="443"/>
    </row>
    <row r="7789" spans="1:13">
      <c r="A7789" s="639">
        <v>112013</v>
      </c>
      <c r="B7789" s="639">
        <v>1000</v>
      </c>
      <c r="C7789" s="638">
        <v>4061.9340000000002</v>
      </c>
      <c r="D7789" s="633">
        <f t="shared" si="248"/>
        <v>4061.9340000000002</v>
      </c>
      <c r="E7789" s="608"/>
      <c r="F7789" s="760">
        <f t="shared" si="249"/>
        <v>1713.8034877417383</v>
      </c>
      <c r="M7789" s="443"/>
    </row>
    <row r="7790" spans="1:13">
      <c r="A7790" s="639">
        <v>112013</v>
      </c>
      <c r="B7790" s="639">
        <v>1100</v>
      </c>
      <c r="C7790" s="638">
        <v>3788.643</v>
      </c>
      <c r="D7790" s="633">
        <f t="shared" si="248"/>
        <v>3788.643</v>
      </c>
      <c r="E7790" s="608"/>
      <c r="F7790" s="760">
        <f t="shared" si="249"/>
        <v>1598.4970674580932</v>
      </c>
      <c r="M7790" s="443"/>
    </row>
    <row r="7791" spans="1:13">
      <c r="A7791" s="639">
        <v>112013</v>
      </c>
      <c r="B7791" s="639">
        <v>1200</v>
      </c>
      <c r="C7791" s="638">
        <v>3553.578</v>
      </c>
      <c r="D7791" s="633">
        <f t="shared" si="248"/>
        <v>3553.578</v>
      </c>
      <c r="E7791" s="608"/>
      <c r="F7791" s="760">
        <f t="shared" si="249"/>
        <v>1499.3188885792606</v>
      </c>
      <c r="M7791" s="443"/>
    </row>
    <row r="7792" spans="1:13">
      <c r="A7792" s="639">
        <v>112013</v>
      </c>
      <c r="B7792" s="639">
        <v>1300</v>
      </c>
      <c r="C7792" s="638">
        <v>3519.4140000000002</v>
      </c>
      <c r="D7792" s="633">
        <f t="shared" si="248"/>
        <v>3519.4140000000002</v>
      </c>
      <c r="E7792" s="608"/>
      <c r="F7792" s="760">
        <f t="shared" si="249"/>
        <v>1484.9044785087849</v>
      </c>
      <c r="M7792" s="443"/>
    </row>
    <row r="7793" spans="1:13">
      <c r="A7793" s="639">
        <v>112013</v>
      </c>
      <c r="B7793" s="639">
        <v>1400</v>
      </c>
      <c r="C7793" s="638">
        <v>3588.779</v>
      </c>
      <c r="D7793" s="633">
        <f t="shared" si="248"/>
        <v>3588.779</v>
      </c>
      <c r="E7793" s="608"/>
      <c r="F7793" s="760">
        <f t="shared" si="249"/>
        <v>1514.1708277225348</v>
      </c>
      <c r="M7793" s="443"/>
    </row>
    <row r="7794" spans="1:13">
      <c r="A7794" s="639">
        <v>112013</v>
      </c>
      <c r="B7794" s="639">
        <v>1500</v>
      </c>
      <c r="C7794" s="638">
        <v>3625.4209999999998</v>
      </c>
      <c r="D7794" s="633">
        <f t="shared" si="248"/>
        <v>3625.4209999999998</v>
      </c>
      <c r="E7794" s="608"/>
      <c r="F7794" s="760">
        <f t="shared" si="249"/>
        <v>1529.6307508522145</v>
      </c>
      <c r="M7794" s="443"/>
    </row>
    <row r="7795" spans="1:13">
      <c r="A7795" s="639">
        <v>112013</v>
      </c>
      <c r="B7795" s="639">
        <v>1600</v>
      </c>
      <c r="C7795" s="638">
        <v>4008.5540000000001</v>
      </c>
      <c r="D7795" s="633">
        <f t="shared" si="248"/>
        <v>4008.5540000000001</v>
      </c>
      <c r="E7795" s="608"/>
      <c r="F7795" s="760">
        <f t="shared" si="249"/>
        <v>1691.2814994042483</v>
      </c>
      <c r="M7795" s="443"/>
    </row>
    <row r="7796" spans="1:13">
      <c r="A7796" s="639">
        <v>112013</v>
      </c>
      <c r="B7796" s="639">
        <v>1700</v>
      </c>
      <c r="C7796" s="638">
        <v>4451.9070000000002</v>
      </c>
      <c r="D7796" s="633">
        <f t="shared" si="248"/>
        <v>4451.9070000000002</v>
      </c>
      <c r="E7796" s="608"/>
      <c r="F7796" s="760">
        <f t="shared" si="249"/>
        <v>1878.3401561182084</v>
      </c>
      <c r="M7796" s="443"/>
    </row>
    <row r="7797" spans="1:13">
      <c r="A7797" s="639">
        <v>112013</v>
      </c>
      <c r="B7797" s="639">
        <v>1800</v>
      </c>
      <c r="C7797" s="638">
        <v>5103.2290000000003</v>
      </c>
      <c r="D7797" s="633">
        <f t="shared" si="248"/>
        <v>5103.2290000000003</v>
      </c>
      <c r="E7797" s="608"/>
      <c r="F7797" s="760">
        <f t="shared" si="249"/>
        <v>2153.1446987924433</v>
      </c>
      <c r="M7797" s="443"/>
    </row>
    <row r="7798" spans="1:13">
      <c r="A7798" s="639">
        <v>112013</v>
      </c>
      <c r="B7798" s="639">
        <v>1900</v>
      </c>
      <c r="C7798" s="638">
        <v>5237.3509999999997</v>
      </c>
      <c r="D7798" s="633">
        <f t="shared" si="248"/>
        <v>5237.3509999999997</v>
      </c>
      <c r="E7798" s="608"/>
      <c r="F7798" s="760">
        <f t="shared" si="249"/>
        <v>2209.7331986013755</v>
      </c>
      <c r="M7798" s="443"/>
    </row>
    <row r="7799" spans="1:13">
      <c r="A7799" s="639">
        <v>112013</v>
      </c>
      <c r="B7799" s="639">
        <v>2000</v>
      </c>
      <c r="C7799" s="638">
        <v>5099.951</v>
      </c>
      <c r="D7799" s="633">
        <f t="shared" si="248"/>
        <v>5099.951</v>
      </c>
      <c r="E7799" s="608"/>
      <c r="F7799" s="760">
        <f t="shared" si="249"/>
        <v>2151.7616512508489</v>
      </c>
      <c r="M7799" s="443"/>
    </row>
    <row r="7800" spans="1:13">
      <c r="A7800" s="639">
        <v>112013</v>
      </c>
      <c r="B7800" s="639">
        <v>2100</v>
      </c>
      <c r="C7800" s="638">
        <v>4928.0540000000001</v>
      </c>
      <c r="D7800" s="633">
        <f t="shared" si="248"/>
        <v>4928.0540000000001</v>
      </c>
      <c r="E7800" s="608"/>
      <c r="F7800" s="760">
        <f t="shared" si="249"/>
        <v>2079.2351951015512</v>
      </c>
      <c r="M7800" s="443"/>
    </row>
    <row r="7801" spans="1:13">
      <c r="A7801" s="639">
        <v>112013</v>
      </c>
      <c r="B7801" s="639">
        <v>2200</v>
      </c>
      <c r="C7801" s="638">
        <v>4635.5370000000003</v>
      </c>
      <c r="D7801" s="633">
        <f t="shared" si="248"/>
        <v>4635.5370000000003</v>
      </c>
      <c r="E7801" s="608"/>
      <c r="F7801" s="760">
        <f t="shared" si="249"/>
        <v>1955.8169773698623</v>
      </c>
      <c r="M7801" s="443"/>
    </row>
    <row r="7802" spans="1:13">
      <c r="A7802" s="639">
        <v>112013</v>
      </c>
      <c r="B7802" s="639">
        <v>2300</v>
      </c>
      <c r="C7802" s="638">
        <v>4104.0519999999997</v>
      </c>
      <c r="D7802" s="633">
        <f t="shared" si="248"/>
        <v>4104.0519999999997</v>
      </c>
      <c r="E7802" s="608"/>
      <c r="F7802" s="760">
        <f t="shared" si="249"/>
        <v>1731.5738344033791</v>
      </c>
      <c r="M7802" s="443"/>
    </row>
    <row r="7803" spans="1:13">
      <c r="A7803" s="639">
        <v>112013</v>
      </c>
      <c r="B7803" s="639">
        <v>2400</v>
      </c>
      <c r="C7803" s="638">
        <v>3564.0650000000001</v>
      </c>
      <c r="D7803" s="633">
        <f t="shared" si="248"/>
        <v>3564.0650000000001</v>
      </c>
      <c r="E7803" s="608"/>
      <c r="F7803" s="760">
        <f t="shared" si="249"/>
        <v>1503.7435437252941</v>
      </c>
      <c r="M7803" s="443"/>
    </row>
    <row r="7804" spans="1:13">
      <c r="A7804" s="639">
        <v>112113</v>
      </c>
      <c r="B7804" s="639">
        <v>100</v>
      </c>
      <c r="C7804" s="638">
        <v>3300.346</v>
      </c>
      <c r="D7804" s="633">
        <f t="shared" si="248"/>
        <v>3300.346</v>
      </c>
      <c r="E7804" s="608"/>
      <c r="F7804" s="760">
        <f t="shared" si="249"/>
        <v>1392.4757235234483</v>
      </c>
      <c r="M7804" s="443"/>
    </row>
    <row r="7805" spans="1:13">
      <c r="A7805" s="639">
        <v>112113</v>
      </c>
      <c r="B7805" s="639">
        <v>200</v>
      </c>
      <c r="C7805" s="638">
        <v>3402.3440000000001</v>
      </c>
      <c r="D7805" s="633">
        <f t="shared" si="248"/>
        <v>3402.3440000000001</v>
      </c>
      <c r="E7805" s="608"/>
      <c r="F7805" s="760">
        <f t="shared" si="249"/>
        <v>1435.5105261920003</v>
      </c>
      <c r="M7805" s="443"/>
    </row>
    <row r="7806" spans="1:13">
      <c r="A7806" s="639">
        <v>112113</v>
      </c>
      <c r="B7806" s="639">
        <v>300</v>
      </c>
      <c r="C7806" s="638">
        <v>3359.5880000000002</v>
      </c>
      <c r="D7806" s="633">
        <f t="shared" si="248"/>
        <v>3359.5880000000002</v>
      </c>
      <c r="E7806" s="608"/>
      <c r="F7806" s="760">
        <f t="shared" si="249"/>
        <v>1417.4709957806529</v>
      </c>
      <c r="M7806" s="443"/>
    </row>
    <row r="7807" spans="1:13">
      <c r="A7807" s="639">
        <v>112113</v>
      </c>
      <c r="B7807" s="639">
        <v>400</v>
      </c>
      <c r="C7807" s="638">
        <v>3354.8690000000001</v>
      </c>
      <c r="D7807" s="633">
        <f t="shared" si="248"/>
        <v>3354.8690000000001</v>
      </c>
      <c r="E7807" s="608"/>
      <c r="F7807" s="760">
        <f t="shared" si="249"/>
        <v>1415.4799642526534</v>
      </c>
      <c r="M7807" s="443"/>
    </row>
    <row r="7808" spans="1:13">
      <c r="A7808" s="639">
        <v>112113</v>
      </c>
      <c r="B7808" s="639">
        <v>500</v>
      </c>
      <c r="C7808" s="638">
        <v>3427.9589999999998</v>
      </c>
      <c r="D7808" s="633">
        <f t="shared" si="248"/>
        <v>3427.9589999999998</v>
      </c>
      <c r="E7808" s="608"/>
      <c r="F7808" s="760">
        <f t="shared" si="249"/>
        <v>1446.3179584000334</v>
      </c>
      <c r="M7808" s="443"/>
    </row>
    <row r="7809" spans="1:13">
      <c r="A7809" s="639">
        <v>112113</v>
      </c>
      <c r="B7809" s="639">
        <v>600</v>
      </c>
      <c r="C7809" s="638">
        <v>3785.8359999999998</v>
      </c>
      <c r="D7809" s="633">
        <f t="shared" si="248"/>
        <v>3785.8359999999998</v>
      </c>
      <c r="E7809" s="608"/>
      <c r="F7809" s="760">
        <f t="shared" si="249"/>
        <v>1597.3127433430061</v>
      </c>
      <c r="M7809" s="443"/>
    </row>
    <row r="7810" spans="1:13">
      <c r="A7810" s="639">
        <v>112113</v>
      </c>
      <c r="B7810" s="639">
        <v>700</v>
      </c>
      <c r="C7810" s="638">
        <v>4344.2719999999999</v>
      </c>
      <c r="D7810" s="633">
        <f t="shared" si="248"/>
        <v>4344.2719999999999</v>
      </c>
      <c r="E7810" s="608"/>
      <c r="F7810" s="760">
        <f t="shared" si="249"/>
        <v>1832.9270011031142</v>
      </c>
      <c r="M7810" s="443"/>
    </row>
    <row r="7811" spans="1:13">
      <c r="A7811" s="639">
        <v>112113</v>
      </c>
      <c r="B7811" s="639">
        <v>800</v>
      </c>
      <c r="C7811" s="638">
        <v>4610.634</v>
      </c>
      <c r="D7811" s="633">
        <f t="shared" si="248"/>
        <v>4610.634</v>
      </c>
      <c r="E7811" s="608"/>
      <c r="F7811" s="760">
        <f t="shared" si="249"/>
        <v>1945.3099508511566</v>
      </c>
      <c r="M7811" s="443"/>
    </row>
    <row r="7812" spans="1:13">
      <c r="A7812" s="639">
        <v>112113</v>
      </c>
      <c r="B7812" s="639">
        <v>900</v>
      </c>
      <c r="C7812" s="638">
        <v>4491.0450000000001</v>
      </c>
      <c r="D7812" s="633">
        <f t="shared" si="248"/>
        <v>4491.0450000000001</v>
      </c>
      <c r="E7812" s="608"/>
      <c r="F7812" s="760">
        <f t="shared" si="249"/>
        <v>1894.8531868329458</v>
      </c>
      <c r="M7812" s="443"/>
    </row>
    <row r="7813" spans="1:13">
      <c r="A7813" s="639">
        <v>112113</v>
      </c>
      <c r="B7813" s="639">
        <v>1000</v>
      </c>
      <c r="C7813" s="638">
        <v>4294.1790000000001</v>
      </c>
      <c r="D7813" s="633">
        <f t="shared" ref="D7813:D7876" si="250">C7813</f>
        <v>4294.1790000000001</v>
      </c>
      <c r="E7813" s="608"/>
      <c r="F7813" s="760">
        <f t="shared" si="249"/>
        <v>1811.7918575701451</v>
      </c>
      <c r="M7813" s="443"/>
    </row>
    <row r="7814" spans="1:13">
      <c r="A7814" s="639">
        <v>112113</v>
      </c>
      <c r="B7814" s="639">
        <v>1100</v>
      </c>
      <c r="C7814" s="638">
        <v>4162.4660000000003</v>
      </c>
      <c r="D7814" s="633">
        <f t="shared" si="250"/>
        <v>4162.4660000000003</v>
      </c>
      <c r="E7814" s="608"/>
      <c r="F7814" s="760">
        <f t="shared" si="249"/>
        <v>1756.2197584713101</v>
      </c>
      <c r="M7814" s="443"/>
    </row>
    <row r="7815" spans="1:13">
      <c r="A7815" s="639">
        <v>112113</v>
      </c>
      <c r="B7815" s="639">
        <v>1200</v>
      </c>
      <c r="C7815" s="638">
        <v>4163.68</v>
      </c>
      <c r="D7815" s="633">
        <f t="shared" si="250"/>
        <v>4163.68</v>
      </c>
      <c r="E7815" s="608"/>
      <c r="F7815" s="760">
        <f t="shared" si="249"/>
        <v>1756.7319670483373</v>
      </c>
      <c r="M7815" s="443"/>
    </row>
    <row r="7816" spans="1:13">
      <c r="A7816" s="639">
        <v>112113</v>
      </c>
      <c r="B7816" s="639">
        <v>1300</v>
      </c>
      <c r="C7816" s="638">
        <v>4156.0739999999996</v>
      </c>
      <c r="D7816" s="633">
        <f t="shared" si="250"/>
        <v>4156.0739999999996</v>
      </c>
      <c r="E7816" s="608"/>
      <c r="F7816" s="760">
        <f t="shared" si="249"/>
        <v>1753.5228579570116</v>
      </c>
      <c r="M7816" s="443"/>
    </row>
    <row r="7817" spans="1:13">
      <c r="A7817" s="639">
        <v>112113</v>
      </c>
      <c r="B7817" s="639">
        <v>1400</v>
      </c>
      <c r="C7817" s="638">
        <v>4077.4189999999999</v>
      </c>
      <c r="D7817" s="633">
        <f t="shared" si="250"/>
        <v>4077.4189999999999</v>
      </c>
      <c r="E7817" s="608"/>
      <c r="F7817" s="760">
        <f t="shared" si="249"/>
        <v>1720.3368895665046</v>
      </c>
      <c r="M7817" s="443"/>
    </row>
    <row r="7818" spans="1:13">
      <c r="A7818" s="639">
        <v>112113</v>
      </c>
      <c r="B7818" s="639">
        <v>1500</v>
      </c>
      <c r="C7818" s="638">
        <v>4117.3209999999999</v>
      </c>
      <c r="D7818" s="633">
        <f t="shared" si="250"/>
        <v>4117.3209999999999</v>
      </c>
      <c r="E7818" s="608"/>
      <c r="F7818" s="760">
        <f t="shared" si="249"/>
        <v>1737.1722657119246</v>
      </c>
      <c r="M7818" s="443"/>
    </row>
    <row r="7819" spans="1:13">
      <c r="A7819" s="639">
        <v>112113</v>
      </c>
      <c r="B7819" s="639">
        <v>1600</v>
      </c>
      <c r="C7819" s="638">
        <v>4197.4809999999998</v>
      </c>
      <c r="D7819" s="633">
        <f t="shared" si="250"/>
        <v>4197.4809999999998</v>
      </c>
      <c r="E7819" s="608"/>
      <c r="F7819" s="760">
        <f t="shared" si="249"/>
        <v>1770.9932208474283</v>
      </c>
      <c r="M7819" s="443"/>
    </row>
    <row r="7820" spans="1:13">
      <c r="A7820" s="639">
        <v>112113</v>
      </c>
      <c r="B7820" s="639">
        <v>1700</v>
      </c>
      <c r="C7820" s="638">
        <v>4628.03</v>
      </c>
      <c r="D7820" s="633">
        <f t="shared" si="250"/>
        <v>4628.03</v>
      </c>
      <c r="E7820" s="608"/>
      <c r="F7820" s="760">
        <f t="shared" si="249"/>
        <v>1952.6496381707325</v>
      </c>
      <c r="M7820" s="443"/>
    </row>
    <row r="7821" spans="1:13">
      <c r="A7821" s="639">
        <v>112113</v>
      </c>
      <c r="B7821" s="639">
        <v>1800</v>
      </c>
      <c r="C7821" s="638">
        <v>4994.7479999999996</v>
      </c>
      <c r="D7821" s="633">
        <f t="shared" si="250"/>
        <v>4994.7479999999996</v>
      </c>
      <c r="E7821" s="608"/>
      <c r="F7821" s="760">
        <f t="shared" si="249"/>
        <v>2107.3746010622208</v>
      </c>
      <c r="M7821" s="443"/>
    </row>
    <row r="7822" spans="1:13">
      <c r="A7822" s="639">
        <v>112113</v>
      </c>
      <c r="B7822" s="639">
        <v>1900</v>
      </c>
      <c r="C7822" s="638">
        <v>4974.4669999999996</v>
      </c>
      <c r="D7822" s="633">
        <f t="shared" si="250"/>
        <v>4974.4669999999996</v>
      </c>
      <c r="E7822" s="608"/>
      <c r="F7822" s="760">
        <f t="shared" si="249"/>
        <v>2098.8176800155247</v>
      </c>
      <c r="M7822" s="443"/>
    </row>
    <row r="7823" spans="1:13">
      <c r="A7823" s="639">
        <v>112113</v>
      </c>
      <c r="B7823" s="639">
        <v>2000</v>
      </c>
      <c r="C7823" s="638">
        <v>4874.6469999999999</v>
      </c>
      <c r="D7823" s="633">
        <f t="shared" si="250"/>
        <v>4874.6469999999999</v>
      </c>
      <c r="E7823" s="608"/>
      <c r="F7823" s="760">
        <f t="shared" si="249"/>
        <v>2056.7018149752803</v>
      </c>
      <c r="M7823" s="443"/>
    </row>
    <row r="7824" spans="1:13">
      <c r="A7824" s="639">
        <v>112113</v>
      </c>
      <c r="B7824" s="639">
        <v>2100</v>
      </c>
      <c r="C7824" s="638">
        <v>4766.5959999999995</v>
      </c>
      <c r="D7824" s="633">
        <f t="shared" si="250"/>
        <v>4766.5959999999995</v>
      </c>
      <c r="E7824" s="608"/>
      <c r="F7824" s="760">
        <f t="shared" si="249"/>
        <v>2011.113142029343</v>
      </c>
      <c r="M7824" s="443"/>
    </row>
    <row r="7825" spans="1:13">
      <c r="A7825" s="639">
        <v>112113</v>
      </c>
      <c r="B7825" s="639">
        <v>2200</v>
      </c>
      <c r="C7825" s="638">
        <v>4437.7879999999996</v>
      </c>
      <c r="D7825" s="633">
        <f t="shared" si="250"/>
        <v>4437.7879999999996</v>
      </c>
      <c r="E7825" s="608"/>
      <c r="F7825" s="760">
        <f t="shared" si="249"/>
        <v>1872.3830944221229</v>
      </c>
      <c r="M7825" s="443"/>
    </row>
    <row r="7826" spans="1:13">
      <c r="A7826" s="639">
        <v>112113</v>
      </c>
      <c r="B7826" s="639">
        <v>2300</v>
      </c>
      <c r="C7826" s="638">
        <v>3885.3339999999998</v>
      </c>
      <c r="D7826" s="633">
        <f t="shared" si="250"/>
        <v>3885.3339999999998</v>
      </c>
      <c r="E7826" s="608"/>
      <c r="F7826" s="760">
        <f t="shared" si="249"/>
        <v>1639.2927507540887</v>
      </c>
      <c r="M7826" s="443"/>
    </row>
    <row r="7827" spans="1:13">
      <c r="A7827" s="639">
        <v>112113</v>
      </c>
      <c r="B7827" s="639">
        <v>2400</v>
      </c>
      <c r="C7827" s="638">
        <v>3309.6469999999999</v>
      </c>
      <c r="D7827" s="633">
        <f t="shared" si="250"/>
        <v>3309.6469999999999</v>
      </c>
      <c r="E7827" s="608"/>
      <c r="F7827" s="760">
        <f t="shared" si="249"/>
        <v>1396.3999837993381</v>
      </c>
      <c r="M7827" s="443"/>
    </row>
    <row r="7828" spans="1:13">
      <c r="A7828" s="639">
        <v>112213</v>
      </c>
      <c r="B7828" s="639">
        <v>100</v>
      </c>
      <c r="C7828" s="638">
        <v>3018.3710000000001</v>
      </c>
      <c r="D7828" s="633">
        <f t="shared" si="250"/>
        <v>3018.3710000000001</v>
      </c>
      <c r="E7828" s="608"/>
      <c r="F7828" s="760">
        <f t="shared" si="249"/>
        <v>1273.5053664334571</v>
      </c>
      <c r="M7828" s="443"/>
    </row>
    <row r="7829" spans="1:13">
      <c r="A7829" s="639">
        <v>112213</v>
      </c>
      <c r="B7829" s="639">
        <v>200</v>
      </c>
      <c r="C7829" s="638">
        <v>3064.201</v>
      </c>
      <c r="D7829" s="633">
        <f t="shared" si="250"/>
        <v>3064.201</v>
      </c>
      <c r="E7829" s="608"/>
      <c r="F7829" s="760">
        <f t="shared" si="249"/>
        <v>1292.841873093389</v>
      </c>
      <c r="M7829" s="443"/>
    </row>
    <row r="7830" spans="1:13">
      <c r="A7830" s="639">
        <v>112213</v>
      </c>
      <c r="B7830" s="639">
        <v>300</v>
      </c>
      <c r="C7830" s="638">
        <v>3025.346</v>
      </c>
      <c r="D7830" s="633">
        <f t="shared" si="250"/>
        <v>3025.346</v>
      </c>
      <c r="E7830" s="608"/>
      <c r="F7830" s="760">
        <f t="shared" si="249"/>
        <v>1276.4482452017969</v>
      </c>
      <c r="M7830" s="443"/>
    </row>
    <row r="7831" spans="1:13">
      <c r="A7831" s="639">
        <v>112213</v>
      </c>
      <c r="B7831" s="639">
        <v>400</v>
      </c>
      <c r="C7831" s="638">
        <v>3003.9050000000002</v>
      </c>
      <c r="D7831" s="633">
        <f t="shared" si="250"/>
        <v>3003.9050000000002</v>
      </c>
      <c r="E7831" s="608"/>
      <c r="F7831" s="760">
        <f t="shared" si="249"/>
        <v>1267.4018991556352</v>
      </c>
      <c r="M7831" s="443"/>
    </row>
    <row r="7832" spans="1:13">
      <c r="A7832" s="639">
        <v>112213</v>
      </c>
      <c r="B7832" s="639">
        <v>500</v>
      </c>
      <c r="C7832" s="638">
        <v>3072.8020000000001</v>
      </c>
      <c r="D7832" s="633">
        <f t="shared" si="250"/>
        <v>3072.8020000000001</v>
      </c>
      <c r="E7832" s="608"/>
      <c r="F7832" s="760">
        <f t="shared" si="249"/>
        <v>1296.4707906971873</v>
      </c>
      <c r="M7832" s="443"/>
    </row>
    <row r="7833" spans="1:13">
      <c r="A7833" s="639">
        <v>112213</v>
      </c>
      <c r="B7833" s="639">
        <v>600</v>
      </c>
      <c r="C7833" s="638">
        <v>3337.8879999999999</v>
      </c>
      <c r="D7833" s="633">
        <f t="shared" si="250"/>
        <v>3337.8879999999999</v>
      </c>
      <c r="E7833" s="608"/>
      <c r="F7833" s="760">
        <f t="shared" si="249"/>
        <v>1408.3153729458172</v>
      </c>
      <c r="M7833" s="443"/>
    </row>
    <row r="7834" spans="1:13">
      <c r="A7834" s="639">
        <v>112213</v>
      </c>
      <c r="B7834" s="639">
        <v>700</v>
      </c>
      <c r="C7834" s="638">
        <v>3860.431</v>
      </c>
      <c r="D7834" s="633">
        <f t="shared" si="250"/>
        <v>3860.431</v>
      </c>
      <c r="E7834" s="608"/>
      <c r="F7834" s="760">
        <f t="shared" si="249"/>
        <v>1628.785724235383</v>
      </c>
      <c r="M7834" s="443"/>
    </row>
    <row r="7835" spans="1:13">
      <c r="A7835" s="639">
        <v>112213</v>
      </c>
      <c r="B7835" s="639">
        <v>800</v>
      </c>
      <c r="C7835" s="638">
        <v>4245.24</v>
      </c>
      <c r="D7835" s="633">
        <f t="shared" si="250"/>
        <v>4245.24</v>
      </c>
      <c r="E7835" s="608"/>
      <c r="F7835" s="760">
        <f t="shared" si="249"/>
        <v>1791.1436075280239</v>
      </c>
      <c r="M7835" s="443"/>
    </row>
    <row r="7836" spans="1:13">
      <c r="A7836" s="639">
        <v>112213</v>
      </c>
      <c r="B7836" s="639">
        <v>900</v>
      </c>
      <c r="C7836" s="638">
        <v>4143.3410000000003</v>
      </c>
      <c r="D7836" s="633">
        <f t="shared" si="250"/>
        <v>4143.3410000000003</v>
      </c>
      <c r="E7836" s="608"/>
      <c r="F7836" s="760">
        <f t="shared" ref="F7836:F7899" si="251">(D7836/(MAX($D$7324:$D$8043)))*$M$14</f>
        <v>1748.150574751668</v>
      </c>
      <c r="M7836" s="443"/>
    </row>
    <row r="7837" spans="1:13">
      <c r="A7837" s="639">
        <v>112213</v>
      </c>
      <c r="B7837" s="639">
        <v>1000</v>
      </c>
      <c r="C7837" s="638">
        <v>3985.06</v>
      </c>
      <c r="D7837" s="633">
        <f t="shared" si="250"/>
        <v>3985.06</v>
      </c>
      <c r="E7837" s="608"/>
      <c r="F7837" s="760">
        <f t="shared" si="251"/>
        <v>1681.3689554926523</v>
      </c>
      <c r="M7837" s="443"/>
    </row>
    <row r="7838" spans="1:13">
      <c r="A7838" s="639">
        <v>112213</v>
      </c>
      <c r="B7838" s="639">
        <v>1100</v>
      </c>
      <c r="C7838" s="638">
        <v>3817.4119999999998</v>
      </c>
      <c r="D7838" s="633">
        <f t="shared" si="250"/>
        <v>3817.4119999999998</v>
      </c>
      <c r="E7838" s="608"/>
      <c r="F7838" s="760">
        <f t="shared" si="251"/>
        <v>1610.6352293629498</v>
      </c>
      <c r="M7838" s="443"/>
    </row>
    <row r="7839" spans="1:13">
      <c r="A7839" s="639">
        <v>112213</v>
      </c>
      <c r="B7839" s="639">
        <v>1200</v>
      </c>
      <c r="C7839" s="638">
        <v>3959.1610000000001</v>
      </c>
      <c r="D7839" s="633">
        <f t="shared" si="250"/>
        <v>3959.1610000000001</v>
      </c>
      <c r="E7839" s="608"/>
      <c r="F7839" s="760">
        <f t="shared" si="251"/>
        <v>1670.4416985433709</v>
      </c>
      <c r="M7839" s="443"/>
    </row>
    <row r="7840" spans="1:13">
      <c r="A7840" s="639">
        <v>112213</v>
      </c>
      <c r="B7840" s="639">
        <v>1300</v>
      </c>
      <c r="C7840" s="638">
        <v>3956.47</v>
      </c>
      <c r="D7840" s="633">
        <f t="shared" si="250"/>
        <v>3956.47</v>
      </c>
      <c r="E7840" s="608"/>
      <c r="F7840" s="760">
        <f t="shared" si="251"/>
        <v>1669.3063169282304</v>
      </c>
      <c r="M7840" s="443"/>
    </row>
    <row r="7841" spans="1:13">
      <c r="A7841" s="639">
        <v>112213</v>
      </c>
      <c r="B7841" s="639">
        <v>1400</v>
      </c>
      <c r="C7841" s="638">
        <v>3950.7730000000001</v>
      </c>
      <c r="D7841" s="633">
        <f t="shared" si="250"/>
        <v>3950.7730000000001</v>
      </c>
      <c r="E7841" s="608"/>
      <c r="F7841" s="760">
        <f t="shared" si="251"/>
        <v>1666.9026494955087</v>
      </c>
      <c r="M7841" s="443"/>
    </row>
    <row r="7842" spans="1:13">
      <c r="A7842" s="639">
        <v>112213</v>
      </c>
      <c r="B7842" s="639">
        <v>1500</v>
      </c>
      <c r="C7842" s="638">
        <v>3999.02</v>
      </c>
      <c r="D7842" s="633">
        <f t="shared" si="250"/>
        <v>3999.02</v>
      </c>
      <c r="E7842" s="608"/>
      <c r="F7842" s="760">
        <f t="shared" si="251"/>
        <v>1687.2589322103624</v>
      </c>
      <c r="M7842" s="443"/>
    </row>
    <row r="7843" spans="1:13">
      <c r="A7843" s="639">
        <v>112213</v>
      </c>
      <c r="B7843" s="639">
        <v>1600</v>
      </c>
      <c r="C7843" s="638">
        <v>4139.5370000000003</v>
      </c>
      <c r="D7843" s="633">
        <f t="shared" si="250"/>
        <v>4139.5370000000003</v>
      </c>
      <c r="E7843" s="608"/>
      <c r="F7843" s="760">
        <f t="shared" si="251"/>
        <v>1746.5455982879023</v>
      </c>
      <c r="M7843" s="443"/>
    </row>
    <row r="7844" spans="1:13">
      <c r="A7844" s="639">
        <v>112213</v>
      </c>
      <c r="B7844" s="639">
        <v>1700</v>
      </c>
      <c r="C7844" s="638">
        <v>4405.2929999999997</v>
      </c>
      <c r="D7844" s="633">
        <f t="shared" si="250"/>
        <v>4405.2929999999997</v>
      </c>
      <c r="E7844" s="608"/>
      <c r="F7844" s="760">
        <f t="shared" si="251"/>
        <v>1858.6728656655339</v>
      </c>
      <c r="M7844" s="443"/>
    </row>
    <row r="7845" spans="1:13">
      <c r="A7845" s="639">
        <v>112213</v>
      </c>
      <c r="B7845" s="639">
        <v>1800</v>
      </c>
      <c r="C7845" s="638">
        <v>4726.3540000000003</v>
      </c>
      <c r="D7845" s="633">
        <f t="shared" si="250"/>
        <v>4726.3540000000003</v>
      </c>
      <c r="E7845" s="608"/>
      <c r="F7845" s="760">
        <f t="shared" si="251"/>
        <v>1994.1343137289073</v>
      </c>
      <c r="M7845" s="443"/>
    </row>
    <row r="7846" spans="1:13">
      <c r="A7846" s="639">
        <v>112213</v>
      </c>
      <c r="B7846" s="639">
        <v>1900</v>
      </c>
      <c r="C7846" s="638">
        <v>4875.674</v>
      </c>
      <c r="D7846" s="633">
        <f t="shared" si="250"/>
        <v>4875.674</v>
      </c>
      <c r="E7846" s="608"/>
      <c r="F7846" s="760">
        <f t="shared" si="251"/>
        <v>2057.1351248670489</v>
      </c>
      <c r="M7846" s="443"/>
    </row>
    <row r="7847" spans="1:13">
      <c r="A7847" s="639">
        <v>112213</v>
      </c>
      <c r="B7847" s="639">
        <v>2000</v>
      </c>
      <c r="C7847" s="638">
        <v>4762.9350000000004</v>
      </c>
      <c r="D7847" s="633">
        <f t="shared" si="250"/>
        <v>4762.9350000000004</v>
      </c>
      <c r="E7847" s="608"/>
      <c r="F7847" s="760">
        <f t="shared" si="251"/>
        <v>2009.5684998543049</v>
      </c>
      <c r="M7847" s="443"/>
    </row>
    <row r="7848" spans="1:13">
      <c r="A7848" s="639">
        <v>112213</v>
      </c>
      <c r="B7848" s="639">
        <v>2100</v>
      </c>
      <c r="C7848" s="638">
        <v>4667.9870000000001</v>
      </c>
      <c r="D7848" s="633">
        <f t="shared" si="250"/>
        <v>4667.9870000000001</v>
      </c>
      <c r="E7848" s="608"/>
      <c r="F7848" s="760">
        <f t="shared" si="251"/>
        <v>1969.5082198118171</v>
      </c>
      <c r="M7848" s="443"/>
    </row>
    <row r="7849" spans="1:13">
      <c r="A7849" s="639">
        <v>112213</v>
      </c>
      <c r="B7849" s="639">
        <v>2200</v>
      </c>
      <c r="C7849" s="638">
        <v>4492.1229999999996</v>
      </c>
      <c r="D7849" s="633">
        <f t="shared" si="250"/>
        <v>4492.1229999999996</v>
      </c>
      <c r="E7849" s="608"/>
      <c r="F7849" s="760">
        <f t="shared" si="251"/>
        <v>1895.3080145479664</v>
      </c>
      <c r="M7849" s="443"/>
    </row>
    <row r="7850" spans="1:13">
      <c r="A7850" s="639">
        <v>112213</v>
      </c>
      <c r="B7850" s="639">
        <v>2300</v>
      </c>
      <c r="C7850" s="638">
        <v>4122.2879999999996</v>
      </c>
      <c r="D7850" s="633">
        <f t="shared" si="250"/>
        <v>4122.2879999999996</v>
      </c>
      <c r="E7850" s="608"/>
      <c r="F7850" s="760">
        <f t="shared" si="251"/>
        <v>1739.2679329294651</v>
      </c>
      <c r="M7850" s="443"/>
    </row>
    <row r="7851" spans="1:13">
      <c r="A7851" s="639">
        <v>112213</v>
      </c>
      <c r="B7851" s="639">
        <v>2400</v>
      </c>
      <c r="C7851" s="638">
        <v>3628.5230000000001</v>
      </c>
      <c r="D7851" s="633">
        <f t="shared" si="250"/>
        <v>3628.5230000000001</v>
      </c>
      <c r="E7851" s="608"/>
      <c r="F7851" s="760">
        <f t="shared" si="251"/>
        <v>1530.939540807683</v>
      </c>
      <c r="M7851" s="443"/>
    </row>
    <row r="7852" spans="1:13">
      <c r="A7852" s="639">
        <v>112313</v>
      </c>
      <c r="B7852" s="639">
        <v>100</v>
      </c>
      <c r="C7852" s="638">
        <v>3301.3809999999999</v>
      </c>
      <c r="D7852" s="633">
        <f t="shared" si="250"/>
        <v>3301.3809999999999</v>
      </c>
      <c r="E7852" s="608"/>
      <c r="F7852" s="760">
        <f t="shared" si="251"/>
        <v>1392.9124087600408</v>
      </c>
      <c r="M7852" s="443"/>
    </row>
    <row r="7853" spans="1:13">
      <c r="A7853" s="639">
        <v>112313</v>
      </c>
      <c r="B7853" s="639">
        <v>200</v>
      </c>
      <c r="C7853" s="638">
        <v>3409.3310000000001</v>
      </c>
      <c r="D7853" s="633">
        <f t="shared" si="250"/>
        <v>3409.3310000000001</v>
      </c>
      <c r="E7853" s="608"/>
      <c r="F7853" s="760">
        <f t="shared" si="251"/>
        <v>1438.4584679775762</v>
      </c>
      <c r="M7853" s="443"/>
    </row>
    <row r="7854" spans="1:13">
      <c r="A7854" s="639">
        <v>112313</v>
      </c>
      <c r="B7854" s="639">
        <v>300</v>
      </c>
      <c r="C7854" s="638">
        <v>3321.607</v>
      </c>
      <c r="D7854" s="633">
        <f t="shared" si="250"/>
        <v>3321.607</v>
      </c>
      <c r="E7854" s="608"/>
      <c r="F7854" s="760">
        <f t="shared" si="251"/>
        <v>1401.4461243110723</v>
      </c>
      <c r="M7854" s="443"/>
    </row>
    <row r="7855" spans="1:13">
      <c r="A7855" s="639">
        <v>112313</v>
      </c>
      <c r="B7855" s="639">
        <v>400</v>
      </c>
      <c r="C7855" s="638">
        <v>3268.4540000000002</v>
      </c>
      <c r="D7855" s="633">
        <f t="shared" si="250"/>
        <v>3268.4540000000002</v>
      </c>
      <c r="E7855" s="608"/>
      <c r="F7855" s="760">
        <f t="shared" si="251"/>
        <v>1379.0199113829608</v>
      </c>
      <c r="M7855" s="443"/>
    </row>
    <row r="7856" spans="1:13">
      <c r="A7856" s="639">
        <v>112313</v>
      </c>
      <c r="B7856" s="639">
        <v>500</v>
      </c>
      <c r="C7856" s="638">
        <v>3294.6669999999999</v>
      </c>
      <c r="D7856" s="633">
        <f t="shared" si="250"/>
        <v>3294.6669999999999</v>
      </c>
      <c r="E7856" s="608"/>
      <c r="F7856" s="760">
        <f t="shared" si="251"/>
        <v>1390.0796506165807</v>
      </c>
      <c r="M7856" s="443"/>
    </row>
    <row r="7857" spans="1:13">
      <c r="A7857" s="639">
        <v>112313</v>
      </c>
      <c r="B7857" s="639">
        <v>600</v>
      </c>
      <c r="C7857" s="638">
        <v>3443.27</v>
      </c>
      <c r="D7857" s="633">
        <f t="shared" si="250"/>
        <v>3443.27</v>
      </c>
      <c r="E7857" s="608"/>
      <c r="F7857" s="760">
        <f t="shared" si="251"/>
        <v>1452.7779464748801</v>
      </c>
      <c r="M7857" s="443"/>
    </row>
    <row r="7858" spans="1:13">
      <c r="A7858" s="639">
        <v>112313</v>
      </c>
      <c r="B7858" s="639">
        <v>700</v>
      </c>
      <c r="C7858" s="638">
        <v>3747.9520000000002</v>
      </c>
      <c r="D7858" s="633">
        <f t="shared" si="250"/>
        <v>3747.9520000000002</v>
      </c>
      <c r="E7858" s="608"/>
      <c r="F7858" s="760">
        <f t="shared" si="251"/>
        <v>1581.3287979294157</v>
      </c>
      <c r="M7858" s="443"/>
    </row>
    <row r="7859" spans="1:13">
      <c r="A7859" s="639">
        <v>112313</v>
      </c>
      <c r="B7859" s="639">
        <v>800</v>
      </c>
      <c r="C7859" s="638">
        <v>4039.5830000000001</v>
      </c>
      <c r="D7859" s="633">
        <f t="shared" si="250"/>
        <v>4039.5830000000001</v>
      </c>
      <c r="E7859" s="608"/>
      <c r="F7859" s="760">
        <f t="shared" si="251"/>
        <v>1704.3731962218574</v>
      </c>
      <c r="M7859" s="443"/>
    </row>
    <row r="7860" spans="1:13">
      <c r="A7860" s="639">
        <v>112313</v>
      </c>
      <c r="B7860" s="639">
        <v>900</v>
      </c>
      <c r="C7860" s="638">
        <v>4298.5159999999996</v>
      </c>
      <c r="D7860" s="633">
        <f t="shared" si="250"/>
        <v>4298.5159999999996</v>
      </c>
      <c r="E7860" s="608"/>
      <c r="F7860" s="760">
        <f t="shared" si="251"/>
        <v>1813.621716382803</v>
      </c>
      <c r="M7860" s="443"/>
    </row>
    <row r="7861" spans="1:13">
      <c r="A7861" s="639">
        <v>112313</v>
      </c>
      <c r="B7861" s="639">
        <v>1000</v>
      </c>
      <c r="C7861" s="638">
        <v>4605.0839999999998</v>
      </c>
      <c r="D7861" s="633">
        <f t="shared" si="250"/>
        <v>4605.0839999999998</v>
      </c>
      <c r="E7861" s="608"/>
      <c r="F7861" s="760">
        <f t="shared" si="251"/>
        <v>1942.9683053795741</v>
      </c>
      <c r="M7861" s="443"/>
    </row>
    <row r="7862" spans="1:13">
      <c r="A7862" s="639">
        <v>112313</v>
      </c>
      <c r="B7862" s="639">
        <v>1100</v>
      </c>
      <c r="C7862" s="638">
        <v>4569.6670000000004</v>
      </c>
      <c r="D7862" s="633">
        <f t="shared" si="250"/>
        <v>4569.6670000000004</v>
      </c>
      <c r="E7862" s="608"/>
      <c r="F7862" s="760">
        <f t="shared" si="251"/>
        <v>1928.0252319260544</v>
      </c>
      <c r="M7862" s="443"/>
    </row>
    <row r="7863" spans="1:13">
      <c r="A7863" s="639">
        <v>112313</v>
      </c>
      <c r="B7863" s="639">
        <v>1200</v>
      </c>
      <c r="C7863" s="638">
        <v>4465.32</v>
      </c>
      <c r="D7863" s="633">
        <f t="shared" si="250"/>
        <v>4465.32</v>
      </c>
      <c r="E7863" s="608"/>
      <c r="F7863" s="760">
        <f t="shared" si="251"/>
        <v>1883.999343633584</v>
      </c>
      <c r="M7863" s="443"/>
    </row>
    <row r="7864" spans="1:13">
      <c r="A7864" s="639">
        <v>112313</v>
      </c>
      <c r="B7864" s="639">
        <v>1300</v>
      </c>
      <c r="C7864" s="638">
        <v>4477.9930000000004</v>
      </c>
      <c r="D7864" s="633">
        <f t="shared" si="250"/>
        <v>4477.9930000000004</v>
      </c>
      <c r="E7864" s="608"/>
      <c r="F7864" s="760">
        <f t="shared" si="251"/>
        <v>1889.3463117527488</v>
      </c>
      <c r="M7864" s="443"/>
    </row>
    <row r="7865" spans="1:13">
      <c r="A7865" s="639">
        <v>112313</v>
      </c>
      <c r="B7865" s="639">
        <v>1400</v>
      </c>
      <c r="C7865" s="638">
        <v>4579.7690000000002</v>
      </c>
      <c r="D7865" s="633">
        <f t="shared" si="250"/>
        <v>4579.7690000000002</v>
      </c>
      <c r="E7865" s="608"/>
      <c r="F7865" s="760">
        <f t="shared" si="251"/>
        <v>1932.2874486024375</v>
      </c>
      <c r="M7865" s="443"/>
    </row>
    <row r="7866" spans="1:13">
      <c r="A7866" s="639">
        <v>112313</v>
      </c>
      <c r="B7866" s="639">
        <v>1500</v>
      </c>
      <c r="C7866" s="638">
        <v>4704.7150000000001</v>
      </c>
      <c r="D7866" s="633">
        <f t="shared" si="250"/>
        <v>4704.7150000000001</v>
      </c>
      <c r="E7866" s="608"/>
      <c r="F7866" s="760">
        <f t="shared" si="251"/>
        <v>1985.0044278983537</v>
      </c>
      <c r="M7866" s="443"/>
    </row>
    <row r="7867" spans="1:13">
      <c r="A7867" s="639">
        <v>112313</v>
      </c>
      <c r="B7867" s="639">
        <v>1600</v>
      </c>
      <c r="C7867" s="638">
        <v>4829.0780000000004</v>
      </c>
      <c r="D7867" s="633">
        <f t="shared" si="250"/>
        <v>4829.0780000000004</v>
      </c>
      <c r="E7867" s="608"/>
      <c r="F7867" s="760">
        <f t="shared" si="251"/>
        <v>2037.4754289402285</v>
      </c>
      <c r="M7867" s="443"/>
    </row>
    <row r="7868" spans="1:13">
      <c r="A7868" s="639">
        <v>112313</v>
      </c>
      <c r="B7868" s="639">
        <v>1700</v>
      </c>
      <c r="C7868" s="638">
        <v>5194.223</v>
      </c>
      <c r="D7868" s="633">
        <f t="shared" si="250"/>
        <v>5194.223</v>
      </c>
      <c r="E7868" s="608"/>
      <c r="F7868" s="760">
        <f t="shared" si="251"/>
        <v>2191.5367146557169</v>
      </c>
      <c r="M7868" s="443"/>
    </row>
    <row r="7869" spans="1:13">
      <c r="A7869" s="639">
        <v>112313</v>
      </c>
      <c r="B7869" s="639">
        <v>1800</v>
      </c>
      <c r="C7869" s="638">
        <v>5661.826</v>
      </c>
      <c r="D7869" s="633">
        <f t="shared" si="250"/>
        <v>5661.826</v>
      </c>
      <c r="E7869" s="608"/>
      <c r="F7869" s="760">
        <f t="shared" si="251"/>
        <v>2388.8268853671316</v>
      </c>
      <c r="M7869" s="443"/>
    </row>
    <row r="7870" spans="1:13">
      <c r="A7870" s="639">
        <v>112313</v>
      </c>
      <c r="B7870" s="639">
        <v>1900</v>
      </c>
      <c r="C7870" s="638">
        <v>5676.6540000000005</v>
      </c>
      <c r="D7870" s="633">
        <f t="shared" si="250"/>
        <v>5676.6540000000005</v>
      </c>
      <c r="E7870" s="608"/>
      <c r="F7870" s="760">
        <f t="shared" si="251"/>
        <v>2395.0830869982351</v>
      </c>
      <c r="M7870" s="443"/>
    </row>
    <row r="7871" spans="1:13">
      <c r="A7871" s="639">
        <v>112313</v>
      </c>
      <c r="B7871" s="639">
        <v>2000</v>
      </c>
      <c r="C7871" s="638">
        <v>5485.8580000000002</v>
      </c>
      <c r="D7871" s="633">
        <f t="shared" si="250"/>
        <v>5485.8580000000002</v>
      </c>
      <c r="E7871" s="608"/>
      <c r="F7871" s="760">
        <f t="shared" si="251"/>
        <v>2314.5828006205707</v>
      </c>
      <c r="M7871" s="443"/>
    </row>
    <row r="7872" spans="1:13">
      <c r="A7872" s="639">
        <v>112313</v>
      </c>
      <c r="B7872" s="639">
        <v>2100</v>
      </c>
      <c r="C7872" s="638">
        <v>5256.8029999999999</v>
      </c>
      <c r="D7872" s="633">
        <f t="shared" si="250"/>
        <v>5256.8029999999999</v>
      </c>
      <c r="E7872" s="608"/>
      <c r="F7872" s="760">
        <f t="shared" si="251"/>
        <v>2217.9403495406946</v>
      </c>
      <c r="M7872" s="443"/>
    </row>
    <row r="7873" spans="1:13">
      <c r="A7873" s="639">
        <v>112313</v>
      </c>
      <c r="B7873" s="639">
        <v>2200</v>
      </c>
      <c r="C7873" s="638">
        <v>5120.7910000000002</v>
      </c>
      <c r="D7873" s="633">
        <f t="shared" si="250"/>
        <v>5120.7910000000002</v>
      </c>
      <c r="E7873" s="608"/>
      <c r="F7873" s="760">
        <f t="shared" si="251"/>
        <v>2160.554424517115</v>
      </c>
      <c r="M7873" s="443"/>
    </row>
    <row r="7874" spans="1:13">
      <c r="A7874" s="639">
        <v>112313</v>
      </c>
      <c r="B7874" s="639">
        <v>2300</v>
      </c>
      <c r="C7874" s="638">
        <v>4669.6509999999998</v>
      </c>
      <c r="D7874" s="633">
        <f t="shared" si="250"/>
        <v>4669.6509999999998</v>
      </c>
      <c r="E7874" s="608"/>
      <c r="F7874" s="760">
        <f t="shared" si="251"/>
        <v>1970.2102915351886</v>
      </c>
      <c r="M7874" s="443"/>
    </row>
    <row r="7875" spans="1:13">
      <c r="A7875" s="639">
        <v>112313</v>
      </c>
      <c r="B7875" s="639">
        <v>2400</v>
      </c>
      <c r="C7875" s="638">
        <v>4303.5820000000003</v>
      </c>
      <c r="D7875" s="633">
        <f t="shared" si="250"/>
        <v>4303.5820000000003</v>
      </c>
      <c r="E7875" s="608"/>
      <c r="F7875" s="760">
        <f t="shared" si="251"/>
        <v>1815.7591534925398</v>
      </c>
      <c r="M7875" s="443"/>
    </row>
    <row r="7876" spans="1:13">
      <c r="A7876" s="639">
        <v>112413</v>
      </c>
      <c r="B7876" s="639">
        <v>100</v>
      </c>
      <c r="C7876" s="638">
        <v>3966.6439999999998</v>
      </c>
      <c r="D7876" s="633">
        <f t="shared" si="250"/>
        <v>3966.6439999999998</v>
      </c>
      <c r="E7876" s="608"/>
      <c r="F7876" s="760">
        <f t="shared" si="251"/>
        <v>1673.5989117080283</v>
      </c>
      <c r="M7876" s="443"/>
    </row>
    <row r="7877" spans="1:13">
      <c r="A7877" s="639">
        <v>112413</v>
      </c>
      <c r="B7877" s="639">
        <v>200</v>
      </c>
      <c r="C7877" s="638">
        <v>4037.56</v>
      </c>
      <c r="D7877" s="633">
        <f t="shared" ref="D7877:D7940" si="252">C7877</f>
        <v>4037.56</v>
      </c>
      <c r="E7877" s="608"/>
      <c r="F7877" s="760">
        <f t="shared" si="251"/>
        <v>1703.5196558995131</v>
      </c>
      <c r="M7877" s="443"/>
    </row>
    <row r="7878" spans="1:13">
      <c r="A7878" s="639">
        <v>112413</v>
      </c>
      <c r="B7878" s="639">
        <v>300</v>
      </c>
      <c r="C7878" s="638">
        <v>3930.3339999999998</v>
      </c>
      <c r="D7878" s="633">
        <f t="shared" si="252"/>
        <v>3930.3339999999998</v>
      </c>
      <c r="E7878" s="608"/>
      <c r="F7878" s="760">
        <f t="shared" si="251"/>
        <v>1658.2790653885406</v>
      </c>
      <c r="M7878" s="443"/>
    </row>
    <row r="7879" spans="1:13">
      <c r="A7879" s="639">
        <v>112413</v>
      </c>
      <c r="B7879" s="639">
        <v>400</v>
      </c>
      <c r="C7879" s="638">
        <v>3984.1239999999998</v>
      </c>
      <c r="D7879" s="633">
        <f t="shared" si="252"/>
        <v>3984.1239999999998</v>
      </c>
      <c r="E7879" s="608"/>
      <c r="F7879" s="760">
        <f t="shared" si="251"/>
        <v>1680.9740401482557</v>
      </c>
      <c r="M7879" s="443"/>
    </row>
    <row r="7880" spans="1:13">
      <c r="A7880" s="639">
        <v>112413</v>
      </c>
      <c r="B7880" s="639">
        <v>500</v>
      </c>
      <c r="C7880" s="638">
        <v>3973.364</v>
      </c>
      <c r="D7880" s="633">
        <f t="shared" si="252"/>
        <v>3973.364</v>
      </c>
      <c r="E7880" s="608"/>
      <c r="F7880" s="760">
        <f t="shared" si="251"/>
        <v>1676.4342013601067</v>
      </c>
      <c r="M7880" s="443"/>
    </row>
    <row r="7881" spans="1:13">
      <c r="A7881" s="639">
        <v>112413</v>
      </c>
      <c r="B7881" s="639">
        <v>600</v>
      </c>
      <c r="C7881" s="638">
        <v>4093.74</v>
      </c>
      <c r="D7881" s="633">
        <f t="shared" si="252"/>
        <v>4093.74</v>
      </c>
      <c r="E7881" s="608"/>
      <c r="F7881" s="760">
        <f t="shared" si="251"/>
        <v>1727.2230149253687</v>
      </c>
      <c r="M7881" s="443"/>
    </row>
    <row r="7882" spans="1:13">
      <c r="A7882" s="639">
        <v>112413</v>
      </c>
      <c r="B7882" s="639">
        <v>700</v>
      </c>
      <c r="C7882" s="638">
        <v>4309.0110000000004</v>
      </c>
      <c r="D7882" s="633">
        <f t="shared" si="252"/>
        <v>4309.0110000000004</v>
      </c>
      <c r="E7882" s="608"/>
      <c r="F7882" s="760">
        <f t="shared" si="251"/>
        <v>1818.0497468736605</v>
      </c>
      <c r="M7882" s="443"/>
    </row>
    <row r="7883" spans="1:13">
      <c r="A7883" s="639">
        <v>112413</v>
      </c>
      <c r="B7883" s="639">
        <v>800</v>
      </c>
      <c r="C7883" s="638">
        <v>4531.5529999999999</v>
      </c>
      <c r="D7883" s="633">
        <f t="shared" si="252"/>
        <v>4531.5529999999999</v>
      </c>
      <c r="E7883" s="608"/>
      <c r="F7883" s="760">
        <f t="shared" si="251"/>
        <v>1911.9442453487766</v>
      </c>
      <c r="M7883" s="443"/>
    </row>
    <row r="7884" spans="1:13">
      <c r="A7884" s="639">
        <v>112413</v>
      </c>
      <c r="B7884" s="639">
        <v>900</v>
      </c>
      <c r="C7884" s="638">
        <v>4823.42</v>
      </c>
      <c r="D7884" s="633">
        <f t="shared" si="252"/>
        <v>4823.42</v>
      </c>
      <c r="E7884" s="608"/>
      <c r="F7884" s="760">
        <f t="shared" si="251"/>
        <v>2035.0882163135234</v>
      </c>
      <c r="M7884" s="443"/>
    </row>
    <row r="7885" spans="1:13">
      <c r="A7885" s="639">
        <v>112413</v>
      </c>
      <c r="B7885" s="639">
        <v>1000</v>
      </c>
      <c r="C7885" s="638">
        <v>4737.9740000000002</v>
      </c>
      <c r="D7885" s="633">
        <f t="shared" si="252"/>
        <v>4737.9740000000002</v>
      </c>
      <c r="E7885" s="608"/>
      <c r="F7885" s="760">
        <f t="shared" si="251"/>
        <v>1999.0370020856258</v>
      </c>
      <c r="M7885" s="443"/>
    </row>
    <row r="7886" spans="1:13">
      <c r="A7886" s="639">
        <v>112413</v>
      </c>
      <c r="B7886" s="639">
        <v>1100</v>
      </c>
      <c r="C7886" s="638">
        <v>4656.6629999999996</v>
      </c>
      <c r="D7886" s="633">
        <f t="shared" si="252"/>
        <v>4656.6629999999996</v>
      </c>
      <c r="E7886" s="608"/>
      <c r="F7886" s="760">
        <f t="shared" si="251"/>
        <v>1964.7304192135828</v>
      </c>
      <c r="M7886" s="443"/>
    </row>
    <row r="7887" spans="1:13">
      <c r="A7887" s="639">
        <v>112413</v>
      </c>
      <c r="B7887" s="639">
        <v>1200</v>
      </c>
      <c r="C7887" s="638">
        <v>4605.3040000000001</v>
      </c>
      <c r="D7887" s="633">
        <f t="shared" si="252"/>
        <v>4605.3040000000001</v>
      </c>
      <c r="E7887" s="608"/>
      <c r="F7887" s="760">
        <f t="shared" si="251"/>
        <v>1943.0611273622314</v>
      </c>
      <c r="M7887" s="443"/>
    </row>
    <row r="7888" spans="1:13">
      <c r="A7888" s="639">
        <v>112413</v>
      </c>
      <c r="B7888" s="639">
        <v>1300</v>
      </c>
      <c r="C7888" s="638">
        <v>4575.4269999999997</v>
      </c>
      <c r="D7888" s="633">
        <f t="shared" si="252"/>
        <v>4575.4269999999997</v>
      </c>
      <c r="E7888" s="608"/>
      <c r="F7888" s="760">
        <f t="shared" si="251"/>
        <v>1930.455480199264</v>
      </c>
      <c r="M7888" s="443"/>
    </row>
    <row r="7889" spans="1:13">
      <c r="A7889" s="639">
        <v>112413</v>
      </c>
      <c r="B7889" s="639">
        <v>1400</v>
      </c>
      <c r="C7889" s="638">
        <v>4565.6310000000003</v>
      </c>
      <c r="D7889" s="633">
        <f t="shared" si="252"/>
        <v>4565.6310000000003</v>
      </c>
      <c r="E7889" s="608"/>
      <c r="F7889" s="760">
        <f t="shared" si="251"/>
        <v>1926.3223704623956</v>
      </c>
      <c r="M7889" s="443"/>
    </row>
    <row r="7890" spans="1:13">
      <c r="A7890" s="639">
        <v>112413</v>
      </c>
      <c r="B7890" s="639">
        <v>1500</v>
      </c>
      <c r="C7890" s="638">
        <v>4595.674</v>
      </c>
      <c r="D7890" s="633">
        <f t="shared" si="252"/>
        <v>4595.674</v>
      </c>
      <c r="E7890" s="608"/>
      <c r="F7890" s="760">
        <f t="shared" si="251"/>
        <v>1938.9980560304587</v>
      </c>
      <c r="M7890" s="443"/>
    </row>
    <row r="7891" spans="1:13">
      <c r="A7891" s="639">
        <v>112413</v>
      </c>
      <c r="B7891" s="639">
        <v>1600</v>
      </c>
      <c r="C7891" s="638">
        <v>4778.3239999999996</v>
      </c>
      <c r="D7891" s="633">
        <f t="shared" si="252"/>
        <v>4778.3239999999996</v>
      </c>
      <c r="E7891" s="608"/>
      <c r="F7891" s="760">
        <f t="shared" si="251"/>
        <v>2016.0613975411843</v>
      </c>
      <c r="M7891" s="443"/>
    </row>
    <row r="7892" spans="1:13">
      <c r="A7892" s="639">
        <v>112413</v>
      </c>
      <c r="B7892" s="639">
        <v>1700</v>
      </c>
      <c r="C7892" s="638">
        <v>5284.5680000000002</v>
      </c>
      <c r="D7892" s="633">
        <f t="shared" si="252"/>
        <v>5284.5680000000002</v>
      </c>
      <c r="E7892" s="608"/>
      <c r="F7892" s="760">
        <f t="shared" si="251"/>
        <v>2229.6549056701519</v>
      </c>
      <c r="M7892" s="443"/>
    </row>
    <row r="7893" spans="1:13">
      <c r="A7893" s="639">
        <v>112413</v>
      </c>
      <c r="B7893" s="639">
        <v>1800</v>
      </c>
      <c r="C7893" s="638">
        <v>5934.8040000000001</v>
      </c>
      <c r="D7893" s="633">
        <f t="shared" si="252"/>
        <v>5934.8040000000001</v>
      </c>
      <c r="E7893" s="608"/>
      <c r="F7893" s="760">
        <f t="shared" si="251"/>
        <v>2504.0012452845417</v>
      </c>
      <c r="M7893" s="443"/>
    </row>
    <row r="7894" spans="1:13">
      <c r="A7894" s="639">
        <v>112413</v>
      </c>
      <c r="B7894" s="639">
        <v>1900</v>
      </c>
      <c r="C7894" s="638">
        <v>5980.6719999999996</v>
      </c>
      <c r="D7894" s="633">
        <f t="shared" si="252"/>
        <v>5980.6719999999996</v>
      </c>
      <c r="E7894" s="608"/>
      <c r="F7894" s="760">
        <f t="shared" si="251"/>
        <v>2523.3537848323867</v>
      </c>
      <c r="M7894" s="443"/>
    </row>
    <row r="7895" spans="1:13">
      <c r="A7895" s="639">
        <v>112413</v>
      </c>
      <c r="B7895" s="639">
        <v>2000</v>
      </c>
      <c r="C7895" s="638">
        <v>5776.4889999999996</v>
      </c>
      <c r="D7895" s="633">
        <f t="shared" si="252"/>
        <v>5776.4889999999996</v>
      </c>
      <c r="E7895" s="608"/>
      <c r="F7895" s="760">
        <f t="shared" si="251"/>
        <v>2437.2052808100243</v>
      </c>
      <c r="M7895" s="443"/>
    </row>
    <row r="7896" spans="1:13">
      <c r="A7896" s="639">
        <v>112413</v>
      </c>
      <c r="B7896" s="639">
        <v>2100</v>
      </c>
      <c r="C7896" s="638">
        <v>5668.5619999999999</v>
      </c>
      <c r="D7896" s="633">
        <f t="shared" si="252"/>
        <v>5668.5619999999999</v>
      </c>
      <c r="E7896" s="608"/>
      <c r="F7896" s="760">
        <f t="shared" si="251"/>
        <v>2391.6689257088578</v>
      </c>
      <c r="M7896" s="443"/>
    </row>
    <row r="7897" spans="1:13">
      <c r="A7897" s="639">
        <v>112413</v>
      </c>
      <c r="B7897" s="639">
        <v>2200</v>
      </c>
      <c r="C7897" s="638">
        <v>5242.9319999999998</v>
      </c>
      <c r="D7897" s="633">
        <f t="shared" si="252"/>
        <v>5242.9319999999998</v>
      </c>
      <c r="E7897" s="608"/>
      <c r="F7897" s="760">
        <f t="shared" si="251"/>
        <v>2212.0879235341504</v>
      </c>
      <c r="M7897" s="443"/>
    </row>
    <row r="7898" spans="1:13">
      <c r="A7898" s="639">
        <v>112413</v>
      </c>
      <c r="B7898" s="639">
        <v>2300</v>
      </c>
      <c r="C7898" s="638">
        <v>4664.8670000000002</v>
      </c>
      <c r="D7898" s="633">
        <f t="shared" si="252"/>
        <v>4664.8670000000002</v>
      </c>
      <c r="E7898" s="608"/>
      <c r="F7898" s="760">
        <f t="shared" si="251"/>
        <v>1968.191835330495</v>
      </c>
      <c r="M7898" s="443"/>
    </row>
    <row r="7899" spans="1:13">
      <c r="A7899" s="639">
        <v>112413</v>
      </c>
      <c r="B7899" s="639">
        <v>2400</v>
      </c>
      <c r="C7899" s="638">
        <v>4077.1909999999998</v>
      </c>
      <c r="D7899" s="633">
        <f t="shared" si="252"/>
        <v>4077.1909999999998</v>
      </c>
      <c r="E7899" s="608"/>
      <c r="F7899" s="760">
        <f t="shared" si="251"/>
        <v>1720.2406922390232</v>
      </c>
      <c r="M7899" s="443"/>
    </row>
    <row r="7900" spans="1:13">
      <c r="A7900" s="639">
        <v>112513</v>
      </c>
      <c r="B7900" s="639">
        <v>100</v>
      </c>
      <c r="C7900" s="638">
        <v>3670.9749999999999</v>
      </c>
      <c r="D7900" s="633">
        <f t="shared" si="252"/>
        <v>3670.9749999999999</v>
      </c>
      <c r="E7900" s="608"/>
      <c r="F7900" s="760">
        <f t="shared" ref="F7900:F7963" si="253">(D7900/(MAX($D$7324:$D$8043)))*$M$14</f>
        <v>1548.850808115722</v>
      </c>
      <c r="M7900" s="443"/>
    </row>
    <row r="7901" spans="1:13">
      <c r="A7901" s="639">
        <v>112513</v>
      </c>
      <c r="B7901" s="639">
        <v>200</v>
      </c>
      <c r="C7901" s="638">
        <v>3809.1089999999999</v>
      </c>
      <c r="D7901" s="633">
        <f t="shared" si="252"/>
        <v>3809.1089999999999</v>
      </c>
      <c r="E7901" s="608"/>
      <c r="F7901" s="760">
        <f t="shared" si="253"/>
        <v>1607.1320433538419</v>
      </c>
      <c r="M7901" s="443"/>
    </row>
    <row r="7902" spans="1:13">
      <c r="A7902" s="639">
        <v>112513</v>
      </c>
      <c r="B7902" s="639">
        <v>300</v>
      </c>
      <c r="C7902" s="638">
        <v>3749.8760000000002</v>
      </c>
      <c r="D7902" s="633">
        <f t="shared" si="252"/>
        <v>3749.8760000000002</v>
      </c>
      <c r="E7902" s="608"/>
      <c r="F7902" s="760">
        <f t="shared" si="253"/>
        <v>1582.1405683595642</v>
      </c>
      <c r="M7902" s="443"/>
    </row>
    <row r="7903" spans="1:13">
      <c r="A7903" s="639">
        <v>112513</v>
      </c>
      <c r="B7903" s="639">
        <v>400</v>
      </c>
      <c r="C7903" s="638">
        <v>3735.241</v>
      </c>
      <c r="D7903" s="633">
        <f t="shared" si="252"/>
        <v>3735.241</v>
      </c>
      <c r="E7903" s="608"/>
      <c r="F7903" s="760">
        <f t="shared" si="253"/>
        <v>1575.9657969223374</v>
      </c>
      <c r="M7903" s="443"/>
    </row>
    <row r="7904" spans="1:13">
      <c r="A7904" s="639">
        <v>112513</v>
      </c>
      <c r="B7904" s="639">
        <v>500</v>
      </c>
      <c r="C7904" s="638">
        <v>3852.2280000000001</v>
      </c>
      <c r="D7904" s="633">
        <f t="shared" si="252"/>
        <v>3852.2280000000001</v>
      </c>
      <c r="E7904" s="608"/>
      <c r="F7904" s="760">
        <f t="shared" si="253"/>
        <v>1625.324730036574</v>
      </c>
      <c r="M7904" s="443"/>
    </row>
    <row r="7905" spans="1:13">
      <c r="A7905" s="639">
        <v>112513</v>
      </c>
      <c r="B7905" s="639">
        <v>600</v>
      </c>
      <c r="C7905" s="638">
        <v>4178.3599999999997</v>
      </c>
      <c r="D7905" s="633">
        <f t="shared" si="252"/>
        <v>4178.3599999999997</v>
      </c>
      <c r="E7905" s="608"/>
      <c r="F7905" s="760">
        <f t="shared" si="253"/>
        <v>1762.9257248001984</v>
      </c>
      <c r="M7905" s="443"/>
    </row>
    <row r="7906" spans="1:13">
      <c r="A7906" s="639">
        <v>112513</v>
      </c>
      <c r="B7906" s="639">
        <v>700</v>
      </c>
      <c r="C7906" s="638">
        <v>4699.1570000000002</v>
      </c>
      <c r="D7906" s="633">
        <f t="shared" si="252"/>
        <v>4699.1570000000002</v>
      </c>
      <c r="E7906" s="608"/>
      <c r="F7906" s="760">
        <f t="shared" si="253"/>
        <v>1982.6594070819476</v>
      </c>
      <c r="M7906" s="443"/>
    </row>
    <row r="7907" spans="1:13">
      <c r="A7907" s="639">
        <v>112513</v>
      </c>
      <c r="B7907" s="639">
        <v>800</v>
      </c>
      <c r="C7907" s="638">
        <v>5082.0619999999999</v>
      </c>
      <c r="D7907" s="633">
        <f t="shared" si="252"/>
        <v>5082.0619999999999</v>
      </c>
      <c r="E7907" s="608"/>
      <c r="F7907" s="760">
        <f t="shared" si="253"/>
        <v>2144.2139583064995</v>
      </c>
      <c r="M7907" s="443"/>
    </row>
    <row r="7908" spans="1:13">
      <c r="A7908" s="639">
        <v>112513</v>
      </c>
      <c r="B7908" s="639">
        <v>900</v>
      </c>
      <c r="C7908" s="638">
        <v>4957.9960000000001</v>
      </c>
      <c r="D7908" s="633">
        <f t="shared" si="252"/>
        <v>4957.9960000000001</v>
      </c>
      <c r="E7908" s="608"/>
      <c r="F7908" s="760">
        <f t="shared" si="253"/>
        <v>2091.8682669412128</v>
      </c>
      <c r="M7908" s="443"/>
    </row>
    <row r="7909" spans="1:13">
      <c r="A7909" s="639">
        <v>112513</v>
      </c>
      <c r="B7909" s="639">
        <v>1000</v>
      </c>
      <c r="C7909" s="638">
        <v>4730.433</v>
      </c>
      <c r="D7909" s="633">
        <f t="shared" si="252"/>
        <v>4730.433</v>
      </c>
      <c r="E7909" s="608"/>
      <c r="F7909" s="760">
        <f t="shared" si="253"/>
        <v>1995.8553176709945</v>
      </c>
      <c r="M7909" s="443"/>
    </row>
    <row r="7910" spans="1:13">
      <c r="A7910" s="639">
        <v>112513</v>
      </c>
      <c r="B7910" s="639">
        <v>1100</v>
      </c>
      <c r="C7910" s="638">
        <v>4537.9409999999998</v>
      </c>
      <c r="D7910" s="633">
        <f t="shared" si="252"/>
        <v>4537.9409999999998</v>
      </c>
      <c r="E7910" s="608"/>
      <c r="F7910" s="760">
        <f t="shared" si="253"/>
        <v>1914.6394581906627</v>
      </c>
      <c r="M7910" s="443"/>
    </row>
    <row r="7911" spans="1:13">
      <c r="A7911" s="639">
        <v>112513</v>
      </c>
      <c r="B7911" s="639">
        <v>1200</v>
      </c>
      <c r="C7911" s="638">
        <v>4314.2449999999999</v>
      </c>
      <c r="D7911" s="633">
        <f t="shared" si="252"/>
        <v>4314.2449999999999</v>
      </c>
      <c r="E7911" s="608"/>
      <c r="F7911" s="760">
        <f t="shared" si="253"/>
        <v>1820.2580662246985</v>
      </c>
      <c r="M7911" s="443"/>
    </row>
    <row r="7912" spans="1:13">
      <c r="A7912" s="639">
        <v>112513</v>
      </c>
      <c r="B7912" s="639">
        <v>1300</v>
      </c>
      <c r="C7912" s="638">
        <v>4077.8180000000002</v>
      </c>
      <c r="D7912" s="633">
        <f t="shared" si="252"/>
        <v>4077.8180000000002</v>
      </c>
      <c r="E7912" s="608"/>
      <c r="F7912" s="760">
        <f t="shared" si="253"/>
        <v>1720.5052348895967</v>
      </c>
      <c r="M7912" s="443"/>
    </row>
    <row r="7913" spans="1:13">
      <c r="A7913" s="639">
        <v>112513</v>
      </c>
      <c r="B7913" s="639">
        <v>1400</v>
      </c>
      <c r="C7913" s="638">
        <v>4045.6509999999998</v>
      </c>
      <c r="D7913" s="633">
        <f t="shared" si="252"/>
        <v>4045.6509999999998</v>
      </c>
      <c r="E7913" s="608"/>
      <c r="F7913" s="760">
        <f t="shared" si="253"/>
        <v>1706.9333952707875</v>
      </c>
      <c r="M7913" s="443"/>
    </row>
    <row r="7914" spans="1:13">
      <c r="A7914" s="639">
        <v>112513</v>
      </c>
      <c r="B7914" s="639">
        <v>1500</v>
      </c>
      <c r="C7914" s="638">
        <v>4491.63</v>
      </c>
      <c r="D7914" s="633">
        <f t="shared" si="252"/>
        <v>4491.63</v>
      </c>
      <c r="E7914" s="608"/>
      <c r="F7914" s="760">
        <f t="shared" si="253"/>
        <v>1895.1000089231939</v>
      </c>
      <c r="M7914" s="443"/>
    </row>
    <row r="7915" spans="1:13">
      <c r="A7915" s="639">
        <v>112513</v>
      </c>
      <c r="B7915" s="639">
        <v>1600</v>
      </c>
      <c r="C7915" s="638">
        <v>4712.9790000000003</v>
      </c>
      <c r="D7915" s="633">
        <f t="shared" si="252"/>
        <v>4712.9790000000003</v>
      </c>
      <c r="E7915" s="608"/>
      <c r="F7915" s="760">
        <f t="shared" si="253"/>
        <v>1988.4911591014452</v>
      </c>
      <c r="M7915" s="443"/>
    </row>
    <row r="7916" spans="1:13">
      <c r="A7916" s="639">
        <v>112513</v>
      </c>
      <c r="B7916" s="639">
        <v>1700</v>
      </c>
      <c r="C7916" s="638">
        <v>5201.9359999999997</v>
      </c>
      <c r="D7916" s="633">
        <f t="shared" si="252"/>
        <v>5201.9359999999997</v>
      </c>
      <c r="E7916" s="608"/>
      <c r="F7916" s="760">
        <f t="shared" si="253"/>
        <v>2194.7909689840617</v>
      </c>
      <c r="M7916" s="443"/>
    </row>
    <row r="7917" spans="1:13">
      <c r="A7917" s="639">
        <v>112513</v>
      </c>
      <c r="B7917" s="639">
        <v>1800</v>
      </c>
      <c r="C7917" s="638">
        <v>5592.26</v>
      </c>
      <c r="D7917" s="633">
        <f t="shared" si="252"/>
        <v>5592.26</v>
      </c>
      <c r="E7917" s="608"/>
      <c r="F7917" s="760">
        <f t="shared" si="253"/>
        <v>2359.4757306146807</v>
      </c>
      <c r="M7917" s="443"/>
    </row>
    <row r="7918" spans="1:13">
      <c r="A7918" s="639">
        <v>112513</v>
      </c>
      <c r="B7918" s="639">
        <v>1900</v>
      </c>
      <c r="C7918" s="638">
        <v>5535.4080000000004</v>
      </c>
      <c r="D7918" s="633">
        <f t="shared" si="252"/>
        <v>5535.4080000000004</v>
      </c>
      <c r="E7918" s="608"/>
      <c r="F7918" s="760">
        <f t="shared" si="253"/>
        <v>2335.4888426236171</v>
      </c>
      <c r="M7918" s="443"/>
    </row>
    <row r="7919" spans="1:13">
      <c r="A7919" s="639">
        <v>112513</v>
      </c>
      <c r="B7919" s="639">
        <v>2000</v>
      </c>
      <c r="C7919" s="638">
        <v>5510.7640000000001</v>
      </c>
      <c r="D7919" s="633">
        <f t="shared" si="252"/>
        <v>5510.7640000000001</v>
      </c>
      <c r="E7919" s="608"/>
      <c r="F7919" s="760">
        <f t="shared" si="253"/>
        <v>2325.0910928935855</v>
      </c>
      <c r="M7919" s="443"/>
    </row>
    <row r="7920" spans="1:13">
      <c r="A7920" s="639">
        <v>112513</v>
      </c>
      <c r="B7920" s="639">
        <v>2100</v>
      </c>
      <c r="C7920" s="638">
        <v>5345.451</v>
      </c>
      <c r="D7920" s="633">
        <f t="shared" si="252"/>
        <v>5345.451</v>
      </c>
      <c r="E7920" s="608"/>
      <c r="F7920" s="760">
        <f t="shared" si="253"/>
        <v>2255.342545534359</v>
      </c>
      <c r="M7920" s="443"/>
    </row>
    <row r="7921" spans="1:13">
      <c r="A7921" s="639">
        <v>112513</v>
      </c>
      <c r="B7921" s="639">
        <v>2200</v>
      </c>
      <c r="C7921" s="638">
        <v>5037.7879999999996</v>
      </c>
      <c r="D7921" s="633">
        <f t="shared" si="252"/>
        <v>5037.7879999999996</v>
      </c>
      <c r="E7921" s="608"/>
      <c r="F7921" s="760">
        <f t="shared" si="253"/>
        <v>2125.5339562148165</v>
      </c>
      <c r="M7921" s="443"/>
    </row>
    <row r="7922" spans="1:13">
      <c r="A7922" s="639">
        <v>112513</v>
      </c>
      <c r="B7922" s="639">
        <v>2300</v>
      </c>
      <c r="C7922" s="638">
        <v>4516.8100000000004</v>
      </c>
      <c r="D7922" s="633">
        <f t="shared" si="252"/>
        <v>4516.8100000000004</v>
      </c>
      <c r="E7922" s="608"/>
      <c r="F7922" s="760">
        <f t="shared" si="253"/>
        <v>1905.7239067564271</v>
      </c>
      <c r="M7922" s="443"/>
    </row>
    <row r="7923" spans="1:13">
      <c r="A7923" s="639">
        <v>112513</v>
      </c>
      <c r="B7923" s="639">
        <v>2400</v>
      </c>
      <c r="C7923" s="638">
        <v>3904.8380000000002</v>
      </c>
      <c r="D7923" s="633">
        <f t="shared" si="252"/>
        <v>3904.8380000000002</v>
      </c>
      <c r="E7923" s="608"/>
      <c r="F7923" s="760">
        <f t="shared" si="253"/>
        <v>1647.5218414347635</v>
      </c>
      <c r="M7923" s="443"/>
    </row>
    <row r="7924" spans="1:13">
      <c r="A7924" s="639">
        <v>112613</v>
      </c>
      <c r="B7924" s="639">
        <v>100</v>
      </c>
      <c r="C7924" s="638">
        <v>3519.172</v>
      </c>
      <c r="D7924" s="633">
        <f t="shared" si="252"/>
        <v>3519.172</v>
      </c>
      <c r="E7924" s="608"/>
      <c r="F7924" s="760">
        <f t="shared" si="253"/>
        <v>1484.8023743278618</v>
      </c>
      <c r="M7924" s="443"/>
    </row>
    <row r="7925" spans="1:13">
      <c r="A7925" s="639">
        <v>112613</v>
      </c>
      <c r="B7925" s="639">
        <v>200</v>
      </c>
      <c r="C7925" s="638">
        <v>3598.0320000000002</v>
      </c>
      <c r="D7925" s="633">
        <f t="shared" si="252"/>
        <v>3598.0320000000002</v>
      </c>
      <c r="E7925" s="608"/>
      <c r="F7925" s="760">
        <f t="shared" si="253"/>
        <v>1518.0748359294814</v>
      </c>
      <c r="M7925" s="443"/>
    </row>
    <row r="7926" spans="1:13">
      <c r="A7926" s="639">
        <v>112613</v>
      </c>
      <c r="B7926" s="639">
        <v>300</v>
      </c>
      <c r="C7926" s="638">
        <v>3495.2979999999998</v>
      </c>
      <c r="D7926" s="633">
        <f t="shared" si="252"/>
        <v>3495.2979999999998</v>
      </c>
      <c r="E7926" s="608"/>
      <c r="F7926" s="760">
        <f t="shared" si="253"/>
        <v>1474.7295015371301</v>
      </c>
      <c r="M7926" s="443"/>
    </row>
    <row r="7927" spans="1:13">
      <c r="A7927" s="639">
        <v>112613</v>
      </c>
      <c r="B7927" s="639">
        <v>400</v>
      </c>
      <c r="C7927" s="638">
        <v>3523.826</v>
      </c>
      <c r="D7927" s="633">
        <f t="shared" si="252"/>
        <v>3523.826</v>
      </c>
      <c r="E7927" s="608"/>
      <c r="F7927" s="760">
        <f t="shared" si="253"/>
        <v>1486.7659811791671</v>
      </c>
      <c r="M7927" s="443"/>
    </row>
    <row r="7928" spans="1:13">
      <c r="A7928" s="639">
        <v>112613</v>
      </c>
      <c r="B7928" s="639">
        <v>500</v>
      </c>
      <c r="C7928" s="638">
        <v>3574.2109999999998</v>
      </c>
      <c r="D7928" s="633">
        <f t="shared" si="252"/>
        <v>3574.2109999999998</v>
      </c>
      <c r="E7928" s="608"/>
      <c r="F7928" s="760">
        <f t="shared" si="253"/>
        <v>1508.0243247982082</v>
      </c>
      <c r="M7928" s="443"/>
    </row>
    <row r="7929" spans="1:13">
      <c r="A7929" s="639">
        <v>112613</v>
      </c>
      <c r="B7929" s="639">
        <v>600</v>
      </c>
      <c r="C7929" s="638">
        <v>3906.6080000000002</v>
      </c>
      <c r="D7929" s="633">
        <f t="shared" si="252"/>
        <v>3906.6080000000002</v>
      </c>
      <c r="E7929" s="608"/>
      <c r="F7929" s="760">
        <f t="shared" si="253"/>
        <v>1648.2686364770516</v>
      </c>
      <c r="M7929" s="443"/>
    </row>
    <row r="7930" spans="1:13">
      <c r="A7930" s="639">
        <v>112613</v>
      </c>
      <c r="B7930" s="639">
        <v>700</v>
      </c>
      <c r="C7930" s="638">
        <v>4464.8130000000001</v>
      </c>
      <c r="D7930" s="633">
        <f t="shared" si="252"/>
        <v>4464.8130000000001</v>
      </c>
      <c r="E7930" s="608"/>
      <c r="F7930" s="760">
        <f t="shared" si="253"/>
        <v>1883.7854311553692</v>
      </c>
      <c r="M7930" s="443"/>
    </row>
    <row r="7931" spans="1:13">
      <c r="A7931" s="639">
        <v>112613</v>
      </c>
      <c r="B7931" s="639">
        <v>800</v>
      </c>
      <c r="C7931" s="638">
        <v>4899.3990000000003</v>
      </c>
      <c r="D7931" s="633">
        <f t="shared" si="252"/>
        <v>4899.3990000000003</v>
      </c>
      <c r="E7931" s="608"/>
      <c r="F7931" s="760">
        <f t="shared" si="253"/>
        <v>2067.1451318604354</v>
      </c>
      <c r="M7931" s="443"/>
    </row>
    <row r="7932" spans="1:13">
      <c r="A7932" s="639">
        <v>112613</v>
      </c>
      <c r="B7932" s="639">
        <v>900</v>
      </c>
      <c r="C7932" s="638">
        <v>4700.75</v>
      </c>
      <c r="D7932" s="633">
        <f t="shared" si="252"/>
        <v>4700.75</v>
      </c>
      <c r="E7932" s="608"/>
      <c r="F7932" s="760">
        <f t="shared" si="253"/>
        <v>1983.331522620007</v>
      </c>
      <c r="M7932" s="443"/>
    </row>
    <row r="7933" spans="1:13">
      <c r="A7933" s="639">
        <v>112613</v>
      </c>
      <c r="B7933" s="639">
        <v>1000</v>
      </c>
      <c r="C7933" s="638">
        <v>4624.375</v>
      </c>
      <c r="D7933" s="633">
        <f t="shared" si="252"/>
        <v>4624.375</v>
      </c>
      <c r="E7933" s="608"/>
      <c r="F7933" s="760">
        <f t="shared" si="253"/>
        <v>1951.107527504312</v>
      </c>
      <c r="M7933" s="443"/>
    </row>
    <row r="7934" spans="1:13">
      <c r="A7934" s="639">
        <v>112613</v>
      </c>
      <c r="B7934" s="639">
        <v>1100</v>
      </c>
      <c r="C7934" s="638">
        <v>4423.6580000000004</v>
      </c>
      <c r="D7934" s="633">
        <f t="shared" si="252"/>
        <v>4423.6580000000004</v>
      </c>
      <c r="E7934" s="608"/>
      <c r="F7934" s="760">
        <f t="shared" si="253"/>
        <v>1866.4213916269055</v>
      </c>
      <c r="M7934" s="443"/>
    </row>
    <row r="7935" spans="1:13">
      <c r="A7935" s="639">
        <v>112613</v>
      </c>
      <c r="B7935" s="639">
        <v>1200</v>
      </c>
      <c r="C7935" s="638">
        <v>4432.0959999999995</v>
      </c>
      <c r="D7935" s="633">
        <f t="shared" si="252"/>
        <v>4432.0959999999995</v>
      </c>
      <c r="E7935" s="608"/>
      <c r="F7935" s="760">
        <f t="shared" si="253"/>
        <v>1869.9815365799163</v>
      </c>
      <c r="M7935" s="443"/>
    </row>
    <row r="7936" spans="1:13">
      <c r="A7936" s="639">
        <v>112613</v>
      </c>
      <c r="B7936" s="639">
        <v>1300</v>
      </c>
      <c r="C7936" s="638">
        <v>4365.7929999999997</v>
      </c>
      <c r="D7936" s="633">
        <f t="shared" si="252"/>
        <v>4365.7929999999997</v>
      </c>
      <c r="E7936" s="608"/>
      <c r="F7936" s="760">
        <f t="shared" si="253"/>
        <v>1842.0071005975146</v>
      </c>
      <c r="M7936" s="443"/>
    </row>
    <row r="7937" spans="1:13">
      <c r="A7937" s="639">
        <v>112613</v>
      </c>
      <c r="B7937" s="639">
        <v>1400</v>
      </c>
      <c r="C7937" s="638">
        <v>4395.1989999999996</v>
      </c>
      <c r="D7937" s="633">
        <f t="shared" si="252"/>
        <v>4395.1989999999996</v>
      </c>
      <c r="E7937" s="608"/>
      <c r="F7937" s="760">
        <f t="shared" si="253"/>
        <v>1854.4140243339746</v>
      </c>
      <c r="M7937" s="443"/>
    </row>
    <row r="7938" spans="1:13">
      <c r="A7938" s="639">
        <v>112613</v>
      </c>
      <c r="B7938" s="639">
        <v>1500</v>
      </c>
      <c r="C7938" s="638">
        <v>4492.7150000000001</v>
      </c>
      <c r="D7938" s="633">
        <f t="shared" si="252"/>
        <v>4492.7150000000001</v>
      </c>
      <c r="E7938" s="608"/>
      <c r="F7938" s="760">
        <f t="shared" si="253"/>
        <v>1895.5577900649355</v>
      </c>
      <c r="M7938" s="443"/>
    </row>
    <row r="7939" spans="1:13">
      <c r="A7939" s="639">
        <v>112613</v>
      </c>
      <c r="B7939" s="639">
        <v>1600</v>
      </c>
      <c r="C7939" s="638">
        <v>4633.893</v>
      </c>
      <c r="D7939" s="633">
        <f t="shared" si="252"/>
        <v>4633.893</v>
      </c>
      <c r="E7939" s="608"/>
      <c r="F7939" s="760">
        <f t="shared" si="253"/>
        <v>1955.1233440085502</v>
      </c>
      <c r="M7939" s="443"/>
    </row>
    <row r="7940" spans="1:13">
      <c r="A7940" s="639">
        <v>112613</v>
      </c>
      <c r="B7940" s="639">
        <v>1700</v>
      </c>
      <c r="C7940" s="638">
        <v>5104.7960000000003</v>
      </c>
      <c r="D7940" s="633">
        <f t="shared" si="252"/>
        <v>5104.7960000000003</v>
      </c>
      <c r="E7940" s="608"/>
      <c r="F7940" s="760">
        <f t="shared" si="253"/>
        <v>2153.805844459825</v>
      </c>
      <c r="M7940" s="443"/>
    </row>
    <row r="7941" spans="1:13">
      <c r="A7941" s="639">
        <v>112613</v>
      </c>
      <c r="B7941" s="639">
        <v>1800</v>
      </c>
      <c r="C7941" s="638">
        <v>5312.9960000000001</v>
      </c>
      <c r="D7941" s="633">
        <f t="shared" ref="D7941:D8004" si="254">C7941</f>
        <v>5312.9960000000001</v>
      </c>
      <c r="E7941" s="608"/>
      <c r="F7941" s="760">
        <f t="shared" si="253"/>
        <v>2241.6491935018894</v>
      </c>
      <c r="M7941" s="443"/>
    </row>
    <row r="7942" spans="1:13">
      <c r="A7942" s="639">
        <v>112613</v>
      </c>
      <c r="B7942" s="639">
        <v>1900</v>
      </c>
      <c r="C7942" s="638">
        <v>5364.2079999999996</v>
      </c>
      <c r="D7942" s="633">
        <f t="shared" si="254"/>
        <v>5364.2079999999996</v>
      </c>
      <c r="E7942" s="608"/>
      <c r="F7942" s="760">
        <f t="shared" si="253"/>
        <v>2263.2564633921015</v>
      </c>
      <c r="M7942" s="443"/>
    </row>
    <row r="7943" spans="1:13">
      <c r="A7943" s="639">
        <v>112613</v>
      </c>
      <c r="B7943" s="639">
        <v>2000</v>
      </c>
      <c r="C7943" s="638">
        <v>5318.8639999999996</v>
      </c>
      <c r="D7943" s="633">
        <f t="shared" si="254"/>
        <v>5318.8639999999996</v>
      </c>
      <c r="E7943" s="608"/>
      <c r="F7943" s="760">
        <f t="shared" si="253"/>
        <v>2244.1250089302216</v>
      </c>
      <c r="M7943" s="443"/>
    </row>
    <row r="7944" spans="1:13">
      <c r="A7944" s="639">
        <v>112613</v>
      </c>
      <c r="B7944" s="639">
        <v>2100</v>
      </c>
      <c r="C7944" s="638">
        <v>5193.1880000000001</v>
      </c>
      <c r="D7944" s="633">
        <f t="shared" si="254"/>
        <v>5193.1880000000001</v>
      </c>
      <c r="E7944" s="608"/>
      <c r="F7944" s="760">
        <f t="shared" si="253"/>
        <v>2191.1000294191244</v>
      </c>
      <c r="M7944" s="443"/>
    </row>
    <row r="7945" spans="1:13">
      <c r="A7945" s="639">
        <v>112613</v>
      </c>
      <c r="B7945" s="639">
        <v>2200</v>
      </c>
      <c r="C7945" s="638">
        <v>4841.5749999999998</v>
      </c>
      <c r="D7945" s="633">
        <f t="shared" si="254"/>
        <v>4841.5749999999998</v>
      </c>
      <c r="E7945" s="608"/>
      <c r="F7945" s="760">
        <f t="shared" si="253"/>
        <v>2042.748139473267</v>
      </c>
      <c r="M7945" s="443"/>
    </row>
    <row r="7946" spans="1:13">
      <c r="A7946" s="639">
        <v>112613</v>
      </c>
      <c r="B7946" s="639">
        <v>2300</v>
      </c>
      <c r="C7946" s="638">
        <v>4203.7709999999997</v>
      </c>
      <c r="D7946" s="633">
        <f t="shared" si="254"/>
        <v>4203.7709999999997</v>
      </c>
      <c r="E7946" s="608"/>
      <c r="F7946" s="760">
        <f t="shared" si="253"/>
        <v>1773.6470857152217</v>
      </c>
      <c r="M7946" s="443"/>
    </row>
    <row r="7947" spans="1:13">
      <c r="A7947" s="639">
        <v>112613</v>
      </c>
      <c r="B7947" s="639">
        <v>2400</v>
      </c>
      <c r="C7947" s="638">
        <v>3661.6010000000001</v>
      </c>
      <c r="D7947" s="633">
        <f t="shared" si="254"/>
        <v>3661.6010000000001</v>
      </c>
      <c r="E7947" s="608"/>
      <c r="F7947" s="760">
        <f t="shared" si="253"/>
        <v>1544.8957478183142</v>
      </c>
      <c r="M7947" s="443"/>
    </row>
    <row r="7948" spans="1:13">
      <c r="A7948" s="639">
        <v>112713</v>
      </c>
      <c r="B7948" s="639">
        <v>100</v>
      </c>
      <c r="C7948" s="638">
        <v>3304.01</v>
      </c>
      <c r="D7948" s="633">
        <f t="shared" si="254"/>
        <v>3304.01</v>
      </c>
      <c r="E7948" s="608"/>
      <c r="F7948" s="760">
        <f t="shared" si="253"/>
        <v>1394.0216314527959</v>
      </c>
      <c r="M7948" s="443"/>
    </row>
    <row r="7949" spans="1:13">
      <c r="A7949" s="639">
        <v>112713</v>
      </c>
      <c r="B7949" s="639">
        <v>200</v>
      </c>
      <c r="C7949" s="638">
        <v>3352.069</v>
      </c>
      <c r="D7949" s="633">
        <f t="shared" si="254"/>
        <v>3352.069</v>
      </c>
      <c r="E7949" s="608"/>
      <c r="F7949" s="760">
        <f t="shared" si="253"/>
        <v>1414.2985935642873</v>
      </c>
      <c r="M7949" s="443"/>
    </row>
    <row r="7950" spans="1:13">
      <c r="A7950" s="639">
        <v>112713</v>
      </c>
      <c r="B7950" s="639">
        <v>300</v>
      </c>
      <c r="C7950" s="638">
        <v>3320.8470000000002</v>
      </c>
      <c r="D7950" s="633">
        <f t="shared" si="254"/>
        <v>3320.8470000000002</v>
      </c>
      <c r="E7950" s="608"/>
      <c r="F7950" s="760">
        <f t="shared" si="253"/>
        <v>1401.1254665528018</v>
      </c>
      <c r="M7950" s="443"/>
    </row>
    <row r="7951" spans="1:13">
      <c r="A7951" s="639">
        <v>112713</v>
      </c>
      <c r="B7951" s="639">
        <v>400</v>
      </c>
      <c r="C7951" s="638">
        <v>3341.386</v>
      </c>
      <c r="D7951" s="633">
        <f t="shared" si="254"/>
        <v>3341.386</v>
      </c>
      <c r="E7951" s="608"/>
      <c r="F7951" s="760">
        <f t="shared" si="253"/>
        <v>1409.7912424700685</v>
      </c>
      <c r="M7951" s="443"/>
    </row>
    <row r="7952" spans="1:13">
      <c r="A7952" s="639">
        <v>112713</v>
      </c>
      <c r="B7952" s="639">
        <v>500</v>
      </c>
      <c r="C7952" s="638">
        <v>3469.5279999999998</v>
      </c>
      <c r="D7952" s="633">
        <f t="shared" si="254"/>
        <v>3469.5279999999998</v>
      </c>
      <c r="E7952" s="608"/>
      <c r="F7952" s="760">
        <f t="shared" si="253"/>
        <v>1463.8566720231343</v>
      </c>
      <c r="M7952" s="443"/>
    </row>
    <row r="7953" spans="1:13">
      <c r="A7953" s="639">
        <v>112713</v>
      </c>
      <c r="B7953" s="639">
        <v>600</v>
      </c>
      <c r="C7953" s="638">
        <v>3789.4920000000002</v>
      </c>
      <c r="D7953" s="633">
        <f t="shared" si="254"/>
        <v>3789.4920000000002</v>
      </c>
      <c r="E7953" s="608"/>
      <c r="F7953" s="760">
        <f t="shared" si="253"/>
        <v>1598.8552759275301</v>
      </c>
      <c r="M7953" s="443"/>
    </row>
    <row r="7954" spans="1:13">
      <c r="A7954" s="639">
        <v>112713</v>
      </c>
      <c r="B7954" s="639">
        <v>700</v>
      </c>
      <c r="C7954" s="638">
        <v>4409.46</v>
      </c>
      <c r="D7954" s="633">
        <f t="shared" si="254"/>
        <v>4409.46</v>
      </c>
      <c r="E7954" s="608"/>
      <c r="F7954" s="760">
        <f t="shared" si="253"/>
        <v>1860.4309984006843</v>
      </c>
      <c r="M7954" s="443"/>
    </row>
    <row r="7955" spans="1:13">
      <c r="A7955" s="639">
        <v>112713</v>
      </c>
      <c r="B7955" s="639">
        <v>800</v>
      </c>
      <c r="C7955" s="638">
        <v>4824.7939999999999</v>
      </c>
      <c r="D7955" s="633">
        <f t="shared" si="254"/>
        <v>4824.7939999999999</v>
      </c>
      <c r="E7955" s="608"/>
      <c r="F7955" s="760">
        <f t="shared" si="253"/>
        <v>2035.6679317870285</v>
      </c>
      <c r="M7955" s="443"/>
    </row>
    <row r="7956" spans="1:13">
      <c r="A7956" s="639">
        <v>112713</v>
      </c>
      <c r="B7956" s="639">
        <v>900</v>
      </c>
      <c r="C7956" s="638">
        <v>4748.7960000000003</v>
      </c>
      <c r="D7956" s="633">
        <f t="shared" si="254"/>
        <v>4748.7960000000003</v>
      </c>
      <c r="E7956" s="608"/>
      <c r="F7956" s="760">
        <f t="shared" si="253"/>
        <v>2003.60299979616</v>
      </c>
      <c r="M7956" s="443"/>
    </row>
    <row r="7957" spans="1:13">
      <c r="A7957" s="639">
        <v>112713</v>
      </c>
      <c r="B7957" s="639">
        <v>1000</v>
      </c>
      <c r="C7957" s="638">
        <v>4420.9309999999996</v>
      </c>
      <c r="D7957" s="633">
        <f t="shared" si="254"/>
        <v>4420.9309999999996</v>
      </c>
      <c r="E7957" s="608"/>
      <c r="F7957" s="760">
        <f t="shared" si="253"/>
        <v>1865.2708209600573</v>
      </c>
      <c r="M7957" s="443"/>
    </row>
    <row r="7958" spans="1:13">
      <c r="A7958" s="639">
        <v>112713</v>
      </c>
      <c r="B7958" s="639">
        <v>1100</v>
      </c>
      <c r="C7958" s="638">
        <v>4402.4750000000004</v>
      </c>
      <c r="D7958" s="633">
        <f t="shared" si="254"/>
        <v>4402.4750000000004</v>
      </c>
      <c r="E7958" s="608"/>
      <c r="F7958" s="760">
        <f t="shared" si="253"/>
        <v>1857.4839004513144</v>
      </c>
      <c r="M7958" s="443"/>
    </row>
    <row r="7959" spans="1:13">
      <c r="A7959" s="639">
        <v>112713</v>
      </c>
      <c r="B7959" s="639">
        <v>1200</v>
      </c>
      <c r="C7959" s="638">
        <v>4058.623</v>
      </c>
      <c r="D7959" s="633">
        <f t="shared" si="254"/>
        <v>4058.623</v>
      </c>
      <c r="E7959" s="608"/>
      <c r="F7959" s="760">
        <f t="shared" si="253"/>
        <v>1712.4065169027456</v>
      </c>
      <c r="M7959" s="443"/>
    </row>
    <row r="7960" spans="1:13">
      <c r="A7960" s="639">
        <v>112713</v>
      </c>
      <c r="B7960" s="639">
        <v>1300</v>
      </c>
      <c r="C7960" s="638">
        <v>3890.538</v>
      </c>
      <c r="D7960" s="633">
        <f t="shared" si="254"/>
        <v>3890.538</v>
      </c>
      <c r="E7960" s="608"/>
      <c r="F7960" s="760">
        <f t="shared" si="253"/>
        <v>1641.4884125620372</v>
      </c>
      <c r="M7960" s="443"/>
    </row>
    <row r="7961" spans="1:13">
      <c r="A7961" s="639">
        <v>112713</v>
      </c>
      <c r="B7961" s="639">
        <v>1400</v>
      </c>
      <c r="C7961" s="638">
        <v>4117.4049999999997</v>
      </c>
      <c r="D7961" s="633">
        <f t="shared" si="254"/>
        <v>4117.4049999999997</v>
      </c>
      <c r="E7961" s="608"/>
      <c r="F7961" s="760">
        <f t="shared" si="253"/>
        <v>1737.2077068325755</v>
      </c>
      <c r="M7961" s="443"/>
    </row>
    <row r="7962" spans="1:13">
      <c r="A7962" s="639">
        <v>112713</v>
      </c>
      <c r="B7962" s="639">
        <v>1500</v>
      </c>
      <c r="C7962" s="638">
        <v>4050.9830000000002</v>
      </c>
      <c r="D7962" s="633">
        <f t="shared" si="254"/>
        <v>4050.9830000000002</v>
      </c>
      <c r="E7962" s="608"/>
      <c r="F7962" s="760">
        <f t="shared" si="253"/>
        <v>1709.1830625959187</v>
      </c>
      <c r="M7962" s="443"/>
    </row>
    <row r="7963" spans="1:13">
      <c r="A7963" s="639">
        <v>112713</v>
      </c>
      <c r="B7963" s="639">
        <v>1600</v>
      </c>
      <c r="C7963" s="638">
        <v>4378.4740000000002</v>
      </c>
      <c r="D7963" s="633">
        <f t="shared" si="254"/>
        <v>4378.4740000000002</v>
      </c>
      <c r="E7963" s="608"/>
      <c r="F7963" s="760">
        <f t="shared" si="253"/>
        <v>1847.3574440615037</v>
      </c>
      <c r="M7963" s="443"/>
    </row>
    <row r="7964" spans="1:13">
      <c r="A7964" s="639">
        <v>112713</v>
      </c>
      <c r="B7964" s="639">
        <v>1700</v>
      </c>
      <c r="C7964" s="638">
        <v>4988.46</v>
      </c>
      <c r="D7964" s="633">
        <f t="shared" si="254"/>
        <v>4988.46</v>
      </c>
      <c r="E7964" s="608"/>
      <c r="F7964" s="760">
        <f t="shared" ref="F7964:F8027" si="255">(D7964/(MAX($D$7324:$D$8043)))*$M$14</f>
        <v>2104.7215800306335</v>
      </c>
      <c r="M7964" s="443"/>
    </row>
    <row r="7965" spans="1:13">
      <c r="A7965" s="639">
        <v>112713</v>
      </c>
      <c r="B7965" s="639">
        <v>1800</v>
      </c>
      <c r="C7965" s="638">
        <v>5534.3450000000003</v>
      </c>
      <c r="D7965" s="633">
        <f t="shared" si="254"/>
        <v>5534.3450000000003</v>
      </c>
      <c r="E7965" s="608"/>
      <c r="F7965" s="760">
        <f t="shared" si="255"/>
        <v>2335.0403436801412</v>
      </c>
      <c r="M7965" s="443"/>
    </row>
    <row r="7966" spans="1:13">
      <c r="A7966" s="639">
        <v>112713</v>
      </c>
      <c r="B7966" s="639">
        <v>1900</v>
      </c>
      <c r="C7966" s="638">
        <v>5629.5010000000002</v>
      </c>
      <c r="D7966" s="633">
        <f t="shared" si="254"/>
        <v>5629.5010000000002</v>
      </c>
      <c r="E7966" s="608"/>
      <c r="F7966" s="760">
        <f t="shared" si="255"/>
        <v>2375.1883826880503</v>
      </c>
      <c r="M7966" s="443"/>
    </row>
    <row r="7967" spans="1:13">
      <c r="A7967" s="639">
        <v>112713</v>
      </c>
      <c r="B7967" s="639">
        <v>2000</v>
      </c>
      <c r="C7967" s="638">
        <v>5587.165</v>
      </c>
      <c r="D7967" s="633">
        <f t="shared" si="254"/>
        <v>5587.165</v>
      </c>
      <c r="E7967" s="608"/>
      <c r="F7967" s="760">
        <f t="shared" si="255"/>
        <v>2357.3260578799577</v>
      </c>
      <c r="M7967" s="443"/>
    </row>
    <row r="7968" spans="1:13">
      <c r="A7968" s="639">
        <v>112713</v>
      </c>
      <c r="B7968" s="639">
        <v>2100</v>
      </c>
      <c r="C7968" s="638">
        <v>5573.12</v>
      </c>
      <c r="D7968" s="633">
        <f t="shared" si="254"/>
        <v>5573.12</v>
      </c>
      <c r="E7968" s="608"/>
      <c r="F7968" s="760">
        <f t="shared" si="255"/>
        <v>2351.4002181234937</v>
      </c>
      <c r="M7968" s="443"/>
    </row>
    <row r="7969" spans="1:13">
      <c r="A7969" s="639">
        <v>112713</v>
      </c>
      <c r="B7969" s="639">
        <v>2200</v>
      </c>
      <c r="C7969" s="638">
        <v>5313.1970000000001</v>
      </c>
      <c r="D7969" s="633">
        <f t="shared" si="254"/>
        <v>5313.1970000000001</v>
      </c>
      <c r="E7969" s="608"/>
      <c r="F7969" s="760">
        <f t="shared" si="255"/>
        <v>2241.7339990405903</v>
      </c>
      <c r="M7969" s="443"/>
    </row>
    <row r="7970" spans="1:13">
      <c r="A7970" s="639">
        <v>112713</v>
      </c>
      <c r="B7970" s="639">
        <v>2300</v>
      </c>
      <c r="C7970" s="638">
        <v>4712.3360000000002</v>
      </c>
      <c r="D7970" s="633">
        <f t="shared" si="254"/>
        <v>4712.3360000000002</v>
      </c>
      <c r="E7970" s="608"/>
      <c r="F7970" s="760">
        <f t="shared" si="255"/>
        <v>1988.2198657612241</v>
      </c>
      <c r="M7970" s="443"/>
    </row>
    <row r="7971" spans="1:13">
      <c r="A7971" s="639">
        <v>112713</v>
      </c>
      <c r="B7971" s="639">
        <v>2400</v>
      </c>
      <c r="C7971" s="638">
        <v>4183.509</v>
      </c>
      <c r="D7971" s="633">
        <f t="shared" si="254"/>
        <v>4183.509</v>
      </c>
      <c r="E7971" s="608"/>
      <c r="F7971" s="760">
        <f t="shared" si="255"/>
        <v>1765.098181112483</v>
      </c>
      <c r="M7971" s="443"/>
    </row>
    <row r="7972" spans="1:13">
      <c r="A7972" s="639">
        <v>112813</v>
      </c>
      <c r="B7972" s="639">
        <v>100</v>
      </c>
      <c r="C7972" s="638">
        <v>3752.2919999999999</v>
      </c>
      <c r="D7972" s="633">
        <f t="shared" si="254"/>
        <v>3752.2919999999999</v>
      </c>
      <c r="E7972" s="608"/>
      <c r="F7972" s="760">
        <f t="shared" si="255"/>
        <v>1583.1599224963829</v>
      </c>
      <c r="M7972" s="443"/>
    </row>
    <row r="7973" spans="1:13">
      <c r="A7973" s="639">
        <v>112813</v>
      </c>
      <c r="B7973" s="639">
        <v>200</v>
      </c>
      <c r="C7973" s="638">
        <v>3768.67</v>
      </c>
      <c r="D7973" s="633">
        <f t="shared" si="254"/>
        <v>3768.67</v>
      </c>
      <c r="E7973" s="608"/>
      <c r="F7973" s="760">
        <f t="shared" si="255"/>
        <v>1590.0700971871174</v>
      </c>
      <c r="M7973" s="443"/>
    </row>
    <row r="7974" spans="1:13">
      <c r="A7974" s="639">
        <v>112813</v>
      </c>
      <c r="B7974" s="639">
        <v>300</v>
      </c>
      <c r="C7974" s="638">
        <v>3735.3589999999999</v>
      </c>
      <c r="D7974" s="633">
        <f t="shared" si="254"/>
        <v>3735.3589999999999</v>
      </c>
      <c r="E7974" s="608"/>
      <c r="F7974" s="760">
        <f t="shared" si="255"/>
        <v>1576.0155832584901</v>
      </c>
      <c r="M7974" s="443"/>
    </row>
    <row r="7975" spans="1:13">
      <c r="A7975" s="639">
        <v>112813</v>
      </c>
      <c r="B7975" s="639">
        <v>400</v>
      </c>
      <c r="C7975" s="638">
        <v>3734.3009999999999</v>
      </c>
      <c r="D7975" s="633">
        <f t="shared" si="254"/>
        <v>3734.3009999999999</v>
      </c>
      <c r="E7975" s="608"/>
      <c r="F7975" s="760">
        <f t="shared" si="255"/>
        <v>1575.5691939055287</v>
      </c>
      <c r="M7975" s="443"/>
    </row>
    <row r="7976" spans="1:13">
      <c r="A7976" s="639">
        <v>112813</v>
      </c>
      <c r="B7976" s="639">
        <v>500</v>
      </c>
      <c r="C7976" s="638">
        <v>3852.9050000000002</v>
      </c>
      <c r="D7976" s="633">
        <f t="shared" si="254"/>
        <v>3852.9050000000002</v>
      </c>
      <c r="E7976" s="608"/>
      <c r="F7976" s="760">
        <f t="shared" si="255"/>
        <v>1625.6103685922967</v>
      </c>
      <c r="M7976" s="443"/>
    </row>
    <row r="7977" spans="1:13">
      <c r="A7977" s="639">
        <v>112813</v>
      </c>
      <c r="B7977" s="639">
        <v>600</v>
      </c>
      <c r="C7977" s="638">
        <v>4164.6980000000003</v>
      </c>
      <c r="D7977" s="633">
        <f t="shared" si="254"/>
        <v>4164.6980000000003</v>
      </c>
      <c r="E7977" s="608"/>
      <c r="F7977" s="760">
        <f t="shared" si="255"/>
        <v>1757.1614796771789</v>
      </c>
      <c r="M7977" s="443"/>
    </row>
    <row r="7978" spans="1:13">
      <c r="A7978" s="639">
        <v>112813</v>
      </c>
      <c r="B7978" s="639">
        <v>700</v>
      </c>
      <c r="C7978" s="638">
        <v>4736.7070000000003</v>
      </c>
      <c r="D7978" s="633">
        <f t="shared" si="254"/>
        <v>4736.7070000000003</v>
      </c>
      <c r="E7978" s="608"/>
      <c r="F7978" s="760">
        <f t="shared" si="255"/>
        <v>1998.5024318491403</v>
      </c>
      <c r="M7978" s="443"/>
    </row>
    <row r="7979" spans="1:13">
      <c r="A7979" s="639">
        <v>112813</v>
      </c>
      <c r="B7979" s="639">
        <v>800</v>
      </c>
      <c r="C7979" s="638">
        <v>4992.1840000000002</v>
      </c>
      <c r="D7979" s="633">
        <f t="shared" si="254"/>
        <v>4992.1840000000002</v>
      </c>
      <c r="E7979" s="608"/>
      <c r="F7979" s="760">
        <f t="shared" si="255"/>
        <v>2106.2928030461603</v>
      </c>
      <c r="M7979" s="443"/>
    </row>
    <row r="7980" spans="1:13">
      <c r="A7980" s="639">
        <v>112813</v>
      </c>
      <c r="B7980" s="639">
        <v>900</v>
      </c>
      <c r="C7980" s="638">
        <v>4870.6750000000002</v>
      </c>
      <c r="D7980" s="633">
        <f t="shared" si="254"/>
        <v>4870.6750000000002</v>
      </c>
      <c r="E7980" s="608"/>
      <c r="F7980" s="760">
        <f t="shared" si="255"/>
        <v>2055.0259562702131</v>
      </c>
      <c r="M7980" s="443"/>
    </row>
    <row r="7981" spans="1:13">
      <c r="A7981" s="639">
        <v>112813</v>
      </c>
      <c r="B7981" s="639">
        <v>1000</v>
      </c>
      <c r="C7981" s="638">
        <v>4627.5739999999996</v>
      </c>
      <c r="D7981" s="633">
        <f t="shared" si="254"/>
        <v>4627.5739999999996</v>
      </c>
      <c r="E7981" s="608"/>
      <c r="F7981" s="760">
        <f t="shared" si="255"/>
        <v>1952.45724351577</v>
      </c>
      <c r="M7981" s="443"/>
    </row>
    <row r="7982" spans="1:13">
      <c r="A7982" s="639">
        <v>112813</v>
      </c>
      <c r="B7982" s="639">
        <v>1100</v>
      </c>
      <c r="C7982" s="638">
        <v>4329.9530000000004</v>
      </c>
      <c r="D7982" s="633">
        <f t="shared" si="254"/>
        <v>4329.9530000000004</v>
      </c>
      <c r="E7982" s="608"/>
      <c r="F7982" s="760">
        <f t="shared" si="255"/>
        <v>1826.8855557864315</v>
      </c>
      <c r="M7982" s="443"/>
    </row>
    <row r="7983" spans="1:13">
      <c r="A7983" s="639">
        <v>112813</v>
      </c>
      <c r="B7983" s="639">
        <v>1200</v>
      </c>
      <c r="C7983" s="638">
        <v>4150.51</v>
      </c>
      <c r="D7983" s="633">
        <f t="shared" si="254"/>
        <v>4150.51</v>
      </c>
      <c r="E7983" s="608"/>
      <c r="F7983" s="760">
        <f t="shared" si="255"/>
        <v>1751.1753056319876</v>
      </c>
      <c r="M7983" s="443"/>
    </row>
    <row r="7984" spans="1:13">
      <c r="A7984" s="639">
        <v>112813</v>
      </c>
      <c r="B7984" s="639">
        <v>1300</v>
      </c>
      <c r="C7984" s="638">
        <v>4141.0940000000001</v>
      </c>
      <c r="D7984" s="633">
        <f t="shared" si="254"/>
        <v>4141.0940000000001</v>
      </c>
      <c r="E7984" s="608"/>
      <c r="F7984" s="760">
        <f t="shared" si="255"/>
        <v>1747.2025247742542</v>
      </c>
      <c r="M7984" s="443"/>
    </row>
    <row r="7985" spans="1:13">
      <c r="A7985" s="639">
        <v>112813</v>
      </c>
      <c r="B7985" s="639">
        <v>1400</v>
      </c>
      <c r="C7985" s="638">
        <v>4240.43</v>
      </c>
      <c r="D7985" s="633">
        <f t="shared" si="254"/>
        <v>4240.43</v>
      </c>
      <c r="E7985" s="608"/>
      <c r="F7985" s="760">
        <f t="shared" si="255"/>
        <v>1789.1141814526527</v>
      </c>
      <c r="M7985" s="443"/>
    </row>
    <row r="7986" spans="1:13">
      <c r="A7986" s="639">
        <v>112813</v>
      </c>
      <c r="B7986" s="639">
        <v>1500</v>
      </c>
      <c r="C7986" s="638">
        <v>4490.2179999999998</v>
      </c>
      <c r="D7986" s="633">
        <f t="shared" si="254"/>
        <v>4490.2179999999998</v>
      </c>
      <c r="E7986" s="608"/>
      <c r="F7986" s="760">
        <f t="shared" si="255"/>
        <v>1894.5042605617746</v>
      </c>
      <c r="M7986" s="443"/>
    </row>
    <row r="7987" spans="1:13">
      <c r="A7987" s="639">
        <v>112813</v>
      </c>
      <c r="B7987" s="639">
        <v>1600</v>
      </c>
      <c r="C7987" s="638">
        <v>4720.7430000000004</v>
      </c>
      <c r="D7987" s="633">
        <f t="shared" si="254"/>
        <v>4720.7430000000004</v>
      </c>
      <c r="E7987" s="608"/>
      <c r="F7987" s="760">
        <f t="shared" si="255"/>
        <v>1991.7669312530429</v>
      </c>
      <c r="M7987" s="443"/>
    </row>
    <row r="7988" spans="1:13">
      <c r="A7988" s="639">
        <v>112813</v>
      </c>
      <c r="B7988" s="639">
        <v>1700</v>
      </c>
      <c r="C7988" s="638">
        <v>5084.5780000000004</v>
      </c>
      <c r="D7988" s="633">
        <f t="shared" si="254"/>
        <v>5084.5780000000004</v>
      </c>
      <c r="E7988" s="608"/>
      <c r="F7988" s="760">
        <f t="shared" si="255"/>
        <v>2145.2755042536173</v>
      </c>
      <c r="M7988" s="443"/>
    </row>
    <row r="7989" spans="1:13">
      <c r="A7989" s="639">
        <v>112813</v>
      </c>
      <c r="B7989" s="639">
        <v>1800</v>
      </c>
      <c r="C7989" s="638">
        <v>5455.5839999999998</v>
      </c>
      <c r="D7989" s="633">
        <f t="shared" si="254"/>
        <v>5455.5839999999998</v>
      </c>
      <c r="E7989" s="608"/>
      <c r="F7989" s="760">
        <f t="shared" si="255"/>
        <v>2301.8096519707169</v>
      </c>
      <c r="M7989" s="443"/>
    </row>
    <row r="7990" spans="1:13">
      <c r="A7990" s="639">
        <v>112813</v>
      </c>
      <c r="B7990" s="639">
        <v>1900</v>
      </c>
      <c r="C7990" s="638">
        <v>5512.95</v>
      </c>
      <c r="D7990" s="633">
        <f t="shared" si="254"/>
        <v>5512.95</v>
      </c>
      <c r="E7990" s="608"/>
      <c r="F7990" s="760">
        <f t="shared" si="255"/>
        <v>2326.0134058667163</v>
      </c>
      <c r="M7990" s="443"/>
    </row>
    <row r="7991" spans="1:13">
      <c r="A7991" s="639">
        <v>112813</v>
      </c>
      <c r="B7991" s="639">
        <v>2000</v>
      </c>
      <c r="C7991" s="638">
        <v>5439.3509999999997</v>
      </c>
      <c r="D7991" s="633">
        <f t="shared" si="254"/>
        <v>5439.3509999999997</v>
      </c>
      <c r="E7991" s="608"/>
      <c r="F7991" s="760">
        <f t="shared" si="255"/>
        <v>2294.9606554049155</v>
      </c>
      <c r="M7991" s="443"/>
    </row>
    <row r="7992" spans="1:13">
      <c r="A7992" s="639">
        <v>112813</v>
      </c>
      <c r="B7992" s="639">
        <v>2100</v>
      </c>
      <c r="C7992" s="638">
        <v>5314.1210000000001</v>
      </c>
      <c r="D7992" s="633">
        <f t="shared" si="254"/>
        <v>5314.1210000000001</v>
      </c>
      <c r="E7992" s="608"/>
      <c r="F7992" s="760">
        <f t="shared" si="255"/>
        <v>2242.1238513677508</v>
      </c>
      <c r="M7992" s="443"/>
    </row>
    <row r="7993" spans="1:13">
      <c r="A7993" s="639">
        <v>112813</v>
      </c>
      <c r="B7993" s="639">
        <v>2200</v>
      </c>
      <c r="C7993" s="638">
        <v>5049.259</v>
      </c>
      <c r="D7993" s="633">
        <f t="shared" si="254"/>
        <v>5049.259</v>
      </c>
      <c r="E7993" s="608"/>
      <c r="F7993" s="760">
        <f t="shared" si="255"/>
        <v>2130.3737787741902</v>
      </c>
      <c r="M7993" s="443"/>
    </row>
    <row r="7994" spans="1:13">
      <c r="A7994" s="639">
        <v>112813</v>
      </c>
      <c r="B7994" s="639">
        <v>2300</v>
      </c>
      <c r="C7994" s="638">
        <v>4527.7489999999998</v>
      </c>
      <c r="D7994" s="633">
        <f t="shared" si="254"/>
        <v>4527.7489999999998</v>
      </c>
      <c r="E7994" s="608"/>
      <c r="F7994" s="760">
        <f t="shared" si="255"/>
        <v>1910.3392688850106</v>
      </c>
      <c r="M7994" s="443"/>
    </row>
    <row r="7995" spans="1:13">
      <c r="A7995" s="639">
        <v>112813</v>
      </c>
      <c r="B7995" s="639">
        <v>2400</v>
      </c>
      <c r="C7995" s="638">
        <v>4020.83</v>
      </c>
      <c r="D7995" s="633">
        <f t="shared" si="254"/>
        <v>4020.83</v>
      </c>
      <c r="E7995" s="608"/>
      <c r="F7995" s="760">
        <f t="shared" si="255"/>
        <v>1696.4609660365265</v>
      </c>
      <c r="M7995" s="443"/>
    </row>
    <row r="7996" spans="1:13">
      <c r="A7996" s="639">
        <v>112913</v>
      </c>
      <c r="B7996" s="639">
        <v>100</v>
      </c>
      <c r="C7996" s="638">
        <v>3770.7</v>
      </c>
      <c r="D7996" s="633">
        <f t="shared" si="254"/>
        <v>3770.7</v>
      </c>
      <c r="E7996" s="608"/>
      <c r="F7996" s="760">
        <f t="shared" si="255"/>
        <v>1590.9265909361825</v>
      </c>
      <c r="M7996" s="443"/>
    </row>
    <row r="7997" spans="1:13">
      <c r="A7997" s="639">
        <v>112913</v>
      </c>
      <c r="B7997" s="639">
        <v>200</v>
      </c>
      <c r="C7997" s="638">
        <v>3886.7249999999999</v>
      </c>
      <c r="D7997" s="633">
        <f t="shared" si="254"/>
        <v>3886.7249999999999</v>
      </c>
      <c r="E7997" s="608"/>
      <c r="F7997" s="760">
        <f t="shared" si="255"/>
        <v>1639.8796388353446</v>
      </c>
      <c r="M7997" s="443"/>
    </row>
    <row r="7998" spans="1:13">
      <c r="A7998" s="639">
        <v>112913</v>
      </c>
      <c r="B7998" s="639">
        <v>300</v>
      </c>
      <c r="C7998" s="638">
        <v>3891.5219999999999</v>
      </c>
      <c r="D7998" s="633">
        <f t="shared" si="254"/>
        <v>3891.5219999999999</v>
      </c>
      <c r="E7998" s="608"/>
      <c r="F7998" s="760">
        <f t="shared" si="255"/>
        <v>1641.9035799753774</v>
      </c>
      <c r="M7998" s="443"/>
    </row>
    <row r="7999" spans="1:13">
      <c r="A7999" s="639">
        <v>112913</v>
      </c>
      <c r="B7999" s="639">
        <v>400</v>
      </c>
      <c r="C7999" s="638">
        <v>3900.3519999999999</v>
      </c>
      <c r="D7999" s="633">
        <f t="shared" si="254"/>
        <v>3900.3519999999999</v>
      </c>
      <c r="E7999" s="608"/>
      <c r="F7999" s="760">
        <f t="shared" si="255"/>
        <v>1645.6291168247596</v>
      </c>
      <c r="M7999" s="443"/>
    </row>
    <row r="8000" spans="1:13">
      <c r="A8000" s="639">
        <v>112913</v>
      </c>
      <c r="B8000" s="639">
        <v>500</v>
      </c>
      <c r="C8000" s="638">
        <v>3997.5219999999999</v>
      </c>
      <c r="D8000" s="633">
        <f t="shared" si="254"/>
        <v>3997.5219999999999</v>
      </c>
      <c r="E8000" s="608"/>
      <c r="F8000" s="760">
        <f t="shared" si="255"/>
        <v>1686.6268988920865</v>
      </c>
      <c r="M8000" s="443"/>
    </row>
    <row r="8001" spans="1:13">
      <c r="A8001" s="639">
        <v>112913</v>
      </c>
      <c r="B8001" s="639">
        <v>600</v>
      </c>
      <c r="C8001" s="638">
        <v>4387.59</v>
      </c>
      <c r="D8001" s="633">
        <f t="shared" si="254"/>
        <v>4387.59</v>
      </c>
      <c r="E8001" s="608"/>
      <c r="F8001" s="760">
        <f t="shared" si="255"/>
        <v>1851.2036494883405</v>
      </c>
      <c r="M8001" s="443"/>
    </row>
    <row r="8002" spans="1:13">
      <c r="A8002" s="639">
        <v>112913</v>
      </c>
      <c r="B8002" s="639">
        <v>700</v>
      </c>
      <c r="C8002" s="638">
        <v>4918.1049999999996</v>
      </c>
      <c r="D8002" s="633">
        <f t="shared" si="254"/>
        <v>4918.1049999999996</v>
      </c>
      <c r="E8002" s="608"/>
      <c r="F8002" s="760">
        <f t="shared" si="255"/>
        <v>2075.037531894925</v>
      </c>
      <c r="M8002" s="443"/>
    </row>
    <row r="8003" spans="1:13">
      <c r="A8003" s="639">
        <v>112913</v>
      </c>
      <c r="B8003" s="639">
        <v>800</v>
      </c>
      <c r="C8003" s="638">
        <v>5227.6409999999996</v>
      </c>
      <c r="D8003" s="633">
        <f t="shared" si="254"/>
        <v>5227.6409999999996</v>
      </c>
      <c r="E8003" s="608"/>
      <c r="F8003" s="760">
        <f t="shared" si="255"/>
        <v>2205.6363738213636</v>
      </c>
      <c r="M8003" s="443"/>
    </row>
    <row r="8004" spans="1:13">
      <c r="A8004" s="639">
        <v>112913</v>
      </c>
      <c r="B8004" s="639">
        <v>900</v>
      </c>
      <c r="C8004" s="638">
        <v>5014.1009999999997</v>
      </c>
      <c r="D8004" s="633">
        <f t="shared" si="254"/>
        <v>5014.1009999999997</v>
      </c>
      <c r="E8004" s="608"/>
      <c r="F8004" s="760">
        <f t="shared" si="255"/>
        <v>2115.5399821093442</v>
      </c>
      <c r="M8004" s="443"/>
    </row>
    <row r="8005" spans="1:13">
      <c r="A8005" s="639">
        <v>112913</v>
      </c>
      <c r="B8005" s="639">
        <v>1000</v>
      </c>
      <c r="C8005" s="638">
        <v>4566.0609999999997</v>
      </c>
      <c r="D8005" s="633">
        <f t="shared" ref="D8005:D8068" si="256">C8005</f>
        <v>4566.0609999999997</v>
      </c>
      <c r="E8005" s="608"/>
      <c r="F8005" s="760">
        <f t="shared" si="255"/>
        <v>1926.5037952466801</v>
      </c>
      <c r="M8005" s="443"/>
    </row>
    <row r="8006" spans="1:13">
      <c r="A8006" s="639">
        <v>112913</v>
      </c>
      <c r="B8006" s="639">
        <v>1100</v>
      </c>
      <c r="C8006" s="638">
        <v>4279.5919999999996</v>
      </c>
      <c r="D8006" s="633">
        <f t="shared" si="256"/>
        <v>4279.5919999999996</v>
      </c>
      <c r="E8006" s="608"/>
      <c r="F8006" s="760">
        <f t="shared" si="255"/>
        <v>1805.6373382018614</v>
      </c>
      <c r="M8006" s="443"/>
    </row>
    <row r="8007" spans="1:13">
      <c r="A8007" s="639">
        <v>112913</v>
      </c>
      <c r="B8007" s="639">
        <v>1200</v>
      </c>
      <c r="C8007" s="638">
        <v>4100.4530000000004</v>
      </c>
      <c r="D8007" s="633">
        <f t="shared" si="256"/>
        <v>4100.4530000000004</v>
      </c>
      <c r="E8007" s="608"/>
      <c r="F8007" s="760">
        <f t="shared" si="255"/>
        <v>1730.0553511507262</v>
      </c>
      <c r="M8007" s="443"/>
    </row>
    <row r="8008" spans="1:13">
      <c r="A8008" s="639">
        <v>112913</v>
      </c>
      <c r="B8008" s="639">
        <v>1300</v>
      </c>
      <c r="C8008" s="638">
        <v>3949.9720000000002</v>
      </c>
      <c r="D8008" s="633">
        <f t="shared" si="256"/>
        <v>3949.9720000000002</v>
      </c>
      <c r="E8008" s="608"/>
      <c r="F8008" s="760">
        <f t="shared" si="255"/>
        <v>1666.5646930950156</v>
      </c>
      <c r="M8008" s="443"/>
    </row>
    <row r="8009" spans="1:13">
      <c r="A8009" s="639">
        <v>112913</v>
      </c>
      <c r="B8009" s="639">
        <v>1400</v>
      </c>
      <c r="C8009" s="638">
        <v>3921.058</v>
      </c>
      <c r="D8009" s="633">
        <f t="shared" si="256"/>
        <v>3921.058</v>
      </c>
      <c r="E8009" s="608"/>
      <c r="F8009" s="760">
        <f t="shared" si="255"/>
        <v>1654.3653530652255</v>
      </c>
      <c r="M8009" s="443"/>
    </row>
    <row r="8010" spans="1:13">
      <c r="A8010" s="639">
        <v>112913</v>
      </c>
      <c r="B8010" s="639">
        <v>1500</v>
      </c>
      <c r="C8010" s="638">
        <v>4020.761</v>
      </c>
      <c r="D8010" s="633">
        <f t="shared" si="256"/>
        <v>4020.761</v>
      </c>
      <c r="E8010" s="608"/>
      <c r="F8010" s="760">
        <f t="shared" si="255"/>
        <v>1696.4318536874207</v>
      </c>
      <c r="M8010" s="443"/>
    </row>
    <row r="8011" spans="1:13">
      <c r="A8011" s="639">
        <v>112913</v>
      </c>
      <c r="B8011" s="639">
        <v>1600</v>
      </c>
      <c r="C8011" s="638">
        <v>4273.9110000000001</v>
      </c>
      <c r="D8011" s="633">
        <f t="shared" si="256"/>
        <v>4273.9110000000001</v>
      </c>
      <c r="E8011" s="608"/>
      <c r="F8011" s="760">
        <f t="shared" si="255"/>
        <v>1803.2404214587878</v>
      </c>
      <c r="M8011" s="443"/>
    </row>
    <row r="8012" spans="1:13">
      <c r="A8012" s="639">
        <v>112913</v>
      </c>
      <c r="B8012" s="639">
        <v>1700</v>
      </c>
      <c r="C8012" s="638">
        <v>4840.7520000000004</v>
      </c>
      <c r="D8012" s="633">
        <f t="shared" si="256"/>
        <v>4840.7520000000004</v>
      </c>
      <c r="E8012" s="608"/>
      <c r="F8012" s="760">
        <f t="shared" si="255"/>
        <v>2042.4009008745084</v>
      </c>
      <c r="M8012" s="443"/>
    </row>
    <row r="8013" spans="1:13">
      <c r="A8013" s="639">
        <v>112913</v>
      </c>
      <c r="B8013" s="639">
        <v>1800</v>
      </c>
      <c r="C8013" s="638">
        <v>5353.58</v>
      </c>
      <c r="D8013" s="633">
        <f t="shared" si="256"/>
        <v>5353.58</v>
      </c>
      <c r="E8013" s="608"/>
      <c r="F8013" s="760">
        <f t="shared" si="255"/>
        <v>2258.7723177935472</v>
      </c>
      <c r="M8013" s="443"/>
    </row>
    <row r="8014" spans="1:13">
      <c r="A8014" s="639">
        <v>112913</v>
      </c>
      <c r="B8014" s="639">
        <v>1900</v>
      </c>
      <c r="C8014" s="638">
        <v>5548.8739999999998</v>
      </c>
      <c r="D8014" s="633">
        <f t="shared" si="256"/>
        <v>5548.8739999999998</v>
      </c>
      <c r="E8014" s="608"/>
      <c r="F8014" s="760">
        <f t="shared" si="255"/>
        <v>2341.170391798451</v>
      </c>
      <c r="M8014" s="443"/>
    </row>
    <row r="8015" spans="1:13">
      <c r="A8015" s="639">
        <v>112913</v>
      </c>
      <c r="B8015" s="639">
        <v>2000</v>
      </c>
      <c r="C8015" s="638">
        <v>5484.241</v>
      </c>
      <c r="D8015" s="633">
        <f t="shared" si="256"/>
        <v>5484.241</v>
      </c>
      <c r="E8015" s="608"/>
      <c r="F8015" s="760">
        <f t="shared" si="255"/>
        <v>2313.9005590480392</v>
      </c>
      <c r="M8015" s="443"/>
    </row>
    <row r="8016" spans="1:13">
      <c r="A8016" s="639">
        <v>112913</v>
      </c>
      <c r="B8016" s="639">
        <v>2100</v>
      </c>
      <c r="C8016" s="638">
        <v>5381.433</v>
      </c>
      <c r="D8016" s="633">
        <f t="shared" si="256"/>
        <v>5381.433</v>
      </c>
      <c r="E8016" s="608"/>
      <c r="F8016" s="760">
        <f t="shared" si="255"/>
        <v>2270.5240027160671</v>
      </c>
      <c r="M8016" s="443"/>
    </row>
    <row r="8017" spans="1:13">
      <c r="A8017" s="639">
        <v>112913</v>
      </c>
      <c r="B8017" s="639">
        <v>2200</v>
      </c>
      <c r="C8017" s="638">
        <v>5227.3059999999996</v>
      </c>
      <c r="D8017" s="633">
        <f t="shared" si="256"/>
        <v>5227.3059999999996</v>
      </c>
      <c r="E8017" s="608"/>
      <c r="F8017" s="760">
        <f t="shared" si="255"/>
        <v>2205.4950312568626</v>
      </c>
      <c r="M8017" s="443"/>
    </row>
    <row r="8018" spans="1:13">
      <c r="A8018" s="639">
        <v>112913</v>
      </c>
      <c r="B8018" s="639">
        <v>2300</v>
      </c>
      <c r="C8018" s="638">
        <v>4840.8450000000003</v>
      </c>
      <c r="D8018" s="633">
        <f t="shared" si="256"/>
        <v>4840.8450000000003</v>
      </c>
      <c r="E8018" s="608"/>
      <c r="F8018" s="760">
        <f t="shared" si="255"/>
        <v>2042.4401392580862</v>
      </c>
      <c r="M8018" s="443"/>
    </row>
    <row r="8019" spans="1:13">
      <c r="A8019" s="639">
        <v>112913</v>
      </c>
      <c r="B8019" s="639">
        <v>2400</v>
      </c>
      <c r="C8019" s="638">
        <v>4397.5919999999996</v>
      </c>
      <c r="D8019" s="633">
        <f t="shared" si="256"/>
        <v>4397.5919999999996</v>
      </c>
      <c r="E8019" s="608"/>
      <c r="F8019" s="760">
        <f t="shared" si="255"/>
        <v>1855.4236743544245</v>
      </c>
      <c r="M8019" s="443"/>
    </row>
    <row r="8020" spans="1:13">
      <c r="A8020" s="639">
        <v>113013</v>
      </c>
      <c r="B8020" s="639">
        <v>100</v>
      </c>
      <c r="C8020" s="638">
        <v>4009.0909999999999</v>
      </c>
      <c r="D8020" s="633">
        <f t="shared" si="256"/>
        <v>4009.0909999999999</v>
      </c>
      <c r="E8020" s="608"/>
      <c r="F8020" s="760">
        <f t="shared" si="255"/>
        <v>1691.5080694255528</v>
      </c>
      <c r="M8020" s="443"/>
    </row>
    <row r="8021" spans="1:13">
      <c r="A8021" s="639">
        <v>113013</v>
      </c>
      <c r="B8021" s="639">
        <v>200</v>
      </c>
      <c r="C8021" s="638">
        <v>4027.8780000000002</v>
      </c>
      <c r="D8021" s="633">
        <f t="shared" si="256"/>
        <v>4027.8780000000002</v>
      </c>
      <c r="E8021" s="608"/>
      <c r="F8021" s="760">
        <f t="shared" si="255"/>
        <v>1699.4346448263848</v>
      </c>
      <c r="M8021" s="443"/>
    </row>
    <row r="8022" spans="1:13">
      <c r="A8022" s="639">
        <v>113013</v>
      </c>
      <c r="B8022" s="639">
        <v>300</v>
      </c>
      <c r="C8022" s="638">
        <v>3939.509</v>
      </c>
      <c r="D8022" s="633">
        <f t="shared" si="256"/>
        <v>3939.509</v>
      </c>
      <c r="E8022" s="608"/>
      <c r="F8022" s="760">
        <f t="shared" si="255"/>
        <v>1662.1501639834541</v>
      </c>
      <c r="M8022" s="443"/>
    </row>
    <row r="8023" spans="1:13">
      <c r="A8023" s="639">
        <v>113013</v>
      </c>
      <c r="B8023" s="639">
        <v>400</v>
      </c>
      <c r="C8023" s="638">
        <v>3873.9760000000001</v>
      </c>
      <c r="D8023" s="633">
        <f t="shared" si="256"/>
        <v>3873.9760000000001</v>
      </c>
      <c r="E8023" s="608"/>
      <c r="F8023" s="760">
        <f t="shared" si="255"/>
        <v>1634.5006049403532</v>
      </c>
      <c r="M8023" s="443"/>
    </row>
    <row r="8024" spans="1:13">
      <c r="A8024" s="639">
        <v>113013</v>
      </c>
      <c r="B8024" s="639">
        <v>500</v>
      </c>
      <c r="C8024" s="638">
        <v>3925.5349999999999</v>
      </c>
      <c r="D8024" s="633">
        <f t="shared" si="256"/>
        <v>3925.5349999999999</v>
      </c>
      <c r="E8024" s="608"/>
      <c r="F8024" s="760">
        <f t="shared" si="255"/>
        <v>1656.2542804123023</v>
      </c>
      <c r="M8024" s="443"/>
    </row>
    <row r="8025" spans="1:13">
      <c r="A8025" s="639">
        <v>113013</v>
      </c>
      <c r="B8025" s="639">
        <v>600</v>
      </c>
      <c r="C8025" s="638">
        <v>4015.6750000000002</v>
      </c>
      <c r="D8025" s="633">
        <f t="shared" si="256"/>
        <v>4015.6750000000002</v>
      </c>
      <c r="E8025" s="608"/>
      <c r="F8025" s="760">
        <f t="shared" si="255"/>
        <v>1694.2859782156247</v>
      </c>
      <c r="M8025" s="443"/>
    </row>
    <row r="8026" spans="1:13">
      <c r="A8026" s="639">
        <v>113013</v>
      </c>
      <c r="B8026" s="639">
        <v>700</v>
      </c>
      <c r="C8026" s="638">
        <v>4283.0770000000002</v>
      </c>
      <c r="D8026" s="633">
        <f t="shared" si="256"/>
        <v>4283.0770000000002</v>
      </c>
      <c r="E8026" s="608"/>
      <c r="F8026" s="760">
        <f t="shared" si="255"/>
        <v>1807.1077227907742</v>
      </c>
      <c r="M8026" s="443"/>
    </row>
    <row r="8027" spans="1:13">
      <c r="A8027" s="639">
        <v>113013</v>
      </c>
      <c r="B8027" s="639">
        <v>800</v>
      </c>
      <c r="C8027" s="638">
        <v>4666.9560000000001</v>
      </c>
      <c r="D8027" s="633">
        <f t="shared" si="256"/>
        <v>4666.9560000000001</v>
      </c>
      <c r="E8027" s="608"/>
      <c r="F8027" s="760">
        <f t="shared" si="255"/>
        <v>1969.0732222476365</v>
      </c>
      <c r="M8027" s="443"/>
    </row>
    <row r="8028" spans="1:13">
      <c r="A8028" s="639">
        <v>113013</v>
      </c>
      <c r="B8028" s="639">
        <v>900</v>
      </c>
      <c r="C8028" s="638">
        <v>4922.058</v>
      </c>
      <c r="D8028" s="633">
        <f t="shared" si="256"/>
        <v>4922.058</v>
      </c>
      <c r="E8028" s="608"/>
      <c r="F8028" s="760">
        <f t="shared" ref="F8028:F8043" si="257">(D8028/(MAX($D$7324:$D$8043)))*$M$14</f>
        <v>2076.7053741560362</v>
      </c>
      <c r="M8028" s="443"/>
    </row>
    <row r="8029" spans="1:13">
      <c r="A8029" s="639">
        <v>113013</v>
      </c>
      <c r="B8029" s="639">
        <v>1000</v>
      </c>
      <c r="C8029" s="638">
        <v>5017.4830000000002</v>
      </c>
      <c r="D8029" s="633">
        <f t="shared" si="256"/>
        <v>5017.4830000000002</v>
      </c>
      <c r="E8029" s="608"/>
      <c r="F8029" s="760">
        <f t="shared" si="257"/>
        <v>2116.9669091336491</v>
      </c>
      <c r="M8029" s="443"/>
    </row>
    <row r="8030" spans="1:13">
      <c r="A8030" s="639">
        <v>113013</v>
      </c>
      <c r="B8030" s="639">
        <v>1100</v>
      </c>
      <c r="C8030" s="638">
        <v>4979.5479999999998</v>
      </c>
      <c r="D8030" s="633">
        <f t="shared" si="256"/>
        <v>4979.5479999999998</v>
      </c>
      <c r="E8030" s="608"/>
      <c r="F8030" s="760">
        <f t="shared" si="257"/>
        <v>2100.9614458968058</v>
      </c>
      <c r="M8030" s="443"/>
    </row>
    <row r="8031" spans="1:13">
      <c r="A8031" s="639">
        <v>113013</v>
      </c>
      <c r="B8031" s="639">
        <v>1200</v>
      </c>
      <c r="C8031" s="638">
        <v>4835.43</v>
      </c>
      <c r="D8031" s="633">
        <f t="shared" si="256"/>
        <v>4835.43</v>
      </c>
      <c r="E8031" s="608"/>
      <c r="F8031" s="760">
        <f t="shared" si="257"/>
        <v>2040.1554527304072</v>
      </c>
      <c r="M8031" s="443"/>
    </row>
    <row r="8032" spans="1:13">
      <c r="A8032" s="639">
        <v>113013</v>
      </c>
      <c r="B8032" s="639">
        <v>1300</v>
      </c>
      <c r="C8032" s="638">
        <v>4683.7489999999998</v>
      </c>
      <c r="D8032" s="633">
        <f t="shared" si="256"/>
        <v>4683.7489999999998</v>
      </c>
      <c r="E8032" s="608"/>
      <c r="F8032" s="760">
        <f t="shared" si="257"/>
        <v>1976.1584929511109</v>
      </c>
      <c r="M8032" s="443"/>
    </row>
    <row r="8033" spans="1:13">
      <c r="A8033" s="639">
        <v>113013</v>
      </c>
      <c r="B8033" s="639">
        <v>1400</v>
      </c>
      <c r="C8033" s="638">
        <v>4785.6620000000003</v>
      </c>
      <c r="D8033" s="633">
        <f t="shared" si="256"/>
        <v>4785.6620000000003</v>
      </c>
      <c r="E8033" s="608"/>
      <c r="F8033" s="760">
        <f t="shared" si="257"/>
        <v>2019.157432580909</v>
      </c>
      <c r="M8033" s="443"/>
    </row>
    <row r="8034" spans="1:13">
      <c r="A8034" s="639">
        <v>113013</v>
      </c>
      <c r="B8034" s="639">
        <v>1500</v>
      </c>
      <c r="C8034" s="638">
        <v>4503.5659999999998</v>
      </c>
      <c r="D8034" s="633">
        <f t="shared" si="256"/>
        <v>4503.5659999999998</v>
      </c>
      <c r="E8034" s="608"/>
      <c r="F8034" s="760">
        <f t="shared" si="257"/>
        <v>1900.136023400456</v>
      </c>
      <c r="M8034" s="443"/>
    </row>
    <row r="8035" spans="1:13">
      <c r="A8035" s="639">
        <v>113013</v>
      </c>
      <c r="B8035" s="639">
        <v>1600</v>
      </c>
      <c r="C8035" s="638">
        <v>4564.4750000000004</v>
      </c>
      <c r="D8035" s="633">
        <f t="shared" si="256"/>
        <v>4564.4750000000004</v>
      </c>
      <c r="E8035" s="608"/>
      <c r="F8035" s="760">
        <f t="shared" si="257"/>
        <v>1925.8346331353418</v>
      </c>
      <c r="M8035" s="443"/>
    </row>
    <row r="8036" spans="1:13">
      <c r="A8036" s="639">
        <v>113013</v>
      </c>
      <c r="B8036" s="639">
        <v>1700</v>
      </c>
      <c r="C8036" s="638">
        <v>5075.57</v>
      </c>
      <c r="D8036" s="633">
        <f t="shared" si="256"/>
        <v>5075.57</v>
      </c>
      <c r="E8036" s="608"/>
      <c r="F8036" s="760">
        <f t="shared" si="257"/>
        <v>2141.4748659819029</v>
      </c>
      <c r="M8036" s="443"/>
    </row>
    <row r="8037" spans="1:13">
      <c r="A8037" s="639">
        <v>113013</v>
      </c>
      <c r="B8037" s="639">
        <v>1800</v>
      </c>
      <c r="C8037" s="638">
        <v>5430.6530000000002</v>
      </c>
      <c r="D8037" s="633">
        <f t="shared" si="256"/>
        <v>5430.6530000000002</v>
      </c>
      <c r="E8037" s="608"/>
      <c r="F8037" s="760">
        <f t="shared" si="257"/>
        <v>2291.2908117451279</v>
      </c>
      <c r="M8037" s="443"/>
    </row>
    <row r="8038" spans="1:13">
      <c r="A8038" s="639">
        <v>113013</v>
      </c>
      <c r="B8038" s="639">
        <v>1900</v>
      </c>
      <c r="C8038" s="638">
        <v>5466.8109999999997</v>
      </c>
      <c r="D8038" s="633">
        <f t="shared" si="256"/>
        <v>5466.8109999999997</v>
      </c>
      <c r="E8038" s="608"/>
      <c r="F8038" s="760">
        <f t="shared" si="257"/>
        <v>2306.5465265129615</v>
      </c>
      <c r="M8038" s="443"/>
    </row>
    <row r="8039" spans="1:13">
      <c r="A8039" s="639">
        <v>113013</v>
      </c>
      <c r="B8039" s="639">
        <v>2000</v>
      </c>
      <c r="C8039" s="638">
        <v>5246.2849999999999</v>
      </c>
      <c r="D8039" s="633">
        <f t="shared" si="256"/>
        <v>5246.2849999999999</v>
      </c>
      <c r="E8039" s="608"/>
      <c r="F8039" s="760">
        <f t="shared" si="257"/>
        <v>2213.5026149334685</v>
      </c>
      <c r="M8039" s="443"/>
    </row>
    <row r="8040" spans="1:13">
      <c r="A8040" s="639">
        <v>113013</v>
      </c>
      <c r="B8040" s="639">
        <v>2100</v>
      </c>
      <c r="C8040" s="638">
        <v>5067.1480000000001</v>
      </c>
      <c r="D8040" s="633">
        <f t="shared" si="256"/>
        <v>5067.1480000000001</v>
      </c>
      <c r="E8040" s="608"/>
      <c r="F8040" s="760">
        <f t="shared" si="257"/>
        <v>2137.9214717185396</v>
      </c>
      <c r="M8040" s="443"/>
    </row>
    <row r="8041" spans="1:13">
      <c r="A8041" s="639">
        <v>113013</v>
      </c>
      <c r="B8041" s="639">
        <v>2200</v>
      </c>
      <c r="C8041" s="638">
        <v>4742.7179999999998</v>
      </c>
      <c r="D8041" s="633">
        <f t="shared" si="256"/>
        <v>4742.7179999999998</v>
      </c>
      <c r="E8041" s="608"/>
      <c r="F8041" s="760">
        <f t="shared" si="257"/>
        <v>2001.0385815661998</v>
      </c>
      <c r="M8041" s="443"/>
    </row>
    <row r="8042" spans="1:13">
      <c r="A8042" s="639">
        <v>113013</v>
      </c>
      <c r="B8042" s="639">
        <v>2300</v>
      </c>
      <c r="C8042" s="638">
        <v>4378.0990000000002</v>
      </c>
      <c r="D8042" s="633">
        <f t="shared" si="256"/>
        <v>4378.0990000000002</v>
      </c>
      <c r="E8042" s="608"/>
      <c r="F8042" s="760">
        <f t="shared" si="257"/>
        <v>1847.1992247728831</v>
      </c>
      <c r="M8042" s="443"/>
    </row>
    <row r="8043" spans="1:13">
      <c r="A8043" s="639">
        <v>113013</v>
      </c>
      <c r="B8043" s="639">
        <v>2400</v>
      </c>
      <c r="C8043" s="638">
        <v>4002.768</v>
      </c>
      <c r="D8043" s="633">
        <f t="shared" si="256"/>
        <v>4002.768</v>
      </c>
      <c r="E8043" s="608"/>
      <c r="F8043" s="760">
        <f t="shared" si="257"/>
        <v>1688.8402812603606</v>
      </c>
      <c r="M8043" s="443"/>
    </row>
    <row r="8044" spans="1:13">
      <c r="A8044" s="639">
        <v>120113</v>
      </c>
      <c r="B8044" s="639">
        <v>100</v>
      </c>
      <c r="C8044" s="638">
        <v>3629.0390000000002</v>
      </c>
      <c r="D8044" s="633">
        <f t="shared" si="256"/>
        <v>3629.0390000000002</v>
      </c>
      <c r="E8044" s="608"/>
      <c r="F8044" s="760">
        <f t="shared" ref="F8044:F8107" si="258">(D8044/(MAX($D$8044:$D$8787)))*$M$15</f>
        <v>1530.8928057065048</v>
      </c>
      <c r="M8044" s="443"/>
    </row>
    <row r="8045" spans="1:13">
      <c r="A8045" s="639">
        <v>120113</v>
      </c>
      <c r="B8045" s="639">
        <v>200</v>
      </c>
      <c r="C8045" s="638">
        <v>3580.4389999999999</v>
      </c>
      <c r="D8045" s="633">
        <f t="shared" si="256"/>
        <v>3580.4389999999999</v>
      </c>
      <c r="E8045" s="608"/>
      <c r="F8045" s="760">
        <f t="shared" si="258"/>
        <v>1510.3911273400456</v>
      </c>
      <c r="M8045" s="443"/>
    </row>
    <row r="8046" spans="1:13">
      <c r="A8046" s="639">
        <v>120113</v>
      </c>
      <c r="B8046" s="639">
        <v>300</v>
      </c>
      <c r="C8046" s="638">
        <v>3472.8530000000001</v>
      </c>
      <c r="D8046" s="633">
        <f t="shared" si="256"/>
        <v>3472.8530000000001</v>
      </c>
      <c r="E8046" s="608"/>
      <c r="F8046" s="760">
        <f t="shared" si="258"/>
        <v>1465.0064860080731</v>
      </c>
      <c r="M8046" s="443"/>
    </row>
    <row r="8047" spans="1:13">
      <c r="A8047" s="639">
        <v>120113</v>
      </c>
      <c r="B8047" s="639">
        <v>400</v>
      </c>
      <c r="C8047" s="638">
        <v>3443.9369999999999</v>
      </c>
      <c r="D8047" s="633">
        <f t="shared" si="256"/>
        <v>3443.9369999999999</v>
      </c>
      <c r="E8047" s="608"/>
      <c r="F8047" s="760">
        <f t="shared" si="258"/>
        <v>1452.8084092252639</v>
      </c>
      <c r="M8047" s="443"/>
    </row>
    <row r="8048" spans="1:13">
      <c r="A8048" s="639">
        <v>120113</v>
      </c>
      <c r="B8048" s="639">
        <v>500</v>
      </c>
      <c r="C8048" s="638">
        <v>3441.567</v>
      </c>
      <c r="D8048" s="633">
        <f t="shared" si="256"/>
        <v>3441.567</v>
      </c>
      <c r="E8048" s="608"/>
      <c r="F8048" s="760">
        <f t="shared" si="258"/>
        <v>1451.8086360209736</v>
      </c>
      <c r="M8048" s="443"/>
    </row>
    <row r="8049" spans="1:13">
      <c r="A8049" s="639">
        <v>120113</v>
      </c>
      <c r="B8049" s="639">
        <v>600</v>
      </c>
      <c r="C8049" s="638">
        <v>3554.98</v>
      </c>
      <c r="D8049" s="633">
        <f t="shared" si="256"/>
        <v>3554.98</v>
      </c>
      <c r="E8049" s="608"/>
      <c r="F8049" s="760">
        <f t="shared" si="258"/>
        <v>1499.6513695307517</v>
      </c>
      <c r="M8049" s="443"/>
    </row>
    <row r="8050" spans="1:13">
      <c r="A8050" s="639">
        <v>120113</v>
      </c>
      <c r="B8050" s="639">
        <v>700</v>
      </c>
      <c r="C8050" s="638">
        <v>3773.7979999999998</v>
      </c>
      <c r="D8050" s="633">
        <f t="shared" si="256"/>
        <v>3773.7979999999998</v>
      </c>
      <c r="E8050" s="608"/>
      <c r="F8050" s="760">
        <f t="shared" si="258"/>
        <v>1591.9586999174148</v>
      </c>
      <c r="M8050" s="443"/>
    </row>
    <row r="8051" spans="1:13">
      <c r="A8051" s="639">
        <v>120113</v>
      </c>
      <c r="B8051" s="639">
        <v>800</v>
      </c>
      <c r="C8051" s="638">
        <v>4070.7739999999999</v>
      </c>
      <c r="D8051" s="633">
        <f t="shared" si="256"/>
        <v>4070.7739999999999</v>
      </c>
      <c r="E8051" s="608"/>
      <c r="F8051" s="760">
        <f t="shared" si="258"/>
        <v>1717.236610093496</v>
      </c>
      <c r="M8051" s="443"/>
    </row>
    <row r="8052" spans="1:13">
      <c r="A8052" s="639">
        <v>120113</v>
      </c>
      <c r="B8052" s="639">
        <v>900</v>
      </c>
      <c r="C8052" s="638">
        <v>4333.4840000000004</v>
      </c>
      <c r="D8052" s="633">
        <f t="shared" si="256"/>
        <v>4333.4840000000004</v>
      </c>
      <c r="E8052" s="608"/>
      <c r="F8052" s="760">
        <f t="shared" si="258"/>
        <v>1828.0595714855222</v>
      </c>
      <c r="M8052" s="443"/>
    </row>
    <row r="8053" spans="1:13">
      <c r="A8053" s="639">
        <v>120113</v>
      </c>
      <c r="B8053" s="639">
        <v>1000</v>
      </c>
      <c r="C8053" s="638">
        <v>4613.9669999999996</v>
      </c>
      <c r="D8053" s="633">
        <f t="shared" si="256"/>
        <v>4613.9669999999996</v>
      </c>
      <c r="E8053" s="608"/>
      <c r="F8053" s="760">
        <f t="shared" si="258"/>
        <v>1946.379988219257</v>
      </c>
      <c r="M8053" s="443"/>
    </row>
    <row r="8054" spans="1:13">
      <c r="A8054" s="639">
        <v>120113</v>
      </c>
      <c r="B8054" s="639">
        <v>1100</v>
      </c>
      <c r="C8054" s="638">
        <v>4848.317</v>
      </c>
      <c r="D8054" s="633">
        <f t="shared" si="256"/>
        <v>4848.317</v>
      </c>
      <c r="E8054" s="608"/>
      <c r="F8054" s="760">
        <f t="shared" si="258"/>
        <v>2045.2394187785096</v>
      </c>
      <c r="M8054" s="443"/>
    </row>
    <row r="8055" spans="1:13">
      <c r="A8055" s="639">
        <v>120113</v>
      </c>
      <c r="B8055" s="639">
        <v>1200</v>
      </c>
      <c r="C8055" s="638">
        <v>4848.7030000000004</v>
      </c>
      <c r="D8055" s="633">
        <f t="shared" si="256"/>
        <v>4848.7030000000004</v>
      </c>
      <c r="E8055" s="608"/>
      <c r="F8055" s="760">
        <f t="shared" si="258"/>
        <v>2045.4022510387865</v>
      </c>
      <c r="M8055" s="443"/>
    </row>
    <row r="8056" spans="1:13">
      <c r="A8056" s="639">
        <v>120113</v>
      </c>
      <c r="B8056" s="639">
        <v>1300</v>
      </c>
      <c r="C8056" s="638">
        <v>4763.8130000000001</v>
      </c>
      <c r="D8056" s="633">
        <f t="shared" si="256"/>
        <v>4763.8130000000001</v>
      </c>
      <c r="E8056" s="608"/>
      <c r="F8056" s="760">
        <f t="shared" si="258"/>
        <v>2009.5918091349035</v>
      </c>
      <c r="M8056" s="443"/>
    </row>
    <row r="8057" spans="1:13">
      <c r="A8057" s="639">
        <v>120113</v>
      </c>
      <c r="B8057" s="639">
        <v>1400</v>
      </c>
      <c r="C8057" s="638">
        <v>4903.0339999999997</v>
      </c>
      <c r="D8057" s="633">
        <f t="shared" si="256"/>
        <v>4903.0339999999997</v>
      </c>
      <c r="E8057" s="608"/>
      <c r="F8057" s="760">
        <f t="shared" si="258"/>
        <v>2068.3215244405988</v>
      </c>
      <c r="M8057" s="443"/>
    </row>
    <row r="8058" spans="1:13">
      <c r="A8058" s="639">
        <v>120113</v>
      </c>
      <c r="B8058" s="639">
        <v>1500</v>
      </c>
      <c r="C8058" s="638">
        <v>4927.598</v>
      </c>
      <c r="D8058" s="633">
        <f t="shared" si="256"/>
        <v>4927.598</v>
      </c>
      <c r="E8058" s="608"/>
      <c r="F8058" s="760">
        <f t="shared" si="258"/>
        <v>2078.6837307655719</v>
      </c>
      <c r="M8058" s="443"/>
    </row>
    <row r="8059" spans="1:13">
      <c r="A8059" s="639">
        <v>120113</v>
      </c>
      <c r="B8059" s="639">
        <v>1600</v>
      </c>
      <c r="C8059" s="638">
        <v>4978.2640000000001</v>
      </c>
      <c r="D8059" s="633">
        <f t="shared" si="256"/>
        <v>4978.2640000000001</v>
      </c>
      <c r="E8059" s="608"/>
      <c r="F8059" s="760">
        <f t="shared" si="258"/>
        <v>2100.0569413852227</v>
      </c>
      <c r="M8059" s="443"/>
    </row>
    <row r="8060" spans="1:13">
      <c r="A8060" s="639">
        <v>120113</v>
      </c>
      <c r="B8060" s="639">
        <v>1700</v>
      </c>
      <c r="C8060" s="638">
        <v>5297.116</v>
      </c>
      <c r="D8060" s="633">
        <f t="shared" si="256"/>
        <v>5297.116</v>
      </c>
      <c r="E8060" s="608"/>
      <c r="F8060" s="760">
        <f t="shared" si="258"/>
        <v>2234.5631378976132</v>
      </c>
      <c r="M8060" s="443"/>
    </row>
    <row r="8061" spans="1:13">
      <c r="A8061" s="639">
        <v>120113</v>
      </c>
      <c r="B8061" s="639">
        <v>1800</v>
      </c>
      <c r="C8061" s="638">
        <v>5561.9120000000003</v>
      </c>
      <c r="D8061" s="633">
        <f t="shared" si="256"/>
        <v>5561.9120000000003</v>
      </c>
      <c r="E8061" s="608"/>
      <c r="F8061" s="760">
        <f t="shared" si="258"/>
        <v>2346.2660684475081</v>
      </c>
      <c r="M8061" s="443"/>
    </row>
    <row r="8062" spans="1:13">
      <c r="A8062" s="639">
        <v>120113</v>
      </c>
      <c r="B8062" s="639">
        <v>1900</v>
      </c>
      <c r="C8062" s="638">
        <v>5533.07</v>
      </c>
      <c r="D8062" s="633">
        <f t="shared" si="256"/>
        <v>5533.07</v>
      </c>
      <c r="E8062" s="608"/>
      <c r="F8062" s="760">
        <f t="shared" si="258"/>
        <v>2334.0992082120056</v>
      </c>
      <c r="M8062" s="443"/>
    </row>
    <row r="8063" spans="1:13">
      <c r="A8063" s="639">
        <v>120113</v>
      </c>
      <c r="B8063" s="639">
        <v>2000</v>
      </c>
      <c r="C8063" s="638">
        <v>5407.6329999999998</v>
      </c>
      <c r="D8063" s="633">
        <f t="shared" si="256"/>
        <v>5407.6329999999998</v>
      </c>
      <c r="E8063" s="608"/>
      <c r="F8063" s="760">
        <f t="shared" si="258"/>
        <v>2281.1842076100816</v>
      </c>
      <c r="M8063" s="443"/>
    </row>
    <row r="8064" spans="1:13">
      <c r="A8064" s="639">
        <v>120113</v>
      </c>
      <c r="B8064" s="639">
        <v>2100</v>
      </c>
      <c r="C8064" s="638">
        <v>5212.1540000000005</v>
      </c>
      <c r="D8064" s="633">
        <f t="shared" si="256"/>
        <v>5212.1540000000005</v>
      </c>
      <c r="E8064" s="608"/>
      <c r="F8064" s="760">
        <f t="shared" si="258"/>
        <v>2198.7223231368916</v>
      </c>
      <c r="M8064" s="443"/>
    </row>
    <row r="8065" spans="1:13">
      <c r="A8065" s="639">
        <v>120113</v>
      </c>
      <c r="B8065" s="639">
        <v>2200</v>
      </c>
      <c r="C8065" s="638">
        <v>4843.0839999999998</v>
      </c>
      <c r="D8065" s="633">
        <f t="shared" si="256"/>
        <v>4843.0839999999998</v>
      </c>
      <c r="E8065" s="608"/>
      <c r="F8065" s="760">
        <f t="shared" si="258"/>
        <v>2043.0319026696272</v>
      </c>
      <c r="M8065" s="443"/>
    </row>
    <row r="8066" spans="1:13">
      <c r="A8066" s="639">
        <v>120113</v>
      </c>
      <c r="B8066" s="639">
        <v>2300</v>
      </c>
      <c r="C8066" s="638">
        <v>4233.7340000000004</v>
      </c>
      <c r="D8066" s="633">
        <f t="shared" si="256"/>
        <v>4233.7340000000004</v>
      </c>
      <c r="E8066" s="608"/>
      <c r="F8066" s="760">
        <f t="shared" si="258"/>
        <v>1785.9805094062156</v>
      </c>
      <c r="M8066" s="443"/>
    </row>
    <row r="8067" spans="1:13">
      <c r="A8067" s="639">
        <v>120113</v>
      </c>
      <c r="B8067" s="639">
        <v>2400</v>
      </c>
      <c r="C8067" s="638">
        <v>3622.1550000000002</v>
      </c>
      <c r="D8067" s="633">
        <f t="shared" si="256"/>
        <v>3622.1550000000002</v>
      </c>
      <c r="E8067" s="608"/>
      <c r="F8067" s="760">
        <f t="shared" si="258"/>
        <v>1527.98882311649</v>
      </c>
      <c r="M8067" s="443"/>
    </row>
    <row r="8068" spans="1:13">
      <c r="A8068" s="639">
        <v>120213</v>
      </c>
      <c r="B8068" s="639">
        <v>100</v>
      </c>
      <c r="C8068" s="638">
        <v>3272.5949999999998</v>
      </c>
      <c r="D8068" s="633">
        <f t="shared" si="256"/>
        <v>3272.5949999999998</v>
      </c>
      <c r="E8068" s="608"/>
      <c r="F8068" s="760">
        <f t="shared" si="258"/>
        <v>1380.5286031621808</v>
      </c>
      <c r="M8068" s="443"/>
    </row>
    <row r="8069" spans="1:13">
      <c r="A8069" s="639">
        <v>120213</v>
      </c>
      <c r="B8069" s="639">
        <v>200</v>
      </c>
      <c r="C8069" s="638">
        <v>3321.9679999999998</v>
      </c>
      <c r="D8069" s="633">
        <f t="shared" ref="D8069:D8132" si="259">C8069</f>
        <v>3321.9679999999998</v>
      </c>
      <c r="E8069" s="608"/>
      <c r="F8069" s="760">
        <f t="shared" si="258"/>
        <v>1401.3563678944274</v>
      </c>
      <c r="M8069" s="443"/>
    </row>
    <row r="8070" spans="1:13">
      <c r="A8070" s="639">
        <v>120213</v>
      </c>
      <c r="B8070" s="639">
        <v>300</v>
      </c>
      <c r="C8070" s="638">
        <v>3307.567</v>
      </c>
      <c r="D8070" s="633">
        <f t="shared" si="259"/>
        <v>3307.567</v>
      </c>
      <c r="E8070" s="608"/>
      <c r="F8070" s="760">
        <f t="shared" si="258"/>
        <v>1395.281374681354</v>
      </c>
      <c r="M8070" s="443"/>
    </row>
    <row r="8071" spans="1:13">
      <c r="A8071" s="639">
        <v>120213</v>
      </c>
      <c r="B8071" s="639">
        <v>400</v>
      </c>
      <c r="C8071" s="638">
        <v>3324.3090000000002</v>
      </c>
      <c r="D8071" s="633">
        <f t="shared" si="259"/>
        <v>3324.3090000000002</v>
      </c>
      <c r="E8071" s="608"/>
      <c r="F8071" s="760">
        <f t="shared" si="258"/>
        <v>1402.3439075869355</v>
      </c>
      <c r="M8071" s="443"/>
    </row>
    <row r="8072" spans="1:13">
      <c r="A8072" s="639">
        <v>120213</v>
      </c>
      <c r="B8072" s="639">
        <v>500</v>
      </c>
      <c r="C8072" s="638">
        <v>3346.91</v>
      </c>
      <c r="D8072" s="633">
        <f t="shared" si="259"/>
        <v>3346.91</v>
      </c>
      <c r="E8072" s="608"/>
      <c r="F8072" s="760">
        <f t="shared" si="258"/>
        <v>1411.8780317178066</v>
      </c>
      <c r="M8072" s="443"/>
    </row>
    <row r="8073" spans="1:13">
      <c r="A8073" s="639">
        <v>120213</v>
      </c>
      <c r="B8073" s="639">
        <v>600</v>
      </c>
      <c r="C8073" s="638">
        <v>3713.904</v>
      </c>
      <c r="D8073" s="633">
        <f t="shared" si="259"/>
        <v>3713.904</v>
      </c>
      <c r="E8073" s="608"/>
      <c r="F8073" s="760">
        <f t="shared" si="258"/>
        <v>1566.6927014795403</v>
      </c>
      <c r="M8073" s="443"/>
    </row>
    <row r="8074" spans="1:13">
      <c r="A8074" s="639">
        <v>120213</v>
      </c>
      <c r="B8074" s="639">
        <v>700</v>
      </c>
      <c r="C8074" s="638">
        <v>4295.3109999999997</v>
      </c>
      <c r="D8074" s="633">
        <f t="shared" si="259"/>
        <v>4295.3109999999997</v>
      </c>
      <c r="E8074" s="608"/>
      <c r="F8074" s="760">
        <f t="shared" si="258"/>
        <v>1811.9564733727059</v>
      </c>
      <c r="M8074" s="443"/>
    </row>
    <row r="8075" spans="1:13">
      <c r="A8075" s="639">
        <v>120213</v>
      </c>
      <c r="B8075" s="639">
        <v>800</v>
      </c>
      <c r="C8075" s="638">
        <v>4567.7529999999997</v>
      </c>
      <c r="D8075" s="633">
        <f t="shared" si="259"/>
        <v>4567.7529999999997</v>
      </c>
      <c r="E8075" s="608"/>
      <c r="F8075" s="760">
        <f t="shared" si="258"/>
        <v>1926.8848325808301</v>
      </c>
      <c r="M8075" s="443"/>
    </row>
    <row r="8076" spans="1:13">
      <c r="A8076" s="639">
        <v>120213</v>
      </c>
      <c r="B8076" s="639">
        <v>900</v>
      </c>
      <c r="C8076" s="638">
        <v>4483.9219999999996</v>
      </c>
      <c r="D8076" s="633">
        <f t="shared" si="259"/>
        <v>4483.9219999999996</v>
      </c>
      <c r="E8076" s="608"/>
      <c r="F8076" s="760">
        <f t="shared" si="258"/>
        <v>1891.5211247796237</v>
      </c>
      <c r="M8076" s="443"/>
    </row>
    <row r="8077" spans="1:13">
      <c r="A8077" s="639">
        <v>120213</v>
      </c>
      <c r="B8077" s="639">
        <v>1000</v>
      </c>
      <c r="C8077" s="638">
        <v>4419.732</v>
      </c>
      <c r="D8077" s="633">
        <f t="shared" si="259"/>
        <v>4419.732</v>
      </c>
      <c r="E8077" s="608"/>
      <c r="F8077" s="760">
        <f t="shared" si="258"/>
        <v>1864.4428792170104</v>
      </c>
      <c r="M8077" s="443"/>
    </row>
    <row r="8078" spans="1:13">
      <c r="A8078" s="639">
        <v>120213</v>
      </c>
      <c r="B8078" s="639">
        <v>1100</v>
      </c>
      <c r="C8078" s="638">
        <v>4345</v>
      </c>
      <c r="D8078" s="633">
        <f t="shared" si="259"/>
        <v>4345</v>
      </c>
      <c r="E8078" s="608"/>
      <c r="F8078" s="760">
        <f t="shared" si="258"/>
        <v>1832.9175411988579</v>
      </c>
      <c r="M8078" s="443"/>
    </row>
    <row r="8079" spans="1:13">
      <c r="A8079" s="639">
        <v>120213</v>
      </c>
      <c r="B8079" s="639">
        <v>1200</v>
      </c>
      <c r="C8079" s="638">
        <v>4343.2830000000004</v>
      </c>
      <c r="D8079" s="633">
        <f t="shared" si="259"/>
        <v>4343.2830000000004</v>
      </c>
      <c r="E8079" s="608"/>
      <c r="F8079" s="760">
        <f t="shared" si="258"/>
        <v>1832.1932329322899</v>
      </c>
      <c r="M8079" s="443"/>
    </row>
    <row r="8080" spans="1:13">
      <c r="A8080" s="639">
        <v>120213</v>
      </c>
      <c r="B8080" s="639">
        <v>1300</v>
      </c>
      <c r="C8080" s="638">
        <v>4299.3789999999999</v>
      </c>
      <c r="D8080" s="633">
        <f t="shared" si="259"/>
        <v>4299.3789999999999</v>
      </c>
      <c r="E8080" s="608"/>
      <c r="F8080" s="760">
        <f t="shared" si="258"/>
        <v>1813.6725397841208</v>
      </c>
      <c r="M8080" s="443"/>
    </row>
    <row r="8081" spans="1:13">
      <c r="A8081" s="639">
        <v>120213</v>
      </c>
      <c r="B8081" s="639">
        <v>1400</v>
      </c>
      <c r="C8081" s="638">
        <v>4269.13</v>
      </c>
      <c r="D8081" s="633">
        <f t="shared" si="259"/>
        <v>4269.13</v>
      </c>
      <c r="E8081" s="608"/>
      <c r="F8081" s="760">
        <f t="shared" si="258"/>
        <v>1800.9121433045525</v>
      </c>
      <c r="M8081" s="443"/>
    </row>
    <row r="8082" spans="1:13">
      <c r="A8082" s="639">
        <v>120213</v>
      </c>
      <c r="B8082" s="639">
        <v>1500</v>
      </c>
      <c r="C8082" s="638">
        <v>4182.6310000000003</v>
      </c>
      <c r="D8082" s="633">
        <f t="shared" si="259"/>
        <v>4182.6310000000003</v>
      </c>
      <c r="E8082" s="608"/>
      <c r="F8082" s="760">
        <f t="shared" si="258"/>
        <v>1764.4229524193606</v>
      </c>
      <c r="M8082" s="443"/>
    </row>
    <row r="8083" spans="1:13">
      <c r="A8083" s="639">
        <v>120213</v>
      </c>
      <c r="B8083" s="639">
        <v>1600</v>
      </c>
      <c r="C8083" s="638">
        <v>4305.0079999999998</v>
      </c>
      <c r="D8083" s="633">
        <f t="shared" si="259"/>
        <v>4305.0079999999998</v>
      </c>
      <c r="E8083" s="608"/>
      <c r="F8083" s="760">
        <f t="shared" si="258"/>
        <v>1816.0471066056186</v>
      </c>
      <c r="M8083" s="443"/>
    </row>
    <row r="8084" spans="1:13">
      <c r="A8084" s="639">
        <v>120213</v>
      </c>
      <c r="B8084" s="639">
        <v>1700</v>
      </c>
      <c r="C8084" s="638">
        <v>4820.7520000000004</v>
      </c>
      <c r="D8084" s="633">
        <f t="shared" si="259"/>
        <v>4820.7520000000004</v>
      </c>
      <c r="E8084" s="608"/>
      <c r="F8084" s="760">
        <f t="shared" si="258"/>
        <v>2033.6112549066693</v>
      </c>
      <c r="M8084" s="443"/>
    </row>
    <row r="8085" spans="1:13">
      <c r="A8085" s="639">
        <v>120213</v>
      </c>
      <c r="B8085" s="639">
        <v>1800</v>
      </c>
      <c r="C8085" s="638">
        <v>5285.6149999999998</v>
      </c>
      <c r="D8085" s="633">
        <f t="shared" si="259"/>
        <v>5285.6149999999998</v>
      </c>
      <c r="E8085" s="608"/>
      <c r="F8085" s="760">
        <f t="shared" si="258"/>
        <v>2229.7114958627853</v>
      </c>
      <c r="M8085" s="443"/>
    </row>
    <row r="8086" spans="1:13">
      <c r="A8086" s="639">
        <v>120213</v>
      </c>
      <c r="B8086" s="639">
        <v>1900</v>
      </c>
      <c r="C8086" s="638">
        <v>5380.6719999999996</v>
      </c>
      <c r="D8086" s="633">
        <f t="shared" si="259"/>
        <v>5380.6719999999996</v>
      </c>
      <c r="E8086" s="608"/>
      <c r="F8086" s="760">
        <f t="shared" si="258"/>
        <v>2269.8108382595033</v>
      </c>
      <c r="M8086" s="443"/>
    </row>
    <row r="8087" spans="1:13">
      <c r="A8087" s="639">
        <v>120213</v>
      </c>
      <c r="B8087" s="639">
        <v>2000</v>
      </c>
      <c r="C8087" s="638">
        <v>5307.34</v>
      </c>
      <c r="D8087" s="633">
        <f t="shared" si="259"/>
        <v>5307.34</v>
      </c>
      <c r="E8087" s="608"/>
      <c r="F8087" s="760">
        <f t="shared" si="258"/>
        <v>2238.8760835687799</v>
      </c>
      <c r="M8087" s="443"/>
    </row>
    <row r="8088" spans="1:13">
      <c r="A8088" s="639">
        <v>120213</v>
      </c>
      <c r="B8088" s="639">
        <v>2100</v>
      </c>
      <c r="C8088" s="638">
        <v>5122.2719999999999</v>
      </c>
      <c r="D8088" s="633">
        <f t="shared" si="259"/>
        <v>5122.2719999999999</v>
      </c>
      <c r="E8088" s="608"/>
      <c r="F8088" s="760">
        <f t="shared" si="258"/>
        <v>2160.8060298254909</v>
      </c>
      <c r="M8088" s="443"/>
    </row>
    <row r="8089" spans="1:13">
      <c r="A8089" s="639">
        <v>120213</v>
      </c>
      <c r="B8089" s="639">
        <v>2200</v>
      </c>
      <c r="C8089" s="638">
        <v>4868.018</v>
      </c>
      <c r="D8089" s="633">
        <f t="shared" si="259"/>
        <v>4868.018</v>
      </c>
      <c r="E8089" s="608"/>
      <c r="F8089" s="760">
        <f t="shared" si="258"/>
        <v>2053.5501917311353</v>
      </c>
      <c r="M8089" s="443"/>
    </row>
    <row r="8090" spans="1:13">
      <c r="A8090" s="639">
        <v>120213</v>
      </c>
      <c r="B8090" s="639">
        <v>2300</v>
      </c>
      <c r="C8090" s="638">
        <v>4276.1099999999997</v>
      </c>
      <c r="D8090" s="633">
        <f t="shared" si="259"/>
        <v>4276.1099999999997</v>
      </c>
      <c r="E8090" s="608"/>
      <c r="F8090" s="760">
        <f t="shared" si="258"/>
        <v>1803.8566230370191</v>
      </c>
      <c r="M8090" s="443"/>
    </row>
    <row r="8091" spans="1:13">
      <c r="A8091" s="639">
        <v>120213</v>
      </c>
      <c r="B8091" s="639">
        <v>2400</v>
      </c>
      <c r="C8091" s="638">
        <v>3647.4760000000001</v>
      </c>
      <c r="D8091" s="633">
        <f t="shared" si="259"/>
        <v>3647.4760000000001</v>
      </c>
      <c r="E8091" s="608"/>
      <c r="F8091" s="760">
        <f t="shared" si="258"/>
        <v>1538.6703662835089</v>
      </c>
      <c r="M8091" s="443"/>
    </row>
    <row r="8092" spans="1:13">
      <c r="A8092" s="639">
        <v>120313</v>
      </c>
      <c r="B8092" s="639">
        <v>100</v>
      </c>
      <c r="C8092" s="638">
        <v>3346.0439999999999</v>
      </c>
      <c r="D8092" s="633">
        <f t="shared" si="259"/>
        <v>3346.0439999999999</v>
      </c>
      <c r="E8092" s="608"/>
      <c r="F8092" s="760">
        <f t="shared" si="258"/>
        <v>1411.5127137452685</v>
      </c>
      <c r="M8092" s="443"/>
    </row>
    <row r="8093" spans="1:13">
      <c r="A8093" s="639">
        <v>120313</v>
      </c>
      <c r="B8093" s="639">
        <v>200</v>
      </c>
      <c r="C8093" s="638">
        <v>3430.422</v>
      </c>
      <c r="D8093" s="633">
        <f t="shared" si="259"/>
        <v>3430.422</v>
      </c>
      <c r="E8093" s="608"/>
      <c r="F8093" s="760">
        <f t="shared" si="258"/>
        <v>1447.107170889406</v>
      </c>
      <c r="M8093" s="443"/>
    </row>
    <row r="8094" spans="1:13">
      <c r="A8094" s="639">
        <v>120313</v>
      </c>
      <c r="B8094" s="639">
        <v>300</v>
      </c>
      <c r="C8094" s="638">
        <v>3414.373</v>
      </c>
      <c r="D8094" s="633">
        <f t="shared" si="259"/>
        <v>3414.373</v>
      </c>
      <c r="E8094" s="608"/>
      <c r="F8094" s="760">
        <f t="shared" si="258"/>
        <v>1440.3369767309018</v>
      </c>
      <c r="M8094" s="443"/>
    </row>
    <row r="8095" spans="1:13">
      <c r="A8095" s="639">
        <v>120313</v>
      </c>
      <c r="B8095" s="639">
        <v>400</v>
      </c>
      <c r="C8095" s="638">
        <v>3408.0340000000001</v>
      </c>
      <c r="D8095" s="633">
        <f t="shared" si="259"/>
        <v>3408.0340000000001</v>
      </c>
      <c r="E8095" s="608"/>
      <c r="F8095" s="760">
        <f t="shared" si="258"/>
        <v>1437.6628997933508</v>
      </c>
      <c r="M8095" s="443"/>
    </row>
    <row r="8096" spans="1:13">
      <c r="A8096" s="639">
        <v>120313</v>
      </c>
      <c r="B8096" s="639">
        <v>500</v>
      </c>
      <c r="C8096" s="638">
        <v>3556.0169999999998</v>
      </c>
      <c r="D8096" s="633">
        <f t="shared" si="259"/>
        <v>3556.0169999999998</v>
      </c>
      <c r="E8096" s="608"/>
      <c r="F8096" s="760">
        <f t="shared" si="258"/>
        <v>1500.088823038283</v>
      </c>
      <c r="M8096" s="443"/>
    </row>
    <row r="8097" spans="1:13">
      <c r="A8097" s="639">
        <v>120313</v>
      </c>
      <c r="B8097" s="639">
        <v>600</v>
      </c>
      <c r="C8097" s="638">
        <v>3979.3679999999999</v>
      </c>
      <c r="D8097" s="633">
        <f t="shared" si="259"/>
        <v>3979.3679999999999</v>
      </c>
      <c r="E8097" s="608"/>
      <c r="F8097" s="760">
        <f t="shared" si="258"/>
        <v>1678.6774246456657</v>
      </c>
      <c r="M8097" s="443"/>
    </row>
    <row r="8098" spans="1:13">
      <c r="A8098" s="639">
        <v>120313</v>
      </c>
      <c r="B8098" s="639">
        <v>700</v>
      </c>
      <c r="C8098" s="638">
        <v>4578.4179999999997</v>
      </c>
      <c r="D8098" s="633">
        <f t="shared" si="259"/>
        <v>4578.4179999999997</v>
      </c>
      <c r="E8098" s="608"/>
      <c r="F8098" s="760">
        <f t="shared" si="258"/>
        <v>1931.3838120001365</v>
      </c>
      <c r="M8098" s="443"/>
    </row>
    <row r="8099" spans="1:13">
      <c r="A8099" s="639">
        <v>120313</v>
      </c>
      <c r="B8099" s="639">
        <v>800</v>
      </c>
      <c r="C8099" s="638">
        <v>4867.6000000000004</v>
      </c>
      <c r="D8099" s="633">
        <f t="shared" si="259"/>
        <v>4867.6000000000004</v>
      </c>
      <c r="E8099" s="608"/>
      <c r="F8099" s="760">
        <f t="shared" si="258"/>
        <v>2053.3738604233745</v>
      </c>
      <c r="M8099" s="443"/>
    </row>
    <row r="8100" spans="1:13">
      <c r="A8100" s="639">
        <v>120313</v>
      </c>
      <c r="B8100" s="639">
        <v>900</v>
      </c>
      <c r="C8100" s="638">
        <v>4562.5569999999998</v>
      </c>
      <c r="D8100" s="633">
        <f t="shared" si="259"/>
        <v>4562.5569999999998</v>
      </c>
      <c r="E8100" s="608"/>
      <c r="F8100" s="760">
        <f t="shared" si="258"/>
        <v>1924.6929247456012</v>
      </c>
      <c r="M8100" s="443"/>
    </row>
    <row r="8101" spans="1:13">
      <c r="A8101" s="639">
        <v>120313</v>
      </c>
      <c r="B8101" s="639">
        <v>1000</v>
      </c>
      <c r="C8101" s="638">
        <v>4251.982</v>
      </c>
      <c r="D8101" s="633">
        <f t="shared" si="259"/>
        <v>4251.982</v>
      </c>
      <c r="E8101" s="608"/>
      <c r="F8101" s="760">
        <f t="shared" si="258"/>
        <v>1793.6783412340167</v>
      </c>
      <c r="M8101" s="443"/>
    </row>
    <row r="8102" spans="1:13">
      <c r="A8102" s="639">
        <v>120313</v>
      </c>
      <c r="B8102" s="639">
        <v>1100</v>
      </c>
      <c r="C8102" s="638">
        <v>3796.181</v>
      </c>
      <c r="D8102" s="633">
        <f t="shared" si="259"/>
        <v>3796.181</v>
      </c>
      <c r="E8102" s="608"/>
      <c r="F8102" s="760">
        <f t="shared" si="258"/>
        <v>1601.4008617873008</v>
      </c>
      <c r="M8102" s="443"/>
    </row>
    <row r="8103" spans="1:13">
      <c r="A8103" s="639">
        <v>120313</v>
      </c>
      <c r="B8103" s="639">
        <v>1200</v>
      </c>
      <c r="C8103" s="638">
        <v>3670.0590000000002</v>
      </c>
      <c r="D8103" s="633">
        <f t="shared" si="259"/>
        <v>3670.0590000000002</v>
      </c>
      <c r="E8103" s="608"/>
      <c r="F8103" s="760">
        <f t="shared" si="258"/>
        <v>1548.1968972001705</v>
      </c>
      <c r="M8103" s="443"/>
    </row>
    <row r="8104" spans="1:13">
      <c r="A8104" s="639">
        <v>120313</v>
      </c>
      <c r="B8104" s="639">
        <v>1300</v>
      </c>
      <c r="C8104" s="638">
        <v>3653.027</v>
      </c>
      <c r="D8104" s="633">
        <f t="shared" si="259"/>
        <v>3653.027</v>
      </c>
      <c r="E8104" s="608"/>
      <c r="F8104" s="760">
        <f t="shared" si="258"/>
        <v>1541.0120291767641</v>
      </c>
      <c r="M8104" s="443"/>
    </row>
    <row r="8105" spans="1:13">
      <c r="A8105" s="639">
        <v>120313</v>
      </c>
      <c r="B8105" s="639">
        <v>1400</v>
      </c>
      <c r="C8105" s="638">
        <v>3740.4940000000001</v>
      </c>
      <c r="D8105" s="633">
        <f t="shared" si="259"/>
        <v>3740.4940000000001</v>
      </c>
      <c r="E8105" s="608"/>
      <c r="F8105" s="760">
        <f t="shared" si="258"/>
        <v>1577.9095662483503</v>
      </c>
      <c r="M8105" s="443"/>
    </row>
    <row r="8106" spans="1:13">
      <c r="A8106" s="639">
        <v>120313</v>
      </c>
      <c r="B8106" s="639">
        <v>1500</v>
      </c>
      <c r="C8106" s="638">
        <v>3802.7510000000002</v>
      </c>
      <c r="D8106" s="633">
        <f t="shared" si="259"/>
        <v>3802.7510000000002</v>
      </c>
      <c r="E8106" s="608"/>
      <c r="F8106" s="760">
        <f t="shared" si="258"/>
        <v>1604.1723849738778</v>
      </c>
      <c r="M8106" s="443"/>
    </row>
    <row r="8107" spans="1:13">
      <c r="A8107" s="639">
        <v>120313</v>
      </c>
      <c r="B8107" s="639">
        <v>1600</v>
      </c>
      <c r="C8107" s="638">
        <v>4215.2550000000001</v>
      </c>
      <c r="D8107" s="633">
        <f t="shared" si="259"/>
        <v>4215.2550000000001</v>
      </c>
      <c r="E8107" s="608"/>
      <c r="F8107" s="760">
        <f t="shared" si="258"/>
        <v>1778.1852313293882</v>
      </c>
      <c r="M8107" s="443"/>
    </row>
    <row r="8108" spans="1:13">
      <c r="A8108" s="639">
        <v>120313</v>
      </c>
      <c r="B8108" s="639">
        <v>1700</v>
      </c>
      <c r="C8108" s="638">
        <v>4827.8389999999999</v>
      </c>
      <c r="D8108" s="633">
        <f t="shared" si="259"/>
        <v>4827.8389999999999</v>
      </c>
      <c r="E8108" s="608"/>
      <c r="F8108" s="760">
        <f t="shared" ref="F8108:F8171" si="260">(D8108/(MAX($D$8044:$D$8787)))*$M$15</f>
        <v>2036.6008720791608</v>
      </c>
      <c r="M8108" s="443"/>
    </row>
    <row r="8109" spans="1:13">
      <c r="A8109" s="639">
        <v>120313</v>
      </c>
      <c r="B8109" s="639">
        <v>1800</v>
      </c>
      <c r="C8109" s="638">
        <v>5376.1620000000003</v>
      </c>
      <c r="D8109" s="633">
        <f t="shared" si="259"/>
        <v>5376.1620000000003</v>
      </c>
      <c r="E8109" s="608"/>
      <c r="F8109" s="760">
        <f t="shared" si="260"/>
        <v>2267.9083162547149</v>
      </c>
      <c r="M8109" s="443"/>
    </row>
    <row r="8110" spans="1:13">
      <c r="A8110" s="639">
        <v>120313</v>
      </c>
      <c r="B8110" s="639">
        <v>1900</v>
      </c>
      <c r="C8110" s="638">
        <v>5431.2250000000004</v>
      </c>
      <c r="D8110" s="633">
        <f t="shared" si="259"/>
        <v>5431.2250000000004</v>
      </c>
      <c r="E8110" s="608"/>
      <c r="F8110" s="760">
        <f t="shared" si="260"/>
        <v>2291.1363803677259</v>
      </c>
      <c r="M8110" s="443"/>
    </row>
    <row r="8111" spans="1:13">
      <c r="A8111" s="639">
        <v>120313</v>
      </c>
      <c r="B8111" s="639">
        <v>2000</v>
      </c>
      <c r="C8111" s="638">
        <v>5393.4189999999999</v>
      </c>
      <c r="D8111" s="633">
        <f t="shared" si="259"/>
        <v>5393.4189999999999</v>
      </c>
      <c r="E8111" s="608"/>
      <c r="F8111" s="760">
        <f t="shared" si="260"/>
        <v>2275.1880994557432</v>
      </c>
      <c r="M8111" s="443"/>
    </row>
    <row r="8112" spans="1:13">
      <c r="A8112" s="639">
        <v>120313</v>
      </c>
      <c r="B8112" s="639">
        <v>2100</v>
      </c>
      <c r="C8112" s="638">
        <v>5199.8999999999996</v>
      </c>
      <c r="D8112" s="633">
        <f t="shared" si="259"/>
        <v>5199.8999999999996</v>
      </c>
      <c r="E8112" s="608"/>
      <c r="F8112" s="760">
        <f t="shared" si="260"/>
        <v>2193.5530316409531</v>
      </c>
      <c r="M8112" s="443"/>
    </row>
    <row r="8113" spans="1:13">
      <c r="A8113" s="639">
        <v>120313</v>
      </c>
      <c r="B8113" s="639">
        <v>2200</v>
      </c>
      <c r="C8113" s="638">
        <v>4981.402</v>
      </c>
      <c r="D8113" s="633">
        <f t="shared" si="259"/>
        <v>4981.402</v>
      </c>
      <c r="E8113" s="608"/>
      <c r="F8113" s="760">
        <f t="shared" si="260"/>
        <v>2101.3806917291308</v>
      </c>
      <c r="M8113" s="443"/>
    </row>
    <row r="8114" spans="1:13">
      <c r="A8114" s="639">
        <v>120313</v>
      </c>
      <c r="B8114" s="639">
        <v>2300</v>
      </c>
      <c r="C8114" s="638">
        <v>4275.7290000000003</v>
      </c>
      <c r="D8114" s="633">
        <f t="shared" si="259"/>
        <v>4275.7290000000003</v>
      </c>
      <c r="E8114" s="608"/>
      <c r="F8114" s="760">
        <f t="shared" si="260"/>
        <v>1803.6959000029119</v>
      </c>
      <c r="M8114" s="443"/>
    </row>
    <row r="8115" spans="1:13">
      <c r="A8115" s="639">
        <v>120313</v>
      </c>
      <c r="B8115" s="639">
        <v>2400</v>
      </c>
      <c r="C8115" s="638">
        <v>3730.884</v>
      </c>
      <c r="D8115" s="633">
        <f t="shared" si="259"/>
        <v>3730.884</v>
      </c>
      <c r="E8115" s="608"/>
      <c r="F8115" s="760">
        <f t="shared" si="260"/>
        <v>1573.8556335507849</v>
      </c>
      <c r="M8115" s="443"/>
    </row>
    <row r="8116" spans="1:13">
      <c r="A8116" s="639">
        <v>120413</v>
      </c>
      <c r="B8116" s="639">
        <v>100</v>
      </c>
      <c r="C8116" s="638">
        <v>3322.7669999999998</v>
      </c>
      <c r="D8116" s="633">
        <f t="shared" si="259"/>
        <v>3322.7669999999998</v>
      </c>
      <c r="E8116" s="608"/>
      <c r="F8116" s="760">
        <f t="shared" si="260"/>
        <v>1401.6934222362959</v>
      </c>
      <c r="M8116" s="443"/>
    </row>
    <row r="8117" spans="1:13">
      <c r="A8117" s="639">
        <v>120413</v>
      </c>
      <c r="B8117" s="639">
        <v>200</v>
      </c>
      <c r="C8117" s="638">
        <v>3375.3270000000002</v>
      </c>
      <c r="D8117" s="633">
        <f t="shared" si="259"/>
        <v>3375.3270000000002</v>
      </c>
      <c r="E8117" s="608"/>
      <c r="F8117" s="760">
        <f t="shared" si="260"/>
        <v>1423.8656077289111</v>
      </c>
      <c r="M8117" s="443"/>
    </row>
    <row r="8118" spans="1:13">
      <c r="A8118" s="639">
        <v>120413</v>
      </c>
      <c r="B8118" s="639">
        <v>300</v>
      </c>
      <c r="C8118" s="638">
        <v>3316.8130000000001</v>
      </c>
      <c r="D8118" s="633">
        <f t="shared" si="259"/>
        <v>3316.8130000000001</v>
      </c>
      <c r="E8118" s="608"/>
      <c r="F8118" s="760">
        <f t="shared" si="260"/>
        <v>1399.1817557137879</v>
      </c>
      <c r="M8118" s="443"/>
    </row>
    <row r="8119" spans="1:13">
      <c r="A8119" s="639">
        <v>120413</v>
      </c>
      <c r="B8119" s="639">
        <v>400</v>
      </c>
      <c r="C8119" s="638">
        <v>3312.79</v>
      </c>
      <c r="D8119" s="633">
        <f t="shared" si="259"/>
        <v>3312.79</v>
      </c>
      <c r="E8119" s="608"/>
      <c r="F8119" s="760">
        <f t="shared" si="260"/>
        <v>1397.4846723378976</v>
      </c>
      <c r="M8119" s="443"/>
    </row>
    <row r="8120" spans="1:13">
      <c r="A8120" s="639">
        <v>120413</v>
      </c>
      <c r="B8120" s="639">
        <v>500</v>
      </c>
      <c r="C8120" s="638">
        <v>3396.2910000000002</v>
      </c>
      <c r="D8120" s="633">
        <f t="shared" si="259"/>
        <v>3396.2910000000002</v>
      </c>
      <c r="E8120" s="608"/>
      <c r="F8120" s="760">
        <f t="shared" si="260"/>
        <v>1432.7091712119243</v>
      </c>
      <c r="M8120" s="443"/>
    </row>
    <row r="8121" spans="1:13">
      <c r="A8121" s="639">
        <v>120413</v>
      </c>
      <c r="B8121" s="639">
        <v>600</v>
      </c>
      <c r="C8121" s="638">
        <v>3747.6990000000001</v>
      </c>
      <c r="D8121" s="633">
        <f t="shared" si="259"/>
        <v>3747.6990000000001</v>
      </c>
      <c r="E8121" s="608"/>
      <c r="F8121" s="760">
        <f t="shared" si="260"/>
        <v>1580.9489611584395</v>
      </c>
      <c r="M8121" s="443"/>
    </row>
    <row r="8122" spans="1:13">
      <c r="A8122" s="639">
        <v>120413</v>
      </c>
      <c r="B8122" s="639">
        <v>700</v>
      </c>
      <c r="C8122" s="638">
        <v>4330.5789999999997</v>
      </c>
      <c r="D8122" s="633">
        <f t="shared" si="259"/>
        <v>4330.5789999999997</v>
      </c>
      <c r="E8122" s="608"/>
      <c r="F8122" s="760">
        <f t="shared" si="260"/>
        <v>1826.8341110811068</v>
      </c>
      <c r="M8122" s="443"/>
    </row>
    <row r="8123" spans="1:13">
      <c r="A8123" s="639">
        <v>120413</v>
      </c>
      <c r="B8123" s="639">
        <v>800</v>
      </c>
      <c r="C8123" s="638">
        <v>4633.1530000000002</v>
      </c>
      <c r="D8123" s="633">
        <f t="shared" si="259"/>
        <v>4633.1530000000002</v>
      </c>
      <c r="E8123" s="608"/>
      <c r="F8123" s="760">
        <f t="shared" si="260"/>
        <v>1954.4735108764355</v>
      </c>
      <c r="M8123" s="443"/>
    </row>
    <row r="8124" spans="1:13">
      <c r="A8124" s="639">
        <v>120413</v>
      </c>
      <c r="B8124" s="639">
        <v>900</v>
      </c>
      <c r="C8124" s="638">
        <v>4564.8599999999997</v>
      </c>
      <c r="D8124" s="633">
        <f t="shared" si="259"/>
        <v>4564.8599999999997</v>
      </c>
      <c r="E8124" s="608"/>
      <c r="F8124" s="760">
        <f t="shared" si="260"/>
        <v>1925.6644343192215</v>
      </c>
      <c r="M8124" s="443"/>
    </row>
    <row r="8125" spans="1:13">
      <c r="A8125" s="639">
        <v>120413</v>
      </c>
      <c r="B8125" s="639">
        <v>1000</v>
      </c>
      <c r="C8125" s="638">
        <v>4552.9939999999997</v>
      </c>
      <c r="D8125" s="633">
        <f t="shared" si="259"/>
        <v>4552.9939999999997</v>
      </c>
      <c r="E8125" s="608"/>
      <c r="F8125" s="760">
        <f t="shared" si="260"/>
        <v>1920.6588187740283</v>
      </c>
      <c r="M8125" s="443"/>
    </row>
    <row r="8126" spans="1:13">
      <c r="A8126" s="639">
        <v>120413</v>
      </c>
      <c r="B8126" s="639">
        <v>1100</v>
      </c>
      <c r="C8126" s="638">
        <v>4522.6670000000004</v>
      </c>
      <c r="D8126" s="633">
        <f t="shared" si="259"/>
        <v>4522.6670000000004</v>
      </c>
      <c r="E8126" s="608"/>
      <c r="F8126" s="760">
        <f t="shared" si="260"/>
        <v>1907.8655183662179</v>
      </c>
      <c r="M8126" s="443"/>
    </row>
    <row r="8127" spans="1:13">
      <c r="A8127" s="639">
        <v>120413</v>
      </c>
      <c r="B8127" s="639">
        <v>1200</v>
      </c>
      <c r="C8127" s="638">
        <v>4436.2430000000004</v>
      </c>
      <c r="D8127" s="633">
        <f t="shared" si="259"/>
        <v>4436.2430000000004</v>
      </c>
      <c r="E8127" s="608"/>
      <c r="F8127" s="760">
        <f t="shared" si="260"/>
        <v>1871.4079658735666</v>
      </c>
      <c r="M8127" s="443"/>
    </row>
    <row r="8128" spans="1:13">
      <c r="A8128" s="639">
        <v>120413</v>
      </c>
      <c r="B8128" s="639">
        <v>1300</v>
      </c>
      <c r="C8128" s="638">
        <v>4405.0950000000003</v>
      </c>
      <c r="D8128" s="633">
        <f t="shared" si="259"/>
        <v>4405.0950000000003</v>
      </c>
      <c r="E8128" s="608"/>
      <c r="F8128" s="760">
        <f t="shared" si="260"/>
        <v>1858.2683305287421</v>
      </c>
      <c r="M8128" s="443"/>
    </row>
    <row r="8129" spans="1:13">
      <c r="A8129" s="639">
        <v>120413</v>
      </c>
      <c r="B8129" s="639">
        <v>1400</v>
      </c>
      <c r="C8129" s="638">
        <v>4405.7730000000001</v>
      </c>
      <c r="D8129" s="633">
        <f t="shared" si="259"/>
        <v>4405.7730000000001</v>
      </c>
      <c r="E8129" s="608"/>
      <c r="F8129" s="760">
        <f t="shared" si="260"/>
        <v>1858.5543415973109</v>
      </c>
      <c r="M8129" s="443"/>
    </row>
    <row r="8130" spans="1:13">
      <c r="A8130" s="639">
        <v>120413</v>
      </c>
      <c r="B8130" s="639">
        <v>1500</v>
      </c>
      <c r="C8130" s="638">
        <v>4397.6719999999996</v>
      </c>
      <c r="D8130" s="633">
        <f t="shared" si="259"/>
        <v>4397.6719999999996</v>
      </c>
      <c r="E8130" s="608"/>
      <c r="F8130" s="760">
        <f t="shared" si="260"/>
        <v>1855.1369733576669</v>
      </c>
      <c r="M8130" s="443"/>
    </row>
    <row r="8131" spans="1:13">
      <c r="A8131" s="639">
        <v>120413</v>
      </c>
      <c r="B8131" s="639">
        <v>1600</v>
      </c>
      <c r="C8131" s="638">
        <v>4529.4629999999997</v>
      </c>
      <c r="D8131" s="633">
        <f t="shared" si="259"/>
        <v>4529.4629999999997</v>
      </c>
      <c r="E8131" s="608"/>
      <c r="F8131" s="760">
        <f t="shared" si="260"/>
        <v>1910.7323785756507</v>
      </c>
      <c r="M8131" s="443"/>
    </row>
    <row r="8132" spans="1:13">
      <c r="A8132" s="639">
        <v>120413</v>
      </c>
      <c r="B8132" s="639">
        <v>1700</v>
      </c>
      <c r="C8132" s="638">
        <v>4966.8159999999998</v>
      </c>
      <c r="D8132" s="633">
        <f t="shared" si="259"/>
        <v>4966.8159999999998</v>
      </c>
      <c r="E8132" s="608"/>
      <c r="F8132" s="760">
        <f t="shared" si="260"/>
        <v>2095.2276571477896</v>
      </c>
      <c r="M8132" s="443"/>
    </row>
    <row r="8133" spans="1:13">
      <c r="A8133" s="639">
        <v>120413</v>
      </c>
      <c r="B8133" s="639">
        <v>1800</v>
      </c>
      <c r="C8133" s="638">
        <v>5314.9409999999998</v>
      </c>
      <c r="D8133" s="633">
        <f t="shared" ref="D8133:D8196" si="261">C8133</f>
        <v>5314.9409999999998</v>
      </c>
      <c r="E8133" s="608"/>
      <c r="F8133" s="760">
        <f t="shared" si="260"/>
        <v>2242.0825291914844</v>
      </c>
      <c r="M8133" s="443"/>
    </row>
    <row r="8134" spans="1:13">
      <c r="A8134" s="639">
        <v>120413</v>
      </c>
      <c r="B8134" s="639">
        <v>1900</v>
      </c>
      <c r="C8134" s="638">
        <v>5331.808</v>
      </c>
      <c r="D8134" s="633">
        <f t="shared" si="261"/>
        <v>5331.808</v>
      </c>
      <c r="E8134" s="608"/>
      <c r="F8134" s="760">
        <f t="shared" si="260"/>
        <v>2249.1977927513008</v>
      </c>
      <c r="M8134" s="443"/>
    </row>
    <row r="8135" spans="1:13">
      <c r="A8135" s="639">
        <v>120413</v>
      </c>
      <c r="B8135" s="639">
        <v>2000</v>
      </c>
      <c r="C8135" s="638">
        <v>5217.7809999999999</v>
      </c>
      <c r="D8135" s="633">
        <f t="shared" si="261"/>
        <v>5217.7809999999999</v>
      </c>
      <c r="E8135" s="608"/>
      <c r="F8135" s="760">
        <f t="shared" si="260"/>
        <v>2201.0960462679213</v>
      </c>
      <c r="M8135" s="443"/>
    </row>
    <row r="8136" spans="1:13">
      <c r="A8136" s="639">
        <v>120413</v>
      </c>
      <c r="B8136" s="639">
        <v>2100</v>
      </c>
      <c r="C8136" s="638">
        <v>5184.9780000000001</v>
      </c>
      <c r="D8136" s="633">
        <f t="shared" si="261"/>
        <v>5184.9780000000001</v>
      </c>
      <c r="E8136" s="608"/>
      <c r="F8136" s="760">
        <f t="shared" si="260"/>
        <v>2187.2582570610293</v>
      </c>
      <c r="M8136" s="443"/>
    </row>
    <row r="8137" spans="1:13">
      <c r="A8137" s="639">
        <v>120413</v>
      </c>
      <c r="B8137" s="639">
        <v>2200</v>
      </c>
      <c r="C8137" s="638">
        <v>4850.82</v>
      </c>
      <c r="D8137" s="633">
        <f t="shared" si="261"/>
        <v>4850.82</v>
      </c>
      <c r="E8137" s="608"/>
      <c r="F8137" s="760">
        <f t="shared" si="260"/>
        <v>2046.2952973989052</v>
      </c>
      <c r="M8137" s="443"/>
    </row>
    <row r="8138" spans="1:13">
      <c r="A8138" s="639">
        <v>120413</v>
      </c>
      <c r="B8138" s="639">
        <v>2300</v>
      </c>
      <c r="C8138" s="638">
        <v>4270.2079999999996</v>
      </c>
      <c r="D8138" s="633">
        <f t="shared" si="261"/>
        <v>4270.2079999999996</v>
      </c>
      <c r="E8138" s="608"/>
      <c r="F8138" s="760">
        <f t="shared" si="260"/>
        <v>1801.3668924666724</v>
      </c>
      <c r="M8138" s="443"/>
    </row>
    <row r="8139" spans="1:13">
      <c r="A8139" s="639">
        <v>120413</v>
      </c>
      <c r="B8139" s="639">
        <v>2400</v>
      </c>
      <c r="C8139" s="638">
        <v>3676.7359999999999</v>
      </c>
      <c r="D8139" s="633">
        <f t="shared" si="261"/>
        <v>3676.7359999999999</v>
      </c>
      <c r="E8139" s="608"/>
      <c r="F8139" s="760">
        <f t="shared" si="260"/>
        <v>1551.0135578267718</v>
      </c>
      <c r="M8139" s="443"/>
    </row>
    <row r="8140" spans="1:13">
      <c r="A8140" s="639">
        <v>120513</v>
      </c>
      <c r="B8140" s="639">
        <v>100</v>
      </c>
      <c r="C8140" s="638">
        <v>3244.3220000000001</v>
      </c>
      <c r="D8140" s="633">
        <f t="shared" si="261"/>
        <v>3244.3220000000001</v>
      </c>
      <c r="E8140" s="608"/>
      <c r="F8140" s="760">
        <f t="shared" si="260"/>
        <v>1368.6017728647553</v>
      </c>
      <c r="M8140" s="443"/>
    </row>
    <row r="8141" spans="1:13">
      <c r="A8141" s="639">
        <v>120513</v>
      </c>
      <c r="B8141" s="639">
        <v>200</v>
      </c>
      <c r="C8141" s="638">
        <v>3238.0940000000001</v>
      </c>
      <c r="D8141" s="633">
        <f t="shared" si="261"/>
        <v>3238.0940000000001</v>
      </c>
      <c r="E8141" s="608"/>
      <c r="F8141" s="760">
        <f t="shared" si="260"/>
        <v>1365.9745207481647</v>
      </c>
      <c r="M8141" s="443"/>
    </row>
    <row r="8142" spans="1:13">
      <c r="A8142" s="639">
        <v>120513</v>
      </c>
      <c r="B8142" s="639">
        <v>300</v>
      </c>
      <c r="C8142" s="638">
        <v>3199.6709999999998</v>
      </c>
      <c r="D8142" s="633">
        <f t="shared" si="261"/>
        <v>3199.6709999999998</v>
      </c>
      <c r="E8142" s="608"/>
      <c r="F8142" s="760">
        <f t="shared" si="260"/>
        <v>1349.7659613268793</v>
      </c>
      <c r="M8142" s="443"/>
    </row>
    <row r="8143" spans="1:13">
      <c r="A8143" s="639">
        <v>120513</v>
      </c>
      <c r="B8143" s="639">
        <v>400</v>
      </c>
      <c r="C8143" s="638">
        <v>3154.134</v>
      </c>
      <c r="D8143" s="633">
        <f t="shared" si="261"/>
        <v>3154.134</v>
      </c>
      <c r="E8143" s="608"/>
      <c r="F8143" s="760">
        <f t="shared" si="260"/>
        <v>1330.5563949117879</v>
      </c>
      <c r="M8143" s="443"/>
    </row>
    <row r="8144" spans="1:13">
      <c r="A8144" s="639">
        <v>120513</v>
      </c>
      <c r="B8144" s="639">
        <v>500</v>
      </c>
      <c r="C8144" s="638">
        <v>3226.2730000000001</v>
      </c>
      <c r="D8144" s="633">
        <f t="shared" si="261"/>
        <v>3226.2730000000001</v>
      </c>
      <c r="E8144" s="608"/>
      <c r="F8144" s="760">
        <f t="shared" si="260"/>
        <v>1360.9878882384958</v>
      </c>
      <c r="M8144" s="443"/>
    </row>
    <row r="8145" spans="1:13">
      <c r="A8145" s="639">
        <v>120513</v>
      </c>
      <c r="B8145" s="639">
        <v>600</v>
      </c>
      <c r="C8145" s="638">
        <v>3560.2460000000001</v>
      </c>
      <c r="D8145" s="633">
        <f t="shared" si="261"/>
        <v>3560.2460000000001</v>
      </c>
      <c r="E8145" s="608"/>
      <c r="F8145" s="760">
        <f t="shared" si="260"/>
        <v>1501.8728065323521</v>
      </c>
      <c r="M8145" s="443"/>
    </row>
    <row r="8146" spans="1:13">
      <c r="A8146" s="639">
        <v>120513</v>
      </c>
      <c r="B8146" s="639">
        <v>700</v>
      </c>
      <c r="C8146" s="638">
        <v>4056.9989999999998</v>
      </c>
      <c r="D8146" s="633">
        <f t="shared" si="261"/>
        <v>4056.9989999999998</v>
      </c>
      <c r="E8146" s="608"/>
      <c r="F8146" s="760">
        <f t="shared" si="260"/>
        <v>1711.4256919968298</v>
      </c>
      <c r="M8146" s="443"/>
    </row>
    <row r="8147" spans="1:13">
      <c r="A8147" s="639">
        <v>120513</v>
      </c>
      <c r="B8147" s="639">
        <v>800</v>
      </c>
      <c r="C8147" s="638">
        <v>4372.0630000000001</v>
      </c>
      <c r="D8147" s="633">
        <f t="shared" si="261"/>
        <v>4372.0630000000001</v>
      </c>
      <c r="E8147" s="608"/>
      <c r="F8147" s="760">
        <f t="shared" si="260"/>
        <v>1844.3339387632918</v>
      </c>
      <c r="M8147" s="443"/>
    </row>
    <row r="8148" spans="1:13">
      <c r="A8148" s="639">
        <v>120513</v>
      </c>
      <c r="B8148" s="639">
        <v>900</v>
      </c>
      <c r="C8148" s="638">
        <v>4242.7269999999999</v>
      </c>
      <c r="D8148" s="633">
        <f t="shared" si="261"/>
        <v>4242.7269999999999</v>
      </c>
      <c r="E8148" s="608"/>
      <c r="F8148" s="760">
        <f t="shared" si="260"/>
        <v>1789.7741635944783</v>
      </c>
      <c r="M8148" s="443"/>
    </row>
    <row r="8149" spans="1:13">
      <c r="A8149" s="639">
        <v>120513</v>
      </c>
      <c r="B8149" s="639">
        <v>1000</v>
      </c>
      <c r="C8149" s="638">
        <v>4101.9530000000004</v>
      </c>
      <c r="D8149" s="633">
        <f t="shared" si="261"/>
        <v>4101.9530000000004</v>
      </c>
      <c r="E8149" s="608"/>
      <c r="F8149" s="760">
        <f t="shared" si="260"/>
        <v>1730.3893226405708</v>
      </c>
      <c r="M8149" s="443"/>
    </row>
    <row r="8150" spans="1:13">
      <c r="A8150" s="639">
        <v>120513</v>
      </c>
      <c r="B8150" s="639">
        <v>1100</v>
      </c>
      <c r="C8150" s="638">
        <v>3836.5740000000001</v>
      </c>
      <c r="D8150" s="633">
        <f t="shared" si="261"/>
        <v>3836.5740000000001</v>
      </c>
      <c r="E8150" s="608"/>
      <c r="F8150" s="760">
        <f t="shared" si="260"/>
        <v>1618.440456319325</v>
      </c>
      <c r="M8150" s="443"/>
    </row>
    <row r="8151" spans="1:13">
      <c r="A8151" s="639">
        <v>120513</v>
      </c>
      <c r="B8151" s="639">
        <v>1200</v>
      </c>
      <c r="C8151" s="638">
        <v>3528.9540000000002</v>
      </c>
      <c r="D8151" s="633">
        <f t="shared" si="261"/>
        <v>3528.9540000000002</v>
      </c>
      <c r="E8151" s="608"/>
      <c r="F8151" s="760">
        <f t="shared" si="260"/>
        <v>1488.6724254738492</v>
      </c>
      <c r="M8151" s="443"/>
    </row>
    <row r="8152" spans="1:13">
      <c r="A8152" s="639">
        <v>120513</v>
      </c>
      <c r="B8152" s="639">
        <v>1300</v>
      </c>
      <c r="C8152" s="638">
        <v>3552.386</v>
      </c>
      <c r="D8152" s="633">
        <f t="shared" si="261"/>
        <v>3552.386</v>
      </c>
      <c r="E8152" s="608"/>
      <c r="F8152" s="760">
        <f t="shared" si="260"/>
        <v>1498.5571029940727</v>
      </c>
      <c r="M8152" s="443"/>
    </row>
    <row r="8153" spans="1:13">
      <c r="A8153" s="639">
        <v>120513</v>
      </c>
      <c r="B8153" s="639">
        <v>1400</v>
      </c>
      <c r="C8153" s="638">
        <v>3696.6210000000001</v>
      </c>
      <c r="D8153" s="633">
        <f t="shared" si="261"/>
        <v>3696.6210000000001</v>
      </c>
      <c r="E8153" s="608"/>
      <c r="F8153" s="760">
        <f t="shared" si="260"/>
        <v>1559.4019503024313</v>
      </c>
      <c r="M8153" s="443"/>
    </row>
    <row r="8154" spans="1:13">
      <c r="A8154" s="639">
        <v>120513</v>
      </c>
      <c r="B8154" s="639">
        <v>1500</v>
      </c>
      <c r="C8154" s="638">
        <v>3936.7069999999999</v>
      </c>
      <c r="D8154" s="633">
        <f t="shared" si="261"/>
        <v>3936.7069999999999</v>
      </c>
      <c r="E8154" s="608"/>
      <c r="F8154" s="760">
        <f t="shared" si="260"/>
        <v>1660.6810851232065</v>
      </c>
      <c r="M8154" s="443"/>
    </row>
    <row r="8155" spans="1:13">
      <c r="A8155" s="639">
        <v>120513</v>
      </c>
      <c r="B8155" s="639">
        <v>1600</v>
      </c>
      <c r="C8155" s="638">
        <v>4055.06</v>
      </c>
      <c r="D8155" s="633">
        <f t="shared" si="261"/>
        <v>4055.06</v>
      </c>
      <c r="E8155" s="608"/>
      <c r="F8155" s="760">
        <f t="shared" si="260"/>
        <v>1710.6077340883407</v>
      </c>
      <c r="M8155" s="443"/>
    </row>
    <row r="8156" spans="1:13">
      <c r="A8156" s="639">
        <v>120513</v>
      </c>
      <c r="B8156" s="639">
        <v>1700</v>
      </c>
      <c r="C8156" s="638">
        <v>4544.7439999999997</v>
      </c>
      <c r="D8156" s="633">
        <f t="shared" si="261"/>
        <v>4544.7439999999997</v>
      </c>
      <c r="E8156" s="608"/>
      <c r="F8156" s="760">
        <f t="shared" si="260"/>
        <v>1917.1785955945368</v>
      </c>
      <c r="M8156" s="443"/>
    </row>
    <row r="8157" spans="1:13">
      <c r="A8157" s="639">
        <v>120513</v>
      </c>
      <c r="B8157" s="639">
        <v>1800</v>
      </c>
      <c r="C8157" s="638">
        <v>5006.3620000000001</v>
      </c>
      <c r="D8157" s="633">
        <f t="shared" si="261"/>
        <v>5006.3620000000001</v>
      </c>
      <c r="E8157" s="608"/>
      <c r="F8157" s="760">
        <f t="shared" si="260"/>
        <v>2111.9099487667199</v>
      </c>
      <c r="M8157" s="443"/>
    </row>
    <row r="8158" spans="1:13">
      <c r="A8158" s="639">
        <v>120513</v>
      </c>
      <c r="B8158" s="639">
        <v>1900</v>
      </c>
      <c r="C8158" s="638">
        <v>5124.8289999999997</v>
      </c>
      <c r="D8158" s="633">
        <f t="shared" si="261"/>
        <v>5124.8289999999997</v>
      </c>
      <c r="E8158" s="608"/>
      <c r="F8158" s="760">
        <f t="shared" si="260"/>
        <v>2161.8846880885162</v>
      </c>
      <c r="M8158" s="443"/>
    </row>
    <row r="8159" spans="1:13">
      <c r="A8159" s="639">
        <v>120513</v>
      </c>
      <c r="B8159" s="639">
        <v>2000</v>
      </c>
      <c r="C8159" s="638">
        <v>5108.9279999999999</v>
      </c>
      <c r="D8159" s="633">
        <f t="shared" si="261"/>
        <v>5108.9279999999999</v>
      </c>
      <c r="E8159" s="608"/>
      <c r="F8159" s="760">
        <f t="shared" si="260"/>
        <v>2155.1769270246259</v>
      </c>
      <c r="M8159" s="443"/>
    </row>
    <row r="8160" spans="1:13">
      <c r="A8160" s="639">
        <v>120513</v>
      </c>
      <c r="B8160" s="639">
        <v>2100</v>
      </c>
      <c r="C8160" s="638">
        <v>5034.4610000000002</v>
      </c>
      <c r="D8160" s="633">
        <f t="shared" si="261"/>
        <v>5034.4610000000002</v>
      </c>
      <c r="E8160" s="608"/>
      <c r="F8160" s="760">
        <f t="shared" si="260"/>
        <v>2123.7633779934508</v>
      </c>
      <c r="M8160" s="443"/>
    </row>
    <row r="8161" spans="1:13">
      <c r="A8161" s="639">
        <v>120513</v>
      </c>
      <c r="B8161" s="639">
        <v>2200</v>
      </c>
      <c r="C8161" s="638">
        <v>4798.7489999999998</v>
      </c>
      <c r="D8161" s="633">
        <f t="shared" si="261"/>
        <v>4798.7489999999998</v>
      </c>
      <c r="E8161" s="608"/>
      <c r="F8161" s="760">
        <f t="shared" si="260"/>
        <v>2024.3293942256566</v>
      </c>
      <c r="M8161" s="443"/>
    </row>
    <row r="8162" spans="1:13">
      <c r="A8162" s="639">
        <v>120513</v>
      </c>
      <c r="B8162" s="639">
        <v>2300</v>
      </c>
      <c r="C8162" s="638">
        <v>4210.5600000000004</v>
      </c>
      <c r="D8162" s="633">
        <f t="shared" si="261"/>
        <v>4210.5600000000004</v>
      </c>
      <c r="E8162" s="608"/>
      <c r="F8162" s="760">
        <f t="shared" si="260"/>
        <v>1776.2046679563325</v>
      </c>
      <c r="M8162" s="443"/>
    </row>
    <row r="8163" spans="1:13">
      <c r="A8163" s="639">
        <v>120513</v>
      </c>
      <c r="B8163" s="639">
        <v>2400</v>
      </c>
      <c r="C8163" s="638">
        <v>3635.413</v>
      </c>
      <c r="D8163" s="633">
        <f t="shared" si="261"/>
        <v>3635.413</v>
      </c>
      <c r="E8163" s="608"/>
      <c r="F8163" s="760">
        <f t="shared" si="260"/>
        <v>1533.5816472272415</v>
      </c>
      <c r="M8163" s="443"/>
    </row>
    <row r="8164" spans="1:13">
      <c r="A8164" s="639">
        <v>120613</v>
      </c>
      <c r="B8164" s="639">
        <v>100</v>
      </c>
      <c r="C8164" s="638">
        <v>3297.145</v>
      </c>
      <c r="D8164" s="633">
        <f t="shared" si="261"/>
        <v>3297.145</v>
      </c>
      <c r="E8164" s="608"/>
      <c r="F8164" s="760">
        <f t="shared" si="260"/>
        <v>1390.88490365388</v>
      </c>
      <c r="M8164" s="443"/>
    </row>
    <row r="8165" spans="1:13">
      <c r="A8165" s="639">
        <v>120613</v>
      </c>
      <c r="B8165" s="639">
        <v>200</v>
      </c>
      <c r="C8165" s="638">
        <v>3386.1709999999998</v>
      </c>
      <c r="D8165" s="633">
        <f t="shared" si="261"/>
        <v>3386.1709999999998</v>
      </c>
      <c r="E8165" s="608"/>
      <c r="F8165" s="760">
        <f t="shared" si="260"/>
        <v>1428.4400974450812</v>
      </c>
      <c r="M8165" s="443"/>
    </row>
    <row r="8166" spans="1:13">
      <c r="A8166" s="639">
        <v>120613</v>
      </c>
      <c r="B8166" s="639">
        <v>300</v>
      </c>
      <c r="C8166" s="638">
        <v>3342.3249999999998</v>
      </c>
      <c r="D8166" s="633">
        <f t="shared" si="261"/>
        <v>3342.3249999999998</v>
      </c>
      <c r="E8166" s="608"/>
      <c r="F8166" s="760">
        <f t="shared" si="260"/>
        <v>1409.943871320477</v>
      </c>
      <c r="M8166" s="443"/>
    </row>
    <row r="8167" spans="1:13">
      <c r="A8167" s="639">
        <v>120613</v>
      </c>
      <c r="B8167" s="639">
        <v>400</v>
      </c>
      <c r="C8167" s="638">
        <v>3347.549</v>
      </c>
      <c r="D8167" s="633">
        <f t="shared" si="261"/>
        <v>3347.549</v>
      </c>
      <c r="E8167" s="608"/>
      <c r="F8167" s="760">
        <f t="shared" si="260"/>
        <v>1412.1475908222544</v>
      </c>
      <c r="M8167" s="443"/>
    </row>
    <row r="8168" spans="1:13">
      <c r="A8168" s="639">
        <v>120613</v>
      </c>
      <c r="B8168" s="639">
        <v>500</v>
      </c>
      <c r="C8168" s="638">
        <v>3410.1179999999999</v>
      </c>
      <c r="D8168" s="633">
        <f t="shared" si="261"/>
        <v>3410.1179999999999</v>
      </c>
      <c r="E8168" s="608"/>
      <c r="F8168" s="760">
        <f t="shared" si="260"/>
        <v>1438.5420252607519</v>
      </c>
      <c r="M8168" s="443"/>
    </row>
    <row r="8169" spans="1:13">
      <c r="A8169" s="639">
        <v>120613</v>
      </c>
      <c r="B8169" s="639">
        <v>600</v>
      </c>
      <c r="C8169" s="638">
        <v>3722.665</v>
      </c>
      <c r="D8169" s="633">
        <f t="shared" si="261"/>
        <v>3722.665</v>
      </c>
      <c r="E8169" s="608"/>
      <c r="F8169" s="760">
        <f t="shared" si="260"/>
        <v>1570.3884875735434</v>
      </c>
      <c r="M8169" s="443"/>
    </row>
    <row r="8170" spans="1:13">
      <c r="A8170" s="639">
        <v>120613</v>
      </c>
      <c r="B8170" s="639">
        <v>700</v>
      </c>
      <c r="C8170" s="638">
        <v>4248.7479999999996</v>
      </c>
      <c r="D8170" s="633">
        <f t="shared" si="261"/>
        <v>4248.7479999999996</v>
      </c>
      <c r="E8170" s="608"/>
      <c r="F8170" s="760">
        <f t="shared" si="260"/>
        <v>1792.3140937476558</v>
      </c>
      <c r="M8170" s="443"/>
    </row>
    <row r="8171" spans="1:13">
      <c r="A8171" s="639">
        <v>120613</v>
      </c>
      <c r="B8171" s="639">
        <v>800</v>
      </c>
      <c r="C8171" s="638">
        <v>4677.9719999999998</v>
      </c>
      <c r="D8171" s="633">
        <f t="shared" si="261"/>
        <v>4677.9719999999998</v>
      </c>
      <c r="E8171" s="608"/>
      <c r="F8171" s="760">
        <f t="shared" si="260"/>
        <v>1973.3801924136026</v>
      </c>
      <c r="M8171" s="443"/>
    </row>
    <row r="8172" spans="1:13">
      <c r="A8172" s="639">
        <v>120613</v>
      </c>
      <c r="B8172" s="639">
        <v>900</v>
      </c>
      <c r="C8172" s="638">
        <v>4647.7349999999997</v>
      </c>
      <c r="D8172" s="633">
        <f t="shared" si="261"/>
        <v>4647.7349999999997</v>
      </c>
      <c r="E8172" s="608"/>
      <c r="F8172" s="760">
        <f t="shared" ref="F8172:F8235" si="262">(D8172/(MAX($D$8044:$D$8787)))*$M$15</f>
        <v>1960.6248580768408</v>
      </c>
      <c r="M8172" s="443"/>
    </row>
    <row r="8173" spans="1:13">
      <c r="A8173" s="639">
        <v>120613</v>
      </c>
      <c r="B8173" s="639">
        <v>1000</v>
      </c>
      <c r="C8173" s="638">
        <v>4591.6350000000002</v>
      </c>
      <c r="D8173" s="633">
        <f t="shared" si="261"/>
        <v>4591.6350000000002</v>
      </c>
      <c r="E8173" s="608"/>
      <c r="F8173" s="760">
        <f t="shared" si="262"/>
        <v>1936.9593404562991</v>
      </c>
      <c r="M8173" s="443"/>
    </row>
    <row r="8174" spans="1:13">
      <c r="A8174" s="639">
        <v>120613</v>
      </c>
      <c r="B8174" s="639">
        <v>1100</v>
      </c>
      <c r="C8174" s="638">
        <v>4493.0709999999999</v>
      </c>
      <c r="D8174" s="633">
        <f t="shared" si="261"/>
        <v>4493.0709999999999</v>
      </c>
      <c r="E8174" s="608"/>
      <c r="F8174" s="760">
        <f t="shared" si="262"/>
        <v>1895.3805868243714</v>
      </c>
      <c r="M8174" s="443"/>
    </row>
    <row r="8175" spans="1:13">
      <c r="A8175" s="639">
        <v>120613</v>
      </c>
      <c r="B8175" s="639">
        <v>1200</v>
      </c>
      <c r="C8175" s="638">
        <v>4473.6130000000003</v>
      </c>
      <c r="D8175" s="633">
        <f t="shared" si="261"/>
        <v>4473.6130000000003</v>
      </c>
      <c r="E8175" s="608"/>
      <c r="F8175" s="760">
        <f t="shared" si="262"/>
        <v>1887.1723222635781</v>
      </c>
      <c r="M8175" s="443"/>
    </row>
    <row r="8176" spans="1:13">
      <c r="A8176" s="639">
        <v>120613</v>
      </c>
      <c r="B8176" s="639">
        <v>1300</v>
      </c>
      <c r="C8176" s="638">
        <v>4415.1040000000003</v>
      </c>
      <c r="D8176" s="633">
        <f t="shared" si="261"/>
        <v>4415.1040000000003</v>
      </c>
      <c r="E8176" s="608"/>
      <c r="F8176" s="760">
        <f t="shared" si="262"/>
        <v>1862.4905794746246</v>
      </c>
      <c r="M8176" s="443"/>
    </row>
    <row r="8177" spans="1:13">
      <c r="A8177" s="639">
        <v>120613</v>
      </c>
      <c r="B8177" s="639">
        <v>1400</v>
      </c>
      <c r="C8177" s="638">
        <v>4417.5619999999999</v>
      </c>
      <c r="D8177" s="633">
        <f t="shared" si="261"/>
        <v>4417.5619999999999</v>
      </c>
      <c r="E8177" s="608"/>
      <c r="F8177" s="760">
        <f t="shared" si="262"/>
        <v>1863.5274750594958</v>
      </c>
      <c r="M8177" s="443"/>
    </row>
    <row r="8178" spans="1:13">
      <c r="A8178" s="639">
        <v>120613</v>
      </c>
      <c r="B8178" s="639">
        <v>1500</v>
      </c>
      <c r="C8178" s="638">
        <v>4514.7579999999998</v>
      </c>
      <c r="D8178" s="633">
        <f t="shared" si="261"/>
        <v>4514.7579999999998</v>
      </c>
      <c r="E8178" s="608"/>
      <c r="F8178" s="760">
        <f t="shared" si="262"/>
        <v>1904.5291444114785</v>
      </c>
      <c r="M8178" s="443"/>
    </row>
    <row r="8179" spans="1:13">
      <c r="A8179" s="639">
        <v>120613</v>
      </c>
      <c r="B8179" s="639">
        <v>1600</v>
      </c>
      <c r="C8179" s="638">
        <v>4654.9390000000003</v>
      </c>
      <c r="D8179" s="633">
        <f t="shared" si="261"/>
        <v>4654.9390000000003</v>
      </c>
      <c r="E8179" s="608"/>
      <c r="F8179" s="760">
        <f t="shared" si="262"/>
        <v>1963.6638311416966</v>
      </c>
      <c r="M8179" s="443"/>
    </row>
    <row r="8180" spans="1:13">
      <c r="A8180" s="639">
        <v>120613</v>
      </c>
      <c r="B8180" s="639">
        <v>1700</v>
      </c>
      <c r="C8180" s="638">
        <v>5109.0140000000001</v>
      </c>
      <c r="D8180" s="633">
        <f t="shared" si="261"/>
        <v>5109.0140000000001</v>
      </c>
      <c r="E8180" s="608"/>
      <c r="F8180" s="760">
        <f t="shared" si="262"/>
        <v>2155.2132057147392</v>
      </c>
      <c r="M8180" s="443"/>
    </row>
    <row r="8181" spans="1:13">
      <c r="A8181" s="639">
        <v>120613</v>
      </c>
      <c r="B8181" s="639">
        <v>1800</v>
      </c>
      <c r="C8181" s="638">
        <v>5426.2150000000001</v>
      </c>
      <c r="D8181" s="633">
        <f t="shared" si="261"/>
        <v>5426.2150000000001</v>
      </c>
      <c r="E8181" s="608"/>
      <c r="F8181" s="760">
        <f t="shared" si="262"/>
        <v>2289.022935745998</v>
      </c>
      <c r="M8181" s="443"/>
    </row>
    <row r="8182" spans="1:13">
      <c r="A8182" s="639">
        <v>120613</v>
      </c>
      <c r="B8182" s="639">
        <v>1900</v>
      </c>
      <c r="C8182" s="638">
        <v>5454.9309999999996</v>
      </c>
      <c r="D8182" s="633">
        <f t="shared" si="261"/>
        <v>5454.9309999999996</v>
      </c>
      <c r="E8182" s="608"/>
      <c r="F8182" s="760">
        <f t="shared" si="262"/>
        <v>2301.1366434820316</v>
      </c>
      <c r="M8182" s="443"/>
    </row>
    <row r="8183" spans="1:13">
      <c r="A8183" s="639">
        <v>120613</v>
      </c>
      <c r="B8183" s="639">
        <v>2000</v>
      </c>
      <c r="C8183" s="638">
        <v>5346.6390000000001</v>
      </c>
      <c r="D8183" s="633">
        <f t="shared" si="261"/>
        <v>5346.6390000000001</v>
      </c>
      <c r="E8183" s="608"/>
      <c r="F8183" s="760">
        <f t="shared" si="262"/>
        <v>2255.4541794149413</v>
      </c>
      <c r="M8183" s="443"/>
    </row>
    <row r="8184" spans="1:13">
      <c r="A8184" s="639">
        <v>120613</v>
      </c>
      <c r="B8184" s="639">
        <v>2100</v>
      </c>
      <c r="C8184" s="638">
        <v>5276.2340000000004</v>
      </c>
      <c r="D8184" s="633">
        <f t="shared" si="261"/>
        <v>5276.2340000000004</v>
      </c>
      <c r="E8184" s="608"/>
      <c r="F8184" s="760">
        <f t="shared" si="262"/>
        <v>2225.754165723778</v>
      </c>
      <c r="M8184" s="443"/>
    </row>
    <row r="8185" spans="1:13">
      <c r="A8185" s="639">
        <v>120613</v>
      </c>
      <c r="B8185" s="639">
        <v>2200</v>
      </c>
      <c r="C8185" s="638">
        <v>5021.79</v>
      </c>
      <c r="D8185" s="633">
        <f t="shared" si="261"/>
        <v>5021.79</v>
      </c>
      <c r="E8185" s="608"/>
      <c r="F8185" s="760">
        <f t="shared" si="262"/>
        <v>2118.4181770349855</v>
      </c>
      <c r="M8185" s="443"/>
    </row>
    <row r="8186" spans="1:13">
      <c r="A8186" s="639">
        <v>120613</v>
      </c>
      <c r="B8186" s="639">
        <v>2300</v>
      </c>
      <c r="C8186" s="638">
        <v>4653.7960000000003</v>
      </c>
      <c r="D8186" s="633">
        <f t="shared" si="261"/>
        <v>4653.7960000000003</v>
      </c>
      <c r="E8186" s="608"/>
      <c r="F8186" s="760">
        <f t="shared" si="262"/>
        <v>1963.1816620393743</v>
      </c>
      <c r="M8186" s="443"/>
    </row>
    <row r="8187" spans="1:13">
      <c r="A8187" s="639">
        <v>120613</v>
      </c>
      <c r="B8187" s="639">
        <v>2400</v>
      </c>
      <c r="C8187" s="638">
        <v>4139.9040000000005</v>
      </c>
      <c r="D8187" s="633">
        <f t="shared" si="261"/>
        <v>4139.9040000000005</v>
      </c>
      <c r="E8187" s="608"/>
      <c r="F8187" s="760">
        <f t="shared" si="262"/>
        <v>1746.3987711114655</v>
      </c>
      <c r="M8187" s="443"/>
    </row>
    <row r="8188" spans="1:13">
      <c r="A8188" s="639">
        <v>120713</v>
      </c>
      <c r="B8188" s="639">
        <v>100</v>
      </c>
      <c r="C8188" s="638">
        <v>3716.48</v>
      </c>
      <c r="D8188" s="633">
        <f t="shared" si="261"/>
        <v>3716.48</v>
      </c>
      <c r="E8188" s="608"/>
      <c r="F8188" s="760">
        <f t="shared" si="262"/>
        <v>1567.7793748020097</v>
      </c>
      <c r="M8188" s="443"/>
    </row>
    <row r="8189" spans="1:13">
      <c r="A8189" s="639">
        <v>120713</v>
      </c>
      <c r="B8189" s="639">
        <v>200</v>
      </c>
      <c r="C8189" s="638">
        <v>3692.096</v>
      </c>
      <c r="D8189" s="633">
        <f t="shared" si="261"/>
        <v>3692.096</v>
      </c>
      <c r="E8189" s="608"/>
      <c r="F8189" s="760">
        <f t="shared" si="262"/>
        <v>1557.4931006191343</v>
      </c>
      <c r="M8189" s="443"/>
    </row>
    <row r="8190" spans="1:13">
      <c r="A8190" s="639">
        <v>120713</v>
      </c>
      <c r="B8190" s="639">
        <v>300</v>
      </c>
      <c r="C8190" s="638">
        <v>3610.4340000000002</v>
      </c>
      <c r="D8190" s="633">
        <f t="shared" si="261"/>
        <v>3610.4340000000002</v>
      </c>
      <c r="E8190" s="608"/>
      <c r="F8190" s="760">
        <f t="shared" si="262"/>
        <v>1523.0443751302089</v>
      </c>
      <c r="M8190" s="443"/>
    </row>
    <row r="8191" spans="1:13">
      <c r="A8191" s="639">
        <v>120713</v>
      </c>
      <c r="B8191" s="639">
        <v>400</v>
      </c>
      <c r="C8191" s="638">
        <v>3594.6219999999998</v>
      </c>
      <c r="D8191" s="633">
        <f t="shared" si="261"/>
        <v>3594.6219999999998</v>
      </c>
      <c r="E8191" s="608"/>
      <c r="F8191" s="760">
        <f t="shared" si="262"/>
        <v>1516.3741582921336</v>
      </c>
      <c r="M8191" s="443"/>
    </row>
    <row r="8192" spans="1:13">
      <c r="A8192" s="639">
        <v>120713</v>
      </c>
      <c r="B8192" s="639">
        <v>500</v>
      </c>
      <c r="C8192" s="638">
        <v>3662.1320000000001</v>
      </c>
      <c r="D8192" s="633">
        <f t="shared" si="261"/>
        <v>3662.1320000000001</v>
      </c>
      <c r="E8192" s="608"/>
      <c r="F8192" s="760">
        <f t="shared" si="262"/>
        <v>1544.8529300312214</v>
      </c>
      <c r="M8192" s="443"/>
    </row>
    <row r="8193" spans="1:13">
      <c r="A8193" s="639">
        <v>120713</v>
      </c>
      <c r="B8193" s="639">
        <v>600</v>
      </c>
      <c r="C8193" s="638">
        <v>3774.127</v>
      </c>
      <c r="D8193" s="633">
        <f t="shared" si="261"/>
        <v>3774.127</v>
      </c>
      <c r="E8193" s="608"/>
      <c r="F8193" s="760">
        <f t="shared" si="262"/>
        <v>1592.0974869993609</v>
      </c>
      <c r="M8193" s="443"/>
    </row>
    <row r="8194" spans="1:13">
      <c r="A8194" s="639">
        <v>120713</v>
      </c>
      <c r="B8194" s="639">
        <v>700</v>
      </c>
      <c r="C8194" s="638">
        <v>4105.9359999999997</v>
      </c>
      <c r="D8194" s="633">
        <f t="shared" si="261"/>
        <v>4105.9359999999997</v>
      </c>
      <c r="E8194" s="608"/>
      <c r="F8194" s="760">
        <f t="shared" si="262"/>
        <v>1732.0695322071056</v>
      </c>
      <c r="M8194" s="443"/>
    </row>
    <row r="8195" spans="1:13">
      <c r="A8195" s="639">
        <v>120713</v>
      </c>
      <c r="B8195" s="639">
        <v>800</v>
      </c>
      <c r="C8195" s="638">
        <v>4459.018</v>
      </c>
      <c r="D8195" s="633">
        <f t="shared" si="261"/>
        <v>4459.018</v>
      </c>
      <c r="E8195" s="608"/>
      <c r="F8195" s="760">
        <f t="shared" si="262"/>
        <v>1881.0154910751323</v>
      </c>
      <c r="M8195" s="443"/>
    </row>
    <row r="8196" spans="1:13">
      <c r="A8196" s="639">
        <v>120713</v>
      </c>
      <c r="B8196" s="639">
        <v>900</v>
      </c>
      <c r="C8196" s="638">
        <v>4753.4830000000002</v>
      </c>
      <c r="D8196" s="633">
        <f t="shared" si="261"/>
        <v>4753.4830000000002</v>
      </c>
      <c r="E8196" s="608"/>
      <c r="F8196" s="760">
        <f t="shared" si="262"/>
        <v>2005.2341478689461</v>
      </c>
      <c r="M8196" s="443"/>
    </row>
    <row r="8197" spans="1:13">
      <c r="A8197" s="639">
        <v>120713</v>
      </c>
      <c r="B8197" s="639">
        <v>1000</v>
      </c>
      <c r="C8197" s="638">
        <v>4829.009</v>
      </c>
      <c r="D8197" s="633">
        <f t="shared" ref="D8197:D8260" si="263">C8197</f>
        <v>4829.009</v>
      </c>
      <c r="E8197" s="608"/>
      <c r="F8197" s="760">
        <f t="shared" si="262"/>
        <v>2037.0944310027978</v>
      </c>
      <c r="M8197" s="443"/>
    </row>
    <row r="8198" spans="1:13">
      <c r="A8198" s="639">
        <v>120713</v>
      </c>
      <c r="B8198" s="639">
        <v>1100</v>
      </c>
      <c r="C8198" s="638">
        <v>4857.5990000000002</v>
      </c>
      <c r="D8198" s="633">
        <f t="shared" si="263"/>
        <v>4857.5990000000002</v>
      </c>
      <c r="E8198" s="608"/>
      <c r="F8198" s="760">
        <f t="shared" si="262"/>
        <v>2049.1549862393631</v>
      </c>
      <c r="M8198" s="443"/>
    </row>
    <row r="8199" spans="1:13">
      <c r="A8199" s="639">
        <v>120713</v>
      </c>
      <c r="B8199" s="639">
        <v>1200</v>
      </c>
      <c r="C8199" s="638">
        <v>4924.4690000000001</v>
      </c>
      <c r="D8199" s="633">
        <f t="shared" si="263"/>
        <v>4924.4690000000001</v>
      </c>
      <c r="E8199" s="608"/>
      <c r="F8199" s="760">
        <f t="shared" si="262"/>
        <v>2077.3637770287687</v>
      </c>
      <c r="M8199" s="443"/>
    </row>
    <row r="8200" spans="1:13">
      <c r="A8200" s="639">
        <v>120713</v>
      </c>
      <c r="B8200" s="639">
        <v>1300</v>
      </c>
      <c r="C8200" s="638">
        <v>4808.8019999999997</v>
      </c>
      <c r="D8200" s="633">
        <f t="shared" si="263"/>
        <v>4808.8019999999997</v>
      </c>
      <c r="E8200" s="608"/>
      <c r="F8200" s="760">
        <f t="shared" si="262"/>
        <v>2028.5702043618298</v>
      </c>
      <c r="M8200" s="443"/>
    </row>
    <row r="8201" spans="1:13">
      <c r="A8201" s="639">
        <v>120713</v>
      </c>
      <c r="B8201" s="639">
        <v>1400</v>
      </c>
      <c r="C8201" s="638">
        <v>4965.8879999999999</v>
      </c>
      <c r="D8201" s="633">
        <f t="shared" si="263"/>
        <v>4965.8879999999999</v>
      </c>
      <c r="E8201" s="608"/>
      <c r="F8201" s="760">
        <f t="shared" si="262"/>
        <v>2094.8361847707515</v>
      </c>
      <c r="M8201" s="443"/>
    </row>
    <row r="8202" spans="1:13">
      <c r="A8202" s="639">
        <v>120713</v>
      </c>
      <c r="B8202" s="639">
        <v>1500</v>
      </c>
      <c r="C8202" s="638">
        <v>5039.3450000000003</v>
      </c>
      <c r="D8202" s="633">
        <f t="shared" si="263"/>
        <v>5039.3450000000003</v>
      </c>
      <c r="E8202" s="608"/>
      <c r="F8202" s="760">
        <f t="shared" si="262"/>
        <v>2125.8236701157098</v>
      </c>
      <c r="M8202" s="443"/>
    </row>
    <row r="8203" spans="1:13">
      <c r="A8203" s="639">
        <v>120713</v>
      </c>
      <c r="B8203" s="639">
        <v>1600</v>
      </c>
      <c r="C8203" s="638">
        <v>5173.1729999999998</v>
      </c>
      <c r="D8203" s="633">
        <f t="shared" si="263"/>
        <v>5173.1729999999998</v>
      </c>
      <c r="E8203" s="608"/>
      <c r="F8203" s="760">
        <f t="shared" si="262"/>
        <v>2182.2783740751024</v>
      </c>
      <c r="M8203" s="443"/>
    </row>
    <row r="8204" spans="1:13">
      <c r="A8204" s="639">
        <v>120713</v>
      </c>
      <c r="B8204" s="639">
        <v>1700</v>
      </c>
      <c r="C8204" s="638">
        <v>5459.9380000000001</v>
      </c>
      <c r="D8204" s="633">
        <f t="shared" si="263"/>
        <v>5459.9380000000001</v>
      </c>
      <c r="E8204" s="608"/>
      <c r="F8204" s="760">
        <f t="shared" si="262"/>
        <v>2303.2488225680577</v>
      </c>
      <c r="M8204" s="443"/>
    </row>
    <row r="8205" spans="1:13">
      <c r="A8205" s="639">
        <v>120713</v>
      </c>
      <c r="B8205" s="639">
        <v>1800</v>
      </c>
      <c r="C8205" s="638">
        <v>5709.8059999999996</v>
      </c>
      <c r="D8205" s="633">
        <f t="shared" si="263"/>
        <v>5709.8059999999996</v>
      </c>
      <c r="E8205" s="608"/>
      <c r="F8205" s="760">
        <f t="shared" si="262"/>
        <v>2408.6544474666248</v>
      </c>
      <c r="M8205" s="443"/>
    </row>
    <row r="8206" spans="1:13">
      <c r="A8206" s="639">
        <v>120713</v>
      </c>
      <c r="B8206" s="639">
        <v>1900</v>
      </c>
      <c r="C8206" s="638">
        <v>5715.6090000000004</v>
      </c>
      <c r="D8206" s="633">
        <f t="shared" si="263"/>
        <v>5715.6090000000004</v>
      </c>
      <c r="E8206" s="608"/>
      <c r="F8206" s="760">
        <f t="shared" si="262"/>
        <v>2411.1024153588182</v>
      </c>
      <c r="M8206" s="443"/>
    </row>
    <row r="8207" spans="1:13">
      <c r="A8207" s="639">
        <v>120713</v>
      </c>
      <c r="B8207" s="639">
        <v>2000</v>
      </c>
      <c r="C8207" s="638">
        <v>5579.25</v>
      </c>
      <c r="D8207" s="633">
        <f t="shared" si="263"/>
        <v>5579.25</v>
      </c>
      <c r="E8207" s="608"/>
      <c r="F8207" s="760">
        <f t="shared" si="262"/>
        <v>2353.5800211124811</v>
      </c>
      <c r="M8207" s="443"/>
    </row>
    <row r="8208" spans="1:13">
      <c r="A8208" s="639">
        <v>120713</v>
      </c>
      <c r="B8208" s="639">
        <v>2100</v>
      </c>
      <c r="C8208" s="638">
        <v>5355.473</v>
      </c>
      <c r="D8208" s="633">
        <f t="shared" si="263"/>
        <v>5355.473</v>
      </c>
      <c r="E8208" s="608"/>
      <c r="F8208" s="760">
        <f t="shared" si="262"/>
        <v>2259.1807602110175</v>
      </c>
      <c r="M8208" s="443"/>
    </row>
    <row r="8209" spans="1:13">
      <c r="A8209" s="639">
        <v>120713</v>
      </c>
      <c r="B8209" s="639">
        <v>2200</v>
      </c>
      <c r="C8209" s="638">
        <v>5128.5320000000002</v>
      </c>
      <c r="D8209" s="633">
        <f t="shared" si="263"/>
        <v>5128.5320000000002</v>
      </c>
      <c r="E8209" s="608"/>
      <c r="F8209" s="760">
        <f t="shared" si="262"/>
        <v>2163.4467809895655</v>
      </c>
      <c r="M8209" s="443"/>
    </row>
    <row r="8210" spans="1:13">
      <c r="A8210" s="639">
        <v>120713</v>
      </c>
      <c r="B8210" s="639">
        <v>2300</v>
      </c>
      <c r="C8210" s="638">
        <v>4833.7520000000004</v>
      </c>
      <c r="D8210" s="633">
        <f t="shared" si="263"/>
        <v>4833.7520000000004</v>
      </c>
      <c r="E8210" s="608"/>
      <c r="F8210" s="760">
        <f t="shared" si="262"/>
        <v>2039.0952429470801</v>
      </c>
      <c r="M8210" s="443"/>
    </row>
    <row r="8211" spans="1:13">
      <c r="A8211" s="639">
        <v>120713</v>
      </c>
      <c r="B8211" s="639">
        <v>2400</v>
      </c>
      <c r="C8211" s="638">
        <v>4347.5810000000001</v>
      </c>
      <c r="D8211" s="633">
        <f t="shared" si="263"/>
        <v>4347.5810000000001</v>
      </c>
      <c r="E8211" s="608"/>
      <c r="F8211" s="760">
        <f t="shared" si="262"/>
        <v>1834.0063237474967</v>
      </c>
      <c r="M8211" s="443"/>
    </row>
    <row r="8212" spans="1:13">
      <c r="A8212" s="639">
        <v>120813</v>
      </c>
      <c r="B8212" s="639">
        <v>100</v>
      </c>
      <c r="C8212" s="638">
        <v>3970.1979999999999</v>
      </c>
      <c r="D8212" s="633">
        <f t="shared" si="263"/>
        <v>3970.1979999999999</v>
      </c>
      <c r="E8212" s="608"/>
      <c r="F8212" s="760">
        <f t="shared" si="262"/>
        <v>1674.8091038510065</v>
      </c>
      <c r="M8212" s="443"/>
    </row>
    <row r="8213" spans="1:13">
      <c r="A8213" s="639">
        <v>120813</v>
      </c>
      <c r="B8213" s="639">
        <v>200</v>
      </c>
      <c r="C8213" s="638">
        <v>4011.1010000000001</v>
      </c>
      <c r="D8213" s="633">
        <f t="shared" si="263"/>
        <v>4011.1010000000001</v>
      </c>
      <c r="E8213" s="608"/>
      <c r="F8213" s="760">
        <f t="shared" si="262"/>
        <v>1692.0638394523087</v>
      </c>
      <c r="M8213" s="443"/>
    </row>
    <row r="8214" spans="1:13">
      <c r="A8214" s="639">
        <v>120813</v>
      </c>
      <c r="B8214" s="639">
        <v>300</v>
      </c>
      <c r="C8214" s="638">
        <v>3896.1660000000002</v>
      </c>
      <c r="D8214" s="633">
        <f t="shared" si="263"/>
        <v>3896.1660000000002</v>
      </c>
      <c r="E8214" s="608"/>
      <c r="F8214" s="760">
        <f t="shared" si="262"/>
        <v>1643.5790574965686</v>
      </c>
      <c r="M8214" s="443"/>
    </row>
    <row r="8215" spans="1:13">
      <c r="A8215" s="639">
        <v>120813</v>
      </c>
      <c r="B8215" s="639">
        <v>400</v>
      </c>
      <c r="C8215" s="638">
        <v>3901.2710000000002</v>
      </c>
      <c r="D8215" s="633">
        <f t="shared" si="263"/>
        <v>3901.2710000000002</v>
      </c>
      <c r="E8215" s="608"/>
      <c r="F8215" s="760">
        <f t="shared" si="262"/>
        <v>1645.7325774155145</v>
      </c>
      <c r="M8215" s="443"/>
    </row>
    <row r="8216" spans="1:13">
      <c r="A8216" s="639">
        <v>120813</v>
      </c>
      <c r="B8216" s="639">
        <v>500</v>
      </c>
      <c r="C8216" s="638">
        <v>3993.989</v>
      </c>
      <c r="D8216" s="633">
        <f t="shared" si="263"/>
        <v>3993.989</v>
      </c>
      <c r="E8216" s="608"/>
      <c r="F8216" s="760">
        <f t="shared" si="262"/>
        <v>1684.8452238101922</v>
      </c>
      <c r="M8216" s="443"/>
    </row>
    <row r="8217" spans="1:13">
      <c r="A8217" s="639">
        <v>120813</v>
      </c>
      <c r="B8217" s="639">
        <v>600</v>
      </c>
      <c r="C8217" s="638">
        <v>4040.261</v>
      </c>
      <c r="D8217" s="633">
        <f t="shared" si="263"/>
        <v>4040.261</v>
      </c>
      <c r="E8217" s="608"/>
      <c r="F8217" s="760">
        <f t="shared" si="262"/>
        <v>1704.3648464721839</v>
      </c>
      <c r="M8217" s="443"/>
    </row>
    <row r="8218" spans="1:13">
      <c r="A8218" s="639">
        <v>120813</v>
      </c>
      <c r="B8218" s="639">
        <v>700</v>
      </c>
      <c r="C8218" s="638">
        <v>4296.32</v>
      </c>
      <c r="D8218" s="633">
        <f t="shared" si="263"/>
        <v>4296.32</v>
      </c>
      <c r="E8218" s="608"/>
      <c r="F8218" s="760">
        <f t="shared" si="262"/>
        <v>1812.3821152136886</v>
      </c>
      <c r="M8218" s="443"/>
    </row>
    <row r="8219" spans="1:13">
      <c r="A8219" s="639">
        <v>120813</v>
      </c>
      <c r="B8219" s="639">
        <v>800</v>
      </c>
      <c r="C8219" s="638">
        <v>4504.9679999999998</v>
      </c>
      <c r="D8219" s="633">
        <f t="shared" si="263"/>
        <v>4504.9679999999998</v>
      </c>
      <c r="E8219" s="608"/>
      <c r="F8219" s="760">
        <f t="shared" si="262"/>
        <v>1900.3992795718152</v>
      </c>
      <c r="M8219" s="443"/>
    </row>
    <row r="8220" spans="1:13">
      <c r="A8220" s="639">
        <v>120813</v>
      </c>
      <c r="B8220" s="639">
        <v>900</v>
      </c>
      <c r="C8220" s="638">
        <v>4735.1350000000002</v>
      </c>
      <c r="D8220" s="633">
        <f t="shared" si="263"/>
        <v>4735.1350000000002</v>
      </c>
      <c r="E8220" s="608"/>
      <c r="F8220" s="760">
        <f t="shared" si="262"/>
        <v>1997.4941315177573</v>
      </c>
      <c r="M8220" s="443"/>
    </row>
    <row r="8221" spans="1:13">
      <c r="A8221" s="639">
        <v>120813</v>
      </c>
      <c r="B8221" s="639">
        <v>1000</v>
      </c>
      <c r="C8221" s="638">
        <v>4899.201</v>
      </c>
      <c r="D8221" s="633">
        <f t="shared" si="263"/>
        <v>4899.201</v>
      </c>
      <c r="E8221" s="608"/>
      <c r="F8221" s="760">
        <f t="shared" si="262"/>
        <v>2066.7045916591451</v>
      </c>
      <c r="M8221" s="443"/>
    </row>
    <row r="8222" spans="1:13">
      <c r="A8222" s="639">
        <v>120813</v>
      </c>
      <c r="B8222" s="639">
        <v>1100</v>
      </c>
      <c r="C8222" s="638">
        <v>4853.5739999999996</v>
      </c>
      <c r="D8222" s="633">
        <f t="shared" si="263"/>
        <v>4853.5739999999996</v>
      </c>
      <c r="E8222" s="608"/>
      <c r="F8222" s="760">
        <f t="shared" si="262"/>
        <v>2047.4570591730048</v>
      </c>
      <c r="M8222" s="443"/>
    </row>
    <row r="8223" spans="1:13">
      <c r="A8223" s="639">
        <v>120813</v>
      </c>
      <c r="B8223" s="639">
        <v>1200</v>
      </c>
      <c r="C8223" s="638">
        <v>4697.7309999999998</v>
      </c>
      <c r="D8223" s="633">
        <f t="shared" si="263"/>
        <v>4697.7309999999998</v>
      </c>
      <c r="E8223" s="608"/>
      <c r="F8223" s="760">
        <f t="shared" si="262"/>
        <v>1981.7154323897932</v>
      </c>
      <c r="M8223" s="443"/>
    </row>
    <row r="8224" spans="1:13">
      <c r="A8224" s="639">
        <v>120813</v>
      </c>
      <c r="B8224" s="639">
        <v>1300</v>
      </c>
      <c r="C8224" s="638">
        <v>4755.1949999999997</v>
      </c>
      <c r="D8224" s="633">
        <f t="shared" si="263"/>
        <v>4755.1949999999997</v>
      </c>
      <c r="E8224" s="608"/>
      <c r="F8224" s="760">
        <f t="shared" si="262"/>
        <v>2005.9563469093448</v>
      </c>
      <c r="M8224" s="443"/>
    </row>
    <row r="8225" spans="1:13">
      <c r="A8225" s="639">
        <v>120813</v>
      </c>
      <c r="B8225" s="639">
        <v>1400</v>
      </c>
      <c r="C8225" s="638">
        <v>4795.9539999999997</v>
      </c>
      <c r="D8225" s="633">
        <f t="shared" si="263"/>
        <v>4795.9539999999997</v>
      </c>
      <c r="E8225" s="608"/>
      <c r="F8225" s="760">
        <f t="shared" si="262"/>
        <v>2023.1503367969683</v>
      </c>
      <c r="M8225" s="443"/>
    </row>
    <row r="8226" spans="1:13">
      <c r="A8226" s="639">
        <v>120813</v>
      </c>
      <c r="B8226" s="639">
        <v>1500</v>
      </c>
      <c r="C8226" s="638">
        <v>4928.9740000000002</v>
      </c>
      <c r="D8226" s="633">
        <f t="shared" si="263"/>
        <v>4928.9740000000002</v>
      </c>
      <c r="E8226" s="608"/>
      <c r="F8226" s="760">
        <f t="shared" si="262"/>
        <v>2079.264189807388</v>
      </c>
      <c r="M8226" s="443"/>
    </row>
    <row r="8227" spans="1:13">
      <c r="A8227" s="639">
        <v>120813</v>
      </c>
      <c r="B8227" s="639">
        <v>1600</v>
      </c>
      <c r="C8227" s="638">
        <v>5066.4480000000003</v>
      </c>
      <c r="D8227" s="633">
        <f t="shared" si="263"/>
        <v>5066.4480000000003</v>
      </c>
      <c r="E8227" s="608"/>
      <c r="F8227" s="760">
        <f t="shared" si="262"/>
        <v>2137.2569414894988</v>
      </c>
      <c r="M8227" s="443"/>
    </row>
    <row r="8228" spans="1:13">
      <c r="A8228" s="639">
        <v>120813</v>
      </c>
      <c r="B8228" s="639">
        <v>1700</v>
      </c>
      <c r="C8228" s="638">
        <v>5595.7460000000001</v>
      </c>
      <c r="D8228" s="633">
        <f t="shared" si="263"/>
        <v>5595.7460000000001</v>
      </c>
      <c r="E8228" s="608"/>
      <c r="F8228" s="760">
        <f t="shared" si="262"/>
        <v>2360.5387800905282</v>
      </c>
      <c r="M8228" s="443"/>
    </row>
    <row r="8229" spans="1:13">
      <c r="A8229" s="639">
        <v>120813</v>
      </c>
      <c r="B8229" s="639">
        <v>1800</v>
      </c>
      <c r="C8229" s="638">
        <v>5910.6019999999999</v>
      </c>
      <c r="D8229" s="633">
        <f t="shared" si="263"/>
        <v>5910.6019999999999</v>
      </c>
      <c r="E8229" s="608"/>
      <c r="F8229" s="760">
        <f t="shared" si="262"/>
        <v>2493.3592830483435</v>
      </c>
      <c r="M8229" s="443"/>
    </row>
    <row r="8230" spans="1:13">
      <c r="A8230" s="639">
        <v>120813</v>
      </c>
      <c r="B8230" s="639">
        <v>1900</v>
      </c>
      <c r="C8230" s="638">
        <v>5975.7089999999998</v>
      </c>
      <c r="D8230" s="633">
        <f t="shared" si="263"/>
        <v>5975.7089999999998</v>
      </c>
      <c r="E8230" s="608"/>
      <c r="F8230" s="760">
        <f t="shared" si="262"/>
        <v>2520.8243606904225</v>
      </c>
      <c r="M8230" s="443"/>
    </row>
    <row r="8231" spans="1:13">
      <c r="A8231" s="639">
        <v>120813</v>
      </c>
      <c r="B8231" s="639">
        <v>2000</v>
      </c>
      <c r="C8231" s="638">
        <v>5805.9669999999996</v>
      </c>
      <c r="D8231" s="633">
        <f t="shared" si="263"/>
        <v>5805.9669999999996</v>
      </c>
      <c r="E8231" s="608"/>
      <c r="F8231" s="760">
        <f t="shared" si="262"/>
        <v>2449.2195070015441</v>
      </c>
      <c r="M8231" s="443"/>
    </row>
    <row r="8232" spans="1:13">
      <c r="A8232" s="639">
        <v>120813</v>
      </c>
      <c r="B8232" s="639">
        <v>2100</v>
      </c>
      <c r="C8232" s="638">
        <v>5671.5309999999999</v>
      </c>
      <c r="D8232" s="633">
        <f t="shared" si="263"/>
        <v>5671.5309999999999</v>
      </c>
      <c r="E8232" s="608"/>
      <c r="F8232" s="760">
        <f t="shared" si="262"/>
        <v>2392.5083211399538</v>
      </c>
      <c r="M8232" s="443"/>
    </row>
    <row r="8233" spans="1:13">
      <c r="A8233" s="639">
        <v>120813</v>
      </c>
      <c r="B8233" s="639">
        <v>2200</v>
      </c>
      <c r="C8233" s="638">
        <v>5335.9719999999998</v>
      </c>
      <c r="D8233" s="633">
        <f t="shared" si="263"/>
        <v>5335.9719999999998</v>
      </c>
      <c r="E8233" s="608"/>
      <c r="F8233" s="760">
        <f t="shared" si="262"/>
        <v>2250.9543563051675</v>
      </c>
      <c r="M8233" s="443"/>
    </row>
    <row r="8234" spans="1:13">
      <c r="A8234" s="639">
        <v>120813</v>
      </c>
      <c r="B8234" s="639">
        <v>2300</v>
      </c>
      <c r="C8234" s="638">
        <v>4675.1360000000004</v>
      </c>
      <c r="D8234" s="633">
        <f t="shared" si="263"/>
        <v>4675.1360000000004</v>
      </c>
      <c r="E8234" s="608"/>
      <c r="F8234" s="760">
        <f t="shared" si="262"/>
        <v>1972.1838393303258</v>
      </c>
      <c r="M8234" s="443"/>
    </row>
    <row r="8235" spans="1:13">
      <c r="A8235" s="639">
        <v>120813</v>
      </c>
      <c r="B8235" s="639">
        <v>2400</v>
      </c>
      <c r="C8235" s="638">
        <v>4037.7860000000001</v>
      </c>
      <c r="D8235" s="633">
        <f t="shared" si="263"/>
        <v>4037.7860000000001</v>
      </c>
      <c r="E8235" s="608"/>
      <c r="F8235" s="760">
        <f t="shared" si="262"/>
        <v>1703.3207795183366</v>
      </c>
      <c r="M8235" s="443"/>
    </row>
    <row r="8236" spans="1:13">
      <c r="A8236" s="639">
        <v>120913</v>
      </c>
      <c r="B8236" s="639">
        <v>100</v>
      </c>
      <c r="C8236" s="638">
        <v>3666.1390000000001</v>
      </c>
      <c r="D8236" s="633">
        <f t="shared" si="263"/>
        <v>3666.1390000000001</v>
      </c>
      <c r="E8236" s="608"/>
      <c r="F8236" s="760">
        <f t="shared" ref="F8236:F8299" si="264">(D8236/(MAX($D$8044:$D$8787)))*$M$15</f>
        <v>1546.5432638833695</v>
      </c>
      <c r="M8236" s="443"/>
    </row>
    <row r="8237" spans="1:13">
      <c r="A8237" s="639">
        <v>120913</v>
      </c>
      <c r="B8237" s="639">
        <v>200</v>
      </c>
      <c r="C8237" s="638">
        <v>3744.0549999999998</v>
      </c>
      <c r="D8237" s="633">
        <f t="shared" si="263"/>
        <v>3744.0549999999998</v>
      </c>
      <c r="E8237" s="608"/>
      <c r="F8237" s="760">
        <f t="shared" si="264"/>
        <v>1579.4117571261886</v>
      </c>
      <c r="M8237" s="443"/>
    </row>
    <row r="8238" spans="1:13">
      <c r="A8238" s="639">
        <v>120913</v>
      </c>
      <c r="B8238" s="639">
        <v>300</v>
      </c>
      <c r="C8238" s="638">
        <v>3663.7910000000002</v>
      </c>
      <c r="D8238" s="633">
        <f t="shared" si="263"/>
        <v>3663.7910000000002</v>
      </c>
      <c r="E8238" s="608"/>
      <c r="F8238" s="760">
        <f t="shared" si="264"/>
        <v>1545.5527712742244</v>
      </c>
      <c r="M8238" s="443"/>
    </row>
    <row r="8239" spans="1:13">
      <c r="A8239" s="639">
        <v>120913</v>
      </c>
      <c r="B8239" s="639">
        <v>400</v>
      </c>
      <c r="C8239" s="638">
        <v>3646.4650000000001</v>
      </c>
      <c r="D8239" s="633">
        <f t="shared" si="263"/>
        <v>3646.4650000000001</v>
      </c>
      <c r="E8239" s="608"/>
      <c r="F8239" s="760">
        <f t="shared" si="264"/>
        <v>1538.2438807520584</v>
      </c>
      <c r="M8239" s="443"/>
    </row>
    <row r="8240" spans="1:13">
      <c r="A8240" s="639">
        <v>120913</v>
      </c>
      <c r="B8240" s="639">
        <v>500</v>
      </c>
      <c r="C8240" s="638">
        <v>3703.4389999999999</v>
      </c>
      <c r="D8240" s="633">
        <f t="shared" si="263"/>
        <v>3703.4389999999999</v>
      </c>
      <c r="E8240" s="608"/>
      <c r="F8240" s="760">
        <f t="shared" si="264"/>
        <v>1562.2780911070097</v>
      </c>
      <c r="M8240" s="443"/>
    </row>
    <row r="8241" spans="1:13">
      <c r="A8241" s="639">
        <v>120913</v>
      </c>
      <c r="B8241" s="639">
        <v>600</v>
      </c>
      <c r="C8241" s="638">
        <v>3975.75</v>
      </c>
      <c r="D8241" s="633">
        <f t="shared" si="263"/>
        <v>3975.75</v>
      </c>
      <c r="E8241" s="608"/>
      <c r="F8241" s="760">
        <f t="shared" si="264"/>
        <v>1677.1511885894959</v>
      </c>
      <c r="M8241" s="443"/>
    </row>
    <row r="8242" spans="1:13">
      <c r="A8242" s="639">
        <v>120913</v>
      </c>
      <c r="B8242" s="639">
        <v>700</v>
      </c>
      <c r="C8242" s="638">
        <v>4526.5749999999998</v>
      </c>
      <c r="D8242" s="633">
        <f t="shared" si="263"/>
        <v>4526.5749999999998</v>
      </c>
      <c r="E8242" s="608"/>
      <c r="F8242" s="760">
        <f t="shared" si="264"/>
        <v>1909.5140895402119</v>
      </c>
      <c r="M8242" s="443"/>
    </row>
    <row r="8243" spans="1:13">
      <c r="A8243" s="639">
        <v>120913</v>
      </c>
      <c r="B8243" s="639">
        <v>800</v>
      </c>
      <c r="C8243" s="638">
        <v>4763.6679999999997</v>
      </c>
      <c r="D8243" s="633">
        <f t="shared" si="263"/>
        <v>4763.6679999999997</v>
      </c>
      <c r="E8243" s="608"/>
      <c r="F8243" s="760">
        <f t="shared" si="264"/>
        <v>2009.530641575991</v>
      </c>
      <c r="M8243" s="443"/>
    </row>
    <row r="8244" spans="1:13">
      <c r="A8244" s="639">
        <v>120913</v>
      </c>
      <c r="B8244" s="639">
        <v>900</v>
      </c>
      <c r="C8244" s="638">
        <v>4656.4269999999997</v>
      </c>
      <c r="D8244" s="633">
        <f t="shared" si="263"/>
        <v>4656.4269999999997</v>
      </c>
      <c r="E8244" s="608"/>
      <c r="F8244" s="760">
        <f t="shared" si="264"/>
        <v>1964.2915368497063</v>
      </c>
      <c r="M8244" s="443"/>
    </row>
    <row r="8245" spans="1:13">
      <c r="A8245" s="639">
        <v>120913</v>
      </c>
      <c r="B8245" s="639">
        <v>1000</v>
      </c>
      <c r="C8245" s="638">
        <v>4704.6859999999997</v>
      </c>
      <c r="D8245" s="633">
        <f t="shared" si="263"/>
        <v>4704.6859999999997</v>
      </c>
      <c r="E8245" s="608"/>
      <c r="F8245" s="760">
        <f t="shared" si="264"/>
        <v>1984.6493659914131</v>
      </c>
      <c r="M8245" s="443"/>
    </row>
    <row r="8246" spans="1:13">
      <c r="A8246" s="639">
        <v>120913</v>
      </c>
      <c r="B8246" s="639">
        <v>1100</v>
      </c>
      <c r="C8246" s="638">
        <v>4651.6989999999996</v>
      </c>
      <c r="D8246" s="633">
        <f t="shared" si="263"/>
        <v>4651.6989999999996</v>
      </c>
      <c r="E8246" s="608"/>
      <c r="F8246" s="760">
        <f t="shared" si="264"/>
        <v>1962.2970525839323</v>
      </c>
      <c r="M8246" s="443"/>
    </row>
    <row r="8247" spans="1:13">
      <c r="A8247" s="639">
        <v>120913</v>
      </c>
      <c r="B8247" s="639">
        <v>1200</v>
      </c>
      <c r="C8247" s="638">
        <v>4660.8680000000004</v>
      </c>
      <c r="D8247" s="633">
        <f t="shared" si="263"/>
        <v>4660.8680000000004</v>
      </c>
      <c r="E8247" s="608"/>
      <c r="F8247" s="760">
        <f t="shared" si="264"/>
        <v>1966.1649515333577</v>
      </c>
      <c r="M8247" s="443"/>
    </row>
    <row r="8248" spans="1:13">
      <c r="A8248" s="639">
        <v>120913</v>
      </c>
      <c r="B8248" s="639">
        <v>1300</v>
      </c>
      <c r="C8248" s="638">
        <v>4586.5039999999999</v>
      </c>
      <c r="D8248" s="633">
        <f t="shared" si="263"/>
        <v>4586.5039999999999</v>
      </c>
      <c r="E8248" s="608"/>
      <c r="F8248" s="760">
        <f t="shared" si="264"/>
        <v>1934.7948525612721</v>
      </c>
      <c r="M8248" s="443"/>
    </row>
    <row r="8249" spans="1:13">
      <c r="A8249" s="639">
        <v>120913</v>
      </c>
      <c r="B8249" s="639">
        <v>1400</v>
      </c>
      <c r="C8249" s="638">
        <v>4656.2439999999997</v>
      </c>
      <c r="D8249" s="633">
        <f t="shared" si="263"/>
        <v>4656.2439999999997</v>
      </c>
      <c r="E8249" s="608"/>
      <c r="F8249" s="760">
        <f t="shared" si="264"/>
        <v>1964.2143391719067</v>
      </c>
      <c r="M8249" s="443"/>
    </row>
    <row r="8250" spans="1:13">
      <c r="A8250" s="639">
        <v>120913</v>
      </c>
      <c r="B8250" s="639">
        <v>1500</v>
      </c>
      <c r="C8250" s="638">
        <v>4633.6639999999998</v>
      </c>
      <c r="D8250" s="633">
        <f t="shared" si="263"/>
        <v>4633.6639999999998</v>
      </c>
      <c r="E8250" s="608"/>
      <c r="F8250" s="760">
        <f t="shared" si="264"/>
        <v>1954.6890737909468</v>
      </c>
      <c r="M8250" s="443"/>
    </row>
    <row r="8251" spans="1:13">
      <c r="A8251" s="639">
        <v>120913</v>
      </c>
      <c r="B8251" s="639">
        <v>1600</v>
      </c>
      <c r="C8251" s="638">
        <v>4833.7809999999999</v>
      </c>
      <c r="D8251" s="633">
        <f t="shared" si="263"/>
        <v>4833.7809999999999</v>
      </c>
      <c r="E8251" s="608"/>
      <c r="F8251" s="760">
        <f t="shared" si="264"/>
        <v>2039.1074764588625</v>
      </c>
      <c r="M8251" s="443"/>
    </row>
    <row r="8252" spans="1:13">
      <c r="A8252" s="639">
        <v>120913</v>
      </c>
      <c r="B8252" s="639">
        <v>1700</v>
      </c>
      <c r="C8252" s="638">
        <v>5221.12</v>
      </c>
      <c r="D8252" s="633">
        <f t="shared" si="263"/>
        <v>5221.12</v>
      </c>
      <c r="E8252" s="608"/>
      <c r="F8252" s="760">
        <f t="shared" si="264"/>
        <v>2202.5045875038395</v>
      </c>
      <c r="M8252" s="443"/>
    </row>
    <row r="8253" spans="1:13">
      <c r="A8253" s="639">
        <v>120913</v>
      </c>
      <c r="B8253" s="639">
        <v>1800</v>
      </c>
      <c r="C8253" s="638">
        <v>5741.8069999999998</v>
      </c>
      <c r="D8253" s="633">
        <f t="shared" si="263"/>
        <v>5741.8069999999998</v>
      </c>
      <c r="E8253" s="608"/>
      <c r="F8253" s="760">
        <f t="shared" si="264"/>
        <v>2422.1539167959472</v>
      </c>
      <c r="M8253" s="443"/>
    </row>
    <row r="8254" spans="1:13">
      <c r="A8254" s="639">
        <v>120913</v>
      </c>
      <c r="B8254" s="639">
        <v>1900</v>
      </c>
      <c r="C8254" s="638">
        <v>5912.7380000000003</v>
      </c>
      <c r="D8254" s="633">
        <f t="shared" si="263"/>
        <v>5912.7380000000003</v>
      </c>
      <c r="E8254" s="608"/>
      <c r="F8254" s="760">
        <f t="shared" si="264"/>
        <v>2494.2603444679066</v>
      </c>
      <c r="M8254" s="443"/>
    </row>
    <row r="8255" spans="1:13">
      <c r="A8255" s="639">
        <v>120913</v>
      </c>
      <c r="B8255" s="639">
        <v>2000</v>
      </c>
      <c r="C8255" s="638">
        <v>5876.7030000000004</v>
      </c>
      <c r="D8255" s="633">
        <f t="shared" si="263"/>
        <v>5876.7030000000004</v>
      </c>
      <c r="E8255" s="608"/>
      <c r="F8255" s="760">
        <f t="shared" si="264"/>
        <v>2479.0591514651214</v>
      </c>
      <c r="M8255" s="443"/>
    </row>
    <row r="8256" spans="1:13">
      <c r="A8256" s="639">
        <v>120913</v>
      </c>
      <c r="B8256" s="639">
        <v>2100</v>
      </c>
      <c r="C8256" s="638">
        <v>5737.8419999999996</v>
      </c>
      <c r="D8256" s="633">
        <f t="shared" si="263"/>
        <v>5737.8419999999996</v>
      </c>
      <c r="E8256" s="608"/>
      <c r="F8256" s="760">
        <f t="shared" si="264"/>
        <v>2420.4813004436219</v>
      </c>
      <c r="M8256" s="443"/>
    </row>
    <row r="8257" spans="1:13">
      <c r="A8257" s="639">
        <v>120913</v>
      </c>
      <c r="B8257" s="639">
        <v>2200</v>
      </c>
      <c r="C8257" s="638">
        <v>5329.067</v>
      </c>
      <c r="D8257" s="633">
        <f t="shared" si="263"/>
        <v>5329.067</v>
      </c>
      <c r="E8257" s="608"/>
      <c r="F8257" s="760">
        <f t="shared" si="264"/>
        <v>2248.0415149652417</v>
      </c>
      <c r="M8257" s="443"/>
    </row>
    <row r="8258" spans="1:13">
      <c r="A8258" s="639">
        <v>120913</v>
      </c>
      <c r="B8258" s="639">
        <v>2300</v>
      </c>
      <c r="C8258" s="638">
        <v>4734.3919999999998</v>
      </c>
      <c r="D8258" s="633">
        <f t="shared" si="263"/>
        <v>4734.3919999999998</v>
      </c>
      <c r="E8258" s="608"/>
      <c r="F8258" s="760">
        <f t="shared" si="264"/>
        <v>1997.1807005089859</v>
      </c>
      <c r="M8258" s="443"/>
    </row>
    <row r="8259" spans="1:13">
      <c r="A8259" s="639">
        <v>120913</v>
      </c>
      <c r="B8259" s="639">
        <v>2400</v>
      </c>
      <c r="C8259" s="638">
        <v>4161.5950000000003</v>
      </c>
      <c r="D8259" s="633">
        <f t="shared" si="263"/>
        <v>4161.5950000000003</v>
      </c>
      <c r="E8259" s="608"/>
      <c r="F8259" s="760">
        <f t="shared" si="264"/>
        <v>1755.549016079508</v>
      </c>
      <c r="M8259" s="443"/>
    </row>
    <row r="8260" spans="1:13">
      <c r="A8260" s="639">
        <v>121013</v>
      </c>
      <c r="B8260" s="639">
        <v>100</v>
      </c>
      <c r="C8260" s="638">
        <v>3799.127</v>
      </c>
      <c r="D8260" s="633">
        <f t="shared" si="263"/>
        <v>3799.127</v>
      </c>
      <c r="E8260" s="608"/>
      <c r="F8260" s="760">
        <f t="shared" si="264"/>
        <v>1602.6436178463046</v>
      </c>
      <c r="M8260" s="443"/>
    </row>
    <row r="8261" spans="1:13">
      <c r="A8261" s="639">
        <v>121013</v>
      </c>
      <c r="B8261" s="639">
        <v>200</v>
      </c>
      <c r="C8261" s="638">
        <v>3901.5940000000001</v>
      </c>
      <c r="D8261" s="633">
        <f t="shared" ref="D8261:D8324" si="265">C8261</f>
        <v>3901.5940000000001</v>
      </c>
      <c r="E8261" s="608"/>
      <c r="F8261" s="760">
        <f t="shared" si="264"/>
        <v>1645.8688334260569</v>
      </c>
      <c r="M8261" s="443"/>
    </row>
    <row r="8262" spans="1:13">
      <c r="A8262" s="639">
        <v>121013</v>
      </c>
      <c r="B8262" s="639">
        <v>300</v>
      </c>
      <c r="C8262" s="638">
        <v>3819.2220000000002</v>
      </c>
      <c r="D8262" s="633">
        <f t="shared" si="265"/>
        <v>3819.2220000000002</v>
      </c>
      <c r="E8262" s="608"/>
      <c r="F8262" s="760">
        <f t="shared" si="264"/>
        <v>1611.1205978210785</v>
      </c>
      <c r="M8262" s="443"/>
    </row>
    <row r="8263" spans="1:13">
      <c r="A8263" s="639">
        <v>121013</v>
      </c>
      <c r="B8263" s="639">
        <v>400</v>
      </c>
      <c r="C8263" s="638">
        <v>3851.8919999999998</v>
      </c>
      <c r="D8263" s="633">
        <f t="shared" si="265"/>
        <v>3851.8919999999998</v>
      </c>
      <c r="E8263" s="608"/>
      <c r="F8263" s="760">
        <f t="shared" si="264"/>
        <v>1624.9022816118645</v>
      </c>
      <c r="M8263" s="443"/>
    </row>
    <row r="8264" spans="1:13">
      <c r="A8264" s="639">
        <v>121013</v>
      </c>
      <c r="B8264" s="639">
        <v>500</v>
      </c>
      <c r="C8264" s="638">
        <v>3927.4319999999998</v>
      </c>
      <c r="D8264" s="633">
        <f t="shared" si="265"/>
        <v>3927.4319999999998</v>
      </c>
      <c r="E8264" s="608"/>
      <c r="F8264" s="760">
        <f t="shared" si="264"/>
        <v>1656.7684705789904</v>
      </c>
      <c r="M8264" s="443"/>
    </row>
    <row r="8265" spans="1:13">
      <c r="A8265" s="639">
        <v>121013</v>
      </c>
      <c r="B8265" s="639">
        <v>600</v>
      </c>
      <c r="C8265" s="638">
        <v>4348.2910000000002</v>
      </c>
      <c r="D8265" s="633">
        <f t="shared" si="265"/>
        <v>4348.2910000000002</v>
      </c>
      <c r="E8265" s="608"/>
      <c r="F8265" s="760">
        <f t="shared" si="264"/>
        <v>1834.3058338635497</v>
      </c>
      <c r="M8265" s="443"/>
    </row>
    <row r="8266" spans="1:13">
      <c r="A8266" s="639">
        <v>121013</v>
      </c>
      <c r="B8266" s="639">
        <v>700</v>
      </c>
      <c r="C8266" s="638">
        <v>4889.1989999999996</v>
      </c>
      <c r="D8266" s="633">
        <f t="shared" si="265"/>
        <v>4889.1989999999996</v>
      </c>
      <c r="E8266" s="608"/>
      <c r="F8266" s="760">
        <f t="shared" si="264"/>
        <v>2062.4852956299001</v>
      </c>
      <c r="M8266" s="443"/>
    </row>
    <row r="8267" spans="1:13">
      <c r="A8267" s="639">
        <v>121013</v>
      </c>
      <c r="B8267" s="639">
        <v>800</v>
      </c>
      <c r="C8267" s="638">
        <v>5221.4290000000001</v>
      </c>
      <c r="D8267" s="633">
        <f t="shared" si="265"/>
        <v>5221.4290000000001</v>
      </c>
      <c r="E8267" s="608"/>
      <c r="F8267" s="760">
        <f t="shared" si="264"/>
        <v>2202.6349376811077</v>
      </c>
      <c r="M8267" s="443"/>
    </row>
    <row r="8268" spans="1:13">
      <c r="A8268" s="639">
        <v>121013</v>
      </c>
      <c r="B8268" s="639">
        <v>900</v>
      </c>
      <c r="C8268" s="638">
        <v>4970.2719999999999</v>
      </c>
      <c r="D8268" s="633">
        <f t="shared" si="265"/>
        <v>4970.2719999999999</v>
      </c>
      <c r="E8268" s="608"/>
      <c r="F8268" s="760">
        <f t="shared" si="264"/>
        <v>2096.6855542760713</v>
      </c>
      <c r="M8268" s="443"/>
    </row>
    <row r="8269" spans="1:13">
      <c r="A8269" s="639">
        <v>121013</v>
      </c>
      <c r="B8269" s="639">
        <v>1000</v>
      </c>
      <c r="C8269" s="638">
        <v>4781.5140000000001</v>
      </c>
      <c r="D8269" s="633">
        <f t="shared" si="265"/>
        <v>4781.5140000000001</v>
      </c>
      <c r="E8269" s="608"/>
      <c r="F8269" s="760">
        <f t="shared" si="264"/>
        <v>2017.0588916197737</v>
      </c>
      <c r="M8269" s="443"/>
    </row>
    <row r="8270" spans="1:13">
      <c r="A8270" s="639">
        <v>121013</v>
      </c>
      <c r="B8270" s="639">
        <v>1100</v>
      </c>
      <c r="C8270" s="638">
        <v>4441.259</v>
      </c>
      <c r="D8270" s="633">
        <f t="shared" si="265"/>
        <v>4441.259</v>
      </c>
      <c r="E8270" s="608"/>
      <c r="F8270" s="760">
        <f t="shared" si="264"/>
        <v>1873.523941566697</v>
      </c>
      <c r="M8270" s="443"/>
    </row>
    <row r="8271" spans="1:13">
      <c r="A8271" s="639">
        <v>121013</v>
      </c>
      <c r="B8271" s="639">
        <v>1200</v>
      </c>
      <c r="C8271" s="638">
        <v>4481.0249999999996</v>
      </c>
      <c r="D8271" s="633">
        <f t="shared" si="265"/>
        <v>4481.0249999999996</v>
      </c>
      <c r="E8271" s="608"/>
      <c r="F8271" s="760">
        <f t="shared" si="264"/>
        <v>1890.2990391370797</v>
      </c>
      <c r="M8271" s="443"/>
    </row>
    <row r="8272" spans="1:13">
      <c r="A8272" s="639">
        <v>121013</v>
      </c>
      <c r="B8272" s="639">
        <v>1300</v>
      </c>
      <c r="C8272" s="638">
        <v>4409.8559999999998</v>
      </c>
      <c r="D8272" s="633">
        <f t="shared" si="265"/>
        <v>4409.8559999999998</v>
      </c>
      <c r="E8272" s="608"/>
      <c r="F8272" s="760">
        <f t="shared" si="264"/>
        <v>1860.2767356872337</v>
      </c>
      <c r="M8272" s="443"/>
    </row>
    <row r="8273" spans="1:13">
      <c r="A8273" s="639">
        <v>121013</v>
      </c>
      <c r="B8273" s="639">
        <v>1400</v>
      </c>
      <c r="C8273" s="638">
        <v>4390.58</v>
      </c>
      <c r="D8273" s="633">
        <f t="shared" si="265"/>
        <v>4390.58</v>
      </c>
      <c r="E8273" s="608"/>
      <c r="F8273" s="760">
        <f t="shared" si="264"/>
        <v>1852.1452469590063</v>
      </c>
      <c r="M8273" s="443"/>
    </row>
    <row r="8274" spans="1:13">
      <c r="A8274" s="639">
        <v>121013</v>
      </c>
      <c r="B8274" s="639">
        <v>1500</v>
      </c>
      <c r="C8274" s="638">
        <v>4414.17</v>
      </c>
      <c r="D8274" s="633">
        <f t="shared" si="265"/>
        <v>4414.17</v>
      </c>
      <c r="E8274" s="608"/>
      <c r="F8274" s="760">
        <f t="shared" si="264"/>
        <v>1862.0965760261827</v>
      </c>
      <c r="M8274" s="443"/>
    </row>
    <row r="8275" spans="1:13">
      <c r="A8275" s="639">
        <v>121013</v>
      </c>
      <c r="B8275" s="639">
        <v>1600</v>
      </c>
      <c r="C8275" s="638">
        <v>4899.8419999999996</v>
      </c>
      <c r="D8275" s="633">
        <f t="shared" si="265"/>
        <v>4899.8419999999996</v>
      </c>
      <c r="E8275" s="608"/>
      <c r="F8275" s="760">
        <f t="shared" si="264"/>
        <v>2066.9749944540608</v>
      </c>
      <c r="M8275" s="443"/>
    </row>
    <row r="8276" spans="1:13">
      <c r="A8276" s="639">
        <v>121013</v>
      </c>
      <c r="B8276" s="639">
        <v>1700</v>
      </c>
      <c r="C8276" s="638">
        <v>5356.4350000000004</v>
      </c>
      <c r="D8276" s="633">
        <f t="shared" si="265"/>
        <v>5356.4350000000004</v>
      </c>
      <c r="E8276" s="608"/>
      <c r="F8276" s="760">
        <f t="shared" si="264"/>
        <v>2259.5865753260082</v>
      </c>
      <c r="M8276" s="443"/>
    </row>
    <row r="8277" spans="1:13">
      <c r="A8277" s="639">
        <v>121013</v>
      </c>
      <c r="B8277" s="639">
        <v>1800</v>
      </c>
      <c r="C8277" s="638">
        <v>5984.3860000000004</v>
      </c>
      <c r="D8277" s="633">
        <f t="shared" si="265"/>
        <v>5984.3860000000004</v>
      </c>
      <c r="E8277" s="608"/>
      <c r="F8277" s="760">
        <f t="shared" si="264"/>
        <v>2524.4847117847803</v>
      </c>
      <c r="M8277" s="443"/>
    </row>
    <row r="8278" spans="1:13">
      <c r="A8278" s="639">
        <v>121013</v>
      </c>
      <c r="B8278" s="639">
        <v>1900</v>
      </c>
      <c r="C8278" s="638">
        <v>6211.4530000000004</v>
      </c>
      <c r="D8278" s="633">
        <f t="shared" si="265"/>
        <v>6211.4530000000004</v>
      </c>
      <c r="E8278" s="608"/>
      <c r="F8278" s="760">
        <f t="shared" si="264"/>
        <v>2620.2718435057009</v>
      </c>
      <c r="M8278" s="443"/>
    </row>
    <row r="8279" spans="1:13">
      <c r="A8279" s="639">
        <v>121013</v>
      </c>
      <c r="B8279" s="639">
        <v>2000</v>
      </c>
      <c r="C8279" s="638">
        <v>6250.4219999999996</v>
      </c>
      <c r="D8279" s="633">
        <f t="shared" si="265"/>
        <v>6250.4219999999996</v>
      </c>
      <c r="E8279" s="608"/>
      <c r="F8279" s="760">
        <f t="shared" si="264"/>
        <v>2636.7107304246833</v>
      </c>
      <c r="M8279" s="443"/>
    </row>
    <row r="8280" spans="1:13">
      <c r="A8280" s="639">
        <v>121013</v>
      </c>
      <c r="B8280" s="639">
        <v>2100</v>
      </c>
      <c r="C8280" s="638">
        <v>6183.3490000000002</v>
      </c>
      <c r="D8280" s="633">
        <f t="shared" si="265"/>
        <v>6183.3490000000002</v>
      </c>
      <c r="E8280" s="608"/>
      <c r="F8280" s="760">
        <f t="shared" si="264"/>
        <v>2608.4163050528005</v>
      </c>
      <c r="M8280" s="443"/>
    </row>
    <row r="8281" spans="1:13">
      <c r="A8281" s="639">
        <v>121013</v>
      </c>
      <c r="B8281" s="639">
        <v>2200</v>
      </c>
      <c r="C8281" s="638">
        <v>5824.97</v>
      </c>
      <c r="D8281" s="633">
        <f t="shared" si="265"/>
        <v>5824.97</v>
      </c>
      <c r="E8281" s="608"/>
      <c r="F8281" s="760">
        <f t="shared" si="264"/>
        <v>2457.2358319809236</v>
      </c>
      <c r="M8281" s="443"/>
    </row>
    <row r="8282" spans="1:13">
      <c r="A8282" s="639">
        <v>121013</v>
      </c>
      <c r="B8282" s="639">
        <v>2300</v>
      </c>
      <c r="C8282" s="638">
        <v>5154.8090000000002</v>
      </c>
      <c r="D8282" s="633">
        <f t="shared" si="265"/>
        <v>5154.8090000000002</v>
      </c>
      <c r="E8282" s="608"/>
      <c r="F8282" s="760">
        <f t="shared" si="264"/>
        <v>2174.5316082001714</v>
      </c>
      <c r="M8282" s="443"/>
    </row>
    <row r="8283" spans="1:13">
      <c r="A8283" s="639">
        <v>121013</v>
      </c>
      <c r="B8283" s="639">
        <v>2400</v>
      </c>
      <c r="C8283" s="638">
        <v>4597.415</v>
      </c>
      <c r="D8283" s="633">
        <f t="shared" si="265"/>
        <v>4597.415</v>
      </c>
      <c r="E8283" s="608"/>
      <c r="F8283" s="760">
        <f t="shared" si="264"/>
        <v>1939.3976059081124</v>
      </c>
      <c r="M8283" s="443"/>
    </row>
    <row r="8284" spans="1:13">
      <c r="A8284" s="639">
        <v>121113</v>
      </c>
      <c r="B8284" s="639">
        <v>100</v>
      </c>
      <c r="C8284" s="638">
        <v>4183.18</v>
      </c>
      <c r="D8284" s="633">
        <f t="shared" si="265"/>
        <v>4183.18</v>
      </c>
      <c r="E8284" s="608"/>
      <c r="F8284" s="760">
        <f t="shared" si="264"/>
        <v>1764.6545454527595</v>
      </c>
      <c r="M8284" s="443"/>
    </row>
    <row r="8285" spans="1:13">
      <c r="A8285" s="639">
        <v>121113</v>
      </c>
      <c r="B8285" s="639">
        <v>200</v>
      </c>
      <c r="C8285" s="638">
        <v>4204.7309999999998</v>
      </c>
      <c r="D8285" s="633">
        <f t="shared" si="265"/>
        <v>4204.7309999999998</v>
      </c>
      <c r="E8285" s="608"/>
      <c r="F8285" s="760">
        <f t="shared" si="264"/>
        <v>1773.7457320880587</v>
      </c>
      <c r="M8285" s="443"/>
    </row>
    <row r="8286" spans="1:13">
      <c r="A8286" s="639">
        <v>121113</v>
      </c>
      <c r="B8286" s="639">
        <v>300</v>
      </c>
      <c r="C8286" s="638">
        <v>4140.9719999999998</v>
      </c>
      <c r="D8286" s="633">
        <f t="shared" si="265"/>
        <v>4140.9719999999998</v>
      </c>
      <c r="E8286" s="608"/>
      <c r="F8286" s="760">
        <f t="shared" si="264"/>
        <v>1746.8493018212466</v>
      </c>
      <c r="M8286" s="443"/>
    </row>
    <row r="8287" spans="1:13">
      <c r="A8287" s="639">
        <v>121113</v>
      </c>
      <c r="B8287" s="639">
        <v>400</v>
      </c>
      <c r="C8287" s="638">
        <v>4093.5880000000002</v>
      </c>
      <c r="D8287" s="633">
        <f t="shared" si="265"/>
        <v>4093.5880000000002</v>
      </c>
      <c r="E8287" s="608"/>
      <c r="F8287" s="760">
        <f t="shared" si="264"/>
        <v>1726.8605872591831</v>
      </c>
      <c r="M8287" s="443"/>
    </row>
    <row r="8288" spans="1:13">
      <c r="A8288" s="639">
        <v>121113</v>
      </c>
      <c r="B8288" s="639">
        <v>500</v>
      </c>
      <c r="C8288" s="638">
        <v>4247.7420000000002</v>
      </c>
      <c r="D8288" s="633">
        <f t="shared" si="265"/>
        <v>4247.7420000000002</v>
      </c>
      <c r="E8288" s="608"/>
      <c r="F8288" s="760">
        <f t="shared" si="264"/>
        <v>1791.8897174423753</v>
      </c>
      <c r="M8288" s="443"/>
    </row>
    <row r="8289" spans="1:13">
      <c r="A8289" s="639">
        <v>121113</v>
      </c>
      <c r="B8289" s="639">
        <v>600</v>
      </c>
      <c r="C8289" s="638">
        <v>4568.8149999999996</v>
      </c>
      <c r="D8289" s="633">
        <f t="shared" si="265"/>
        <v>4568.8149999999996</v>
      </c>
      <c r="E8289" s="608"/>
      <c r="F8289" s="760">
        <f t="shared" si="264"/>
        <v>1927.3328322192083</v>
      </c>
      <c r="M8289" s="443"/>
    </row>
    <row r="8290" spans="1:13">
      <c r="A8290" s="639">
        <v>121113</v>
      </c>
      <c r="B8290" s="639">
        <v>700</v>
      </c>
      <c r="C8290" s="638">
        <v>5110.6589999999997</v>
      </c>
      <c r="D8290" s="633">
        <f t="shared" si="265"/>
        <v>5110.6589999999997</v>
      </c>
      <c r="E8290" s="608"/>
      <c r="F8290" s="760">
        <f t="shared" si="264"/>
        <v>2155.9071411244681</v>
      </c>
      <c r="M8290" s="443"/>
    </row>
    <row r="8291" spans="1:13">
      <c r="A8291" s="639">
        <v>121113</v>
      </c>
      <c r="B8291" s="639">
        <v>800</v>
      </c>
      <c r="C8291" s="638">
        <v>5437.5690000000004</v>
      </c>
      <c r="D8291" s="633">
        <f t="shared" si="265"/>
        <v>5437.5690000000004</v>
      </c>
      <c r="E8291" s="608"/>
      <c r="F8291" s="760">
        <f t="shared" si="264"/>
        <v>2293.8125665314465</v>
      </c>
      <c r="M8291" s="443"/>
    </row>
    <row r="8292" spans="1:13">
      <c r="A8292" s="639">
        <v>121113</v>
      </c>
      <c r="B8292" s="639">
        <v>900</v>
      </c>
      <c r="C8292" s="638">
        <v>5168.9409999999998</v>
      </c>
      <c r="D8292" s="633">
        <f t="shared" si="265"/>
        <v>5168.9409999999998</v>
      </c>
      <c r="E8292" s="608"/>
      <c r="F8292" s="760">
        <f t="shared" si="264"/>
        <v>2180.4931250453315</v>
      </c>
      <c r="M8292" s="443"/>
    </row>
    <row r="8293" spans="1:13">
      <c r="A8293" s="639">
        <v>121113</v>
      </c>
      <c r="B8293" s="639">
        <v>1000</v>
      </c>
      <c r="C8293" s="638">
        <v>5075.0770000000002</v>
      </c>
      <c r="D8293" s="633">
        <f t="shared" si="265"/>
        <v>5075.0770000000002</v>
      </c>
      <c r="E8293" s="608"/>
      <c r="F8293" s="760">
        <f t="shared" si="264"/>
        <v>2140.89704401263</v>
      </c>
      <c r="M8293" s="443"/>
    </row>
    <row r="8294" spans="1:13">
      <c r="A8294" s="639">
        <v>121113</v>
      </c>
      <c r="B8294" s="639">
        <v>1100</v>
      </c>
      <c r="C8294" s="638">
        <v>4865.54</v>
      </c>
      <c r="D8294" s="633">
        <f t="shared" si="265"/>
        <v>4865.54</v>
      </c>
      <c r="E8294" s="608"/>
      <c r="F8294" s="760">
        <f t="shared" si="264"/>
        <v>2052.504859241586</v>
      </c>
      <c r="M8294" s="443"/>
    </row>
    <row r="8295" spans="1:13">
      <c r="A8295" s="639">
        <v>121113</v>
      </c>
      <c r="B8295" s="639">
        <v>1200</v>
      </c>
      <c r="C8295" s="638">
        <v>4666.7449999999999</v>
      </c>
      <c r="D8295" s="633">
        <f t="shared" si="265"/>
        <v>4666.7449999999999</v>
      </c>
      <c r="E8295" s="608"/>
      <c r="F8295" s="760">
        <f t="shared" si="264"/>
        <v>1968.6441359728574</v>
      </c>
      <c r="M8295" s="443"/>
    </row>
    <row r="8296" spans="1:13">
      <c r="A8296" s="639">
        <v>121113</v>
      </c>
      <c r="B8296" s="639">
        <v>1300</v>
      </c>
      <c r="C8296" s="638">
        <v>4633.5640000000003</v>
      </c>
      <c r="D8296" s="633">
        <f t="shared" si="265"/>
        <v>4633.5640000000003</v>
      </c>
      <c r="E8296" s="608"/>
      <c r="F8296" s="760">
        <f t="shared" si="264"/>
        <v>1954.6468892675596</v>
      </c>
      <c r="M8296" s="443"/>
    </row>
    <row r="8297" spans="1:13">
      <c r="A8297" s="639">
        <v>121113</v>
      </c>
      <c r="B8297" s="639">
        <v>1400</v>
      </c>
      <c r="C8297" s="638">
        <v>4591.5810000000001</v>
      </c>
      <c r="D8297" s="633">
        <f t="shared" si="265"/>
        <v>4591.5810000000001</v>
      </c>
      <c r="E8297" s="608"/>
      <c r="F8297" s="760">
        <f t="shared" si="264"/>
        <v>1936.9365608136695</v>
      </c>
      <c r="M8297" s="443"/>
    </row>
    <row r="8298" spans="1:13">
      <c r="A8298" s="639">
        <v>121113</v>
      </c>
      <c r="B8298" s="639">
        <v>1500</v>
      </c>
      <c r="C8298" s="638">
        <v>4448.6549999999997</v>
      </c>
      <c r="D8298" s="633">
        <f t="shared" si="265"/>
        <v>4448.6549999999997</v>
      </c>
      <c r="E8298" s="608"/>
      <c r="F8298" s="760">
        <f t="shared" si="264"/>
        <v>1876.6439089164571</v>
      </c>
      <c r="M8298" s="443"/>
    </row>
    <row r="8299" spans="1:13">
      <c r="A8299" s="639">
        <v>121113</v>
      </c>
      <c r="B8299" s="639">
        <v>1600</v>
      </c>
      <c r="C8299" s="638">
        <v>4755.9809999999998</v>
      </c>
      <c r="D8299" s="633">
        <f t="shared" si="265"/>
        <v>4755.9809999999998</v>
      </c>
      <c r="E8299" s="608"/>
      <c r="F8299" s="760">
        <f t="shared" si="264"/>
        <v>2006.2879172631726</v>
      </c>
      <c r="M8299" s="443"/>
    </row>
    <row r="8300" spans="1:13">
      <c r="A8300" s="639">
        <v>121113</v>
      </c>
      <c r="B8300" s="639">
        <v>1700</v>
      </c>
      <c r="C8300" s="638">
        <v>5187.5600000000004</v>
      </c>
      <c r="D8300" s="633">
        <f t="shared" si="265"/>
        <v>5187.5600000000004</v>
      </c>
      <c r="E8300" s="608"/>
      <c r="F8300" s="760">
        <f t="shared" ref="F8300:F8363" si="266">(D8300/(MAX($D$8044:$D$8787)))*$M$15</f>
        <v>2188.3474614549018</v>
      </c>
      <c r="M8300" s="443"/>
    </row>
    <row r="8301" spans="1:13">
      <c r="A8301" s="639">
        <v>121113</v>
      </c>
      <c r="B8301" s="639">
        <v>1800</v>
      </c>
      <c r="C8301" s="638">
        <v>5912.1549999999997</v>
      </c>
      <c r="D8301" s="633">
        <f t="shared" si="265"/>
        <v>5912.1549999999997</v>
      </c>
      <c r="E8301" s="608"/>
      <c r="F8301" s="760">
        <f t="shared" si="266"/>
        <v>2494.0144086965556</v>
      </c>
      <c r="M8301" s="443"/>
    </row>
    <row r="8302" spans="1:13">
      <c r="A8302" s="639">
        <v>121113</v>
      </c>
      <c r="B8302" s="639">
        <v>1900</v>
      </c>
      <c r="C8302" s="638">
        <v>6088.5640000000003</v>
      </c>
      <c r="D8302" s="633">
        <f t="shared" si="265"/>
        <v>6088.5640000000003</v>
      </c>
      <c r="E8302" s="608"/>
      <c r="F8302" s="760">
        <f t="shared" si="266"/>
        <v>2568.4317045596972</v>
      </c>
      <c r="M8302" s="443"/>
    </row>
    <row r="8303" spans="1:13">
      <c r="A8303" s="639">
        <v>121113</v>
      </c>
      <c r="B8303" s="639">
        <v>2000</v>
      </c>
      <c r="C8303" s="638">
        <v>6092.3770000000004</v>
      </c>
      <c r="D8303" s="633">
        <f t="shared" si="265"/>
        <v>6092.3770000000004</v>
      </c>
      <c r="E8303" s="608"/>
      <c r="F8303" s="760">
        <f t="shared" si="266"/>
        <v>2570.0402004364732</v>
      </c>
      <c r="M8303" s="443"/>
    </row>
    <row r="8304" spans="1:13">
      <c r="A8304" s="639">
        <v>121113</v>
      </c>
      <c r="B8304" s="639">
        <v>2100</v>
      </c>
      <c r="C8304" s="638">
        <v>6055.7179999999998</v>
      </c>
      <c r="D8304" s="633">
        <f t="shared" si="265"/>
        <v>6055.7179999999998</v>
      </c>
      <c r="E8304" s="608"/>
      <c r="F8304" s="760">
        <f t="shared" si="266"/>
        <v>2554.5757760077481</v>
      </c>
      <c r="M8304" s="443"/>
    </row>
    <row r="8305" spans="1:13">
      <c r="A8305" s="639">
        <v>121113</v>
      </c>
      <c r="B8305" s="639">
        <v>2200</v>
      </c>
      <c r="C8305" s="638">
        <v>5878.2110000000002</v>
      </c>
      <c r="D8305" s="633">
        <f t="shared" si="265"/>
        <v>5878.2110000000002</v>
      </c>
      <c r="E8305" s="608"/>
      <c r="F8305" s="760">
        <f t="shared" si="266"/>
        <v>2479.6952940778092</v>
      </c>
      <c r="M8305" s="443"/>
    </row>
    <row r="8306" spans="1:13">
      <c r="A8306" s="639">
        <v>121113</v>
      </c>
      <c r="B8306" s="639">
        <v>2300</v>
      </c>
      <c r="C8306" s="638">
        <v>5205.2420000000002</v>
      </c>
      <c r="D8306" s="633">
        <f t="shared" si="265"/>
        <v>5205.2420000000002</v>
      </c>
      <c r="E8306" s="608"/>
      <c r="F8306" s="760">
        <f t="shared" si="266"/>
        <v>2195.8065288803282</v>
      </c>
      <c r="M8306" s="443"/>
    </row>
    <row r="8307" spans="1:13">
      <c r="A8307" s="639">
        <v>121113</v>
      </c>
      <c r="B8307" s="639">
        <v>2400</v>
      </c>
      <c r="C8307" s="638">
        <v>4644.8119999999999</v>
      </c>
      <c r="D8307" s="633">
        <f t="shared" si="265"/>
        <v>4644.8119999999999</v>
      </c>
      <c r="E8307" s="608"/>
      <c r="F8307" s="760">
        <f t="shared" si="266"/>
        <v>1959.3918044582163</v>
      </c>
      <c r="M8307" s="443"/>
    </row>
    <row r="8308" spans="1:13">
      <c r="A8308" s="639">
        <v>121213</v>
      </c>
      <c r="B8308" s="639">
        <v>100</v>
      </c>
      <c r="C8308" s="638">
        <v>4217.1289999999999</v>
      </c>
      <c r="D8308" s="633">
        <f t="shared" si="265"/>
        <v>4217.1289999999999</v>
      </c>
      <c r="E8308" s="608"/>
      <c r="F8308" s="760">
        <f t="shared" si="266"/>
        <v>1778.9757692976752</v>
      </c>
      <c r="M8308" s="443"/>
    </row>
    <row r="8309" spans="1:13">
      <c r="A8309" s="639">
        <v>121213</v>
      </c>
      <c r="B8309" s="639">
        <v>200</v>
      </c>
      <c r="C8309" s="638">
        <v>4235.4769999999999</v>
      </c>
      <c r="D8309" s="633">
        <f t="shared" si="265"/>
        <v>4235.4769999999999</v>
      </c>
      <c r="E8309" s="608"/>
      <c r="F8309" s="760">
        <f t="shared" si="266"/>
        <v>1786.7157856488643</v>
      </c>
      <c r="M8309" s="443"/>
    </row>
    <row r="8310" spans="1:13">
      <c r="A8310" s="639">
        <v>121213</v>
      </c>
      <c r="B8310" s="639">
        <v>300</v>
      </c>
      <c r="C8310" s="638">
        <v>4235.5870000000004</v>
      </c>
      <c r="D8310" s="633">
        <f t="shared" si="265"/>
        <v>4235.5870000000004</v>
      </c>
      <c r="E8310" s="608"/>
      <c r="F8310" s="760">
        <f t="shared" si="266"/>
        <v>1786.7621886245911</v>
      </c>
      <c r="M8310" s="443"/>
    </row>
    <row r="8311" spans="1:13">
      <c r="A8311" s="639">
        <v>121213</v>
      </c>
      <c r="B8311" s="639">
        <v>400</v>
      </c>
      <c r="C8311" s="638">
        <v>4187.0039999999999</v>
      </c>
      <c r="D8311" s="633">
        <f t="shared" si="265"/>
        <v>4187.0039999999999</v>
      </c>
      <c r="E8311" s="608"/>
      <c r="F8311" s="760">
        <f t="shared" si="266"/>
        <v>1766.2676816271078</v>
      </c>
      <c r="M8311" s="443"/>
    </row>
    <row r="8312" spans="1:13">
      <c r="A8312" s="639">
        <v>121213</v>
      </c>
      <c r="B8312" s="639">
        <v>500</v>
      </c>
      <c r="C8312" s="638">
        <v>4322.0649999999996</v>
      </c>
      <c r="D8312" s="633">
        <f t="shared" si="265"/>
        <v>4322.0649999999996</v>
      </c>
      <c r="E8312" s="608"/>
      <c r="F8312" s="760">
        <f t="shared" si="266"/>
        <v>1823.2425207598715</v>
      </c>
      <c r="M8312" s="443"/>
    </row>
    <row r="8313" spans="1:13">
      <c r="A8313" s="639">
        <v>121213</v>
      </c>
      <c r="B8313" s="639">
        <v>600</v>
      </c>
      <c r="C8313" s="638">
        <v>4628.7610000000004</v>
      </c>
      <c r="D8313" s="633">
        <f t="shared" si="265"/>
        <v>4628.7610000000004</v>
      </c>
      <c r="E8313" s="608"/>
      <c r="F8313" s="760">
        <f t="shared" si="266"/>
        <v>1952.6207666092446</v>
      </c>
      <c r="M8313" s="443"/>
    </row>
    <row r="8314" spans="1:13">
      <c r="A8314" s="639">
        <v>121213</v>
      </c>
      <c r="B8314" s="639">
        <v>700</v>
      </c>
      <c r="C8314" s="638">
        <v>5151.4620000000004</v>
      </c>
      <c r="D8314" s="633">
        <f t="shared" si="265"/>
        <v>5151.4620000000004</v>
      </c>
      <c r="E8314" s="608"/>
      <c r="F8314" s="760">
        <f t="shared" si="266"/>
        <v>2173.1196922023828</v>
      </c>
      <c r="M8314" s="443"/>
    </row>
    <row r="8315" spans="1:13">
      <c r="A8315" s="639">
        <v>121213</v>
      </c>
      <c r="B8315" s="639">
        <v>800</v>
      </c>
      <c r="C8315" s="638">
        <v>5493.0110000000004</v>
      </c>
      <c r="D8315" s="633">
        <f t="shared" si="265"/>
        <v>5493.0110000000004</v>
      </c>
      <c r="E8315" s="608"/>
      <c r="F8315" s="760">
        <f t="shared" si="266"/>
        <v>2317.2005099880967</v>
      </c>
      <c r="M8315" s="443"/>
    </row>
    <row r="8316" spans="1:13">
      <c r="A8316" s="639">
        <v>121213</v>
      </c>
      <c r="B8316" s="639">
        <v>900</v>
      </c>
      <c r="C8316" s="638">
        <v>5289.1779999999999</v>
      </c>
      <c r="D8316" s="633">
        <f t="shared" si="265"/>
        <v>5289.1779999999999</v>
      </c>
      <c r="E8316" s="608"/>
      <c r="F8316" s="760">
        <f t="shared" si="266"/>
        <v>2231.2145304310916</v>
      </c>
      <c r="M8316" s="443"/>
    </row>
    <row r="8317" spans="1:13">
      <c r="A8317" s="639">
        <v>121213</v>
      </c>
      <c r="B8317" s="639">
        <v>1000</v>
      </c>
      <c r="C8317" s="638">
        <v>5199.2479999999996</v>
      </c>
      <c r="D8317" s="633">
        <f t="shared" si="265"/>
        <v>5199.2479999999996</v>
      </c>
      <c r="E8317" s="608"/>
      <c r="F8317" s="760">
        <f t="shared" si="266"/>
        <v>2193.2779885484647</v>
      </c>
      <c r="M8317" s="443"/>
    </row>
    <row r="8318" spans="1:13">
      <c r="A8318" s="639">
        <v>121213</v>
      </c>
      <c r="B8318" s="639">
        <v>1100</v>
      </c>
      <c r="C8318" s="638">
        <v>4688.9610000000002</v>
      </c>
      <c r="D8318" s="633">
        <f t="shared" si="265"/>
        <v>4688.9610000000002</v>
      </c>
      <c r="E8318" s="608"/>
      <c r="F8318" s="760">
        <f t="shared" si="266"/>
        <v>1978.0158496886856</v>
      </c>
      <c r="M8318" s="443"/>
    </row>
    <row r="8319" spans="1:13">
      <c r="A8319" s="639">
        <v>121213</v>
      </c>
      <c r="B8319" s="639">
        <v>1200</v>
      </c>
      <c r="C8319" s="638">
        <v>4595.75</v>
      </c>
      <c r="D8319" s="633">
        <f t="shared" si="265"/>
        <v>4595.75</v>
      </c>
      <c r="E8319" s="608"/>
      <c r="F8319" s="760">
        <f t="shared" si="266"/>
        <v>1938.6952335937058</v>
      </c>
      <c r="M8319" s="443"/>
    </row>
    <row r="8320" spans="1:13">
      <c r="A8320" s="639">
        <v>121213</v>
      </c>
      <c r="B8320" s="639">
        <v>1300</v>
      </c>
      <c r="C8320" s="638">
        <v>4555.2479999999996</v>
      </c>
      <c r="D8320" s="633">
        <f t="shared" si="265"/>
        <v>4555.2479999999996</v>
      </c>
      <c r="E8320" s="608"/>
      <c r="F8320" s="760">
        <f t="shared" si="266"/>
        <v>1921.6096579311888</v>
      </c>
      <c r="M8320" s="443"/>
    </row>
    <row r="8321" spans="1:13">
      <c r="A8321" s="639">
        <v>121213</v>
      </c>
      <c r="B8321" s="639">
        <v>1400</v>
      </c>
      <c r="C8321" s="638">
        <v>4630.4279999999999</v>
      </c>
      <c r="D8321" s="633">
        <f t="shared" si="265"/>
        <v>4630.4279999999999</v>
      </c>
      <c r="E8321" s="608"/>
      <c r="F8321" s="760">
        <f t="shared" si="266"/>
        <v>1953.3239826141187</v>
      </c>
      <c r="M8321" s="443"/>
    </row>
    <row r="8322" spans="1:13">
      <c r="A8322" s="639">
        <v>121213</v>
      </c>
      <c r="B8322" s="639">
        <v>1500</v>
      </c>
      <c r="C8322" s="638">
        <v>4796.9979999999996</v>
      </c>
      <c r="D8322" s="633">
        <f t="shared" si="265"/>
        <v>4796.9979999999996</v>
      </c>
      <c r="E8322" s="608"/>
      <c r="F8322" s="760">
        <f t="shared" si="266"/>
        <v>2023.5907432211366</v>
      </c>
      <c r="M8322" s="443"/>
    </row>
    <row r="8323" spans="1:13">
      <c r="A8323" s="639">
        <v>121213</v>
      </c>
      <c r="B8323" s="639">
        <v>1600</v>
      </c>
      <c r="C8323" s="638">
        <v>5049.1319999999996</v>
      </c>
      <c r="D8323" s="633">
        <f t="shared" si="265"/>
        <v>5049.1319999999996</v>
      </c>
      <c r="E8323" s="608"/>
      <c r="F8323" s="760">
        <f t="shared" si="266"/>
        <v>2129.9522694196712</v>
      </c>
      <c r="M8323" s="443"/>
    </row>
    <row r="8324" spans="1:13">
      <c r="A8324" s="639">
        <v>121213</v>
      </c>
      <c r="B8324" s="639">
        <v>1700</v>
      </c>
      <c r="C8324" s="638">
        <v>5484.8670000000002</v>
      </c>
      <c r="D8324" s="633">
        <f t="shared" si="265"/>
        <v>5484.8670000000002</v>
      </c>
      <c r="E8324" s="608"/>
      <c r="F8324" s="760">
        <f t="shared" si="266"/>
        <v>2313.7650024033965</v>
      </c>
      <c r="M8324" s="443"/>
    </row>
    <row r="8325" spans="1:13">
      <c r="A8325" s="639">
        <v>121213</v>
      </c>
      <c r="B8325" s="639">
        <v>1800</v>
      </c>
      <c r="C8325" s="638">
        <v>6145.3280000000004</v>
      </c>
      <c r="D8325" s="633">
        <f t="shared" ref="D8325:D8388" si="267">C8325</f>
        <v>6145.3280000000004</v>
      </c>
      <c r="E8325" s="608"/>
      <c r="F8325" s="760">
        <f t="shared" si="266"/>
        <v>2592.3773274155342</v>
      </c>
      <c r="M8325" s="443"/>
    </row>
    <row r="8326" spans="1:13">
      <c r="A8326" s="639">
        <v>121213</v>
      </c>
      <c r="B8326" s="639">
        <v>1900</v>
      </c>
      <c r="C8326" s="638">
        <v>6278.5</v>
      </c>
      <c r="D8326" s="633">
        <f t="shared" si="267"/>
        <v>6278.5</v>
      </c>
      <c r="E8326" s="608"/>
      <c r="F8326" s="760">
        <f t="shared" si="266"/>
        <v>2648.555300901503</v>
      </c>
      <c r="M8326" s="443"/>
    </row>
    <row r="8327" spans="1:13">
      <c r="A8327" s="639">
        <v>121213</v>
      </c>
      <c r="B8327" s="639">
        <v>2000</v>
      </c>
      <c r="C8327" s="638">
        <v>6337.1019999999999</v>
      </c>
      <c r="D8327" s="633">
        <f t="shared" si="267"/>
        <v>6337.1019999999999</v>
      </c>
      <c r="E8327" s="608"/>
      <c r="F8327" s="760">
        <f t="shared" si="266"/>
        <v>2673.2762752972071</v>
      </c>
      <c r="M8327" s="443"/>
    </row>
    <row r="8328" spans="1:13">
      <c r="A8328" s="639">
        <v>121213</v>
      </c>
      <c r="B8328" s="639">
        <v>2100</v>
      </c>
      <c r="C8328" s="638">
        <v>6225.6109999999999</v>
      </c>
      <c r="D8328" s="633">
        <f t="shared" si="267"/>
        <v>6225.6109999999999</v>
      </c>
      <c r="E8328" s="608"/>
      <c r="F8328" s="760">
        <f t="shared" si="266"/>
        <v>2626.2443283269422</v>
      </c>
      <c r="M8328" s="443"/>
    </row>
    <row r="8329" spans="1:13">
      <c r="A8329" s="639">
        <v>121213</v>
      </c>
      <c r="B8329" s="639">
        <v>2200</v>
      </c>
      <c r="C8329" s="638">
        <v>5889.0320000000002</v>
      </c>
      <c r="D8329" s="633">
        <f t="shared" si="267"/>
        <v>5889.0320000000002</v>
      </c>
      <c r="E8329" s="608"/>
      <c r="F8329" s="760">
        <f t="shared" si="266"/>
        <v>2484.2600813536001</v>
      </c>
      <c r="M8329" s="443"/>
    </row>
    <row r="8330" spans="1:13">
      <c r="A8330" s="639">
        <v>121213</v>
      </c>
      <c r="B8330" s="639">
        <v>2300</v>
      </c>
      <c r="C8330" s="638">
        <v>5285.33</v>
      </c>
      <c r="D8330" s="633">
        <f t="shared" si="267"/>
        <v>5285.33</v>
      </c>
      <c r="E8330" s="608"/>
      <c r="F8330" s="760">
        <f t="shared" si="266"/>
        <v>2229.5912699711303</v>
      </c>
      <c r="M8330" s="443"/>
    </row>
    <row r="8331" spans="1:13">
      <c r="A8331" s="639">
        <v>121213</v>
      </c>
      <c r="B8331" s="639">
        <v>2400</v>
      </c>
      <c r="C8331" s="638">
        <v>4639.6970000000001</v>
      </c>
      <c r="D8331" s="633">
        <f t="shared" si="267"/>
        <v>4639.6970000000001</v>
      </c>
      <c r="E8331" s="608"/>
      <c r="F8331" s="760">
        <f t="shared" si="266"/>
        <v>1957.2340660869315</v>
      </c>
      <c r="M8331" s="443"/>
    </row>
    <row r="8332" spans="1:13">
      <c r="A8332" s="639">
        <v>121313</v>
      </c>
      <c r="B8332" s="639">
        <v>100</v>
      </c>
      <c r="C8332" s="638">
        <v>4190.6760000000004</v>
      </c>
      <c r="D8332" s="633">
        <f t="shared" si="267"/>
        <v>4190.6760000000004</v>
      </c>
      <c r="E8332" s="608"/>
      <c r="F8332" s="760">
        <f t="shared" si="266"/>
        <v>1767.8166973259072</v>
      </c>
      <c r="M8332" s="443"/>
    </row>
    <row r="8333" spans="1:13">
      <c r="A8333" s="639">
        <v>121313</v>
      </c>
      <c r="B8333" s="639">
        <v>200</v>
      </c>
      <c r="C8333" s="638">
        <v>4216.3149999999996</v>
      </c>
      <c r="D8333" s="633">
        <f t="shared" si="267"/>
        <v>4216.3149999999996</v>
      </c>
      <c r="E8333" s="608"/>
      <c r="F8333" s="760">
        <f t="shared" si="266"/>
        <v>1778.6323872772984</v>
      </c>
      <c r="M8333" s="443"/>
    </row>
    <row r="8334" spans="1:13">
      <c r="A8334" s="639">
        <v>121313</v>
      </c>
      <c r="B8334" s="639">
        <v>300</v>
      </c>
      <c r="C8334" s="638">
        <v>4121.7190000000001</v>
      </c>
      <c r="D8334" s="633">
        <f t="shared" si="267"/>
        <v>4121.7190000000001</v>
      </c>
      <c r="E8334" s="608"/>
      <c r="F8334" s="760">
        <f t="shared" si="266"/>
        <v>1738.7275155333984</v>
      </c>
      <c r="M8334" s="443"/>
    </row>
    <row r="8335" spans="1:13">
      <c r="A8335" s="639">
        <v>121313</v>
      </c>
      <c r="B8335" s="639">
        <v>400</v>
      </c>
      <c r="C8335" s="638">
        <v>4104.1379999999999</v>
      </c>
      <c r="D8335" s="633">
        <f t="shared" si="267"/>
        <v>4104.1379999999999</v>
      </c>
      <c r="E8335" s="608"/>
      <c r="F8335" s="760">
        <f t="shared" si="266"/>
        <v>1731.3110544765937</v>
      </c>
      <c r="M8335" s="443"/>
    </row>
    <row r="8336" spans="1:13">
      <c r="A8336" s="639">
        <v>121313</v>
      </c>
      <c r="B8336" s="639">
        <v>500</v>
      </c>
      <c r="C8336" s="638">
        <v>4180.8770000000004</v>
      </c>
      <c r="D8336" s="633">
        <f t="shared" si="267"/>
        <v>4180.8770000000004</v>
      </c>
      <c r="E8336" s="608"/>
      <c r="F8336" s="760">
        <f t="shared" si="266"/>
        <v>1763.6830358791387</v>
      </c>
      <c r="M8336" s="443"/>
    </row>
    <row r="8337" spans="1:13">
      <c r="A8337" s="639">
        <v>121313</v>
      </c>
      <c r="B8337" s="639">
        <v>600</v>
      </c>
      <c r="C8337" s="638">
        <v>4518.1049999999996</v>
      </c>
      <c r="D8337" s="633">
        <f t="shared" si="267"/>
        <v>4518.1049999999996</v>
      </c>
      <c r="E8337" s="608"/>
      <c r="F8337" s="760">
        <f t="shared" si="266"/>
        <v>1905.9410604092673</v>
      </c>
      <c r="M8337" s="443"/>
    </row>
    <row r="8338" spans="1:13">
      <c r="A8338" s="639">
        <v>121313</v>
      </c>
      <c r="B8338" s="639">
        <v>700</v>
      </c>
      <c r="C8338" s="638">
        <v>4960.183</v>
      </c>
      <c r="D8338" s="633">
        <f t="shared" si="267"/>
        <v>4960.183</v>
      </c>
      <c r="E8338" s="608"/>
      <c r="F8338" s="760">
        <f t="shared" si="266"/>
        <v>2092.429557711479</v>
      </c>
      <c r="M8338" s="443"/>
    </row>
    <row r="8339" spans="1:13">
      <c r="A8339" s="639">
        <v>121313</v>
      </c>
      <c r="B8339" s="639">
        <v>800</v>
      </c>
      <c r="C8339" s="638">
        <v>5274.2280000000001</v>
      </c>
      <c r="D8339" s="633">
        <f t="shared" si="267"/>
        <v>5274.2280000000001</v>
      </c>
      <c r="E8339" s="608"/>
      <c r="F8339" s="760">
        <f t="shared" si="266"/>
        <v>2224.9079441846193</v>
      </c>
      <c r="M8339" s="443"/>
    </row>
    <row r="8340" spans="1:13">
      <c r="A8340" s="639">
        <v>121313</v>
      </c>
      <c r="B8340" s="639">
        <v>900</v>
      </c>
      <c r="C8340" s="638">
        <v>5226.6180000000004</v>
      </c>
      <c r="D8340" s="633">
        <f t="shared" si="267"/>
        <v>5226.6180000000004</v>
      </c>
      <c r="E8340" s="608"/>
      <c r="F8340" s="760">
        <f t="shared" si="266"/>
        <v>2204.8238925996993</v>
      </c>
      <c r="M8340" s="443"/>
    </row>
    <row r="8341" spans="1:13">
      <c r="A8341" s="639">
        <v>121313</v>
      </c>
      <c r="B8341" s="639">
        <v>1000</v>
      </c>
      <c r="C8341" s="638">
        <v>5215.777</v>
      </c>
      <c r="D8341" s="633">
        <f t="shared" si="267"/>
        <v>5215.777</v>
      </c>
      <c r="E8341" s="608"/>
      <c r="F8341" s="760">
        <f t="shared" si="266"/>
        <v>2200.2506684192304</v>
      </c>
      <c r="M8341" s="443"/>
    </row>
    <row r="8342" spans="1:13">
      <c r="A8342" s="639">
        <v>121313</v>
      </c>
      <c r="B8342" s="639">
        <v>1100</v>
      </c>
      <c r="C8342" s="638">
        <v>4994.1769999999997</v>
      </c>
      <c r="D8342" s="633">
        <f t="shared" si="267"/>
        <v>4994.1769999999997</v>
      </c>
      <c r="E8342" s="608"/>
      <c r="F8342" s="760">
        <f t="shared" si="266"/>
        <v>2106.7697645919193</v>
      </c>
      <c r="M8342" s="443"/>
    </row>
    <row r="8343" spans="1:13">
      <c r="A8343" s="639">
        <v>121313</v>
      </c>
      <c r="B8343" s="639">
        <v>1200</v>
      </c>
      <c r="C8343" s="638">
        <v>4660.7250000000004</v>
      </c>
      <c r="D8343" s="633">
        <f t="shared" si="267"/>
        <v>4660.7250000000004</v>
      </c>
      <c r="E8343" s="608"/>
      <c r="F8343" s="760">
        <f t="shared" si="266"/>
        <v>1966.1046276649133</v>
      </c>
      <c r="M8343" s="443"/>
    </row>
    <row r="8344" spans="1:13">
      <c r="A8344" s="639">
        <v>121313</v>
      </c>
      <c r="B8344" s="639">
        <v>1300</v>
      </c>
      <c r="C8344" s="638">
        <v>4462.5559999999996</v>
      </c>
      <c r="D8344" s="633">
        <f t="shared" si="267"/>
        <v>4462.5559999999996</v>
      </c>
      <c r="E8344" s="608"/>
      <c r="F8344" s="760">
        <f t="shared" si="266"/>
        <v>1882.5079795125914</v>
      </c>
      <c r="M8344" s="443"/>
    </row>
    <row r="8345" spans="1:13">
      <c r="A8345" s="639">
        <v>121313</v>
      </c>
      <c r="B8345" s="639">
        <v>1400</v>
      </c>
      <c r="C8345" s="638">
        <v>4409.8530000000001</v>
      </c>
      <c r="D8345" s="633">
        <f t="shared" si="267"/>
        <v>4409.8530000000001</v>
      </c>
      <c r="E8345" s="608"/>
      <c r="F8345" s="760">
        <f t="shared" si="266"/>
        <v>1860.2754701515323</v>
      </c>
      <c r="M8345" s="443"/>
    </row>
    <row r="8346" spans="1:13">
      <c r="A8346" s="639">
        <v>121313</v>
      </c>
      <c r="B8346" s="639">
        <v>1500</v>
      </c>
      <c r="C8346" s="638">
        <v>4734.9889999999996</v>
      </c>
      <c r="D8346" s="633">
        <f t="shared" si="267"/>
        <v>4734.9889999999996</v>
      </c>
      <c r="E8346" s="608"/>
      <c r="F8346" s="760">
        <f t="shared" si="266"/>
        <v>1997.4325421136109</v>
      </c>
      <c r="M8346" s="443"/>
    </row>
    <row r="8347" spans="1:13">
      <c r="A8347" s="639">
        <v>121313</v>
      </c>
      <c r="B8347" s="639">
        <v>1600</v>
      </c>
      <c r="C8347" s="638">
        <v>4935.4660000000003</v>
      </c>
      <c r="D8347" s="633">
        <f t="shared" si="267"/>
        <v>4935.4660000000003</v>
      </c>
      <c r="E8347" s="608"/>
      <c r="F8347" s="760">
        <f t="shared" si="266"/>
        <v>2082.0028090657224</v>
      </c>
      <c r="M8347" s="443"/>
    </row>
    <row r="8348" spans="1:13">
      <c r="A8348" s="639">
        <v>121313</v>
      </c>
      <c r="B8348" s="639">
        <v>1700</v>
      </c>
      <c r="C8348" s="638">
        <v>5384.4120000000003</v>
      </c>
      <c r="D8348" s="633">
        <f t="shared" si="267"/>
        <v>5384.4120000000003</v>
      </c>
      <c r="E8348" s="608"/>
      <c r="F8348" s="760">
        <f t="shared" si="266"/>
        <v>2271.3885394342065</v>
      </c>
      <c r="M8348" s="443"/>
    </row>
    <row r="8349" spans="1:13">
      <c r="A8349" s="639">
        <v>121313</v>
      </c>
      <c r="B8349" s="639">
        <v>1800</v>
      </c>
      <c r="C8349" s="638">
        <v>5997.3329999999996</v>
      </c>
      <c r="D8349" s="633">
        <f t="shared" si="267"/>
        <v>5997.3329999999996</v>
      </c>
      <c r="E8349" s="608"/>
      <c r="F8349" s="760">
        <f t="shared" si="266"/>
        <v>2529.9463420277953</v>
      </c>
      <c r="M8349" s="443"/>
    </row>
    <row r="8350" spans="1:13">
      <c r="A8350" s="639">
        <v>121313</v>
      </c>
      <c r="B8350" s="639">
        <v>1900</v>
      </c>
      <c r="C8350" s="638">
        <v>6112.0789999999997</v>
      </c>
      <c r="D8350" s="633">
        <f t="shared" si="267"/>
        <v>6112.0789999999997</v>
      </c>
      <c r="E8350" s="608"/>
      <c r="F8350" s="760">
        <f t="shared" si="266"/>
        <v>2578.3513952343324</v>
      </c>
      <c r="M8350" s="443"/>
    </row>
    <row r="8351" spans="1:13">
      <c r="A8351" s="639">
        <v>121313</v>
      </c>
      <c r="B8351" s="639">
        <v>2000</v>
      </c>
      <c r="C8351" s="638">
        <v>6067.8710000000001</v>
      </c>
      <c r="D8351" s="633">
        <f t="shared" si="267"/>
        <v>6067.8710000000001</v>
      </c>
      <c r="E8351" s="608"/>
      <c r="F8351" s="760">
        <f t="shared" si="266"/>
        <v>2559.7024611350648</v>
      </c>
      <c r="M8351" s="443"/>
    </row>
    <row r="8352" spans="1:13">
      <c r="A8352" s="639">
        <v>121313</v>
      </c>
      <c r="B8352" s="639">
        <v>2100</v>
      </c>
      <c r="C8352" s="638">
        <v>5963.78</v>
      </c>
      <c r="D8352" s="633">
        <f t="shared" si="267"/>
        <v>5963.78</v>
      </c>
      <c r="E8352" s="608"/>
      <c r="F8352" s="760">
        <f t="shared" si="266"/>
        <v>2515.7921688954948</v>
      </c>
      <c r="M8352" s="443"/>
    </row>
    <row r="8353" spans="1:13">
      <c r="A8353" s="639">
        <v>121313</v>
      </c>
      <c r="B8353" s="639">
        <v>2200</v>
      </c>
      <c r="C8353" s="638">
        <v>5703.1769999999997</v>
      </c>
      <c r="D8353" s="633">
        <f t="shared" si="267"/>
        <v>5703.1769999999997</v>
      </c>
      <c r="E8353" s="608"/>
      <c r="F8353" s="760">
        <f t="shared" si="266"/>
        <v>2405.8580354112491</v>
      </c>
      <c r="M8353" s="443"/>
    </row>
    <row r="8354" spans="1:13">
      <c r="A8354" s="639">
        <v>121313</v>
      </c>
      <c r="B8354" s="639">
        <v>2300</v>
      </c>
      <c r="C8354" s="638">
        <v>5370.3320000000003</v>
      </c>
      <c r="D8354" s="633">
        <f t="shared" si="267"/>
        <v>5370.3320000000003</v>
      </c>
      <c r="E8354" s="608"/>
      <c r="F8354" s="760">
        <f t="shared" si="266"/>
        <v>2265.4489585412075</v>
      </c>
      <c r="M8354" s="443"/>
    </row>
    <row r="8355" spans="1:13">
      <c r="A8355" s="639">
        <v>121313</v>
      </c>
      <c r="B8355" s="639">
        <v>2400</v>
      </c>
      <c r="C8355" s="638">
        <v>4855.0959999999995</v>
      </c>
      <c r="D8355" s="633">
        <f t="shared" si="267"/>
        <v>4855.0959999999995</v>
      </c>
      <c r="E8355" s="608"/>
      <c r="F8355" s="760">
        <f t="shared" si="266"/>
        <v>2048.0991076189666</v>
      </c>
      <c r="M8355" s="443"/>
    </row>
    <row r="8356" spans="1:13">
      <c r="A8356" s="639">
        <v>121413</v>
      </c>
      <c r="B8356" s="639">
        <v>100</v>
      </c>
      <c r="C8356" s="638">
        <v>4385.0569999999998</v>
      </c>
      <c r="D8356" s="633">
        <f t="shared" si="267"/>
        <v>4385.0569999999998</v>
      </c>
      <c r="E8356" s="608"/>
      <c r="F8356" s="760">
        <f t="shared" si="266"/>
        <v>1849.8153957322993</v>
      </c>
      <c r="M8356" s="443"/>
    </row>
    <row r="8357" spans="1:13">
      <c r="A8357" s="639">
        <v>121413</v>
      </c>
      <c r="B8357" s="639">
        <v>200</v>
      </c>
      <c r="C8357" s="638">
        <v>4385.1210000000001</v>
      </c>
      <c r="D8357" s="633">
        <f t="shared" si="267"/>
        <v>4385.1210000000001</v>
      </c>
      <c r="E8357" s="608"/>
      <c r="F8357" s="760">
        <f t="shared" si="266"/>
        <v>1849.8423938272676</v>
      </c>
      <c r="M8357" s="443"/>
    </row>
    <row r="8358" spans="1:13">
      <c r="A8358" s="639">
        <v>121413</v>
      </c>
      <c r="B8358" s="639">
        <v>300</v>
      </c>
      <c r="C8358" s="638">
        <v>4296.2659999999996</v>
      </c>
      <c r="D8358" s="633">
        <f t="shared" si="267"/>
        <v>4296.2659999999996</v>
      </c>
      <c r="E8358" s="608"/>
      <c r="F8358" s="760">
        <f t="shared" si="266"/>
        <v>1812.3593355710593</v>
      </c>
      <c r="M8358" s="443"/>
    </row>
    <row r="8359" spans="1:13">
      <c r="A8359" s="639">
        <v>121413</v>
      </c>
      <c r="B8359" s="639">
        <v>400</v>
      </c>
      <c r="C8359" s="638">
        <v>4308.509</v>
      </c>
      <c r="D8359" s="633">
        <f t="shared" si="267"/>
        <v>4308.509</v>
      </c>
      <c r="E8359" s="608"/>
      <c r="F8359" s="760">
        <f t="shared" si="266"/>
        <v>1817.5239867694247</v>
      </c>
      <c r="M8359" s="443"/>
    </row>
    <row r="8360" spans="1:13">
      <c r="A8360" s="639">
        <v>121413</v>
      </c>
      <c r="B8360" s="639">
        <v>500</v>
      </c>
      <c r="C8360" s="638">
        <v>4411.6469999999999</v>
      </c>
      <c r="D8360" s="633">
        <f t="shared" si="267"/>
        <v>4411.6469999999999</v>
      </c>
      <c r="E8360" s="608"/>
      <c r="F8360" s="760">
        <f t="shared" si="266"/>
        <v>1861.0322605011088</v>
      </c>
      <c r="M8360" s="443"/>
    </row>
    <row r="8361" spans="1:13">
      <c r="A8361" s="639">
        <v>121413</v>
      </c>
      <c r="B8361" s="639">
        <v>600</v>
      </c>
      <c r="C8361" s="638">
        <v>4516.5339999999997</v>
      </c>
      <c r="D8361" s="633">
        <f t="shared" si="267"/>
        <v>4516.5339999999997</v>
      </c>
      <c r="E8361" s="608"/>
      <c r="F8361" s="760">
        <f t="shared" si="266"/>
        <v>1905.278341546845</v>
      </c>
      <c r="M8361" s="443"/>
    </row>
    <row r="8362" spans="1:13">
      <c r="A8362" s="639">
        <v>121413</v>
      </c>
      <c r="B8362" s="639">
        <v>700</v>
      </c>
      <c r="C8362" s="638">
        <v>4789.7439999999997</v>
      </c>
      <c r="D8362" s="633">
        <f t="shared" si="267"/>
        <v>4789.7439999999997</v>
      </c>
      <c r="E8362" s="608"/>
      <c r="F8362" s="760">
        <f t="shared" si="266"/>
        <v>2020.5306778945876</v>
      </c>
      <c r="M8362" s="443"/>
    </row>
    <row r="8363" spans="1:13">
      <c r="A8363" s="639">
        <v>121413</v>
      </c>
      <c r="B8363" s="639">
        <v>800</v>
      </c>
      <c r="C8363" s="638">
        <v>5156.58</v>
      </c>
      <c r="D8363" s="633">
        <f t="shared" si="267"/>
        <v>5156.58</v>
      </c>
      <c r="E8363" s="608"/>
      <c r="F8363" s="760">
        <f t="shared" si="266"/>
        <v>2175.2786961093684</v>
      </c>
      <c r="M8363" s="443"/>
    </row>
    <row r="8364" spans="1:13">
      <c r="A8364" s="639">
        <v>121413</v>
      </c>
      <c r="B8364" s="639">
        <v>900</v>
      </c>
      <c r="C8364" s="638">
        <v>5361.6729999999998</v>
      </c>
      <c r="D8364" s="633">
        <f t="shared" si="267"/>
        <v>5361.6729999999998</v>
      </c>
      <c r="E8364" s="608"/>
      <c r="F8364" s="760">
        <f t="shared" ref="F8364:F8427" si="268">(D8364/(MAX($D$8044:$D$8787)))*$M$15</f>
        <v>2261.7962006610596</v>
      </c>
      <c r="M8364" s="443"/>
    </row>
    <row r="8365" spans="1:13">
      <c r="A8365" s="639">
        <v>121413</v>
      </c>
      <c r="B8365" s="639">
        <v>1000</v>
      </c>
      <c r="C8365" s="638">
        <v>5577.0609999999997</v>
      </c>
      <c r="D8365" s="633">
        <f t="shared" si="267"/>
        <v>5577.0609999999997</v>
      </c>
      <c r="E8365" s="608"/>
      <c r="F8365" s="760">
        <f t="shared" si="268"/>
        <v>2352.6566018955223</v>
      </c>
      <c r="M8365" s="443"/>
    </row>
    <row r="8366" spans="1:13">
      <c r="A8366" s="639">
        <v>121413</v>
      </c>
      <c r="B8366" s="639">
        <v>1100</v>
      </c>
      <c r="C8366" s="638">
        <v>5737.54</v>
      </c>
      <c r="D8366" s="633">
        <f t="shared" si="267"/>
        <v>5737.54</v>
      </c>
      <c r="E8366" s="608"/>
      <c r="F8366" s="760">
        <f t="shared" si="268"/>
        <v>2420.353903182991</v>
      </c>
      <c r="M8366" s="443"/>
    </row>
    <row r="8367" spans="1:13">
      <c r="A8367" s="639">
        <v>121413</v>
      </c>
      <c r="B8367" s="639">
        <v>1200</v>
      </c>
      <c r="C8367" s="638">
        <v>5834.5029999999997</v>
      </c>
      <c r="D8367" s="633">
        <f t="shared" si="267"/>
        <v>5834.5029999999997</v>
      </c>
      <c r="E8367" s="608"/>
      <c r="F8367" s="760">
        <f t="shared" si="268"/>
        <v>2461.2572825954799</v>
      </c>
      <c r="M8367" s="443"/>
    </row>
    <row r="8368" spans="1:13">
      <c r="A8368" s="639">
        <v>121413</v>
      </c>
      <c r="B8368" s="639">
        <v>1300</v>
      </c>
      <c r="C8368" s="638">
        <v>5832.991</v>
      </c>
      <c r="D8368" s="633">
        <f t="shared" si="267"/>
        <v>5832.991</v>
      </c>
      <c r="E8368" s="608"/>
      <c r="F8368" s="760">
        <f t="shared" si="268"/>
        <v>2460.6194526018567</v>
      </c>
      <c r="M8368" s="443"/>
    </row>
    <row r="8369" spans="1:13">
      <c r="A8369" s="639">
        <v>121413</v>
      </c>
      <c r="B8369" s="639">
        <v>1400</v>
      </c>
      <c r="C8369" s="638">
        <v>5748.16</v>
      </c>
      <c r="D8369" s="633">
        <f t="shared" si="267"/>
        <v>5748.16</v>
      </c>
      <c r="E8369" s="608"/>
      <c r="F8369" s="760">
        <f t="shared" si="268"/>
        <v>2424.8338995667727</v>
      </c>
      <c r="M8369" s="443"/>
    </row>
    <row r="8370" spans="1:13">
      <c r="A8370" s="639">
        <v>121413</v>
      </c>
      <c r="B8370" s="639">
        <v>1500</v>
      </c>
      <c r="C8370" s="638">
        <v>5820.991</v>
      </c>
      <c r="D8370" s="633">
        <f t="shared" si="267"/>
        <v>5820.991</v>
      </c>
      <c r="E8370" s="608"/>
      <c r="F8370" s="760">
        <f t="shared" si="268"/>
        <v>2455.5573097953238</v>
      </c>
      <c r="M8370" s="443"/>
    </row>
    <row r="8371" spans="1:13">
      <c r="A8371" s="639">
        <v>121413</v>
      </c>
      <c r="B8371" s="639">
        <v>1600</v>
      </c>
      <c r="C8371" s="638">
        <v>5958.3530000000001</v>
      </c>
      <c r="D8371" s="633">
        <f t="shared" si="267"/>
        <v>5958.3530000000001</v>
      </c>
      <c r="E8371" s="608"/>
      <c r="F8371" s="760">
        <f t="shared" si="268"/>
        <v>2513.5028148112406</v>
      </c>
      <c r="M8371" s="443"/>
    </row>
    <row r="8372" spans="1:13">
      <c r="A8372" s="639">
        <v>121413</v>
      </c>
      <c r="B8372" s="639">
        <v>1700</v>
      </c>
      <c r="C8372" s="638">
        <v>6350.8689999999997</v>
      </c>
      <c r="D8372" s="633">
        <f t="shared" si="267"/>
        <v>6350.8689999999997</v>
      </c>
      <c r="E8372" s="608"/>
      <c r="F8372" s="760">
        <f t="shared" si="268"/>
        <v>2679.083818632002</v>
      </c>
      <c r="M8372" s="443"/>
    </row>
    <row r="8373" spans="1:13">
      <c r="A8373" s="639">
        <v>121413</v>
      </c>
      <c r="B8373" s="639">
        <v>1800</v>
      </c>
      <c r="C8373" s="638">
        <v>6803.8019999999997</v>
      </c>
      <c r="D8373" s="633">
        <f t="shared" si="267"/>
        <v>6803.8019999999997</v>
      </c>
      <c r="E8373" s="608"/>
      <c r="F8373" s="760">
        <f t="shared" si="268"/>
        <v>2870.1514459479567</v>
      </c>
      <c r="M8373" s="443"/>
    </row>
    <row r="8374" spans="1:13">
      <c r="A8374" s="639">
        <v>121413</v>
      </c>
      <c r="B8374" s="639">
        <v>1900</v>
      </c>
      <c r="C8374" s="638">
        <v>6751.893</v>
      </c>
      <c r="D8374" s="633">
        <f t="shared" si="267"/>
        <v>6751.893</v>
      </c>
      <c r="E8374" s="608"/>
      <c r="F8374" s="760">
        <f t="shared" si="268"/>
        <v>2848.2538817025961</v>
      </c>
      <c r="M8374" s="443"/>
    </row>
    <row r="8375" spans="1:13">
      <c r="A8375" s="639">
        <v>121413</v>
      </c>
      <c r="B8375" s="639">
        <v>2000</v>
      </c>
      <c r="C8375" s="638">
        <v>6460.4870000000001</v>
      </c>
      <c r="D8375" s="633">
        <f t="shared" si="267"/>
        <v>6460.4870000000001</v>
      </c>
      <c r="E8375" s="608"/>
      <c r="F8375" s="760">
        <f t="shared" si="268"/>
        <v>2725.3256494792145</v>
      </c>
      <c r="M8375" s="443"/>
    </row>
    <row r="8376" spans="1:13">
      <c r="A8376" s="639">
        <v>121413</v>
      </c>
      <c r="B8376" s="639">
        <v>2100</v>
      </c>
      <c r="C8376" s="638">
        <v>6237.2979999999998</v>
      </c>
      <c r="D8376" s="633">
        <f t="shared" si="267"/>
        <v>6237.2979999999998</v>
      </c>
      <c r="E8376" s="608"/>
      <c r="F8376" s="760">
        <f t="shared" si="268"/>
        <v>2631.1744335752715</v>
      </c>
      <c r="M8376" s="443"/>
    </row>
    <row r="8377" spans="1:13">
      <c r="A8377" s="639">
        <v>121413</v>
      </c>
      <c r="B8377" s="639">
        <v>2200</v>
      </c>
      <c r="C8377" s="638">
        <v>5992.2960000000003</v>
      </c>
      <c r="D8377" s="633">
        <f t="shared" si="267"/>
        <v>5992.2960000000003</v>
      </c>
      <c r="E8377" s="608"/>
      <c r="F8377" s="760">
        <f t="shared" si="268"/>
        <v>2527.8215075847534</v>
      </c>
      <c r="M8377" s="443"/>
    </row>
    <row r="8378" spans="1:13">
      <c r="A8378" s="639">
        <v>121413</v>
      </c>
      <c r="B8378" s="639">
        <v>2300</v>
      </c>
      <c r="C8378" s="638">
        <v>5531.4639999999999</v>
      </c>
      <c r="D8378" s="633">
        <f t="shared" si="267"/>
        <v>5531.4639999999999</v>
      </c>
      <c r="E8378" s="608"/>
      <c r="F8378" s="760">
        <f t="shared" si="268"/>
        <v>2333.4217247663983</v>
      </c>
      <c r="M8378" s="443"/>
    </row>
    <row r="8379" spans="1:13">
      <c r="A8379" s="639">
        <v>121413</v>
      </c>
      <c r="B8379" s="639">
        <v>2400</v>
      </c>
      <c r="C8379" s="638">
        <v>4991.2820000000002</v>
      </c>
      <c r="D8379" s="633">
        <f t="shared" si="267"/>
        <v>4991.2820000000002</v>
      </c>
      <c r="E8379" s="608"/>
      <c r="F8379" s="760">
        <f t="shared" si="268"/>
        <v>2105.5485226398432</v>
      </c>
      <c r="M8379" s="443"/>
    </row>
    <row r="8380" spans="1:13">
      <c r="A8380" s="639">
        <v>121513</v>
      </c>
      <c r="B8380" s="639">
        <v>100</v>
      </c>
      <c r="C8380" s="638">
        <v>4549.5609999999997</v>
      </c>
      <c r="D8380" s="633">
        <f t="shared" si="267"/>
        <v>4549.5609999999997</v>
      </c>
      <c r="E8380" s="608"/>
      <c r="F8380" s="760">
        <f t="shared" si="268"/>
        <v>1919.210624086126</v>
      </c>
      <c r="M8380" s="443"/>
    </row>
    <row r="8381" spans="1:13">
      <c r="A8381" s="639">
        <v>121513</v>
      </c>
      <c r="B8381" s="639">
        <v>200</v>
      </c>
      <c r="C8381" s="638">
        <v>4547.1139999999996</v>
      </c>
      <c r="D8381" s="633">
        <f t="shared" si="267"/>
        <v>4547.1139999999996</v>
      </c>
      <c r="E8381" s="608"/>
      <c r="F8381" s="760">
        <f t="shared" si="268"/>
        <v>1918.178368798827</v>
      </c>
      <c r="M8381" s="443"/>
    </row>
    <row r="8382" spans="1:13">
      <c r="A8382" s="639">
        <v>121513</v>
      </c>
      <c r="B8382" s="639">
        <v>300</v>
      </c>
      <c r="C8382" s="638">
        <v>4436.5020000000004</v>
      </c>
      <c r="D8382" s="633">
        <f t="shared" si="267"/>
        <v>4436.5020000000004</v>
      </c>
      <c r="E8382" s="608"/>
      <c r="F8382" s="760">
        <f t="shared" si="268"/>
        <v>1871.5172237891409</v>
      </c>
      <c r="M8382" s="443"/>
    </row>
    <row r="8383" spans="1:13">
      <c r="A8383" s="639">
        <v>121513</v>
      </c>
      <c r="B8383" s="639">
        <v>400</v>
      </c>
      <c r="C8383" s="638">
        <v>4403.5680000000002</v>
      </c>
      <c r="D8383" s="633">
        <f t="shared" si="267"/>
        <v>4403.5680000000002</v>
      </c>
      <c r="E8383" s="608"/>
      <c r="F8383" s="760">
        <f t="shared" si="268"/>
        <v>1857.6241728566106</v>
      </c>
      <c r="M8383" s="443"/>
    </row>
    <row r="8384" spans="1:13">
      <c r="A8384" s="639">
        <v>121513</v>
      </c>
      <c r="B8384" s="639">
        <v>500</v>
      </c>
      <c r="C8384" s="638">
        <v>4398.3159999999998</v>
      </c>
      <c r="D8384" s="633">
        <f t="shared" si="267"/>
        <v>4398.3159999999998</v>
      </c>
      <c r="E8384" s="608"/>
      <c r="F8384" s="760">
        <f t="shared" si="268"/>
        <v>1855.4086416882844</v>
      </c>
      <c r="M8384" s="443"/>
    </row>
    <row r="8385" spans="1:13">
      <c r="A8385" s="639">
        <v>121513</v>
      </c>
      <c r="B8385" s="639">
        <v>600</v>
      </c>
      <c r="C8385" s="638">
        <v>4479.5680000000002</v>
      </c>
      <c r="D8385" s="633">
        <f t="shared" si="267"/>
        <v>4479.5680000000002</v>
      </c>
      <c r="E8385" s="608"/>
      <c r="F8385" s="760">
        <f t="shared" si="268"/>
        <v>1889.6844106313201</v>
      </c>
      <c r="M8385" s="443"/>
    </row>
    <row r="8386" spans="1:13">
      <c r="A8386" s="639">
        <v>121513</v>
      </c>
      <c r="B8386" s="639">
        <v>700</v>
      </c>
      <c r="C8386" s="638">
        <v>4635</v>
      </c>
      <c r="D8386" s="633">
        <f t="shared" si="267"/>
        <v>4635</v>
      </c>
      <c r="E8386" s="608"/>
      <c r="F8386" s="760">
        <f t="shared" si="268"/>
        <v>1955.2526590234077</v>
      </c>
      <c r="M8386" s="443"/>
    </row>
    <row r="8387" spans="1:13">
      <c r="A8387" s="639">
        <v>121513</v>
      </c>
      <c r="B8387" s="639">
        <v>800</v>
      </c>
      <c r="C8387" s="638">
        <v>4885.5209999999997</v>
      </c>
      <c r="D8387" s="633">
        <f t="shared" si="267"/>
        <v>4885.5209999999997</v>
      </c>
      <c r="E8387" s="608"/>
      <c r="F8387" s="760">
        <f t="shared" si="268"/>
        <v>2060.9337488596975</v>
      </c>
      <c r="M8387" s="443"/>
    </row>
    <row r="8388" spans="1:13">
      <c r="A8388" s="639">
        <v>121513</v>
      </c>
      <c r="B8388" s="639">
        <v>900</v>
      </c>
      <c r="C8388" s="638">
        <v>5104.8959999999997</v>
      </c>
      <c r="D8388" s="633">
        <f t="shared" si="267"/>
        <v>5104.8959999999997</v>
      </c>
      <c r="E8388" s="608"/>
      <c r="F8388" s="760">
        <f t="shared" si="268"/>
        <v>2153.4760470416304</v>
      </c>
      <c r="M8388" s="443"/>
    </row>
    <row r="8389" spans="1:13">
      <c r="A8389" s="639">
        <v>121513</v>
      </c>
      <c r="B8389" s="639">
        <v>1000</v>
      </c>
      <c r="C8389" s="638">
        <v>5271.84</v>
      </c>
      <c r="D8389" s="633">
        <f t="shared" ref="D8389:D8452" si="269">C8389</f>
        <v>5271.84</v>
      </c>
      <c r="E8389" s="608"/>
      <c r="F8389" s="760">
        <f t="shared" si="268"/>
        <v>2223.9005777661191</v>
      </c>
      <c r="M8389" s="443"/>
    </row>
    <row r="8390" spans="1:13">
      <c r="A8390" s="639">
        <v>121513</v>
      </c>
      <c r="B8390" s="639">
        <v>1100</v>
      </c>
      <c r="C8390" s="638">
        <v>5347.5730000000003</v>
      </c>
      <c r="D8390" s="633">
        <f t="shared" si="269"/>
        <v>5347.5730000000003</v>
      </c>
      <c r="E8390" s="608"/>
      <c r="F8390" s="760">
        <f t="shared" si="268"/>
        <v>2255.8481828633835</v>
      </c>
      <c r="M8390" s="443"/>
    </row>
    <row r="8391" spans="1:13">
      <c r="A8391" s="639">
        <v>121513</v>
      </c>
      <c r="B8391" s="639">
        <v>1200</v>
      </c>
      <c r="C8391" s="638">
        <v>5284.5749999999998</v>
      </c>
      <c r="D8391" s="633">
        <f t="shared" si="269"/>
        <v>5284.5749999999998</v>
      </c>
      <c r="E8391" s="608"/>
      <c r="F8391" s="760">
        <f t="shared" si="268"/>
        <v>2229.2727768195523</v>
      </c>
      <c r="M8391" s="443"/>
    </row>
    <row r="8392" spans="1:13">
      <c r="A8392" s="639">
        <v>121513</v>
      </c>
      <c r="B8392" s="639">
        <v>1300</v>
      </c>
      <c r="C8392" s="638">
        <v>5021.2079999999996</v>
      </c>
      <c r="D8392" s="633">
        <f t="shared" si="269"/>
        <v>5021.2079999999996</v>
      </c>
      <c r="E8392" s="608"/>
      <c r="F8392" s="760">
        <f t="shared" si="268"/>
        <v>2118.1726631088686</v>
      </c>
      <c r="M8392" s="443"/>
    </row>
    <row r="8393" spans="1:13">
      <c r="A8393" s="639">
        <v>121513</v>
      </c>
      <c r="B8393" s="639">
        <v>1400</v>
      </c>
      <c r="C8393" s="638">
        <v>4981.5619999999999</v>
      </c>
      <c r="D8393" s="633">
        <f t="shared" si="269"/>
        <v>4981.5619999999999</v>
      </c>
      <c r="E8393" s="608"/>
      <c r="F8393" s="760">
        <f t="shared" si="268"/>
        <v>2101.448186966551</v>
      </c>
      <c r="M8393" s="443"/>
    </row>
    <row r="8394" spans="1:13">
      <c r="A8394" s="639">
        <v>121513</v>
      </c>
      <c r="B8394" s="639">
        <v>1500</v>
      </c>
      <c r="C8394" s="638">
        <v>5230.067</v>
      </c>
      <c r="D8394" s="633">
        <f t="shared" si="269"/>
        <v>5230.067</v>
      </c>
      <c r="E8394" s="608"/>
      <c r="F8394" s="760">
        <f t="shared" si="268"/>
        <v>2206.2788368113438</v>
      </c>
      <c r="M8394" s="443"/>
    </row>
    <row r="8395" spans="1:13">
      <c r="A8395" s="639">
        <v>121513</v>
      </c>
      <c r="B8395" s="639">
        <v>1600</v>
      </c>
      <c r="C8395" s="638">
        <v>5333.7759999999998</v>
      </c>
      <c r="D8395" s="633">
        <f t="shared" si="269"/>
        <v>5333.7759999999998</v>
      </c>
      <c r="E8395" s="608"/>
      <c r="F8395" s="760">
        <f t="shared" si="268"/>
        <v>2250.0279841715719</v>
      </c>
      <c r="M8395" s="443"/>
    </row>
    <row r="8396" spans="1:13">
      <c r="A8396" s="639">
        <v>121513</v>
      </c>
      <c r="B8396" s="639">
        <v>1700</v>
      </c>
      <c r="C8396" s="638">
        <v>5797.884</v>
      </c>
      <c r="D8396" s="633">
        <f t="shared" si="269"/>
        <v>5797.884</v>
      </c>
      <c r="E8396" s="608"/>
      <c r="F8396" s="760">
        <f t="shared" si="268"/>
        <v>2445.8097319761105</v>
      </c>
      <c r="M8396" s="443"/>
    </row>
    <row r="8397" spans="1:13">
      <c r="A8397" s="639">
        <v>121513</v>
      </c>
      <c r="B8397" s="639">
        <v>1800</v>
      </c>
      <c r="C8397" s="638">
        <v>6332.6660000000002</v>
      </c>
      <c r="D8397" s="633">
        <f t="shared" si="269"/>
        <v>6332.6660000000002</v>
      </c>
      <c r="E8397" s="608"/>
      <c r="F8397" s="760">
        <f t="shared" si="268"/>
        <v>2671.4049698397257</v>
      </c>
      <c r="M8397" s="443"/>
    </row>
    <row r="8398" spans="1:13">
      <c r="A8398" s="639">
        <v>121513</v>
      </c>
      <c r="B8398" s="639">
        <v>1900</v>
      </c>
      <c r="C8398" s="638">
        <v>6354.53</v>
      </c>
      <c r="D8398" s="633">
        <f t="shared" si="269"/>
        <v>6354.53</v>
      </c>
      <c r="E8398" s="608"/>
      <c r="F8398" s="760">
        <f t="shared" si="268"/>
        <v>2680.6281940332287</v>
      </c>
      <c r="M8398" s="443"/>
    </row>
    <row r="8399" spans="1:13">
      <c r="A8399" s="639">
        <v>121513</v>
      </c>
      <c r="B8399" s="639">
        <v>2000</v>
      </c>
      <c r="C8399" s="638">
        <v>6319.3739999999998</v>
      </c>
      <c r="D8399" s="633">
        <f t="shared" si="269"/>
        <v>6319.3739999999998</v>
      </c>
      <c r="E8399" s="608"/>
      <c r="F8399" s="760">
        <f t="shared" si="268"/>
        <v>2665.7978029910223</v>
      </c>
      <c r="M8399" s="443"/>
    </row>
    <row r="8400" spans="1:13">
      <c r="A8400" s="639">
        <v>121513</v>
      </c>
      <c r="B8400" s="639">
        <v>2100</v>
      </c>
      <c r="C8400" s="638">
        <v>6140.518</v>
      </c>
      <c r="D8400" s="633">
        <f t="shared" si="269"/>
        <v>6140.518</v>
      </c>
      <c r="E8400" s="608"/>
      <c r="F8400" s="760">
        <f t="shared" si="268"/>
        <v>2590.3482518405822</v>
      </c>
      <c r="M8400" s="443"/>
    </row>
    <row r="8401" spans="1:13">
      <c r="A8401" s="639">
        <v>121513</v>
      </c>
      <c r="B8401" s="639">
        <v>2200</v>
      </c>
      <c r="C8401" s="638">
        <v>5796.2920000000004</v>
      </c>
      <c r="D8401" s="633">
        <f t="shared" si="269"/>
        <v>5796.2920000000004</v>
      </c>
      <c r="E8401" s="608"/>
      <c r="F8401" s="760">
        <f t="shared" si="268"/>
        <v>2445.1381543637772</v>
      </c>
      <c r="M8401" s="443"/>
    </row>
    <row r="8402" spans="1:13">
      <c r="A8402" s="639">
        <v>121513</v>
      </c>
      <c r="B8402" s="639">
        <v>2300</v>
      </c>
      <c r="C8402" s="638">
        <v>5105.8130000000001</v>
      </c>
      <c r="D8402" s="633">
        <f t="shared" si="269"/>
        <v>5105.8130000000001</v>
      </c>
      <c r="E8402" s="608"/>
      <c r="F8402" s="760">
        <f t="shared" si="268"/>
        <v>2153.8628791210967</v>
      </c>
      <c r="M8402" s="443"/>
    </row>
    <row r="8403" spans="1:13">
      <c r="A8403" s="639">
        <v>121513</v>
      </c>
      <c r="B8403" s="639">
        <v>2400</v>
      </c>
      <c r="C8403" s="638">
        <v>4388.1639999999998</v>
      </c>
      <c r="D8403" s="633">
        <f t="shared" si="269"/>
        <v>4388.1639999999998</v>
      </c>
      <c r="E8403" s="608"/>
      <c r="F8403" s="760">
        <f t="shared" si="268"/>
        <v>1851.1260688739574</v>
      </c>
      <c r="M8403" s="443"/>
    </row>
    <row r="8404" spans="1:13">
      <c r="A8404" s="639">
        <v>121613</v>
      </c>
      <c r="B8404" s="639">
        <v>100</v>
      </c>
      <c r="C8404" s="638">
        <v>4047.6210000000001</v>
      </c>
      <c r="D8404" s="633">
        <f t="shared" si="269"/>
        <v>4047.6210000000001</v>
      </c>
      <c r="E8404" s="608"/>
      <c r="F8404" s="760">
        <f t="shared" si="268"/>
        <v>1707.4696273935244</v>
      </c>
      <c r="M8404" s="443"/>
    </row>
    <row r="8405" spans="1:13">
      <c r="A8405" s="639">
        <v>121613</v>
      </c>
      <c r="B8405" s="639">
        <v>200</v>
      </c>
      <c r="C8405" s="638">
        <v>4149.3500000000004</v>
      </c>
      <c r="D8405" s="633">
        <f t="shared" si="269"/>
        <v>4149.3500000000004</v>
      </c>
      <c r="E8405" s="608"/>
      <c r="F8405" s="760">
        <f t="shared" si="268"/>
        <v>1750.3835211906749</v>
      </c>
      <c r="M8405" s="443"/>
    </row>
    <row r="8406" spans="1:13">
      <c r="A8406" s="639">
        <v>121613</v>
      </c>
      <c r="B8406" s="639">
        <v>300</v>
      </c>
      <c r="C8406" s="638">
        <v>4161.1469999999999</v>
      </c>
      <c r="D8406" s="633">
        <f t="shared" si="269"/>
        <v>4161.1469999999999</v>
      </c>
      <c r="E8406" s="608"/>
      <c r="F8406" s="760">
        <f t="shared" si="268"/>
        <v>1755.3600294147307</v>
      </c>
      <c r="M8406" s="443"/>
    </row>
    <row r="8407" spans="1:13">
      <c r="A8407" s="639">
        <v>121613</v>
      </c>
      <c r="B8407" s="639">
        <v>400</v>
      </c>
      <c r="C8407" s="638">
        <v>4206.5410000000002</v>
      </c>
      <c r="D8407" s="633">
        <f t="shared" si="269"/>
        <v>4206.5410000000002</v>
      </c>
      <c r="E8407" s="608"/>
      <c r="F8407" s="760">
        <f t="shared" si="268"/>
        <v>1774.5092719613776</v>
      </c>
      <c r="M8407" s="443"/>
    </row>
    <row r="8408" spans="1:13">
      <c r="A8408" s="639">
        <v>121613</v>
      </c>
      <c r="B8408" s="639">
        <v>500</v>
      </c>
      <c r="C8408" s="638">
        <v>4335.7089999999998</v>
      </c>
      <c r="D8408" s="633">
        <f t="shared" si="269"/>
        <v>4335.7089999999998</v>
      </c>
      <c r="E8408" s="608"/>
      <c r="F8408" s="760">
        <f t="shared" si="268"/>
        <v>1828.9981771308996</v>
      </c>
      <c r="M8408" s="443"/>
    </row>
    <row r="8409" spans="1:13">
      <c r="A8409" s="639">
        <v>121613</v>
      </c>
      <c r="B8409" s="639">
        <v>600</v>
      </c>
      <c r="C8409" s="638">
        <v>4640.2979999999998</v>
      </c>
      <c r="D8409" s="633">
        <f t="shared" si="269"/>
        <v>4640.2979999999998</v>
      </c>
      <c r="E8409" s="608"/>
      <c r="F8409" s="760">
        <f t="shared" si="268"/>
        <v>1957.487595072492</v>
      </c>
      <c r="M8409" s="443"/>
    </row>
    <row r="8410" spans="1:13">
      <c r="A8410" s="639">
        <v>121613</v>
      </c>
      <c r="B8410" s="639">
        <v>700</v>
      </c>
      <c r="C8410" s="638">
        <v>5176.2969999999996</v>
      </c>
      <c r="D8410" s="633">
        <f t="shared" si="269"/>
        <v>5176.2969999999996</v>
      </c>
      <c r="E8410" s="608"/>
      <c r="F8410" s="760">
        <f t="shared" si="268"/>
        <v>2183.5962185857366</v>
      </c>
      <c r="M8410" s="443"/>
    </row>
    <row r="8411" spans="1:13">
      <c r="A8411" s="639">
        <v>121613</v>
      </c>
      <c r="B8411" s="639">
        <v>800</v>
      </c>
      <c r="C8411" s="638">
        <v>5446.15</v>
      </c>
      <c r="D8411" s="633">
        <f t="shared" si="269"/>
        <v>5446.15</v>
      </c>
      <c r="E8411" s="608"/>
      <c r="F8411" s="760">
        <f t="shared" si="268"/>
        <v>2297.4324204833511</v>
      </c>
      <c r="M8411" s="443"/>
    </row>
    <row r="8412" spans="1:13">
      <c r="A8412" s="639">
        <v>121613</v>
      </c>
      <c r="B8412" s="639">
        <v>900</v>
      </c>
      <c r="C8412" s="638">
        <v>5316.6049999999996</v>
      </c>
      <c r="D8412" s="633">
        <f t="shared" si="269"/>
        <v>5316.6049999999996</v>
      </c>
      <c r="E8412" s="608"/>
      <c r="F8412" s="760">
        <f t="shared" si="268"/>
        <v>2242.7844796606569</v>
      </c>
      <c r="M8412" s="443"/>
    </row>
    <row r="8413" spans="1:13">
      <c r="A8413" s="639">
        <v>121613</v>
      </c>
      <c r="B8413" s="639">
        <v>1000</v>
      </c>
      <c r="C8413" s="638">
        <v>5133.57</v>
      </c>
      <c r="D8413" s="633">
        <f t="shared" si="269"/>
        <v>5133.57</v>
      </c>
      <c r="E8413" s="608"/>
      <c r="F8413" s="760">
        <f t="shared" si="268"/>
        <v>2165.5720372778414</v>
      </c>
      <c r="M8413" s="443"/>
    </row>
    <row r="8414" spans="1:13">
      <c r="A8414" s="639">
        <v>121613</v>
      </c>
      <c r="B8414" s="639">
        <v>1100</v>
      </c>
      <c r="C8414" s="638">
        <v>4574.5820000000003</v>
      </c>
      <c r="D8414" s="633">
        <f t="shared" si="269"/>
        <v>4574.5820000000003</v>
      </c>
      <c r="E8414" s="608"/>
      <c r="F8414" s="760">
        <f t="shared" si="268"/>
        <v>1929.7656136829817</v>
      </c>
      <c r="M8414" s="443"/>
    </row>
    <row r="8415" spans="1:13">
      <c r="A8415" s="639">
        <v>121613</v>
      </c>
      <c r="B8415" s="639">
        <v>1200</v>
      </c>
      <c r="C8415" s="638">
        <v>4511.2</v>
      </c>
      <c r="D8415" s="633">
        <f t="shared" si="269"/>
        <v>4511.2</v>
      </c>
      <c r="E8415" s="608"/>
      <c r="F8415" s="760">
        <f t="shared" si="268"/>
        <v>1903.0282190693413</v>
      </c>
      <c r="M8415" s="443"/>
    </row>
    <row r="8416" spans="1:13">
      <c r="A8416" s="639">
        <v>121613</v>
      </c>
      <c r="B8416" s="639">
        <v>1300</v>
      </c>
      <c r="C8416" s="638">
        <v>4326.0150000000003</v>
      </c>
      <c r="D8416" s="633">
        <f t="shared" si="269"/>
        <v>4326.0150000000003</v>
      </c>
      <c r="E8416" s="608"/>
      <c r="F8416" s="760">
        <f t="shared" si="268"/>
        <v>1824.9088094336889</v>
      </c>
      <c r="M8416" s="443"/>
    </row>
    <row r="8417" spans="1:13">
      <c r="A8417" s="639">
        <v>121613</v>
      </c>
      <c r="B8417" s="639">
        <v>1400</v>
      </c>
      <c r="C8417" s="638">
        <v>4288.4709999999995</v>
      </c>
      <c r="D8417" s="633">
        <f t="shared" si="269"/>
        <v>4288.4709999999995</v>
      </c>
      <c r="E8417" s="608"/>
      <c r="F8417" s="760">
        <f t="shared" si="268"/>
        <v>1809.0710519729821</v>
      </c>
      <c r="M8417" s="443"/>
    </row>
    <row r="8418" spans="1:13">
      <c r="A8418" s="639">
        <v>121613</v>
      </c>
      <c r="B8418" s="639">
        <v>1500</v>
      </c>
      <c r="C8418" s="638">
        <v>4286.1819999999998</v>
      </c>
      <c r="D8418" s="633">
        <f t="shared" si="269"/>
        <v>4286.1819999999998</v>
      </c>
      <c r="E8418" s="608"/>
      <c r="F8418" s="760">
        <f t="shared" si="268"/>
        <v>1808.105448232636</v>
      </c>
      <c r="M8418" s="443"/>
    </row>
    <row r="8419" spans="1:13">
      <c r="A8419" s="639">
        <v>121613</v>
      </c>
      <c r="B8419" s="639">
        <v>1600</v>
      </c>
      <c r="C8419" s="638">
        <v>4651.4430000000002</v>
      </c>
      <c r="D8419" s="633">
        <f t="shared" si="269"/>
        <v>4651.4430000000002</v>
      </c>
      <c r="E8419" s="608"/>
      <c r="F8419" s="760">
        <f t="shared" si="268"/>
        <v>1962.1890602040601</v>
      </c>
      <c r="M8419" s="443"/>
    </row>
    <row r="8420" spans="1:13">
      <c r="A8420" s="639">
        <v>121613</v>
      </c>
      <c r="B8420" s="639">
        <v>1700</v>
      </c>
      <c r="C8420" s="638">
        <v>5236.0879999999997</v>
      </c>
      <c r="D8420" s="633">
        <f t="shared" si="269"/>
        <v>5236.0879999999997</v>
      </c>
      <c r="E8420" s="608"/>
      <c r="F8420" s="760">
        <f t="shared" si="268"/>
        <v>2208.8187669645217</v>
      </c>
      <c r="M8420" s="443"/>
    </row>
    <row r="8421" spans="1:13">
      <c r="A8421" s="639">
        <v>121613</v>
      </c>
      <c r="B8421" s="639">
        <v>1800</v>
      </c>
      <c r="C8421" s="638">
        <v>5972.2950000000001</v>
      </c>
      <c r="D8421" s="633">
        <f t="shared" si="269"/>
        <v>5972.2950000000001</v>
      </c>
      <c r="E8421" s="608"/>
      <c r="F8421" s="760">
        <f t="shared" si="268"/>
        <v>2519.3841810619638</v>
      </c>
      <c r="M8421" s="443"/>
    </row>
    <row r="8422" spans="1:13">
      <c r="A8422" s="639">
        <v>121613</v>
      </c>
      <c r="B8422" s="639">
        <v>1900</v>
      </c>
      <c r="C8422" s="638">
        <v>6301.0330000000004</v>
      </c>
      <c r="D8422" s="633">
        <f t="shared" si="269"/>
        <v>6301.0330000000004</v>
      </c>
      <c r="E8422" s="608"/>
      <c r="F8422" s="760">
        <f t="shared" si="268"/>
        <v>2658.0607395564703</v>
      </c>
      <c r="M8422" s="443"/>
    </row>
    <row r="8423" spans="1:13">
      <c r="A8423" s="639">
        <v>121613</v>
      </c>
      <c r="B8423" s="639">
        <v>2000</v>
      </c>
      <c r="C8423" s="638">
        <v>6335.3630000000003</v>
      </c>
      <c r="D8423" s="633">
        <f t="shared" si="269"/>
        <v>6335.3630000000003</v>
      </c>
      <c r="E8423" s="608"/>
      <c r="F8423" s="760">
        <f t="shared" si="268"/>
        <v>2672.542686435494</v>
      </c>
      <c r="M8423" s="443"/>
    </row>
    <row r="8424" spans="1:13">
      <c r="A8424" s="639">
        <v>121613</v>
      </c>
      <c r="B8424" s="639">
        <v>2100</v>
      </c>
      <c r="C8424" s="638">
        <v>6231.88</v>
      </c>
      <c r="D8424" s="633">
        <f t="shared" si="269"/>
        <v>6231.88</v>
      </c>
      <c r="E8424" s="608"/>
      <c r="F8424" s="760">
        <f t="shared" si="268"/>
        <v>2628.8888760981217</v>
      </c>
      <c r="M8424" s="443"/>
    </row>
    <row r="8425" spans="1:13">
      <c r="A8425" s="639">
        <v>121613</v>
      </c>
      <c r="B8425" s="639">
        <v>2200</v>
      </c>
      <c r="C8425" s="638">
        <v>6050.9409999999998</v>
      </c>
      <c r="D8425" s="633">
        <f t="shared" si="269"/>
        <v>6050.9409999999998</v>
      </c>
      <c r="E8425" s="608"/>
      <c r="F8425" s="760">
        <f t="shared" si="268"/>
        <v>2552.5606213255141</v>
      </c>
      <c r="M8425" s="443"/>
    </row>
    <row r="8426" spans="1:13">
      <c r="A8426" s="639">
        <v>121613</v>
      </c>
      <c r="B8426" s="639">
        <v>2300</v>
      </c>
      <c r="C8426" s="638">
        <v>5519.1469999999999</v>
      </c>
      <c r="D8426" s="633">
        <f t="shared" si="269"/>
        <v>5519.1469999999999</v>
      </c>
      <c r="E8426" s="608"/>
      <c r="F8426" s="760">
        <f t="shared" si="268"/>
        <v>2328.2258570207259</v>
      </c>
      <c r="M8426" s="443"/>
    </row>
    <row r="8427" spans="1:13">
      <c r="A8427" s="639">
        <v>121613</v>
      </c>
      <c r="B8427" s="639">
        <v>2400</v>
      </c>
      <c r="C8427" s="638">
        <v>4912.9920000000002</v>
      </c>
      <c r="D8427" s="633">
        <f t="shared" si="269"/>
        <v>4912.9920000000002</v>
      </c>
      <c r="E8427" s="608"/>
      <c r="F8427" s="760">
        <f t="shared" si="268"/>
        <v>2072.5222592795535</v>
      </c>
      <c r="M8427" s="443"/>
    </row>
    <row r="8428" spans="1:13">
      <c r="A8428" s="639">
        <v>121713</v>
      </c>
      <c r="B8428" s="639">
        <v>100</v>
      </c>
      <c r="C8428" s="638">
        <v>4521.1970000000001</v>
      </c>
      <c r="D8428" s="633">
        <f t="shared" si="269"/>
        <v>4521.1970000000001</v>
      </c>
      <c r="E8428" s="608"/>
      <c r="F8428" s="760">
        <f t="shared" ref="F8428:F8491" si="270">(D8428/(MAX($D$8044:$D$8787)))*$M$15</f>
        <v>1907.2454058724172</v>
      </c>
      <c r="M8428" s="443"/>
    </row>
    <row r="8429" spans="1:13">
      <c r="A8429" s="639">
        <v>121713</v>
      </c>
      <c r="B8429" s="639">
        <v>200</v>
      </c>
      <c r="C8429" s="638">
        <v>4490.6130000000003</v>
      </c>
      <c r="D8429" s="633">
        <f t="shared" si="269"/>
        <v>4490.6130000000003</v>
      </c>
      <c r="E8429" s="608"/>
      <c r="F8429" s="760">
        <f t="shared" si="270"/>
        <v>1894.3436912395</v>
      </c>
      <c r="M8429" s="443"/>
    </row>
    <row r="8430" spans="1:13">
      <c r="A8430" s="639">
        <v>121713</v>
      </c>
      <c r="B8430" s="639">
        <v>300</v>
      </c>
      <c r="C8430" s="638">
        <v>4420.6869999999999</v>
      </c>
      <c r="D8430" s="633">
        <f t="shared" si="269"/>
        <v>4420.6869999999999</v>
      </c>
      <c r="E8430" s="608"/>
      <c r="F8430" s="760">
        <f t="shared" si="270"/>
        <v>1864.8457414153638</v>
      </c>
      <c r="M8430" s="443"/>
    </row>
    <row r="8431" spans="1:13">
      <c r="A8431" s="639">
        <v>121713</v>
      </c>
      <c r="B8431" s="639">
        <v>400</v>
      </c>
      <c r="C8431" s="638">
        <v>4384.5780000000004</v>
      </c>
      <c r="D8431" s="633">
        <f t="shared" si="269"/>
        <v>4384.5780000000004</v>
      </c>
      <c r="E8431" s="608"/>
      <c r="F8431" s="760">
        <f t="shared" si="270"/>
        <v>1849.6133318652719</v>
      </c>
      <c r="M8431" s="443"/>
    </row>
    <row r="8432" spans="1:13">
      <c r="A8432" s="639">
        <v>121713</v>
      </c>
      <c r="B8432" s="639">
        <v>500</v>
      </c>
      <c r="C8432" s="638">
        <v>4475.268</v>
      </c>
      <c r="D8432" s="633">
        <f t="shared" si="269"/>
        <v>4475.268</v>
      </c>
      <c r="E8432" s="608"/>
      <c r="F8432" s="760">
        <f t="shared" si="270"/>
        <v>1887.8704761256456</v>
      </c>
      <c r="M8432" s="443"/>
    </row>
    <row r="8433" spans="1:13">
      <c r="A8433" s="639">
        <v>121713</v>
      </c>
      <c r="B8433" s="639">
        <v>600</v>
      </c>
      <c r="C8433" s="638">
        <v>4785.4409999999998</v>
      </c>
      <c r="D8433" s="633">
        <f t="shared" si="269"/>
        <v>4785.4409999999998</v>
      </c>
      <c r="E8433" s="608"/>
      <c r="F8433" s="760">
        <f t="shared" si="270"/>
        <v>2018.7154778532115</v>
      </c>
      <c r="M8433" s="443"/>
    </row>
    <row r="8434" spans="1:13">
      <c r="A8434" s="639">
        <v>121713</v>
      </c>
      <c r="B8434" s="639">
        <v>700</v>
      </c>
      <c r="C8434" s="638">
        <v>5284.6809999999996</v>
      </c>
      <c r="D8434" s="633">
        <f t="shared" si="269"/>
        <v>5284.6809999999996</v>
      </c>
      <c r="E8434" s="608"/>
      <c r="F8434" s="760">
        <f t="shared" si="270"/>
        <v>2229.3174924143432</v>
      </c>
      <c r="M8434" s="443"/>
    </row>
    <row r="8435" spans="1:13">
      <c r="A8435" s="639">
        <v>121713</v>
      </c>
      <c r="B8435" s="639">
        <v>800</v>
      </c>
      <c r="C8435" s="638">
        <v>5500.3249999999998</v>
      </c>
      <c r="D8435" s="633">
        <f t="shared" si="269"/>
        <v>5500.3249999999998</v>
      </c>
      <c r="E8435" s="608"/>
      <c r="F8435" s="760">
        <f t="shared" si="270"/>
        <v>2320.2858860286788</v>
      </c>
      <c r="M8435" s="443"/>
    </row>
    <row r="8436" spans="1:13">
      <c r="A8436" s="639">
        <v>121713</v>
      </c>
      <c r="B8436" s="639">
        <v>900</v>
      </c>
      <c r="C8436" s="638">
        <v>5340.6090000000004</v>
      </c>
      <c r="D8436" s="633">
        <f t="shared" si="269"/>
        <v>5340.6090000000004</v>
      </c>
      <c r="E8436" s="608"/>
      <c r="F8436" s="760">
        <f t="shared" si="270"/>
        <v>2252.9104526546589</v>
      </c>
      <c r="M8436" s="443"/>
    </row>
    <row r="8437" spans="1:13">
      <c r="A8437" s="639">
        <v>121713</v>
      </c>
      <c r="B8437" s="639">
        <v>1000</v>
      </c>
      <c r="C8437" s="638">
        <v>5185.0379999999996</v>
      </c>
      <c r="D8437" s="633">
        <f t="shared" si="269"/>
        <v>5185.0379999999996</v>
      </c>
      <c r="E8437" s="608"/>
      <c r="F8437" s="760">
        <f t="shared" si="270"/>
        <v>2187.2835677750618</v>
      </c>
      <c r="M8437" s="443"/>
    </row>
    <row r="8438" spans="1:13">
      <c r="A8438" s="639">
        <v>121713</v>
      </c>
      <c r="B8438" s="639">
        <v>1100</v>
      </c>
      <c r="C8438" s="638">
        <v>5134.2250000000004</v>
      </c>
      <c r="D8438" s="633">
        <f t="shared" si="269"/>
        <v>5134.2250000000004</v>
      </c>
      <c r="E8438" s="608"/>
      <c r="F8438" s="760">
        <f t="shared" si="270"/>
        <v>2165.8483459060317</v>
      </c>
      <c r="M8438" s="443"/>
    </row>
    <row r="8439" spans="1:13">
      <c r="A8439" s="639">
        <v>121713</v>
      </c>
      <c r="B8439" s="639">
        <v>1200</v>
      </c>
      <c r="C8439" s="638">
        <v>4764.6540000000005</v>
      </c>
      <c r="D8439" s="633">
        <f t="shared" si="269"/>
        <v>4764.6540000000005</v>
      </c>
      <c r="E8439" s="608"/>
      <c r="F8439" s="760">
        <f t="shared" si="270"/>
        <v>2009.9465809765948</v>
      </c>
      <c r="M8439" s="443"/>
    </row>
    <row r="8440" spans="1:13">
      <c r="A8440" s="639">
        <v>121713</v>
      </c>
      <c r="B8440" s="639">
        <v>1300</v>
      </c>
      <c r="C8440" s="638">
        <v>4478.5709999999999</v>
      </c>
      <c r="D8440" s="633">
        <f t="shared" si="269"/>
        <v>4478.5709999999999</v>
      </c>
      <c r="E8440" s="608"/>
      <c r="F8440" s="760">
        <f t="shared" si="270"/>
        <v>1889.2638309331439</v>
      </c>
      <c r="M8440" s="443"/>
    </row>
    <row r="8441" spans="1:13">
      <c r="A8441" s="639">
        <v>121713</v>
      </c>
      <c r="B8441" s="639">
        <v>1400</v>
      </c>
      <c r="C8441" s="638">
        <v>4549.8789999999999</v>
      </c>
      <c r="D8441" s="633">
        <f t="shared" si="269"/>
        <v>4549.8789999999999</v>
      </c>
      <c r="E8441" s="608"/>
      <c r="F8441" s="760">
        <f t="shared" si="270"/>
        <v>1919.3447708704991</v>
      </c>
      <c r="M8441" s="443"/>
    </row>
    <row r="8442" spans="1:13">
      <c r="A8442" s="639">
        <v>121713</v>
      </c>
      <c r="B8442" s="639">
        <v>1500</v>
      </c>
      <c r="C8442" s="638">
        <v>4905.018</v>
      </c>
      <c r="D8442" s="633">
        <f t="shared" si="269"/>
        <v>4905.018</v>
      </c>
      <c r="E8442" s="608"/>
      <c r="F8442" s="760">
        <f t="shared" si="270"/>
        <v>2069.1584653846121</v>
      </c>
      <c r="M8442" s="443"/>
    </row>
    <row r="8443" spans="1:13">
      <c r="A8443" s="639">
        <v>121713</v>
      </c>
      <c r="B8443" s="639">
        <v>1600</v>
      </c>
      <c r="C8443" s="638">
        <v>5024.9920000000002</v>
      </c>
      <c r="D8443" s="633">
        <f t="shared" si="269"/>
        <v>5024.9920000000002</v>
      </c>
      <c r="E8443" s="608"/>
      <c r="F8443" s="760">
        <f t="shared" si="270"/>
        <v>2119.7689254738625</v>
      </c>
      <c r="M8443" s="443"/>
    </row>
    <row r="8444" spans="1:13">
      <c r="A8444" s="639">
        <v>121713</v>
      </c>
      <c r="B8444" s="639">
        <v>1700</v>
      </c>
      <c r="C8444" s="638">
        <v>5367.2020000000002</v>
      </c>
      <c r="D8444" s="633">
        <f t="shared" si="269"/>
        <v>5367.2020000000002</v>
      </c>
      <c r="E8444" s="608"/>
      <c r="F8444" s="760">
        <f t="shared" si="270"/>
        <v>2264.1285829591698</v>
      </c>
      <c r="M8444" s="443"/>
    </row>
    <row r="8445" spans="1:13">
      <c r="A8445" s="639">
        <v>121713</v>
      </c>
      <c r="B8445" s="639">
        <v>1800</v>
      </c>
      <c r="C8445" s="638">
        <v>5971.6229999999996</v>
      </c>
      <c r="D8445" s="633">
        <f t="shared" si="269"/>
        <v>5971.6229999999996</v>
      </c>
      <c r="E8445" s="608"/>
      <c r="F8445" s="760">
        <f t="shared" si="270"/>
        <v>2519.1007010647982</v>
      </c>
      <c r="M8445" s="443"/>
    </row>
    <row r="8446" spans="1:13">
      <c r="A8446" s="639">
        <v>121713</v>
      </c>
      <c r="B8446" s="639">
        <v>1900</v>
      </c>
      <c r="C8446" s="638">
        <v>6045.4790000000003</v>
      </c>
      <c r="D8446" s="633">
        <f t="shared" si="269"/>
        <v>6045.4790000000003</v>
      </c>
      <c r="E8446" s="608"/>
      <c r="F8446" s="760">
        <f t="shared" si="270"/>
        <v>2550.2565026580742</v>
      </c>
      <c r="M8446" s="443"/>
    </row>
    <row r="8447" spans="1:13">
      <c r="A8447" s="639">
        <v>121713</v>
      </c>
      <c r="B8447" s="639">
        <v>2000</v>
      </c>
      <c r="C8447" s="638">
        <v>5964.5050000000001</v>
      </c>
      <c r="D8447" s="633">
        <f t="shared" si="269"/>
        <v>5964.5050000000001</v>
      </c>
      <c r="E8447" s="608"/>
      <c r="F8447" s="760">
        <f t="shared" si="270"/>
        <v>2516.0980066900561</v>
      </c>
      <c r="M8447" s="443"/>
    </row>
    <row r="8448" spans="1:13">
      <c r="A8448" s="639">
        <v>121713</v>
      </c>
      <c r="B8448" s="639">
        <v>2100</v>
      </c>
      <c r="C8448" s="638">
        <v>5903.1040000000003</v>
      </c>
      <c r="D8448" s="633">
        <f t="shared" si="269"/>
        <v>5903.1040000000003</v>
      </c>
      <c r="E8448" s="608"/>
      <c r="F8448" s="760">
        <f t="shared" si="270"/>
        <v>2490.1962874847281</v>
      </c>
      <c r="M8448" s="443"/>
    </row>
    <row r="8449" spans="1:13">
      <c r="A8449" s="639">
        <v>121713</v>
      </c>
      <c r="B8449" s="639">
        <v>2200</v>
      </c>
      <c r="C8449" s="638">
        <v>5677.1350000000002</v>
      </c>
      <c r="D8449" s="633">
        <f t="shared" si="269"/>
        <v>5677.1350000000002</v>
      </c>
      <c r="E8449" s="608"/>
      <c r="F8449" s="760">
        <f t="shared" si="270"/>
        <v>2394.8723418306054</v>
      </c>
      <c r="M8449" s="443"/>
    </row>
    <row r="8450" spans="1:13">
      <c r="A8450" s="639">
        <v>121713</v>
      </c>
      <c r="B8450" s="639">
        <v>2300</v>
      </c>
      <c r="C8450" s="638">
        <v>5043.4740000000002</v>
      </c>
      <c r="D8450" s="633">
        <f t="shared" si="269"/>
        <v>5043.4740000000002</v>
      </c>
      <c r="E8450" s="608"/>
      <c r="F8450" s="760">
        <f t="shared" si="270"/>
        <v>2127.5654690863912</v>
      </c>
      <c r="M8450" s="443"/>
    </row>
    <row r="8451" spans="1:13">
      <c r="A8451" s="639">
        <v>121713</v>
      </c>
      <c r="B8451" s="639">
        <v>2400</v>
      </c>
      <c r="C8451" s="638">
        <v>4420.8559999999998</v>
      </c>
      <c r="D8451" s="633">
        <f t="shared" si="269"/>
        <v>4420.8559999999998</v>
      </c>
      <c r="E8451" s="608"/>
      <c r="F8451" s="760">
        <f t="shared" si="270"/>
        <v>1864.9170332598892</v>
      </c>
      <c r="M8451" s="443"/>
    </row>
    <row r="8452" spans="1:13">
      <c r="A8452" s="639">
        <v>121813</v>
      </c>
      <c r="B8452" s="639">
        <v>100</v>
      </c>
      <c r="C8452" s="638">
        <v>4021.5729999999999</v>
      </c>
      <c r="D8452" s="633">
        <f t="shared" si="269"/>
        <v>4021.5729999999999</v>
      </c>
      <c r="E8452" s="608"/>
      <c r="F8452" s="760">
        <f t="shared" si="270"/>
        <v>1696.4814027414764</v>
      </c>
      <c r="M8452" s="443"/>
    </row>
    <row r="8453" spans="1:13">
      <c r="A8453" s="639">
        <v>121813</v>
      </c>
      <c r="B8453" s="639">
        <v>200</v>
      </c>
      <c r="C8453" s="638">
        <v>3975.931</v>
      </c>
      <c r="D8453" s="633">
        <f t="shared" ref="D8453:D8516" si="271">C8453</f>
        <v>3975.931</v>
      </c>
      <c r="E8453" s="608"/>
      <c r="F8453" s="760">
        <f t="shared" si="270"/>
        <v>1677.2275425768278</v>
      </c>
      <c r="M8453" s="443"/>
    </row>
    <row r="8454" spans="1:13">
      <c r="A8454" s="639">
        <v>121813</v>
      </c>
      <c r="B8454" s="639">
        <v>300</v>
      </c>
      <c r="C8454" s="638">
        <v>3888.17</v>
      </c>
      <c r="D8454" s="633">
        <f t="shared" si="271"/>
        <v>3888.17</v>
      </c>
      <c r="E8454" s="608"/>
      <c r="F8454" s="760">
        <f t="shared" si="270"/>
        <v>1640.2059830064818</v>
      </c>
      <c r="M8454" s="443"/>
    </row>
    <row r="8455" spans="1:13">
      <c r="A8455" s="639">
        <v>121813</v>
      </c>
      <c r="B8455" s="639">
        <v>400</v>
      </c>
      <c r="C8455" s="638">
        <v>3872.471</v>
      </c>
      <c r="D8455" s="633">
        <f t="shared" si="271"/>
        <v>3872.471</v>
      </c>
      <c r="E8455" s="608"/>
      <c r="F8455" s="760">
        <f t="shared" si="270"/>
        <v>1633.5834346798351</v>
      </c>
      <c r="M8455" s="443"/>
    </row>
    <row r="8456" spans="1:13">
      <c r="A8456" s="639">
        <v>121813</v>
      </c>
      <c r="B8456" s="639">
        <v>500</v>
      </c>
      <c r="C8456" s="638">
        <v>3927.0030000000002</v>
      </c>
      <c r="D8456" s="633">
        <f t="shared" si="271"/>
        <v>3927.0030000000002</v>
      </c>
      <c r="E8456" s="608"/>
      <c r="F8456" s="760">
        <f t="shared" si="270"/>
        <v>1656.5874989736567</v>
      </c>
      <c r="M8456" s="443"/>
    </row>
    <row r="8457" spans="1:13">
      <c r="A8457" s="639">
        <v>121813</v>
      </c>
      <c r="B8457" s="639">
        <v>600</v>
      </c>
      <c r="C8457" s="638">
        <v>4297.57</v>
      </c>
      <c r="D8457" s="633">
        <f t="shared" si="271"/>
        <v>4297.57</v>
      </c>
      <c r="E8457" s="608"/>
      <c r="F8457" s="760">
        <f t="shared" si="270"/>
        <v>1812.9094217560357</v>
      </c>
      <c r="M8457" s="443"/>
    </row>
    <row r="8458" spans="1:13">
      <c r="A8458" s="639">
        <v>121813</v>
      </c>
      <c r="B8458" s="639">
        <v>700</v>
      </c>
      <c r="C8458" s="638">
        <v>4817.9210000000003</v>
      </c>
      <c r="D8458" s="633">
        <f t="shared" si="271"/>
        <v>4817.9210000000003</v>
      </c>
      <c r="E8458" s="608"/>
      <c r="F8458" s="760">
        <f t="shared" si="270"/>
        <v>2032.4170110495611</v>
      </c>
      <c r="M8458" s="443"/>
    </row>
    <row r="8459" spans="1:13">
      <c r="A8459" s="639">
        <v>121813</v>
      </c>
      <c r="B8459" s="639">
        <v>800</v>
      </c>
      <c r="C8459" s="638">
        <v>5111.4399999999996</v>
      </c>
      <c r="D8459" s="633">
        <f t="shared" si="271"/>
        <v>5111.4399999999996</v>
      </c>
      <c r="E8459" s="608"/>
      <c r="F8459" s="760">
        <f t="shared" si="270"/>
        <v>2156.2366022521264</v>
      </c>
      <c r="M8459" s="443"/>
    </row>
    <row r="8460" spans="1:13">
      <c r="A8460" s="639">
        <v>121813</v>
      </c>
      <c r="B8460" s="639">
        <v>900</v>
      </c>
      <c r="C8460" s="638">
        <v>5016.4539999999997</v>
      </c>
      <c r="D8460" s="633">
        <f t="shared" si="271"/>
        <v>5016.4539999999997</v>
      </c>
      <c r="E8460" s="608"/>
      <c r="F8460" s="760">
        <f t="shared" si="270"/>
        <v>2116.1672108670141</v>
      </c>
      <c r="M8460" s="443"/>
    </row>
    <row r="8461" spans="1:13">
      <c r="A8461" s="639">
        <v>121813</v>
      </c>
      <c r="B8461" s="639">
        <v>1000</v>
      </c>
      <c r="C8461" s="638">
        <v>4863.3770000000004</v>
      </c>
      <c r="D8461" s="633">
        <f t="shared" si="271"/>
        <v>4863.3770000000004</v>
      </c>
      <c r="E8461" s="608"/>
      <c r="F8461" s="760">
        <f t="shared" si="270"/>
        <v>2051.5924080007085</v>
      </c>
      <c r="M8461" s="443"/>
    </row>
    <row r="8462" spans="1:13">
      <c r="A8462" s="639">
        <v>121813</v>
      </c>
      <c r="B8462" s="639">
        <v>1100</v>
      </c>
      <c r="C8462" s="638">
        <v>4807.7299999999996</v>
      </c>
      <c r="D8462" s="633">
        <f t="shared" si="271"/>
        <v>4807.7299999999996</v>
      </c>
      <c r="E8462" s="608"/>
      <c r="F8462" s="760">
        <f t="shared" si="270"/>
        <v>2028.1179862711126</v>
      </c>
      <c r="M8462" s="443"/>
    </row>
    <row r="8463" spans="1:13">
      <c r="A8463" s="639">
        <v>121813</v>
      </c>
      <c r="B8463" s="639">
        <v>1200</v>
      </c>
      <c r="C8463" s="638">
        <v>4586.0309999999999</v>
      </c>
      <c r="D8463" s="633">
        <f t="shared" si="271"/>
        <v>4586.0309999999999</v>
      </c>
      <c r="E8463" s="608"/>
      <c r="F8463" s="760">
        <f t="shared" si="270"/>
        <v>1934.5953197656481</v>
      </c>
      <c r="M8463" s="443"/>
    </row>
    <row r="8464" spans="1:13">
      <c r="A8464" s="639">
        <v>121813</v>
      </c>
      <c r="B8464" s="639">
        <v>1300</v>
      </c>
      <c r="C8464" s="638">
        <v>4414.0320000000002</v>
      </c>
      <c r="D8464" s="633">
        <f t="shared" si="271"/>
        <v>4414.0320000000002</v>
      </c>
      <c r="E8464" s="608"/>
      <c r="F8464" s="760">
        <f t="shared" si="270"/>
        <v>1862.0383613839074</v>
      </c>
      <c r="M8464" s="443"/>
    </row>
    <row r="8465" spans="1:13">
      <c r="A8465" s="639">
        <v>121813</v>
      </c>
      <c r="B8465" s="639">
        <v>1400</v>
      </c>
      <c r="C8465" s="638">
        <v>4492.8</v>
      </c>
      <c r="D8465" s="633">
        <f t="shared" si="271"/>
        <v>4492.8</v>
      </c>
      <c r="E8465" s="608"/>
      <c r="F8465" s="760">
        <f t="shared" si="270"/>
        <v>1895.2662667659906</v>
      </c>
      <c r="M8465" s="443"/>
    </row>
    <row r="8466" spans="1:13">
      <c r="A8466" s="639">
        <v>121813</v>
      </c>
      <c r="B8466" s="639">
        <v>1500</v>
      </c>
      <c r="C8466" s="638">
        <v>4636.857</v>
      </c>
      <c r="D8466" s="633">
        <f t="shared" si="271"/>
        <v>4636.857</v>
      </c>
      <c r="E8466" s="608"/>
      <c r="F8466" s="760">
        <f t="shared" si="270"/>
        <v>1956.0360256227189</v>
      </c>
      <c r="M8466" s="443"/>
    </row>
    <row r="8467" spans="1:13">
      <c r="A8467" s="639">
        <v>121813</v>
      </c>
      <c r="B8467" s="639">
        <v>1600</v>
      </c>
      <c r="C8467" s="638">
        <v>4846.4889999999996</v>
      </c>
      <c r="D8467" s="633">
        <f t="shared" si="271"/>
        <v>4846.4889999999996</v>
      </c>
      <c r="E8467" s="608"/>
      <c r="F8467" s="760">
        <f t="shared" si="270"/>
        <v>2044.4682856909808</v>
      </c>
      <c r="M8467" s="443"/>
    </row>
    <row r="8468" spans="1:13">
      <c r="A8468" s="639">
        <v>121813</v>
      </c>
      <c r="B8468" s="639">
        <v>1700</v>
      </c>
      <c r="C8468" s="638">
        <v>5244.1059999999998</v>
      </c>
      <c r="D8468" s="633">
        <f t="shared" si="271"/>
        <v>5244.1059999999998</v>
      </c>
      <c r="E8468" s="608"/>
      <c r="F8468" s="760">
        <f t="shared" si="270"/>
        <v>2212.2011220497534</v>
      </c>
      <c r="M8468" s="443"/>
    </row>
    <row r="8469" spans="1:13">
      <c r="A8469" s="639">
        <v>121813</v>
      </c>
      <c r="B8469" s="639">
        <v>1800</v>
      </c>
      <c r="C8469" s="638">
        <v>5787.67</v>
      </c>
      <c r="D8469" s="633">
        <f t="shared" si="271"/>
        <v>5787.67</v>
      </c>
      <c r="E8469" s="608"/>
      <c r="F8469" s="760">
        <f t="shared" si="270"/>
        <v>2441.5010047572832</v>
      </c>
      <c r="M8469" s="443"/>
    </row>
    <row r="8470" spans="1:13">
      <c r="A8470" s="639">
        <v>121813</v>
      </c>
      <c r="B8470" s="639">
        <v>1900</v>
      </c>
      <c r="C8470" s="638">
        <v>5849.0249999999996</v>
      </c>
      <c r="D8470" s="633">
        <f t="shared" si="271"/>
        <v>5849.0249999999996</v>
      </c>
      <c r="E8470" s="608"/>
      <c r="F8470" s="760">
        <f t="shared" si="270"/>
        <v>2467.3833190818527</v>
      </c>
      <c r="M8470" s="443"/>
    </row>
    <row r="8471" spans="1:13">
      <c r="A8471" s="639">
        <v>121813</v>
      </c>
      <c r="B8471" s="639">
        <v>2000</v>
      </c>
      <c r="C8471" s="638">
        <v>5750.5259999999998</v>
      </c>
      <c r="D8471" s="633">
        <f t="shared" si="271"/>
        <v>5750.5259999999998</v>
      </c>
      <c r="E8471" s="608"/>
      <c r="F8471" s="760">
        <f t="shared" si="270"/>
        <v>2425.8319853901276</v>
      </c>
      <c r="M8471" s="443"/>
    </row>
    <row r="8472" spans="1:13">
      <c r="A8472" s="639">
        <v>121813</v>
      </c>
      <c r="B8472" s="639">
        <v>2100</v>
      </c>
      <c r="C8472" s="638">
        <v>5693.1180000000004</v>
      </c>
      <c r="D8472" s="633">
        <f t="shared" si="271"/>
        <v>5693.1180000000004</v>
      </c>
      <c r="E8472" s="608"/>
      <c r="F8472" s="760">
        <f t="shared" si="270"/>
        <v>2401.6146942036735</v>
      </c>
      <c r="M8472" s="443"/>
    </row>
    <row r="8473" spans="1:13">
      <c r="A8473" s="639">
        <v>121813</v>
      </c>
      <c r="B8473" s="639">
        <v>2200</v>
      </c>
      <c r="C8473" s="638">
        <v>5496.6170000000002</v>
      </c>
      <c r="D8473" s="633">
        <f t="shared" si="271"/>
        <v>5496.6170000000002</v>
      </c>
      <c r="E8473" s="608"/>
      <c r="F8473" s="760">
        <f t="shared" si="270"/>
        <v>2318.72168390146</v>
      </c>
      <c r="M8473" s="443"/>
    </row>
    <row r="8474" spans="1:13">
      <c r="A8474" s="639">
        <v>121813</v>
      </c>
      <c r="B8474" s="639">
        <v>2300</v>
      </c>
      <c r="C8474" s="638">
        <v>4923.5320000000002</v>
      </c>
      <c r="D8474" s="633">
        <f t="shared" si="271"/>
        <v>4923.5320000000002</v>
      </c>
      <c r="E8474" s="608"/>
      <c r="F8474" s="760">
        <f t="shared" si="270"/>
        <v>2076.9685080446252</v>
      </c>
      <c r="M8474" s="443"/>
    </row>
    <row r="8475" spans="1:13">
      <c r="A8475" s="639">
        <v>121813</v>
      </c>
      <c r="B8475" s="639">
        <v>2400</v>
      </c>
      <c r="C8475" s="638">
        <v>4238.8819999999996</v>
      </c>
      <c r="D8475" s="633">
        <f t="shared" si="271"/>
        <v>4238.8819999999996</v>
      </c>
      <c r="E8475" s="608"/>
      <c r="F8475" s="760">
        <f t="shared" si="270"/>
        <v>1788.1521686702181</v>
      </c>
      <c r="M8475" s="443"/>
    </row>
    <row r="8476" spans="1:13">
      <c r="A8476" s="639">
        <v>121913</v>
      </c>
      <c r="B8476" s="639">
        <v>100</v>
      </c>
      <c r="C8476" s="638">
        <v>3849.1909999999998</v>
      </c>
      <c r="D8476" s="633">
        <f t="shared" si="271"/>
        <v>3849.1909999999998</v>
      </c>
      <c r="E8476" s="608"/>
      <c r="F8476" s="760">
        <f t="shared" si="270"/>
        <v>1623.7628776351607</v>
      </c>
      <c r="M8476" s="443"/>
    </row>
    <row r="8477" spans="1:13">
      <c r="A8477" s="639">
        <v>121913</v>
      </c>
      <c r="B8477" s="639">
        <v>200</v>
      </c>
      <c r="C8477" s="638">
        <v>3845.4639999999999</v>
      </c>
      <c r="D8477" s="633">
        <f t="shared" si="271"/>
        <v>3845.4639999999999</v>
      </c>
      <c r="E8477" s="608"/>
      <c r="F8477" s="760">
        <f t="shared" si="270"/>
        <v>1622.1906604484984</v>
      </c>
      <c r="M8477" s="443"/>
    </row>
    <row r="8478" spans="1:13">
      <c r="A8478" s="639">
        <v>121913</v>
      </c>
      <c r="B8478" s="639">
        <v>300</v>
      </c>
      <c r="C8478" s="638">
        <v>3829.6219999999998</v>
      </c>
      <c r="D8478" s="633">
        <f t="shared" si="271"/>
        <v>3829.6219999999998</v>
      </c>
      <c r="E8478" s="608"/>
      <c r="F8478" s="760">
        <f t="shared" si="270"/>
        <v>1615.5077882534067</v>
      </c>
      <c r="M8478" s="443"/>
    </row>
    <row r="8479" spans="1:13">
      <c r="A8479" s="639">
        <v>121913</v>
      </c>
      <c r="B8479" s="639">
        <v>400</v>
      </c>
      <c r="C8479" s="638">
        <v>3814.223</v>
      </c>
      <c r="D8479" s="633">
        <f t="shared" si="271"/>
        <v>3814.223</v>
      </c>
      <c r="E8479" s="608"/>
      <c r="F8479" s="760">
        <f t="shared" si="270"/>
        <v>1609.0117934969235</v>
      </c>
      <c r="M8479" s="443"/>
    </row>
    <row r="8480" spans="1:13">
      <c r="A8480" s="639">
        <v>121913</v>
      </c>
      <c r="B8480" s="639">
        <v>500</v>
      </c>
      <c r="C8480" s="638">
        <v>3954.4029999999998</v>
      </c>
      <c r="D8480" s="633">
        <f t="shared" si="271"/>
        <v>3954.4029999999998</v>
      </c>
      <c r="E8480" s="608"/>
      <c r="F8480" s="760">
        <f t="shared" si="270"/>
        <v>1668.1460583819073</v>
      </c>
      <c r="M8480" s="443"/>
    </row>
    <row r="8481" spans="1:13">
      <c r="A8481" s="639">
        <v>121913</v>
      </c>
      <c r="B8481" s="639">
        <v>600</v>
      </c>
      <c r="C8481" s="638">
        <v>4278.1629999999996</v>
      </c>
      <c r="D8481" s="633">
        <f t="shared" si="271"/>
        <v>4278.1629999999996</v>
      </c>
      <c r="E8481" s="608"/>
      <c r="F8481" s="760">
        <f t="shared" si="270"/>
        <v>1804.7226713021701</v>
      </c>
      <c r="M8481" s="443"/>
    </row>
    <row r="8482" spans="1:13">
      <c r="A8482" s="639">
        <v>121913</v>
      </c>
      <c r="B8482" s="639">
        <v>700</v>
      </c>
      <c r="C8482" s="638">
        <v>4793.049</v>
      </c>
      <c r="D8482" s="633">
        <f t="shared" si="271"/>
        <v>4793.049</v>
      </c>
      <c r="E8482" s="608"/>
      <c r="F8482" s="760">
        <f t="shared" si="270"/>
        <v>2021.9248763925536</v>
      </c>
      <c r="M8482" s="443"/>
    </row>
    <row r="8483" spans="1:13">
      <c r="A8483" s="639">
        <v>121913</v>
      </c>
      <c r="B8483" s="639">
        <v>800</v>
      </c>
      <c r="C8483" s="638">
        <v>5072.2190000000001</v>
      </c>
      <c r="D8483" s="633">
        <f t="shared" si="271"/>
        <v>5072.2190000000001</v>
      </c>
      <c r="E8483" s="608"/>
      <c r="F8483" s="760">
        <f t="shared" si="270"/>
        <v>2139.6914103342074</v>
      </c>
      <c r="M8483" s="443"/>
    </row>
    <row r="8484" spans="1:13">
      <c r="A8484" s="639">
        <v>121913</v>
      </c>
      <c r="B8484" s="639">
        <v>900</v>
      </c>
      <c r="C8484" s="638">
        <v>4911.5940000000001</v>
      </c>
      <c r="D8484" s="633">
        <f t="shared" si="271"/>
        <v>4911.5940000000001</v>
      </c>
      <c r="E8484" s="608"/>
      <c r="F8484" s="760">
        <f t="shared" si="270"/>
        <v>2071.9325196425925</v>
      </c>
      <c r="M8484" s="443"/>
    </row>
    <row r="8485" spans="1:13">
      <c r="A8485" s="639">
        <v>121913</v>
      </c>
      <c r="B8485" s="639">
        <v>1000</v>
      </c>
      <c r="C8485" s="638">
        <v>4767.4080000000004</v>
      </c>
      <c r="D8485" s="633">
        <f t="shared" si="271"/>
        <v>4767.4080000000004</v>
      </c>
      <c r="E8485" s="608"/>
      <c r="F8485" s="760">
        <f t="shared" si="270"/>
        <v>2011.108342750694</v>
      </c>
      <c r="M8485" s="443"/>
    </row>
    <row r="8486" spans="1:13">
      <c r="A8486" s="639">
        <v>121913</v>
      </c>
      <c r="B8486" s="639">
        <v>1100</v>
      </c>
      <c r="C8486" s="638">
        <v>4543.16</v>
      </c>
      <c r="D8486" s="633">
        <f t="shared" si="271"/>
        <v>4543.16</v>
      </c>
      <c r="E8486" s="608"/>
      <c r="F8486" s="760">
        <f t="shared" si="270"/>
        <v>1916.5103927440744</v>
      </c>
      <c r="M8486" s="443"/>
    </row>
    <row r="8487" spans="1:13">
      <c r="A8487" s="639">
        <v>121913</v>
      </c>
      <c r="B8487" s="639">
        <v>1200</v>
      </c>
      <c r="C8487" s="638">
        <v>4487.2240000000002</v>
      </c>
      <c r="D8487" s="633">
        <f t="shared" si="271"/>
        <v>4487.2240000000002</v>
      </c>
      <c r="E8487" s="608"/>
      <c r="F8487" s="760">
        <f t="shared" si="270"/>
        <v>1892.9140577418884</v>
      </c>
      <c r="M8487" s="443"/>
    </row>
    <row r="8488" spans="1:13">
      <c r="A8488" s="639">
        <v>121913</v>
      </c>
      <c r="B8488" s="639">
        <v>1300</v>
      </c>
      <c r="C8488" s="638">
        <v>4468.4679999999998</v>
      </c>
      <c r="D8488" s="633">
        <f t="shared" si="271"/>
        <v>4468.4679999999998</v>
      </c>
      <c r="E8488" s="608"/>
      <c r="F8488" s="760">
        <f t="shared" si="270"/>
        <v>1885.0019285352769</v>
      </c>
      <c r="M8488" s="443"/>
    </row>
    <row r="8489" spans="1:13">
      <c r="A8489" s="639">
        <v>121913</v>
      </c>
      <c r="B8489" s="639">
        <v>1400</v>
      </c>
      <c r="C8489" s="638">
        <v>4463.4309999999996</v>
      </c>
      <c r="D8489" s="633">
        <f t="shared" si="271"/>
        <v>4463.4309999999996</v>
      </c>
      <c r="E8489" s="608"/>
      <c r="F8489" s="760">
        <f t="shared" si="270"/>
        <v>1882.8770940922348</v>
      </c>
      <c r="M8489" s="443"/>
    </row>
    <row r="8490" spans="1:13">
      <c r="A8490" s="639">
        <v>121913</v>
      </c>
      <c r="B8490" s="639">
        <v>1500</v>
      </c>
      <c r="C8490" s="638">
        <v>4481.5420000000004</v>
      </c>
      <c r="D8490" s="633">
        <f t="shared" si="271"/>
        <v>4481.5420000000004</v>
      </c>
      <c r="E8490" s="608"/>
      <c r="F8490" s="760">
        <f t="shared" si="270"/>
        <v>1890.5171331229951</v>
      </c>
      <c r="M8490" s="443"/>
    </row>
    <row r="8491" spans="1:13">
      <c r="A8491" s="639">
        <v>121913</v>
      </c>
      <c r="B8491" s="639">
        <v>1600</v>
      </c>
      <c r="C8491" s="638">
        <v>374.584</v>
      </c>
      <c r="D8491" s="633">
        <f t="shared" si="271"/>
        <v>374.584</v>
      </c>
      <c r="E8491" s="608"/>
      <c r="F8491" s="760">
        <f t="shared" si="270"/>
        <v>158.01647508686605</v>
      </c>
      <c r="M8491" s="443"/>
    </row>
    <row r="8492" spans="1:13">
      <c r="A8492" s="639">
        <v>121913</v>
      </c>
      <c r="B8492" s="639">
        <v>1700</v>
      </c>
      <c r="C8492" s="638">
        <v>6.5000000000000002E-2</v>
      </c>
      <c r="D8492" s="633">
        <f t="shared" si="271"/>
        <v>6.5000000000000002E-2</v>
      </c>
      <c r="E8492" s="608"/>
      <c r="F8492" s="760">
        <f t="shared" ref="F8492:F8555" si="272">(D8492/(MAX($D$8044:$D$8787)))*$M$15</f>
        <v>2.7419940202054262E-2</v>
      </c>
      <c r="M8492" s="443"/>
    </row>
    <row r="8493" spans="1:13">
      <c r="A8493" s="639">
        <v>121913</v>
      </c>
      <c r="B8493" s="639">
        <v>1800</v>
      </c>
      <c r="C8493" s="638">
        <v>7.2999999999999995E-2</v>
      </c>
      <c r="D8493" s="633">
        <f t="shared" si="271"/>
        <v>7.2999999999999995E-2</v>
      </c>
      <c r="E8493" s="608"/>
      <c r="F8493" s="760">
        <f t="shared" si="272"/>
        <v>3.0794702073076323E-2</v>
      </c>
      <c r="M8493" s="443"/>
    </row>
    <row r="8494" spans="1:13">
      <c r="A8494" s="639">
        <v>121913</v>
      </c>
      <c r="B8494" s="639">
        <v>1900</v>
      </c>
      <c r="C8494" s="638">
        <v>8.2000000000000003E-2</v>
      </c>
      <c r="D8494" s="633">
        <f t="shared" si="271"/>
        <v>8.2000000000000003E-2</v>
      </c>
      <c r="E8494" s="608"/>
      <c r="F8494" s="760">
        <f t="shared" si="272"/>
        <v>3.4591309177976148E-2</v>
      </c>
      <c r="M8494" s="443"/>
    </row>
    <row r="8495" spans="1:13">
      <c r="A8495" s="639">
        <v>121913</v>
      </c>
      <c r="B8495" s="639">
        <v>2000</v>
      </c>
      <c r="C8495" s="638">
        <v>8.8999999999999996E-2</v>
      </c>
      <c r="D8495" s="633">
        <f t="shared" si="271"/>
        <v>8.8999999999999996E-2</v>
      </c>
      <c r="E8495" s="608"/>
      <c r="F8495" s="760">
        <f t="shared" si="272"/>
        <v>3.7544225815120451E-2</v>
      </c>
      <c r="M8495" s="443"/>
    </row>
    <row r="8496" spans="1:13">
      <c r="A8496" s="639">
        <v>121913</v>
      </c>
      <c r="B8496" s="639">
        <v>2100</v>
      </c>
      <c r="C8496" s="638">
        <v>9.9000000000000005E-2</v>
      </c>
      <c r="D8496" s="633">
        <f t="shared" si="271"/>
        <v>9.9000000000000005E-2</v>
      </c>
      <c r="E8496" s="608"/>
      <c r="F8496" s="760">
        <f t="shared" si="272"/>
        <v>4.1762678153898031E-2</v>
      </c>
      <c r="M8496" s="443"/>
    </row>
    <row r="8497" spans="1:13">
      <c r="A8497" s="639">
        <v>121913</v>
      </c>
      <c r="B8497" s="639">
        <v>2200</v>
      </c>
      <c r="C8497" s="638">
        <v>0.107</v>
      </c>
      <c r="D8497" s="633">
        <f t="shared" si="271"/>
        <v>0.107</v>
      </c>
      <c r="E8497" s="608"/>
      <c r="F8497" s="760">
        <f t="shared" si="272"/>
        <v>4.5137440024920095E-2</v>
      </c>
      <c r="M8497" s="443"/>
    </row>
    <row r="8498" spans="1:13">
      <c r="A8498" s="639">
        <v>121913</v>
      </c>
      <c r="B8498" s="639">
        <v>2300</v>
      </c>
      <c r="C8498" s="638">
        <v>0.107</v>
      </c>
      <c r="D8498" s="633">
        <f t="shared" si="271"/>
        <v>0.107</v>
      </c>
      <c r="E8498" s="608"/>
      <c r="F8498" s="760">
        <f t="shared" si="272"/>
        <v>4.5137440024920095E-2</v>
      </c>
      <c r="M8498" s="443"/>
    </row>
    <row r="8499" spans="1:13">
      <c r="A8499" s="639">
        <v>121913</v>
      </c>
      <c r="B8499" s="639">
        <v>2400</v>
      </c>
      <c r="C8499" s="638">
        <v>0.13500000000000001</v>
      </c>
      <c r="D8499" s="633">
        <f t="shared" si="271"/>
        <v>0.13500000000000001</v>
      </c>
      <c r="E8499" s="608"/>
      <c r="F8499" s="760">
        <f t="shared" si="272"/>
        <v>5.6949106573497318E-2</v>
      </c>
      <c r="M8499" s="443"/>
    </row>
    <row r="8500" spans="1:13">
      <c r="A8500" s="639">
        <v>122013</v>
      </c>
      <c r="B8500" s="639">
        <v>100</v>
      </c>
      <c r="C8500" s="638">
        <v>0.17699999999999999</v>
      </c>
      <c r="D8500" s="633">
        <f t="shared" si="271"/>
        <v>0.17699999999999999</v>
      </c>
      <c r="E8500" s="608"/>
      <c r="F8500" s="760">
        <f t="shared" si="272"/>
        <v>7.4666606396363147E-2</v>
      </c>
      <c r="M8500" s="443"/>
    </row>
    <row r="8501" spans="1:13">
      <c r="A8501" s="639">
        <v>122013</v>
      </c>
      <c r="B8501" s="639">
        <v>200</v>
      </c>
      <c r="C8501" s="638">
        <v>0.192</v>
      </c>
      <c r="D8501" s="633">
        <f t="shared" si="271"/>
        <v>0.192</v>
      </c>
      <c r="E8501" s="608"/>
      <c r="F8501" s="760">
        <f t="shared" si="272"/>
        <v>8.099428490452952E-2</v>
      </c>
      <c r="M8501" s="443"/>
    </row>
    <row r="8502" spans="1:13">
      <c r="A8502" s="639">
        <v>122013</v>
      </c>
      <c r="B8502" s="639">
        <v>300</v>
      </c>
      <c r="C8502" s="638">
        <v>0.20699999999999999</v>
      </c>
      <c r="D8502" s="633">
        <f t="shared" si="271"/>
        <v>0.20699999999999999</v>
      </c>
      <c r="E8502" s="608"/>
      <c r="F8502" s="760">
        <f t="shared" si="272"/>
        <v>8.732196341269588E-2</v>
      </c>
      <c r="M8502" s="443"/>
    </row>
    <row r="8503" spans="1:13">
      <c r="A8503" s="639">
        <v>122013</v>
      </c>
      <c r="B8503" s="639">
        <v>400</v>
      </c>
      <c r="C8503" s="638">
        <v>0.20699999999999999</v>
      </c>
      <c r="D8503" s="633">
        <f t="shared" si="271"/>
        <v>0.20699999999999999</v>
      </c>
      <c r="E8503" s="608"/>
      <c r="F8503" s="760">
        <f t="shared" si="272"/>
        <v>8.732196341269588E-2</v>
      </c>
      <c r="M8503" s="443"/>
    </row>
    <row r="8504" spans="1:13">
      <c r="A8504" s="639">
        <v>122013</v>
      </c>
      <c r="B8504" s="639">
        <v>500</v>
      </c>
      <c r="C8504" s="638">
        <v>0.218</v>
      </c>
      <c r="D8504" s="633">
        <f t="shared" si="271"/>
        <v>0.218</v>
      </c>
      <c r="E8504" s="608"/>
      <c r="F8504" s="760">
        <f t="shared" si="272"/>
        <v>9.1962260985351235E-2</v>
      </c>
      <c r="M8504" s="443"/>
    </row>
    <row r="8505" spans="1:13">
      <c r="A8505" s="639">
        <v>122013</v>
      </c>
      <c r="B8505" s="639">
        <v>600</v>
      </c>
      <c r="C8505" s="638">
        <v>0.24</v>
      </c>
      <c r="D8505" s="633">
        <f t="shared" si="271"/>
        <v>0.24</v>
      </c>
      <c r="E8505" s="608"/>
      <c r="F8505" s="760">
        <f t="shared" si="272"/>
        <v>0.10124285613066189</v>
      </c>
      <c r="M8505" s="443"/>
    </row>
    <row r="8506" spans="1:13">
      <c r="A8506" s="639">
        <v>122013</v>
      </c>
      <c r="B8506" s="639">
        <v>700</v>
      </c>
      <c r="C8506" s="638">
        <v>0.215</v>
      </c>
      <c r="D8506" s="633">
        <f t="shared" si="271"/>
        <v>0.215</v>
      </c>
      <c r="E8506" s="608"/>
      <c r="F8506" s="760">
        <f t="shared" si="272"/>
        <v>9.0696725283717958E-2</v>
      </c>
      <c r="M8506" s="443"/>
    </row>
    <row r="8507" spans="1:13">
      <c r="A8507" s="639">
        <v>122013</v>
      </c>
      <c r="B8507" s="639">
        <v>800</v>
      </c>
      <c r="C8507" s="638">
        <v>0.21199999999999999</v>
      </c>
      <c r="D8507" s="633">
        <f t="shared" si="271"/>
        <v>0.21199999999999999</v>
      </c>
      <c r="E8507" s="608"/>
      <c r="F8507" s="760">
        <f t="shared" si="272"/>
        <v>8.9431189582084666E-2</v>
      </c>
      <c r="M8507" s="443"/>
    </row>
    <row r="8508" spans="1:13">
      <c r="A8508" s="639">
        <v>122013</v>
      </c>
      <c r="B8508" s="639">
        <v>900</v>
      </c>
      <c r="C8508" s="638">
        <v>0.222</v>
      </c>
      <c r="D8508" s="633">
        <f t="shared" si="271"/>
        <v>0.222</v>
      </c>
      <c r="E8508" s="608"/>
      <c r="F8508" s="760">
        <f t="shared" si="272"/>
        <v>9.3649641920862267E-2</v>
      </c>
      <c r="M8508" s="443"/>
    </row>
    <row r="8509" spans="1:13">
      <c r="A8509" s="639">
        <v>122013</v>
      </c>
      <c r="B8509" s="639">
        <v>1000</v>
      </c>
      <c r="C8509" s="638">
        <v>0.22700000000000001</v>
      </c>
      <c r="D8509" s="633">
        <f t="shared" si="271"/>
        <v>0.22700000000000001</v>
      </c>
      <c r="E8509" s="608"/>
      <c r="F8509" s="760">
        <f t="shared" si="272"/>
        <v>9.5758868090251054E-2</v>
      </c>
      <c r="M8509" s="443"/>
    </row>
    <row r="8510" spans="1:13">
      <c r="A8510" s="639">
        <v>122013</v>
      </c>
      <c r="B8510" s="639">
        <v>1100</v>
      </c>
      <c r="C8510" s="638">
        <v>0.26500000000000001</v>
      </c>
      <c r="D8510" s="633">
        <f t="shared" si="271"/>
        <v>0.26500000000000001</v>
      </c>
      <c r="E8510" s="608"/>
      <c r="F8510" s="760">
        <f t="shared" si="272"/>
        <v>0.11178898697760584</v>
      </c>
      <c r="M8510" s="443"/>
    </row>
    <row r="8511" spans="1:13">
      <c r="A8511" s="639">
        <v>122013</v>
      </c>
      <c r="B8511" s="639">
        <v>1200</v>
      </c>
      <c r="C8511" s="638">
        <v>0.25900000000000001</v>
      </c>
      <c r="D8511" s="633">
        <f t="shared" si="271"/>
        <v>0.25900000000000001</v>
      </c>
      <c r="E8511" s="608"/>
      <c r="F8511" s="760">
        <f t="shared" si="272"/>
        <v>0.1092579155743393</v>
      </c>
      <c r="M8511" s="443"/>
    </row>
    <row r="8512" spans="1:13">
      <c r="A8512" s="639">
        <v>122013</v>
      </c>
      <c r="B8512" s="639">
        <v>1300</v>
      </c>
      <c r="C8512" s="638">
        <v>0.20599999999999999</v>
      </c>
      <c r="D8512" s="633">
        <f t="shared" si="271"/>
        <v>0.20599999999999999</v>
      </c>
      <c r="E8512" s="608"/>
      <c r="F8512" s="760">
        <f t="shared" si="272"/>
        <v>8.6900118178818125E-2</v>
      </c>
      <c r="M8512" s="443"/>
    </row>
    <row r="8513" spans="1:13">
      <c r="A8513" s="639">
        <v>122013</v>
      </c>
      <c r="B8513" s="639">
        <v>1400</v>
      </c>
      <c r="C8513" s="638">
        <v>0.19700000000000001</v>
      </c>
      <c r="D8513" s="633">
        <f t="shared" si="271"/>
        <v>0.19700000000000001</v>
      </c>
      <c r="E8513" s="608"/>
      <c r="F8513" s="760">
        <f t="shared" si="272"/>
        <v>8.3103511073918307E-2</v>
      </c>
      <c r="M8513" s="443"/>
    </row>
    <row r="8514" spans="1:13">
      <c r="A8514" s="639">
        <v>122013</v>
      </c>
      <c r="B8514" s="639">
        <v>1500</v>
      </c>
      <c r="C8514" s="638">
        <v>0.19900000000000001</v>
      </c>
      <c r="D8514" s="633">
        <f t="shared" si="271"/>
        <v>0.19900000000000001</v>
      </c>
      <c r="E8514" s="608"/>
      <c r="F8514" s="760">
        <f t="shared" si="272"/>
        <v>8.394720154167383E-2</v>
      </c>
      <c r="M8514" s="443"/>
    </row>
    <row r="8515" spans="1:13">
      <c r="A8515" s="639">
        <v>122013</v>
      </c>
      <c r="B8515" s="639">
        <v>1600</v>
      </c>
      <c r="C8515" s="638">
        <v>0.23200000000000001</v>
      </c>
      <c r="D8515" s="633">
        <f t="shared" si="271"/>
        <v>0.23200000000000001</v>
      </c>
      <c r="E8515" s="608"/>
      <c r="F8515" s="760">
        <f t="shared" si="272"/>
        <v>9.786809425963984E-2</v>
      </c>
      <c r="M8515" s="443"/>
    </row>
    <row r="8516" spans="1:13">
      <c r="A8516" s="639">
        <v>122013</v>
      </c>
      <c r="B8516" s="639">
        <v>1700</v>
      </c>
      <c r="C8516" s="638">
        <v>0.30099999999999999</v>
      </c>
      <c r="D8516" s="633">
        <f t="shared" si="271"/>
        <v>0.30099999999999999</v>
      </c>
      <c r="E8516" s="608"/>
      <c r="F8516" s="760">
        <f t="shared" si="272"/>
        <v>0.12697541539720511</v>
      </c>
      <c r="M8516" s="443"/>
    </row>
    <row r="8517" spans="1:13">
      <c r="A8517" s="639">
        <v>122013</v>
      </c>
      <c r="B8517" s="639">
        <v>1800</v>
      </c>
      <c r="C8517" s="638">
        <v>0.32600000000000001</v>
      </c>
      <c r="D8517" s="633">
        <f t="shared" ref="D8517:D8580" si="273">C8517</f>
        <v>0.32600000000000001</v>
      </c>
      <c r="E8517" s="608"/>
      <c r="F8517" s="760">
        <f t="shared" si="272"/>
        <v>0.13752154624414908</v>
      </c>
      <c r="M8517" s="443"/>
    </row>
    <row r="8518" spans="1:13">
      <c r="A8518" s="639">
        <v>122013</v>
      </c>
      <c r="B8518" s="639">
        <v>1900</v>
      </c>
      <c r="C8518" s="638">
        <v>0.34200000000000003</v>
      </c>
      <c r="D8518" s="633">
        <f t="shared" si="273"/>
        <v>0.34200000000000003</v>
      </c>
      <c r="E8518" s="608"/>
      <c r="F8518" s="760">
        <f t="shared" si="272"/>
        <v>0.14427106998619321</v>
      </c>
      <c r="M8518" s="443"/>
    </row>
    <row r="8519" spans="1:13">
      <c r="A8519" s="639">
        <v>122013</v>
      </c>
      <c r="B8519" s="639">
        <v>2000</v>
      </c>
      <c r="C8519" s="638">
        <v>0.27</v>
      </c>
      <c r="D8519" s="633">
        <f t="shared" si="273"/>
        <v>0.27</v>
      </c>
      <c r="E8519" s="608"/>
      <c r="F8519" s="760">
        <f t="shared" si="272"/>
        <v>0.11389821314699464</v>
      </c>
      <c r="M8519" s="443"/>
    </row>
    <row r="8520" spans="1:13">
      <c r="A8520" s="639">
        <v>122013</v>
      </c>
      <c r="B8520" s="639">
        <v>2100</v>
      </c>
      <c r="C8520" s="638">
        <v>0.35899999999999999</v>
      </c>
      <c r="D8520" s="633">
        <f t="shared" si="273"/>
        <v>0.35899999999999999</v>
      </c>
      <c r="E8520" s="608"/>
      <c r="F8520" s="760">
        <f t="shared" si="272"/>
        <v>0.15144243896211509</v>
      </c>
      <c r="M8520" s="443"/>
    </row>
    <row r="8521" spans="1:13">
      <c r="A8521" s="639">
        <v>122013</v>
      </c>
      <c r="B8521" s="639">
        <v>2200</v>
      </c>
      <c r="C8521" s="638">
        <v>0.373</v>
      </c>
      <c r="D8521" s="633">
        <f t="shared" si="273"/>
        <v>0.373</v>
      </c>
      <c r="E8521" s="608"/>
      <c r="F8521" s="760">
        <f t="shared" si="272"/>
        <v>0.15734827223640369</v>
      </c>
      <c r="M8521" s="443"/>
    </row>
    <row r="8522" spans="1:13">
      <c r="A8522" s="639">
        <v>122013</v>
      </c>
      <c r="B8522" s="639">
        <v>2300</v>
      </c>
      <c r="C8522" s="638">
        <v>0.32800000000000001</v>
      </c>
      <c r="D8522" s="633">
        <f t="shared" si="273"/>
        <v>0.32800000000000001</v>
      </c>
      <c r="E8522" s="608"/>
      <c r="F8522" s="760">
        <f t="shared" si="272"/>
        <v>0.13836523671190459</v>
      </c>
      <c r="M8522" s="443"/>
    </row>
    <row r="8523" spans="1:13">
      <c r="A8523" s="639">
        <v>122013</v>
      </c>
      <c r="B8523" s="639">
        <v>2400</v>
      </c>
      <c r="C8523" s="638">
        <v>0.26300000000000001</v>
      </c>
      <c r="D8523" s="633">
        <f t="shared" si="273"/>
        <v>0.26300000000000001</v>
      </c>
      <c r="E8523" s="608"/>
      <c r="F8523" s="760">
        <f t="shared" si="272"/>
        <v>0.11094529650985033</v>
      </c>
      <c r="M8523" s="443"/>
    </row>
    <row r="8524" spans="1:13">
      <c r="A8524" s="639">
        <v>122113</v>
      </c>
      <c r="B8524" s="639">
        <v>100</v>
      </c>
      <c r="C8524" s="638">
        <v>0.32300000000000001</v>
      </c>
      <c r="D8524" s="633">
        <f t="shared" si="273"/>
        <v>0.32300000000000001</v>
      </c>
      <c r="E8524" s="608"/>
      <c r="F8524" s="760">
        <f t="shared" si="272"/>
        <v>0.13625601054251582</v>
      </c>
      <c r="M8524" s="443"/>
    </row>
    <row r="8525" spans="1:13">
      <c r="A8525" s="639">
        <v>122113</v>
      </c>
      <c r="B8525" s="639">
        <v>200</v>
      </c>
      <c r="C8525" s="638">
        <v>0.46400000000000002</v>
      </c>
      <c r="D8525" s="633">
        <f t="shared" si="273"/>
        <v>0.46400000000000002</v>
      </c>
      <c r="E8525" s="608"/>
      <c r="F8525" s="760">
        <f t="shared" si="272"/>
        <v>0.19573618851927968</v>
      </c>
      <c r="M8525" s="443"/>
    </row>
    <row r="8526" spans="1:13">
      <c r="A8526" s="639">
        <v>122113</v>
      </c>
      <c r="B8526" s="639">
        <v>300</v>
      </c>
      <c r="C8526" s="638">
        <v>0.35399999999999998</v>
      </c>
      <c r="D8526" s="633">
        <f t="shared" si="273"/>
        <v>0.35399999999999998</v>
      </c>
      <c r="E8526" s="608"/>
      <c r="F8526" s="760">
        <f t="shared" si="272"/>
        <v>0.14933321279272629</v>
      </c>
      <c r="M8526" s="443"/>
    </row>
    <row r="8527" spans="1:13">
      <c r="A8527" s="639">
        <v>122113</v>
      </c>
      <c r="B8527" s="639">
        <v>400</v>
      </c>
      <c r="C8527" s="638">
        <v>0.32900000000000001</v>
      </c>
      <c r="D8527" s="633">
        <f t="shared" si="273"/>
        <v>0.32900000000000001</v>
      </c>
      <c r="E8527" s="608"/>
      <c r="F8527" s="760">
        <f t="shared" si="272"/>
        <v>0.13878708194578235</v>
      </c>
      <c r="M8527" s="443"/>
    </row>
    <row r="8528" spans="1:13">
      <c r="A8528" s="639">
        <v>122113</v>
      </c>
      <c r="B8528" s="639">
        <v>500</v>
      </c>
      <c r="C8528" s="638">
        <v>0.31900000000000001</v>
      </c>
      <c r="D8528" s="633">
        <f t="shared" si="273"/>
        <v>0.31900000000000001</v>
      </c>
      <c r="E8528" s="608"/>
      <c r="F8528" s="760">
        <f t="shared" si="272"/>
        <v>0.13456862960700477</v>
      </c>
      <c r="M8528" s="443"/>
    </row>
    <row r="8529" spans="1:13">
      <c r="A8529" s="639">
        <v>122113</v>
      </c>
      <c r="B8529" s="639">
        <v>600</v>
      </c>
      <c r="C8529" s="638">
        <v>0.22800000000000001</v>
      </c>
      <c r="D8529" s="633">
        <f t="shared" si="273"/>
        <v>0.22800000000000001</v>
      </c>
      <c r="E8529" s="608"/>
      <c r="F8529" s="760">
        <f t="shared" si="272"/>
        <v>9.6180713324128808E-2</v>
      </c>
      <c r="M8529" s="443"/>
    </row>
    <row r="8530" spans="1:13">
      <c r="A8530" s="639">
        <v>122113</v>
      </c>
      <c r="B8530" s="639">
        <v>700</v>
      </c>
      <c r="C8530" s="638">
        <v>0.17599999999999999</v>
      </c>
      <c r="D8530" s="633">
        <f t="shared" si="273"/>
        <v>0.17599999999999999</v>
      </c>
      <c r="E8530" s="608"/>
      <c r="F8530" s="760">
        <f t="shared" si="272"/>
        <v>7.4244761162485393E-2</v>
      </c>
      <c r="M8530" s="443"/>
    </row>
    <row r="8531" spans="1:13">
      <c r="A8531" s="639">
        <v>122113</v>
      </c>
      <c r="B8531" s="639">
        <v>800</v>
      </c>
      <c r="C8531" s="638">
        <v>0.187</v>
      </c>
      <c r="D8531" s="633">
        <f t="shared" si="273"/>
        <v>0.187</v>
      </c>
      <c r="E8531" s="608"/>
      <c r="F8531" s="760">
        <f t="shared" si="272"/>
        <v>7.888505873514072E-2</v>
      </c>
      <c r="M8531" s="443"/>
    </row>
    <row r="8532" spans="1:13">
      <c r="A8532" s="639">
        <v>122113</v>
      </c>
      <c r="B8532" s="639">
        <v>900</v>
      </c>
      <c r="C8532" s="638">
        <v>0.23</v>
      </c>
      <c r="D8532" s="633">
        <f t="shared" si="273"/>
        <v>0.23</v>
      </c>
      <c r="E8532" s="608"/>
      <c r="F8532" s="760">
        <f t="shared" si="272"/>
        <v>9.7024403791884331E-2</v>
      </c>
      <c r="M8532" s="443"/>
    </row>
    <row r="8533" spans="1:13">
      <c r="A8533" s="639">
        <v>122113</v>
      </c>
      <c r="B8533" s="639">
        <v>1000</v>
      </c>
      <c r="C8533" s="638">
        <v>0.217</v>
      </c>
      <c r="D8533" s="633">
        <f t="shared" si="273"/>
        <v>0.217</v>
      </c>
      <c r="E8533" s="608"/>
      <c r="F8533" s="760">
        <f t="shared" si="272"/>
        <v>9.1540415751473467E-2</v>
      </c>
      <c r="M8533" s="443"/>
    </row>
    <row r="8534" spans="1:13">
      <c r="A8534" s="639">
        <v>122113</v>
      </c>
      <c r="B8534" s="639">
        <v>1100</v>
      </c>
      <c r="C8534" s="638">
        <v>0.193</v>
      </c>
      <c r="D8534" s="633">
        <f t="shared" si="273"/>
        <v>0.193</v>
      </c>
      <c r="E8534" s="608"/>
      <c r="F8534" s="760">
        <f t="shared" si="272"/>
        <v>8.1416130138407275E-2</v>
      </c>
      <c r="M8534" s="443"/>
    </row>
    <row r="8535" spans="1:13">
      <c r="A8535" s="639">
        <v>122113</v>
      </c>
      <c r="B8535" s="639">
        <v>1200</v>
      </c>
      <c r="C8535" s="638">
        <v>0.16800000000000001</v>
      </c>
      <c r="D8535" s="633">
        <f t="shared" si="273"/>
        <v>0.16800000000000001</v>
      </c>
      <c r="E8535" s="608"/>
      <c r="F8535" s="760">
        <f t="shared" si="272"/>
        <v>7.0869999291463329E-2</v>
      </c>
      <c r="M8535" s="443"/>
    </row>
    <row r="8536" spans="1:13">
      <c r="A8536" s="639">
        <v>122113</v>
      </c>
      <c r="B8536" s="639">
        <v>1300</v>
      </c>
      <c r="C8536" s="638">
        <v>0.17199999999999999</v>
      </c>
      <c r="D8536" s="633">
        <f t="shared" si="273"/>
        <v>0.17199999999999999</v>
      </c>
      <c r="E8536" s="608"/>
      <c r="F8536" s="760">
        <f t="shared" si="272"/>
        <v>7.2557380226974361E-2</v>
      </c>
      <c r="M8536" s="443"/>
    </row>
    <row r="8537" spans="1:13">
      <c r="A8537" s="639">
        <v>122113</v>
      </c>
      <c r="B8537" s="639">
        <v>1400</v>
      </c>
      <c r="C8537" s="638">
        <v>0.16900000000000001</v>
      </c>
      <c r="D8537" s="633">
        <f t="shared" si="273"/>
        <v>0.16900000000000001</v>
      </c>
      <c r="E8537" s="608"/>
      <c r="F8537" s="760">
        <f t="shared" si="272"/>
        <v>7.1291844525341097E-2</v>
      </c>
      <c r="M8537" s="443"/>
    </row>
    <row r="8538" spans="1:13">
      <c r="A8538" s="639">
        <v>122113</v>
      </c>
      <c r="B8538" s="639">
        <v>1500</v>
      </c>
      <c r="C8538" s="638">
        <v>0.17899999999999999</v>
      </c>
      <c r="D8538" s="633">
        <f t="shared" si="273"/>
        <v>0.17899999999999999</v>
      </c>
      <c r="E8538" s="608"/>
      <c r="F8538" s="760">
        <f t="shared" si="272"/>
        <v>7.5510296864118656E-2</v>
      </c>
      <c r="M8538" s="443"/>
    </row>
    <row r="8539" spans="1:13">
      <c r="A8539" s="639">
        <v>122113</v>
      </c>
      <c r="B8539" s="639">
        <v>1600</v>
      </c>
      <c r="C8539" s="638">
        <v>0.20699999999999999</v>
      </c>
      <c r="D8539" s="633">
        <f t="shared" si="273"/>
        <v>0.20699999999999999</v>
      </c>
      <c r="E8539" s="608"/>
      <c r="F8539" s="760">
        <f t="shared" si="272"/>
        <v>8.732196341269588E-2</v>
      </c>
      <c r="M8539" s="443"/>
    </row>
    <row r="8540" spans="1:13">
      <c r="A8540" s="639">
        <v>122113</v>
      </c>
      <c r="B8540" s="639">
        <v>1700</v>
      </c>
      <c r="C8540" s="638">
        <v>0.218</v>
      </c>
      <c r="D8540" s="633">
        <f t="shared" si="273"/>
        <v>0.218</v>
      </c>
      <c r="E8540" s="608"/>
      <c r="F8540" s="760">
        <f t="shared" si="272"/>
        <v>9.1962260985351235E-2</v>
      </c>
      <c r="M8540" s="443"/>
    </row>
    <row r="8541" spans="1:13">
      <c r="A8541" s="639">
        <v>122113</v>
      </c>
      <c r="B8541" s="639">
        <v>1800</v>
      </c>
      <c r="C8541" s="638">
        <v>0.224</v>
      </c>
      <c r="D8541" s="633">
        <f t="shared" si="273"/>
        <v>0.224</v>
      </c>
      <c r="E8541" s="608"/>
      <c r="F8541" s="760">
        <f t="shared" si="272"/>
        <v>9.4493332388617776E-2</v>
      </c>
      <c r="M8541" s="443"/>
    </row>
    <row r="8542" spans="1:13">
      <c r="A8542" s="639">
        <v>122113</v>
      </c>
      <c r="B8542" s="639">
        <v>1900</v>
      </c>
      <c r="C8542" s="638">
        <v>0.23799999999999999</v>
      </c>
      <c r="D8542" s="633">
        <f t="shared" si="273"/>
        <v>0.23799999999999999</v>
      </c>
      <c r="E8542" s="608"/>
      <c r="F8542" s="760">
        <f t="shared" si="272"/>
        <v>0.10039916566290637</v>
      </c>
      <c r="M8542" s="443"/>
    </row>
    <row r="8543" spans="1:13">
      <c r="A8543" s="639">
        <v>122113</v>
      </c>
      <c r="B8543" s="639">
        <v>2000</v>
      </c>
      <c r="C8543" s="638">
        <v>0.26</v>
      </c>
      <c r="D8543" s="633">
        <f t="shared" si="273"/>
        <v>0.26</v>
      </c>
      <c r="E8543" s="608"/>
      <c r="F8543" s="760">
        <f t="shared" si="272"/>
        <v>0.10967976080821705</v>
      </c>
      <c r="M8543" s="443"/>
    </row>
    <row r="8544" spans="1:13">
      <c r="A8544" s="639">
        <v>122113</v>
      </c>
      <c r="B8544" s="639">
        <v>2100</v>
      </c>
      <c r="C8544" s="638">
        <v>0.307</v>
      </c>
      <c r="D8544" s="633">
        <f t="shared" si="273"/>
        <v>0.307</v>
      </c>
      <c r="E8544" s="608"/>
      <c r="F8544" s="760">
        <f t="shared" si="272"/>
        <v>0.12950648680047167</v>
      </c>
      <c r="M8544" s="443"/>
    </row>
    <row r="8545" spans="1:13">
      <c r="A8545" s="639">
        <v>122113</v>
      </c>
      <c r="B8545" s="639">
        <v>2200</v>
      </c>
      <c r="C8545" s="638">
        <v>0</v>
      </c>
      <c r="D8545" s="633">
        <f t="shared" si="273"/>
        <v>0</v>
      </c>
      <c r="E8545" s="608"/>
      <c r="F8545" s="760">
        <f t="shared" si="272"/>
        <v>0</v>
      </c>
      <c r="M8545" s="443"/>
    </row>
    <row r="8546" spans="1:13">
      <c r="A8546" s="639">
        <v>122113</v>
      </c>
      <c r="B8546" s="639">
        <v>2300</v>
      </c>
      <c r="C8546" s="638">
        <v>0</v>
      </c>
      <c r="D8546" s="633">
        <f t="shared" si="273"/>
        <v>0</v>
      </c>
      <c r="E8546" s="608"/>
      <c r="F8546" s="760">
        <f t="shared" si="272"/>
        <v>0</v>
      </c>
      <c r="M8546" s="443"/>
    </row>
    <row r="8547" spans="1:13">
      <c r="A8547" s="639">
        <v>122113</v>
      </c>
      <c r="B8547" s="639">
        <v>2400</v>
      </c>
      <c r="C8547" s="638">
        <v>0</v>
      </c>
      <c r="D8547" s="633">
        <f t="shared" si="273"/>
        <v>0</v>
      </c>
      <c r="E8547" s="608"/>
      <c r="F8547" s="760">
        <f t="shared" si="272"/>
        <v>0</v>
      </c>
      <c r="M8547" s="443"/>
    </row>
    <row r="8548" spans="1:13">
      <c r="A8548" s="639">
        <v>122213</v>
      </c>
      <c r="B8548" s="639">
        <v>100</v>
      </c>
      <c r="C8548" s="638">
        <v>0</v>
      </c>
      <c r="D8548" s="633">
        <f t="shared" si="273"/>
        <v>0</v>
      </c>
      <c r="E8548" s="608"/>
      <c r="F8548" s="760">
        <f t="shared" si="272"/>
        <v>0</v>
      </c>
      <c r="M8548" s="443"/>
    </row>
    <row r="8549" spans="1:13">
      <c r="A8549" s="639">
        <v>122213</v>
      </c>
      <c r="B8549" s="639">
        <v>200</v>
      </c>
      <c r="C8549" s="638">
        <v>0</v>
      </c>
      <c r="D8549" s="633">
        <f t="shared" si="273"/>
        <v>0</v>
      </c>
      <c r="E8549" s="608"/>
      <c r="F8549" s="760">
        <f t="shared" si="272"/>
        <v>0</v>
      </c>
      <c r="M8549" s="443"/>
    </row>
    <row r="8550" spans="1:13">
      <c r="A8550" s="639">
        <v>122213</v>
      </c>
      <c r="B8550" s="639">
        <v>300</v>
      </c>
      <c r="C8550" s="638">
        <v>0</v>
      </c>
      <c r="D8550" s="633">
        <f t="shared" si="273"/>
        <v>0</v>
      </c>
      <c r="E8550" s="608"/>
      <c r="F8550" s="760">
        <f t="shared" si="272"/>
        <v>0</v>
      </c>
      <c r="M8550" s="443"/>
    </row>
    <row r="8551" spans="1:13">
      <c r="A8551" s="639">
        <v>122213</v>
      </c>
      <c r="B8551" s="639">
        <v>400</v>
      </c>
      <c r="C8551" s="638">
        <v>0</v>
      </c>
      <c r="D8551" s="633">
        <f t="shared" si="273"/>
        <v>0</v>
      </c>
      <c r="E8551" s="608"/>
      <c r="F8551" s="760">
        <f t="shared" si="272"/>
        <v>0</v>
      </c>
      <c r="M8551" s="443"/>
    </row>
    <row r="8552" spans="1:13">
      <c r="A8552" s="639">
        <v>122213</v>
      </c>
      <c r="B8552" s="639">
        <v>500</v>
      </c>
      <c r="C8552" s="638">
        <v>0</v>
      </c>
      <c r="D8552" s="633">
        <f t="shared" si="273"/>
        <v>0</v>
      </c>
      <c r="E8552" s="608"/>
      <c r="F8552" s="760">
        <f t="shared" si="272"/>
        <v>0</v>
      </c>
      <c r="M8552" s="443"/>
    </row>
    <row r="8553" spans="1:13">
      <c r="A8553" s="639">
        <v>122213</v>
      </c>
      <c r="B8553" s="639">
        <v>600</v>
      </c>
      <c r="C8553" s="638">
        <v>0</v>
      </c>
      <c r="D8553" s="633">
        <f t="shared" si="273"/>
        <v>0</v>
      </c>
      <c r="E8553" s="608"/>
      <c r="F8553" s="760">
        <f t="shared" si="272"/>
        <v>0</v>
      </c>
      <c r="M8553" s="443"/>
    </row>
    <row r="8554" spans="1:13">
      <c r="A8554" s="639">
        <v>122213</v>
      </c>
      <c r="B8554" s="639">
        <v>700</v>
      </c>
      <c r="C8554" s="638">
        <v>0</v>
      </c>
      <c r="D8554" s="633">
        <f t="shared" si="273"/>
        <v>0</v>
      </c>
      <c r="E8554" s="608"/>
      <c r="F8554" s="760">
        <f t="shared" si="272"/>
        <v>0</v>
      </c>
      <c r="M8554" s="443"/>
    </row>
    <row r="8555" spans="1:13">
      <c r="A8555" s="639">
        <v>122213</v>
      </c>
      <c r="B8555" s="639">
        <v>800</v>
      </c>
      <c r="C8555" s="638">
        <v>0</v>
      </c>
      <c r="D8555" s="633">
        <f t="shared" si="273"/>
        <v>0</v>
      </c>
      <c r="E8555" s="608"/>
      <c r="F8555" s="760">
        <f t="shared" si="272"/>
        <v>0</v>
      </c>
      <c r="M8555" s="443"/>
    </row>
    <row r="8556" spans="1:13">
      <c r="A8556" s="639">
        <v>122213</v>
      </c>
      <c r="B8556" s="639">
        <v>900</v>
      </c>
      <c r="C8556" s="638">
        <v>0</v>
      </c>
      <c r="D8556" s="633">
        <f t="shared" si="273"/>
        <v>0</v>
      </c>
      <c r="E8556" s="608"/>
      <c r="F8556" s="760">
        <f t="shared" ref="F8556:F8619" si="274">(D8556/(MAX($D$8044:$D$8787)))*$M$15</f>
        <v>0</v>
      </c>
      <c r="M8556" s="443"/>
    </row>
    <row r="8557" spans="1:13">
      <c r="A8557" s="639">
        <v>122213</v>
      </c>
      <c r="B8557" s="639">
        <v>1000</v>
      </c>
      <c r="C8557" s="638">
        <v>0</v>
      </c>
      <c r="D8557" s="633">
        <f t="shared" si="273"/>
        <v>0</v>
      </c>
      <c r="E8557" s="608"/>
      <c r="F8557" s="760">
        <f t="shared" si="274"/>
        <v>0</v>
      </c>
      <c r="M8557" s="443"/>
    </row>
    <row r="8558" spans="1:13">
      <c r="A8558" s="639">
        <v>122213</v>
      </c>
      <c r="B8558" s="639">
        <v>1100</v>
      </c>
      <c r="C8558" s="638">
        <v>0</v>
      </c>
      <c r="D8558" s="633">
        <f t="shared" si="273"/>
        <v>0</v>
      </c>
      <c r="E8558" s="608"/>
      <c r="F8558" s="760">
        <f t="shared" si="274"/>
        <v>0</v>
      </c>
      <c r="M8558" s="443"/>
    </row>
    <row r="8559" spans="1:13">
      <c r="A8559" s="639">
        <v>122213</v>
      </c>
      <c r="B8559" s="639">
        <v>1200</v>
      </c>
      <c r="C8559" s="638">
        <v>0</v>
      </c>
      <c r="D8559" s="633">
        <f t="shared" si="273"/>
        <v>0</v>
      </c>
      <c r="E8559" s="608"/>
      <c r="F8559" s="760">
        <f t="shared" si="274"/>
        <v>0</v>
      </c>
      <c r="M8559" s="443"/>
    </row>
    <row r="8560" spans="1:13">
      <c r="A8560" s="639">
        <v>122213</v>
      </c>
      <c r="B8560" s="639">
        <v>1300</v>
      </c>
      <c r="C8560" s="638">
        <v>0</v>
      </c>
      <c r="D8560" s="633">
        <f t="shared" si="273"/>
        <v>0</v>
      </c>
      <c r="E8560" s="608"/>
      <c r="F8560" s="760">
        <f t="shared" si="274"/>
        <v>0</v>
      </c>
      <c r="M8560" s="443"/>
    </row>
    <row r="8561" spans="1:13">
      <c r="A8561" s="639">
        <v>122213</v>
      </c>
      <c r="B8561" s="639">
        <v>1400</v>
      </c>
      <c r="C8561" s="638">
        <v>0</v>
      </c>
      <c r="D8561" s="633">
        <f t="shared" si="273"/>
        <v>0</v>
      </c>
      <c r="E8561" s="608"/>
      <c r="F8561" s="760">
        <f t="shared" si="274"/>
        <v>0</v>
      </c>
      <c r="M8561" s="443"/>
    </row>
    <row r="8562" spans="1:13">
      <c r="A8562" s="639">
        <v>122213</v>
      </c>
      <c r="B8562" s="639">
        <v>1500</v>
      </c>
      <c r="C8562" s="638">
        <v>0</v>
      </c>
      <c r="D8562" s="633">
        <f t="shared" si="273"/>
        <v>0</v>
      </c>
      <c r="E8562" s="608"/>
      <c r="F8562" s="760">
        <f t="shared" si="274"/>
        <v>0</v>
      </c>
      <c r="M8562" s="443"/>
    </row>
    <row r="8563" spans="1:13">
      <c r="A8563" s="639">
        <v>122213</v>
      </c>
      <c r="B8563" s="639">
        <v>1600</v>
      </c>
      <c r="C8563" s="638">
        <v>0</v>
      </c>
      <c r="D8563" s="633">
        <f t="shared" si="273"/>
        <v>0</v>
      </c>
      <c r="E8563" s="608"/>
      <c r="F8563" s="760">
        <f t="shared" si="274"/>
        <v>0</v>
      </c>
      <c r="M8563" s="443"/>
    </row>
    <row r="8564" spans="1:13">
      <c r="A8564" s="639">
        <v>122213</v>
      </c>
      <c r="B8564" s="639">
        <v>1700</v>
      </c>
      <c r="C8564" s="638">
        <v>0</v>
      </c>
      <c r="D8564" s="633">
        <f t="shared" si="273"/>
        <v>0</v>
      </c>
      <c r="E8564" s="608"/>
      <c r="F8564" s="760">
        <f t="shared" si="274"/>
        <v>0</v>
      </c>
      <c r="M8564" s="443"/>
    </row>
    <row r="8565" spans="1:13">
      <c r="A8565" s="639">
        <v>122213</v>
      </c>
      <c r="B8565" s="639">
        <v>1800</v>
      </c>
      <c r="C8565" s="638">
        <v>0</v>
      </c>
      <c r="D8565" s="633">
        <f t="shared" si="273"/>
        <v>0</v>
      </c>
      <c r="E8565" s="608"/>
      <c r="F8565" s="760">
        <f t="shared" si="274"/>
        <v>0</v>
      </c>
      <c r="M8565" s="443"/>
    </row>
    <row r="8566" spans="1:13">
      <c r="A8566" s="639">
        <v>122213</v>
      </c>
      <c r="B8566" s="639">
        <v>1900</v>
      </c>
      <c r="C8566" s="638">
        <v>0</v>
      </c>
      <c r="D8566" s="633">
        <f t="shared" si="273"/>
        <v>0</v>
      </c>
      <c r="E8566" s="608"/>
      <c r="F8566" s="760">
        <f t="shared" si="274"/>
        <v>0</v>
      </c>
      <c r="M8566" s="443"/>
    </row>
    <row r="8567" spans="1:13">
      <c r="A8567" s="639">
        <v>122213</v>
      </c>
      <c r="B8567" s="639">
        <v>2000</v>
      </c>
      <c r="C8567" s="638">
        <v>0</v>
      </c>
      <c r="D8567" s="633">
        <f t="shared" si="273"/>
        <v>0</v>
      </c>
      <c r="E8567" s="608"/>
      <c r="F8567" s="760">
        <f t="shared" si="274"/>
        <v>0</v>
      </c>
      <c r="M8567" s="443"/>
    </row>
    <row r="8568" spans="1:13">
      <c r="A8568" s="639">
        <v>122213</v>
      </c>
      <c r="B8568" s="639">
        <v>2100</v>
      </c>
      <c r="C8568" s="638">
        <v>0</v>
      </c>
      <c r="D8568" s="633">
        <f t="shared" si="273"/>
        <v>0</v>
      </c>
      <c r="E8568" s="608"/>
      <c r="F8568" s="760">
        <f t="shared" si="274"/>
        <v>0</v>
      </c>
      <c r="M8568" s="443"/>
    </row>
    <row r="8569" spans="1:13">
      <c r="A8569" s="639">
        <v>122213</v>
      </c>
      <c r="B8569" s="639">
        <v>2200</v>
      </c>
      <c r="C8569" s="638">
        <v>0</v>
      </c>
      <c r="D8569" s="633">
        <f t="shared" si="273"/>
        <v>0</v>
      </c>
      <c r="E8569" s="608"/>
      <c r="F8569" s="760">
        <f t="shared" si="274"/>
        <v>0</v>
      </c>
      <c r="M8569" s="443"/>
    </row>
    <row r="8570" spans="1:13">
      <c r="A8570" s="639">
        <v>122213</v>
      </c>
      <c r="B8570" s="639">
        <v>2300</v>
      </c>
      <c r="C8570" s="638">
        <v>0</v>
      </c>
      <c r="D8570" s="633">
        <f t="shared" si="273"/>
        <v>0</v>
      </c>
      <c r="E8570" s="608"/>
      <c r="F8570" s="760">
        <f t="shared" si="274"/>
        <v>0</v>
      </c>
      <c r="M8570" s="443"/>
    </row>
    <row r="8571" spans="1:13">
      <c r="A8571" s="639">
        <v>122213</v>
      </c>
      <c r="B8571" s="639">
        <v>2400</v>
      </c>
      <c r="C8571" s="638">
        <v>0</v>
      </c>
      <c r="D8571" s="633">
        <f t="shared" si="273"/>
        <v>0</v>
      </c>
      <c r="E8571" s="608"/>
      <c r="F8571" s="760">
        <f t="shared" si="274"/>
        <v>0</v>
      </c>
      <c r="M8571" s="443"/>
    </row>
    <row r="8572" spans="1:13">
      <c r="A8572" s="639">
        <v>122313</v>
      </c>
      <c r="B8572" s="639">
        <v>100</v>
      </c>
      <c r="C8572" s="638">
        <v>0</v>
      </c>
      <c r="D8572" s="633">
        <f t="shared" si="273"/>
        <v>0</v>
      </c>
      <c r="E8572" s="608"/>
      <c r="F8572" s="760">
        <f t="shared" si="274"/>
        <v>0</v>
      </c>
      <c r="M8572" s="443"/>
    </row>
    <row r="8573" spans="1:13">
      <c r="A8573" s="639">
        <v>122313</v>
      </c>
      <c r="B8573" s="639">
        <v>200</v>
      </c>
      <c r="C8573" s="638">
        <v>0</v>
      </c>
      <c r="D8573" s="633">
        <f t="shared" si="273"/>
        <v>0</v>
      </c>
      <c r="E8573" s="608"/>
      <c r="F8573" s="760">
        <f t="shared" si="274"/>
        <v>0</v>
      </c>
      <c r="M8573" s="443"/>
    </row>
    <row r="8574" spans="1:13">
      <c r="A8574" s="639">
        <v>122313</v>
      </c>
      <c r="B8574" s="639">
        <v>300</v>
      </c>
      <c r="C8574" s="638">
        <v>0</v>
      </c>
      <c r="D8574" s="633">
        <f t="shared" si="273"/>
        <v>0</v>
      </c>
      <c r="E8574" s="608"/>
      <c r="F8574" s="760">
        <f t="shared" si="274"/>
        <v>0</v>
      </c>
      <c r="M8574" s="443"/>
    </row>
    <row r="8575" spans="1:13">
      <c r="A8575" s="639">
        <v>122313</v>
      </c>
      <c r="B8575" s="639">
        <v>400</v>
      </c>
      <c r="C8575" s="638">
        <v>0</v>
      </c>
      <c r="D8575" s="633">
        <f t="shared" si="273"/>
        <v>0</v>
      </c>
      <c r="E8575" s="608"/>
      <c r="F8575" s="760">
        <f t="shared" si="274"/>
        <v>0</v>
      </c>
      <c r="M8575" s="443"/>
    </row>
    <row r="8576" spans="1:13">
      <c r="A8576" s="639">
        <v>122313</v>
      </c>
      <c r="B8576" s="639">
        <v>500</v>
      </c>
      <c r="C8576" s="638">
        <v>0</v>
      </c>
      <c r="D8576" s="633">
        <f t="shared" si="273"/>
        <v>0</v>
      </c>
      <c r="E8576" s="608"/>
      <c r="F8576" s="760">
        <f t="shared" si="274"/>
        <v>0</v>
      </c>
      <c r="M8576" s="443"/>
    </row>
    <row r="8577" spans="1:13">
      <c r="A8577" s="639">
        <v>122313</v>
      </c>
      <c r="B8577" s="639">
        <v>600</v>
      </c>
      <c r="C8577" s="638">
        <v>0</v>
      </c>
      <c r="D8577" s="633">
        <f t="shared" si="273"/>
        <v>0</v>
      </c>
      <c r="E8577" s="608"/>
      <c r="F8577" s="760">
        <f t="shared" si="274"/>
        <v>0</v>
      </c>
      <c r="M8577" s="443"/>
    </row>
    <row r="8578" spans="1:13">
      <c r="A8578" s="639">
        <v>122313</v>
      </c>
      <c r="B8578" s="639">
        <v>700</v>
      </c>
      <c r="C8578" s="638">
        <v>0</v>
      </c>
      <c r="D8578" s="633">
        <f t="shared" si="273"/>
        <v>0</v>
      </c>
      <c r="E8578" s="608"/>
      <c r="F8578" s="760">
        <f t="shared" si="274"/>
        <v>0</v>
      </c>
      <c r="M8578" s="443"/>
    </row>
    <row r="8579" spans="1:13">
      <c r="A8579" s="639">
        <v>122313</v>
      </c>
      <c r="B8579" s="639">
        <v>800</v>
      </c>
      <c r="C8579" s="638">
        <v>0</v>
      </c>
      <c r="D8579" s="633">
        <f t="shared" si="273"/>
        <v>0</v>
      </c>
      <c r="E8579" s="608"/>
      <c r="F8579" s="760">
        <f t="shared" si="274"/>
        <v>0</v>
      </c>
      <c r="M8579" s="443"/>
    </row>
    <row r="8580" spans="1:13">
      <c r="A8580" s="639">
        <v>122313</v>
      </c>
      <c r="B8580" s="639">
        <v>900</v>
      </c>
      <c r="C8580" s="638">
        <v>0</v>
      </c>
      <c r="D8580" s="633">
        <f t="shared" si="273"/>
        <v>0</v>
      </c>
      <c r="E8580" s="608"/>
      <c r="F8580" s="760">
        <f t="shared" si="274"/>
        <v>0</v>
      </c>
      <c r="M8580" s="443"/>
    </row>
    <row r="8581" spans="1:13">
      <c r="A8581" s="639">
        <v>122313</v>
      </c>
      <c r="B8581" s="639">
        <v>1000</v>
      </c>
      <c r="C8581" s="638">
        <v>0</v>
      </c>
      <c r="D8581" s="633">
        <f t="shared" ref="D8581:D8644" si="275">C8581</f>
        <v>0</v>
      </c>
      <c r="E8581" s="608"/>
      <c r="F8581" s="760">
        <f t="shared" si="274"/>
        <v>0</v>
      </c>
      <c r="M8581" s="443"/>
    </row>
    <row r="8582" spans="1:13">
      <c r="A8582" s="639">
        <v>122313</v>
      </c>
      <c r="B8582" s="639">
        <v>1100</v>
      </c>
      <c r="C8582" s="638">
        <v>0</v>
      </c>
      <c r="D8582" s="633">
        <f t="shared" si="275"/>
        <v>0</v>
      </c>
      <c r="E8582" s="608"/>
      <c r="F8582" s="760">
        <f t="shared" si="274"/>
        <v>0</v>
      </c>
      <c r="M8582" s="443"/>
    </row>
    <row r="8583" spans="1:13">
      <c r="A8583" s="639">
        <v>122313</v>
      </c>
      <c r="B8583" s="639">
        <v>1200</v>
      </c>
      <c r="C8583" s="638">
        <v>0</v>
      </c>
      <c r="D8583" s="633">
        <f t="shared" si="275"/>
        <v>0</v>
      </c>
      <c r="E8583" s="608"/>
      <c r="F8583" s="760">
        <f t="shared" si="274"/>
        <v>0</v>
      </c>
      <c r="M8583" s="443"/>
    </row>
    <row r="8584" spans="1:13">
      <c r="A8584" s="639">
        <v>122313</v>
      </c>
      <c r="B8584" s="639">
        <v>1300</v>
      </c>
      <c r="C8584" s="638">
        <v>0</v>
      </c>
      <c r="D8584" s="633">
        <f t="shared" si="275"/>
        <v>0</v>
      </c>
      <c r="E8584" s="608"/>
      <c r="F8584" s="760">
        <f t="shared" si="274"/>
        <v>0</v>
      </c>
      <c r="M8584" s="443"/>
    </row>
    <row r="8585" spans="1:13">
      <c r="A8585" s="639">
        <v>122313</v>
      </c>
      <c r="B8585" s="639">
        <v>1400</v>
      </c>
      <c r="C8585" s="638">
        <v>0</v>
      </c>
      <c r="D8585" s="633">
        <f t="shared" si="275"/>
        <v>0</v>
      </c>
      <c r="E8585" s="608"/>
      <c r="F8585" s="760">
        <f t="shared" si="274"/>
        <v>0</v>
      </c>
      <c r="M8585" s="443"/>
    </row>
    <row r="8586" spans="1:13">
      <c r="A8586" s="639">
        <v>122313</v>
      </c>
      <c r="B8586" s="639">
        <v>1500</v>
      </c>
      <c r="C8586" s="638">
        <v>0</v>
      </c>
      <c r="D8586" s="633">
        <f t="shared" si="275"/>
        <v>0</v>
      </c>
      <c r="E8586" s="608"/>
      <c r="F8586" s="760">
        <f t="shared" si="274"/>
        <v>0</v>
      </c>
      <c r="M8586" s="443"/>
    </row>
    <row r="8587" spans="1:13">
      <c r="A8587" s="639">
        <v>122313</v>
      </c>
      <c r="B8587" s="639">
        <v>1600</v>
      </c>
      <c r="C8587" s="638">
        <v>0</v>
      </c>
      <c r="D8587" s="633">
        <f t="shared" si="275"/>
        <v>0</v>
      </c>
      <c r="E8587" s="608"/>
      <c r="F8587" s="760">
        <f t="shared" si="274"/>
        <v>0</v>
      </c>
      <c r="M8587" s="443"/>
    </row>
    <row r="8588" spans="1:13">
      <c r="A8588" s="639">
        <v>122313</v>
      </c>
      <c r="B8588" s="639">
        <v>1700</v>
      </c>
      <c r="C8588" s="638">
        <v>0</v>
      </c>
      <c r="D8588" s="633">
        <f t="shared" si="275"/>
        <v>0</v>
      </c>
      <c r="E8588" s="608"/>
      <c r="F8588" s="760">
        <f t="shared" si="274"/>
        <v>0</v>
      </c>
      <c r="M8588" s="443"/>
    </row>
    <row r="8589" spans="1:13">
      <c r="A8589" s="639">
        <v>122313</v>
      </c>
      <c r="B8589" s="639">
        <v>1800</v>
      </c>
      <c r="C8589" s="638">
        <v>0</v>
      </c>
      <c r="D8589" s="633">
        <f t="shared" si="275"/>
        <v>0</v>
      </c>
      <c r="E8589" s="608"/>
      <c r="F8589" s="760">
        <f t="shared" si="274"/>
        <v>0</v>
      </c>
      <c r="M8589" s="443"/>
    </row>
    <row r="8590" spans="1:13">
      <c r="A8590" s="639">
        <v>122313</v>
      </c>
      <c r="B8590" s="639">
        <v>1900</v>
      </c>
      <c r="C8590" s="638">
        <v>0</v>
      </c>
      <c r="D8590" s="633">
        <f t="shared" si="275"/>
        <v>0</v>
      </c>
      <c r="E8590" s="608"/>
      <c r="F8590" s="760">
        <f t="shared" si="274"/>
        <v>0</v>
      </c>
      <c r="M8590" s="443"/>
    </row>
    <row r="8591" spans="1:13">
      <c r="A8591" s="639">
        <v>122313</v>
      </c>
      <c r="B8591" s="639">
        <v>2000</v>
      </c>
      <c r="C8591" s="638">
        <v>0</v>
      </c>
      <c r="D8591" s="633">
        <f t="shared" si="275"/>
        <v>0</v>
      </c>
      <c r="E8591" s="608"/>
      <c r="F8591" s="760">
        <f t="shared" si="274"/>
        <v>0</v>
      </c>
      <c r="M8591" s="443"/>
    </row>
    <row r="8592" spans="1:13">
      <c r="A8592" s="639">
        <v>122313</v>
      </c>
      <c r="B8592" s="639">
        <v>2100</v>
      </c>
      <c r="C8592" s="638">
        <v>0</v>
      </c>
      <c r="D8592" s="633">
        <f t="shared" si="275"/>
        <v>0</v>
      </c>
      <c r="E8592" s="608"/>
      <c r="F8592" s="760">
        <f t="shared" si="274"/>
        <v>0</v>
      </c>
      <c r="M8592" s="443"/>
    </row>
    <row r="8593" spans="1:13">
      <c r="A8593" s="639">
        <v>122313</v>
      </c>
      <c r="B8593" s="639">
        <v>2200</v>
      </c>
      <c r="C8593" s="638">
        <v>0</v>
      </c>
      <c r="D8593" s="633">
        <f t="shared" si="275"/>
        <v>0</v>
      </c>
      <c r="E8593" s="608"/>
      <c r="F8593" s="760">
        <f t="shared" si="274"/>
        <v>0</v>
      </c>
      <c r="M8593" s="443"/>
    </row>
    <row r="8594" spans="1:13">
      <c r="A8594" s="639">
        <v>122313</v>
      </c>
      <c r="B8594" s="639">
        <v>2300</v>
      </c>
      <c r="C8594" s="638">
        <v>0</v>
      </c>
      <c r="D8594" s="633">
        <f t="shared" si="275"/>
        <v>0</v>
      </c>
      <c r="E8594" s="608"/>
      <c r="F8594" s="760">
        <f t="shared" si="274"/>
        <v>0</v>
      </c>
      <c r="M8594" s="443"/>
    </row>
    <row r="8595" spans="1:13">
      <c r="A8595" s="639">
        <v>122313</v>
      </c>
      <c r="B8595" s="639">
        <v>2400</v>
      </c>
      <c r="C8595" s="638">
        <v>0</v>
      </c>
      <c r="D8595" s="633">
        <f t="shared" si="275"/>
        <v>0</v>
      </c>
      <c r="E8595" s="608"/>
      <c r="F8595" s="760">
        <f t="shared" si="274"/>
        <v>0</v>
      </c>
      <c r="M8595" s="443"/>
    </row>
    <row r="8596" spans="1:13">
      <c r="A8596" s="639">
        <v>122413</v>
      </c>
      <c r="B8596" s="639">
        <v>100</v>
      </c>
      <c r="C8596" s="638">
        <v>0</v>
      </c>
      <c r="D8596" s="633">
        <f t="shared" si="275"/>
        <v>0</v>
      </c>
      <c r="E8596" s="608"/>
      <c r="F8596" s="760">
        <f t="shared" si="274"/>
        <v>0</v>
      </c>
      <c r="M8596" s="443"/>
    </row>
    <row r="8597" spans="1:13">
      <c r="A8597" s="639">
        <v>122413</v>
      </c>
      <c r="B8597" s="639">
        <v>200</v>
      </c>
      <c r="C8597" s="638">
        <v>0</v>
      </c>
      <c r="D8597" s="633">
        <f t="shared" si="275"/>
        <v>0</v>
      </c>
      <c r="E8597" s="608"/>
      <c r="F8597" s="760">
        <f t="shared" si="274"/>
        <v>0</v>
      </c>
      <c r="M8597" s="443"/>
    </row>
    <row r="8598" spans="1:13">
      <c r="A8598" s="639">
        <v>122413</v>
      </c>
      <c r="B8598" s="639">
        <v>300</v>
      </c>
      <c r="C8598" s="638">
        <v>0</v>
      </c>
      <c r="D8598" s="633">
        <f t="shared" si="275"/>
        <v>0</v>
      </c>
      <c r="E8598" s="608"/>
      <c r="F8598" s="760">
        <f t="shared" si="274"/>
        <v>0</v>
      </c>
      <c r="M8598" s="443"/>
    </row>
    <row r="8599" spans="1:13">
      <c r="A8599" s="639">
        <v>122413</v>
      </c>
      <c r="B8599" s="639">
        <v>400</v>
      </c>
      <c r="C8599" s="638">
        <v>0</v>
      </c>
      <c r="D8599" s="633">
        <f t="shared" si="275"/>
        <v>0</v>
      </c>
      <c r="E8599" s="608"/>
      <c r="F8599" s="760">
        <f t="shared" si="274"/>
        <v>0</v>
      </c>
      <c r="M8599" s="443"/>
    </row>
    <row r="8600" spans="1:13">
      <c r="A8600" s="639">
        <v>122413</v>
      </c>
      <c r="B8600" s="639">
        <v>500</v>
      </c>
      <c r="C8600" s="638">
        <v>0</v>
      </c>
      <c r="D8600" s="633">
        <f t="shared" si="275"/>
        <v>0</v>
      </c>
      <c r="E8600" s="608"/>
      <c r="F8600" s="760">
        <f t="shared" si="274"/>
        <v>0</v>
      </c>
      <c r="M8600" s="443"/>
    </row>
    <row r="8601" spans="1:13">
      <c r="A8601" s="639">
        <v>122413</v>
      </c>
      <c r="B8601" s="639">
        <v>600</v>
      </c>
      <c r="C8601" s="638">
        <v>0</v>
      </c>
      <c r="D8601" s="633">
        <f t="shared" si="275"/>
        <v>0</v>
      </c>
      <c r="E8601" s="608"/>
      <c r="F8601" s="760">
        <f t="shared" si="274"/>
        <v>0</v>
      </c>
      <c r="M8601" s="443"/>
    </row>
    <row r="8602" spans="1:13">
      <c r="A8602" s="639">
        <v>122413</v>
      </c>
      <c r="B8602" s="639">
        <v>700</v>
      </c>
      <c r="C8602" s="638">
        <v>0</v>
      </c>
      <c r="D8602" s="633">
        <f t="shared" si="275"/>
        <v>0</v>
      </c>
      <c r="E8602" s="608"/>
      <c r="F8602" s="760">
        <f t="shared" si="274"/>
        <v>0</v>
      </c>
      <c r="M8602" s="443"/>
    </row>
    <row r="8603" spans="1:13">
      <c r="A8603" s="639">
        <v>122413</v>
      </c>
      <c r="B8603" s="639">
        <v>800</v>
      </c>
      <c r="C8603" s="638">
        <v>0</v>
      </c>
      <c r="D8603" s="633">
        <f t="shared" si="275"/>
        <v>0</v>
      </c>
      <c r="E8603" s="608"/>
      <c r="F8603" s="760">
        <f t="shared" si="274"/>
        <v>0</v>
      </c>
      <c r="M8603" s="443"/>
    </row>
    <row r="8604" spans="1:13">
      <c r="A8604" s="639">
        <v>122413</v>
      </c>
      <c r="B8604" s="639">
        <v>900</v>
      </c>
      <c r="C8604" s="638">
        <v>0</v>
      </c>
      <c r="D8604" s="633">
        <f t="shared" si="275"/>
        <v>0</v>
      </c>
      <c r="E8604" s="608"/>
      <c r="F8604" s="760">
        <f t="shared" si="274"/>
        <v>0</v>
      </c>
      <c r="M8604" s="443"/>
    </row>
    <row r="8605" spans="1:13">
      <c r="A8605" s="639">
        <v>122413</v>
      </c>
      <c r="B8605" s="639">
        <v>1000</v>
      </c>
      <c r="C8605" s="638">
        <v>0</v>
      </c>
      <c r="D8605" s="633">
        <f t="shared" si="275"/>
        <v>0</v>
      </c>
      <c r="E8605" s="608"/>
      <c r="F8605" s="760">
        <f t="shared" si="274"/>
        <v>0</v>
      </c>
      <c r="M8605" s="443"/>
    </row>
    <row r="8606" spans="1:13">
      <c r="A8606" s="639">
        <v>122413</v>
      </c>
      <c r="B8606" s="639">
        <v>1100</v>
      </c>
      <c r="C8606" s="638">
        <v>0</v>
      </c>
      <c r="D8606" s="633">
        <f t="shared" si="275"/>
        <v>0</v>
      </c>
      <c r="E8606" s="608"/>
      <c r="F8606" s="760">
        <f t="shared" si="274"/>
        <v>0</v>
      </c>
      <c r="M8606" s="443"/>
    </row>
    <row r="8607" spans="1:13">
      <c r="A8607" s="639">
        <v>122413</v>
      </c>
      <c r="B8607" s="639">
        <v>1200</v>
      </c>
      <c r="C8607" s="638">
        <v>0</v>
      </c>
      <c r="D8607" s="633">
        <f t="shared" si="275"/>
        <v>0</v>
      </c>
      <c r="E8607" s="608"/>
      <c r="F8607" s="760">
        <f t="shared" si="274"/>
        <v>0</v>
      </c>
      <c r="M8607" s="443"/>
    </row>
    <row r="8608" spans="1:13">
      <c r="A8608" s="639">
        <v>122413</v>
      </c>
      <c r="B8608" s="639">
        <v>1300</v>
      </c>
      <c r="C8608" s="638">
        <v>0</v>
      </c>
      <c r="D8608" s="633">
        <f t="shared" si="275"/>
        <v>0</v>
      </c>
      <c r="E8608" s="608"/>
      <c r="F8608" s="760">
        <f t="shared" si="274"/>
        <v>0</v>
      </c>
      <c r="M8608" s="443"/>
    </row>
    <row r="8609" spans="1:13">
      <c r="A8609" s="639">
        <v>122413</v>
      </c>
      <c r="B8609" s="639">
        <v>1400</v>
      </c>
      <c r="C8609" s="638">
        <v>0</v>
      </c>
      <c r="D8609" s="633">
        <f t="shared" si="275"/>
        <v>0</v>
      </c>
      <c r="E8609" s="608"/>
      <c r="F8609" s="760">
        <f t="shared" si="274"/>
        <v>0</v>
      </c>
      <c r="M8609" s="443"/>
    </row>
    <row r="8610" spans="1:13">
      <c r="A8610" s="639">
        <v>122413</v>
      </c>
      <c r="B8610" s="639">
        <v>1500</v>
      </c>
      <c r="C8610" s="638">
        <v>0</v>
      </c>
      <c r="D8610" s="633">
        <f t="shared" si="275"/>
        <v>0</v>
      </c>
      <c r="E8610" s="608"/>
      <c r="F8610" s="760">
        <f t="shared" si="274"/>
        <v>0</v>
      </c>
      <c r="M8610" s="443"/>
    </row>
    <row r="8611" spans="1:13">
      <c r="A8611" s="639">
        <v>122413</v>
      </c>
      <c r="B8611" s="639">
        <v>1600</v>
      </c>
      <c r="C8611" s="638">
        <v>0</v>
      </c>
      <c r="D8611" s="633">
        <f t="shared" si="275"/>
        <v>0</v>
      </c>
      <c r="E8611" s="608"/>
      <c r="F8611" s="760">
        <f t="shared" si="274"/>
        <v>0</v>
      </c>
      <c r="M8611" s="443"/>
    </row>
    <row r="8612" spans="1:13">
      <c r="A8612" s="639">
        <v>122413</v>
      </c>
      <c r="B8612" s="639">
        <v>1700</v>
      </c>
      <c r="C8612" s="638">
        <v>0</v>
      </c>
      <c r="D8612" s="633">
        <f t="shared" si="275"/>
        <v>0</v>
      </c>
      <c r="E8612" s="608"/>
      <c r="F8612" s="760">
        <f t="shared" si="274"/>
        <v>0</v>
      </c>
      <c r="M8612" s="443"/>
    </row>
    <row r="8613" spans="1:13">
      <c r="A8613" s="639">
        <v>122413</v>
      </c>
      <c r="B8613" s="639">
        <v>1800</v>
      </c>
      <c r="C8613" s="638">
        <v>0</v>
      </c>
      <c r="D8613" s="633">
        <f t="shared" si="275"/>
        <v>0</v>
      </c>
      <c r="E8613" s="608"/>
      <c r="F8613" s="760">
        <f t="shared" si="274"/>
        <v>0</v>
      </c>
      <c r="M8613" s="443"/>
    </row>
    <row r="8614" spans="1:13">
      <c r="A8614" s="639">
        <v>122413</v>
      </c>
      <c r="B8614" s="639">
        <v>1900</v>
      </c>
      <c r="C8614" s="638">
        <v>0</v>
      </c>
      <c r="D8614" s="633">
        <f t="shared" si="275"/>
        <v>0</v>
      </c>
      <c r="E8614" s="608"/>
      <c r="F8614" s="760">
        <f t="shared" si="274"/>
        <v>0</v>
      </c>
      <c r="M8614" s="443"/>
    </row>
    <row r="8615" spans="1:13">
      <c r="A8615" s="639">
        <v>122413</v>
      </c>
      <c r="B8615" s="639">
        <v>2000</v>
      </c>
      <c r="C8615" s="638">
        <v>0</v>
      </c>
      <c r="D8615" s="633">
        <f t="shared" si="275"/>
        <v>0</v>
      </c>
      <c r="E8615" s="608"/>
      <c r="F8615" s="760">
        <f t="shared" si="274"/>
        <v>0</v>
      </c>
      <c r="M8615" s="443"/>
    </row>
    <row r="8616" spans="1:13">
      <c r="A8616" s="639">
        <v>122413</v>
      </c>
      <c r="B8616" s="639">
        <v>2100</v>
      </c>
      <c r="C8616" s="638">
        <v>0</v>
      </c>
      <c r="D8616" s="633">
        <f t="shared" si="275"/>
        <v>0</v>
      </c>
      <c r="E8616" s="608"/>
      <c r="F8616" s="760">
        <f t="shared" si="274"/>
        <v>0</v>
      </c>
      <c r="M8616" s="443"/>
    </row>
    <row r="8617" spans="1:13">
      <c r="A8617" s="639">
        <v>122413</v>
      </c>
      <c r="B8617" s="639">
        <v>2200</v>
      </c>
      <c r="C8617" s="638">
        <v>0</v>
      </c>
      <c r="D8617" s="633">
        <f t="shared" si="275"/>
        <v>0</v>
      </c>
      <c r="E8617" s="608"/>
      <c r="F8617" s="760">
        <f t="shared" si="274"/>
        <v>0</v>
      </c>
      <c r="M8617" s="443"/>
    </row>
    <row r="8618" spans="1:13">
      <c r="A8618" s="639">
        <v>122413</v>
      </c>
      <c r="B8618" s="639">
        <v>2300</v>
      </c>
      <c r="C8618" s="638">
        <v>0</v>
      </c>
      <c r="D8618" s="633">
        <f t="shared" si="275"/>
        <v>0</v>
      </c>
      <c r="E8618" s="608"/>
      <c r="F8618" s="760">
        <f t="shared" si="274"/>
        <v>0</v>
      </c>
      <c r="M8618" s="443"/>
    </row>
    <row r="8619" spans="1:13">
      <c r="A8619" s="639">
        <v>122413</v>
      </c>
      <c r="B8619" s="639">
        <v>2400</v>
      </c>
      <c r="C8619" s="638">
        <v>0</v>
      </c>
      <c r="D8619" s="633">
        <f t="shared" si="275"/>
        <v>0</v>
      </c>
      <c r="E8619" s="608"/>
      <c r="F8619" s="760">
        <f t="shared" si="274"/>
        <v>0</v>
      </c>
      <c r="M8619" s="443"/>
    </row>
    <row r="8620" spans="1:13">
      <c r="A8620" s="639">
        <v>122513</v>
      </c>
      <c r="B8620" s="639">
        <v>100</v>
      </c>
      <c r="C8620" s="638">
        <v>0</v>
      </c>
      <c r="D8620" s="633">
        <f t="shared" si="275"/>
        <v>0</v>
      </c>
      <c r="E8620" s="608"/>
      <c r="F8620" s="760">
        <f t="shared" ref="F8620:F8683" si="276">(D8620/(MAX($D$8044:$D$8787)))*$M$15</f>
        <v>0</v>
      </c>
      <c r="M8620" s="443"/>
    </row>
    <row r="8621" spans="1:13">
      <c r="A8621" s="639">
        <v>122513</v>
      </c>
      <c r="B8621" s="639">
        <v>200</v>
      </c>
      <c r="C8621" s="638">
        <v>0</v>
      </c>
      <c r="D8621" s="633">
        <f t="shared" si="275"/>
        <v>0</v>
      </c>
      <c r="E8621" s="608"/>
      <c r="F8621" s="760">
        <f t="shared" si="276"/>
        <v>0</v>
      </c>
      <c r="M8621" s="443"/>
    </row>
    <row r="8622" spans="1:13">
      <c r="A8622" s="639">
        <v>122513</v>
      </c>
      <c r="B8622" s="639">
        <v>300</v>
      </c>
      <c r="C8622" s="638">
        <v>0</v>
      </c>
      <c r="D8622" s="633">
        <f t="shared" si="275"/>
        <v>0</v>
      </c>
      <c r="E8622" s="608"/>
      <c r="F8622" s="760">
        <f t="shared" si="276"/>
        <v>0</v>
      </c>
      <c r="M8622" s="443"/>
    </row>
    <row r="8623" spans="1:13">
      <c r="A8623" s="639">
        <v>122513</v>
      </c>
      <c r="B8623" s="639">
        <v>400</v>
      </c>
      <c r="C8623" s="638">
        <v>0</v>
      </c>
      <c r="D8623" s="633">
        <f t="shared" si="275"/>
        <v>0</v>
      </c>
      <c r="E8623" s="608"/>
      <c r="F8623" s="760">
        <f t="shared" si="276"/>
        <v>0</v>
      </c>
      <c r="M8623" s="443"/>
    </row>
    <row r="8624" spans="1:13">
      <c r="A8624" s="639">
        <v>122513</v>
      </c>
      <c r="B8624" s="639">
        <v>500</v>
      </c>
      <c r="C8624" s="638">
        <v>0</v>
      </c>
      <c r="D8624" s="633">
        <f t="shared" si="275"/>
        <v>0</v>
      </c>
      <c r="E8624" s="608"/>
      <c r="F8624" s="760">
        <f t="shared" si="276"/>
        <v>0</v>
      </c>
      <c r="M8624" s="443"/>
    </row>
    <row r="8625" spans="1:13">
      <c r="A8625" s="639">
        <v>122513</v>
      </c>
      <c r="B8625" s="639">
        <v>600</v>
      </c>
      <c r="C8625" s="638">
        <v>0</v>
      </c>
      <c r="D8625" s="633">
        <f t="shared" si="275"/>
        <v>0</v>
      </c>
      <c r="E8625" s="608"/>
      <c r="F8625" s="760">
        <f t="shared" si="276"/>
        <v>0</v>
      </c>
      <c r="M8625" s="443"/>
    </row>
    <row r="8626" spans="1:13">
      <c r="A8626" s="639">
        <v>122513</v>
      </c>
      <c r="B8626" s="639">
        <v>700</v>
      </c>
      <c r="C8626" s="638">
        <v>0</v>
      </c>
      <c r="D8626" s="633">
        <f t="shared" si="275"/>
        <v>0</v>
      </c>
      <c r="E8626" s="608"/>
      <c r="F8626" s="760">
        <f t="shared" si="276"/>
        <v>0</v>
      </c>
      <c r="M8626" s="443"/>
    </row>
    <row r="8627" spans="1:13">
      <c r="A8627" s="639">
        <v>122513</v>
      </c>
      <c r="B8627" s="639">
        <v>800</v>
      </c>
      <c r="C8627" s="638">
        <v>0</v>
      </c>
      <c r="D8627" s="633">
        <f t="shared" si="275"/>
        <v>0</v>
      </c>
      <c r="E8627" s="608"/>
      <c r="F8627" s="760">
        <f t="shared" si="276"/>
        <v>0</v>
      </c>
      <c r="M8627" s="443"/>
    </row>
    <row r="8628" spans="1:13">
      <c r="A8628" s="639">
        <v>122513</v>
      </c>
      <c r="B8628" s="639">
        <v>900</v>
      </c>
      <c r="C8628" s="638">
        <v>0</v>
      </c>
      <c r="D8628" s="633">
        <f t="shared" si="275"/>
        <v>0</v>
      </c>
      <c r="E8628" s="608"/>
      <c r="F8628" s="760">
        <f t="shared" si="276"/>
        <v>0</v>
      </c>
      <c r="M8628" s="443"/>
    </row>
    <row r="8629" spans="1:13">
      <c r="A8629" s="639">
        <v>122513</v>
      </c>
      <c r="B8629" s="639">
        <v>1000</v>
      </c>
      <c r="C8629" s="638">
        <v>0</v>
      </c>
      <c r="D8629" s="633">
        <f t="shared" si="275"/>
        <v>0</v>
      </c>
      <c r="E8629" s="608"/>
      <c r="F8629" s="760">
        <f t="shared" si="276"/>
        <v>0</v>
      </c>
      <c r="M8629" s="443"/>
    </row>
    <row r="8630" spans="1:13">
      <c r="A8630" s="639">
        <v>122513</v>
      </c>
      <c r="B8630" s="639">
        <v>1100</v>
      </c>
      <c r="C8630" s="638">
        <v>0</v>
      </c>
      <c r="D8630" s="633">
        <f t="shared" si="275"/>
        <v>0</v>
      </c>
      <c r="E8630" s="608"/>
      <c r="F8630" s="760">
        <f t="shared" si="276"/>
        <v>0</v>
      </c>
      <c r="M8630" s="443"/>
    </row>
    <row r="8631" spans="1:13">
      <c r="A8631" s="639">
        <v>122513</v>
      </c>
      <c r="B8631" s="639">
        <v>1200</v>
      </c>
      <c r="C8631" s="638">
        <v>0</v>
      </c>
      <c r="D8631" s="633">
        <f t="shared" si="275"/>
        <v>0</v>
      </c>
      <c r="E8631" s="608"/>
      <c r="F8631" s="760">
        <f t="shared" si="276"/>
        <v>0</v>
      </c>
      <c r="M8631" s="443"/>
    </row>
    <row r="8632" spans="1:13">
      <c r="A8632" s="639">
        <v>122513</v>
      </c>
      <c r="B8632" s="639">
        <v>1300</v>
      </c>
      <c r="C8632" s="638">
        <v>0</v>
      </c>
      <c r="D8632" s="633">
        <f t="shared" si="275"/>
        <v>0</v>
      </c>
      <c r="E8632" s="608"/>
      <c r="F8632" s="760">
        <f t="shared" si="276"/>
        <v>0</v>
      </c>
      <c r="M8632" s="443"/>
    </row>
    <row r="8633" spans="1:13">
      <c r="A8633" s="639">
        <v>122513</v>
      </c>
      <c r="B8633" s="639">
        <v>1400</v>
      </c>
      <c r="C8633" s="638">
        <v>0</v>
      </c>
      <c r="D8633" s="633">
        <f t="shared" si="275"/>
        <v>0</v>
      </c>
      <c r="E8633" s="608"/>
      <c r="F8633" s="760">
        <f t="shared" si="276"/>
        <v>0</v>
      </c>
      <c r="M8633" s="443"/>
    </row>
    <row r="8634" spans="1:13">
      <c r="A8634" s="639">
        <v>122513</v>
      </c>
      <c r="B8634" s="639">
        <v>1500</v>
      </c>
      <c r="C8634" s="638">
        <v>0</v>
      </c>
      <c r="D8634" s="633">
        <f t="shared" si="275"/>
        <v>0</v>
      </c>
      <c r="E8634" s="608"/>
      <c r="F8634" s="760">
        <f t="shared" si="276"/>
        <v>0</v>
      </c>
      <c r="M8634" s="443"/>
    </row>
    <row r="8635" spans="1:13">
      <c r="A8635" s="639">
        <v>122513</v>
      </c>
      <c r="B8635" s="639">
        <v>1600</v>
      </c>
      <c r="C8635" s="638">
        <v>0</v>
      </c>
      <c r="D8635" s="633">
        <f t="shared" si="275"/>
        <v>0</v>
      </c>
      <c r="E8635" s="608"/>
      <c r="F8635" s="760">
        <f t="shared" si="276"/>
        <v>0</v>
      </c>
      <c r="M8635" s="443"/>
    </row>
    <row r="8636" spans="1:13">
      <c r="A8636" s="639">
        <v>122513</v>
      </c>
      <c r="B8636" s="639">
        <v>1700</v>
      </c>
      <c r="C8636" s="638">
        <v>0</v>
      </c>
      <c r="D8636" s="633">
        <f t="shared" si="275"/>
        <v>0</v>
      </c>
      <c r="E8636" s="608"/>
      <c r="F8636" s="760">
        <f t="shared" si="276"/>
        <v>0</v>
      </c>
      <c r="M8636" s="443"/>
    </row>
    <row r="8637" spans="1:13">
      <c r="A8637" s="639">
        <v>122513</v>
      </c>
      <c r="B8637" s="639">
        <v>1800</v>
      </c>
      <c r="C8637" s="638">
        <v>0</v>
      </c>
      <c r="D8637" s="633">
        <f t="shared" si="275"/>
        <v>0</v>
      </c>
      <c r="E8637" s="608"/>
      <c r="F8637" s="760">
        <f t="shared" si="276"/>
        <v>0</v>
      </c>
      <c r="M8637" s="443"/>
    </row>
    <row r="8638" spans="1:13">
      <c r="A8638" s="639">
        <v>122513</v>
      </c>
      <c r="B8638" s="639">
        <v>1900</v>
      </c>
      <c r="C8638" s="638">
        <v>0</v>
      </c>
      <c r="D8638" s="633">
        <f t="shared" si="275"/>
        <v>0</v>
      </c>
      <c r="E8638" s="608"/>
      <c r="F8638" s="760">
        <f t="shared" si="276"/>
        <v>0</v>
      </c>
      <c r="M8638" s="443"/>
    </row>
    <row r="8639" spans="1:13">
      <c r="A8639" s="639">
        <v>122513</v>
      </c>
      <c r="B8639" s="639">
        <v>2000</v>
      </c>
      <c r="C8639" s="638">
        <v>0</v>
      </c>
      <c r="D8639" s="633">
        <f t="shared" si="275"/>
        <v>0</v>
      </c>
      <c r="E8639" s="608"/>
      <c r="F8639" s="760">
        <f t="shared" si="276"/>
        <v>0</v>
      </c>
      <c r="M8639" s="443"/>
    </row>
    <row r="8640" spans="1:13">
      <c r="A8640" s="639">
        <v>122513</v>
      </c>
      <c r="B8640" s="639">
        <v>2100</v>
      </c>
      <c r="C8640" s="638">
        <v>0</v>
      </c>
      <c r="D8640" s="633">
        <f t="shared" si="275"/>
        <v>0</v>
      </c>
      <c r="E8640" s="608"/>
      <c r="F8640" s="760">
        <f t="shared" si="276"/>
        <v>0</v>
      </c>
      <c r="M8640" s="443"/>
    </row>
    <row r="8641" spans="1:13">
      <c r="A8641" s="639">
        <v>122513</v>
      </c>
      <c r="B8641" s="639">
        <v>2200</v>
      </c>
      <c r="C8641" s="638">
        <v>0</v>
      </c>
      <c r="D8641" s="633">
        <f t="shared" si="275"/>
        <v>0</v>
      </c>
      <c r="E8641" s="608"/>
      <c r="F8641" s="760">
        <f t="shared" si="276"/>
        <v>0</v>
      </c>
      <c r="M8641" s="443"/>
    </row>
    <row r="8642" spans="1:13">
      <c r="A8642" s="639">
        <v>122513</v>
      </c>
      <c r="B8642" s="639">
        <v>2300</v>
      </c>
      <c r="C8642" s="638">
        <v>0</v>
      </c>
      <c r="D8642" s="633">
        <f t="shared" si="275"/>
        <v>0</v>
      </c>
      <c r="E8642" s="608"/>
      <c r="F8642" s="760">
        <f t="shared" si="276"/>
        <v>0</v>
      </c>
      <c r="M8642" s="443"/>
    </row>
    <row r="8643" spans="1:13">
      <c r="A8643" s="639">
        <v>122513</v>
      </c>
      <c r="B8643" s="639">
        <v>2400</v>
      </c>
      <c r="C8643" s="638">
        <v>0</v>
      </c>
      <c r="D8643" s="633">
        <f t="shared" si="275"/>
        <v>0</v>
      </c>
      <c r="E8643" s="608"/>
      <c r="F8643" s="760">
        <f t="shared" si="276"/>
        <v>0</v>
      </c>
      <c r="M8643" s="443"/>
    </row>
    <row r="8644" spans="1:13">
      <c r="A8644" s="639">
        <v>122613</v>
      </c>
      <c r="B8644" s="639">
        <v>100</v>
      </c>
      <c r="C8644" s="638">
        <v>0</v>
      </c>
      <c r="D8644" s="633">
        <f t="shared" si="275"/>
        <v>0</v>
      </c>
      <c r="E8644" s="608"/>
      <c r="F8644" s="760">
        <f t="shared" si="276"/>
        <v>0</v>
      </c>
      <c r="M8644" s="443"/>
    </row>
    <row r="8645" spans="1:13">
      <c r="A8645" s="639">
        <v>122613</v>
      </c>
      <c r="B8645" s="639">
        <v>200</v>
      </c>
      <c r="C8645" s="638">
        <v>0</v>
      </c>
      <c r="D8645" s="633">
        <f t="shared" ref="D8645:D8708" si="277">C8645</f>
        <v>0</v>
      </c>
      <c r="E8645" s="608"/>
      <c r="F8645" s="760">
        <f t="shared" si="276"/>
        <v>0</v>
      </c>
      <c r="M8645" s="443"/>
    </row>
    <row r="8646" spans="1:13">
      <c r="A8646" s="639">
        <v>122613</v>
      </c>
      <c r="B8646" s="639">
        <v>300</v>
      </c>
      <c r="C8646" s="638">
        <v>0</v>
      </c>
      <c r="D8646" s="633">
        <f t="shared" si="277"/>
        <v>0</v>
      </c>
      <c r="E8646" s="608"/>
      <c r="F8646" s="760">
        <f t="shared" si="276"/>
        <v>0</v>
      </c>
      <c r="M8646" s="443"/>
    </row>
    <row r="8647" spans="1:13">
      <c r="A8647" s="639">
        <v>122613</v>
      </c>
      <c r="B8647" s="639">
        <v>400</v>
      </c>
      <c r="C8647" s="638">
        <v>0</v>
      </c>
      <c r="D8647" s="633">
        <f t="shared" si="277"/>
        <v>0</v>
      </c>
      <c r="E8647" s="608"/>
      <c r="F8647" s="760">
        <f t="shared" si="276"/>
        <v>0</v>
      </c>
      <c r="M8647" s="443"/>
    </row>
    <row r="8648" spans="1:13">
      <c r="A8648" s="639">
        <v>122613</v>
      </c>
      <c r="B8648" s="639">
        <v>500</v>
      </c>
      <c r="C8648" s="638">
        <v>0</v>
      </c>
      <c r="D8648" s="633">
        <f t="shared" si="277"/>
        <v>0</v>
      </c>
      <c r="E8648" s="608"/>
      <c r="F8648" s="760">
        <f t="shared" si="276"/>
        <v>0</v>
      </c>
      <c r="M8648" s="443"/>
    </row>
    <row r="8649" spans="1:13">
      <c r="A8649" s="639">
        <v>122613</v>
      </c>
      <c r="B8649" s="639">
        <v>600</v>
      </c>
      <c r="C8649" s="638">
        <v>0</v>
      </c>
      <c r="D8649" s="633">
        <f t="shared" si="277"/>
        <v>0</v>
      </c>
      <c r="E8649" s="608"/>
      <c r="F8649" s="760">
        <f t="shared" si="276"/>
        <v>0</v>
      </c>
      <c r="M8649" s="443"/>
    </row>
    <row r="8650" spans="1:13">
      <c r="A8650" s="639">
        <v>122613</v>
      </c>
      <c r="B8650" s="639">
        <v>700</v>
      </c>
      <c r="C8650" s="638">
        <v>0</v>
      </c>
      <c r="D8650" s="633">
        <f t="shared" si="277"/>
        <v>0</v>
      </c>
      <c r="E8650" s="608"/>
      <c r="F8650" s="760">
        <f t="shared" si="276"/>
        <v>0</v>
      </c>
      <c r="M8650" s="443"/>
    </row>
    <row r="8651" spans="1:13">
      <c r="A8651" s="639">
        <v>122613</v>
      </c>
      <c r="B8651" s="639">
        <v>800</v>
      </c>
      <c r="C8651" s="638">
        <v>0</v>
      </c>
      <c r="D8651" s="633">
        <f t="shared" si="277"/>
        <v>0</v>
      </c>
      <c r="E8651" s="608"/>
      <c r="F8651" s="760">
        <f t="shared" si="276"/>
        <v>0</v>
      </c>
      <c r="M8651" s="443"/>
    </row>
    <row r="8652" spans="1:13">
      <c r="A8652" s="639">
        <v>122613</v>
      </c>
      <c r="B8652" s="639">
        <v>900</v>
      </c>
      <c r="C8652" s="638">
        <v>0</v>
      </c>
      <c r="D8652" s="633">
        <f t="shared" si="277"/>
        <v>0</v>
      </c>
      <c r="E8652" s="608"/>
      <c r="F8652" s="760">
        <f t="shared" si="276"/>
        <v>0</v>
      </c>
      <c r="M8652" s="443"/>
    </row>
    <row r="8653" spans="1:13">
      <c r="A8653" s="639">
        <v>122613</v>
      </c>
      <c r="B8653" s="639">
        <v>1000</v>
      </c>
      <c r="C8653" s="638">
        <v>0</v>
      </c>
      <c r="D8653" s="633">
        <f t="shared" si="277"/>
        <v>0</v>
      </c>
      <c r="E8653" s="608"/>
      <c r="F8653" s="760">
        <f t="shared" si="276"/>
        <v>0</v>
      </c>
      <c r="M8653" s="443"/>
    </row>
    <row r="8654" spans="1:13">
      <c r="A8654" s="639">
        <v>122613</v>
      </c>
      <c r="B8654" s="639">
        <v>1100</v>
      </c>
      <c r="C8654" s="638">
        <v>5.0999999999999997E-2</v>
      </c>
      <c r="D8654" s="633">
        <f t="shared" si="277"/>
        <v>5.0999999999999997E-2</v>
      </c>
      <c r="E8654" s="608"/>
      <c r="F8654" s="760">
        <f t="shared" si="276"/>
        <v>2.1514106927765651E-2</v>
      </c>
      <c r="M8654" s="443"/>
    </row>
    <row r="8655" spans="1:13">
      <c r="A8655" s="639">
        <v>122613</v>
      </c>
      <c r="B8655" s="639">
        <v>1200</v>
      </c>
      <c r="C8655" s="638">
        <v>0.66900000000000004</v>
      </c>
      <c r="D8655" s="633">
        <f t="shared" si="277"/>
        <v>0.66900000000000004</v>
      </c>
      <c r="E8655" s="608"/>
      <c r="F8655" s="760">
        <f t="shared" si="276"/>
        <v>0.28221446146422008</v>
      </c>
      <c r="M8655" s="443"/>
    </row>
    <row r="8656" spans="1:13">
      <c r="A8656" s="639">
        <v>122613</v>
      </c>
      <c r="B8656" s="639">
        <v>1300</v>
      </c>
      <c r="C8656" s="638">
        <v>0.314</v>
      </c>
      <c r="D8656" s="633">
        <f t="shared" si="277"/>
        <v>0.314</v>
      </c>
      <c r="E8656" s="608"/>
      <c r="F8656" s="760">
        <f t="shared" si="276"/>
        <v>0.13245940343761597</v>
      </c>
      <c r="M8656" s="443"/>
    </row>
    <row r="8657" spans="1:13">
      <c r="A8657" s="639">
        <v>122613</v>
      </c>
      <c r="B8657" s="639">
        <v>1400</v>
      </c>
      <c r="C8657" s="638">
        <v>0.32400000000000001</v>
      </c>
      <c r="D8657" s="633">
        <f t="shared" si="277"/>
        <v>0.32400000000000001</v>
      </c>
      <c r="E8657" s="608"/>
      <c r="F8657" s="760">
        <f t="shared" si="276"/>
        <v>0.13667785577639358</v>
      </c>
      <c r="M8657" s="443"/>
    </row>
    <row r="8658" spans="1:13">
      <c r="A8658" s="639">
        <v>122613</v>
      </c>
      <c r="B8658" s="639">
        <v>1500</v>
      </c>
      <c r="C8658" s="638">
        <v>0.252</v>
      </c>
      <c r="D8658" s="633">
        <f t="shared" si="277"/>
        <v>0.252</v>
      </c>
      <c r="E8658" s="608"/>
      <c r="F8658" s="760">
        <f t="shared" si="276"/>
        <v>0.10630499893719499</v>
      </c>
      <c r="M8658" s="443"/>
    </row>
    <row r="8659" spans="1:13">
      <c r="A8659" s="639">
        <v>122613</v>
      </c>
      <c r="B8659" s="639">
        <v>1600</v>
      </c>
      <c r="C8659" s="638">
        <v>0.24</v>
      </c>
      <c r="D8659" s="633">
        <f t="shared" si="277"/>
        <v>0.24</v>
      </c>
      <c r="E8659" s="608"/>
      <c r="F8659" s="760">
        <f t="shared" si="276"/>
        <v>0.10124285613066189</v>
      </c>
      <c r="M8659" s="443"/>
    </row>
    <row r="8660" spans="1:13">
      <c r="A8660" s="639">
        <v>122613</v>
      </c>
      <c r="B8660" s="639">
        <v>1700</v>
      </c>
      <c r="C8660" s="638">
        <v>0.26200000000000001</v>
      </c>
      <c r="D8660" s="633">
        <f t="shared" si="277"/>
        <v>0.26200000000000001</v>
      </c>
      <c r="E8660" s="608"/>
      <c r="F8660" s="760">
        <f t="shared" si="276"/>
        <v>0.11052345127597256</v>
      </c>
      <c r="M8660" s="443"/>
    </row>
    <row r="8661" spans="1:13">
      <c r="A8661" s="639">
        <v>122613</v>
      </c>
      <c r="B8661" s="639">
        <v>1800</v>
      </c>
      <c r="C8661" s="638">
        <v>0.26700000000000002</v>
      </c>
      <c r="D8661" s="633">
        <f t="shared" si="277"/>
        <v>0.26700000000000002</v>
      </c>
      <c r="E8661" s="608"/>
      <c r="F8661" s="760">
        <f t="shared" si="276"/>
        <v>0.11263267744536136</v>
      </c>
      <c r="M8661" s="443"/>
    </row>
    <row r="8662" spans="1:13">
      <c r="A8662" s="639">
        <v>122613</v>
      </c>
      <c r="B8662" s="639">
        <v>1900</v>
      </c>
      <c r="C8662" s="638">
        <v>0.27700000000000002</v>
      </c>
      <c r="D8662" s="633">
        <f t="shared" si="277"/>
        <v>0.27700000000000002</v>
      </c>
      <c r="E8662" s="608"/>
      <c r="F8662" s="760">
        <f t="shared" si="276"/>
        <v>0.11685112978413893</v>
      </c>
      <c r="M8662" s="443"/>
    </row>
    <row r="8663" spans="1:13">
      <c r="A8663" s="639">
        <v>122613</v>
      </c>
      <c r="B8663" s="639">
        <v>2000</v>
      </c>
      <c r="C8663" s="638">
        <v>0.29199999999999998</v>
      </c>
      <c r="D8663" s="633">
        <f t="shared" si="277"/>
        <v>0.29199999999999998</v>
      </c>
      <c r="E8663" s="608"/>
      <c r="F8663" s="760">
        <f t="shared" si="276"/>
        <v>0.12317880829230529</v>
      </c>
      <c r="M8663" s="443"/>
    </row>
    <row r="8664" spans="1:13">
      <c r="A8664" s="639">
        <v>122613</v>
      </c>
      <c r="B8664" s="639">
        <v>2100</v>
      </c>
      <c r="C8664" s="638">
        <v>0.26200000000000001</v>
      </c>
      <c r="D8664" s="633">
        <f t="shared" si="277"/>
        <v>0.26200000000000001</v>
      </c>
      <c r="E8664" s="608"/>
      <c r="F8664" s="760">
        <f t="shared" si="276"/>
        <v>0.11052345127597256</v>
      </c>
      <c r="M8664" s="443"/>
    </row>
    <row r="8665" spans="1:13">
      <c r="A8665" s="639">
        <v>122613</v>
      </c>
      <c r="B8665" s="639">
        <v>2200</v>
      </c>
      <c r="C8665" s="638">
        <v>0.26300000000000001</v>
      </c>
      <c r="D8665" s="633">
        <f t="shared" si="277"/>
        <v>0.26300000000000001</v>
      </c>
      <c r="E8665" s="608"/>
      <c r="F8665" s="760">
        <f t="shared" si="276"/>
        <v>0.11094529650985033</v>
      </c>
      <c r="M8665" s="443"/>
    </row>
    <row r="8666" spans="1:13">
      <c r="A8666" s="639">
        <v>122613</v>
      </c>
      <c r="B8666" s="639">
        <v>2300</v>
      </c>
      <c r="C8666" s="638">
        <v>0.27400000000000002</v>
      </c>
      <c r="D8666" s="633">
        <f t="shared" si="277"/>
        <v>0.27400000000000002</v>
      </c>
      <c r="E8666" s="608"/>
      <c r="F8666" s="760">
        <f t="shared" si="276"/>
        <v>0.11558559408250567</v>
      </c>
      <c r="M8666" s="443"/>
    </row>
    <row r="8667" spans="1:13">
      <c r="A8667" s="639">
        <v>122613</v>
      </c>
      <c r="B8667" s="639">
        <v>2400</v>
      </c>
      <c r="C8667" s="638">
        <v>0.27100000000000002</v>
      </c>
      <c r="D8667" s="633">
        <f t="shared" si="277"/>
        <v>0.27100000000000002</v>
      </c>
      <c r="E8667" s="608"/>
      <c r="F8667" s="760">
        <f t="shared" si="276"/>
        <v>0.11432005838087239</v>
      </c>
      <c r="M8667" s="443"/>
    </row>
    <row r="8668" spans="1:13">
      <c r="A8668" s="639">
        <v>122713</v>
      </c>
      <c r="B8668" s="639">
        <v>100</v>
      </c>
      <c r="C8668" s="638">
        <v>0.28100000000000003</v>
      </c>
      <c r="D8668" s="633">
        <f t="shared" si="277"/>
        <v>0.28100000000000003</v>
      </c>
      <c r="E8668" s="608"/>
      <c r="F8668" s="760">
        <f t="shared" si="276"/>
        <v>0.11853851071964996</v>
      </c>
      <c r="M8668" s="443"/>
    </row>
    <row r="8669" spans="1:13">
      <c r="A8669" s="639">
        <v>122713</v>
      </c>
      <c r="B8669" s="639">
        <v>200</v>
      </c>
      <c r="C8669" s="638">
        <v>0.27100000000000002</v>
      </c>
      <c r="D8669" s="633">
        <f t="shared" si="277"/>
        <v>0.27100000000000002</v>
      </c>
      <c r="E8669" s="608"/>
      <c r="F8669" s="760">
        <f t="shared" si="276"/>
        <v>0.11432005838087239</v>
      </c>
      <c r="M8669" s="443"/>
    </row>
    <row r="8670" spans="1:13">
      <c r="A8670" s="639">
        <v>122713</v>
      </c>
      <c r="B8670" s="639">
        <v>300</v>
      </c>
      <c r="C8670" s="638">
        <v>0.28899999999999998</v>
      </c>
      <c r="D8670" s="633">
        <f t="shared" si="277"/>
        <v>0.28899999999999998</v>
      </c>
      <c r="E8670" s="608"/>
      <c r="F8670" s="760">
        <f t="shared" si="276"/>
        <v>0.12191327259067201</v>
      </c>
      <c r="M8670" s="443"/>
    </row>
    <row r="8671" spans="1:13">
      <c r="A8671" s="639">
        <v>122713</v>
      </c>
      <c r="B8671" s="639">
        <v>400</v>
      </c>
      <c r="C8671" s="638">
        <v>0.30099999999999999</v>
      </c>
      <c r="D8671" s="633">
        <f t="shared" si="277"/>
        <v>0.30099999999999999</v>
      </c>
      <c r="E8671" s="608"/>
      <c r="F8671" s="760">
        <f t="shared" si="276"/>
        <v>0.12697541539720511</v>
      </c>
      <c r="M8671" s="443"/>
    </row>
    <row r="8672" spans="1:13">
      <c r="A8672" s="639">
        <v>122713</v>
      </c>
      <c r="B8672" s="639">
        <v>500</v>
      </c>
      <c r="C8672" s="638">
        <v>0.308</v>
      </c>
      <c r="D8672" s="633">
        <f t="shared" si="277"/>
        <v>0.308</v>
      </c>
      <c r="E8672" s="608"/>
      <c r="F8672" s="760">
        <f t="shared" si="276"/>
        <v>0.12992833203434942</v>
      </c>
      <c r="M8672" s="443"/>
    </row>
    <row r="8673" spans="1:13">
      <c r="A8673" s="639">
        <v>122713</v>
      </c>
      <c r="B8673" s="639">
        <v>600</v>
      </c>
      <c r="C8673" s="638">
        <v>0.309</v>
      </c>
      <c r="D8673" s="633">
        <f t="shared" si="277"/>
        <v>0.309</v>
      </c>
      <c r="E8673" s="608"/>
      <c r="F8673" s="760">
        <f t="shared" si="276"/>
        <v>0.13035017726822717</v>
      </c>
      <c r="M8673" s="443"/>
    </row>
    <row r="8674" spans="1:13">
      <c r="A8674" s="639">
        <v>122713</v>
      </c>
      <c r="B8674" s="639">
        <v>700</v>
      </c>
      <c r="C8674" s="638">
        <v>0.312</v>
      </c>
      <c r="D8674" s="633">
        <f t="shared" si="277"/>
        <v>0.312</v>
      </c>
      <c r="E8674" s="608"/>
      <c r="F8674" s="760">
        <f t="shared" si="276"/>
        <v>0.13161571296986044</v>
      </c>
      <c r="M8674" s="443"/>
    </row>
    <row r="8675" spans="1:13">
      <c r="A8675" s="639">
        <v>122713</v>
      </c>
      <c r="B8675" s="639">
        <v>800</v>
      </c>
      <c r="C8675" s="638">
        <v>0.311</v>
      </c>
      <c r="D8675" s="633">
        <f t="shared" si="277"/>
        <v>0.311</v>
      </c>
      <c r="E8675" s="608"/>
      <c r="F8675" s="760">
        <f t="shared" si="276"/>
        <v>0.13119386773598268</v>
      </c>
      <c r="M8675" s="443"/>
    </row>
    <row r="8676" spans="1:13">
      <c r="A8676" s="639">
        <v>122713</v>
      </c>
      <c r="B8676" s="639">
        <v>900</v>
      </c>
      <c r="C8676" s="638">
        <v>0.34</v>
      </c>
      <c r="D8676" s="633">
        <f t="shared" si="277"/>
        <v>0.34</v>
      </c>
      <c r="E8676" s="608"/>
      <c r="F8676" s="760">
        <f t="shared" si="276"/>
        <v>0.1434273795184377</v>
      </c>
      <c r="M8676" s="443"/>
    </row>
    <row r="8677" spans="1:13">
      <c r="A8677" s="639">
        <v>122713</v>
      </c>
      <c r="B8677" s="639">
        <v>1000</v>
      </c>
      <c r="C8677" s="638">
        <v>0.30399999999999999</v>
      </c>
      <c r="D8677" s="633">
        <f t="shared" si="277"/>
        <v>0.30399999999999999</v>
      </c>
      <c r="E8677" s="608"/>
      <c r="F8677" s="760">
        <f t="shared" si="276"/>
        <v>0.12824095109883837</v>
      </c>
      <c r="M8677" s="443"/>
    </row>
    <row r="8678" spans="1:13">
      <c r="A8678" s="639">
        <v>122713</v>
      </c>
      <c r="B8678" s="639">
        <v>1100</v>
      </c>
      <c r="C8678" s="638">
        <v>0.25900000000000001</v>
      </c>
      <c r="D8678" s="633">
        <f t="shared" si="277"/>
        <v>0.25900000000000001</v>
      </c>
      <c r="E8678" s="608"/>
      <c r="F8678" s="760">
        <f t="shared" si="276"/>
        <v>0.1092579155743393</v>
      </c>
      <c r="M8678" s="443"/>
    </row>
    <row r="8679" spans="1:13">
      <c r="A8679" s="639">
        <v>122713</v>
      </c>
      <c r="B8679" s="639">
        <v>1200</v>
      </c>
      <c r="C8679" s="638">
        <v>0.24399999999999999</v>
      </c>
      <c r="D8679" s="633">
        <f t="shared" si="277"/>
        <v>0.24399999999999999</v>
      </c>
      <c r="E8679" s="608"/>
      <c r="F8679" s="760">
        <f t="shared" si="276"/>
        <v>0.10293023706617292</v>
      </c>
      <c r="M8679" s="443"/>
    </row>
    <row r="8680" spans="1:13">
      <c r="A8680" s="639">
        <v>122713</v>
      </c>
      <c r="B8680" s="639">
        <v>1300</v>
      </c>
      <c r="C8680" s="638">
        <v>0.156</v>
      </c>
      <c r="D8680" s="633">
        <f t="shared" si="277"/>
        <v>0.156</v>
      </c>
      <c r="E8680" s="608"/>
      <c r="F8680" s="760">
        <f t="shared" si="276"/>
        <v>6.5807856484930219E-2</v>
      </c>
      <c r="M8680" s="443"/>
    </row>
    <row r="8681" spans="1:13">
      <c r="A8681" s="639">
        <v>122713</v>
      </c>
      <c r="B8681" s="639">
        <v>1400</v>
      </c>
      <c r="C8681" s="638">
        <v>0.129</v>
      </c>
      <c r="D8681" s="633">
        <f t="shared" si="277"/>
        <v>0.129</v>
      </c>
      <c r="E8681" s="608"/>
      <c r="F8681" s="760">
        <f t="shared" si="276"/>
        <v>5.4418035170230764E-2</v>
      </c>
      <c r="M8681" s="443"/>
    </row>
    <row r="8682" spans="1:13">
      <c r="A8682" s="639">
        <v>122713</v>
      </c>
      <c r="B8682" s="639">
        <v>1500</v>
      </c>
      <c r="C8682" s="638">
        <v>0.13900000000000001</v>
      </c>
      <c r="D8682" s="633">
        <f t="shared" si="277"/>
        <v>0.13900000000000001</v>
      </c>
      <c r="E8682" s="608"/>
      <c r="F8682" s="760">
        <f t="shared" si="276"/>
        <v>5.863648750900835E-2</v>
      </c>
      <c r="M8682" s="443"/>
    </row>
    <row r="8683" spans="1:13">
      <c r="A8683" s="639">
        <v>122713</v>
      </c>
      <c r="B8683" s="639">
        <v>1600</v>
      </c>
      <c r="C8683" s="638">
        <v>0.16400000000000001</v>
      </c>
      <c r="D8683" s="633">
        <f t="shared" si="277"/>
        <v>0.16400000000000001</v>
      </c>
      <c r="E8683" s="608"/>
      <c r="F8683" s="760">
        <f t="shared" si="276"/>
        <v>6.9182618355952297E-2</v>
      </c>
      <c r="M8683" s="443"/>
    </row>
    <row r="8684" spans="1:13">
      <c r="A8684" s="639">
        <v>122713</v>
      </c>
      <c r="B8684" s="639">
        <v>1700</v>
      </c>
      <c r="C8684" s="638">
        <v>0.19400000000000001</v>
      </c>
      <c r="D8684" s="633">
        <f t="shared" si="277"/>
        <v>0.19400000000000001</v>
      </c>
      <c r="E8684" s="608"/>
      <c r="F8684" s="760">
        <f t="shared" ref="F8684:F8747" si="278">(D8684/(MAX($D$8044:$D$8787)))*$M$15</f>
        <v>8.1837975372285029E-2</v>
      </c>
      <c r="M8684" s="443"/>
    </row>
    <row r="8685" spans="1:13">
      <c r="A8685" s="639">
        <v>122713</v>
      </c>
      <c r="B8685" s="639">
        <v>1800</v>
      </c>
      <c r="C8685" s="638">
        <v>0.217</v>
      </c>
      <c r="D8685" s="633">
        <f t="shared" si="277"/>
        <v>0.217</v>
      </c>
      <c r="E8685" s="608"/>
      <c r="F8685" s="760">
        <f t="shared" si="278"/>
        <v>9.1540415751473467E-2</v>
      </c>
      <c r="M8685" s="443"/>
    </row>
    <row r="8686" spans="1:13">
      <c r="A8686" s="639">
        <v>122713</v>
      </c>
      <c r="B8686" s="639">
        <v>1900</v>
      </c>
      <c r="C8686" s="638">
        <v>0.247</v>
      </c>
      <c r="D8686" s="633">
        <f t="shared" si="277"/>
        <v>0.247</v>
      </c>
      <c r="E8686" s="608"/>
      <c r="F8686" s="760">
        <f t="shared" si="278"/>
        <v>0.1041957727678062</v>
      </c>
      <c r="M8686" s="443"/>
    </row>
    <row r="8687" spans="1:13">
      <c r="A8687" s="639">
        <v>122713</v>
      </c>
      <c r="B8687" s="639">
        <v>2000</v>
      </c>
      <c r="C8687" s="638">
        <v>0.27</v>
      </c>
      <c r="D8687" s="633">
        <f t="shared" si="277"/>
        <v>0.27</v>
      </c>
      <c r="E8687" s="608"/>
      <c r="F8687" s="760">
        <f t="shared" si="278"/>
        <v>0.11389821314699464</v>
      </c>
      <c r="M8687" s="443"/>
    </row>
    <row r="8688" spans="1:13">
      <c r="A8688" s="639">
        <v>122713</v>
      </c>
      <c r="B8688" s="639">
        <v>2100</v>
      </c>
      <c r="C8688" s="638">
        <v>0.29099999999999998</v>
      </c>
      <c r="D8688" s="633">
        <f t="shared" si="277"/>
        <v>0.29099999999999998</v>
      </c>
      <c r="E8688" s="608"/>
      <c r="F8688" s="760">
        <f t="shared" si="278"/>
        <v>0.12275696305842754</v>
      </c>
      <c r="M8688" s="443"/>
    </row>
    <row r="8689" spans="1:13">
      <c r="A8689" s="639">
        <v>122713</v>
      </c>
      <c r="B8689" s="639">
        <v>2200</v>
      </c>
      <c r="C8689" s="638">
        <v>0.35099999999999998</v>
      </c>
      <c r="D8689" s="633">
        <f t="shared" si="277"/>
        <v>0.35099999999999998</v>
      </c>
      <c r="E8689" s="608"/>
      <c r="F8689" s="760">
        <f t="shared" si="278"/>
        <v>0.14806767709109303</v>
      </c>
      <c r="M8689" s="443"/>
    </row>
    <row r="8690" spans="1:13">
      <c r="A8690" s="639">
        <v>122713</v>
      </c>
      <c r="B8690" s="639">
        <v>2300</v>
      </c>
      <c r="C8690" s="638">
        <v>0.375</v>
      </c>
      <c r="D8690" s="633">
        <f t="shared" si="277"/>
        <v>0.375</v>
      </c>
      <c r="E8690" s="608"/>
      <c r="F8690" s="760">
        <f t="shared" si="278"/>
        <v>0.15819196270415922</v>
      </c>
      <c r="M8690" s="443"/>
    </row>
    <row r="8691" spans="1:13">
      <c r="A8691" s="639">
        <v>122713</v>
      </c>
      <c r="B8691" s="639">
        <v>2400</v>
      </c>
      <c r="C8691" s="638">
        <v>0.35299999999999998</v>
      </c>
      <c r="D8691" s="633">
        <f t="shared" si="277"/>
        <v>0.35299999999999998</v>
      </c>
      <c r="E8691" s="608"/>
      <c r="F8691" s="760">
        <f t="shared" si="278"/>
        <v>0.14891136755884854</v>
      </c>
      <c r="M8691" s="443"/>
    </row>
    <row r="8692" spans="1:13">
      <c r="A8692" s="639">
        <v>122813</v>
      </c>
      <c r="B8692" s="639">
        <v>100</v>
      </c>
      <c r="C8692" s="638">
        <v>0.34599999999999997</v>
      </c>
      <c r="D8692" s="633">
        <f t="shared" si="277"/>
        <v>0.34599999999999997</v>
      </c>
      <c r="E8692" s="608"/>
      <c r="F8692" s="760">
        <f t="shared" si="278"/>
        <v>0.14595845092170423</v>
      </c>
      <c r="M8692" s="443"/>
    </row>
    <row r="8693" spans="1:13">
      <c r="A8693" s="639">
        <v>122813</v>
      </c>
      <c r="B8693" s="639">
        <v>200</v>
      </c>
      <c r="C8693" s="638">
        <v>0.26400000000000001</v>
      </c>
      <c r="D8693" s="633">
        <f t="shared" si="277"/>
        <v>0.26400000000000001</v>
      </c>
      <c r="E8693" s="608"/>
      <c r="F8693" s="760">
        <f t="shared" si="278"/>
        <v>0.11136714174372808</v>
      </c>
      <c r="M8693" s="443"/>
    </row>
    <row r="8694" spans="1:13">
      <c r="A8694" s="639">
        <v>122813</v>
      </c>
      <c r="B8694" s="639">
        <v>300</v>
      </c>
      <c r="C8694" s="638">
        <v>0.217</v>
      </c>
      <c r="D8694" s="633">
        <f t="shared" si="277"/>
        <v>0.217</v>
      </c>
      <c r="E8694" s="608"/>
      <c r="F8694" s="760">
        <f t="shared" si="278"/>
        <v>9.1540415751473467E-2</v>
      </c>
      <c r="M8694" s="443"/>
    </row>
    <row r="8695" spans="1:13">
      <c r="A8695" s="639">
        <v>122813</v>
      </c>
      <c r="B8695" s="639">
        <v>400</v>
      </c>
      <c r="C8695" s="638">
        <v>0.193</v>
      </c>
      <c r="D8695" s="633">
        <f t="shared" si="277"/>
        <v>0.193</v>
      </c>
      <c r="E8695" s="608"/>
      <c r="F8695" s="760">
        <f t="shared" si="278"/>
        <v>8.1416130138407275E-2</v>
      </c>
      <c r="M8695" s="443"/>
    </row>
    <row r="8696" spans="1:13">
      <c r="A8696" s="639">
        <v>122813</v>
      </c>
      <c r="B8696" s="639">
        <v>500</v>
      </c>
      <c r="C8696" s="638">
        <v>0.17100000000000001</v>
      </c>
      <c r="D8696" s="633">
        <f t="shared" si="277"/>
        <v>0.17100000000000001</v>
      </c>
      <c r="E8696" s="608"/>
      <c r="F8696" s="760">
        <f t="shared" si="278"/>
        <v>7.2135534993096606E-2</v>
      </c>
      <c r="M8696" s="443"/>
    </row>
    <row r="8697" spans="1:13">
      <c r="A8697" s="639">
        <v>122813</v>
      </c>
      <c r="B8697" s="639">
        <v>600</v>
      </c>
      <c r="C8697" s="638">
        <v>0.14899999999999999</v>
      </c>
      <c r="D8697" s="633">
        <f t="shared" si="277"/>
        <v>0.14899999999999999</v>
      </c>
      <c r="E8697" s="608"/>
      <c r="F8697" s="760">
        <f t="shared" si="278"/>
        <v>6.2854939847785923E-2</v>
      </c>
      <c r="M8697" s="443"/>
    </row>
    <row r="8698" spans="1:13">
      <c r="A8698" s="639">
        <v>122813</v>
      </c>
      <c r="B8698" s="639">
        <v>700</v>
      </c>
      <c r="C8698" s="638">
        <v>0.14699999999999999</v>
      </c>
      <c r="D8698" s="633">
        <f t="shared" si="277"/>
        <v>0.14699999999999999</v>
      </c>
      <c r="E8698" s="608"/>
      <c r="F8698" s="760">
        <f t="shared" si="278"/>
        <v>6.20112493800304E-2</v>
      </c>
      <c r="M8698" s="443"/>
    </row>
    <row r="8699" spans="1:13">
      <c r="A8699" s="639">
        <v>122813</v>
      </c>
      <c r="B8699" s="639">
        <v>800</v>
      </c>
      <c r="C8699" s="638">
        <v>0.14499999999999999</v>
      </c>
      <c r="D8699" s="633">
        <f t="shared" si="277"/>
        <v>0.14499999999999999</v>
      </c>
      <c r="E8699" s="608"/>
      <c r="F8699" s="760">
        <f t="shared" si="278"/>
        <v>6.1167558912274884E-2</v>
      </c>
      <c r="M8699" s="443"/>
    </row>
    <row r="8700" spans="1:13">
      <c r="A8700" s="639">
        <v>122813</v>
      </c>
      <c r="B8700" s="639">
        <v>900</v>
      </c>
      <c r="C8700" s="638">
        <v>0.13700000000000001</v>
      </c>
      <c r="D8700" s="633">
        <f t="shared" si="277"/>
        <v>0.13700000000000001</v>
      </c>
      <c r="E8700" s="608"/>
      <c r="F8700" s="760">
        <f t="shared" si="278"/>
        <v>5.7792797041252834E-2</v>
      </c>
      <c r="M8700" s="443"/>
    </row>
    <row r="8701" spans="1:13">
      <c r="A8701" s="639">
        <v>122813</v>
      </c>
      <c r="B8701" s="639">
        <v>1000</v>
      </c>
      <c r="C8701" s="638">
        <v>0.126</v>
      </c>
      <c r="D8701" s="633">
        <f t="shared" si="277"/>
        <v>0.126</v>
      </c>
      <c r="E8701" s="608"/>
      <c r="F8701" s="760">
        <f t="shared" si="278"/>
        <v>5.3152499468597493E-2</v>
      </c>
      <c r="M8701" s="443"/>
    </row>
    <row r="8702" spans="1:13">
      <c r="A8702" s="639">
        <v>122813</v>
      </c>
      <c r="B8702" s="639">
        <v>1100</v>
      </c>
      <c r="C8702" s="638">
        <v>0.122</v>
      </c>
      <c r="D8702" s="633">
        <f t="shared" si="277"/>
        <v>0.122</v>
      </c>
      <c r="E8702" s="608"/>
      <c r="F8702" s="760">
        <f t="shared" si="278"/>
        <v>5.1465118533086461E-2</v>
      </c>
      <c r="M8702" s="443"/>
    </row>
    <row r="8703" spans="1:13">
      <c r="A8703" s="639">
        <v>122813</v>
      </c>
      <c r="B8703" s="639">
        <v>1200</v>
      </c>
      <c r="C8703" s="638">
        <v>0.121</v>
      </c>
      <c r="D8703" s="633">
        <f t="shared" si="277"/>
        <v>0.121</v>
      </c>
      <c r="E8703" s="608"/>
      <c r="F8703" s="760">
        <f t="shared" si="278"/>
        <v>5.10432732992087E-2</v>
      </c>
      <c r="M8703" s="443"/>
    </row>
    <row r="8704" spans="1:13">
      <c r="A8704" s="639">
        <v>122813</v>
      </c>
      <c r="B8704" s="639">
        <v>1300</v>
      </c>
      <c r="C8704" s="638">
        <v>0.122</v>
      </c>
      <c r="D8704" s="633">
        <f t="shared" si="277"/>
        <v>0.122</v>
      </c>
      <c r="E8704" s="608"/>
      <c r="F8704" s="760">
        <f t="shared" si="278"/>
        <v>5.1465118533086461E-2</v>
      </c>
      <c r="M8704" s="443"/>
    </row>
    <row r="8705" spans="1:13">
      <c r="A8705" s="639">
        <v>122813</v>
      </c>
      <c r="B8705" s="639">
        <v>1400</v>
      </c>
      <c r="C8705" s="638">
        <v>0.11700000000000001</v>
      </c>
      <c r="D8705" s="633">
        <f t="shared" si="277"/>
        <v>0.11700000000000001</v>
      </c>
      <c r="E8705" s="608"/>
      <c r="F8705" s="760">
        <f t="shared" si="278"/>
        <v>4.9355892363697682E-2</v>
      </c>
      <c r="M8705" s="443"/>
    </row>
    <row r="8706" spans="1:13">
      <c r="A8706" s="639">
        <v>122813</v>
      </c>
      <c r="B8706" s="639">
        <v>1500</v>
      </c>
      <c r="C8706" s="638">
        <v>0.11700000000000001</v>
      </c>
      <c r="D8706" s="633">
        <f t="shared" si="277"/>
        <v>0.11700000000000001</v>
      </c>
      <c r="E8706" s="608"/>
      <c r="F8706" s="760">
        <f t="shared" si="278"/>
        <v>4.9355892363697682E-2</v>
      </c>
      <c r="M8706" s="443"/>
    </row>
    <row r="8707" spans="1:13">
      <c r="A8707" s="639">
        <v>122813</v>
      </c>
      <c r="B8707" s="639">
        <v>1600</v>
      </c>
      <c r="C8707" s="638">
        <v>0.122</v>
      </c>
      <c r="D8707" s="633">
        <f t="shared" si="277"/>
        <v>0.122</v>
      </c>
      <c r="E8707" s="608"/>
      <c r="F8707" s="760">
        <f t="shared" si="278"/>
        <v>5.1465118533086461E-2</v>
      </c>
      <c r="M8707" s="443"/>
    </row>
    <row r="8708" spans="1:13">
      <c r="A8708" s="639">
        <v>122813</v>
      </c>
      <c r="B8708" s="639">
        <v>1700</v>
      </c>
      <c r="C8708" s="638">
        <v>0.13</v>
      </c>
      <c r="D8708" s="633">
        <f t="shared" si="277"/>
        <v>0.13</v>
      </c>
      <c r="E8708" s="608"/>
      <c r="F8708" s="760">
        <f t="shared" si="278"/>
        <v>5.4839880404108525E-2</v>
      </c>
      <c r="M8708" s="443"/>
    </row>
    <row r="8709" spans="1:13">
      <c r="A8709" s="639">
        <v>122813</v>
      </c>
      <c r="B8709" s="639">
        <v>1800</v>
      </c>
      <c r="C8709" s="638">
        <v>0.158</v>
      </c>
      <c r="D8709" s="633">
        <f t="shared" ref="D8709:D8772" si="279">C8709</f>
        <v>0.158</v>
      </c>
      <c r="E8709" s="608"/>
      <c r="F8709" s="760">
        <f t="shared" si="278"/>
        <v>6.6651546952685756E-2</v>
      </c>
      <c r="M8709" s="443"/>
    </row>
    <row r="8710" spans="1:13">
      <c r="A8710" s="639">
        <v>122813</v>
      </c>
      <c r="B8710" s="639">
        <v>1900</v>
      </c>
      <c r="C8710" s="638">
        <v>0.153</v>
      </c>
      <c r="D8710" s="633">
        <f t="shared" si="279"/>
        <v>0.153</v>
      </c>
      <c r="E8710" s="608"/>
      <c r="F8710" s="760">
        <f t="shared" si="278"/>
        <v>6.4542320783296955E-2</v>
      </c>
      <c r="M8710" s="443"/>
    </row>
    <row r="8711" spans="1:13">
      <c r="A8711" s="639">
        <v>122813</v>
      </c>
      <c r="B8711" s="639">
        <v>2000</v>
      </c>
      <c r="C8711" s="638">
        <v>0.15</v>
      </c>
      <c r="D8711" s="633">
        <f t="shared" si="279"/>
        <v>0.15</v>
      </c>
      <c r="E8711" s="608"/>
      <c r="F8711" s="760">
        <f t="shared" si="278"/>
        <v>6.3276785081663678E-2</v>
      </c>
      <c r="M8711" s="443"/>
    </row>
    <row r="8712" spans="1:13">
      <c r="A8712" s="639">
        <v>122813</v>
      </c>
      <c r="B8712" s="639">
        <v>2100</v>
      </c>
      <c r="C8712" s="638">
        <v>0.14899999999999999</v>
      </c>
      <c r="D8712" s="633">
        <f t="shared" si="279"/>
        <v>0.14899999999999999</v>
      </c>
      <c r="E8712" s="608"/>
      <c r="F8712" s="760">
        <f t="shared" si="278"/>
        <v>6.2854939847785923E-2</v>
      </c>
      <c r="M8712" s="443"/>
    </row>
    <row r="8713" spans="1:13">
      <c r="A8713" s="639">
        <v>122813</v>
      </c>
      <c r="B8713" s="639">
        <v>2200</v>
      </c>
      <c r="C8713" s="638">
        <v>0.153</v>
      </c>
      <c r="D8713" s="633">
        <f t="shared" si="279"/>
        <v>0.153</v>
      </c>
      <c r="E8713" s="608"/>
      <c r="F8713" s="760">
        <f t="shared" si="278"/>
        <v>6.4542320783296955E-2</v>
      </c>
      <c r="M8713" s="443"/>
    </row>
    <row r="8714" spans="1:13">
      <c r="A8714" s="639">
        <v>122813</v>
      </c>
      <c r="B8714" s="639">
        <v>2300</v>
      </c>
      <c r="C8714" s="638">
        <v>0.157</v>
      </c>
      <c r="D8714" s="633">
        <f t="shared" si="279"/>
        <v>0.157</v>
      </c>
      <c r="E8714" s="608"/>
      <c r="F8714" s="760">
        <f t="shared" si="278"/>
        <v>6.6229701718807987E-2</v>
      </c>
      <c r="M8714" s="443"/>
    </row>
    <row r="8715" spans="1:13">
      <c r="A8715" s="639">
        <v>122813</v>
      </c>
      <c r="B8715" s="639">
        <v>2400</v>
      </c>
      <c r="C8715" s="638">
        <v>0.161</v>
      </c>
      <c r="D8715" s="633">
        <f t="shared" si="279"/>
        <v>0.161</v>
      </c>
      <c r="E8715" s="608"/>
      <c r="F8715" s="760">
        <f t="shared" si="278"/>
        <v>6.7917082654319019E-2</v>
      </c>
      <c r="M8715" s="443"/>
    </row>
    <row r="8716" spans="1:13">
      <c r="A8716" s="639">
        <v>122913</v>
      </c>
      <c r="B8716" s="639">
        <v>100</v>
      </c>
      <c r="C8716" s="638">
        <v>0.156</v>
      </c>
      <c r="D8716" s="633">
        <f t="shared" si="279"/>
        <v>0.156</v>
      </c>
      <c r="E8716" s="608"/>
      <c r="F8716" s="760">
        <f t="shared" si="278"/>
        <v>6.5807856484930219E-2</v>
      </c>
      <c r="M8716" s="443"/>
    </row>
    <row r="8717" spans="1:13">
      <c r="A8717" s="639">
        <v>122913</v>
      </c>
      <c r="B8717" s="639">
        <v>200</v>
      </c>
      <c r="C8717" s="638">
        <v>0.15</v>
      </c>
      <c r="D8717" s="633">
        <f t="shared" si="279"/>
        <v>0.15</v>
      </c>
      <c r="E8717" s="608"/>
      <c r="F8717" s="760">
        <f t="shared" si="278"/>
        <v>6.3276785081663678E-2</v>
      </c>
      <c r="M8717" s="443"/>
    </row>
    <row r="8718" spans="1:13">
      <c r="A8718" s="639">
        <v>122913</v>
      </c>
      <c r="B8718" s="639">
        <v>300</v>
      </c>
      <c r="C8718" s="638">
        <v>0.15</v>
      </c>
      <c r="D8718" s="633">
        <f t="shared" si="279"/>
        <v>0.15</v>
      </c>
      <c r="E8718" s="608"/>
      <c r="F8718" s="760">
        <f t="shared" si="278"/>
        <v>6.3276785081663678E-2</v>
      </c>
      <c r="M8718" s="443"/>
    </row>
    <row r="8719" spans="1:13">
      <c r="A8719" s="639">
        <v>122913</v>
      </c>
      <c r="B8719" s="639">
        <v>400</v>
      </c>
      <c r="C8719" s="638">
        <v>0.14699999999999999</v>
      </c>
      <c r="D8719" s="633">
        <f t="shared" si="279"/>
        <v>0.14699999999999999</v>
      </c>
      <c r="E8719" s="608"/>
      <c r="F8719" s="760">
        <f t="shared" si="278"/>
        <v>6.20112493800304E-2</v>
      </c>
      <c r="M8719" s="443"/>
    </row>
    <row r="8720" spans="1:13">
      <c r="A8720" s="639">
        <v>122913</v>
      </c>
      <c r="B8720" s="639">
        <v>500</v>
      </c>
      <c r="C8720" s="638">
        <v>0.13900000000000001</v>
      </c>
      <c r="D8720" s="633">
        <f t="shared" si="279"/>
        <v>0.13900000000000001</v>
      </c>
      <c r="E8720" s="608"/>
      <c r="F8720" s="760">
        <f t="shared" si="278"/>
        <v>5.863648750900835E-2</v>
      </c>
      <c r="M8720" s="443"/>
    </row>
    <row r="8721" spans="1:13">
      <c r="A8721" s="639">
        <v>122913</v>
      </c>
      <c r="B8721" s="639">
        <v>600</v>
      </c>
      <c r="C8721" s="638">
        <v>0.13500000000000001</v>
      </c>
      <c r="D8721" s="633">
        <f t="shared" si="279"/>
        <v>0.13500000000000001</v>
      </c>
      <c r="E8721" s="608"/>
      <c r="F8721" s="760">
        <f t="shared" si="278"/>
        <v>5.6949106573497318E-2</v>
      </c>
      <c r="M8721" s="443"/>
    </row>
    <row r="8722" spans="1:13">
      <c r="A8722" s="639">
        <v>122913</v>
      </c>
      <c r="B8722" s="639">
        <v>700</v>
      </c>
      <c r="C8722" s="638">
        <v>0.13400000000000001</v>
      </c>
      <c r="D8722" s="633">
        <f t="shared" si="279"/>
        <v>0.13400000000000001</v>
      </c>
      <c r="E8722" s="608"/>
      <c r="F8722" s="760">
        <f t="shared" si="278"/>
        <v>5.6527261339619557E-2</v>
      </c>
      <c r="M8722" s="443"/>
    </row>
    <row r="8723" spans="1:13">
      <c r="A8723" s="639">
        <v>122913</v>
      </c>
      <c r="B8723" s="639">
        <v>800</v>
      </c>
      <c r="C8723" s="638">
        <v>0.127</v>
      </c>
      <c r="D8723" s="633">
        <f t="shared" si="279"/>
        <v>0.127</v>
      </c>
      <c r="E8723" s="608"/>
      <c r="F8723" s="760">
        <f t="shared" si="278"/>
        <v>5.3574344702475248E-2</v>
      </c>
      <c r="M8723" s="443"/>
    </row>
    <row r="8724" spans="1:13">
      <c r="A8724" s="639">
        <v>122913</v>
      </c>
      <c r="B8724" s="639">
        <v>900</v>
      </c>
      <c r="C8724" s="638">
        <v>0.115</v>
      </c>
      <c r="D8724" s="633">
        <f t="shared" si="279"/>
        <v>0.115</v>
      </c>
      <c r="E8724" s="608"/>
      <c r="F8724" s="760">
        <f t="shared" si="278"/>
        <v>4.8512201895942166E-2</v>
      </c>
      <c r="M8724" s="443"/>
    </row>
    <row r="8725" spans="1:13">
      <c r="A8725" s="639">
        <v>122913</v>
      </c>
      <c r="B8725" s="639">
        <v>1000</v>
      </c>
      <c r="C8725" s="638">
        <v>0.10199999999999999</v>
      </c>
      <c r="D8725" s="633">
        <f t="shared" si="279"/>
        <v>0.10199999999999999</v>
      </c>
      <c r="E8725" s="608"/>
      <c r="F8725" s="760">
        <f t="shared" si="278"/>
        <v>4.3028213855531301E-2</v>
      </c>
      <c r="M8725" s="443"/>
    </row>
    <row r="8726" spans="1:13">
      <c r="A8726" s="639">
        <v>122913</v>
      </c>
      <c r="B8726" s="639">
        <v>1100</v>
      </c>
      <c r="C8726" s="638">
        <v>8.4000000000000005E-2</v>
      </c>
      <c r="D8726" s="633">
        <f t="shared" si="279"/>
        <v>8.4000000000000005E-2</v>
      </c>
      <c r="E8726" s="608"/>
      <c r="F8726" s="760">
        <f t="shared" si="278"/>
        <v>3.5434999645731664E-2</v>
      </c>
      <c r="M8726" s="443"/>
    </row>
    <row r="8727" spans="1:13">
      <c r="A8727" s="639">
        <v>122913</v>
      </c>
      <c r="B8727" s="639">
        <v>1200</v>
      </c>
      <c r="C8727" s="638">
        <v>6.6000000000000003E-2</v>
      </c>
      <c r="D8727" s="633">
        <f t="shared" si="279"/>
        <v>6.6000000000000003E-2</v>
      </c>
      <c r="E8727" s="608"/>
      <c r="F8727" s="760">
        <f t="shared" si="278"/>
        <v>2.784178543593202E-2</v>
      </c>
      <c r="M8727" s="443"/>
    </row>
    <row r="8728" spans="1:13">
      <c r="A8728" s="639">
        <v>122913</v>
      </c>
      <c r="B8728" s="639">
        <v>1300</v>
      </c>
      <c r="C8728" s="638">
        <v>5.8999999999999997E-2</v>
      </c>
      <c r="D8728" s="633">
        <f t="shared" si="279"/>
        <v>5.8999999999999997E-2</v>
      </c>
      <c r="E8728" s="608"/>
      <c r="F8728" s="760">
        <f t="shared" si="278"/>
        <v>2.4888868798787715E-2</v>
      </c>
      <c r="M8728" s="443"/>
    </row>
    <row r="8729" spans="1:13">
      <c r="A8729" s="639">
        <v>122913</v>
      </c>
      <c r="B8729" s="639">
        <v>1400</v>
      </c>
      <c r="C8729" s="638">
        <v>6.2E-2</v>
      </c>
      <c r="D8729" s="633">
        <f t="shared" si="279"/>
        <v>6.2E-2</v>
      </c>
      <c r="E8729" s="608"/>
      <c r="F8729" s="760">
        <f t="shared" si="278"/>
        <v>2.6154404500420989E-2</v>
      </c>
      <c r="M8729" s="443"/>
    </row>
    <row r="8730" spans="1:13">
      <c r="A8730" s="639">
        <v>122913</v>
      </c>
      <c r="B8730" s="639">
        <v>1500</v>
      </c>
      <c r="C8730" s="638">
        <v>6.5000000000000002E-2</v>
      </c>
      <c r="D8730" s="633">
        <f t="shared" si="279"/>
        <v>6.5000000000000002E-2</v>
      </c>
      <c r="E8730" s="608"/>
      <c r="F8730" s="760">
        <f t="shared" si="278"/>
        <v>2.7419940202054262E-2</v>
      </c>
      <c r="M8730" s="443"/>
    </row>
    <row r="8731" spans="1:13">
      <c r="A8731" s="639">
        <v>122913</v>
      </c>
      <c r="B8731" s="639">
        <v>1600</v>
      </c>
      <c r="C8731" s="638">
        <v>6.7000000000000004E-2</v>
      </c>
      <c r="D8731" s="633">
        <f t="shared" si="279"/>
        <v>6.7000000000000004E-2</v>
      </c>
      <c r="E8731" s="608"/>
      <c r="F8731" s="760">
        <f t="shared" si="278"/>
        <v>2.8263630669809778E-2</v>
      </c>
      <c r="M8731" s="443"/>
    </row>
    <row r="8732" spans="1:13">
      <c r="A8732" s="639">
        <v>122913</v>
      </c>
      <c r="B8732" s="639">
        <v>1700</v>
      </c>
      <c r="C8732" s="638">
        <v>7.4999999999999997E-2</v>
      </c>
      <c r="D8732" s="633">
        <f t="shared" si="279"/>
        <v>7.4999999999999997E-2</v>
      </c>
      <c r="E8732" s="608"/>
      <c r="F8732" s="760">
        <f t="shared" si="278"/>
        <v>3.1638392540831839E-2</v>
      </c>
      <c r="M8732" s="443"/>
    </row>
    <row r="8733" spans="1:13">
      <c r="A8733" s="639">
        <v>122913</v>
      </c>
      <c r="B8733" s="639">
        <v>1800</v>
      </c>
      <c r="C8733" s="638">
        <v>9.8000000000000004E-2</v>
      </c>
      <c r="D8733" s="633">
        <f t="shared" si="279"/>
        <v>9.8000000000000004E-2</v>
      </c>
      <c r="E8733" s="608"/>
      <c r="F8733" s="760">
        <f t="shared" si="278"/>
        <v>4.1340832920020276E-2</v>
      </c>
      <c r="M8733" s="443"/>
    </row>
    <row r="8734" spans="1:13">
      <c r="A8734" s="639">
        <v>122913</v>
      </c>
      <c r="B8734" s="639">
        <v>1900</v>
      </c>
      <c r="C8734" s="638">
        <v>0.11700000000000001</v>
      </c>
      <c r="D8734" s="633">
        <f t="shared" si="279"/>
        <v>0.11700000000000001</v>
      </c>
      <c r="E8734" s="608"/>
      <c r="F8734" s="760">
        <f t="shared" si="278"/>
        <v>4.9355892363697682E-2</v>
      </c>
      <c r="M8734" s="443"/>
    </row>
    <row r="8735" spans="1:13">
      <c r="A8735" s="639">
        <v>122913</v>
      </c>
      <c r="B8735" s="639">
        <v>2000</v>
      </c>
      <c r="C8735" s="638">
        <v>0.13500000000000001</v>
      </c>
      <c r="D8735" s="633">
        <f t="shared" si="279"/>
        <v>0.13500000000000001</v>
      </c>
      <c r="E8735" s="608"/>
      <c r="F8735" s="760">
        <f t="shared" si="278"/>
        <v>5.6949106573497318E-2</v>
      </c>
      <c r="M8735" s="443"/>
    </row>
    <row r="8736" spans="1:13">
      <c r="A8736" s="639">
        <v>122913</v>
      </c>
      <c r="B8736" s="639">
        <v>2100</v>
      </c>
      <c r="C8736" s="638">
        <v>9.9000000000000005E-2</v>
      </c>
      <c r="D8736" s="633">
        <f t="shared" si="279"/>
        <v>9.9000000000000005E-2</v>
      </c>
      <c r="E8736" s="608"/>
      <c r="F8736" s="760">
        <f t="shared" si="278"/>
        <v>4.1762678153898031E-2</v>
      </c>
      <c r="M8736" s="443"/>
    </row>
    <row r="8737" spans="1:13">
      <c r="A8737" s="639">
        <v>122913</v>
      </c>
      <c r="B8737" s="639">
        <v>2200</v>
      </c>
      <c r="C8737" s="638">
        <v>6.4000000000000001E-2</v>
      </c>
      <c r="D8737" s="633">
        <f t="shared" si="279"/>
        <v>6.4000000000000001E-2</v>
      </c>
      <c r="E8737" s="608"/>
      <c r="F8737" s="760">
        <f t="shared" si="278"/>
        <v>2.6998094968176505E-2</v>
      </c>
      <c r="M8737" s="443"/>
    </row>
    <row r="8738" spans="1:13">
      <c r="A8738" s="639">
        <v>122913</v>
      </c>
      <c r="B8738" s="639">
        <v>2300</v>
      </c>
      <c r="C8738" s="638">
        <v>6.4000000000000001E-2</v>
      </c>
      <c r="D8738" s="633">
        <f t="shared" si="279"/>
        <v>6.4000000000000001E-2</v>
      </c>
      <c r="E8738" s="608"/>
      <c r="F8738" s="760">
        <f t="shared" si="278"/>
        <v>2.6998094968176505E-2</v>
      </c>
      <c r="M8738" s="443"/>
    </row>
    <row r="8739" spans="1:13">
      <c r="A8739" s="639">
        <v>122913</v>
      </c>
      <c r="B8739" s="639">
        <v>2400</v>
      </c>
      <c r="C8739" s="638">
        <v>6.5000000000000002E-2</v>
      </c>
      <c r="D8739" s="633">
        <f t="shared" si="279"/>
        <v>6.5000000000000002E-2</v>
      </c>
      <c r="E8739" s="608"/>
      <c r="F8739" s="760">
        <f t="shared" si="278"/>
        <v>2.7419940202054262E-2</v>
      </c>
      <c r="M8739" s="443"/>
    </row>
    <row r="8740" spans="1:13">
      <c r="A8740" s="639">
        <v>123013</v>
      </c>
      <c r="B8740" s="639">
        <v>100</v>
      </c>
      <c r="C8740" s="638">
        <v>6.6000000000000003E-2</v>
      </c>
      <c r="D8740" s="633">
        <f t="shared" si="279"/>
        <v>6.6000000000000003E-2</v>
      </c>
      <c r="E8740" s="608"/>
      <c r="F8740" s="760">
        <f t="shared" si="278"/>
        <v>2.784178543593202E-2</v>
      </c>
      <c r="M8740" s="443"/>
    </row>
    <row r="8741" spans="1:13">
      <c r="A8741" s="639">
        <v>123013</v>
      </c>
      <c r="B8741" s="639">
        <v>200</v>
      </c>
      <c r="C8741" s="638">
        <v>6.2E-2</v>
      </c>
      <c r="D8741" s="633">
        <f t="shared" si="279"/>
        <v>6.2E-2</v>
      </c>
      <c r="E8741" s="608"/>
      <c r="F8741" s="760">
        <f t="shared" si="278"/>
        <v>2.6154404500420989E-2</v>
      </c>
      <c r="M8741" s="443"/>
    </row>
    <row r="8742" spans="1:13">
      <c r="A8742" s="639">
        <v>123013</v>
      </c>
      <c r="B8742" s="639">
        <v>300</v>
      </c>
      <c r="C8742" s="638">
        <v>6.5000000000000002E-2</v>
      </c>
      <c r="D8742" s="633">
        <f t="shared" si="279"/>
        <v>6.5000000000000002E-2</v>
      </c>
      <c r="E8742" s="608"/>
      <c r="F8742" s="760">
        <f t="shared" si="278"/>
        <v>2.7419940202054262E-2</v>
      </c>
      <c r="M8742" s="443"/>
    </row>
    <row r="8743" spans="1:13">
      <c r="A8743" s="639">
        <v>123013</v>
      </c>
      <c r="B8743" s="639">
        <v>400</v>
      </c>
      <c r="C8743" s="638">
        <v>6.5000000000000002E-2</v>
      </c>
      <c r="D8743" s="633">
        <f t="shared" si="279"/>
        <v>6.5000000000000002E-2</v>
      </c>
      <c r="E8743" s="608"/>
      <c r="F8743" s="760">
        <f t="shared" si="278"/>
        <v>2.7419940202054262E-2</v>
      </c>
      <c r="M8743" s="443"/>
    </row>
    <row r="8744" spans="1:13">
      <c r="A8744" s="639">
        <v>123013</v>
      </c>
      <c r="B8744" s="639">
        <v>500</v>
      </c>
      <c r="C8744" s="638">
        <v>6.3E-2</v>
      </c>
      <c r="D8744" s="633">
        <f t="shared" si="279"/>
        <v>6.3E-2</v>
      </c>
      <c r="E8744" s="608"/>
      <c r="F8744" s="760">
        <f t="shared" si="278"/>
        <v>2.6576249734298747E-2</v>
      </c>
      <c r="M8744" s="443"/>
    </row>
    <row r="8745" spans="1:13">
      <c r="A8745" s="639">
        <v>123013</v>
      </c>
      <c r="B8745" s="639">
        <v>600</v>
      </c>
      <c r="C8745" s="638">
        <v>6.3E-2</v>
      </c>
      <c r="D8745" s="633">
        <f t="shared" si="279"/>
        <v>6.3E-2</v>
      </c>
      <c r="E8745" s="608"/>
      <c r="F8745" s="760">
        <f t="shared" si="278"/>
        <v>2.6576249734298747E-2</v>
      </c>
      <c r="M8745" s="443"/>
    </row>
    <row r="8746" spans="1:13">
      <c r="A8746" s="639">
        <v>123013</v>
      </c>
      <c r="B8746" s="639">
        <v>700</v>
      </c>
      <c r="C8746" s="638">
        <v>5.7000000000000002E-2</v>
      </c>
      <c r="D8746" s="633">
        <f t="shared" si="279"/>
        <v>5.7000000000000002E-2</v>
      </c>
      <c r="E8746" s="608"/>
      <c r="F8746" s="760">
        <f t="shared" si="278"/>
        <v>2.4045178331032202E-2</v>
      </c>
      <c r="M8746" s="443"/>
    </row>
    <row r="8747" spans="1:13">
      <c r="A8747" s="639">
        <v>123013</v>
      </c>
      <c r="B8747" s="639">
        <v>800</v>
      </c>
      <c r="C8747" s="638">
        <v>5.5E-2</v>
      </c>
      <c r="D8747" s="633">
        <f t="shared" si="279"/>
        <v>5.5E-2</v>
      </c>
      <c r="E8747" s="608"/>
      <c r="F8747" s="760">
        <f t="shared" si="278"/>
        <v>2.3201487863276686E-2</v>
      </c>
      <c r="M8747" s="443"/>
    </row>
    <row r="8748" spans="1:13">
      <c r="A8748" s="639">
        <v>123013</v>
      </c>
      <c r="B8748" s="639">
        <v>900</v>
      </c>
      <c r="C8748" s="638">
        <v>0.05</v>
      </c>
      <c r="D8748" s="633">
        <f t="shared" si="279"/>
        <v>0.05</v>
      </c>
      <c r="E8748" s="608"/>
      <c r="F8748" s="760">
        <f t="shared" ref="F8748:F8787" si="280">(D8748/(MAX($D$8044:$D$8787)))*$M$15</f>
        <v>2.1092261693887896E-2</v>
      </c>
      <c r="M8748" s="443"/>
    </row>
    <row r="8749" spans="1:13">
      <c r="A8749" s="639">
        <v>123013</v>
      </c>
      <c r="B8749" s="639">
        <v>1000</v>
      </c>
      <c r="C8749" s="638">
        <v>3.7999999999999999E-2</v>
      </c>
      <c r="D8749" s="633">
        <f t="shared" si="279"/>
        <v>3.7999999999999999E-2</v>
      </c>
      <c r="E8749" s="608"/>
      <c r="F8749" s="760">
        <f t="shared" si="280"/>
        <v>1.6030118887354797E-2</v>
      </c>
      <c r="M8749" s="443"/>
    </row>
    <row r="8750" spans="1:13">
      <c r="A8750" s="639">
        <v>123013</v>
      </c>
      <c r="B8750" s="639">
        <v>1100</v>
      </c>
      <c r="C8750" s="638">
        <v>2.9000000000000001E-2</v>
      </c>
      <c r="D8750" s="633">
        <f t="shared" si="279"/>
        <v>2.9000000000000001E-2</v>
      </c>
      <c r="E8750" s="608"/>
      <c r="F8750" s="760">
        <f t="shared" si="280"/>
        <v>1.223351178245498E-2</v>
      </c>
      <c r="M8750" s="443"/>
    </row>
    <row r="8751" spans="1:13">
      <c r="A8751" s="639">
        <v>123013</v>
      </c>
      <c r="B8751" s="639">
        <v>1200</v>
      </c>
      <c r="C8751" s="638">
        <v>2.4E-2</v>
      </c>
      <c r="D8751" s="633">
        <f t="shared" si="279"/>
        <v>2.4E-2</v>
      </c>
      <c r="E8751" s="608"/>
      <c r="F8751" s="760">
        <f t="shared" si="280"/>
        <v>1.012428561306619E-2</v>
      </c>
      <c r="M8751" s="443"/>
    </row>
    <row r="8752" spans="1:13">
      <c r="A8752" s="639">
        <v>123013</v>
      </c>
      <c r="B8752" s="639">
        <v>1300</v>
      </c>
      <c r="C8752" s="638">
        <v>2.4E-2</v>
      </c>
      <c r="D8752" s="633">
        <f t="shared" si="279"/>
        <v>2.4E-2</v>
      </c>
      <c r="E8752" s="608"/>
      <c r="F8752" s="760">
        <f t="shared" si="280"/>
        <v>1.012428561306619E-2</v>
      </c>
      <c r="M8752" s="443"/>
    </row>
    <row r="8753" spans="1:13">
      <c r="A8753" s="639">
        <v>123013</v>
      </c>
      <c r="B8753" s="639">
        <v>1400</v>
      </c>
      <c r="C8753" s="638">
        <v>2.4E-2</v>
      </c>
      <c r="D8753" s="633">
        <f t="shared" si="279"/>
        <v>2.4E-2</v>
      </c>
      <c r="E8753" s="608"/>
      <c r="F8753" s="760">
        <f t="shared" si="280"/>
        <v>1.012428561306619E-2</v>
      </c>
      <c r="M8753" s="443"/>
    </row>
    <row r="8754" spans="1:13">
      <c r="A8754" s="639">
        <v>123013</v>
      </c>
      <c r="B8754" s="639">
        <v>1500</v>
      </c>
      <c r="C8754" s="638">
        <v>2.4E-2</v>
      </c>
      <c r="D8754" s="633">
        <f t="shared" si="279"/>
        <v>2.4E-2</v>
      </c>
      <c r="E8754" s="608"/>
      <c r="F8754" s="760">
        <f t="shared" si="280"/>
        <v>1.012428561306619E-2</v>
      </c>
      <c r="M8754" s="443"/>
    </row>
    <row r="8755" spans="1:13">
      <c r="A8755" s="639">
        <v>123013</v>
      </c>
      <c r="B8755" s="639">
        <v>1600</v>
      </c>
      <c r="C8755" s="638">
        <v>2.1000000000000001E-2</v>
      </c>
      <c r="D8755" s="633">
        <f t="shared" si="279"/>
        <v>2.1000000000000001E-2</v>
      </c>
      <c r="E8755" s="608"/>
      <c r="F8755" s="760">
        <f t="shared" si="280"/>
        <v>8.8587499114329161E-3</v>
      </c>
      <c r="M8755" s="443"/>
    </row>
    <row r="8756" spans="1:13">
      <c r="A8756" s="639">
        <v>123013</v>
      </c>
      <c r="B8756" s="639">
        <v>1700</v>
      </c>
      <c r="C8756" s="638">
        <v>2.1000000000000001E-2</v>
      </c>
      <c r="D8756" s="633">
        <f t="shared" si="279"/>
        <v>2.1000000000000001E-2</v>
      </c>
      <c r="E8756" s="608"/>
      <c r="F8756" s="760">
        <f t="shared" si="280"/>
        <v>8.8587499114329161E-3</v>
      </c>
      <c r="M8756" s="443"/>
    </row>
    <row r="8757" spans="1:13">
      <c r="A8757" s="639">
        <v>123013</v>
      </c>
      <c r="B8757" s="639">
        <v>1800</v>
      </c>
      <c r="C8757" s="638">
        <v>0.02</v>
      </c>
      <c r="D8757" s="633">
        <f t="shared" si="279"/>
        <v>0.02</v>
      </c>
      <c r="E8757" s="608"/>
      <c r="F8757" s="760">
        <f t="shared" si="280"/>
        <v>8.4369046775551581E-3</v>
      </c>
      <c r="M8757" s="443"/>
    </row>
    <row r="8758" spans="1:13">
      <c r="A8758" s="639">
        <v>123013</v>
      </c>
      <c r="B8758" s="639">
        <v>1900</v>
      </c>
      <c r="C8758" s="638">
        <v>2.9000000000000001E-2</v>
      </c>
      <c r="D8758" s="633">
        <f t="shared" si="279"/>
        <v>2.9000000000000001E-2</v>
      </c>
      <c r="E8758" s="608"/>
      <c r="F8758" s="760">
        <f t="shared" si="280"/>
        <v>1.223351178245498E-2</v>
      </c>
      <c r="M8758" s="443"/>
    </row>
    <row r="8759" spans="1:13">
      <c r="A8759" s="639">
        <v>123013</v>
      </c>
      <c r="B8759" s="639">
        <v>2000</v>
      </c>
      <c r="C8759" s="638">
        <v>3.1E-2</v>
      </c>
      <c r="D8759" s="633">
        <f t="shared" si="279"/>
        <v>3.1E-2</v>
      </c>
      <c r="E8759" s="608"/>
      <c r="F8759" s="760">
        <f t="shared" si="280"/>
        <v>1.3077202250210494E-2</v>
      </c>
      <c r="M8759" s="443"/>
    </row>
    <row r="8760" spans="1:13">
      <c r="A8760" s="639">
        <v>123013</v>
      </c>
      <c r="B8760" s="639">
        <v>2100</v>
      </c>
      <c r="C8760" s="638">
        <v>3.3000000000000002E-2</v>
      </c>
      <c r="D8760" s="633">
        <f t="shared" si="279"/>
        <v>3.3000000000000002E-2</v>
      </c>
      <c r="E8760" s="608"/>
      <c r="F8760" s="760">
        <f t="shared" si="280"/>
        <v>1.392089271796601E-2</v>
      </c>
      <c r="M8760" s="443"/>
    </row>
    <row r="8761" spans="1:13">
      <c r="A8761" s="639">
        <v>123013</v>
      </c>
      <c r="B8761" s="639">
        <v>2200</v>
      </c>
      <c r="C8761" s="638">
        <v>3.6999999999999998E-2</v>
      </c>
      <c r="D8761" s="633">
        <f t="shared" si="279"/>
        <v>3.6999999999999998E-2</v>
      </c>
      <c r="E8761" s="608"/>
      <c r="F8761" s="760">
        <f t="shared" si="280"/>
        <v>1.560827365347704E-2</v>
      </c>
      <c r="M8761" s="443"/>
    </row>
    <row r="8762" spans="1:13">
      <c r="A8762" s="639">
        <v>123013</v>
      </c>
      <c r="B8762" s="639">
        <v>2300</v>
      </c>
      <c r="C8762" s="638">
        <v>4.1000000000000002E-2</v>
      </c>
      <c r="D8762" s="633">
        <f t="shared" si="279"/>
        <v>4.1000000000000002E-2</v>
      </c>
      <c r="E8762" s="608"/>
      <c r="F8762" s="760">
        <f t="shared" si="280"/>
        <v>1.7295654588988074E-2</v>
      </c>
      <c r="M8762" s="443"/>
    </row>
    <row r="8763" spans="1:13">
      <c r="A8763" s="639">
        <v>123013</v>
      </c>
      <c r="B8763" s="639">
        <v>2400</v>
      </c>
      <c r="C8763" s="638">
        <v>4.5999999999999999E-2</v>
      </c>
      <c r="D8763" s="633">
        <f t="shared" si="279"/>
        <v>4.5999999999999999E-2</v>
      </c>
      <c r="E8763" s="608"/>
      <c r="F8763" s="760">
        <f t="shared" si="280"/>
        <v>1.9404880758376864E-2</v>
      </c>
      <c r="M8763" s="443"/>
    </row>
    <row r="8764" spans="1:13">
      <c r="A8764" s="639">
        <v>123113</v>
      </c>
      <c r="B8764" s="639">
        <v>100</v>
      </c>
      <c r="C8764" s="638">
        <v>5.1999999999999998E-2</v>
      </c>
      <c r="D8764" s="633">
        <f t="shared" si="279"/>
        <v>5.1999999999999998E-2</v>
      </c>
      <c r="E8764" s="608"/>
      <c r="F8764" s="760">
        <f t="shared" si="280"/>
        <v>2.1935952161643409E-2</v>
      </c>
      <c r="M8764" s="443"/>
    </row>
    <row r="8765" spans="1:13">
      <c r="A8765" s="639">
        <v>123113</v>
      </c>
      <c r="B8765" s="639">
        <v>200</v>
      </c>
      <c r="C8765" s="638">
        <v>5.6000000000000001E-2</v>
      </c>
      <c r="D8765" s="633">
        <f t="shared" si="279"/>
        <v>5.6000000000000001E-2</v>
      </c>
      <c r="E8765" s="608"/>
      <c r="F8765" s="760">
        <f t="shared" si="280"/>
        <v>2.3623333097154444E-2</v>
      </c>
      <c r="M8765" s="443"/>
    </row>
    <row r="8766" spans="1:13">
      <c r="A8766" s="639">
        <v>123113</v>
      </c>
      <c r="B8766" s="639">
        <v>300</v>
      </c>
      <c r="C8766" s="638">
        <v>6.2E-2</v>
      </c>
      <c r="D8766" s="633">
        <f t="shared" si="279"/>
        <v>6.2E-2</v>
      </c>
      <c r="E8766" s="608"/>
      <c r="F8766" s="760">
        <f t="shared" si="280"/>
        <v>2.6154404500420989E-2</v>
      </c>
      <c r="M8766" s="443"/>
    </row>
    <row r="8767" spans="1:13">
      <c r="A8767" s="639">
        <v>123113</v>
      </c>
      <c r="B8767" s="639">
        <v>400</v>
      </c>
      <c r="C8767" s="638">
        <v>6.8000000000000005E-2</v>
      </c>
      <c r="D8767" s="633">
        <f t="shared" si="279"/>
        <v>6.8000000000000005E-2</v>
      </c>
      <c r="E8767" s="608"/>
      <c r="F8767" s="760">
        <f t="shared" si="280"/>
        <v>2.8685475903687536E-2</v>
      </c>
      <c r="M8767" s="443"/>
    </row>
    <row r="8768" spans="1:13">
      <c r="A8768" s="639">
        <v>123113</v>
      </c>
      <c r="B8768" s="639">
        <v>500</v>
      </c>
      <c r="C8768" s="638">
        <v>6.9000000000000006E-2</v>
      </c>
      <c r="D8768" s="633">
        <f t="shared" si="279"/>
        <v>6.9000000000000006E-2</v>
      </c>
      <c r="E8768" s="608"/>
      <c r="F8768" s="760">
        <f t="shared" si="280"/>
        <v>2.9107321137565294E-2</v>
      </c>
      <c r="M8768" s="443"/>
    </row>
    <row r="8769" spans="1:13">
      <c r="A8769" s="639">
        <v>123113</v>
      </c>
      <c r="B8769" s="639">
        <v>600</v>
      </c>
      <c r="C8769" s="638">
        <v>7.6999999999999999E-2</v>
      </c>
      <c r="D8769" s="633">
        <f t="shared" si="279"/>
        <v>7.6999999999999999E-2</v>
      </c>
      <c r="E8769" s="608"/>
      <c r="F8769" s="760">
        <f t="shared" si="280"/>
        <v>3.2482083008587355E-2</v>
      </c>
      <c r="M8769" s="443"/>
    </row>
    <row r="8770" spans="1:13">
      <c r="A8770" s="639">
        <v>123113</v>
      </c>
      <c r="B8770" s="639">
        <v>700</v>
      </c>
      <c r="C8770" s="638">
        <v>0.107</v>
      </c>
      <c r="D8770" s="633">
        <f t="shared" si="279"/>
        <v>0.107</v>
      </c>
      <c r="E8770" s="608"/>
      <c r="F8770" s="760">
        <f t="shared" si="280"/>
        <v>4.5137440024920095E-2</v>
      </c>
      <c r="M8770" s="443"/>
    </row>
    <row r="8771" spans="1:13">
      <c r="A8771" s="639">
        <v>123113</v>
      </c>
      <c r="B8771" s="639">
        <v>800</v>
      </c>
      <c r="C8771" s="638">
        <v>0.13500000000000001</v>
      </c>
      <c r="D8771" s="633">
        <f t="shared" si="279"/>
        <v>0.13500000000000001</v>
      </c>
      <c r="E8771" s="608"/>
      <c r="F8771" s="760">
        <f t="shared" si="280"/>
        <v>5.6949106573497318E-2</v>
      </c>
      <c r="M8771" s="443"/>
    </row>
    <row r="8772" spans="1:13">
      <c r="A8772" s="639">
        <v>123113</v>
      </c>
      <c r="B8772" s="639">
        <v>900</v>
      </c>
      <c r="C8772" s="638">
        <v>0.13600000000000001</v>
      </c>
      <c r="D8772" s="633">
        <f t="shared" si="279"/>
        <v>0.13600000000000001</v>
      </c>
      <c r="E8772" s="608"/>
      <c r="F8772" s="760">
        <f t="shared" si="280"/>
        <v>5.7370951807375073E-2</v>
      </c>
      <c r="M8772" s="443"/>
    </row>
    <row r="8773" spans="1:13">
      <c r="A8773" s="639">
        <v>123113</v>
      </c>
      <c r="B8773" s="639">
        <v>1000</v>
      </c>
      <c r="C8773" s="638">
        <v>0.108</v>
      </c>
      <c r="D8773" s="633">
        <f t="shared" ref="D8773:D8787" si="281">C8773</f>
        <v>0.108</v>
      </c>
      <c r="E8773" s="608"/>
      <c r="F8773" s="760">
        <f t="shared" si="280"/>
        <v>4.5559285258797856E-2</v>
      </c>
      <c r="M8773" s="443"/>
    </row>
    <row r="8774" spans="1:13">
      <c r="A8774" s="639">
        <v>123113</v>
      </c>
      <c r="B8774" s="639">
        <v>1100</v>
      </c>
      <c r="C8774" s="638">
        <v>5.5E-2</v>
      </c>
      <c r="D8774" s="633">
        <f t="shared" si="281"/>
        <v>5.5E-2</v>
      </c>
      <c r="E8774" s="608"/>
      <c r="F8774" s="760">
        <f t="shared" si="280"/>
        <v>2.3201487863276686E-2</v>
      </c>
      <c r="M8774" s="443"/>
    </row>
    <row r="8775" spans="1:13">
      <c r="A8775" s="639">
        <v>123113</v>
      </c>
      <c r="B8775" s="639">
        <v>1200</v>
      </c>
      <c r="C8775" s="638">
        <v>3.7999999999999999E-2</v>
      </c>
      <c r="D8775" s="633">
        <f t="shared" si="281"/>
        <v>3.7999999999999999E-2</v>
      </c>
      <c r="E8775" s="608"/>
      <c r="F8775" s="760">
        <f t="shared" si="280"/>
        <v>1.6030118887354797E-2</v>
      </c>
      <c r="M8775" s="443"/>
    </row>
    <row r="8776" spans="1:13">
      <c r="A8776" s="639">
        <v>123113</v>
      </c>
      <c r="B8776" s="639">
        <v>1300</v>
      </c>
      <c r="C8776" s="638">
        <v>3.4000000000000002E-2</v>
      </c>
      <c r="D8776" s="633">
        <f t="shared" si="281"/>
        <v>3.4000000000000002E-2</v>
      </c>
      <c r="E8776" s="608"/>
      <c r="F8776" s="760">
        <f t="shared" si="280"/>
        <v>1.4342737951843768E-2</v>
      </c>
      <c r="M8776" s="443"/>
    </row>
    <row r="8777" spans="1:13">
      <c r="A8777" s="639">
        <v>123113</v>
      </c>
      <c r="B8777" s="639">
        <v>1400</v>
      </c>
      <c r="C8777" s="638">
        <v>0.03</v>
      </c>
      <c r="D8777" s="633">
        <f t="shared" si="281"/>
        <v>0.03</v>
      </c>
      <c r="E8777" s="608"/>
      <c r="F8777" s="760">
        <f t="shared" si="280"/>
        <v>1.2655357016332736E-2</v>
      </c>
      <c r="M8777" s="443"/>
    </row>
    <row r="8778" spans="1:13">
      <c r="A8778" s="639">
        <v>123113</v>
      </c>
      <c r="B8778" s="639">
        <v>1500</v>
      </c>
      <c r="C8778" s="638">
        <v>2.9000000000000001E-2</v>
      </c>
      <c r="D8778" s="633">
        <f t="shared" si="281"/>
        <v>2.9000000000000001E-2</v>
      </c>
      <c r="E8778" s="608"/>
      <c r="F8778" s="760">
        <f t="shared" si="280"/>
        <v>1.223351178245498E-2</v>
      </c>
      <c r="M8778" s="443"/>
    </row>
    <row r="8779" spans="1:13">
      <c r="A8779" s="639">
        <v>123113</v>
      </c>
      <c r="B8779" s="639">
        <v>1600</v>
      </c>
      <c r="C8779" s="638">
        <v>3.5999999999999997E-2</v>
      </c>
      <c r="D8779" s="633">
        <f t="shared" si="281"/>
        <v>3.5999999999999997E-2</v>
      </c>
      <c r="E8779" s="608"/>
      <c r="F8779" s="760">
        <f t="shared" si="280"/>
        <v>1.5186428419599282E-2</v>
      </c>
      <c r="M8779" s="443"/>
    </row>
    <row r="8780" spans="1:13">
      <c r="A8780" s="639">
        <v>123113</v>
      </c>
      <c r="B8780" s="639">
        <v>1700</v>
      </c>
      <c r="C8780" s="638">
        <v>4.2999999999999997E-2</v>
      </c>
      <c r="D8780" s="633">
        <f t="shared" si="281"/>
        <v>4.2999999999999997E-2</v>
      </c>
      <c r="E8780" s="608"/>
      <c r="F8780" s="760">
        <f t="shared" si="280"/>
        <v>1.813934505674359E-2</v>
      </c>
      <c r="M8780" s="443"/>
    </row>
    <row r="8781" spans="1:13">
      <c r="A8781" s="639">
        <v>123113</v>
      </c>
      <c r="B8781" s="639">
        <v>1800</v>
      </c>
      <c r="C8781" s="638">
        <v>4.9000000000000002E-2</v>
      </c>
      <c r="D8781" s="633">
        <f t="shared" si="281"/>
        <v>4.9000000000000002E-2</v>
      </c>
      <c r="E8781" s="608"/>
      <c r="F8781" s="760">
        <f t="shared" si="280"/>
        <v>2.0670416460010138E-2</v>
      </c>
      <c r="M8781" s="443"/>
    </row>
    <row r="8782" spans="1:13">
      <c r="A8782" s="639">
        <v>123113</v>
      </c>
      <c r="B8782" s="639">
        <v>1900</v>
      </c>
      <c r="C8782" s="638">
        <v>7.4999999999999997E-2</v>
      </c>
      <c r="D8782" s="633">
        <f t="shared" si="281"/>
        <v>7.4999999999999997E-2</v>
      </c>
      <c r="E8782" s="608"/>
      <c r="F8782" s="760">
        <f t="shared" si="280"/>
        <v>3.1638392540831839E-2</v>
      </c>
      <c r="M8782" s="443"/>
    </row>
    <row r="8783" spans="1:13">
      <c r="A8783" s="639">
        <v>123113</v>
      </c>
      <c r="B8783" s="639">
        <v>2000</v>
      </c>
      <c r="C8783" s="638">
        <v>7.9000000000000001E-2</v>
      </c>
      <c r="D8783" s="633">
        <f t="shared" si="281"/>
        <v>7.9000000000000001E-2</v>
      </c>
      <c r="E8783" s="608"/>
      <c r="F8783" s="760">
        <f t="shared" si="280"/>
        <v>3.3325773476342878E-2</v>
      </c>
      <c r="M8783" s="443"/>
    </row>
    <row r="8784" spans="1:13">
      <c r="A8784" s="639">
        <v>123113</v>
      </c>
      <c r="B8784" s="639">
        <v>2100</v>
      </c>
      <c r="C8784" s="638">
        <v>8.4000000000000005E-2</v>
      </c>
      <c r="D8784" s="633">
        <f t="shared" si="281"/>
        <v>8.4000000000000005E-2</v>
      </c>
      <c r="E8784" s="608"/>
      <c r="F8784" s="760">
        <f t="shared" si="280"/>
        <v>3.5434999645731664E-2</v>
      </c>
      <c r="M8784" s="443"/>
    </row>
    <row r="8785" spans="1:13">
      <c r="A8785" s="639">
        <v>123113</v>
      </c>
      <c r="B8785" s="639">
        <v>2200</v>
      </c>
      <c r="C8785" s="638">
        <v>8.5000000000000006E-2</v>
      </c>
      <c r="D8785" s="633">
        <f t="shared" si="281"/>
        <v>8.5000000000000006E-2</v>
      </c>
      <c r="E8785" s="608"/>
      <c r="F8785" s="760">
        <f t="shared" si="280"/>
        <v>3.5856844879609426E-2</v>
      </c>
      <c r="M8785" s="443"/>
    </row>
    <row r="8786" spans="1:13">
      <c r="A8786" s="639">
        <v>123113</v>
      </c>
      <c r="B8786" s="639">
        <v>2300</v>
      </c>
      <c r="C8786" s="638">
        <v>7.8E-2</v>
      </c>
      <c r="D8786" s="633">
        <f t="shared" si="281"/>
        <v>7.8E-2</v>
      </c>
      <c r="E8786" s="608"/>
      <c r="F8786" s="760">
        <f t="shared" si="280"/>
        <v>3.2903928242465109E-2</v>
      </c>
      <c r="M8786" s="443"/>
    </row>
    <row r="8787" spans="1:13">
      <c r="A8787" s="639">
        <v>123113</v>
      </c>
      <c r="B8787" s="639">
        <v>2400</v>
      </c>
      <c r="C8787" s="638">
        <v>0.05</v>
      </c>
      <c r="D8787" s="633">
        <f t="shared" si="281"/>
        <v>0.05</v>
      </c>
      <c r="E8787" s="608"/>
      <c r="F8787" s="760">
        <f t="shared" si="280"/>
        <v>2.1092261693887896E-2</v>
      </c>
      <c r="M8787" s="443"/>
    </row>
    <row r="8788" spans="1:13" ht="14.4">
      <c r="A8788" s="632"/>
      <c r="B8788" s="632"/>
      <c r="C8788" s="632"/>
      <c r="D8788" s="632">
        <f t="shared" ref="D8788" si="282">SUM(D4:D8787)</f>
        <v>40323969.760000028</v>
      </c>
      <c r="E8788" s="762"/>
      <c r="F8788" s="632">
        <f t="shared" ref="F8788" si="283">SUM(F4:F8787)</f>
        <v>17012413.820937559</v>
      </c>
      <c r="G8788" s="634"/>
    </row>
  </sheetData>
  <mergeCells count="11">
    <mergeCell ref="A2:A3"/>
    <mergeCell ref="B2:B3"/>
    <mergeCell ref="C2:C3"/>
    <mergeCell ref="D2:D3"/>
    <mergeCell ref="M2:M3"/>
    <mergeCell ref="L1:P1"/>
    <mergeCell ref="P2:P3"/>
    <mergeCell ref="E2:E3"/>
    <mergeCell ref="N2:N3"/>
    <mergeCell ref="F2:F3"/>
    <mergeCell ref="O2:O3"/>
  </mergeCells>
  <pageMargins left="0.7" right="0.7" top="0.75" bottom="0.75" header="0.3" footer="0.3"/>
  <pageSetup scale="60" orientation="portrait" r:id="rId1"/>
  <ignoredErrors>
    <ignoredError sqref="N5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>
  <dimension ref="A2:Z8766"/>
  <sheetViews>
    <sheetView topLeftCell="J1" zoomScale="80" zoomScaleNormal="80" workbookViewId="0">
      <selection activeCell="P21" sqref="P21"/>
    </sheetView>
  </sheetViews>
  <sheetFormatPr defaultRowHeight="13.2"/>
  <cols>
    <col min="1" max="2" width="0" hidden="1" customWidth="1"/>
    <col min="3" max="3" width="11.88671875" style="455" hidden="1" customWidth="1"/>
    <col min="4" max="4" width="13.5546875" hidden="1" customWidth="1"/>
    <col min="5" max="5" width="12.5546875" hidden="1" customWidth="1"/>
    <col min="6" max="6" width="0" hidden="1" customWidth="1"/>
    <col min="7" max="7" width="9.109375" hidden="1" customWidth="1"/>
    <col min="8" max="8" width="6.5546875" hidden="1" customWidth="1"/>
    <col min="9" max="9" width="5.109375" hidden="1" customWidth="1"/>
    <col min="10" max="10" width="6.6640625" customWidth="1"/>
    <col min="11" max="11" width="7.109375" customWidth="1"/>
    <col min="12" max="12" width="12.6640625" customWidth="1"/>
    <col min="13" max="13" width="12.44140625" customWidth="1"/>
    <col min="14" max="14" width="6.44140625" customWidth="1"/>
    <col min="15" max="15" width="12.33203125" customWidth="1"/>
    <col min="16" max="16" width="15.33203125" customWidth="1"/>
    <col min="17" max="19" width="13.44140625" customWidth="1"/>
    <col min="20" max="20" width="4.44140625" customWidth="1"/>
    <col min="21" max="21" width="0.33203125" customWidth="1"/>
    <col min="22" max="22" width="13.88671875" customWidth="1"/>
    <col min="23" max="23" width="13.109375" customWidth="1"/>
    <col min="24" max="24" width="12" customWidth="1"/>
    <col min="25" max="25" width="9.6640625" customWidth="1"/>
    <col min="26" max="26" width="14.44140625" customWidth="1"/>
    <col min="262" max="262" width="12.5546875" bestFit="1" customWidth="1"/>
    <col min="265" max="266" width="10.6640625" customWidth="1"/>
    <col min="518" max="518" width="12.5546875" bestFit="1" customWidth="1"/>
    <col min="521" max="522" width="10.6640625" customWidth="1"/>
    <col min="774" max="774" width="12.5546875" bestFit="1" customWidth="1"/>
    <col min="777" max="778" width="10.6640625" customWidth="1"/>
    <col min="1030" max="1030" width="12.5546875" bestFit="1" customWidth="1"/>
    <col min="1033" max="1034" width="10.6640625" customWidth="1"/>
    <col min="1286" max="1286" width="12.5546875" bestFit="1" customWidth="1"/>
    <col min="1289" max="1290" width="10.6640625" customWidth="1"/>
    <col min="1542" max="1542" width="12.5546875" bestFit="1" customWidth="1"/>
    <col min="1545" max="1546" width="10.6640625" customWidth="1"/>
    <col min="1798" max="1798" width="12.5546875" bestFit="1" customWidth="1"/>
    <col min="1801" max="1802" width="10.6640625" customWidth="1"/>
    <col min="2054" max="2054" width="12.5546875" bestFit="1" customWidth="1"/>
    <col min="2057" max="2058" width="10.6640625" customWidth="1"/>
    <col min="2310" max="2310" width="12.5546875" bestFit="1" customWidth="1"/>
    <col min="2313" max="2314" width="10.6640625" customWidth="1"/>
    <col min="2566" max="2566" width="12.5546875" bestFit="1" customWidth="1"/>
    <col min="2569" max="2570" width="10.6640625" customWidth="1"/>
    <col min="2822" max="2822" width="12.5546875" bestFit="1" customWidth="1"/>
    <col min="2825" max="2826" width="10.6640625" customWidth="1"/>
    <col min="3078" max="3078" width="12.5546875" bestFit="1" customWidth="1"/>
    <col min="3081" max="3082" width="10.6640625" customWidth="1"/>
    <col min="3334" max="3334" width="12.5546875" bestFit="1" customWidth="1"/>
    <col min="3337" max="3338" width="10.6640625" customWidth="1"/>
    <col min="3590" max="3590" width="12.5546875" bestFit="1" customWidth="1"/>
    <col min="3593" max="3594" width="10.6640625" customWidth="1"/>
    <col min="3846" max="3846" width="12.5546875" bestFit="1" customWidth="1"/>
    <col min="3849" max="3850" width="10.6640625" customWidth="1"/>
    <col min="4102" max="4102" width="12.5546875" bestFit="1" customWidth="1"/>
    <col min="4105" max="4106" width="10.6640625" customWidth="1"/>
    <col min="4358" max="4358" width="12.5546875" bestFit="1" customWidth="1"/>
    <col min="4361" max="4362" width="10.6640625" customWidth="1"/>
    <col min="4614" max="4614" width="12.5546875" bestFit="1" customWidth="1"/>
    <col min="4617" max="4618" width="10.6640625" customWidth="1"/>
    <col min="4870" max="4870" width="12.5546875" bestFit="1" customWidth="1"/>
    <col min="4873" max="4874" width="10.6640625" customWidth="1"/>
    <col min="5126" max="5126" width="12.5546875" bestFit="1" customWidth="1"/>
    <col min="5129" max="5130" width="10.6640625" customWidth="1"/>
    <col min="5382" max="5382" width="12.5546875" bestFit="1" customWidth="1"/>
    <col min="5385" max="5386" width="10.6640625" customWidth="1"/>
    <col min="5638" max="5638" width="12.5546875" bestFit="1" customWidth="1"/>
    <col min="5641" max="5642" width="10.6640625" customWidth="1"/>
    <col min="5894" max="5894" width="12.5546875" bestFit="1" customWidth="1"/>
    <col min="5897" max="5898" width="10.6640625" customWidth="1"/>
    <col min="6150" max="6150" width="12.5546875" bestFit="1" customWidth="1"/>
    <col min="6153" max="6154" width="10.6640625" customWidth="1"/>
    <col min="6406" max="6406" width="12.5546875" bestFit="1" customWidth="1"/>
    <col min="6409" max="6410" width="10.6640625" customWidth="1"/>
    <col min="6662" max="6662" width="12.5546875" bestFit="1" customWidth="1"/>
    <col min="6665" max="6666" width="10.6640625" customWidth="1"/>
    <col min="6918" max="6918" width="12.5546875" bestFit="1" customWidth="1"/>
    <col min="6921" max="6922" width="10.6640625" customWidth="1"/>
    <col min="7174" max="7174" width="12.5546875" bestFit="1" customWidth="1"/>
    <col min="7177" max="7178" width="10.6640625" customWidth="1"/>
    <col min="7430" max="7430" width="12.5546875" bestFit="1" customWidth="1"/>
    <col min="7433" max="7434" width="10.6640625" customWidth="1"/>
    <col min="7686" max="7686" width="12.5546875" bestFit="1" customWidth="1"/>
    <col min="7689" max="7690" width="10.6640625" customWidth="1"/>
    <col min="7942" max="7942" width="12.5546875" bestFit="1" customWidth="1"/>
    <col min="7945" max="7946" width="10.6640625" customWidth="1"/>
    <col min="8198" max="8198" width="12.5546875" bestFit="1" customWidth="1"/>
    <col min="8201" max="8202" width="10.6640625" customWidth="1"/>
    <col min="8454" max="8454" width="12.5546875" bestFit="1" customWidth="1"/>
    <col min="8457" max="8458" width="10.6640625" customWidth="1"/>
    <col min="8710" max="8710" width="12.5546875" bestFit="1" customWidth="1"/>
    <col min="8713" max="8714" width="10.6640625" customWidth="1"/>
    <col min="8966" max="8966" width="12.5546875" bestFit="1" customWidth="1"/>
    <col min="8969" max="8970" width="10.6640625" customWidth="1"/>
    <col min="9222" max="9222" width="12.5546875" bestFit="1" customWidth="1"/>
    <col min="9225" max="9226" width="10.6640625" customWidth="1"/>
    <col min="9478" max="9478" width="12.5546875" bestFit="1" customWidth="1"/>
    <col min="9481" max="9482" width="10.6640625" customWidth="1"/>
    <col min="9734" max="9734" width="12.5546875" bestFit="1" customWidth="1"/>
    <col min="9737" max="9738" width="10.6640625" customWidth="1"/>
    <col min="9990" max="9990" width="12.5546875" bestFit="1" customWidth="1"/>
    <col min="9993" max="9994" width="10.6640625" customWidth="1"/>
    <col min="10246" max="10246" width="12.5546875" bestFit="1" customWidth="1"/>
    <col min="10249" max="10250" width="10.6640625" customWidth="1"/>
    <col min="10502" max="10502" width="12.5546875" bestFit="1" customWidth="1"/>
    <col min="10505" max="10506" width="10.6640625" customWidth="1"/>
    <col min="10758" max="10758" width="12.5546875" bestFit="1" customWidth="1"/>
    <col min="10761" max="10762" width="10.6640625" customWidth="1"/>
    <col min="11014" max="11014" width="12.5546875" bestFit="1" customWidth="1"/>
    <col min="11017" max="11018" width="10.6640625" customWidth="1"/>
    <col min="11270" max="11270" width="12.5546875" bestFit="1" customWidth="1"/>
    <col min="11273" max="11274" width="10.6640625" customWidth="1"/>
    <col min="11526" max="11526" width="12.5546875" bestFit="1" customWidth="1"/>
    <col min="11529" max="11530" width="10.6640625" customWidth="1"/>
    <col min="11782" max="11782" width="12.5546875" bestFit="1" customWidth="1"/>
    <col min="11785" max="11786" width="10.6640625" customWidth="1"/>
    <col min="12038" max="12038" width="12.5546875" bestFit="1" customWidth="1"/>
    <col min="12041" max="12042" width="10.6640625" customWidth="1"/>
    <col min="12294" max="12294" width="12.5546875" bestFit="1" customWidth="1"/>
    <col min="12297" max="12298" width="10.6640625" customWidth="1"/>
    <col min="12550" max="12550" width="12.5546875" bestFit="1" customWidth="1"/>
    <col min="12553" max="12554" width="10.6640625" customWidth="1"/>
    <col min="12806" max="12806" width="12.5546875" bestFit="1" customWidth="1"/>
    <col min="12809" max="12810" width="10.6640625" customWidth="1"/>
    <col min="13062" max="13062" width="12.5546875" bestFit="1" customWidth="1"/>
    <col min="13065" max="13066" width="10.6640625" customWidth="1"/>
    <col min="13318" max="13318" width="12.5546875" bestFit="1" customWidth="1"/>
    <col min="13321" max="13322" width="10.6640625" customWidth="1"/>
    <col min="13574" max="13574" width="12.5546875" bestFit="1" customWidth="1"/>
    <col min="13577" max="13578" width="10.6640625" customWidth="1"/>
    <col min="13830" max="13830" width="12.5546875" bestFit="1" customWidth="1"/>
    <col min="13833" max="13834" width="10.6640625" customWidth="1"/>
    <col min="14086" max="14086" width="12.5546875" bestFit="1" customWidth="1"/>
    <col min="14089" max="14090" width="10.6640625" customWidth="1"/>
    <col min="14342" max="14342" width="12.5546875" bestFit="1" customWidth="1"/>
    <col min="14345" max="14346" width="10.6640625" customWidth="1"/>
    <col min="14598" max="14598" width="12.5546875" bestFit="1" customWidth="1"/>
    <col min="14601" max="14602" width="10.6640625" customWidth="1"/>
    <col min="14854" max="14854" width="12.5546875" bestFit="1" customWidth="1"/>
    <col min="14857" max="14858" width="10.6640625" customWidth="1"/>
    <col min="15110" max="15110" width="12.5546875" bestFit="1" customWidth="1"/>
    <col min="15113" max="15114" width="10.6640625" customWidth="1"/>
    <col min="15366" max="15366" width="12.5546875" bestFit="1" customWidth="1"/>
    <col min="15369" max="15370" width="10.6640625" customWidth="1"/>
    <col min="15622" max="15622" width="12.5546875" bestFit="1" customWidth="1"/>
    <col min="15625" max="15626" width="10.6640625" customWidth="1"/>
    <col min="15878" max="15878" width="12.5546875" bestFit="1" customWidth="1"/>
    <col min="15881" max="15882" width="10.6640625" customWidth="1"/>
    <col min="16134" max="16134" width="12.5546875" bestFit="1" customWidth="1"/>
    <col min="16137" max="16138" width="10.6640625" customWidth="1"/>
  </cols>
  <sheetData>
    <row r="2" spans="1:26" ht="18" thickBot="1">
      <c r="K2" s="933" t="s">
        <v>262</v>
      </c>
      <c r="L2" s="933"/>
      <c r="M2" s="933"/>
      <c r="N2" s="933"/>
      <c r="O2" s="933"/>
      <c r="P2" s="933"/>
      <c r="Q2" s="933"/>
      <c r="R2" s="933"/>
      <c r="S2" s="933"/>
      <c r="T2" s="933"/>
      <c r="U2" s="933"/>
      <c r="V2" s="933"/>
      <c r="W2" s="933"/>
      <c r="X2" s="933"/>
      <c r="Y2" s="933"/>
      <c r="Z2" s="933"/>
    </row>
    <row r="3" spans="1:26" ht="39" customHeight="1">
      <c r="A3" s="963" t="s">
        <v>216</v>
      </c>
      <c r="B3" s="965" t="s">
        <v>217</v>
      </c>
      <c r="C3" s="967" t="s">
        <v>222</v>
      </c>
      <c r="D3" s="968" t="s">
        <v>229</v>
      </c>
      <c r="E3" s="968" t="s">
        <v>219</v>
      </c>
      <c r="K3" s="959" t="s">
        <v>195</v>
      </c>
      <c r="L3" s="959" t="s">
        <v>221</v>
      </c>
      <c r="M3" s="959" t="s">
        <v>224</v>
      </c>
      <c r="N3" s="825"/>
      <c r="O3" s="959" t="s">
        <v>223</v>
      </c>
      <c r="P3" s="959" t="s">
        <v>218</v>
      </c>
      <c r="Q3" s="959" t="s">
        <v>231</v>
      </c>
      <c r="R3" s="970" t="s">
        <v>96</v>
      </c>
      <c r="S3" s="959" t="s">
        <v>234</v>
      </c>
      <c r="T3" s="825"/>
      <c r="U3" s="863"/>
      <c r="V3" s="959" t="s">
        <v>226</v>
      </c>
      <c r="W3" s="959" t="s">
        <v>227</v>
      </c>
      <c r="X3" s="959" t="s">
        <v>228</v>
      </c>
      <c r="Y3" s="970" t="s">
        <v>96</v>
      </c>
      <c r="Z3" s="959" t="s">
        <v>239</v>
      </c>
    </row>
    <row r="4" spans="1:26">
      <c r="A4" s="964"/>
      <c r="B4" s="966"/>
      <c r="C4" s="967"/>
      <c r="D4" s="969"/>
      <c r="E4" s="969"/>
      <c r="K4" s="959"/>
      <c r="L4" s="959"/>
      <c r="M4" s="959"/>
      <c r="N4" s="825"/>
      <c r="O4" s="959"/>
      <c r="P4" s="959"/>
      <c r="Q4" s="959"/>
      <c r="R4" s="970"/>
      <c r="S4" s="959"/>
      <c r="T4" s="825"/>
      <c r="U4" s="863"/>
      <c r="V4" s="959"/>
      <c r="W4" s="959"/>
      <c r="X4" s="959"/>
      <c r="Y4" s="970"/>
      <c r="Z4" s="959"/>
    </row>
    <row r="5" spans="1:26" ht="12.75" customHeight="1">
      <c r="A5">
        <v>10113</v>
      </c>
      <c r="B5">
        <v>100</v>
      </c>
      <c r="C5" s="455">
        <v>8.8529999999999998</v>
      </c>
      <c r="D5" s="455">
        <f>(C5/(MAX($C$5:$C$748)))*$W$5</f>
        <v>16.493982142857142</v>
      </c>
      <c r="E5" s="455">
        <f>(C5/(MAX($C$5:$C$748)))*$P$5</f>
        <v>38.679178571428579</v>
      </c>
      <c r="G5" s="537"/>
      <c r="I5" s="537"/>
      <c r="J5" s="443"/>
      <c r="K5" t="s">
        <v>196</v>
      </c>
      <c r="L5" s="432">
        <f>MAX($C$5:$C$748)</f>
        <v>10.403</v>
      </c>
      <c r="M5" s="596">
        <v>14</v>
      </c>
      <c r="N5" s="596"/>
      <c r="O5" s="432">
        <f>Customer!K147</f>
        <v>61.166666666666686</v>
      </c>
      <c r="P5" s="432">
        <f>L5/M5*O5</f>
        <v>45.451202380952395</v>
      </c>
      <c r="Q5" s="537">
        <f>SUM(E5:E748)</f>
        <v>19528.471952380965</v>
      </c>
      <c r="R5" s="719">
        <v>1.0341</v>
      </c>
      <c r="S5" s="537">
        <f>Q5*R5</f>
        <v>20194.392845957158</v>
      </c>
      <c r="T5" s="537"/>
      <c r="V5" s="432">
        <f>Customer!K135</f>
        <v>26.083333333333332</v>
      </c>
      <c r="W5" s="432">
        <f>L5/M5*V5</f>
        <v>19.381779761904763</v>
      </c>
      <c r="X5" s="537">
        <f>SUM(D5:D748)</f>
        <v>8327.5364047619096</v>
      </c>
      <c r="Y5" s="588">
        <v>1.0348999999999999</v>
      </c>
      <c r="Z5" s="432">
        <f>X5*Y5</f>
        <v>8618.1674252881003</v>
      </c>
    </row>
    <row r="6" spans="1:26">
      <c r="A6">
        <v>10113</v>
      </c>
      <c r="B6">
        <v>200</v>
      </c>
      <c r="C6" s="455">
        <v>8.7050000000000001</v>
      </c>
      <c r="D6" s="455">
        <f t="shared" ref="D6:D69" si="0">(C6/(MAX($C$5:$C$748)))*$W$5</f>
        <v>16.218244047619049</v>
      </c>
      <c r="E6" s="637">
        <f t="shared" ref="E6:E36" si="1">(C6/(MAX($C$5:$C$748)))*$P$5</f>
        <v>38.032559523809532</v>
      </c>
      <c r="G6" s="537"/>
      <c r="I6" s="537"/>
      <c r="J6" s="443"/>
      <c r="K6" t="s">
        <v>197</v>
      </c>
      <c r="L6" s="432">
        <f>MAX($C$749:$C$1420)</f>
        <v>17.46</v>
      </c>
      <c r="M6" s="596">
        <v>14</v>
      </c>
      <c r="N6" s="596"/>
      <c r="O6" s="432">
        <f>Customer!K148</f>
        <v>62.33333333333335</v>
      </c>
      <c r="P6" s="432">
        <f t="shared" ref="P6:P16" si="2">L6/M6*O6</f>
        <v>77.738571428571447</v>
      </c>
      <c r="Q6" s="537">
        <f>SUM(E749:E1420)</f>
        <v>21687.65002380951</v>
      </c>
      <c r="R6" s="604">
        <f>R5</f>
        <v>1.0341</v>
      </c>
      <c r="S6" s="537">
        <f t="shared" ref="S6:S16" si="3">Q6*R6</f>
        <v>22427.198889621413</v>
      </c>
      <c r="T6" s="537"/>
      <c r="V6" s="432">
        <f>Customer!K136</f>
        <v>29.166666666666664</v>
      </c>
      <c r="W6" s="432">
        <f t="shared" ref="W6:W16" si="4">L6/M6*V6</f>
        <v>36.374999999999993</v>
      </c>
      <c r="X6" s="537">
        <f>SUM(D749:D1420)</f>
        <v>10147.964583333325</v>
      </c>
      <c r="Y6" s="588">
        <v>1.0348999999999999</v>
      </c>
      <c r="Z6" s="432">
        <f t="shared" ref="Z6:Z16" si="5">X6*Y6</f>
        <v>10502.128547291657</v>
      </c>
    </row>
    <row r="7" spans="1:26">
      <c r="A7">
        <v>10113</v>
      </c>
      <c r="B7">
        <v>300</v>
      </c>
      <c r="C7" s="455">
        <v>8.9169999999999998</v>
      </c>
      <c r="D7" s="455">
        <f t="shared" si="0"/>
        <v>16.613220238095238</v>
      </c>
      <c r="E7" s="637">
        <f t="shared" si="1"/>
        <v>38.95879761904763</v>
      </c>
      <c r="G7" s="537"/>
      <c r="I7" s="537"/>
      <c r="J7" s="443"/>
      <c r="K7" t="s">
        <v>198</v>
      </c>
      <c r="L7" s="432">
        <f>MAX($C$1421:$C$2164)</f>
        <v>13.807</v>
      </c>
      <c r="M7" s="596">
        <v>16</v>
      </c>
      <c r="N7" s="596"/>
      <c r="O7" s="432">
        <f>Customer!K149</f>
        <v>63.500000000000014</v>
      </c>
      <c r="P7" s="432">
        <f>L7/M7*O7</f>
        <v>54.796531250000015</v>
      </c>
      <c r="Q7" s="537">
        <f>SUM(E1421:E2164)</f>
        <v>13408.354406249999</v>
      </c>
      <c r="R7" s="604">
        <f t="shared" ref="R7:R16" si="6">R6</f>
        <v>1.0341</v>
      </c>
      <c r="S7" s="537">
        <f t="shared" si="3"/>
        <v>13865.579291503123</v>
      </c>
      <c r="T7" s="537"/>
      <c r="V7" s="432">
        <f>Customer!K137</f>
        <v>32.25</v>
      </c>
      <c r="W7" s="432">
        <f t="shared" si="4"/>
        <v>27.829734375000001</v>
      </c>
      <c r="X7" s="537">
        <f>SUM(D1421:D2164)</f>
        <v>6809.7547968749996</v>
      </c>
      <c r="Y7" s="588">
        <v>1.0348999999999999</v>
      </c>
      <c r="Z7" s="432">
        <f t="shared" si="5"/>
        <v>7047.4152392859369</v>
      </c>
    </row>
    <row r="8" spans="1:26">
      <c r="A8">
        <v>10113</v>
      </c>
      <c r="B8">
        <v>400</v>
      </c>
      <c r="C8" s="455">
        <v>8.8480000000000008</v>
      </c>
      <c r="D8" s="455">
        <f t="shared" si="0"/>
        <v>16.484666666666669</v>
      </c>
      <c r="E8" s="637">
        <f t="shared" si="1"/>
        <v>38.657333333333348</v>
      </c>
      <c r="G8" s="537"/>
      <c r="I8" s="537"/>
      <c r="J8" s="443"/>
      <c r="K8" t="s">
        <v>199</v>
      </c>
      <c r="L8" s="432">
        <f>MAX($C$2165:$C$2884)</f>
        <v>13.558999999999999</v>
      </c>
      <c r="M8" s="596">
        <v>15</v>
      </c>
      <c r="N8" s="596"/>
      <c r="O8" s="432">
        <f>Customer!K150</f>
        <v>64.666666666666686</v>
      </c>
      <c r="P8" s="432">
        <f t="shared" si="2"/>
        <v>58.454355555555566</v>
      </c>
      <c r="Q8" s="537">
        <f>SUM(E2165:E2884)</f>
        <v>11656.339111111107</v>
      </c>
      <c r="R8" s="604">
        <f t="shared" si="6"/>
        <v>1.0341</v>
      </c>
      <c r="S8" s="537">
        <f t="shared" si="3"/>
        <v>12053.820274799997</v>
      </c>
      <c r="T8" s="537"/>
      <c r="V8" s="432">
        <f>Customer!K138</f>
        <v>35.333333333333336</v>
      </c>
      <c r="W8" s="432">
        <f t="shared" si="4"/>
        <v>31.938977777777776</v>
      </c>
      <c r="X8" s="537">
        <f>SUM(D2165:D2884)</f>
        <v>6368.9275555555523</v>
      </c>
      <c r="Y8" s="588">
        <v>1.0348999999999999</v>
      </c>
      <c r="Z8" s="432">
        <f t="shared" si="5"/>
        <v>6591.203127244441</v>
      </c>
    </row>
    <row r="9" spans="1:26">
      <c r="A9">
        <v>10113</v>
      </c>
      <c r="B9">
        <v>500</v>
      </c>
      <c r="C9" s="455">
        <v>8.9570000000000007</v>
      </c>
      <c r="D9" s="455">
        <f t="shared" si="0"/>
        <v>16.687744047619049</v>
      </c>
      <c r="E9" s="637">
        <f t="shared" si="1"/>
        <v>39.133559523809538</v>
      </c>
      <c r="G9" s="537"/>
      <c r="I9" s="537"/>
      <c r="J9" s="443"/>
      <c r="K9" t="s">
        <v>7</v>
      </c>
      <c r="L9" s="432">
        <f>MAX($C$2885:$C$3628)</f>
        <v>10.747999999999999</v>
      </c>
      <c r="M9" s="596">
        <v>17</v>
      </c>
      <c r="N9" s="596"/>
      <c r="O9" s="432">
        <f>Customer!K151</f>
        <v>65.833333333333357</v>
      </c>
      <c r="P9" s="432">
        <f t="shared" si="2"/>
        <v>41.622156862745108</v>
      </c>
      <c r="Q9" s="537">
        <f>SUM(E2885:E3628)</f>
        <v>9020.9867647058873</v>
      </c>
      <c r="R9" s="604">
        <f t="shared" si="6"/>
        <v>1.0341</v>
      </c>
      <c r="S9" s="537">
        <f t="shared" si="3"/>
        <v>9328.6024133823576</v>
      </c>
      <c r="T9" s="537"/>
      <c r="V9" s="432">
        <f>Customer!K139</f>
        <v>38.416666666666671</v>
      </c>
      <c r="W9" s="432">
        <f t="shared" si="4"/>
        <v>24.288372549019609</v>
      </c>
      <c r="X9" s="537">
        <f>SUM(D2885:D3628)</f>
        <v>5264.1454411764735</v>
      </c>
      <c r="Y9" s="588">
        <v>1.0348999999999999</v>
      </c>
      <c r="Z9" s="432">
        <f t="shared" si="5"/>
        <v>5447.8641170735318</v>
      </c>
    </row>
    <row r="10" spans="1:26">
      <c r="A10">
        <v>10113</v>
      </c>
      <c r="B10">
        <v>600</v>
      </c>
      <c r="C10" s="455">
        <v>8.9890000000000008</v>
      </c>
      <c r="D10" s="455">
        <f t="shared" si="0"/>
        <v>16.747363095238097</v>
      </c>
      <c r="E10" s="637">
        <f t="shared" si="1"/>
        <v>39.273369047619063</v>
      </c>
      <c r="G10" s="537"/>
      <c r="I10" s="537"/>
      <c r="J10" s="443"/>
      <c r="K10" t="s">
        <v>200</v>
      </c>
      <c r="L10" s="432">
        <f>MAX($C$3629:$C$4348)</f>
        <v>11.768000000000001</v>
      </c>
      <c r="M10" s="596">
        <v>20</v>
      </c>
      <c r="N10" s="596"/>
      <c r="O10" s="432">
        <f>Customer!K152</f>
        <v>67.000000000000028</v>
      </c>
      <c r="P10" s="432">
        <f t="shared" si="2"/>
        <v>39.422800000000016</v>
      </c>
      <c r="Q10" s="537">
        <f>SUM(E3629:E4348)</f>
        <v>7730.6375500000058</v>
      </c>
      <c r="R10" s="604">
        <f t="shared" si="6"/>
        <v>1.0341</v>
      </c>
      <c r="S10" s="537">
        <f t="shared" si="3"/>
        <v>7994.252290455006</v>
      </c>
      <c r="T10" s="537"/>
      <c r="V10" s="432">
        <f>Customer!K140</f>
        <v>41.500000000000007</v>
      </c>
      <c r="W10" s="432">
        <f t="shared" si="4"/>
        <v>24.418600000000005</v>
      </c>
      <c r="X10" s="537">
        <f>SUM(D3629:D4348)</f>
        <v>4788.3799750000017</v>
      </c>
      <c r="Y10" s="588">
        <v>1.0348999999999999</v>
      </c>
      <c r="Z10" s="432">
        <f t="shared" si="5"/>
        <v>4955.4944361275011</v>
      </c>
    </row>
    <row r="11" spans="1:26">
      <c r="A11">
        <v>10113</v>
      </c>
      <c r="B11">
        <v>700</v>
      </c>
      <c r="C11" s="455">
        <v>8.7729999999999997</v>
      </c>
      <c r="D11" s="455">
        <f t="shared" si="0"/>
        <v>16.344934523809524</v>
      </c>
      <c r="E11" s="637">
        <f t="shared" si="1"/>
        <v>38.32965476190477</v>
      </c>
      <c r="G11" s="537"/>
      <c r="I11" s="537"/>
      <c r="J11" s="443"/>
      <c r="K11" t="s">
        <v>201</v>
      </c>
      <c r="L11" s="432">
        <f>MAX($C$4349:$C$5092)</f>
        <v>12.535</v>
      </c>
      <c r="M11" s="596">
        <v>21</v>
      </c>
      <c r="N11" s="596"/>
      <c r="O11" s="432">
        <f>Customer!K153</f>
        <v>68.1666666666667</v>
      </c>
      <c r="P11" s="432">
        <f t="shared" si="2"/>
        <v>40.689007936507956</v>
      </c>
      <c r="Q11" s="537">
        <f>SUM(E4349:E5092)</f>
        <v>10156.810611111112</v>
      </c>
      <c r="R11" s="604">
        <f t="shared" si="6"/>
        <v>1.0341</v>
      </c>
      <c r="S11" s="537">
        <f t="shared" si="3"/>
        <v>10503.15785295</v>
      </c>
      <c r="T11" s="537"/>
      <c r="V11" s="432">
        <f>Customer!K141</f>
        <v>44.583333333333343</v>
      </c>
      <c r="W11" s="432">
        <f t="shared" si="4"/>
        <v>26.612003968253976</v>
      </c>
      <c r="X11" s="537">
        <f>SUM(D4349:D5092)</f>
        <v>6642.9018055555534</v>
      </c>
      <c r="Y11" s="588">
        <v>1.0348999999999999</v>
      </c>
      <c r="Z11" s="432">
        <f t="shared" si="5"/>
        <v>6874.7390785694415</v>
      </c>
    </row>
    <row r="12" spans="1:26">
      <c r="A12">
        <v>10113</v>
      </c>
      <c r="B12">
        <v>800</v>
      </c>
      <c r="C12" s="455">
        <v>9.1240000000000006</v>
      </c>
      <c r="D12" s="455">
        <f t="shared" si="0"/>
        <v>16.998880952380954</v>
      </c>
      <c r="E12" s="637">
        <f t="shared" si="1"/>
        <v>39.863190476190489</v>
      </c>
      <c r="G12" s="537"/>
      <c r="I12" s="537"/>
      <c r="J12" s="443"/>
      <c r="K12" t="s">
        <v>202</v>
      </c>
      <c r="L12" s="432">
        <f>MAX($C$5093:$C$5836)</f>
        <v>13.845000000000001</v>
      </c>
      <c r="M12" s="596">
        <v>21</v>
      </c>
      <c r="N12" s="596"/>
      <c r="O12" s="432">
        <f>Customer!K154</f>
        <v>69.333333333333371</v>
      </c>
      <c r="P12" s="432">
        <f t="shared" si="2"/>
        <v>45.710476190476221</v>
      </c>
      <c r="Q12" s="537">
        <f>SUM(E5093:E5836)</f>
        <v>11323.364825396828</v>
      </c>
      <c r="R12" s="604">
        <f t="shared" si="6"/>
        <v>1.0341</v>
      </c>
      <c r="S12" s="537">
        <f t="shared" si="3"/>
        <v>11709.491565942859</v>
      </c>
      <c r="T12" s="537"/>
      <c r="V12" s="432">
        <f>Customer!K142</f>
        <v>47.666666666666679</v>
      </c>
      <c r="W12" s="432">
        <f t="shared" si="4"/>
        <v>31.425952380952392</v>
      </c>
      <c r="X12" s="537">
        <f>SUM(D5093:D5836)</f>
        <v>7784.8133174603181</v>
      </c>
      <c r="Y12" s="588">
        <v>1.0348999999999999</v>
      </c>
      <c r="Z12" s="432">
        <f t="shared" si="5"/>
        <v>8056.5033022396829</v>
      </c>
    </row>
    <row r="13" spans="1:26">
      <c r="A13">
        <v>10113</v>
      </c>
      <c r="B13">
        <v>900</v>
      </c>
      <c r="C13" s="455">
        <v>8.9269999999999996</v>
      </c>
      <c r="D13" s="455">
        <f t="shared" si="0"/>
        <v>16.631851190476191</v>
      </c>
      <c r="E13" s="637">
        <f t="shared" si="1"/>
        <v>39.0024880952381</v>
      </c>
      <c r="G13" s="537"/>
      <c r="I13" s="537"/>
      <c r="J13" s="443"/>
      <c r="K13" t="s">
        <v>203</v>
      </c>
      <c r="L13" s="432">
        <f>MAX($C$5837:$C$6556)</f>
        <v>13.364000000000001</v>
      </c>
      <c r="M13" s="596">
        <v>21</v>
      </c>
      <c r="N13" s="596"/>
      <c r="O13" s="432">
        <f>Customer!K155</f>
        <v>70.500000000000043</v>
      </c>
      <c r="P13" s="432">
        <f t="shared" si="2"/>
        <v>44.864857142857169</v>
      </c>
      <c r="Q13" s="537">
        <f>SUM(E5837:E6556)</f>
        <v>12852.747571428599</v>
      </c>
      <c r="R13" s="604">
        <f t="shared" si="6"/>
        <v>1.0341</v>
      </c>
      <c r="S13" s="537">
        <f t="shared" si="3"/>
        <v>13291.026263614314</v>
      </c>
      <c r="T13" s="537"/>
      <c r="V13" s="432">
        <f>Customer!K143</f>
        <v>50.750000000000014</v>
      </c>
      <c r="W13" s="432">
        <f t="shared" si="4"/>
        <v>32.296333333333344</v>
      </c>
      <c r="X13" s="537">
        <f>SUM(D5837:D6556)</f>
        <v>9252.155166666671</v>
      </c>
      <c r="Y13" s="588">
        <v>1.0348999999999999</v>
      </c>
      <c r="Z13" s="432">
        <f t="shared" si="5"/>
        <v>9575.0553819833367</v>
      </c>
    </row>
    <row r="14" spans="1:26">
      <c r="A14">
        <v>10113</v>
      </c>
      <c r="B14">
        <v>1000</v>
      </c>
      <c r="C14" s="455">
        <v>2.1619999999999999</v>
      </c>
      <c r="D14" s="455">
        <f t="shared" si="0"/>
        <v>4.0280119047619047</v>
      </c>
      <c r="E14" s="637">
        <f t="shared" si="1"/>
        <v>9.4458809523809553</v>
      </c>
      <c r="G14" s="537"/>
      <c r="I14" s="537"/>
      <c r="J14" s="443"/>
      <c r="K14" t="s">
        <v>204</v>
      </c>
      <c r="L14" s="432">
        <f>MAX($C$6557:$C$7300)</f>
        <v>12.715999999999999</v>
      </c>
      <c r="M14" s="596">
        <v>21</v>
      </c>
      <c r="N14" s="596"/>
      <c r="O14" s="432">
        <f>Customer!K156</f>
        <v>71.666666666666714</v>
      </c>
      <c r="P14" s="432">
        <f t="shared" si="2"/>
        <v>43.395873015873043</v>
      </c>
      <c r="Q14" s="537">
        <f>SUM(E6557:E7300)</f>
        <v>15910.156984126968</v>
      </c>
      <c r="R14" s="604">
        <f t="shared" si="6"/>
        <v>1.0341</v>
      </c>
      <c r="S14" s="537">
        <f t="shared" si="3"/>
        <v>16452.693337285698</v>
      </c>
      <c r="T14" s="537"/>
      <c r="V14" s="432">
        <f>Customer!K144</f>
        <v>53.83333333333335</v>
      </c>
      <c r="W14" s="432">
        <f t="shared" si="4"/>
        <v>32.597365079365083</v>
      </c>
      <c r="X14" s="537">
        <f>SUM(D6557:D7300)</f>
        <v>11951.117920634935</v>
      </c>
      <c r="Y14" s="588">
        <v>1.0348999999999999</v>
      </c>
      <c r="Z14" s="432">
        <f t="shared" si="5"/>
        <v>12368.211936065094</v>
      </c>
    </row>
    <row r="15" spans="1:26">
      <c r="A15">
        <v>10113</v>
      </c>
      <c r="B15">
        <v>1100</v>
      </c>
      <c r="C15" s="455">
        <v>0</v>
      </c>
      <c r="D15" s="455">
        <f t="shared" si="0"/>
        <v>0</v>
      </c>
      <c r="E15" s="637">
        <f t="shared" si="1"/>
        <v>0</v>
      </c>
      <c r="G15" s="537"/>
      <c r="I15" s="537"/>
      <c r="J15" s="443"/>
      <c r="K15" t="s">
        <v>205</v>
      </c>
      <c r="L15" s="432">
        <f>MAX($C$7301:$C$8020)</f>
        <v>19.093</v>
      </c>
      <c r="M15" s="596">
        <v>22</v>
      </c>
      <c r="N15" s="596"/>
      <c r="O15" s="432">
        <f>Customer!K157</f>
        <v>72.833333333333385</v>
      </c>
      <c r="P15" s="432">
        <f t="shared" si="2"/>
        <v>63.209401515151562</v>
      </c>
      <c r="Q15" s="537">
        <f>SUM(E7301:E8020)</f>
        <v>18632.779515151527</v>
      </c>
      <c r="R15" s="604">
        <f t="shared" si="6"/>
        <v>1.0341</v>
      </c>
      <c r="S15" s="537">
        <f t="shared" si="3"/>
        <v>19268.157296618196</v>
      </c>
      <c r="T15" s="537"/>
      <c r="V15" s="432">
        <f>Customer!K145</f>
        <v>56.916666666666686</v>
      </c>
      <c r="W15" s="432">
        <f t="shared" si="4"/>
        <v>49.395905303030318</v>
      </c>
      <c r="X15" s="537">
        <f>SUM(D7301:D8020)</f>
        <v>14560.856303030307</v>
      </c>
      <c r="Y15" s="588">
        <v>1.0348999999999999</v>
      </c>
      <c r="Z15" s="432">
        <f t="shared" si="5"/>
        <v>15069.030188006063</v>
      </c>
    </row>
    <row r="16" spans="1:26">
      <c r="A16">
        <v>10113</v>
      </c>
      <c r="B16">
        <v>1200</v>
      </c>
      <c r="C16" s="455">
        <v>0</v>
      </c>
      <c r="D16" s="455">
        <f t="shared" si="0"/>
        <v>0</v>
      </c>
      <c r="E16" s="637">
        <f t="shared" si="1"/>
        <v>0</v>
      </c>
      <c r="G16" s="537"/>
      <c r="I16" s="537"/>
      <c r="J16" s="443"/>
      <c r="K16" t="s">
        <v>206</v>
      </c>
      <c r="L16" s="432">
        <f>MAX($C$8021:$C$8764)</f>
        <v>22.172000000000001</v>
      </c>
      <c r="M16" s="596">
        <v>23</v>
      </c>
      <c r="N16" s="596"/>
      <c r="O16" s="432">
        <f>Customer!K158</f>
        <v>74.000000000000057</v>
      </c>
      <c r="P16" s="432">
        <f t="shared" si="2"/>
        <v>71.336000000000055</v>
      </c>
      <c r="Q16" s="537">
        <f>SUM(E8021:E8764)</f>
        <v>26907.538956521767</v>
      </c>
      <c r="R16" s="604">
        <f t="shared" si="6"/>
        <v>1.0341</v>
      </c>
      <c r="S16" s="537">
        <f t="shared" si="3"/>
        <v>27825.086034939159</v>
      </c>
      <c r="T16" s="537"/>
      <c r="V16" s="432">
        <f>Customer!K146</f>
        <v>60.000000000000021</v>
      </c>
      <c r="W16" s="432">
        <f t="shared" si="4"/>
        <v>57.840000000000025</v>
      </c>
      <c r="X16" s="537">
        <f>SUM(D8021:D8764)</f>
        <v>21816.923478260873</v>
      </c>
      <c r="Y16" s="588">
        <v>1.0348999999999999</v>
      </c>
      <c r="Z16" s="432">
        <f t="shared" si="5"/>
        <v>22578.334107652176</v>
      </c>
    </row>
    <row r="17" spans="1:26" ht="13.8" thickBot="1">
      <c r="A17">
        <v>10113</v>
      </c>
      <c r="B17">
        <v>1300</v>
      </c>
      <c r="C17" s="455">
        <v>0</v>
      </c>
      <c r="D17" s="455">
        <f t="shared" si="0"/>
        <v>0</v>
      </c>
      <c r="E17" s="637">
        <f t="shared" si="1"/>
        <v>0</v>
      </c>
      <c r="L17" s="646">
        <f>SUM(L5:L16)</f>
        <v>171.47</v>
      </c>
      <c r="M17" s="635">
        <f>AVERAGE(M5:M16)</f>
        <v>18.75</v>
      </c>
      <c r="N17" s="864"/>
      <c r="O17" s="635">
        <f>AVERAGE(O5:O16)</f>
        <v>67.583333333333371</v>
      </c>
      <c r="P17" s="635">
        <f>SUM(P5:P16)</f>
        <v>626.69123327869045</v>
      </c>
      <c r="Q17" s="635">
        <f>SUM(Q5:Q16)</f>
        <v>178815.83827199429</v>
      </c>
      <c r="R17" s="864"/>
      <c r="S17" s="635">
        <f>SUM(S5:S16)</f>
        <v>184913.45835706929</v>
      </c>
      <c r="T17" s="864"/>
      <c r="V17" s="635">
        <f>AVERAGE(V5:V16)</f>
        <v>43.041666666666679</v>
      </c>
      <c r="W17" s="635">
        <f>SUM(W5:W16)</f>
        <v>394.40002452863729</v>
      </c>
      <c r="X17" s="635">
        <f>SUM(X5:X16)</f>
        <v>113715.47674831092</v>
      </c>
      <c r="Z17" s="635">
        <f>SUM(Z5:Z16)</f>
        <v>117684.14688682696</v>
      </c>
    </row>
    <row r="18" spans="1:26" ht="13.8" thickTop="1">
      <c r="A18">
        <v>10113</v>
      </c>
      <c r="B18">
        <v>1400</v>
      </c>
      <c r="C18" s="455">
        <v>0</v>
      </c>
      <c r="D18" s="455">
        <f t="shared" si="0"/>
        <v>0</v>
      </c>
      <c r="E18" s="637">
        <f t="shared" si="1"/>
        <v>0</v>
      </c>
    </row>
    <row r="19" spans="1:26">
      <c r="A19">
        <v>10113</v>
      </c>
      <c r="B19">
        <v>1500</v>
      </c>
      <c r="C19" s="455">
        <v>0</v>
      </c>
      <c r="D19" s="455">
        <f t="shared" si="0"/>
        <v>0</v>
      </c>
      <c r="E19" s="637">
        <f t="shared" si="1"/>
        <v>0</v>
      </c>
    </row>
    <row r="20" spans="1:26">
      <c r="A20">
        <v>10113</v>
      </c>
      <c r="B20">
        <v>1600</v>
      </c>
      <c r="C20" s="455">
        <v>1.3680000000000001</v>
      </c>
      <c r="D20" s="455">
        <f t="shared" si="0"/>
        <v>2.5487142857142859</v>
      </c>
      <c r="E20" s="637">
        <f t="shared" si="1"/>
        <v>5.9768571428571446</v>
      </c>
      <c r="U20" s="156"/>
    </row>
    <row r="21" spans="1:26">
      <c r="A21">
        <v>10113</v>
      </c>
      <c r="B21">
        <v>1700</v>
      </c>
      <c r="C21" s="455">
        <v>7.7649999999999997</v>
      </c>
      <c r="D21" s="455">
        <f t="shared" si="0"/>
        <v>14.466934523809524</v>
      </c>
      <c r="E21" s="637">
        <f t="shared" si="1"/>
        <v>33.925654761904767</v>
      </c>
      <c r="U21" s="156"/>
    </row>
    <row r="22" spans="1:26">
      <c r="A22">
        <v>10113</v>
      </c>
      <c r="B22">
        <v>1800</v>
      </c>
      <c r="C22" s="455">
        <v>9.0079999999999991</v>
      </c>
      <c r="D22" s="455">
        <f t="shared" si="0"/>
        <v>16.782761904761902</v>
      </c>
      <c r="E22" s="637">
        <f t="shared" si="1"/>
        <v>39.35638095238096</v>
      </c>
      <c r="U22" s="156"/>
    </row>
    <row r="23" spans="1:26">
      <c r="A23">
        <v>10113</v>
      </c>
      <c r="B23">
        <v>1900</v>
      </c>
      <c r="C23" s="455">
        <v>8.8719999999999999</v>
      </c>
      <c r="D23" s="455">
        <f t="shared" si="0"/>
        <v>16.529380952380954</v>
      </c>
      <c r="E23" s="637">
        <f t="shared" si="1"/>
        <v>38.76219047619049</v>
      </c>
      <c r="U23" s="156"/>
    </row>
    <row r="24" spans="1:26">
      <c r="A24">
        <v>10113</v>
      </c>
      <c r="B24">
        <v>2000</v>
      </c>
      <c r="C24" s="455">
        <v>8.9489999999999998</v>
      </c>
      <c r="D24" s="455">
        <f t="shared" si="0"/>
        <v>16.672839285714286</v>
      </c>
      <c r="E24" s="637">
        <f t="shared" si="1"/>
        <v>39.098607142857148</v>
      </c>
      <c r="U24" s="156"/>
    </row>
    <row r="25" spans="1:26">
      <c r="A25">
        <v>10113</v>
      </c>
      <c r="B25">
        <v>2100</v>
      </c>
      <c r="C25" s="455">
        <v>8.9860000000000007</v>
      </c>
      <c r="D25" s="455">
        <f t="shared" si="0"/>
        <v>16.74177380952381</v>
      </c>
      <c r="E25" s="637">
        <f t="shared" si="1"/>
        <v>39.260261904761919</v>
      </c>
      <c r="Q25" s="763"/>
      <c r="U25" s="156"/>
    </row>
    <row r="26" spans="1:26">
      <c r="A26">
        <v>10113</v>
      </c>
      <c r="B26">
        <v>2200</v>
      </c>
      <c r="C26" s="455">
        <v>8.8819999999999997</v>
      </c>
      <c r="D26" s="455">
        <f t="shared" si="0"/>
        <v>16.548011904761903</v>
      </c>
      <c r="E26" s="637">
        <f t="shared" si="1"/>
        <v>38.80588095238096</v>
      </c>
      <c r="U26" s="156"/>
    </row>
    <row r="27" spans="1:26">
      <c r="A27">
        <v>10113</v>
      </c>
      <c r="B27">
        <v>2300</v>
      </c>
      <c r="C27" s="455">
        <v>9.2140000000000004</v>
      </c>
      <c r="D27" s="455">
        <f t="shared" si="0"/>
        <v>17.166559523809525</v>
      </c>
      <c r="E27" s="637">
        <f t="shared" si="1"/>
        <v>40.256404761904776</v>
      </c>
      <c r="U27" s="156"/>
    </row>
    <row r="28" spans="1:26">
      <c r="A28">
        <v>10113</v>
      </c>
      <c r="B28">
        <v>2400</v>
      </c>
      <c r="C28" s="455">
        <v>8.7769999999999992</v>
      </c>
      <c r="D28" s="455">
        <f t="shared" si="0"/>
        <v>16.352386904761904</v>
      </c>
      <c r="E28" s="637">
        <f t="shared" si="1"/>
        <v>38.347130952380958</v>
      </c>
      <c r="U28" s="156"/>
    </row>
    <row r="29" spans="1:26">
      <c r="A29">
        <v>10213</v>
      </c>
      <c r="B29">
        <v>100</v>
      </c>
      <c r="C29" s="455">
        <v>9.1300000000000008</v>
      </c>
      <c r="D29" s="455">
        <f t="shared" si="0"/>
        <v>17.010059523809524</v>
      </c>
      <c r="E29" s="637">
        <f t="shared" si="1"/>
        <v>39.889404761904771</v>
      </c>
      <c r="U29" s="156"/>
    </row>
    <row r="30" spans="1:26">
      <c r="A30">
        <v>10213</v>
      </c>
      <c r="B30">
        <v>200</v>
      </c>
      <c r="C30" s="455">
        <v>8.766</v>
      </c>
      <c r="D30" s="455">
        <f t="shared" si="0"/>
        <v>16.331892857142858</v>
      </c>
      <c r="E30" s="637">
        <f t="shared" si="1"/>
        <v>38.299071428571438</v>
      </c>
      <c r="U30" s="156"/>
    </row>
    <row r="31" spans="1:26">
      <c r="A31">
        <v>10213</v>
      </c>
      <c r="B31">
        <v>300</v>
      </c>
      <c r="C31" s="455">
        <v>8.7690000000000001</v>
      </c>
      <c r="D31" s="455">
        <f t="shared" si="0"/>
        <v>16.337482142857144</v>
      </c>
      <c r="E31" s="637">
        <f t="shared" si="1"/>
        <v>38.312178571428582</v>
      </c>
      <c r="U31" s="156"/>
    </row>
    <row r="32" spans="1:26">
      <c r="A32">
        <v>10213</v>
      </c>
      <c r="B32">
        <v>400</v>
      </c>
      <c r="C32" s="455">
        <v>9.0180000000000007</v>
      </c>
      <c r="D32" s="455">
        <f t="shared" si="0"/>
        <v>16.801392857142858</v>
      </c>
      <c r="E32" s="637">
        <f t="shared" si="1"/>
        <v>39.400071428571444</v>
      </c>
      <c r="U32" s="156"/>
    </row>
    <row r="33" spans="1:21">
      <c r="A33">
        <v>10213</v>
      </c>
      <c r="B33">
        <v>500</v>
      </c>
      <c r="C33" s="455">
        <v>8.9060000000000006</v>
      </c>
      <c r="D33" s="455">
        <f t="shared" si="0"/>
        <v>16.592726190476192</v>
      </c>
      <c r="E33" s="637">
        <f t="shared" si="1"/>
        <v>38.910738095238109</v>
      </c>
      <c r="U33" s="156"/>
    </row>
    <row r="34" spans="1:21">
      <c r="A34">
        <v>10213</v>
      </c>
      <c r="B34">
        <v>600</v>
      </c>
      <c r="C34" s="455">
        <v>8.8640000000000008</v>
      </c>
      <c r="D34" s="455">
        <f t="shared" si="0"/>
        <v>16.514476190476191</v>
      </c>
      <c r="E34" s="637">
        <f t="shared" si="1"/>
        <v>38.727238095238107</v>
      </c>
      <c r="U34" s="156"/>
    </row>
    <row r="35" spans="1:21">
      <c r="A35">
        <v>10213</v>
      </c>
      <c r="B35">
        <v>700</v>
      </c>
      <c r="C35" s="455">
        <v>8.9429999999999996</v>
      </c>
      <c r="D35" s="455">
        <f t="shared" si="0"/>
        <v>16.661660714285713</v>
      </c>
      <c r="E35" s="637">
        <f t="shared" si="1"/>
        <v>39.072392857142866</v>
      </c>
      <c r="U35" s="156"/>
    </row>
    <row r="36" spans="1:21">
      <c r="A36">
        <v>10213</v>
      </c>
      <c r="B36">
        <v>800</v>
      </c>
      <c r="C36" s="455">
        <v>9.2439999999999998</v>
      </c>
      <c r="D36" s="455">
        <f t="shared" si="0"/>
        <v>17.22245238095238</v>
      </c>
      <c r="E36" s="637">
        <f t="shared" si="1"/>
        <v>40.3874761904762</v>
      </c>
      <c r="U36" s="156"/>
    </row>
    <row r="37" spans="1:21">
      <c r="A37">
        <v>10213</v>
      </c>
      <c r="B37">
        <v>900</v>
      </c>
      <c r="C37" s="455">
        <v>5.9530000000000003</v>
      </c>
      <c r="D37" s="455">
        <f t="shared" si="0"/>
        <v>11.091005952380954</v>
      </c>
      <c r="E37" s="637">
        <f t="shared" ref="E37:E69" si="7">(C37/(MAX($C$5:$C$748)))*$P$5</f>
        <v>26.008940476190485</v>
      </c>
      <c r="U37" s="156"/>
    </row>
    <row r="38" spans="1:21">
      <c r="A38">
        <v>10213</v>
      </c>
      <c r="B38">
        <v>1000</v>
      </c>
      <c r="C38" s="455">
        <v>7.1999999999999995E-2</v>
      </c>
      <c r="D38" s="455">
        <f t="shared" si="0"/>
        <v>0.13414285714285715</v>
      </c>
      <c r="E38" s="637">
        <f t="shared" si="7"/>
        <v>0.31457142857142861</v>
      </c>
      <c r="U38" s="156"/>
    </row>
    <row r="39" spans="1:21">
      <c r="A39">
        <v>10213</v>
      </c>
      <c r="B39">
        <v>1100</v>
      </c>
      <c r="C39" s="455">
        <v>0</v>
      </c>
      <c r="D39" s="455">
        <f t="shared" si="0"/>
        <v>0</v>
      </c>
      <c r="E39" s="637">
        <f t="shared" si="7"/>
        <v>0</v>
      </c>
      <c r="U39" s="156"/>
    </row>
    <row r="40" spans="1:21">
      <c r="A40">
        <v>10213</v>
      </c>
      <c r="B40">
        <v>1200</v>
      </c>
      <c r="C40" s="455">
        <v>2.5920000000000001</v>
      </c>
      <c r="D40" s="455">
        <f t="shared" si="0"/>
        <v>4.8291428571428572</v>
      </c>
      <c r="E40" s="637">
        <f t="shared" si="7"/>
        <v>11.324571428571431</v>
      </c>
      <c r="U40" s="156"/>
    </row>
    <row r="41" spans="1:21">
      <c r="A41">
        <v>10213</v>
      </c>
      <c r="B41">
        <v>1300</v>
      </c>
      <c r="C41" s="455">
        <v>2.9159999999999999</v>
      </c>
      <c r="D41" s="455">
        <f t="shared" si="0"/>
        <v>5.4327857142857141</v>
      </c>
      <c r="E41" s="637">
        <f t="shared" si="7"/>
        <v>12.740142857142859</v>
      </c>
      <c r="U41" s="156"/>
    </row>
    <row r="42" spans="1:21">
      <c r="A42">
        <v>10213</v>
      </c>
      <c r="B42">
        <v>1400</v>
      </c>
      <c r="C42" s="455">
        <v>2.9159999999999999</v>
      </c>
      <c r="D42" s="455">
        <f t="shared" si="0"/>
        <v>5.4327857142857141</v>
      </c>
      <c r="E42" s="637">
        <f t="shared" si="7"/>
        <v>12.740142857142859</v>
      </c>
      <c r="U42" s="156"/>
    </row>
    <row r="43" spans="1:21">
      <c r="A43">
        <v>10213</v>
      </c>
      <c r="B43">
        <v>1500</v>
      </c>
      <c r="C43" s="455">
        <v>2.8079999999999998</v>
      </c>
      <c r="D43" s="455">
        <f t="shared" si="0"/>
        <v>5.2315714285714288</v>
      </c>
      <c r="E43" s="637">
        <f t="shared" si="7"/>
        <v>12.268285714285717</v>
      </c>
      <c r="U43" s="156"/>
    </row>
    <row r="44" spans="1:21">
      <c r="A44">
        <v>10213</v>
      </c>
      <c r="B44">
        <v>1600</v>
      </c>
      <c r="C44" s="455">
        <v>3.9239999999999999</v>
      </c>
      <c r="D44" s="455">
        <f t="shared" si="0"/>
        <v>7.3107857142857142</v>
      </c>
      <c r="E44" s="637">
        <f t="shared" si="7"/>
        <v>17.14414285714286</v>
      </c>
      <c r="U44" s="156"/>
    </row>
    <row r="45" spans="1:21">
      <c r="A45">
        <v>10213</v>
      </c>
      <c r="B45">
        <v>1700</v>
      </c>
      <c r="C45" s="455">
        <v>8.0850000000000009</v>
      </c>
      <c r="D45" s="455">
        <f t="shared" si="0"/>
        <v>15.063125000000001</v>
      </c>
      <c r="E45" s="637">
        <f t="shared" si="7"/>
        <v>35.323750000000011</v>
      </c>
      <c r="U45" s="156"/>
    </row>
    <row r="46" spans="1:21">
      <c r="A46">
        <v>10213</v>
      </c>
      <c r="B46">
        <v>1800</v>
      </c>
      <c r="C46" s="455">
        <v>8.7089999999999996</v>
      </c>
      <c r="D46" s="455">
        <f t="shared" si="0"/>
        <v>16.225696428571428</v>
      </c>
      <c r="E46" s="637">
        <f t="shared" si="7"/>
        <v>38.05003571428572</v>
      </c>
      <c r="U46" s="156"/>
    </row>
    <row r="47" spans="1:21">
      <c r="A47">
        <v>10213</v>
      </c>
      <c r="B47">
        <v>1900</v>
      </c>
      <c r="C47" s="455">
        <v>8.7970000000000006</v>
      </c>
      <c r="D47" s="455">
        <f t="shared" si="0"/>
        <v>16.389648809523813</v>
      </c>
      <c r="E47" s="637">
        <f t="shared" si="7"/>
        <v>38.434511904761919</v>
      </c>
      <c r="U47" s="156"/>
    </row>
    <row r="48" spans="1:21">
      <c r="A48">
        <v>10213</v>
      </c>
      <c r="B48">
        <v>2000</v>
      </c>
      <c r="C48" s="455">
        <v>8.9469999999999992</v>
      </c>
      <c r="D48" s="455">
        <f t="shared" si="0"/>
        <v>16.669113095238096</v>
      </c>
      <c r="E48" s="637">
        <f t="shared" si="7"/>
        <v>39.089869047619054</v>
      </c>
      <c r="U48" s="156"/>
    </row>
    <row r="49" spans="1:21">
      <c r="A49">
        <v>10213</v>
      </c>
      <c r="B49">
        <v>2100</v>
      </c>
      <c r="C49" s="455">
        <v>9.06</v>
      </c>
      <c r="D49" s="455">
        <f t="shared" si="0"/>
        <v>16.879642857142859</v>
      </c>
      <c r="E49" s="637">
        <f t="shared" si="7"/>
        <v>39.583571428571439</v>
      </c>
      <c r="U49" s="156"/>
    </row>
    <row r="50" spans="1:21">
      <c r="A50">
        <v>10213</v>
      </c>
      <c r="B50">
        <v>2200</v>
      </c>
      <c r="C50" s="455">
        <v>8.7970000000000006</v>
      </c>
      <c r="D50" s="455">
        <f t="shared" si="0"/>
        <v>16.389648809523813</v>
      </c>
      <c r="E50" s="637">
        <f t="shared" si="7"/>
        <v>38.434511904761919</v>
      </c>
      <c r="U50" s="156"/>
    </row>
    <row r="51" spans="1:21">
      <c r="A51">
        <v>10213</v>
      </c>
      <c r="B51">
        <v>2300</v>
      </c>
      <c r="C51" s="455">
        <v>8.7690000000000001</v>
      </c>
      <c r="D51" s="455">
        <f t="shared" si="0"/>
        <v>16.337482142857144</v>
      </c>
      <c r="E51" s="637">
        <f t="shared" si="7"/>
        <v>38.312178571428582</v>
      </c>
      <c r="U51" s="156"/>
    </row>
    <row r="52" spans="1:21">
      <c r="A52">
        <v>10213</v>
      </c>
      <c r="B52">
        <v>2400</v>
      </c>
      <c r="C52" s="455">
        <v>8.952</v>
      </c>
      <c r="D52" s="455">
        <f t="shared" si="0"/>
        <v>16.678428571428572</v>
      </c>
      <c r="E52" s="637">
        <f t="shared" si="7"/>
        <v>39.111714285714292</v>
      </c>
      <c r="U52" s="156"/>
    </row>
    <row r="53" spans="1:21">
      <c r="A53">
        <v>10313</v>
      </c>
      <c r="B53">
        <v>100</v>
      </c>
      <c r="C53" s="455">
        <v>8.9550000000000001</v>
      </c>
      <c r="D53" s="455">
        <f t="shared" si="0"/>
        <v>16.684017857142859</v>
      </c>
      <c r="E53" s="637">
        <f t="shared" si="7"/>
        <v>39.124821428571437</v>
      </c>
    </row>
    <row r="54" spans="1:21">
      <c r="A54">
        <v>10313</v>
      </c>
      <c r="B54">
        <v>200</v>
      </c>
      <c r="C54" s="455">
        <v>9.0329999999999995</v>
      </c>
      <c r="D54" s="455">
        <f t="shared" si="0"/>
        <v>16.829339285714283</v>
      </c>
      <c r="E54" s="637">
        <f t="shared" si="7"/>
        <v>39.465607142857152</v>
      </c>
    </row>
    <row r="55" spans="1:21">
      <c r="A55">
        <v>10313</v>
      </c>
      <c r="B55">
        <v>300</v>
      </c>
      <c r="C55" s="455">
        <v>9.0530000000000008</v>
      </c>
      <c r="D55" s="455">
        <f t="shared" si="0"/>
        <v>16.866601190476192</v>
      </c>
      <c r="E55" s="637">
        <f t="shared" si="7"/>
        <v>39.552988095238106</v>
      </c>
    </row>
    <row r="56" spans="1:21">
      <c r="A56">
        <v>10313</v>
      </c>
      <c r="B56">
        <v>400</v>
      </c>
      <c r="C56" s="455">
        <v>9.2360000000000007</v>
      </c>
      <c r="D56" s="455">
        <f t="shared" si="0"/>
        <v>17.20754761904762</v>
      </c>
      <c r="E56" s="637">
        <f t="shared" si="7"/>
        <v>40.352523809523824</v>
      </c>
    </row>
    <row r="57" spans="1:21">
      <c r="A57">
        <v>10313</v>
      </c>
      <c r="B57">
        <v>500</v>
      </c>
      <c r="C57" s="455">
        <v>9.1579999999999995</v>
      </c>
      <c r="D57" s="455">
        <f t="shared" si="0"/>
        <v>17.062226190476192</v>
      </c>
      <c r="E57" s="637">
        <f t="shared" si="7"/>
        <v>40.011738095238108</v>
      </c>
    </row>
    <row r="58" spans="1:21">
      <c r="A58">
        <v>10313</v>
      </c>
      <c r="B58">
        <v>600</v>
      </c>
      <c r="C58" s="455">
        <v>8.9019999999999992</v>
      </c>
      <c r="D58" s="455">
        <f t="shared" si="0"/>
        <v>16.585273809523809</v>
      </c>
      <c r="E58" s="637">
        <f t="shared" si="7"/>
        <v>38.893261904761914</v>
      </c>
    </row>
    <row r="59" spans="1:21">
      <c r="A59">
        <v>10313</v>
      </c>
      <c r="B59">
        <v>700</v>
      </c>
      <c r="C59" s="455">
        <v>9.0090000000000003</v>
      </c>
      <c r="D59" s="455">
        <f t="shared" si="0"/>
        <v>16.784625000000002</v>
      </c>
      <c r="E59" s="637">
        <f t="shared" si="7"/>
        <v>39.36075000000001</v>
      </c>
      <c r="U59" s="459"/>
    </row>
    <row r="60" spans="1:21">
      <c r="A60">
        <v>10313</v>
      </c>
      <c r="B60">
        <v>800</v>
      </c>
      <c r="C60" s="455">
        <v>9.2379999999999995</v>
      </c>
      <c r="D60" s="455">
        <f t="shared" si="0"/>
        <v>17.21127380952381</v>
      </c>
      <c r="E60" s="637">
        <f t="shared" si="7"/>
        <v>40.361261904761911</v>
      </c>
    </row>
    <row r="61" spans="1:21">
      <c r="A61">
        <v>10313</v>
      </c>
      <c r="B61">
        <v>900</v>
      </c>
      <c r="C61" s="455">
        <v>9.9849999999999994</v>
      </c>
      <c r="D61" s="455">
        <f t="shared" si="0"/>
        <v>18.603005952380951</v>
      </c>
      <c r="E61" s="637">
        <f t="shared" si="7"/>
        <v>43.624940476190488</v>
      </c>
    </row>
    <row r="62" spans="1:21">
      <c r="A62">
        <v>10313</v>
      </c>
      <c r="B62">
        <v>1000</v>
      </c>
      <c r="C62" s="455">
        <v>5.3109999999999999</v>
      </c>
      <c r="D62" s="455">
        <f t="shared" si="0"/>
        <v>9.8948988095238093</v>
      </c>
      <c r="E62" s="637">
        <f t="shared" si="7"/>
        <v>23.204011904761909</v>
      </c>
    </row>
    <row r="63" spans="1:21">
      <c r="A63">
        <v>10313</v>
      </c>
      <c r="B63">
        <v>1100</v>
      </c>
      <c r="C63" s="455">
        <v>0.96599999999999997</v>
      </c>
      <c r="D63" s="455">
        <f t="shared" si="0"/>
        <v>1.79975</v>
      </c>
      <c r="E63" s="637">
        <f t="shared" si="7"/>
        <v>4.2205000000000004</v>
      </c>
    </row>
    <row r="64" spans="1:21">
      <c r="A64">
        <v>10313</v>
      </c>
      <c r="B64">
        <v>1200</v>
      </c>
      <c r="C64" s="455">
        <v>0.216</v>
      </c>
      <c r="D64" s="455">
        <f t="shared" si="0"/>
        <v>0.40242857142857147</v>
      </c>
      <c r="E64" s="637">
        <f t="shared" si="7"/>
        <v>0.94371428571428595</v>
      </c>
    </row>
    <row r="65" spans="1:21">
      <c r="A65">
        <v>10313</v>
      </c>
      <c r="B65">
        <v>1300</v>
      </c>
      <c r="C65" s="455">
        <v>0</v>
      </c>
      <c r="D65" s="455">
        <f t="shared" si="0"/>
        <v>0</v>
      </c>
      <c r="E65" s="637">
        <f t="shared" si="7"/>
        <v>0</v>
      </c>
    </row>
    <row r="66" spans="1:21">
      <c r="A66">
        <v>10313</v>
      </c>
      <c r="B66">
        <v>1400</v>
      </c>
      <c r="C66" s="455">
        <v>7.1999999999999995E-2</v>
      </c>
      <c r="D66" s="455">
        <f t="shared" si="0"/>
        <v>0.13414285714285715</v>
      </c>
      <c r="E66" s="637">
        <f t="shared" si="7"/>
        <v>0.31457142857142861</v>
      </c>
    </row>
    <row r="67" spans="1:21">
      <c r="A67">
        <v>10313</v>
      </c>
      <c r="B67">
        <v>1500</v>
      </c>
      <c r="C67" s="455">
        <v>1.597</v>
      </c>
      <c r="D67" s="455">
        <f t="shared" si="0"/>
        <v>2.9753630952380954</v>
      </c>
      <c r="E67" s="637">
        <f t="shared" si="7"/>
        <v>6.9773690476190495</v>
      </c>
    </row>
    <row r="68" spans="1:21">
      <c r="A68">
        <v>10313</v>
      </c>
      <c r="B68">
        <v>1600</v>
      </c>
      <c r="C68" s="455">
        <v>1.2070000000000001</v>
      </c>
      <c r="D68" s="455">
        <f t="shared" si="0"/>
        <v>2.2487559523809524</v>
      </c>
      <c r="E68" s="637">
        <f t="shared" si="7"/>
        <v>5.2734404761904781</v>
      </c>
      <c r="U68" s="459"/>
    </row>
    <row r="69" spans="1:21">
      <c r="A69">
        <v>10313</v>
      </c>
      <c r="B69">
        <v>1700</v>
      </c>
      <c r="C69" s="455">
        <v>8.1189999999999998</v>
      </c>
      <c r="D69" s="455">
        <f t="shared" si="0"/>
        <v>15.126470238095237</v>
      </c>
      <c r="E69" s="637">
        <f t="shared" si="7"/>
        <v>35.472297619047623</v>
      </c>
    </row>
    <row r="70" spans="1:21">
      <c r="A70">
        <v>10313</v>
      </c>
      <c r="B70">
        <v>1800</v>
      </c>
      <c r="C70" s="455">
        <v>8.6940000000000008</v>
      </c>
      <c r="D70" s="455">
        <f t="shared" ref="D70:D133" si="8">(C70/(MAX($C$5:$C$748)))*$W$5</f>
        <v>16.197750000000003</v>
      </c>
      <c r="E70" s="637">
        <f t="shared" ref="E70:E133" si="9">(C70/(MAX($C$5:$C$748)))*$P$5</f>
        <v>37.984500000000011</v>
      </c>
    </row>
    <row r="71" spans="1:21">
      <c r="A71">
        <v>10313</v>
      </c>
      <c r="B71">
        <v>1900</v>
      </c>
      <c r="C71" s="455">
        <v>8.7919999999999998</v>
      </c>
      <c r="D71" s="455">
        <f t="shared" si="8"/>
        <v>16.380333333333333</v>
      </c>
      <c r="E71" s="637">
        <f t="shared" si="9"/>
        <v>38.412666666666681</v>
      </c>
    </row>
    <row r="72" spans="1:21">
      <c r="A72">
        <v>10313</v>
      </c>
      <c r="B72">
        <v>2000</v>
      </c>
      <c r="C72" s="455">
        <v>9.0530000000000008</v>
      </c>
      <c r="D72" s="455">
        <f t="shared" si="8"/>
        <v>16.866601190476192</v>
      </c>
      <c r="E72" s="637">
        <f t="shared" si="9"/>
        <v>39.552988095238106</v>
      </c>
    </row>
    <row r="73" spans="1:21">
      <c r="A73">
        <v>10313</v>
      </c>
      <c r="B73">
        <v>2100</v>
      </c>
      <c r="C73" s="455">
        <v>8.984</v>
      </c>
      <c r="D73" s="455">
        <f t="shared" si="8"/>
        <v>16.73804761904762</v>
      </c>
      <c r="E73" s="637">
        <f t="shared" si="9"/>
        <v>39.251523809523817</v>
      </c>
    </row>
    <row r="74" spans="1:21">
      <c r="A74">
        <v>10313</v>
      </c>
      <c r="B74">
        <v>2200</v>
      </c>
      <c r="C74" s="455">
        <v>9.0220000000000002</v>
      </c>
      <c r="D74" s="455">
        <f t="shared" si="8"/>
        <v>16.808845238095238</v>
      </c>
      <c r="E74" s="637">
        <f t="shared" si="9"/>
        <v>39.417547619047632</v>
      </c>
    </row>
    <row r="75" spans="1:21">
      <c r="A75">
        <v>10313</v>
      </c>
      <c r="B75">
        <v>2300</v>
      </c>
      <c r="C75" s="455">
        <v>9.2100000000000009</v>
      </c>
      <c r="D75" s="455">
        <f t="shared" si="8"/>
        <v>17.159107142857145</v>
      </c>
      <c r="E75" s="637">
        <f t="shared" si="9"/>
        <v>40.238928571428588</v>
      </c>
    </row>
    <row r="76" spans="1:21">
      <c r="A76">
        <v>10313</v>
      </c>
      <c r="B76">
        <v>2400</v>
      </c>
      <c r="C76" s="455">
        <v>8.8510000000000009</v>
      </c>
      <c r="D76" s="455">
        <f t="shared" si="8"/>
        <v>16.490255952380956</v>
      </c>
      <c r="E76" s="637">
        <f t="shared" si="9"/>
        <v>38.670440476190493</v>
      </c>
    </row>
    <row r="77" spans="1:21">
      <c r="A77">
        <v>10413</v>
      </c>
      <c r="B77">
        <v>100</v>
      </c>
      <c r="C77" s="455">
        <v>8.8810000000000002</v>
      </c>
      <c r="D77" s="455">
        <f t="shared" si="8"/>
        <v>16.54614880952381</v>
      </c>
      <c r="E77" s="637">
        <f t="shared" si="9"/>
        <v>38.801511904761917</v>
      </c>
    </row>
    <row r="78" spans="1:21">
      <c r="A78">
        <v>10413</v>
      </c>
      <c r="B78">
        <v>200</v>
      </c>
      <c r="C78" s="455">
        <v>8.9169999999999998</v>
      </c>
      <c r="D78" s="455">
        <f t="shared" si="8"/>
        <v>16.613220238095238</v>
      </c>
      <c r="E78" s="637">
        <f t="shared" si="9"/>
        <v>38.95879761904763</v>
      </c>
    </row>
    <row r="79" spans="1:21">
      <c r="A79">
        <v>10413</v>
      </c>
      <c r="B79">
        <v>300</v>
      </c>
      <c r="C79" s="455">
        <v>8.7789999999999999</v>
      </c>
      <c r="D79" s="455">
        <f t="shared" si="8"/>
        <v>16.356113095238094</v>
      </c>
      <c r="E79" s="637">
        <f t="shared" si="9"/>
        <v>38.355869047619052</v>
      </c>
    </row>
    <row r="80" spans="1:21">
      <c r="A80">
        <v>10413</v>
      </c>
      <c r="B80">
        <v>400</v>
      </c>
      <c r="C80" s="455">
        <v>8.9830000000000005</v>
      </c>
      <c r="D80" s="455">
        <f t="shared" si="8"/>
        <v>16.736184523809527</v>
      </c>
      <c r="E80" s="637">
        <f t="shared" si="9"/>
        <v>39.247154761904774</v>
      </c>
    </row>
    <row r="81" spans="1:5">
      <c r="A81">
        <v>10413</v>
      </c>
      <c r="B81">
        <v>500</v>
      </c>
      <c r="C81" s="455">
        <v>8.9740000000000002</v>
      </c>
      <c r="D81" s="455">
        <f t="shared" si="8"/>
        <v>16.719416666666667</v>
      </c>
      <c r="E81" s="637">
        <f t="shared" si="9"/>
        <v>39.207833333333348</v>
      </c>
    </row>
    <row r="82" spans="1:5">
      <c r="A82">
        <v>10413</v>
      </c>
      <c r="B82">
        <v>600</v>
      </c>
      <c r="C82" s="455">
        <v>8.9689999999999994</v>
      </c>
      <c r="D82" s="455">
        <f t="shared" si="8"/>
        <v>16.710101190476191</v>
      </c>
      <c r="E82" s="637">
        <f t="shared" si="9"/>
        <v>39.185988095238102</v>
      </c>
    </row>
    <row r="83" spans="1:5">
      <c r="A83">
        <v>10413</v>
      </c>
      <c r="B83">
        <v>700</v>
      </c>
      <c r="C83" s="455">
        <v>9.2230000000000008</v>
      </c>
      <c r="D83" s="455">
        <f t="shared" si="8"/>
        <v>17.183327380952385</v>
      </c>
      <c r="E83" s="637">
        <f t="shared" si="9"/>
        <v>40.295726190476202</v>
      </c>
    </row>
    <row r="84" spans="1:5">
      <c r="A84">
        <v>10413</v>
      </c>
      <c r="B84">
        <v>800</v>
      </c>
      <c r="C84" s="455">
        <v>9.1430000000000007</v>
      </c>
      <c r="D84" s="455">
        <f t="shared" si="8"/>
        <v>17.034279761904763</v>
      </c>
      <c r="E84" s="637">
        <f t="shared" si="9"/>
        <v>39.9462023809524</v>
      </c>
    </row>
    <row r="85" spans="1:5">
      <c r="A85">
        <v>10413</v>
      </c>
      <c r="B85">
        <v>900</v>
      </c>
      <c r="C85" s="455">
        <v>5.9480000000000004</v>
      </c>
      <c r="D85" s="455">
        <f t="shared" si="8"/>
        <v>11.081690476190477</v>
      </c>
      <c r="E85" s="637">
        <f t="shared" si="9"/>
        <v>25.987095238095247</v>
      </c>
    </row>
    <row r="86" spans="1:5">
      <c r="A86">
        <v>10413</v>
      </c>
      <c r="B86">
        <v>1000</v>
      </c>
      <c r="C86" s="455">
        <v>7.1999999999999995E-2</v>
      </c>
      <c r="D86" s="455">
        <f t="shared" si="8"/>
        <v>0.13414285714285715</v>
      </c>
      <c r="E86" s="637">
        <f t="shared" si="9"/>
        <v>0.31457142857142861</v>
      </c>
    </row>
    <row r="87" spans="1:5">
      <c r="A87">
        <v>10413</v>
      </c>
      <c r="B87">
        <v>1100</v>
      </c>
      <c r="C87" s="455">
        <v>0</v>
      </c>
      <c r="D87" s="455">
        <f t="shared" si="8"/>
        <v>0</v>
      </c>
      <c r="E87" s="637">
        <f t="shared" si="9"/>
        <v>0</v>
      </c>
    </row>
    <row r="88" spans="1:5">
      <c r="A88">
        <v>10413</v>
      </c>
      <c r="B88">
        <v>1200</v>
      </c>
      <c r="C88" s="455">
        <v>0</v>
      </c>
      <c r="D88" s="455">
        <f t="shared" si="8"/>
        <v>0</v>
      </c>
      <c r="E88" s="637">
        <f t="shared" si="9"/>
        <v>0</v>
      </c>
    </row>
    <row r="89" spans="1:5">
      <c r="A89">
        <v>10413</v>
      </c>
      <c r="B89">
        <v>1300</v>
      </c>
      <c r="C89" s="455">
        <v>0</v>
      </c>
      <c r="D89" s="455">
        <f t="shared" si="8"/>
        <v>0</v>
      </c>
      <c r="E89" s="637">
        <f t="shared" si="9"/>
        <v>0</v>
      </c>
    </row>
    <row r="90" spans="1:5">
      <c r="A90">
        <v>10413</v>
      </c>
      <c r="B90">
        <v>1400</v>
      </c>
      <c r="C90" s="455">
        <v>0</v>
      </c>
      <c r="D90" s="455">
        <f t="shared" si="8"/>
        <v>0</v>
      </c>
      <c r="E90" s="637">
        <f t="shared" si="9"/>
        <v>0</v>
      </c>
    </row>
    <row r="91" spans="1:5">
      <c r="A91">
        <v>10413</v>
      </c>
      <c r="B91">
        <v>1500</v>
      </c>
      <c r="C91" s="455">
        <v>0</v>
      </c>
      <c r="D91" s="455">
        <f t="shared" si="8"/>
        <v>0</v>
      </c>
      <c r="E91" s="637">
        <f t="shared" si="9"/>
        <v>0</v>
      </c>
    </row>
    <row r="92" spans="1:5">
      <c r="A92">
        <v>10413</v>
      </c>
      <c r="B92">
        <v>1600</v>
      </c>
      <c r="C92" s="455">
        <v>0.188</v>
      </c>
      <c r="D92" s="455">
        <f t="shared" si="8"/>
        <v>0.35026190476190477</v>
      </c>
      <c r="E92" s="637">
        <f t="shared" si="9"/>
        <v>0.82138095238095266</v>
      </c>
    </row>
    <row r="93" spans="1:5">
      <c r="A93">
        <v>10413</v>
      </c>
      <c r="B93">
        <v>1700</v>
      </c>
      <c r="C93" s="455">
        <v>6.14</v>
      </c>
      <c r="D93" s="455">
        <f t="shared" si="8"/>
        <v>11.439404761904761</v>
      </c>
      <c r="E93" s="637">
        <f t="shared" si="9"/>
        <v>26.825952380952387</v>
      </c>
    </row>
    <row r="94" spans="1:5">
      <c r="A94">
        <v>10413</v>
      </c>
      <c r="B94">
        <v>1800</v>
      </c>
      <c r="C94" s="455">
        <v>8.77</v>
      </c>
      <c r="D94" s="455">
        <f t="shared" si="8"/>
        <v>16.339345238095238</v>
      </c>
      <c r="E94" s="637">
        <f t="shared" si="9"/>
        <v>38.316547619047633</v>
      </c>
    </row>
    <row r="95" spans="1:5">
      <c r="A95">
        <v>10413</v>
      </c>
      <c r="B95">
        <v>1900</v>
      </c>
      <c r="C95" s="455">
        <v>8.6820000000000004</v>
      </c>
      <c r="D95" s="455">
        <f t="shared" si="8"/>
        <v>16.17539285714286</v>
      </c>
      <c r="E95" s="637">
        <f t="shared" si="9"/>
        <v>37.93207142857144</v>
      </c>
    </row>
    <row r="96" spans="1:5">
      <c r="A96">
        <v>10413</v>
      </c>
      <c r="B96">
        <v>2000</v>
      </c>
      <c r="C96" s="455">
        <v>8.6530000000000005</v>
      </c>
      <c r="D96" s="455">
        <f t="shared" si="8"/>
        <v>16.121363095238095</v>
      </c>
      <c r="E96" s="637">
        <f t="shared" si="9"/>
        <v>37.80536904761906</v>
      </c>
    </row>
    <row r="97" spans="1:5">
      <c r="A97">
        <v>10413</v>
      </c>
      <c r="B97">
        <v>2100</v>
      </c>
      <c r="C97" s="455">
        <v>8.7710000000000008</v>
      </c>
      <c r="D97" s="455">
        <f t="shared" si="8"/>
        <v>16.341208333333334</v>
      </c>
      <c r="E97" s="637">
        <f t="shared" si="9"/>
        <v>38.320916666666683</v>
      </c>
    </row>
    <row r="98" spans="1:5">
      <c r="A98">
        <v>10413</v>
      </c>
      <c r="B98">
        <v>2200</v>
      </c>
      <c r="C98" s="455">
        <v>8.74</v>
      </c>
      <c r="D98" s="455">
        <f t="shared" si="8"/>
        <v>16.283452380952383</v>
      </c>
      <c r="E98" s="637">
        <f t="shared" si="9"/>
        <v>38.185476190476201</v>
      </c>
    </row>
    <row r="99" spans="1:5">
      <c r="A99">
        <v>10413</v>
      </c>
      <c r="B99">
        <v>2300</v>
      </c>
      <c r="C99" s="455">
        <v>8.923</v>
      </c>
      <c r="D99" s="455">
        <f t="shared" si="8"/>
        <v>16.624398809523811</v>
      </c>
      <c r="E99" s="637">
        <f t="shared" si="9"/>
        <v>38.985011904761919</v>
      </c>
    </row>
    <row r="100" spans="1:5">
      <c r="A100">
        <v>10413</v>
      </c>
      <c r="B100">
        <v>2400</v>
      </c>
      <c r="C100" s="455">
        <v>8.6620000000000008</v>
      </c>
      <c r="D100" s="455">
        <f t="shared" si="8"/>
        <v>16.138130952380955</v>
      </c>
      <c r="E100" s="637">
        <f t="shared" si="9"/>
        <v>37.844690476190486</v>
      </c>
    </row>
    <row r="101" spans="1:5">
      <c r="A101">
        <v>10513</v>
      </c>
      <c r="B101">
        <v>100</v>
      </c>
      <c r="C101" s="455">
        <v>8.7430000000000003</v>
      </c>
      <c r="D101" s="455">
        <f t="shared" si="8"/>
        <v>16.28904166666667</v>
      </c>
      <c r="E101" s="637">
        <f t="shared" si="9"/>
        <v>38.198583333333346</v>
      </c>
    </row>
    <row r="102" spans="1:5">
      <c r="A102">
        <v>10513</v>
      </c>
      <c r="B102">
        <v>200</v>
      </c>
      <c r="C102" s="455">
        <v>8.5860000000000003</v>
      </c>
      <c r="D102" s="455">
        <f t="shared" si="8"/>
        <v>15.996535714285715</v>
      </c>
      <c r="E102" s="637">
        <f t="shared" si="9"/>
        <v>37.512642857142865</v>
      </c>
    </row>
    <row r="103" spans="1:5">
      <c r="A103">
        <v>10513</v>
      </c>
      <c r="B103">
        <v>300</v>
      </c>
      <c r="C103" s="455">
        <v>8.9079999999999995</v>
      </c>
      <c r="D103" s="455">
        <f t="shared" si="8"/>
        <v>16.596452380952378</v>
      </c>
      <c r="E103" s="637">
        <f t="shared" si="9"/>
        <v>38.919476190476196</v>
      </c>
    </row>
    <row r="104" spans="1:5">
      <c r="A104">
        <v>10513</v>
      </c>
      <c r="B104">
        <v>400</v>
      </c>
      <c r="C104" s="455">
        <v>8.6270000000000007</v>
      </c>
      <c r="D104" s="455">
        <f t="shared" si="8"/>
        <v>16.07292261904762</v>
      </c>
      <c r="E104" s="637">
        <f t="shared" si="9"/>
        <v>37.691773809523824</v>
      </c>
    </row>
    <row r="105" spans="1:5">
      <c r="A105">
        <v>10513</v>
      </c>
      <c r="B105">
        <v>500</v>
      </c>
      <c r="C105" s="455">
        <v>8.9860000000000007</v>
      </c>
      <c r="D105" s="455">
        <f t="shared" si="8"/>
        <v>16.74177380952381</v>
      </c>
      <c r="E105" s="637">
        <f t="shared" si="9"/>
        <v>39.260261904761919</v>
      </c>
    </row>
    <row r="106" spans="1:5">
      <c r="A106">
        <v>10513</v>
      </c>
      <c r="B106">
        <v>600</v>
      </c>
      <c r="C106" s="455">
        <v>8.6229999999999993</v>
      </c>
      <c r="D106" s="455">
        <f t="shared" si="8"/>
        <v>16.065470238095237</v>
      </c>
      <c r="E106" s="637">
        <f t="shared" si="9"/>
        <v>37.674297619047628</v>
      </c>
    </row>
    <row r="107" spans="1:5">
      <c r="A107">
        <v>10513</v>
      </c>
      <c r="B107">
        <v>700</v>
      </c>
      <c r="C107" s="455">
        <v>8.7970000000000006</v>
      </c>
      <c r="D107" s="455">
        <f t="shared" si="8"/>
        <v>16.389648809523813</v>
      </c>
      <c r="E107" s="637">
        <f t="shared" si="9"/>
        <v>38.434511904761919</v>
      </c>
    </row>
    <row r="108" spans="1:5">
      <c r="A108">
        <v>10513</v>
      </c>
      <c r="B108">
        <v>800</v>
      </c>
      <c r="C108" s="455">
        <v>8.8409999999999993</v>
      </c>
      <c r="D108" s="455">
        <f t="shared" si="8"/>
        <v>16.471625</v>
      </c>
      <c r="E108" s="637">
        <f t="shared" si="9"/>
        <v>38.626750000000008</v>
      </c>
    </row>
    <row r="109" spans="1:5">
      <c r="A109">
        <v>10513</v>
      </c>
      <c r="B109">
        <v>900</v>
      </c>
      <c r="C109" s="455">
        <v>6.9359999999999999</v>
      </c>
      <c r="D109" s="455">
        <f t="shared" si="8"/>
        <v>12.92242857142857</v>
      </c>
      <c r="E109" s="637">
        <f t="shared" si="9"/>
        <v>30.303714285714292</v>
      </c>
    </row>
    <row r="110" spans="1:5">
      <c r="A110">
        <v>10513</v>
      </c>
      <c r="B110">
        <v>1000</v>
      </c>
      <c r="C110" s="455">
        <v>0.01</v>
      </c>
      <c r="D110" s="455">
        <f t="shared" si="8"/>
        <v>1.863095238095238E-2</v>
      </c>
      <c r="E110" s="637">
        <f t="shared" si="9"/>
        <v>4.3690476190476203E-2</v>
      </c>
    </row>
    <row r="111" spans="1:5">
      <c r="A111">
        <v>10513</v>
      </c>
      <c r="B111">
        <v>1100</v>
      </c>
      <c r="C111" s="455">
        <v>1E-3</v>
      </c>
      <c r="D111" s="455">
        <f t="shared" si="8"/>
        <v>1.8630952380952381E-3</v>
      </c>
      <c r="E111" s="637">
        <f t="shared" si="9"/>
        <v>4.3690476190476205E-3</v>
      </c>
    </row>
    <row r="112" spans="1:5">
      <c r="A112">
        <v>10513</v>
      </c>
      <c r="B112">
        <v>1200</v>
      </c>
      <c r="C112" s="455">
        <v>0</v>
      </c>
      <c r="D112" s="455">
        <f t="shared" si="8"/>
        <v>0</v>
      </c>
      <c r="E112" s="637">
        <f t="shared" si="9"/>
        <v>0</v>
      </c>
    </row>
    <row r="113" spans="1:5">
      <c r="A113">
        <v>10513</v>
      </c>
      <c r="B113">
        <v>1300</v>
      </c>
      <c r="C113" s="455">
        <v>0</v>
      </c>
      <c r="D113" s="455">
        <f t="shared" si="8"/>
        <v>0</v>
      </c>
      <c r="E113" s="637">
        <f t="shared" si="9"/>
        <v>0</v>
      </c>
    </row>
    <row r="114" spans="1:5">
      <c r="A114">
        <v>10513</v>
      </c>
      <c r="B114">
        <v>1400</v>
      </c>
      <c r="C114" s="455">
        <v>0</v>
      </c>
      <c r="D114" s="455">
        <f t="shared" si="8"/>
        <v>0</v>
      </c>
      <c r="E114" s="637">
        <f t="shared" si="9"/>
        <v>0</v>
      </c>
    </row>
    <row r="115" spans="1:5">
      <c r="A115">
        <v>10513</v>
      </c>
      <c r="B115">
        <v>1500</v>
      </c>
      <c r="C115" s="455">
        <v>0</v>
      </c>
      <c r="D115" s="455">
        <f t="shared" si="8"/>
        <v>0</v>
      </c>
      <c r="E115" s="637">
        <f t="shared" si="9"/>
        <v>0</v>
      </c>
    </row>
    <row r="116" spans="1:5">
      <c r="A116">
        <v>10513</v>
      </c>
      <c r="B116">
        <v>1600</v>
      </c>
      <c r="C116" s="455">
        <v>1.2E-2</v>
      </c>
      <c r="D116" s="455">
        <f t="shared" si="8"/>
        <v>2.2357142857142857E-2</v>
      </c>
      <c r="E116" s="637">
        <f t="shared" si="9"/>
        <v>5.2428571428571442E-2</v>
      </c>
    </row>
    <row r="117" spans="1:5">
      <c r="A117">
        <v>10513</v>
      </c>
      <c r="B117">
        <v>1700</v>
      </c>
      <c r="C117" s="455">
        <v>6.694</v>
      </c>
      <c r="D117" s="455">
        <f t="shared" si="8"/>
        <v>12.471559523809525</v>
      </c>
      <c r="E117" s="637">
        <f t="shared" si="9"/>
        <v>29.24640476190477</v>
      </c>
    </row>
    <row r="118" spans="1:5">
      <c r="A118">
        <v>10513</v>
      </c>
      <c r="B118">
        <v>1800</v>
      </c>
      <c r="C118" s="455">
        <v>8.2070000000000007</v>
      </c>
      <c r="D118" s="455">
        <f t="shared" si="8"/>
        <v>15.290422619047622</v>
      </c>
      <c r="E118" s="637">
        <f t="shared" si="9"/>
        <v>35.856773809523823</v>
      </c>
    </row>
    <row r="119" spans="1:5">
      <c r="A119">
        <v>10513</v>
      </c>
      <c r="B119">
        <v>1900</v>
      </c>
      <c r="C119" s="455">
        <v>8.4789999999999992</v>
      </c>
      <c r="D119" s="455">
        <f t="shared" si="8"/>
        <v>15.797184523809523</v>
      </c>
      <c r="E119" s="637">
        <f t="shared" si="9"/>
        <v>37.045154761904769</v>
      </c>
    </row>
    <row r="120" spans="1:5">
      <c r="A120">
        <v>10513</v>
      </c>
      <c r="B120">
        <v>2000</v>
      </c>
      <c r="C120" s="455">
        <v>8.5579999999999998</v>
      </c>
      <c r="D120" s="455">
        <f t="shared" si="8"/>
        <v>15.944369047619046</v>
      </c>
      <c r="E120" s="637">
        <f t="shared" si="9"/>
        <v>37.390309523809528</v>
      </c>
    </row>
    <row r="121" spans="1:5">
      <c r="A121">
        <v>10513</v>
      </c>
      <c r="B121">
        <v>2100</v>
      </c>
      <c r="C121" s="455">
        <v>8.5990000000000002</v>
      </c>
      <c r="D121" s="455">
        <f t="shared" si="8"/>
        <v>16.020755952380952</v>
      </c>
      <c r="E121" s="637">
        <f t="shared" si="9"/>
        <v>37.569440476190486</v>
      </c>
    </row>
    <row r="122" spans="1:5">
      <c r="A122">
        <v>10513</v>
      </c>
      <c r="B122">
        <v>2200</v>
      </c>
      <c r="C122" s="455">
        <v>8.6010000000000009</v>
      </c>
      <c r="D122" s="455">
        <f t="shared" si="8"/>
        <v>16.024482142857146</v>
      </c>
      <c r="E122" s="637">
        <f t="shared" si="9"/>
        <v>37.578178571428587</v>
      </c>
    </row>
    <row r="123" spans="1:5">
      <c r="A123">
        <v>10513</v>
      </c>
      <c r="B123">
        <v>2300</v>
      </c>
      <c r="C123" s="455">
        <v>8.6750000000000007</v>
      </c>
      <c r="D123" s="455">
        <f t="shared" si="8"/>
        <v>16.162351190476191</v>
      </c>
      <c r="E123" s="637">
        <f t="shared" si="9"/>
        <v>37.901488095238108</v>
      </c>
    </row>
    <row r="124" spans="1:5">
      <c r="A124">
        <v>10513</v>
      </c>
      <c r="B124">
        <v>2400</v>
      </c>
      <c r="C124" s="455">
        <v>8.6760000000000002</v>
      </c>
      <c r="D124" s="455">
        <f t="shared" si="8"/>
        <v>16.164214285714287</v>
      </c>
      <c r="E124" s="637">
        <f t="shared" si="9"/>
        <v>37.905857142857158</v>
      </c>
    </row>
    <row r="125" spans="1:5">
      <c r="A125">
        <v>10613</v>
      </c>
      <c r="B125">
        <v>100</v>
      </c>
      <c r="C125" s="455">
        <v>8.673</v>
      </c>
      <c r="D125" s="455">
        <f t="shared" si="8"/>
        <v>16.158625000000001</v>
      </c>
      <c r="E125" s="637">
        <f t="shared" si="9"/>
        <v>37.892750000000014</v>
      </c>
    </row>
    <row r="126" spans="1:5">
      <c r="A126">
        <v>10613</v>
      </c>
      <c r="B126">
        <v>200</v>
      </c>
      <c r="C126" s="455">
        <v>8.6310000000000002</v>
      </c>
      <c r="D126" s="455">
        <f t="shared" si="8"/>
        <v>16.080375</v>
      </c>
      <c r="E126" s="637">
        <f t="shared" si="9"/>
        <v>37.709250000000011</v>
      </c>
    </row>
    <row r="127" spans="1:5">
      <c r="A127">
        <v>10613</v>
      </c>
      <c r="B127">
        <v>300</v>
      </c>
      <c r="C127" s="455">
        <v>8.6709999999999994</v>
      </c>
      <c r="D127" s="455">
        <f t="shared" si="8"/>
        <v>16.154898809523807</v>
      </c>
      <c r="E127" s="637">
        <f t="shared" si="9"/>
        <v>37.884011904761913</v>
      </c>
    </row>
    <row r="128" spans="1:5">
      <c r="A128">
        <v>10613</v>
      </c>
      <c r="B128">
        <v>400</v>
      </c>
      <c r="C128" s="455">
        <v>9.0039999999999996</v>
      </c>
      <c r="D128" s="455">
        <f t="shared" si="8"/>
        <v>16.775309523809522</v>
      </c>
      <c r="E128" s="637">
        <f t="shared" si="9"/>
        <v>39.338904761904772</v>
      </c>
    </row>
    <row r="129" spans="1:5">
      <c r="A129">
        <v>10613</v>
      </c>
      <c r="B129">
        <v>500</v>
      </c>
      <c r="C129" s="455">
        <v>8.7390000000000008</v>
      </c>
      <c r="D129" s="455">
        <f t="shared" si="8"/>
        <v>16.28158928571429</v>
      </c>
      <c r="E129" s="637">
        <f t="shared" si="9"/>
        <v>38.181107142857158</v>
      </c>
    </row>
    <row r="130" spans="1:5">
      <c r="A130">
        <v>10613</v>
      </c>
      <c r="B130">
        <v>600</v>
      </c>
      <c r="C130" s="455">
        <v>9.4130000000000003</v>
      </c>
      <c r="D130" s="455">
        <f t="shared" si="8"/>
        <v>17.537315476190475</v>
      </c>
      <c r="E130" s="637">
        <f t="shared" si="9"/>
        <v>41.125845238095252</v>
      </c>
    </row>
    <row r="131" spans="1:5">
      <c r="A131">
        <v>10613</v>
      </c>
      <c r="B131">
        <v>700</v>
      </c>
      <c r="C131" s="455">
        <v>8.9149999999999991</v>
      </c>
      <c r="D131" s="455">
        <f t="shared" si="8"/>
        <v>16.609494047619048</v>
      </c>
      <c r="E131" s="637">
        <f t="shared" si="9"/>
        <v>38.950059523809529</v>
      </c>
    </row>
    <row r="132" spans="1:5">
      <c r="A132">
        <v>10613</v>
      </c>
      <c r="B132">
        <v>800</v>
      </c>
      <c r="C132" s="455">
        <v>9.3339999999999996</v>
      </c>
      <c r="D132" s="455">
        <f t="shared" si="8"/>
        <v>17.39013095238095</v>
      </c>
      <c r="E132" s="637">
        <f t="shared" si="9"/>
        <v>40.780690476190486</v>
      </c>
    </row>
    <row r="133" spans="1:5">
      <c r="A133">
        <v>10613</v>
      </c>
      <c r="B133">
        <v>900</v>
      </c>
      <c r="C133" s="455">
        <v>6.7450000000000001</v>
      </c>
      <c r="D133" s="455">
        <f t="shared" si="8"/>
        <v>12.566577380952381</v>
      </c>
      <c r="E133" s="637">
        <f t="shared" si="9"/>
        <v>29.469226190476199</v>
      </c>
    </row>
    <row r="134" spans="1:5">
      <c r="A134">
        <v>10613</v>
      </c>
      <c r="B134">
        <v>1000</v>
      </c>
      <c r="C134" s="455">
        <v>2.8079999999999998</v>
      </c>
      <c r="D134" s="455">
        <f t="shared" ref="D134:D197" si="10">(C134/(MAX($C$5:$C$748)))*$W$5</f>
        <v>5.2315714285714288</v>
      </c>
      <c r="E134" s="637">
        <f t="shared" ref="E134:E197" si="11">(C134/(MAX($C$5:$C$748)))*$P$5</f>
        <v>12.268285714285717</v>
      </c>
    </row>
    <row r="135" spans="1:5">
      <c r="A135">
        <v>10613</v>
      </c>
      <c r="B135">
        <v>1100</v>
      </c>
      <c r="C135" s="455">
        <v>0</v>
      </c>
      <c r="D135" s="455">
        <f t="shared" si="10"/>
        <v>0</v>
      </c>
      <c r="E135" s="637">
        <f t="shared" si="11"/>
        <v>0</v>
      </c>
    </row>
    <row r="136" spans="1:5">
      <c r="A136">
        <v>10613</v>
      </c>
      <c r="B136">
        <v>1200</v>
      </c>
      <c r="C136" s="455">
        <v>0</v>
      </c>
      <c r="D136" s="455">
        <f t="shared" si="10"/>
        <v>0</v>
      </c>
      <c r="E136" s="637">
        <f t="shared" si="11"/>
        <v>0</v>
      </c>
    </row>
    <row r="137" spans="1:5">
      <c r="A137">
        <v>10613</v>
      </c>
      <c r="B137">
        <v>1300</v>
      </c>
      <c r="C137" s="455">
        <v>0</v>
      </c>
      <c r="D137" s="455">
        <f t="shared" si="10"/>
        <v>0</v>
      </c>
      <c r="E137" s="637">
        <f t="shared" si="11"/>
        <v>0</v>
      </c>
    </row>
    <row r="138" spans="1:5">
      <c r="A138">
        <v>10613</v>
      </c>
      <c r="B138">
        <v>1400</v>
      </c>
      <c r="C138" s="455">
        <v>0</v>
      </c>
      <c r="D138" s="455">
        <f t="shared" si="10"/>
        <v>0</v>
      </c>
      <c r="E138" s="637">
        <f t="shared" si="11"/>
        <v>0</v>
      </c>
    </row>
    <row r="139" spans="1:5">
      <c r="A139">
        <v>10613</v>
      </c>
      <c r="B139">
        <v>1500</v>
      </c>
      <c r="C139" s="455">
        <v>0</v>
      </c>
      <c r="D139" s="455">
        <f t="shared" si="10"/>
        <v>0</v>
      </c>
      <c r="E139" s="637">
        <f t="shared" si="11"/>
        <v>0</v>
      </c>
    </row>
    <row r="140" spans="1:5">
      <c r="A140">
        <v>10613</v>
      </c>
      <c r="B140">
        <v>1600</v>
      </c>
      <c r="C140" s="455">
        <v>0</v>
      </c>
      <c r="D140" s="455">
        <f t="shared" si="10"/>
        <v>0</v>
      </c>
      <c r="E140" s="637">
        <f t="shared" si="11"/>
        <v>0</v>
      </c>
    </row>
    <row r="141" spans="1:5">
      <c r="A141">
        <v>10613</v>
      </c>
      <c r="B141">
        <v>1700</v>
      </c>
      <c r="C141" s="455">
        <v>2.093</v>
      </c>
      <c r="D141" s="455">
        <f t="shared" si="10"/>
        <v>3.899458333333333</v>
      </c>
      <c r="E141" s="637">
        <f t="shared" si="11"/>
        <v>9.1444166666666682</v>
      </c>
    </row>
    <row r="142" spans="1:5">
      <c r="A142">
        <v>10613</v>
      </c>
      <c r="B142">
        <v>1800</v>
      </c>
      <c r="C142" s="455">
        <v>8.8520000000000003</v>
      </c>
      <c r="D142" s="455">
        <f t="shared" si="10"/>
        <v>16.492119047619049</v>
      </c>
      <c r="E142" s="637">
        <f t="shared" si="11"/>
        <v>38.674809523809536</v>
      </c>
    </row>
    <row r="143" spans="1:5">
      <c r="A143">
        <v>10613</v>
      </c>
      <c r="B143">
        <v>1900</v>
      </c>
      <c r="C143" s="455">
        <v>8.359</v>
      </c>
      <c r="D143" s="455">
        <f t="shared" si="10"/>
        <v>15.573613095238095</v>
      </c>
      <c r="E143" s="637">
        <f t="shared" si="11"/>
        <v>36.520869047619058</v>
      </c>
    </row>
    <row r="144" spans="1:5">
      <c r="A144">
        <v>10613</v>
      </c>
      <c r="B144">
        <v>2000</v>
      </c>
      <c r="C144" s="455">
        <v>8.3309999999999995</v>
      </c>
      <c r="D144" s="455">
        <f t="shared" si="10"/>
        <v>15.521446428571428</v>
      </c>
      <c r="E144" s="637">
        <f t="shared" si="11"/>
        <v>36.398535714285721</v>
      </c>
    </row>
    <row r="145" spans="1:5">
      <c r="A145">
        <v>10613</v>
      </c>
      <c r="B145">
        <v>2100</v>
      </c>
      <c r="C145" s="455">
        <v>8.5839999999999996</v>
      </c>
      <c r="D145" s="455">
        <f t="shared" si="10"/>
        <v>15.992809523809525</v>
      </c>
      <c r="E145" s="637">
        <f t="shared" si="11"/>
        <v>37.503904761904771</v>
      </c>
    </row>
    <row r="146" spans="1:5">
      <c r="A146">
        <v>10613</v>
      </c>
      <c r="B146">
        <v>2200</v>
      </c>
      <c r="C146" s="455">
        <v>8.5920000000000005</v>
      </c>
      <c r="D146" s="455">
        <f t="shared" si="10"/>
        <v>16.007714285714286</v>
      </c>
      <c r="E146" s="637">
        <f t="shared" si="11"/>
        <v>37.538857142857154</v>
      </c>
    </row>
    <row r="147" spans="1:5">
      <c r="A147">
        <v>10613</v>
      </c>
      <c r="B147">
        <v>2300</v>
      </c>
      <c r="C147" s="455">
        <v>8.7029999999999994</v>
      </c>
      <c r="D147" s="455">
        <f t="shared" si="10"/>
        <v>16.214517857142855</v>
      </c>
      <c r="E147" s="637">
        <f t="shared" si="11"/>
        <v>38.023821428571431</v>
      </c>
    </row>
    <row r="148" spans="1:5">
      <c r="A148">
        <v>10613</v>
      </c>
      <c r="B148">
        <v>2400</v>
      </c>
      <c r="C148" s="455">
        <v>8.6630000000000003</v>
      </c>
      <c r="D148" s="455">
        <f t="shared" si="10"/>
        <v>16.139994047619048</v>
      </c>
      <c r="E148" s="637">
        <f t="shared" si="11"/>
        <v>37.849059523809537</v>
      </c>
    </row>
    <row r="149" spans="1:5">
      <c r="A149">
        <v>10713</v>
      </c>
      <c r="B149">
        <v>100</v>
      </c>
      <c r="C149" s="455">
        <v>8.8490000000000002</v>
      </c>
      <c r="D149" s="455">
        <f t="shared" si="10"/>
        <v>16.486529761904762</v>
      </c>
      <c r="E149" s="637">
        <f t="shared" si="11"/>
        <v>38.661702380952391</v>
      </c>
    </row>
    <row r="150" spans="1:5">
      <c r="A150">
        <v>10713</v>
      </c>
      <c r="B150">
        <v>200</v>
      </c>
      <c r="C150" s="455">
        <v>8.9420000000000002</v>
      </c>
      <c r="D150" s="455">
        <f t="shared" si="10"/>
        <v>16.65979761904762</v>
      </c>
      <c r="E150" s="637">
        <f t="shared" si="11"/>
        <v>39.068023809523822</v>
      </c>
    </row>
    <row r="151" spans="1:5">
      <c r="A151">
        <v>10713</v>
      </c>
      <c r="B151">
        <v>300</v>
      </c>
      <c r="C151" s="455">
        <v>9.0850000000000009</v>
      </c>
      <c r="D151" s="455">
        <f t="shared" si="10"/>
        <v>16.92622023809524</v>
      </c>
      <c r="E151" s="637">
        <f t="shared" si="11"/>
        <v>39.692797619047631</v>
      </c>
    </row>
    <row r="152" spans="1:5">
      <c r="A152">
        <v>10713</v>
      </c>
      <c r="B152">
        <v>400</v>
      </c>
      <c r="C152" s="455">
        <v>9.0120000000000005</v>
      </c>
      <c r="D152" s="455">
        <f t="shared" si="10"/>
        <v>16.790214285714285</v>
      </c>
      <c r="E152" s="637">
        <f t="shared" si="11"/>
        <v>39.373857142857155</v>
      </c>
    </row>
    <row r="153" spans="1:5">
      <c r="A153">
        <v>10713</v>
      </c>
      <c r="B153">
        <v>500</v>
      </c>
      <c r="C153" s="455">
        <v>8.8249999999999993</v>
      </c>
      <c r="D153" s="455">
        <f t="shared" si="10"/>
        <v>16.441815476190474</v>
      </c>
      <c r="E153" s="637">
        <f t="shared" si="11"/>
        <v>38.556845238095242</v>
      </c>
    </row>
    <row r="154" spans="1:5">
      <c r="A154">
        <v>10713</v>
      </c>
      <c r="B154">
        <v>600</v>
      </c>
      <c r="C154" s="455">
        <v>9.1120000000000001</v>
      </c>
      <c r="D154" s="455">
        <f t="shared" si="10"/>
        <v>16.976523809523812</v>
      </c>
      <c r="E154" s="637">
        <f t="shared" si="11"/>
        <v>39.810761904761918</v>
      </c>
    </row>
    <row r="155" spans="1:5">
      <c r="A155">
        <v>10713</v>
      </c>
      <c r="B155">
        <v>700</v>
      </c>
      <c r="C155" s="455">
        <v>8.9320000000000004</v>
      </c>
      <c r="D155" s="455">
        <f t="shared" si="10"/>
        <v>16.641166666666667</v>
      </c>
      <c r="E155" s="637">
        <f t="shared" si="11"/>
        <v>39.024333333333345</v>
      </c>
    </row>
    <row r="156" spans="1:5">
      <c r="A156">
        <v>10713</v>
      </c>
      <c r="B156">
        <v>800</v>
      </c>
      <c r="C156" s="455">
        <v>8.7070000000000007</v>
      </c>
      <c r="D156" s="455">
        <f t="shared" si="10"/>
        <v>16.221970238095238</v>
      </c>
      <c r="E156" s="637">
        <f t="shared" si="11"/>
        <v>38.041297619047633</v>
      </c>
    </row>
    <row r="157" spans="1:5">
      <c r="A157">
        <v>10713</v>
      </c>
      <c r="B157">
        <v>900</v>
      </c>
      <c r="C157" s="455">
        <v>0.42699999999999999</v>
      </c>
      <c r="D157" s="455">
        <f t="shared" si="10"/>
        <v>0.79554166666666659</v>
      </c>
      <c r="E157" s="637">
        <f t="shared" si="11"/>
        <v>1.8655833333333336</v>
      </c>
    </row>
    <row r="158" spans="1:5">
      <c r="A158">
        <v>10713</v>
      </c>
      <c r="B158">
        <v>1000</v>
      </c>
      <c r="C158" s="455">
        <v>0</v>
      </c>
      <c r="D158" s="455">
        <f t="shared" si="10"/>
        <v>0</v>
      </c>
      <c r="E158" s="637">
        <f t="shared" si="11"/>
        <v>0</v>
      </c>
    </row>
    <row r="159" spans="1:5">
      <c r="A159">
        <v>10713</v>
      </c>
      <c r="B159">
        <v>1100</v>
      </c>
      <c r="C159" s="455">
        <v>0</v>
      </c>
      <c r="D159" s="455">
        <f t="shared" si="10"/>
        <v>0</v>
      </c>
      <c r="E159" s="637">
        <f t="shared" si="11"/>
        <v>0</v>
      </c>
    </row>
    <row r="160" spans="1:5">
      <c r="A160">
        <v>10713</v>
      </c>
      <c r="B160">
        <v>1200</v>
      </c>
      <c r="C160" s="455">
        <v>0</v>
      </c>
      <c r="D160" s="455">
        <f t="shared" si="10"/>
        <v>0</v>
      </c>
      <c r="E160" s="637">
        <f t="shared" si="11"/>
        <v>0</v>
      </c>
    </row>
    <row r="161" spans="1:5">
      <c r="A161">
        <v>10713</v>
      </c>
      <c r="B161">
        <v>1300</v>
      </c>
      <c r="C161" s="455">
        <v>0</v>
      </c>
      <c r="D161" s="455">
        <f t="shared" si="10"/>
        <v>0</v>
      </c>
      <c r="E161" s="637">
        <f t="shared" si="11"/>
        <v>0</v>
      </c>
    </row>
    <row r="162" spans="1:5">
      <c r="A162">
        <v>10713</v>
      </c>
      <c r="B162">
        <v>1400</v>
      </c>
      <c r="C162" s="455">
        <v>0</v>
      </c>
      <c r="D162" s="455">
        <f t="shared" si="10"/>
        <v>0</v>
      </c>
      <c r="E162" s="637">
        <f t="shared" si="11"/>
        <v>0</v>
      </c>
    </row>
    <row r="163" spans="1:5">
      <c r="A163">
        <v>10713</v>
      </c>
      <c r="B163">
        <v>1500</v>
      </c>
      <c r="C163" s="455">
        <v>0</v>
      </c>
      <c r="D163" s="455">
        <f t="shared" si="10"/>
        <v>0</v>
      </c>
      <c r="E163" s="637">
        <f t="shared" si="11"/>
        <v>0</v>
      </c>
    </row>
    <row r="164" spans="1:5">
      <c r="A164">
        <v>10713</v>
      </c>
      <c r="B164">
        <v>1600</v>
      </c>
      <c r="C164" s="455">
        <v>0</v>
      </c>
      <c r="D164" s="455">
        <f t="shared" si="10"/>
        <v>0</v>
      </c>
      <c r="E164" s="637">
        <f t="shared" si="11"/>
        <v>0</v>
      </c>
    </row>
    <row r="165" spans="1:5">
      <c r="A165">
        <v>10713</v>
      </c>
      <c r="B165">
        <v>1700</v>
      </c>
      <c r="C165" s="455">
        <v>1.145</v>
      </c>
      <c r="D165" s="455">
        <f t="shared" si="10"/>
        <v>2.1332440476190477</v>
      </c>
      <c r="E165" s="637">
        <f t="shared" si="11"/>
        <v>5.0025595238095253</v>
      </c>
    </row>
    <row r="166" spans="1:5">
      <c r="A166">
        <v>10713</v>
      </c>
      <c r="B166">
        <v>1800</v>
      </c>
      <c r="C166" s="455">
        <v>9.6159999999999997</v>
      </c>
      <c r="D166" s="455">
        <f t="shared" si="10"/>
        <v>17.915523809523808</v>
      </c>
      <c r="E166" s="637">
        <f t="shared" si="11"/>
        <v>42.012761904761916</v>
      </c>
    </row>
    <row r="167" spans="1:5">
      <c r="A167">
        <v>10713</v>
      </c>
      <c r="B167">
        <v>1900</v>
      </c>
      <c r="C167" s="455">
        <v>8.6539999999999999</v>
      </c>
      <c r="D167" s="455">
        <f t="shared" si="10"/>
        <v>16.123226190476192</v>
      </c>
      <c r="E167" s="637">
        <f t="shared" si="11"/>
        <v>37.809738095238103</v>
      </c>
    </row>
    <row r="168" spans="1:5">
      <c r="A168">
        <v>10713</v>
      </c>
      <c r="B168">
        <v>2000</v>
      </c>
      <c r="C168" s="455">
        <v>8.6579999999999995</v>
      </c>
      <c r="D168" s="455">
        <f t="shared" si="10"/>
        <v>16.130678571428572</v>
      </c>
      <c r="E168" s="637">
        <f t="shared" si="11"/>
        <v>37.827214285714291</v>
      </c>
    </row>
    <row r="169" spans="1:5">
      <c r="A169">
        <v>10713</v>
      </c>
      <c r="B169">
        <v>2100</v>
      </c>
      <c r="C169" s="455">
        <v>8.734</v>
      </c>
      <c r="D169" s="455">
        <f t="shared" si="10"/>
        <v>16.27227380952381</v>
      </c>
      <c r="E169" s="637">
        <f t="shared" si="11"/>
        <v>38.159261904761912</v>
      </c>
    </row>
    <row r="170" spans="1:5">
      <c r="A170">
        <v>10713</v>
      </c>
      <c r="B170">
        <v>2200</v>
      </c>
      <c r="C170" s="455">
        <v>8.8480000000000008</v>
      </c>
      <c r="D170" s="455">
        <f t="shared" si="10"/>
        <v>16.484666666666669</v>
      </c>
      <c r="E170" s="637">
        <f t="shared" si="11"/>
        <v>38.657333333333348</v>
      </c>
    </row>
    <row r="171" spans="1:5">
      <c r="A171">
        <v>10713</v>
      </c>
      <c r="B171">
        <v>2300</v>
      </c>
      <c r="C171" s="455">
        <v>8.8510000000000009</v>
      </c>
      <c r="D171" s="455">
        <f t="shared" si="10"/>
        <v>16.490255952380956</v>
      </c>
      <c r="E171" s="637">
        <f t="shared" si="11"/>
        <v>38.670440476190493</v>
      </c>
    </row>
    <row r="172" spans="1:5">
      <c r="A172">
        <v>10713</v>
      </c>
      <c r="B172">
        <v>2400</v>
      </c>
      <c r="C172" s="455">
        <v>8.9949999999999992</v>
      </c>
      <c r="D172" s="455">
        <f t="shared" si="10"/>
        <v>16.758541666666666</v>
      </c>
      <c r="E172" s="637">
        <f t="shared" si="11"/>
        <v>39.299583333333338</v>
      </c>
    </row>
    <row r="173" spans="1:5">
      <c r="A173">
        <v>10813</v>
      </c>
      <c r="B173">
        <v>100</v>
      </c>
      <c r="C173" s="455">
        <v>8.7390000000000008</v>
      </c>
      <c r="D173" s="455">
        <f t="shared" si="10"/>
        <v>16.28158928571429</v>
      </c>
      <c r="E173" s="637">
        <f t="shared" si="11"/>
        <v>38.181107142857158</v>
      </c>
    </row>
    <row r="174" spans="1:5">
      <c r="A174">
        <v>10813</v>
      </c>
      <c r="B174">
        <v>200</v>
      </c>
      <c r="C174" s="455">
        <v>8.9260000000000002</v>
      </c>
      <c r="D174" s="455">
        <f t="shared" si="10"/>
        <v>16.629988095238097</v>
      </c>
      <c r="E174" s="637">
        <f t="shared" si="11"/>
        <v>38.998119047619056</v>
      </c>
    </row>
    <row r="175" spans="1:5">
      <c r="A175">
        <v>10813</v>
      </c>
      <c r="B175">
        <v>300</v>
      </c>
      <c r="C175" s="455">
        <v>8.9329999999999998</v>
      </c>
      <c r="D175" s="455">
        <f t="shared" si="10"/>
        <v>16.64302976190476</v>
      </c>
      <c r="E175" s="637">
        <f t="shared" si="11"/>
        <v>39.028702380952389</v>
      </c>
    </row>
    <row r="176" spans="1:5">
      <c r="A176">
        <v>10813</v>
      </c>
      <c r="B176">
        <v>400</v>
      </c>
      <c r="C176" s="455">
        <v>8.6709999999999994</v>
      </c>
      <c r="D176" s="455">
        <f t="shared" si="10"/>
        <v>16.154898809523807</v>
      </c>
      <c r="E176" s="637">
        <f t="shared" si="11"/>
        <v>37.884011904761913</v>
      </c>
    </row>
    <row r="177" spans="1:5">
      <c r="A177">
        <v>10813</v>
      </c>
      <c r="B177">
        <v>500</v>
      </c>
      <c r="C177" s="455">
        <v>8.7370000000000001</v>
      </c>
      <c r="D177" s="455">
        <f t="shared" si="10"/>
        <v>16.277863095238096</v>
      </c>
      <c r="E177" s="637">
        <f t="shared" si="11"/>
        <v>38.172369047619057</v>
      </c>
    </row>
    <row r="178" spans="1:5">
      <c r="A178">
        <v>10813</v>
      </c>
      <c r="B178">
        <v>600</v>
      </c>
      <c r="C178" s="455">
        <v>8.5839999999999996</v>
      </c>
      <c r="D178" s="455">
        <f t="shared" si="10"/>
        <v>15.992809523809525</v>
      </c>
      <c r="E178" s="637">
        <f t="shared" si="11"/>
        <v>37.503904761904771</v>
      </c>
    </row>
    <row r="179" spans="1:5">
      <c r="A179">
        <v>10813</v>
      </c>
      <c r="B179">
        <v>700</v>
      </c>
      <c r="C179" s="455">
        <v>8.5030000000000001</v>
      </c>
      <c r="D179" s="455">
        <f t="shared" si="10"/>
        <v>15.84189880952381</v>
      </c>
      <c r="E179" s="637">
        <f t="shared" si="11"/>
        <v>37.150011904761918</v>
      </c>
    </row>
    <row r="180" spans="1:5">
      <c r="A180">
        <v>10813</v>
      </c>
      <c r="B180">
        <v>800</v>
      </c>
      <c r="C180" s="455">
        <v>9.0920000000000005</v>
      </c>
      <c r="D180" s="455">
        <f t="shared" si="10"/>
        <v>16.939261904761906</v>
      </c>
      <c r="E180" s="637">
        <f t="shared" si="11"/>
        <v>39.723380952380964</v>
      </c>
    </row>
    <row r="181" spans="1:5">
      <c r="A181">
        <v>10813</v>
      </c>
      <c r="B181">
        <v>900</v>
      </c>
      <c r="C181" s="455">
        <v>0.71899999999999997</v>
      </c>
      <c r="D181" s="455">
        <f t="shared" si="10"/>
        <v>1.3395654761904761</v>
      </c>
      <c r="E181" s="637">
        <f t="shared" si="11"/>
        <v>3.1413452380952389</v>
      </c>
    </row>
    <row r="182" spans="1:5">
      <c r="A182">
        <v>10813</v>
      </c>
      <c r="B182">
        <v>1000</v>
      </c>
      <c r="C182" s="455">
        <v>1E-3</v>
      </c>
      <c r="D182" s="455">
        <f t="shared" si="10"/>
        <v>1.8630952380952381E-3</v>
      </c>
      <c r="E182" s="637">
        <f t="shared" si="11"/>
        <v>4.3690476190476205E-3</v>
      </c>
    </row>
    <row r="183" spans="1:5">
      <c r="A183">
        <v>10813</v>
      </c>
      <c r="B183">
        <v>1100</v>
      </c>
      <c r="C183" s="455">
        <v>0</v>
      </c>
      <c r="D183" s="455">
        <f t="shared" si="10"/>
        <v>0</v>
      </c>
      <c r="E183" s="637">
        <f t="shared" si="11"/>
        <v>0</v>
      </c>
    </row>
    <row r="184" spans="1:5">
      <c r="A184">
        <v>10813</v>
      </c>
      <c r="B184">
        <v>1200</v>
      </c>
      <c r="C184" s="455">
        <v>0</v>
      </c>
      <c r="D184" s="455">
        <f t="shared" si="10"/>
        <v>0</v>
      </c>
      <c r="E184" s="637">
        <f t="shared" si="11"/>
        <v>0</v>
      </c>
    </row>
    <row r="185" spans="1:5">
      <c r="A185">
        <v>10813</v>
      </c>
      <c r="B185">
        <v>1300</v>
      </c>
      <c r="C185" s="455">
        <v>0</v>
      </c>
      <c r="D185" s="455">
        <f t="shared" si="10"/>
        <v>0</v>
      </c>
      <c r="E185" s="637">
        <f t="shared" si="11"/>
        <v>0</v>
      </c>
    </row>
    <row r="186" spans="1:5">
      <c r="A186">
        <v>10813</v>
      </c>
      <c r="B186">
        <v>1400</v>
      </c>
      <c r="C186" s="455">
        <v>0</v>
      </c>
      <c r="D186" s="455">
        <f t="shared" si="10"/>
        <v>0</v>
      </c>
      <c r="E186" s="637">
        <f t="shared" si="11"/>
        <v>0</v>
      </c>
    </row>
    <row r="187" spans="1:5">
      <c r="A187">
        <v>10813</v>
      </c>
      <c r="B187">
        <v>1500</v>
      </c>
      <c r="C187" s="455">
        <v>0</v>
      </c>
      <c r="D187" s="455">
        <f t="shared" si="10"/>
        <v>0</v>
      </c>
      <c r="E187" s="637">
        <f t="shared" si="11"/>
        <v>0</v>
      </c>
    </row>
    <row r="188" spans="1:5">
      <c r="A188">
        <v>10813</v>
      </c>
      <c r="B188">
        <v>1600</v>
      </c>
      <c r="C188" s="455">
        <v>0</v>
      </c>
      <c r="D188" s="455">
        <f t="shared" si="10"/>
        <v>0</v>
      </c>
      <c r="E188" s="637">
        <f t="shared" si="11"/>
        <v>0</v>
      </c>
    </row>
    <row r="189" spans="1:5">
      <c r="A189">
        <v>10813</v>
      </c>
      <c r="B189">
        <v>1700</v>
      </c>
      <c r="C189" s="455">
        <v>1.2929999999999999</v>
      </c>
      <c r="D189" s="455">
        <f t="shared" si="10"/>
        <v>2.408982142857143</v>
      </c>
      <c r="E189" s="637">
        <f t="shared" si="11"/>
        <v>5.6491785714285729</v>
      </c>
    </row>
    <row r="190" spans="1:5">
      <c r="A190">
        <v>10813</v>
      </c>
      <c r="B190">
        <v>1800</v>
      </c>
      <c r="C190" s="455">
        <v>9.0039999999999996</v>
      </c>
      <c r="D190" s="455">
        <f t="shared" si="10"/>
        <v>16.775309523809522</v>
      </c>
      <c r="E190" s="637">
        <f t="shared" si="11"/>
        <v>39.338904761904772</v>
      </c>
    </row>
    <row r="191" spans="1:5">
      <c r="A191">
        <v>10813</v>
      </c>
      <c r="B191">
        <v>1900</v>
      </c>
      <c r="C191" s="455">
        <v>8.1959999999999997</v>
      </c>
      <c r="D191" s="455">
        <f t="shared" si="10"/>
        <v>15.269928571428572</v>
      </c>
      <c r="E191" s="637">
        <f t="shared" si="11"/>
        <v>35.808714285714295</v>
      </c>
    </row>
    <row r="192" spans="1:5">
      <c r="A192">
        <v>10813</v>
      </c>
      <c r="B192">
        <v>2000</v>
      </c>
      <c r="C192" s="455">
        <v>8.6530000000000005</v>
      </c>
      <c r="D192" s="455">
        <f t="shared" si="10"/>
        <v>16.121363095238095</v>
      </c>
      <c r="E192" s="637">
        <f t="shared" si="11"/>
        <v>37.80536904761906</v>
      </c>
    </row>
    <row r="193" spans="1:5">
      <c r="A193">
        <v>10813</v>
      </c>
      <c r="B193">
        <v>2100</v>
      </c>
      <c r="C193" s="455">
        <v>8.6950000000000003</v>
      </c>
      <c r="D193" s="455">
        <f t="shared" si="10"/>
        <v>16.199613095238096</v>
      </c>
      <c r="E193" s="637">
        <f t="shared" si="11"/>
        <v>37.988869047619062</v>
      </c>
    </row>
    <row r="194" spans="1:5">
      <c r="A194">
        <v>10813</v>
      </c>
      <c r="B194">
        <v>2200</v>
      </c>
      <c r="C194" s="455">
        <v>8.44</v>
      </c>
      <c r="D194" s="455">
        <f t="shared" si="10"/>
        <v>15.724523809523809</v>
      </c>
      <c r="E194" s="637">
        <f t="shared" si="11"/>
        <v>36.874761904761911</v>
      </c>
    </row>
    <row r="195" spans="1:5">
      <c r="A195">
        <v>10813</v>
      </c>
      <c r="B195">
        <v>2300</v>
      </c>
      <c r="C195" s="455">
        <v>8.6579999999999995</v>
      </c>
      <c r="D195" s="455">
        <f t="shared" si="10"/>
        <v>16.130678571428572</v>
      </c>
      <c r="E195" s="637">
        <f t="shared" si="11"/>
        <v>37.827214285714291</v>
      </c>
    </row>
    <row r="196" spans="1:5">
      <c r="A196">
        <v>10813</v>
      </c>
      <c r="B196">
        <v>2400</v>
      </c>
      <c r="C196" s="455">
        <v>8.4390000000000001</v>
      </c>
      <c r="D196" s="455">
        <f t="shared" si="10"/>
        <v>15.722660714285716</v>
      </c>
      <c r="E196" s="637">
        <f t="shared" si="11"/>
        <v>36.870392857142868</v>
      </c>
    </row>
    <row r="197" spans="1:5">
      <c r="A197">
        <v>10913</v>
      </c>
      <c r="B197">
        <v>100</v>
      </c>
      <c r="C197" s="455">
        <v>8.7289999999999992</v>
      </c>
      <c r="D197" s="455">
        <f t="shared" si="10"/>
        <v>16.262958333333334</v>
      </c>
      <c r="E197" s="637">
        <f t="shared" si="11"/>
        <v>38.137416666666674</v>
      </c>
    </row>
    <row r="198" spans="1:5">
      <c r="A198">
        <v>10913</v>
      </c>
      <c r="B198">
        <v>200</v>
      </c>
      <c r="C198" s="455">
        <v>8.5779999999999994</v>
      </c>
      <c r="D198" s="455">
        <f t="shared" ref="D198:D261" si="12">(C198/(MAX($C$5:$C$748)))*$W$5</f>
        <v>15.981630952380952</v>
      </c>
      <c r="E198" s="637">
        <f t="shared" ref="E198:E261" si="13">(C198/(MAX($C$5:$C$748)))*$P$5</f>
        <v>37.477690476190482</v>
      </c>
    </row>
    <row r="199" spans="1:5">
      <c r="A199">
        <v>10913</v>
      </c>
      <c r="B199">
        <v>300</v>
      </c>
      <c r="C199" s="455">
        <v>8.5109999999999992</v>
      </c>
      <c r="D199" s="455">
        <f t="shared" si="12"/>
        <v>15.856803571428571</v>
      </c>
      <c r="E199" s="637">
        <f t="shared" si="13"/>
        <v>37.184964285714294</v>
      </c>
    </row>
    <row r="200" spans="1:5">
      <c r="A200">
        <v>10913</v>
      </c>
      <c r="B200">
        <v>400</v>
      </c>
      <c r="C200" s="455">
        <v>8.7289999999999992</v>
      </c>
      <c r="D200" s="455">
        <f t="shared" si="12"/>
        <v>16.262958333333334</v>
      </c>
      <c r="E200" s="637">
        <f t="shared" si="13"/>
        <v>38.137416666666674</v>
      </c>
    </row>
    <row r="201" spans="1:5">
      <c r="A201">
        <v>10913</v>
      </c>
      <c r="B201">
        <v>500</v>
      </c>
      <c r="C201" s="455">
        <v>8.5790000000000006</v>
      </c>
      <c r="D201" s="455">
        <f t="shared" si="12"/>
        <v>15.983494047619049</v>
      </c>
      <c r="E201" s="637">
        <f t="shared" si="13"/>
        <v>37.482059523809539</v>
      </c>
    </row>
    <row r="202" spans="1:5">
      <c r="A202">
        <v>10913</v>
      </c>
      <c r="B202">
        <v>600</v>
      </c>
      <c r="C202" s="455">
        <v>8.5709999999999997</v>
      </c>
      <c r="D202" s="455">
        <f t="shared" si="12"/>
        <v>15.968589285714286</v>
      </c>
      <c r="E202" s="637">
        <f t="shared" si="13"/>
        <v>37.447107142857156</v>
      </c>
    </row>
    <row r="203" spans="1:5">
      <c r="A203">
        <v>10913</v>
      </c>
      <c r="B203">
        <v>700</v>
      </c>
      <c r="C203" s="455">
        <v>8.6620000000000008</v>
      </c>
      <c r="D203" s="455">
        <f t="shared" si="12"/>
        <v>16.138130952380955</v>
      </c>
      <c r="E203" s="637">
        <f t="shared" si="13"/>
        <v>37.844690476190486</v>
      </c>
    </row>
    <row r="204" spans="1:5">
      <c r="A204">
        <v>10913</v>
      </c>
      <c r="B204">
        <v>800</v>
      </c>
      <c r="C204" s="455">
        <v>9.7870000000000008</v>
      </c>
      <c r="D204" s="455">
        <f t="shared" si="12"/>
        <v>18.234113095238097</v>
      </c>
      <c r="E204" s="637">
        <f t="shared" si="13"/>
        <v>42.759869047619063</v>
      </c>
    </row>
    <row r="205" spans="1:5">
      <c r="A205">
        <v>10913</v>
      </c>
      <c r="B205">
        <v>900</v>
      </c>
      <c r="C205" s="455">
        <v>2.7360000000000002</v>
      </c>
      <c r="D205" s="455">
        <f t="shared" si="12"/>
        <v>5.0974285714285719</v>
      </c>
      <c r="E205" s="637">
        <f t="shared" si="13"/>
        <v>11.953714285714289</v>
      </c>
    </row>
    <row r="206" spans="1:5">
      <c r="A206">
        <v>10913</v>
      </c>
      <c r="B206">
        <v>1000</v>
      </c>
      <c r="C206" s="455">
        <v>4.0000000000000001E-3</v>
      </c>
      <c r="D206" s="455">
        <f t="shared" si="12"/>
        <v>7.4523809523809525E-3</v>
      </c>
      <c r="E206" s="637">
        <f t="shared" si="13"/>
        <v>1.7476190476190482E-2</v>
      </c>
    </row>
    <row r="207" spans="1:5">
      <c r="A207">
        <v>10913</v>
      </c>
      <c r="B207">
        <v>1100</v>
      </c>
      <c r="C207" s="455">
        <v>0</v>
      </c>
      <c r="D207" s="455">
        <f t="shared" si="12"/>
        <v>0</v>
      </c>
      <c r="E207" s="637">
        <f t="shared" si="13"/>
        <v>0</v>
      </c>
    </row>
    <row r="208" spans="1:5">
      <c r="A208">
        <v>10913</v>
      </c>
      <c r="B208">
        <v>1200</v>
      </c>
      <c r="C208" s="455">
        <v>0</v>
      </c>
      <c r="D208" s="455">
        <f t="shared" si="12"/>
        <v>0</v>
      </c>
      <c r="E208" s="637">
        <f t="shared" si="13"/>
        <v>0</v>
      </c>
    </row>
    <row r="209" spans="1:5">
      <c r="A209">
        <v>10913</v>
      </c>
      <c r="B209">
        <v>1300</v>
      </c>
      <c r="C209" s="455">
        <v>0</v>
      </c>
      <c r="D209" s="455">
        <f t="shared" si="12"/>
        <v>0</v>
      </c>
      <c r="E209" s="637">
        <f t="shared" si="13"/>
        <v>0</v>
      </c>
    </row>
    <row r="210" spans="1:5">
      <c r="A210">
        <v>10913</v>
      </c>
      <c r="B210">
        <v>1400</v>
      </c>
      <c r="C210" s="455">
        <v>1E-3</v>
      </c>
      <c r="D210" s="455">
        <f t="shared" si="12"/>
        <v>1.8630952380952381E-3</v>
      </c>
      <c r="E210" s="637">
        <f t="shared" si="13"/>
        <v>4.3690476190476205E-3</v>
      </c>
    </row>
    <row r="211" spans="1:5">
      <c r="A211">
        <v>10913</v>
      </c>
      <c r="B211">
        <v>1500</v>
      </c>
      <c r="C211" s="455">
        <v>1.1879999999999999</v>
      </c>
      <c r="D211" s="455">
        <f t="shared" si="12"/>
        <v>2.2133571428571428</v>
      </c>
      <c r="E211" s="637">
        <f t="shared" si="13"/>
        <v>5.1904285714285727</v>
      </c>
    </row>
    <row r="212" spans="1:5">
      <c r="A212">
        <v>10913</v>
      </c>
      <c r="B212">
        <v>1600</v>
      </c>
      <c r="C212" s="455">
        <v>2.7</v>
      </c>
      <c r="D212" s="455">
        <f t="shared" si="12"/>
        <v>5.0303571428571425</v>
      </c>
      <c r="E212" s="637">
        <f t="shared" si="13"/>
        <v>11.796428571428574</v>
      </c>
    </row>
    <row r="213" spans="1:5">
      <c r="A213">
        <v>10913</v>
      </c>
      <c r="B213">
        <v>1700</v>
      </c>
      <c r="C213" s="455">
        <v>3.472</v>
      </c>
      <c r="D213" s="455">
        <f t="shared" si="12"/>
        <v>6.4686666666666666</v>
      </c>
      <c r="E213" s="637">
        <f t="shared" si="13"/>
        <v>15.169333333333338</v>
      </c>
    </row>
    <row r="214" spans="1:5">
      <c r="A214">
        <v>10913</v>
      </c>
      <c r="B214">
        <v>1800</v>
      </c>
      <c r="C214" s="455">
        <v>8.7949999999999999</v>
      </c>
      <c r="D214" s="455">
        <f t="shared" si="12"/>
        <v>16.385922619047619</v>
      </c>
      <c r="E214" s="637">
        <f t="shared" si="13"/>
        <v>38.425773809523825</v>
      </c>
    </row>
    <row r="215" spans="1:5">
      <c r="A215">
        <v>10913</v>
      </c>
      <c r="B215">
        <v>1900</v>
      </c>
      <c r="C215" s="455">
        <v>8.68</v>
      </c>
      <c r="D215" s="455">
        <f t="shared" si="12"/>
        <v>16.171666666666667</v>
      </c>
      <c r="E215" s="637">
        <f t="shared" si="13"/>
        <v>37.923333333333339</v>
      </c>
    </row>
    <row r="216" spans="1:5">
      <c r="A216">
        <v>10913</v>
      </c>
      <c r="B216">
        <v>2000</v>
      </c>
      <c r="C216" s="455">
        <v>8.5950000000000006</v>
      </c>
      <c r="D216" s="455">
        <f t="shared" si="12"/>
        <v>16.013303571428573</v>
      </c>
      <c r="E216" s="637">
        <f t="shared" si="13"/>
        <v>37.551964285714298</v>
      </c>
    </row>
    <row r="217" spans="1:5">
      <c r="A217">
        <v>10913</v>
      </c>
      <c r="B217">
        <v>2100</v>
      </c>
      <c r="C217" s="455">
        <v>8.6509999999999998</v>
      </c>
      <c r="D217" s="455">
        <f t="shared" si="12"/>
        <v>16.117636904761905</v>
      </c>
      <c r="E217" s="637">
        <f t="shared" si="13"/>
        <v>37.796630952380966</v>
      </c>
    </row>
    <row r="218" spans="1:5">
      <c r="A218">
        <v>10913</v>
      </c>
      <c r="B218">
        <v>2200</v>
      </c>
      <c r="C218" s="455">
        <v>8.58</v>
      </c>
      <c r="D218" s="455">
        <f t="shared" si="12"/>
        <v>15.985357142857143</v>
      </c>
      <c r="E218" s="637">
        <f t="shared" si="13"/>
        <v>37.486428571428583</v>
      </c>
    </row>
    <row r="219" spans="1:5">
      <c r="A219">
        <v>10913</v>
      </c>
      <c r="B219">
        <v>2300</v>
      </c>
      <c r="C219" s="455">
        <v>8.6630000000000003</v>
      </c>
      <c r="D219" s="455">
        <f t="shared" si="12"/>
        <v>16.139994047619048</v>
      </c>
      <c r="E219" s="637">
        <f t="shared" si="13"/>
        <v>37.849059523809537</v>
      </c>
    </row>
    <row r="220" spans="1:5">
      <c r="A220">
        <v>10913</v>
      </c>
      <c r="B220">
        <v>2400</v>
      </c>
      <c r="C220" s="455">
        <v>8.6989999999999998</v>
      </c>
      <c r="D220" s="455">
        <f t="shared" si="12"/>
        <v>16.207065476190476</v>
      </c>
      <c r="E220" s="637">
        <f t="shared" si="13"/>
        <v>38.00634523809525</v>
      </c>
    </row>
    <row r="221" spans="1:5">
      <c r="A221">
        <v>11013</v>
      </c>
      <c r="B221">
        <v>100</v>
      </c>
      <c r="C221" s="455">
        <v>8.6910000000000007</v>
      </c>
      <c r="D221" s="455">
        <f t="shared" si="12"/>
        <v>16.192160714285716</v>
      </c>
      <c r="E221" s="637">
        <f t="shared" si="13"/>
        <v>37.971392857142867</v>
      </c>
    </row>
    <row r="222" spans="1:5">
      <c r="A222">
        <v>11013</v>
      </c>
      <c r="B222">
        <v>200</v>
      </c>
      <c r="C222" s="455">
        <v>8.6639999999999997</v>
      </c>
      <c r="D222" s="455">
        <f t="shared" si="12"/>
        <v>16.141857142857141</v>
      </c>
      <c r="E222" s="637">
        <f t="shared" si="13"/>
        <v>37.85342857142858</v>
      </c>
    </row>
    <row r="223" spans="1:5">
      <c r="A223">
        <v>11013</v>
      </c>
      <c r="B223">
        <v>300</v>
      </c>
      <c r="C223" s="455">
        <v>8.6669999999999998</v>
      </c>
      <c r="D223" s="455">
        <f t="shared" si="12"/>
        <v>16.147446428571428</v>
      </c>
      <c r="E223" s="637">
        <f t="shared" si="13"/>
        <v>37.866535714285725</v>
      </c>
    </row>
    <row r="224" spans="1:5">
      <c r="A224">
        <v>11013</v>
      </c>
      <c r="B224">
        <v>400</v>
      </c>
      <c r="C224" s="455">
        <v>8.67</v>
      </c>
      <c r="D224" s="455">
        <f t="shared" si="12"/>
        <v>16.153035714285714</v>
      </c>
      <c r="E224" s="637">
        <f t="shared" si="13"/>
        <v>37.879642857142869</v>
      </c>
    </row>
    <row r="225" spans="1:5">
      <c r="A225">
        <v>11013</v>
      </c>
      <c r="B225">
        <v>500</v>
      </c>
      <c r="C225" s="455">
        <v>8.5449999999999999</v>
      </c>
      <c r="D225" s="455">
        <f t="shared" si="12"/>
        <v>15.920148809523809</v>
      </c>
      <c r="E225" s="637">
        <f t="shared" si="13"/>
        <v>37.333511904761913</v>
      </c>
    </row>
    <row r="226" spans="1:5">
      <c r="A226">
        <v>11013</v>
      </c>
      <c r="B226">
        <v>600</v>
      </c>
      <c r="C226" s="455">
        <v>8.5039999999999996</v>
      </c>
      <c r="D226" s="455">
        <f t="shared" si="12"/>
        <v>15.843761904761903</v>
      </c>
      <c r="E226" s="637">
        <f t="shared" si="13"/>
        <v>37.154380952380961</v>
      </c>
    </row>
    <row r="227" spans="1:5">
      <c r="A227">
        <v>11013</v>
      </c>
      <c r="B227">
        <v>700</v>
      </c>
      <c r="C227" s="455">
        <v>8.4689999999999994</v>
      </c>
      <c r="D227" s="455">
        <f t="shared" si="12"/>
        <v>15.778553571428571</v>
      </c>
      <c r="E227" s="637">
        <f t="shared" si="13"/>
        <v>37.001464285714292</v>
      </c>
    </row>
    <row r="228" spans="1:5">
      <c r="A228">
        <v>11013</v>
      </c>
      <c r="B228">
        <v>800</v>
      </c>
      <c r="C228" s="455">
        <v>8.6760000000000002</v>
      </c>
      <c r="D228" s="455">
        <f t="shared" si="12"/>
        <v>16.164214285714287</v>
      </c>
      <c r="E228" s="637">
        <f t="shared" si="13"/>
        <v>37.905857142857158</v>
      </c>
    </row>
    <row r="229" spans="1:5">
      <c r="A229">
        <v>11013</v>
      </c>
      <c r="B229">
        <v>900</v>
      </c>
      <c r="C229" s="455">
        <v>1.4450000000000001</v>
      </c>
      <c r="D229" s="455">
        <f t="shared" si="12"/>
        <v>2.6921726190476192</v>
      </c>
      <c r="E229" s="637">
        <f t="shared" si="13"/>
        <v>6.3132738095238121</v>
      </c>
    </row>
    <row r="230" spans="1:5">
      <c r="A230">
        <v>11013</v>
      </c>
      <c r="B230">
        <v>1000</v>
      </c>
      <c r="C230" s="455">
        <v>0</v>
      </c>
      <c r="D230" s="455">
        <f t="shared" si="12"/>
        <v>0</v>
      </c>
      <c r="E230" s="637">
        <f t="shared" si="13"/>
        <v>0</v>
      </c>
    </row>
    <row r="231" spans="1:5">
      <c r="A231">
        <v>11013</v>
      </c>
      <c r="B231">
        <v>1100</v>
      </c>
      <c r="C231" s="455">
        <v>8.0000000000000002E-3</v>
      </c>
      <c r="D231" s="455">
        <f t="shared" si="12"/>
        <v>1.4904761904761905E-2</v>
      </c>
      <c r="E231" s="637">
        <f t="shared" si="13"/>
        <v>3.4952380952380964E-2</v>
      </c>
    </row>
    <row r="232" spans="1:5">
      <c r="A232">
        <v>11013</v>
      </c>
      <c r="B232">
        <v>1200</v>
      </c>
      <c r="C232" s="455">
        <v>0</v>
      </c>
      <c r="D232" s="455">
        <f t="shared" si="12"/>
        <v>0</v>
      </c>
      <c r="E232" s="637">
        <f t="shared" si="13"/>
        <v>0</v>
      </c>
    </row>
    <row r="233" spans="1:5">
      <c r="A233">
        <v>11013</v>
      </c>
      <c r="B233">
        <v>1300</v>
      </c>
      <c r="C233" s="455">
        <v>0</v>
      </c>
      <c r="D233" s="455">
        <f t="shared" si="12"/>
        <v>0</v>
      </c>
      <c r="E233" s="637">
        <f t="shared" si="13"/>
        <v>0</v>
      </c>
    </row>
    <row r="234" spans="1:5">
      <c r="A234">
        <v>11013</v>
      </c>
      <c r="B234">
        <v>1400</v>
      </c>
      <c r="C234" s="455">
        <v>0</v>
      </c>
      <c r="D234" s="455">
        <f t="shared" si="12"/>
        <v>0</v>
      </c>
      <c r="E234" s="637">
        <f t="shared" si="13"/>
        <v>0</v>
      </c>
    </row>
    <row r="235" spans="1:5">
      <c r="A235">
        <v>11013</v>
      </c>
      <c r="B235">
        <v>1500</v>
      </c>
      <c r="C235" s="455">
        <v>0</v>
      </c>
      <c r="D235" s="455">
        <f t="shared" si="12"/>
        <v>0</v>
      </c>
      <c r="E235" s="637">
        <f t="shared" si="13"/>
        <v>0</v>
      </c>
    </row>
    <row r="236" spans="1:5">
      <c r="A236">
        <v>11013</v>
      </c>
      <c r="B236">
        <v>1600</v>
      </c>
      <c r="C236" s="455">
        <v>0</v>
      </c>
      <c r="D236" s="455">
        <f t="shared" si="12"/>
        <v>0</v>
      </c>
      <c r="E236" s="637">
        <f t="shared" si="13"/>
        <v>0</v>
      </c>
    </row>
    <row r="237" spans="1:5">
      <c r="A237">
        <v>11013</v>
      </c>
      <c r="B237">
        <v>1700</v>
      </c>
      <c r="C237" s="455">
        <v>1.4339999999999999</v>
      </c>
      <c r="D237" s="455">
        <f t="shared" si="12"/>
        <v>2.6716785714285716</v>
      </c>
      <c r="E237" s="637">
        <f t="shared" si="13"/>
        <v>6.2652142857142872</v>
      </c>
    </row>
    <row r="238" spans="1:5">
      <c r="A238">
        <v>11013</v>
      </c>
      <c r="B238">
        <v>1800</v>
      </c>
      <c r="C238" s="455">
        <v>8.6039999999999992</v>
      </c>
      <c r="D238" s="455">
        <f t="shared" si="12"/>
        <v>16.030071428571429</v>
      </c>
      <c r="E238" s="637">
        <f t="shared" si="13"/>
        <v>37.591285714285718</v>
      </c>
    </row>
    <row r="239" spans="1:5">
      <c r="A239">
        <v>11013</v>
      </c>
      <c r="B239">
        <v>1900</v>
      </c>
      <c r="C239" s="455">
        <v>8.0440000000000005</v>
      </c>
      <c r="D239" s="455">
        <f t="shared" si="12"/>
        <v>14.986738095238096</v>
      </c>
      <c r="E239" s="637">
        <f t="shared" si="13"/>
        <v>35.144619047619059</v>
      </c>
    </row>
    <row r="240" spans="1:5">
      <c r="A240">
        <v>11013</v>
      </c>
      <c r="B240">
        <v>2000</v>
      </c>
      <c r="C240" s="455">
        <v>8.0690000000000008</v>
      </c>
      <c r="D240" s="455">
        <f t="shared" si="12"/>
        <v>15.033315476190477</v>
      </c>
      <c r="E240" s="637">
        <f t="shared" si="13"/>
        <v>35.253845238095252</v>
      </c>
    </row>
    <row r="241" spans="1:5">
      <c r="A241">
        <v>11013</v>
      </c>
      <c r="B241">
        <v>2100</v>
      </c>
      <c r="C241" s="455">
        <v>8.5399999999999991</v>
      </c>
      <c r="D241" s="455">
        <f t="shared" si="12"/>
        <v>15.910833333333333</v>
      </c>
      <c r="E241" s="637">
        <f t="shared" si="13"/>
        <v>37.311666666666675</v>
      </c>
    </row>
    <row r="242" spans="1:5">
      <c r="A242">
        <v>11013</v>
      </c>
      <c r="B242">
        <v>2200</v>
      </c>
      <c r="C242" s="455">
        <v>8.0830000000000002</v>
      </c>
      <c r="D242" s="455">
        <f t="shared" si="12"/>
        <v>15.059398809523811</v>
      </c>
      <c r="E242" s="637">
        <f t="shared" si="13"/>
        <v>35.315011904761917</v>
      </c>
    </row>
    <row r="243" spans="1:5">
      <c r="A243">
        <v>11013</v>
      </c>
      <c r="B243">
        <v>2300</v>
      </c>
      <c r="C243" s="455">
        <v>8.6590000000000007</v>
      </c>
      <c r="D243" s="455">
        <f t="shared" si="12"/>
        <v>16.132541666666668</v>
      </c>
      <c r="E243" s="637">
        <f t="shared" si="13"/>
        <v>37.831583333333349</v>
      </c>
    </row>
    <row r="244" spans="1:5">
      <c r="A244">
        <v>11013</v>
      </c>
      <c r="B244">
        <v>2400</v>
      </c>
      <c r="C244" s="455">
        <v>8.6259999999999994</v>
      </c>
      <c r="D244" s="455">
        <f t="shared" si="12"/>
        <v>16.071059523809524</v>
      </c>
      <c r="E244" s="637">
        <f t="shared" si="13"/>
        <v>37.687404761904766</v>
      </c>
    </row>
    <row r="245" spans="1:5">
      <c r="A245">
        <v>11113</v>
      </c>
      <c r="B245">
        <v>100</v>
      </c>
      <c r="C245" s="455">
        <v>8.6660000000000004</v>
      </c>
      <c r="D245" s="455">
        <f t="shared" si="12"/>
        <v>16.145583333333335</v>
      </c>
      <c r="E245" s="637">
        <f t="shared" si="13"/>
        <v>37.862166666666681</v>
      </c>
    </row>
    <row r="246" spans="1:5">
      <c r="A246">
        <v>11113</v>
      </c>
      <c r="B246">
        <v>200</v>
      </c>
      <c r="C246" s="455">
        <v>8.4719999999999995</v>
      </c>
      <c r="D246" s="455">
        <f t="shared" si="12"/>
        <v>15.784142857142855</v>
      </c>
      <c r="E246" s="637">
        <f t="shared" si="13"/>
        <v>37.014571428571436</v>
      </c>
    </row>
    <row r="247" spans="1:5">
      <c r="A247">
        <v>11113</v>
      </c>
      <c r="B247">
        <v>300</v>
      </c>
      <c r="C247" s="455">
        <v>8.5779999999999994</v>
      </c>
      <c r="D247" s="455">
        <f t="shared" si="12"/>
        <v>15.981630952380952</v>
      </c>
      <c r="E247" s="637">
        <f t="shared" si="13"/>
        <v>37.477690476190482</v>
      </c>
    </row>
    <row r="248" spans="1:5">
      <c r="A248">
        <v>11113</v>
      </c>
      <c r="B248">
        <v>400</v>
      </c>
      <c r="C248" s="455">
        <v>8.4719999999999995</v>
      </c>
      <c r="D248" s="455">
        <f t="shared" si="12"/>
        <v>15.784142857142855</v>
      </c>
      <c r="E248" s="637">
        <f t="shared" si="13"/>
        <v>37.014571428571436</v>
      </c>
    </row>
    <row r="249" spans="1:5">
      <c r="A249">
        <v>11113</v>
      </c>
      <c r="B249">
        <v>500</v>
      </c>
      <c r="C249" s="455">
        <v>8.8320000000000007</v>
      </c>
      <c r="D249" s="455">
        <f t="shared" si="12"/>
        <v>16.454857142857144</v>
      </c>
      <c r="E249" s="637">
        <f t="shared" si="13"/>
        <v>38.587428571428582</v>
      </c>
    </row>
    <row r="250" spans="1:5">
      <c r="A250">
        <v>11113</v>
      </c>
      <c r="B250">
        <v>600</v>
      </c>
      <c r="C250" s="455">
        <v>9.01</v>
      </c>
      <c r="D250" s="455">
        <f t="shared" si="12"/>
        <v>16.786488095238095</v>
      </c>
      <c r="E250" s="637">
        <f t="shared" si="13"/>
        <v>39.365119047619061</v>
      </c>
    </row>
    <row r="251" spans="1:5">
      <c r="A251">
        <v>11113</v>
      </c>
      <c r="B251">
        <v>700</v>
      </c>
      <c r="C251" s="455">
        <v>9.1470000000000002</v>
      </c>
      <c r="D251" s="455">
        <f t="shared" si="12"/>
        <v>17.041732142857143</v>
      </c>
      <c r="E251" s="637">
        <f t="shared" si="13"/>
        <v>39.963678571428581</v>
      </c>
    </row>
    <row r="252" spans="1:5">
      <c r="A252">
        <v>11113</v>
      </c>
      <c r="B252">
        <v>800</v>
      </c>
      <c r="C252" s="455">
        <v>9.3000000000000007</v>
      </c>
      <c r="D252" s="455">
        <f t="shared" si="12"/>
        <v>17.326785714285716</v>
      </c>
      <c r="E252" s="637">
        <f t="shared" si="13"/>
        <v>40.632142857142867</v>
      </c>
    </row>
    <row r="253" spans="1:5">
      <c r="A253">
        <v>11113</v>
      </c>
      <c r="B253">
        <v>900</v>
      </c>
      <c r="C253" s="455">
        <v>8.7240000000000002</v>
      </c>
      <c r="D253" s="455">
        <f t="shared" si="12"/>
        <v>16.253642857142857</v>
      </c>
      <c r="E253" s="637">
        <f t="shared" si="13"/>
        <v>38.115571428571442</v>
      </c>
    </row>
    <row r="254" spans="1:5">
      <c r="A254">
        <v>11113</v>
      </c>
      <c r="B254">
        <v>1000</v>
      </c>
      <c r="C254" s="455">
        <v>2.9020000000000001</v>
      </c>
      <c r="D254" s="455">
        <f t="shared" si="12"/>
        <v>5.4067023809523809</v>
      </c>
      <c r="E254" s="637">
        <f t="shared" si="13"/>
        <v>12.678976190476194</v>
      </c>
    </row>
    <row r="255" spans="1:5">
      <c r="A255">
        <v>11113</v>
      </c>
      <c r="B255">
        <v>1100</v>
      </c>
      <c r="C255" s="455">
        <v>0</v>
      </c>
      <c r="D255" s="455">
        <f t="shared" si="12"/>
        <v>0</v>
      </c>
      <c r="E255" s="637">
        <f t="shared" si="13"/>
        <v>0</v>
      </c>
    </row>
    <row r="256" spans="1:5">
      <c r="A256">
        <v>11113</v>
      </c>
      <c r="B256">
        <v>1200</v>
      </c>
      <c r="C256" s="455">
        <v>0</v>
      </c>
      <c r="D256" s="455">
        <f t="shared" si="12"/>
        <v>0</v>
      </c>
      <c r="E256" s="637">
        <f t="shared" si="13"/>
        <v>0</v>
      </c>
    </row>
    <row r="257" spans="1:5">
      <c r="A257">
        <v>11113</v>
      </c>
      <c r="B257">
        <v>1300</v>
      </c>
      <c r="C257" s="455">
        <v>0</v>
      </c>
      <c r="D257" s="455">
        <f t="shared" si="12"/>
        <v>0</v>
      </c>
      <c r="E257" s="637">
        <f t="shared" si="13"/>
        <v>0</v>
      </c>
    </row>
    <row r="258" spans="1:5">
      <c r="A258">
        <v>11113</v>
      </c>
      <c r="B258">
        <v>1400</v>
      </c>
      <c r="C258" s="455">
        <v>7.0999999999999994E-2</v>
      </c>
      <c r="D258" s="455">
        <f t="shared" si="12"/>
        <v>0.1322797619047619</v>
      </c>
      <c r="E258" s="637">
        <f t="shared" si="13"/>
        <v>0.31020238095238101</v>
      </c>
    </row>
    <row r="259" spans="1:5">
      <c r="A259">
        <v>11113</v>
      </c>
      <c r="B259">
        <v>1500</v>
      </c>
      <c r="C259" s="455">
        <v>0.105</v>
      </c>
      <c r="D259" s="455">
        <f t="shared" si="12"/>
        <v>0.19562499999999999</v>
      </c>
      <c r="E259" s="637">
        <f t="shared" si="13"/>
        <v>0.4587500000000001</v>
      </c>
    </row>
    <row r="260" spans="1:5">
      <c r="A260">
        <v>11113</v>
      </c>
      <c r="B260">
        <v>1600</v>
      </c>
      <c r="C260" s="455">
        <v>0.55000000000000004</v>
      </c>
      <c r="D260" s="455">
        <f t="shared" si="12"/>
        <v>1.024702380952381</v>
      </c>
      <c r="E260" s="637">
        <f t="shared" si="13"/>
        <v>2.4029761904761915</v>
      </c>
    </row>
    <row r="261" spans="1:5">
      <c r="A261">
        <v>11113</v>
      </c>
      <c r="B261">
        <v>1700</v>
      </c>
      <c r="C261" s="455">
        <v>6.3109999999999999</v>
      </c>
      <c r="D261" s="455">
        <f t="shared" si="12"/>
        <v>11.757994047619047</v>
      </c>
      <c r="E261" s="637">
        <f t="shared" si="13"/>
        <v>27.57305952380953</v>
      </c>
    </row>
    <row r="262" spans="1:5">
      <c r="A262">
        <v>11113</v>
      </c>
      <c r="B262">
        <v>1800</v>
      </c>
      <c r="C262" s="455">
        <v>8.2159999999999993</v>
      </c>
      <c r="D262" s="455">
        <f t="shared" ref="D262:D325" si="14">(C262/(MAX($C$5:$C$748)))*$W$5</f>
        <v>15.307190476190474</v>
      </c>
      <c r="E262" s="637">
        <f t="shared" ref="E262:E325" si="15">(C262/(MAX($C$5:$C$748)))*$P$5</f>
        <v>35.896095238095242</v>
      </c>
    </row>
    <row r="263" spans="1:5">
      <c r="A263">
        <v>11113</v>
      </c>
      <c r="B263">
        <v>1900</v>
      </c>
      <c r="C263" s="455">
        <v>8.0150000000000006</v>
      </c>
      <c r="D263" s="455">
        <f t="shared" si="14"/>
        <v>14.932708333333334</v>
      </c>
      <c r="E263" s="637">
        <f t="shared" si="15"/>
        <v>35.017916666666679</v>
      </c>
    </row>
    <row r="264" spans="1:5">
      <c r="A264">
        <v>11113</v>
      </c>
      <c r="B264">
        <v>2000</v>
      </c>
      <c r="C264" s="455">
        <v>8.218</v>
      </c>
      <c r="D264" s="455">
        <f t="shared" si="14"/>
        <v>15.310916666666667</v>
      </c>
      <c r="E264" s="637">
        <f t="shared" si="15"/>
        <v>35.904833333333343</v>
      </c>
    </row>
    <row r="265" spans="1:5">
      <c r="A265">
        <v>11113</v>
      </c>
      <c r="B265">
        <v>2100</v>
      </c>
      <c r="C265" s="455">
        <v>8.1579999999999995</v>
      </c>
      <c r="D265" s="455">
        <f t="shared" si="14"/>
        <v>15.199130952380953</v>
      </c>
      <c r="E265" s="637">
        <f t="shared" si="15"/>
        <v>35.642690476190488</v>
      </c>
    </row>
    <row r="266" spans="1:5">
      <c r="A266">
        <v>11113</v>
      </c>
      <c r="B266">
        <v>2200</v>
      </c>
      <c r="C266" s="455">
        <v>7.7560000000000002</v>
      </c>
      <c r="D266" s="455">
        <f t="shared" si="14"/>
        <v>14.450166666666668</v>
      </c>
      <c r="E266" s="637">
        <f t="shared" si="15"/>
        <v>33.88633333333334</v>
      </c>
    </row>
    <row r="267" spans="1:5">
      <c r="A267">
        <v>11113</v>
      </c>
      <c r="B267">
        <v>2300</v>
      </c>
      <c r="C267" s="455">
        <v>8.1189999999999998</v>
      </c>
      <c r="D267" s="455">
        <f t="shared" si="14"/>
        <v>15.126470238095237</v>
      </c>
      <c r="E267" s="637">
        <f t="shared" si="15"/>
        <v>35.472297619047623</v>
      </c>
    </row>
    <row r="268" spans="1:5">
      <c r="A268">
        <v>11113</v>
      </c>
      <c r="B268">
        <v>2400</v>
      </c>
      <c r="C268" s="455">
        <v>8.2449999999999992</v>
      </c>
      <c r="D268" s="455">
        <f t="shared" si="14"/>
        <v>15.361220238095235</v>
      </c>
      <c r="E268" s="637">
        <f t="shared" si="15"/>
        <v>36.022797619047623</v>
      </c>
    </row>
    <row r="269" spans="1:5">
      <c r="A269">
        <v>11213</v>
      </c>
      <c r="B269">
        <v>100</v>
      </c>
      <c r="C269" s="455">
        <v>8.6370000000000005</v>
      </c>
      <c r="D269" s="455">
        <f t="shared" si="14"/>
        <v>16.091553571428573</v>
      </c>
      <c r="E269" s="637">
        <f t="shared" si="15"/>
        <v>37.735464285714293</v>
      </c>
    </row>
    <row r="270" spans="1:5">
      <c r="A270">
        <v>11213</v>
      </c>
      <c r="B270">
        <v>200</v>
      </c>
      <c r="C270" s="455">
        <v>8.58</v>
      </c>
      <c r="D270" s="455">
        <f t="shared" si="14"/>
        <v>15.985357142857143</v>
      </c>
      <c r="E270" s="637">
        <f t="shared" si="15"/>
        <v>37.486428571428583</v>
      </c>
    </row>
    <row r="271" spans="1:5">
      <c r="A271">
        <v>11213</v>
      </c>
      <c r="B271">
        <v>300</v>
      </c>
      <c r="C271" s="455">
        <v>8.4390000000000001</v>
      </c>
      <c r="D271" s="455">
        <f t="shared" si="14"/>
        <v>15.722660714285716</v>
      </c>
      <c r="E271" s="637">
        <f t="shared" si="15"/>
        <v>36.870392857142868</v>
      </c>
    </row>
    <row r="272" spans="1:5">
      <c r="A272">
        <v>11213</v>
      </c>
      <c r="B272">
        <v>400</v>
      </c>
      <c r="C272" s="455">
        <v>8.1189999999999998</v>
      </c>
      <c r="D272" s="455">
        <f t="shared" si="14"/>
        <v>15.126470238095237</v>
      </c>
      <c r="E272" s="637">
        <f t="shared" si="15"/>
        <v>35.472297619047623</v>
      </c>
    </row>
    <row r="273" spans="1:5">
      <c r="A273">
        <v>11213</v>
      </c>
      <c r="B273">
        <v>500</v>
      </c>
      <c r="C273" s="455">
        <v>9.016</v>
      </c>
      <c r="D273" s="455">
        <f t="shared" si="14"/>
        <v>16.797666666666668</v>
      </c>
      <c r="E273" s="637">
        <f t="shared" si="15"/>
        <v>39.39133333333335</v>
      </c>
    </row>
    <row r="274" spans="1:5">
      <c r="A274">
        <v>11213</v>
      </c>
      <c r="B274">
        <v>600</v>
      </c>
      <c r="C274" s="455">
        <v>8.9589999999999996</v>
      </c>
      <c r="D274" s="455">
        <f t="shared" si="14"/>
        <v>16.691470238095238</v>
      </c>
      <c r="E274" s="637">
        <f t="shared" si="15"/>
        <v>39.142297619047632</v>
      </c>
    </row>
    <row r="275" spans="1:5">
      <c r="A275">
        <v>11213</v>
      </c>
      <c r="B275">
        <v>700</v>
      </c>
      <c r="C275" s="455">
        <v>8.4420000000000002</v>
      </c>
      <c r="D275" s="455">
        <f t="shared" si="14"/>
        <v>15.728250000000001</v>
      </c>
      <c r="E275" s="637">
        <f t="shared" si="15"/>
        <v>36.883500000000012</v>
      </c>
    </row>
    <row r="276" spans="1:5">
      <c r="A276">
        <v>11213</v>
      </c>
      <c r="B276">
        <v>800</v>
      </c>
      <c r="C276" s="455">
        <v>8.4440000000000008</v>
      </c>
      <c r="D276" s="455">
        <f t="shared" si="14"/>
        <v>15.731976190476193</v>
      </c>
      <c r="E276" s="637">
        <f t="shared" si="15"/>
        <v>36.892238095238106</v>
      </c>
    </row>
    <row r="277" spans="1:5">
      <c r="A277">
        <v>11213</v>
      </c>
      <c r="B277">
        <v>900</v>
      </c>
      <c r="C277" s="455">
        <v>4.7320000000000002</v>
      </c>
      <c r="D277" s="455">
        <f t="shared" si="14"/>
        <v>8.8161666666666676</v>
      </c>
      <c r="E277" s="637">
        <f t="shared" si="15"/>
        <v>20.67433333333334</v>
      </c>
    </row>
    <row r="278" spans="1:5">
      <c r="A278">
        <v>11213</v>
      </c>
      <c r="B278">
        <v>1000</v>
      </c>
      <c r="C278" s="455">
        <v>2E-3</v>
      </c>
      <c r="D278" s="455">
        <f t="shared" si="14"/>
        <v>3.7261904761904763E-3</v>
      </c>
      <c r="E278" s="637">
        <f t="shared" si="15"/>
        <v>8.738095238095241E-3</v>
      </c>
    </row>
    <row r="279" spans="1:5">
      <c r="A279">
        <v>11213</v>
      </c>
      <c r="B279">
        <v>1100</v>
      </c>
      <c r="C279" s="455">
        <v>0</v>
      </c>
      <c r="D279" s="455">
        <f t="shared" si="14"/>
        <v>0</v>
      </c>
      <c r="E279" s="637">
        <f t="shared" si="15"/>
        <v>0</v>
      </c>
    </row>
    <row r="280" spans="1:5">
      <c r="A280">
        <v>11213</v>
      </c>
      <c r="B280">
        <v>1200</v>
      </c>
      <c r="C280" s="455">
        <v>0</v>
      </c>
      <c r="D280" s="455">
        <f t="shared" si="14"/>
        <v>0</v>
      </c>
      <c r="E280" s="637">
        <f t="shared" si="15"/>
        <v>0</v>
      </c>
    </row>
    <row r="281" spans="1:5">
      <c r="A281">
        <v>11213</v>
      </c>
      <c r="B281">
        <v>1300</v>
      </c>
      <c r="C281" s="455">
        <v>0</v>
      </c>
      <c r="D281" s="455">
        <f t="shared" si="14"/>
        <v>0</v>
      </c>
      <c r="E281" s="637">
        <f t="shared" si="15"/>
        <v>0</v>
      </c>
    </row>
    <row r="282" spans="1:5">
      <c r="A282">
        <v>11213</v>
      </c>
      <c r="B282">
        <v>1400</v>
      </c>
      <c r="C282" s="455">
        <v>0</v>
      </c>
      <c r="D282" s="455">
        <f t="shared" si="14"/>
        <v>0</v>
      </c>
      <c r="E282" s="637">
        <f t="shared" si="15"/>
        <v>0</v>
      </c>
    </row>
    <row r="283" spans="1:5">
      <c r="A283">
        <v>11213</v>
      </c>
      <c r="B283">
        <v>1500</v>
      </c>
      <c r="C283" s="455">
        <v>0</v>
      </c>
      <c r="D283" s="455">
        <f t="shared" si="14"/>
        <v>0</v>
      </c>
      <c r="E283" s="637">
        <f t="shared" si="15"/>
        <v>0</v>
      </c>
    </row>
    <row r="284" spans="1:5">
      <c r="A284">
        <v>11213</v>
      </c>
      <c r="B284">
        <v>1600</v>
      </c>
      <c r="C284" s="455">
        <v>0</v>
      </c>
      <c r="D284" s="455">
        <f t="shared" si="14"/>
        <v>0</v>
      </c>
      <c r="E284" s="637">
        <f t="shared" si="15"/>
        <v>0</v>
      </c>
    </row>
    <row r="285" spans="1:5">
      <c r="A285">
        <v>11213</v>
      </c>
      <c r="B285">
        <v>1700</v>
      </c>
      <c r="C285" s="455">
        <v>0.88500000000000001</v>
      </c>
      <c r="D285" s="455">
        <f t="shared" si="14"/>
        <v>1.6488392857142857</v>
      </c>
      <c r="E285" s="637">
        <f t="shared" si="15"/>
        <v>3.866607142857144</v>
      </c>
    </row>
    <row r="286" spans="1:5">
      <c r="A286">
        <v>11213</v>
      </c>
      <c r="B286">
        <v>1800</v>
      </c>
      <c r="C286" s="455">
        <v>8.2070000000000007</v>
      </c>
      <c r="D286" s="455">
        <f t="shared" si="14"/>
        <v>15.290422619047622</v>
      </c>
      <c r="E286" s="637">
        <f t="shared" si="15"/>
        <v>35.856773809523823</v>
      </c>
    </row>
    <row r="287" spans="1:5">
      <c r="A287">
        <v>11213</v>
      </c>
      <c r="B287">
        <v>1900</v>
      </c>
      <c r="C287" s="455">
        <v>7.423</v>
      </c>
      <c r="D287" s="455">
        <f t="shared" si="14"/>
        <v>13.829755952380953</v>
      </c>
      <c r="E287" s="637">
        <f t="shared" si="15"/>
        <v>32.431440476190488</v>
      </c>
    </row>
    <row r="288" spans="1:5">
      <c r="A288">
        <v>11213</v>
      </c>
      <c r="B288">
        <v>2000</v>
      </c>
      <c r="C288" s="455">
        <v>7.4740000000000002</v>
      </c>
      <c r="D288" s="455">
        <f t="shared" si="14"/>
        <v>13.92477380952381</v>
      </c>
      <c r="E288" s="637">
        <f t="shared" si="15"/>
        <v>32.654261904761917</v>
      </c>
    </row>
    <row r="289" spans="1:5">
      <c r="A289">
        <v>11213</v>
      </c>
      <c r="B289">
        <v>2100</v>
      </c>
      <c r="C289" s="455">
        <v>7.5140000000000002</v>
      </c>
      <c r="D289" s="455">
        <f t="shared" si="14"/>
        <v>13.999297619047619</v>
      </c>
      <c r="E289" s="637">
        <f t="shared" si="15"/>
        <v>32.829023809523818</v>
      </c>
    </row>
    <row r="290" spans="1:5">
      <c r="A290">
        <v>11213</v>
      </c>
      <c r="B290">
        <v>2200</v>
      </c>
      <c r="C290" s="455">
        <v>7.56</v>
      </c>
      <c r="D290" s="455">
        <f t="shared" si="14"/>
        <v>14.084999999999999</v>
      </c>
      <c r="E290" s="637">
        <f t="shared" si="15"/>
        <v>33.030000000000008</v>
      </c>
    </row>
    <row r="291" spans="1:5">
      <c r="A291">
        <v>11213</v>
      </c>
      <c r="B291">
        <v>2300</v>
      </c>
      <c r="C291" s="455">
        <v>7.4470000000000001</v>
      </c>
      <c r="D291" s="455">
        <f t="shared" si="14"/>
        <v>13.874470238095238</v>
      </c>
      <c r="E291" s="637">
        <f t="shared" si="15"/>
        <v>32.53629761904763</v>
      </c>
    </row>
    <row r="292" spans="1:5">
      <c r="A292">
        <v>11213</v>
      </c>
      <c r="B292">
        <v>2400</v>
      </c>
      <c r="C292" s="455">
        <v>7.5220000000000002</v>
      </c>
      <c r="D292" s="455">
        <f t="shared" si="14"/>
        <v>14.014202380952382</v>
      </c>
      <c r="E292" s="637">
        <f t="shared" si="15"/>
        <v>32.863976190476201</v>
      </c>
    </row>
    <row r="293" spans="1:5">
      <c r="A293">
        <v>11313</v>
      </c>
      <c r="B293">
        <v>100</v>
      </c>
      <c r="C293" s="455">
        <v>7.556</v>
      </c>
      <c r="D293" s="455">
        <f t="shared" si="14"/>
        <v>14.077547619047619</v>
      </c>
      <c r="E293" s="637">
        <f t="shared" si="15"/>
        <v>33.01252380952382</v>
      </c>
    </row>
    <row r="294" spans="1:5">
      <c r="A294">
        <v>11313</v>
      </c>
      <c r="B294">
        <v>200</v>
      </c>
      <c r="C294" s="455">
        <v>7.6589999999999998</v>
      </c>
      <c r="D294" s="455">
        <f t="shared" si="14"/>
        <v>14.269446428571428</v>
      </c>
      <c r="E294" s="637">
        <f t="shared" si="15"/>
        <v>33.462535714285721</v>
      </c>
    </row>
    <row r="295" spans="1:5">
      <c r="A295">
        <v>11313</v>
      </c>
      <c r="B295">
        <v>300</v>
      </c>
      <c r="C295" s="455">
        <v>8.1669999999999998</v>
      </c>
      <c r="D295" s="455">
        <f t="shared" si="14"/>
        <v>15.215898809523809</v>
      </c>
      <c r="E295" s="637">
        <f t="shared" si="15"/>
        <v>35.682011904761914</v>
      </c>
    </row>
    <row r="296" spans="1:5">
      <c r="A296">
        <v>11313</v>
      </c>
      <c r="B296">
        <v>400</v>
      </c>
      <c r="C296" s="455">
        <v>8.61</v>
      </c>
      <c r="D296" s="455">
        <f t="shared" si="14"/>
        <v>16.041249999999998</v>
      </c>
      <c r="E296" s="637">
        <f t="shared" si="15"/>
        <v>37.617500000000007</v>
      </c>
    </row>
    <row r="297" spans="1:5">
      <c r="A297">
        <v>11313</v>
      </c>
      <c r="B297">
        <v>500</v>
      </c>
      <c r="C297" s="455">
        <v>8.6379999999999999</v>
      </c>
      <c r="D297" s="455">
        <f t="shared" si="14"/>
        <v>16.093416666666666</v>
      </c>
      <c r="E297" s="637">
        <f t="shared" si="15"/>
        <v>37.739833333333344</v>
      </c>
    </row>
    <row r="298" spans="1:5">
      <c r="A298">
        <v>11313</v>
      </c>
      <c r="B298">
        <v>600</v>
      </c>
      <c r="C298" s="455">
        <v>8.5579999999999998</v>
      </c>
      <c r="D298" s="455">
        <f t="shared" si="14"/>
        <v>15.944369047619046</v>
      </c>
      <c r="E298" s="637">
        <f t="shared" si="15"/>
        <v>37.390309523809528</v>
      </c>
    </row>
    <row r="299" spans="1:5">
      <c r="A299">
        <v>11313</v>
      </c>
      <c r="B299">
        <v>700</v>
      </c>
      <c r="C299" s="455">
        <v>8.8829999999999991</v>
      </c>
      <c r="D299" s="455">
        <f t="shared" si="14"/>
        <v>16.549875</v>
      </c>
      <c r="E299" s="637">
        <f t="shared" si="15"/>
        <v>38.810250000000011</v>
      </c>
    </row>
    <row r="300" spans="1:5">
      <c r="A300">
        <v>11313</v>
      </c>
      <c r="B300">
        <v>800</v>
      </c>
      <c r="C300" s="455">
        <v>8.9489999999999998</v>
      </c>
      <c r="D300" s="455">
        <f t="shared" si="14"/>
        <v>16.672839285714286</v>
      </c>
      <c r="E300" s="637">
        <f t="shared" si="15"/>
        <v>39.098607142857148</v>
      </c>
    </row>
    <row r="301" spans="1:5">
      <c r="A301">
        <v>11313</v>
      </c>
      <c r="B301">
        <v>900</v>
      </c>
      <c r="C301" s="455">
        <v>9.3079999999999998</v>
      </c>
      <c r="D301" s="455">
        <f t="shared" si="14"/>
        <v>17.341690476190475</v>
      </c>
      <c r="E301" s="637">
        <f t="shared" si="15"/>
        <v>40.66709523809525</v>
      </c>
    </row>
    <row r="302" spans="1:5">
      <c r="A302">
        <v>11313</v>
      </c>
      <c r="B302">
        <v>1000</v>
      </c>
      <c r="C302" s="455">
        <v>4.9589999999999996</v>
      </c>
      <c r="D302" s="455">
        <f t="shared" si="14"/>
        <v>9.2390892857142859</v>
      </c>
      <c r="E302" s="637">
        <f t="shared" si="15"/>
        <v>21.666107142857147</v>
      </c>
    </row>
    <row r="303" spans="1:5">
      <c r="A303">
        <v>11313</v>
      </c>
      <c r="B303">
        <v>1100</v>
      </c>
      <c r="C303" s="455">
        <v>1.296</v>
      </c>
      <c r="D303" s="455">
        <f t="shared" si="14"/>
        <v>2.4145714285714286</v>
      </c>
      <c r="E303" s="637">
        <f t="shared" si="15"/>
        <v>5.6622857142857157</v>
      </c>
    </row>
    <row r="304" spans="1:5">
      <c r="A304">
        <v>11313</v>
      </c>
      <c r="B304">
        <v>1200</v>
      </c>
      <c r="C304" s="455">
        <v>0</v>
      </c>
      <c r="D304" s="455">
        <f t="shared" si="14"/>
        <v>0</v>
      </c>
      <c r="E304" s="637">
        <f t="shared" si="15"/>
        <v>0</v>
      </c>
    </row>
    <row r="305" spans="1:5">
      <c r="A305">
        <v>11313</v>
      </c>
      <c r="B305">
        <v>1300</v>
      </c>
      <c r="C305" s="455">
        <v>1E-3</v>
      </c>
      <c r="D305" s="455">
        <f t="shared" si="14"/>
        <v>1.8630952380952381E-3</v>
      </c>
      <c r="E305" s="637">
        <f t="shared" si="15"/>
        <v>4.3690476190476205E-3</v>
      </c>
    </row>
    <row r="306" spans="1:5">
      <c r="A306">
        <v>11313</v>
      </c>
      <c r="B306">
        <v>1400</v>
      </c>
      <c r="C306" s="455">
        <v>0</v>
      </c>
      <c r="D306" s="455">
        <f t="shared" si="14"/>
        <v>0</v>
      </c>
      <c r="E306" s="637">
        <f t="shared" si="15"/>
        <v>0</v>
      </c>
    </row>
    <row r="307" spans="1:5">
      <c r="A307">
        <v>11313</v>
      </c>
      <c r="B307">
        <v>1500</v>
      </c>
      <c r="C307" s="455">
        <v>0</v>
      </c>
      <c r="D307" s="455">
        <f t="shared" si="14"/>
        <v>0</v>
      </c>
      <c r="E307" s="637">
        <f t="shared" si="15"/>
        <v>0</v>
      </c>
    </row>
    <row r="308" spans="1:5">
      <c r="A308">
        <v>11313</v>
      </c>
      <c r="B308">
        <v>1600</v>
      </c>
      <c r="C308" s="455">
        <v>0</v>
      </c>
      <c r="D308" s="455">
        <f t="shared" si="14"/>
        <v>0</v>
      </c>
      <c r="E308" s="637">
        <f t="shared" si="15"/>
        <v>0</v>
      </c>
    </row>
    <row r="309" spans="1:5">
      <c r="A309">
        <v>11313</v>
      </c>
      <c r="B309">
        <v>1700</v>
      </c>
      <c r="C309" s="455">
        <v>2.1549999999999998</v>
      </c>
      <c r="D309" s="455">
        <f t="shared" si="14"/>
        <v>4.0149702380952377</v>
      </c>
      <c r="E309" s="637">
        <f t="shared" si="15"/>
        <v>9.415297619047621</v>
      </c>
    </row>
    <row r="310" spans="1:5">
      <c r="A310">
        <v>11313</v>
      </c>
      <c r="B310">
        <v>1800</v>
      </c>
      <c r="C310" s="455">
        <v>7.9219999999999997</v>
      </c>
      <c r="D310" s="455">
        <f t="shared" si="14"/>
        <v>14.759440476190477</v>
      </c>
      <c r="E310" s="637">
        <f t="shared" si="15"/>
        <v>34.611595238095248</v>
      </c>
    </row>
    <row r="311" spans="1:5">
      <c r="A311">
        <v>11313</v>
      </c>
      <c r="B311">
        <v>1900</v>
      </c>
      <c r="C311" s="455">
        <v>7.3940000000000001</v>
      </c>
      <c r="D311" s="455">
        <f t="shared" si="14"/>
        <v>13.77572619047619</v>
      </c>
      <c r="E311" s="637">
        <f t="shared" si="15"/>
        <v>32.3047380952381</v>
      </c>
    </row>
    <row r="312" spans="1:5">
      <c r="A312">
        <v>11313</v>
      </c>
      <c r="B312">
        <v>2000</v>
      </c>
      <c r="C312" s="455">
        <v>7.3659999999999997</v>
      </c>
      <c r="D312" s="455">
        <f t="shared" si="14"/>
        <v>13.723559523809524</v>
      </c>
      <c r="E312" s="637">
        <f t="shared" si="15"/>
        <v>32.18240476190477</v>
      </c>
    </row>
    <row r="313" spans="1:5">
      <c r="A313">
        <v>11313</v>
      </c>
      <c r="B313">
        <v>2100</v>
      </c>
      <c r="C313" s="455">
        <v>7.59</v>
      </c>
      <c r="D313" s="455">
        <f t="shared" si="14"/>
        <v>14.140892857142857</v>
      </c>
      <c r="E313" s="637">
        <f t="shared" si="15"/>
        <v>33.161071428571439</v>
      </c>
    </row>
    <row r="314" spans="1:5">
      <c r="A314">
        <v>11313</v>
      </c>
      <c r="B314">
        <v>2200</v>
      </c>
      <c r="C314" s="455">
        <v>8.1259999999999994</v>
      </c>
      <c r="D314" s="455">
        <f t="shared" si="14"/>
        <v>15.139511904761905</v>
      </c>
      <c r="E314" s="637">
        <f t="shared" si="15"/>
        <v>35.502880952380963</v>
      </c>
    </row>
    <row r="315" spans="1:5">
      <c r="A315">
        <v>11313</v>
      </c>
      <c r="B315">
        <v>2300</v>
      </c>
      <c r="C315" s="455">
        <v>8.1159999999999997</v>
      </c>
      <c r="D315" s="455">
        <f t="shared" si="14"/>
        <v>15.120880952380951</v>
      </c>
      <c r="E315" s="637">
        <f t="shared" si="15"/>
        <v>35.459190476190486</v>
      </c>
    </row>
    <row r="316" spans="1:5">
      <c r="A316">
        <v>11313</v>
      </c>
      <c r="B316">
        <v>2400</v>
      </c>
      <c r="C316" s="455">
        <v>8.2669999999999995</v>
      </c>
      <c r="D316" s="455">
        <f t="shared" si="14"/>
        <v>15.402208333333332</v>
      </c>
      <c r="E316" s="637">
        <f t="shared" si="15"/>
        <v>36.118916666666671</v>
      </c>
    </row>
    <row r="317" spans="1:5">
      <c r="A317">
        <v>11413</v>
      </c>
      <c r="B317">
        <v>100</v>
      </c>
      <c r="C317" s="455">
        <v>8.157</v>
      </c>
      <c r="D317" s="455">
        <f t="shared" si="14"/>
        <v>15.197267857142856</v>
      </c>
      <c r="E317" s="637">
        <f t="shared" si="15"/>
        <v>35.638321428571437</v>
      </c>
    </row>
    <row r="318" spans="1:5">
      <c r="A318">
        <v>11413</v>
      </c>
      <c r="B318">
        <v>200</v>
      </c>
      <c r="C318" s="455">
        <v>8.5180000000000007</v>
      </c>
      <c r="D318" s="455">
        <f t="shared" si="14"/>
        <v>15.869845238095241</v>
      </c>
      <c r="E318" s="637">
        <f t="shared" si="15"/>
        <v>37.215547619047634</v>
      </c>
    </row>
    <row r="319" spans="1:5">
      <c r="A319">
        <v>11413</v>
      </c>
      <c r="B319">
        <v>300</v>
      </c>
      <c r="C319" s="455">
        <v>8.5519999999999996</v>
      </c>
      <c r="D319" s="455">
        <f t="shared" si="14"/>
        <v>15.933190476190477</v>
      </c>
      <c r="E319" s="637">
        <f t="shared" si="15"/>
        <v>37.364095238095246</v>
      </c>
    </row>
    <row r="320" spans="1:5">
      <c r="A320">
        <v>11413</v>
      </c>
      <c r="B320">
        <v>400</v>
      </c>
      <c r="C320" s="455">
        <v>8.4459999999999997</v>
      </c>
      <c r="D320" s="455">
        <f t="shared" si="14"/>
        <v>15.735702380952381</v>
      </c>
      <c r="E320" s="637">
        <f t="shared" si="15"/>
        <v>36.9009761904762</v>
      </c>
    </row>
    <row r="321" spans="1:5">
      <c r="A321">
        <v>11413</v>
      </c>
      <c r="B321">
        <v>500</v>
      </c>
      <c r="C321" s="455">
        <v>8.5879999999999992</v>
      </c>
      <c r="D321" s="455">
        <f t="shared" si="14"/>
        <v>16.000261904761903</v>
      </c>
      <c r="E321" s="637">
        <f t="shared" si="15"/>
        <v>37.521380952380959</v>
      </c>
    </row>
    <row r="322" spans="1:5">
      <c r="A322">
        <v>11413</v>
      </c>
      <c r="B322">
        <v>600</v>
      </c>
      <c r="C322" s="455">
        <v>8.5009999999999994</v>
      </c>
      <c r="D322" s="455">
        <f t="shared" si="14"/>
        <v>15.838172619047617</v>
      </c>
      <c r="E322" s="637">
        <f t="shared" si="15"/>
        <v>37.141273809523817</v>
      </c>
    </row>
    <row r="323" spans="1:5">
      <c r="A323">
        <v>11413</v>
      </c>
      <c r="B323">
        <v>700</v>
      </c>
      <c r="C323" s="455">
        <v>8.7579999999999991</v>
      </c>
      <c r="D323" s="455">
        <f t="shared" si="14"/>
        <v>16.316988095238095</v>
      </c>
      <c r="E323" s="637">
        <f t="shared" si="15"/>
        <v>38.264119047619054</v>
      </c>
    </row>
    <row r="324" spans="1:5">
      <c r="A324">
        <v>11413</v>
      </c>
      <c r="B324">
        <v>800</v>
      </c>
      <c r="C324" s="455">
        <v>8.8569999999999993</v>
      </c>
      <c r="D324" s="455">
        <f t="shared" si="14"/>
        <v>16.501434523809522</v>
      </c>
      <c r="E324" s="637">
        <f t="shared" si="15"/>
        <v>38.696654761904767</v>
      </c>
    </row>
    <row r="325" spans="1:5">
      <c r="A325">
        <v>11413</v>
      </c>
      <c r="B325">
        <v>900</v>
      </c>
      <c r="C325" s="455">
        <v>4.8170000000000002</v>
      </c>
      <c r="D325" s="455">
        <f t="shared" si="14"/>
        <v>8.9745297619047619</v>
      </c>
      <c r="E325" s="637">
        <f t="shared" si="15"/>
        <v>21.045702380952388</v>
      </c>
    </row>
    <row r="326" spans="1:5">
      <c r="A326">
        <v>11413</v>
      </c>
      <c r="B326">
        <v>1000</v>
      </c>
      <c r="C326" s="455">
        <v>0</v>
      </c>
      <c r="D326" s="455">
        <f t="shared" ref="D326:D389" si="16">(C326/(MAX($C$5:$C$748)))*$W$5</f>
        <v>0</v>
      </c>
      <c r="E326" s="637">
        <f t="shared" ref="E326:E389" si="17">(C326/(MAX($C$5:$C$748)))*$P$5</f>
        <v>0</v>
      </c>
    </row>
    <row r="327" spans="1:5">
      <c r="A327">
        <v>11413</v>
      </c>
      <c r="B327">
        <v>1100</v>
      </c>
      <c r="C327" s="455">
        <v>0</v>
      </c>
      <c r="D327" s="455">
        <f t="shared" si="16"/>
        <v>0</v>
      </c>
      <c r="E327" s="637">
        <f t="shared" si="17"/>
        <v>0</v>
      </c>
    </row>
    <row r="328" spans="1:5">
      <c r="A328">
        <v>11413</v>
      </c>
      <c r="B328">
        <v>1200</v>
      </c>
      <c r="C328" s="455">
        <v>0</v>
      </c>
      <c r="D328" s="455">
        <f t="shared" si="16"/>
        <v>0</v>
      </c>
      <c r="E328" s="637">
        <f t="shared" si="17"/>
        <v>0</v>
      </c>
    </row>
    <row r="329" spans="1:5">
      <c r="A329">
        <v>11413</v>
      </c>
      <c r="B329">
        <v>1300</v>
      </c>
      <c r="C329" s="455">
        <v>0</v>
      </c>
      <c r="D329" s="455">
        <f t="shared" si="16"/>
        <v>0</v>
      </c>
      <c r="E329" s="637">
        <f t="shared" si="17"/>
        <v>0</v>
      </c>
    </row>
    <row r="330" spans="1:5">
      <c r="A330">
        <v>11413</v>
      </c>
      <c r="B330">
        <v>1400</v>
      </c>
      <c r="C330" s="455">
        <v>0</v>
      </c>
      <c r="D330" s="455">
        <f t="shared" si="16"/>
        <v>0</v>
      </c>
      <c r="E330" s="637">
        <f t="shared" si="17"/>
        <v>0</v>
      </c>
    </row>
    <row r="331" spans="1:5">
      <c r="A331">
        <v>11413</v>
      </c>
      <c r="B331">
        <v>1500</v>
      </c>
      <c r="C331" s="455">
        <v>0</v>
      </c>
      <c r="D331" s="455">
        <f t="shared" si="16"/>
        <v>0</v>
      </c>
      <c r="E331" s="637">
        <f t="shared" si="17"/>
        <v>0</v>
      </c>
    </row>
    <row r="332" spans="1:5">
      <c r="A332">
        <v>11413</v>
      </c>
      <c r="B332">
        <v>1600</v>
      </c>
      <c r="C332" s="455">
        <v>4.0000000000000001E-3</v>
      </c>
      <c r="D332" s="455">
        <f t="shared" si="16"/>
        <v>7.4523809523809525E-3</v>
      </c>
      <c r="E332" s="637">
        <f t="shared" si="17"/>
        <v>1.7476190476190482E-2</v>
      </c>
    </row>
    <row r="333" spans="1:5">
      <c r="A333">
        <v>11413</v>
      </c>
      <c r="B333">
        <v>1700</v>
      </c>
      <c r="C333" s="455">
        <v>5.6440000000000001</v>
      </c>
      <c r="D333" s="455">
        <f t="shared" si="16"/>
        <v>10.515309523809524</v>
      </c>
      <c r="E333" s="637">
        <f t="shared" si="17"/>
        <v>24.658904761904772</v>
      </c>
    </row>
    <row r="334" spans="1:5">
      <c r="A334">
        <v>11413</v>
      </c>
      <c r="B334">
        <v>1800</v>
      </c>
      <c r="C334" s="455">
        <v>8.5980000000000008</v>
      </c>
      <c r="D334" s="455">
        <f t="shared" si="16"/>
        <v>16.018892857142859</v>
      </c>
      <c r="E334" s="637">
        <f t="shared" si="17"/>
        <v>37.565071428571443</v>
      </c>
    </row>
    <row r="335" spans="1:5">
      <c r="A335">
        <v>11413</v>
      </c>
      <c r="B335">
        <v>1900</v>
      </c>
      <c r="C335" s="455">
        <v>8.718</v>
      </c>
      <c r="D335" s="455">
        <f t="shared" si="16"/>
        <v>16.242464285714284</v>
      </c>
      <c r="E335" s="637">
        <f t="shared" si="17"/>
        <v>38.089357142857153</v>
      </c>
    </row>
    <row r="336" spans="1:5">
      <c r="A336">
        <v>11413</v>
      </c>
      <c r="B336">
        <v>2000</v>
      </c>
      <c r="C336" s="455">
        <v>8.5830000000000002</v>
      </c>
      <c r="D336" s="455">
        <f t="shared" si="16"/>
        <v>15.990946428571428</v>
      </c>
      <c r="E336" s="637">
        <f t="shared" si="17"/>
        <v>37.499535714285727</v>
      </c>
    </row>
    <row r="337" spans="1:5">
      <c r="A337">
        <v>11413</v>
      </c>
      <c r="B337">
        <v>2100</v>
      </c>
      <c r="C337" s="455">
        <v>8.6560000000000006</v>
      </c>
      <c r="D337" s="455">
        <f t="shared" si="16"/>
        <v>16.126952380952382</v>
      </c>
      <c r="E337" s="637">
        <f t="shared" si="17"/>
        <v>37.818476190476204</v>
      </c>
    </row>
    <row r="338" spans="1:5">
      <c r="A338">
        <v>11413</v>
      </c>
      <c r="B338">
        <v>2200</v>
      </c>
      <c r="C338" s="455">
        <v>8.5879999999999992</v>
      </c>
      <c r="D338" s="455">
        <f t="shared" si="16"/>
        <v>16.000261904761903</v>
      </c>
      <c r="E338" s="637">
        <f t="shared" si="17"/>
        <v>37.521380952380959</v>
      </c>
    </row>
    <row r="339" spans="1:5">
      <c r="A339">
        <v>11413</v>
      </c>
      <c r="B339">
        <v>2300</v>
      </c>
      <c r="C339" s="455">
        <v>8.6519999999999992</v>
      </c>
      <c r="D339" s="455">
        <f t="shared" si="16"/>
        <v>16.119499999999999</v>
      </c>
      <c r="E339" s="637">
        <f t="shared" si="17"/>
        <v>37.801000000000002</v>
      </c>
    </row>
    <row r="340" spans="1:5">
      <c r="A340">
        <v>11413</v>
      </c>
      <c r="B340">
        <v>2400</v>
      </c>
      <c r="C340" s="455">
        <v>8.65</v>
      </c>
      <c r="D340" s="455">
        <f t="shared" si="16"/>
        <v>16.115773809523809</v>
      </c>
      <c r="E340" s="637">
        <f t="shared" si="17"/>
        <v>37.792261904761915</v>
      </c>
    </row>
    <row r="341" spans="1:5">
      <c r="A341">
        <v>11513</v>
      </c>
      <c r="B341">
        <v>100</v>
      </c>
      <c r="C341" s="455">
        <v>8.8420000000000005</v>
      </c>
      <c r="D341" s="455">
        <f t="shared" si="16"/>
        <v>16.473488095238096</v>
      </c>
      <c r="E341" s="637">
        <f t="shared" si="17"/>
        <v>38.631119047619059</v>
      </c>
    </row>
    <row r="342" spans="1:5">
      <c r="A342">
        <v>11513</v>
      </c>
      <c r="B342">
        <v>200</v>
      </c>
      <c r="C342" s="455">
        <v>8.7430000000000003</v>
      </c>
      <c r="D342" s="455">
        <f t="shared" si="16"/>
        <v>16.28904166666667</v>
      </c>
      <c r="E342" s="637">
        <f t="shared" si="17"/>
        <v>38.198583333333346</v>
      </c>
    </row>
    <row r="343" spans="1:5">
      <c r="A343">
        <v>11513</v>
      </c>
      <c r="B343">
        <v>300</v>
      </c>
      <c r="C343" s="455">
        <v>8.8130000000000006</v>
      </c>
      <c r="D343" s="455">
        <f t="shared" si="16"/>
        <v>16.419458333333335</v>
      </c>
      <c r="E343" s="637">
        <f t="shared" si="17"/>
        <v>38.504416666666678</v>
      </c>
    </row>
    <row r="344" spans="1:5">
      <c r="A344">
        <v>11513</v>
      </c>
      <c r="B344">
        <v>400</v>
      </c>
      <c r="C344" s="455">
        <v>8.7639999999999993</v>
      </c>
      <c r="D344" s="455">
        <f t="shared" si="16"/>
        <v>16.328166666666664</v>
      </c>
      <c r="E344" s="637">
        <f t="shared" si="17"/>
        <v>38.290333333333344</v>
      </c>
    </row>
    <row r="345" spans="1:5">
      <c r="A345">
        <v>11513</v>
      </c>
      <c r="B345">
        <v>500</v>
      </c>
      <c r="C345" s="455">
        <v>8.6489999999999991</v>
      </c>
      <c r="D345" s="455">
        <f t="shared" si="16"/>
        <v>16.113910714285712</v>
      </c>
      <c r="E345" s="637">
        <f t="shared" si="17"/>
        <v>37.787892857142865</v>
      </c>
    </row>
    <row r="346" spans="1:5">
      <c r="A346">
        <v>11513</v>
      </c>
      <c r="B346">
        <v>600</v>
      </c>
      <c r="C346" s="455">
        <v>8.4979999999999993</v>
      </c>
      <c r="D346" s="455">
        <f t="shared" si="16"/>
        <v>15.832583333333334</v>
      </c>
      <c r="E346" s="637">
        <f t="shared" si="17"/>
        <v>37.128166666666679</v>
      </c>
    </row>
    <row r="347" spans="1:5">
      <c r="A347">
        <v>11513</v>
      </c>
      <c r="B347">
        <v>700</v>
      </c>
      <c r="C347" s="455">
        <v>8.7530000000000001</v>
      </c>
      <c r="D347" s="455">
        <f t="shared" si="16"/>
        <v>16.307672619047619</v>
      </c>
      <c r="E347" s="637">
        <f t="shared" si="17"/>
        <v>38.242273809523823</v>
      </c>
    </row>
    <row r="348" spans="1:5">
      <c r="A348">
        <v>11513</v>
      </c>
      <c r="B348">
        <v>800</v>
      </c>
      <c r="C348" s="455">
        <v>8.6310000000000002</v>
      </c>
      <c r="D348" s="455">
        <f t="shared" si="16"/>
        <v>16.080375</v>
      </c>
      <c r="E348" s="637">
        <f t="shared" si="17"/>
        <v>37.709250000000011</v>
      </c>
    </row>
    <row r="349" spans="1:5">
      <c r="A349">
        <v>11513</v>
      </c>
      <c r="B349">
        <v>900</v>
      </c>
      <c r="C349" s="455">
        <v>0.42199999999999999</v>
      </c>
      <c r="D349" s="455">
        <f t="shared" si="16"/>
        <v>0.78622619047619047</v>
      </c>
      <c r="E349" s="637">
        <f t="shared" si="17"/>
        <v>1.8437380952380957</v>
      </c>
    </row>
    <row r="350" spans="1:5">
      <c r="A350">
        <v>11513</v>
      </c>
      <c r="B350">
        <v>1000</v>
      </c>
      <c r="C350" s="455">
        <v>0</v>
      </c>
      <c r="D350" s="455">
        <f t="shared" si="16"/>
        <v>0</v>
      </c>
      <c r="E350" s="637">
        <f t="shared" si="17"/>
        <v>0</v>
      </c>
    </row>
    <row r="351" spans="1:5">
      <c r="A351">
        <v>11513</v>
      </c>
      <c r="B351">
        <v>1100</v>
      </c>
      <c r="C351" s="455">
        <v>0</v>
      </c>
      <c r="D351" s="455">
        <f t="shared" si="16"/>
        <v>0</v>
      </c>
      <c r="E351" s="637">
        <f t="shared" si="17"/>
        <v>0</v>
      </c>
    </row>
    <row r="352" spans="1:5">
      <c r="A352">
        <v>11513</v>
      </c>
      <c r="B352">
        <v>1200</v>
      </c>
      <c r="C352" s="455">
        <v>0</v>
      </c>
      <c r="D352" s="455">
        <f t="shared" si="16"/>
        <v>0</v>
      </c>
      <c r="E352" s="637">
        <f t="shared" si="17"/>
        <v>0</v>
      </c>
    </row>
    <row r="353" spans="1:5">
      <c r="A353">
        <v>11513</v>
      </c>
      <c r="B353">
        <v>1300</v>
      </c>
      <c r="C353" s="455">
        <v>0</v>
      </c>
      <c r="D353" s="455">
        <f t="shared" si="16"/>
        <v>0</v>
      </c>
      <c r="E353" s="637">
        <f t="shared" si="17"/>
        <v>0</v>
      </c>
    </row>
    <row r="354" spans="1:5">
      <c r="A354">
        <v>11513</v>
      </c>
      <c r="B354">
        <v>1400</v>
      </c>
      <c r="C354" s="455">
        <v>0</v>
      </c>
      <c r="D354" s="455">
        <f t="shared" si="16"/>
        <v>0</v>
      </c>
      <c r="E354" s="637">
        <f t="shared" si="17"/>
        <v>0</v>
      </c>
    </row>
    <row r="355" spans="1:5">
      <c r="A355">
        <v>11513</v>
      </c>
      <c r="B355">
        <v>1500</v>
      </c>
      <c r="C355" s="455">
        <v>0</v>
      </c>
      <c r="D355" s="455">
        <f t="shared" si="16"/>
        <v>0</v>
      </c>
      <c r="E355" s="637">
        <f t="shared" si="17"/>
        <v>0</v>
      </c>
    </row>
    <row r="356" spans="1:5">
      <c r="A356">
        <v>11513</v>
      </c>
      <c r="B356">
        <v>1600</v>
      </c>
      <c r="C356" s="455">
        <v>0</v>
      </c>
      <c r="D356" s="455">
        <f t="shared" si="16"/>
        <v>0</v>
      </c>
      <c r="E356" s="637">
        <f t="shared" si="17"/>
        <v>0</v>
      </c>
    </row>
    <row r="357" spans="1:5">
      <c r="A357">
        <v>11513</v>
      </c>
      <c r="B357">
        <v>1700</v>
      </c>
      <c r="C357" s="455">
        <v>0.64900000000000002</v>
      </c>
      <c r="D357" s="455">
        <f t="shared" si="16"/>
        <v>1.2091488095238097</v>
      </c>
      <c r="E357" s="637">
        <f t="shared" si="17"/>
        <v>2.8355119047619057</v>
      </c>
    </row>
    <row r="358" spans="1:5">
      <c r="A358">
        <v>11513</v>
      </c>
      <c r="B358">
        <v>1800</v>
      </c>
      <c r="C358" s="455">
        <v>9.5660000000000007</v>
      </c>
      <c r="D358" s="455">
        <f t="shared" si="16"/>
        <v>17.822369047619048</v>
      </c>
      <c r="E358" s="637">
        <f t="shared" si="17"/>
        <v>41.794309523809538</v>
      </c>
    </row>
    <row r="359" spans="1:5">
      <c r="A359">
        <v>11513</v>
      </c>
      <c r="B359">
        <v>1900</v>
      </c>
      <c r="C359" s="455">
        <v>8.32</v>
      </c>
      <c r="D359" s="455">
        <f t="shared" si="16"/>
        <v>15.500952380952382</v>
      </c>
      <c r="E359" s="637">
        <f t="shared" si="17"/>
        <v>36.350476190476201</v>
      </c>
    </row>
    <row r="360" spans="1:5">
      <c r="A360">
        <v>11513</v>
      </c>
      <c r="B360">
        <v>2000</v>
      </c>
      <c r="C360" s="455">
        <v>8.5820000000000007</v>
      </c>
      <c r="D360" s="455">
        <f t="shared" si="16"/>
        <v>15.989083333333335</v>
      </c>
      <c r="E360" s="637">
        <f t="shared" si="17"/>
        <v>37.495166666666684</v>
      </c>
    </row>
    <row r="361" spans="1:5">
      <c r="A361">
        <v>11513</v>
      </c>
      <c r="B361">
        <v>2100</v>
      </c>
      <c r="C361" s="455">
        <v>8.5109999999999992</v>
      </c>
      <c r="D361" s="455">
        <f t="shared" si="16"/>
        <v>15.856803571428571</v>
      </c>
      <c r="E361" s="637">
        <f t="shared" si="17"/>
        <v>37.184964285714294</v>
      </c>
    </row>
    <row r="362" spans="1:5">
      <c r="A362">
        <v>11513</v>
      </c>
      <c r="B362">
        <v>2200</v>
      </c>
      <c r="C362" s="455">
        <v>8.6590000000000007</v>
      </c>
      <c r="D362" s="455">
        <f t="shared" si="16"/>
        <v>16.132541666666668</v>
      </c>
      <c r="E362" s="637">
        <f t="shared" si="17"/>
        <v>37.831583333333349</v>
      </c>
    </row>
    <row r="363" spans="1:5">
      <c r="A363">
        <v>11513</v>
      </c>
      <c r="B363">
        <v>2300</v>
      </c>
      <c r="C363" s="455">
        <v>8.6579999999999995</v>
      </c>
      <c r="D363" s="455">
        <f t="shared" si="16"/>
        <v>16.130678571428572</v>
      </c>
      <c r="E363" s="637">
        <f t="shared" si="17"/>
        <v>37.827214285714291</v>
      </c>
    </row>
    <row r="364" spans="1:5">
      <c r="A364">
        <v>11513</v>
      </c>
      <c r="B364">
        <v>2400</v>
      </c>
      <c r="C364" s="455">
        <v>8.4670000000000005</v>
      </c>
      <c r="D364" s="455">
        <f t="shared" si="16"/>
        <v>15.774827380952381</v>
      </c>
      <c r="E364" s="637">
        <f t="shared" si="17"/>
        <v>36.992726190476198</v>
      </c>
    </row>
    <row r="365" spans="1:5">
      <c r="A365">
        <v>11613</v>
      </c>
      <c r="B365">
        <v>100</v>
      </c>
      <c r="C365" s="455">
        <v>8.7289999999999992</v>
      </c>
      <c r="D365" s="455">
        <f t="shared" si="16"/>
        <v>16.262958333333334</v>
      </c>
      <c r="E365" s="637">
        <f t="shared" si="17"/>
        <v>38.137416666666674</v>
      </c>
    </row>
    <row r="366" spans="1:5">
      <c r="A366">
        <v>11613</v>
      </c>
      <c r="B366">
        <v>200</v>
      </c>
      <c r="C366" s="455">
        <v>8.6980000000000004</v>
      </c>
      <c r="D366" s="455">
        <f t="shared" si="16"/>
        <v>16.205202380952382</v>
      </c>
      <c r="E366" s="637">
        <f t="shared" si="17"/>
        <v>38.001976190476206</v>
      </c>
    </row>
    <row r="367" spans="1:5">
      <c r="A367">
        <v>11613</v>
      </c>
      <c r="B367">
        <v>300</v>
      </c>
      <c r="C367" s="455">
        <v>8.6649999999999991</v>
      </c>
      <c r="D367" s="455">
        <f t="shared" si="16"/>
        <v>16.143720238095238</v>
      </c>
      <c r="E367" s="637">
        <f t="shared" si="17"/>
        <v>37.857797619047631</v>
      </c>
    </row>
    <row r="368" spans="1:5">
      <c r="A368">
        <v>11613</v>
      </c>
      <c r="B368">
        <v>400</v>
      </c>
      <c r="C368" s="455">
        <v>8.81</v>
      </c>
      <c r="D368" s="455">
        <f t="shared" si="16"/>
        <v>16.413869047619048</v>
      </c>
      <c r="E368" s="637">
        <f t="shared" si="17"/>
        <v>38.491309523809534</v>
      </c>
    </row>
    <row r="369" spans="1:5">
      <c r="A369">
        <v>11613</v>
      </c>
      <c r="B369">
        <v>500</v>
      </c>
      <c r="C369" s="455">
        <v>8.5939999999999994</v>
      </c>
      <c r="D369" s="455">
        <f t="shared" si="16"/>
        <v>16.011440476190476</v>
      </c>
      <c r="E369" s="637">
        <f t="shared" si="17"/>
        <v>37.547595238095248</v>
      </c>
    </row>
    <row r="370" spans="1:5">
      <c r="A370">
        <v>11613</v>
      </c>
      <c r="B370">
        <v>600</v>
      </c>
      <c r="C370" s="455">
        <v>8.73</v>
      </c>
      <c r="D370" s="455">
        <f t="shared" si="16"/>
        <v>16.26482142857143</v>
      </c>
      <c r="E370" s="637">
        <f t="shared" si="17"/>
        <v>38.141785714285724</v>
      </c>
    </row>
    <row r="371" spans="1:5">
      <c r="A371">
        <v>11613</v>
      </c>
      <c r="B371">
        <v>700</v>
      </c>
      <c r="C371" s="455">
        <v>8.6530000000000005</v>
      </c>
      <c r="D371" s="455">
        <f t="shared" si="16"/>
        <v>16.121363095238095</v>
      </c>
      <c r="E371" s="637">
        <f t="shared" si="17"/>
        <v>37.80536904761906</v>
      </c>
    </row>
    <row r="372" spans="1:5">
      <c r="A372">
        <v>11613</v>
      </c>
      <c r="B372">
        <v>800</v>
      </c>
      <c r="C372" s="455">
        <v>8.6750000000000007</v>
      </c>
      <c r="D372" s="455">
        <f t="shared" si="16"/>
        <v>16.162351190476191</v>
      </c>
      <c r="E372" s="637">
        <f t="shared" si="17"/>
        <v>37.901488095238108</v>
      </c>
    </row>
    <row r="373" spans="1:5">
      <c r="A373">
        <v>11613</v>
      </c>
      <c r="B373">
        <v>900</v>
      </c>
      <c r="C373" s="455">
        <v>2.2570000000000001</v>
      </c>
      <c r="D373" s="455">
        <f t="shared" si="16"/>
        <v>4.2050059523809526</v>
      </c>
      <c r="E373" s="637">
        <f t="shared" si="17"/>
        <v>9.8609404761904784</v>
      </c>
    </row>
    <row r="374" spans="1:5">
      <c r="A374">
        <v>11613</v>
      </c>
      <c r="B374">
        <v>1000</v>
      </c>
      <c r="C374" s="455">
        <v>0</v>
      </c>
      <c r="D374" s="455">
        <f t="shared" si="16"/>
        <v>0</v>
      </c>
      <c r="E374" s="637">
        <f t="shared" si="17"/>
        <v>0</v>
      </c>
    </row>
    <row r="375" spans="1:5">
      <c r="A375">
        <v>11613</v>
      </c>
      <c r="B375">
        <v>1100</v>
      </c>
      <c r="C375" s="455">
        <v>0</v>
      </c>
      <c r="D375" s="455">
        <f t="shared" si="16"/>
        <v>0</v>
      </c>
      <c r="E375" s="637">
        <f t="shared" si="17"/>
        <v>0</v>
      </c>
    </row>
    <row r="376" spans="1:5">
      <c r="A376">
        <v>11613</v>
      </c>
      <c r="B376">
        <v>1200</v>
      </c>
      <c r="C376" s="455">
        <v>2.052</v>
      </c>
      <c r="D376" s="455">
        <f t="shared" si="16"/>
        <v>3.8230714285714287</v>
      </c>
      <c r="E376" s="637">
        <f t="shared" si="17"/>
        <v>8.9652857142857165</v>
      </c>
    </row>
    <row r="377" spans="1:5">
      <c r="A377">
        <v>11613</v>
      </c>
      <c r="B377">
        <v>1300</v>
      </c>
      <c r="C377" s="455">
        <v>2.484</v>
      </c>
      <c r="D377" s="455">
        <f t="shared" si="16"/>
        <v>4.6279285714285718</v>
      </c>
      <c r="E377" s="637">
        <f t="shared" si="17"/>
        <v>10.852714285714288</v>
      </c>
    </row>
    <row r="378" spans="1:5">
      <c r="A378">
        <v>11613</v>
      </c>
      <c r="B378">
        <v>1400</v>
      </c>
      <c r="C378" s="455">
        <v>0.32400000000000001</v>
      </c>
      <c r="D378" s="455">
        <f t="shared" si="16"/>
        <v>0.60364285714285715</v>
      </c>
      <c r="E378" s="637">
        <f t="shared" si="17"/>
        <v>1.4155714285714289</v>
      </c>
    </row>
    <row r="379" spans="1:5">
      <c r="A379">
        <v>11613</v>
      </c>
      <c r="B379">
        <v>1500</v>
      </c>
      <c r="C379" s="455">
        <v>0</v>
      </c>
      <c r="D379" s="455">
        <f t="shared" si="16"/>
        <v>0</v>
      </c>
      <c r="E379" s="637">
        <f t="shared" si="17"/>
        <v>0</v>
      </c>
    </row>
    <row r="380" spans="1:5">
      <c r="A380">
        <v>11613</v>
      </c>
      <c r="B380">
        <v>1600</v>
      </c>
      <c r="C380" s="455">
        <v>0</v>
      </c>
      <c r="D380" s="455">
        <f t="shared" si="16"/>
        <v>0</v>
      </c>
      <c r="E380" s="637">
        <f t="shared" si="17"/>
        <v>0</v>
      </c>
    </row>
    <row r="381" spans="1:5">
      <c r="A381">
        <v>11613</v>
      </c>
      <c r="B381">
        <v>1700</v>
      </c>
      <c r="C381" s="455">
        <v>0.20699999999999999</v>
      </c>
      <c r="D381" s="455">
        <f t="shared" si="16"/>
        <v>0.38566071428571425</v>
      </c>
      <c r="E381" s="637">
        <f t="shared" si="17"/>
        <v>0.90439285714285722</v>
      </c>
    </row>
    <row r="382" spans="1:5">
      <c r="A382">
        <v>11613</v>
      </c>
      <c r="B382">
        <v>1800</v>
      </c>
      <c r="C382" s="455">
        <v>8.0749999999999993</v>
      </c>
      <c r="D382" s="455">
        <f t="shared" si="16"/>
        <v>15.044494047619045</v>
      </c>
      <c r="E382" s="637">
        <f t="shared" si="17"/>
        <v>35.280059523809527</v>
      </c>
    </row>
    <row r="383" spans="1:5">
      <c r="A383">
        <v>11613</v>
      </c>
      <c r="B383">
        <v>1900</v>
      </c>
      <c r="C383" s="455">
        <v>8.6129999999999995</v>
      </c>
      <c r="D383" s="455">
        <f t="shared" si="16"/>
        <v>16.046839285714285</v>
      </c>
      <c r="E383" s="637">
        <f t="shared" si="17"/>
        <v>37.630607142857151</v>
      </c>
    </row>
    <row r="384" spans="1:5">
      <c r="A384">
        <v>11613</v>
      </c>
      <c r="B384">
        <v>2000</v>
      </c>
      <c r="C384" s="455">
        <v>8.5429999999999993</v>
      </c>
      <c r="D384" s="455">
        <f t="shared" si="16"/>
        <v>15.916422619047619</v>
      </c>
      <c r="E384" s="637">
        <f t="shared" si="17"/>
        <v>37.324773809523819</v>
      </c>
    </row>
    <row r="385" spans="1:5">
      <c r="A385">
        <v>11613</v>
      </c>
      <c r="B385">
        <v>2100</v>
      </c>
      <c r="C385" s="455">
        <v>8.5730000000000004</v>
      </c>
      <c r="D385" s="455">
        <f t="shared" si="16"/>
        <v>15.972315476190477</v>
      </c>
      <c r="E385" s="637">
        <f t="shared" si="17"/>
        <v>37.45584523809525</v>
      </c>
    </row>
    <row r="386" spans="1:5">
      <c r="A386">
        <v>11613</v>
      </c>
      <c r="B386">
        <v>2200</v>
      </c>
      <c r="C386" s="455">
        <v>8.5060000000000002</v>
      </c>
      <c r="D386" s="455">
        <f t="shared" si="16"/>
        <v>15.847488095238097</v>
      </c>
      <c r="E386" s="637">
        <f t="shared" si="17"/>
        <v>37.163119047619062</v>
      </c>
    </row>
    <row r="387" spans="1:5">
      <c r="A387">
        <v>11613</v>
      </c>
      <c r="B387">
        <v>2300</v>
      </c>
      <c r="C387" s="455">
        <v>8.5839999999999996</v>
      </c>
      <c r="D387" s="455">
        <f t="shared" si="16"/>
        <v>15.992809523809525</v>
      </c>
      <c r="E387" s="637">
        <f t="shared" si="17"/>
        <v>37.503904761904771</v>
      </c>
    </row>
    <row r="388" spans="1:5">
      <c r="A388">
        <v>11613</v>
      </c>
      <c r="B388">
        <v>2400</v>
      </c>
      <c r="C388" s="455">
        <v>8.5549999999999997</v>
      </c>
      <c r="D388" s="455">
        <f t="shared" si="16"/>
        <v>15.93877976190476</v>
      </c>
      <c r="E388" s="637">
        <f t="shared" si="17"/>
        <v>37.37720238095239</v>
      </c>
    </row>
    <row r="389" spans="1:5">
      <c r="A389">
        <v>11713</v>
      </c>
      <c r="B389">
        <v>100</v>
      </c>
      <c r="C389" s="455">
        <v>8.65</v>
      </c>
      <c r="D389" s="455">
        <f t="shared" si="16"/>
        <v>16.115773809523809</v>
      </c>
      <c r="E389" s="637">
        <f t="shared" si="17"/>
        <v>37.792261904761915</v>
      </c>
    </row>
    <row r="390" spans="1:5">
      <c r="A390">
        <v>11713</v>
      </c>
      <c r="B390">
        <v>200</v>
      </c>
      <c r="C390" s="455">
        <v>8.5809999999999995</v>
      </c>
      <c r="D390" s="455">
        <f t="shared" ref="D390:D453" si="18">(C390/(MAX($C$5:$C$748)))*$W$5</f>
        <v>15.987220238095238</v>
      </c>
      <c r="E390" s="637">
        <f t="shared" ref="E390:E453" si="19">(C390/(MAX($C$5:$C$748)))*$P$5</f>
        <v>37.490797619047626</v>
      </c>
    </row>
    <row r="391" spans="1:5">
      <c r="A391">
        <v>11713</v>
      </c>
      <c r="B391">
        <v>300</v>
      </c>
      <c r="C391" s="455">
        <v>8.6579999999999995</v>
      </c>
      <c r="D391" s="455">
        <f t="shared" si="18"/>
        <v>16.130678571428572</v>
      </c>
      <c r="E391" s="637">
        <f t="shared" si="19"/>
        <v>37.827214285714291</v>
      </c>
    </row>
    <row r="392" spans="1:5">
      <c r="A392">
        <v>11713</v>
      </c>
      <c r="B392">
        <v>400</v>
      </c>
      <c r="C392" s="455">
        <v>8.73</v>
      </c>
      <c r="D392" s="455">
        <f t="shared" si="18"/>
        <v>16.26482142857143</v>
      </c>
      <c r="E392" s="637">
        <f t="shared" si="19"/>
        <v>38.141785714285724</v>
      </c>
    </row>
    <row r="393" spans="1:5">
      <c r="A393">
        <v>11713</v>
      </c>
      <c r="B393">
        <v>500</v>
      </c>
      <c r="C393" s="455">
        <v>8.7669999999999995</v>
      </c>
      <c r="D393" s="455">
        <f t="shared" si="18"/>
        <v>16.333755952380951</v>
      </c>
      <c r="E393" s="637">
        <f t="shared" si="19"/>
        <v>38.303440476190488</v>
      </c>
    </row>
    <row r="394" spans="1:5">
      <c r="A394">
        <v>11713</v>
      </c>
      <c r="B394">
        <v>600</v>
      </c>
      <c r="C394" s="455">
        <v>9.3369999999999997</v>
      </c>
      <c r="D394" s="455">
        <f t="shared" si="18"/>
        <v>17.395720238095237</v>
      </c>
      <c r="E394" s="637">
        <f t="shared" si="19"/>
        <v>40.793797619047631</v>
      </c>
    </row>
    <row r="395" spans="1:5">
      <c r="A395">
        <v>11713</v>
      </c>
      <c r="B395">
        <v>700</v>
      </c>
      <c r="C395" s="455">
        <v>9.1839999999999993</v>
      </c>
      <c r="D395" s="455">
        <f t="shared" si="18"/>
        <v>17.110666666666667</v>
      </c>
      <c r="E395" s="637">
        <f t="shared" si="19"/>
        <v>40.125333333333344</v>
      </c>
    </row>
    <row r="396" spans="1:5">
      <c r="A396">
        <v>11713</v>
      </c>
      <c r="B396">
        <v>800</v>
      </c>
      <c r="C396" s="455">
        <v>9.5419999999999998</v>
      </c>
      <c r="D396" s="455">
        <f t="shared" si="18"/>
        <v>17.77765476190476</v>
      </c>
      <c r="E396" s="637">
        <f t="shared" si="19"/>
        <v>41.689452380952389</v>
      </c>
    </row>
    <row r="397" spans="1:5">
      <c r="A397">
        <v>11713</v>
      </c>
      <c r="B397">
        <v>900</v>
      </c>
      <c r="C397" s="455">
        <v>0.97299999999999998</v>
      </c>
      <c r="D397" s="455">
        <f t="shared" si="18"/>
        <v>1.8127916666666666</v>
      </c>
      <c r="E397" s="637">
        <f t="shared" si="19"/>
        <v>4.2510833333333347</v>
      </c>
    </row>
    <row r="398" spans="1:5">
      <c r="A398">
        <v>11713</v>
      </c>
      <c r="B398">
        <v>1000</v>
      </c>
      <c r="C398" s="455">
        <v>1E-3</v>
      </c>
      <c r="D398" s="455">
        <f t="shared" si="18"/>
        <v>1.8630952380952381E-3</v>
      </c>
      <c r="E398" s="637">
        <f t="shared" si="19"/>
        <v>4.3690476190476205E-3</v>
      </c>
    </row>
    <row r="399" spans="1:5">
      <c r="A399">
        <v>11713</v>
      </c>
      <c r="B399">
        <v>1100</v>
      </c>
      <c r="C399" s="455">
        <v>0</v>
      </c>
      <c r="D399" s="455">
        <f t="shared" si="18"/>
        <v>0</v>
      </c>
      <c r="E399" s="637">
        <f t="shared" si="19"/>
        <v>0</v>
      </c>
    </row>
    <row r="400" spans="1:5">
      <c r="A400">
        <v>11713</v>
      </c>
      <c r="B400">
        <v>1200</v>
      </c>
      <c r="C400" s="455">
        <v>0</v>
      </c>
      <c r="D400" s="455">
        <f t="shared" si="18"/>
        <v>0</v>
      </c>
      <c r="E400" s="637">
        <f t="shared" si="19"/>
        <v>0</v>
      </c>
    </row>
    <row r="401" spans="1:5">
      <c r="A401">
        <v>11713</v>
      </c>
      <c r="B401">
        <v>1300</v>
      </c>
      <c r="C401" s="455">
        <v>0</v>
      </c>
      <c r="D401" s="455">
        <f t="shared" si="18"/>
        <v>0</v>
      </c>
      <c r="E401" s="637">
        <f t="shared" si="19"/>
        <v>0</v>
      </c>
    </row>
    <row r="402" spans="1:5">
      <c r="A402">
        <v>11713</v>
      </c>
      <c r="B402">
        <v>1400</v>
      </c>
      <c r="C402" s="455">
        <v>0</v>
      </c>
      <c r="D402" s="455">
        <f t="shared" si="18"/>
        <v>0</v>
      </c>
      <c r="E402" s="637">
        <f t="shared" si="19"/>
        <v>0</v>
      </c>
    </row>
    <row r="403" spans="1:5">
      <c r="A403">
        <v>11713</v>
      </c>
      <c r="B403">
        <v>1500</v>
      </c>
      <c r="C403" s="455">
        <v>0</v>
      </c>
      <c r="D403" s="455">
        <f t="shared" si="18"/>
        <v>0</v>
      </c>
      <c r="E403" s="637">
        <f t="shared" si="19"/>
        <v>0</v>
      </c>
    </row>
    <row r="404" spans="1:5">
      <c r="A404">
        <v>11713</v>
      </c>
      <c r="B404">
        <v>1600</v>
      </c>
      <c r="C404" s="455">
        <v>0</v>
      </c>
      <c r="D404" s="455">
        <f t="shared" si="18"/>
        <v>0</v>
      </c>
      <c r="E404" s="637">
        <f t="shared" si="19"/>
        <v>0</v>
      </c>
    </row>
    <row r="405" spans="1:5">
      <c r="A405">
        <v>11713</v>
      </c>
      <c r="B405">
        <v>1700</v>
      </c>
      <c r="C405" s="455">
        <v>1.9410000000000001</v>
      </c>
      <c r="D405" s="455">
        <f t="shared" si="18"/>
        <v>3.6162678571428577</v>
      </c>
      <c r="E405" s="637">
        <f t="shared" si="19"/>
        <v>8.4803214285714308</v>
      </c>
    </row>
    <row r="406" spans="1:5">
      <c r="A406">
        <v>11713</v>
      </c>
      <c r="B406">
        <v>1800</v>
      </c>
      <c r="C406" s="455">
        <v>9.5109999999999992</v>
      </c>
      <c r="D406" s="455">
        <f t="shared" si="18"/>
        <v>17.719898809523809</v>
      </c>
      <c r="E406" s="637">
        <f t="shared" si="19"/>
        <v>41.554011904761914</v>
      </c>
    </row>
    <row r="407" spans="1:5">
      <c r="A407">
        <v>11713</v>
      </c>
      <c r="B407">
        <v>1900</v>
      </c>
      <c r="C407" s="455">
        <v>9.2609999999999992</v>
      </c>
      <c r="D407" s="455">
        <f t="shared" si="18"/>
        <v>17.254124999999998</v>
      </c>
      <c r="E407" s="637">
        <f t="shared" si="19"/>
        <v>40.461750000000009</v>
      </c>
    </row>
    <row r="408" spans="1:5">
      <c r="A408">
        <v>11713</v>
      </c>
      <c r="B408">
        <v>2000</v>
      </c>
      <c r="C408" s="455">
        <v>9.4090000000000007</v>
      </c>
      <c r="D408" s="455">
        <f t="shared" si="18"/>
        <v>17.529863095238095</v>
      </c>
      <c r="E408" s="637">
        <f t="shared" si="19"/>
        <v>41.108369047619064</v>
      </c>
    </row>
    <row r="409" spans="1:5">
      <c r="A409">
        <v>11713</v>
      </c>
      <c r="B409">
        <v>2100</v>
      </c>
      <c r="C409" s="455">
        <v>9.7010000000000005</v>
      </c>
      <c r="D409" s="455">
        <f t="shared" si="18"/>
        <v>18.073886904761906</v>
      </c>
      <c r="E409" s="637">
        <f t="shared" si="19"/>
        <v>42.384130952380964</v>
      </c>
    </row>
    <row r="410" spans="1:5">
      <c r="A410">
        <v>11713</v>
      </c>
      <c r="B410">
        <v>2200</v>
      </c>
      <c r="C410" s="455">
        <v>9.5609999999999999</v>
      </c>
      <c r="D410" s="455">
        <f t="shared" si="18"/>
        <v>17.813053571428572</v>
      </c>
      <c r="E410" s="637">
        <f t="shared" si="19"/>
        <v>41.772464285714292</v>
      </c>
    </row>
    <row r="411" spans="1:5">
      <c r="A411">
        <v>11713</v>
      </c>
      <c r="B411">
        <v>2300</v>
      </c>
      <c r="C411" s="455">
        <v>9.2739999999999991</v>
      </c>
      <c r="D411" s="455">
        <f t="shared" si="18"/>
        <v>17.278345238095238</v>
      </c>
      <c r="E411" s="637">
        <f t="shared" si="19"/>
        <v>40.518547619047631</v>
      </c>
    </row>
    <row r="412" spans="1:5">
      <c r="A412">
        <v>11713</v>
      </c>
      <c r="B412">
        <v>2400</v>
      </c>
      <c r="C412" s="455">
        <v>9.7080000000000002</v>
      </c>
      <c r="D412" s="455">
        <f t="shared" si="18"/>
        <v>18.086928571428572</v>
      </c>
      <c r="E412" s="637">
        <f t="shared" si="19"/>
        <v>42.414714285714297</v>
      </c>
    </row>
    <row r="413" spans="1:5">
      <c r="A413">
        <v>11813</v>
      </c>
      <c r="B413">
        <v>100</v>
      </c>
      <c r="C413" s="455">
        <v>9.2379999999999995</v>
      </c>
      <c r="D413" s="455">
        <f t="shared" si="18"/>
        <v>17.21127380952381</v>
      </c>
      <c r="E413" s="637">
        <f t="shared" si="19"/>
        <v>40.361261904761911</v>
      </c>
    </row>
    <row r="414" spans="1:5">
      <c r="A414">
        <v>11813</v>
      </c>
      <c r="B414">
        <v>200</v>
      </c>
      <c r="C414" s="455">
        <v>9.5619999999999994</v>
      </c>
      <c r="D414" s="455">
        <f t="shared" si="18"/>
        <v>17.814916666666665</v>
      </c>
      <c r="E414" s="637">
        <f t="shared" si="19"/>
        <v>41.776833333333343</v>
      </c>
    </row>
    <row r="415" spans="1:5">
      <c r="A415">
        <v>11813</v>
      </c>
      <c r="B415">
        <v>300</v>
      </c>
      <c r="C415" s="455">
        <v>9.6370000000000005</v>
      </c>
      <c r="D415" s="455">
        <f t="shared" si="18"/>
        <v>17.95464880952381</v>
      </c>
      <c r="E415" s="637">
        <f t="shared" si="19"/>
        <v>42.104511904761914</v>
      </c>
    </row>
    <row r="416" spans="1:5">
      <c r="A416">
        <v>11813</v>
      </c>
      <c r="B416">
        <v>400</v>
      </c>
      <c r="C416" s="455">
        <v>9.64</v>
      </c>
      <c r="D416" s="455">
        <f t="shared" si="18"/>
        <v>17.960238095238097</v>
      </c>
      <c r="E416" s="637">
        <f t="shared" si="19"/>
        <v>42.117619047619058</v>
      </c>
    </row>
    <row r="417" spans="1:5">
      <c r="A417">
        <v>11813</v>
      </c>
      <c r="B417">
        <v>500</v>
      </c>
      <c r="C417" s="455">
        <v>9.7140000000000004</v>
      </c>
      <c r="D417" s="455">
        <f t="shared" si="18"/>
        <v>18.098107142857145</v>
      </c>
      <c r="E417" s="637">
        <f t="shared" si="19"/>
        <v>42.440928571428586</v>
      </c>
    </row>
    <row r="418" spans="1:5">
      <c r="A418">
        <v>11813</v>
      </c>
      <c r="B418">
        <v>600</v>
      </c>
      <c r="C418" s="455">
        <v>9.7059999999999995</v>
      </c>
      <c r="D418" s="455">
        <f t="shared" si="18"/>
        <v>18.083202380952379</v>
      </c>
      <c r="E418" s="637">
        <f t="shared" si="19"/>
        <v>42.405976190476196</v>
      </c>
    </row>
    <row r="419" spans="1:5">
      <c r="A419">
        <v>11813</v>
      </c>
      <c r="B419">
        <v>700</v>
      </c>
      <c r="C419" s="455">
        <v>9.4809999999999999</v>
      </c>
      <c r="D419" s="455">
        <f t="shared" si="18"/>
        <v>17.664005952380954</v>
      </c>
      <c r="E419" s="637">
        <f t="shared" si="19"/>
        <v>41.42294047619049</v>
      </c>
    </row>
    <row r="420" spans="1:5">
      <c r="A420">
        <v>11813</v>
      </c>
      <c r="B420">
        <v>800</v>
      </c>
      <c r="C420" s="455">
        <v>9.58</v>
      </c>
      <c r="D420" s="455">
        <f t="shared" si="18"/>
        <v>17.848452380952381</v>
      </c>
      <c r="E420" s="637">
        <f t="shared" si="19"/>
        <v>41.855476190476203</v>
      </c>
    </row>
    <row r="421" spans="1:5">
      <c r="A421">
        <v>11813</v>
      </c>
      <c r="B421">
        <v>900</v>
      </c>
      <c r="C421" s="455">
        <v>7.0709999999999997</v>
      </c>
      <c r="D421" s="455">
        <f t="shared" si="18"/>
        <v>13.173946428571428</v>
      </c>
      <c r="E421" s="637">
        <f t="shared" si="19"/>
        <v>30.893535714285722</v>
      </c>
    </row>
    <row r="422" spans="1:5">
      <c r="A422">
        <v>11813</v>
      </c>
      <c r="B422">
        <v>1000</v>
      </c>
      <c r="C422" s="455">
        <v>0.127</v>
      </c>
      <c r="D422" s="455">
        <f t="shared" si="18"/>
        <v>0.23661309523809523</v>
      </c>
      <c r="E422" s="637">
        <f t="shared" si="19"/>
        <v>0.55486904761904776</v>
      </c>
    </row>
    <row r="423" spans="1:5">
      <c r="A423">
        <v>11813</v>
      </c>
      <c r="B423">
        <v>1100</v>
      </c>
      <c r="C423" s="455">
        <v>0</v>
      </c>
      <c r="D423" s="455">
        <f t="shared" si="18"/>
        <v>0</v>
      </c>
      <c r="E423" s="637">
        <f t="shared" si="19"/>
        <v>0</v>
      </c>
    </row>
    <row r="424" spans="1:5">
      <c r="A424">
        <v>11813</v>
      </c>
      <c r="B424">
        <v>1200</v>
      </c>
      <c r="C424" s="455">
        <v>0</v>
      </c>
      <c r="D424" s="455">
        <f t="shared" si="18"/>
        <v>0</v>
      </c>
      <c r="E424" s="637">
        <f t="shared" si="19"/>
        <v>0</v>
      </c>
    </row>
    <row r="425" spans="1:5">
      <c r="A425">
        <v>11813</v>
      </c>
      <c r="B425">
        <v>1300</v>
      </c>
      <c r="C425" s="455">
        <v>1E-3</v>
      </c>
      <c r="D425" s="455">
        <f t="shared" si="18"/>
        <v>1.8630952380952381E-3</v>
      </c>
      <c r="E425" s="637">
        <f t="shared" si="19"/>
        <v>4.3690476190476205E-3</v>
      </c>
    </row>
    <row r="426" spans="1:5">
      <c r="A426">
        <v>11813</v>
      </c>
      <c r="B426">
        <v>1400</v>
      </c>
      <c r="C426" s="455">
        <v>1E-3</v>
      </c>
      <c r="D426" s="455">
        <f t="shared" si="18"/>
        <v>1.8630952380952381E-3</v>
      </c>
      <c r="E426" s="637">
        <f t="shared" si="19"/>
        <v>4.3690476190476205E-3</v>
      </c>
    </row>
    <row r="427" spans="1:5">
      <c r="A427">
        <v>11813</v>
      </c>
      <c r="B427">
        <v>1500</v>
      </c>
      <c r="C427" s="455">
        <v>0</v>
      </c>
      <c r="D427" s="455">
        <f t="shared" si="18"/>
        <v>0</v>
      </c>
      <c r="E427" s="637">
        <f t="shared" si="19"/>
        <v>0</v>
      </c>
    </row>
    <row r="428" spans="1:5">
      <c r="A428">
        <v>11813</v>
      </c>
      <c r="B428">
        <v>1600</v>
      </c>
      <c r="C428" s="455">
        <v>7.3999999999999996E-2</v>
      </c>
      <c r="D428" s="455">
        <f t="shared" si="18"/>
        <v>0.13786904761904761</v>
      </c>
      <c r="E428" s="637">
        <f t="shared" si="19"/>
        <v>0.32330952380952388</v>
      </c>
    </row>
    <row r="429" spans="1:5">
      <c r="A429">
        <v>11813</v>
      </c>
      <c r="B429">
        <v>1700</v>
      </c>
      <c r="C429" s="455">
        <v>4.399</v>
      </c>
      <c r="D429" s="455">
        <f t="shared" si="18"/>
        <v>8.1957559523809529</v>
      </c>
      <c r="E429" s="637">
        <f t="shared" si="19"/>
        <v>19.219440476190481</v>
      </c>
    </row>
    <row r="430" spans="1:5">
      <c r="A430">
        <v>11813</v>
      </c>
      <c r="B430">
        <v>1800</v>
      </c>
      <c r="C430" s="455">
        <v>8.9380000000000006</v>
      </c>
      <c r="D430" s="455">
        <f t="shared" si="18"/>
        <v>16.65234523809524</v>
      </c>
      <c r="E430" s="637">
        <f t="shared" si="19"/>
        <v>39.050547619047634</v>
      </c>
    </row>
    <row r="431" spans="1:5">
      <c r="A431">
        <v>11813</v>
      </c>
      <c r="B431">
        <v>1900</v>
      </c>
      <c r="C431" s="455">
        <v>8.77</v>
      </c>
      <c r="D431" s="455">
        <f t="shared" si="18"/>
        <v>16.339345238095238</v>
      </c>
      <c r="E431" s="637">
        <f t="shared" si="19"/>
        <v>38.316547619047633</v>
      </c>
    </row>
    <row r="432" spans="1:5">
      <c r="A432">
        <v>11813</v>
      </c>
      <c r="B432">
        <v>2000</v>
      </c>
      <c r="C432" s="455">
        <v>8.7750000000000004</v>
      </c>
      <c r="D432" s="455">
        <f t="shared" si="18"/>
        <v>16.348660714285714</v>
      </c>
      <c r="E432" s="637">
        <f t="shared" si="19"/>
        <v>38.338392857142871</v>
      </c>
    </row>
    <row r="433" spans="1:5">
      <c r="A433">
        <v>11813</v>
      </c>
      <c r="B433">
        <v>2100</v>
      </c>
      <c r="C433" s="455">
        <v>8.657</v>
      </c>
      <c r="D433" s="455">
        <f t="shared" si="18"/>
        <v>16.128815476190479</v>
      </c>
      <c r="E433" s="637">
        <f t="shared" si="19"/>
        <v>37.822845238095248</v>
      </c>
    </row>
    <row r="434" spans="1:5">
      <c r="A434">
        <v>11813</v>
      </c>
      <c r="B434">
        <v>2200</v>
      </c>
      <c r="C434" s="455">
        <v>8.5839999999999996</v>
      </c>
      <c r="D434" s="455">
        <f t="shared" si="18"/>
        <v>15.992809523809525</v>
      </c>
      <c r="E434" s="637">
        <f t="shared" si="19"/>
        <v>37.503904761904771</v>
      </c>
    </row>
    <row r="435" spans="1:5">
      <c r="A435">
        <v>11813</v>
      </c>
      <c r="B435">
        <v>2300</v>
      </c>
      <c r="C435" s="455">
        <v>8.6969999999999992</v>
      </c>
      <c r="D435" s="455">
        <f t="shared" si="18"/>
        <v>16.203339285714286</v>
      </c>
      <c r="E435" s="637">
        <f t="shared" si="19"/>
        <v>37.997607142857149</v>
      </c>
    </row>
    <row r="436" spans="1:5">
      <c r="A436">
        <v>11813</v>
      </c>
      <c r="B436">
        <v>2400</v>
      </c>
      <c r="C436" s="455">
        <v>8.734</v>
      </c>
      <c r="D436" s="455">
        <f t="shared" si="18"/>
        <v>16.27227380952381</v>
      </c>
      <c r="E436" s="637">
        <f t="shared" si="19"/>
        <v>38.159261904761912</v>
      </c>
    </row>
    <row r="437" spans="1:5">
      <c r="A437">
        <v>11913</v>
      </c>
      <c r="B437">
        <v>100</v>
      </c>
      <c r="C437" s="455">
        <v>8.5969999999999995</v>
      </c>
      <c r="D437" s="455">
        <f t="shared" si="18"/>
        <v>16.017029761904762</v>
      </c>
      <c r="E437" s="637">
        <f t="shared" si="19"/>
        <v>37.560702380952392</v>
      </c>
    </row>
    <row r="438" spans="1:5">
      <c r="A438">
        <v>11913</v>
      </c>
      <c r="B438">
        <v>200</v>
      </c>
      <c r="C438" s="455">
        <v>8.7420000000000009</v>
      </c>
      <c r="D438" s="455">
        <f t="shared" si="18"/>
        <v>16.287178571428573</v>
      </c>
      <c r="E438" s="637">
        <f t="shared" si="19"/>
        <v>38.194214285714295</v>
      </c>
    </row>
    <row r="439" spans="1:5">
      <c r="A439">
        <v>11913</v>
      </c>
      <c r="B439">
        <v>300</v>
      </c>
      <c r="C439" s="455">
        <v>8.6630000000000003</v>
      </c>
      <c r="D439" s="455">
        <f t="shared" si="18"/>
        <v>16.139994047619048</v>
      </c>
      <c r="E439" s="637">
        <f t="shared" si="19"/>
        <v>37.849059523809537</v>
      </c>
    </row>
    <row r="440" spans="1:5">
      <c r="A440">
        <v>11913</v>
      </c>
      <c r="B440">
        <v>400</v>
      </c>
      <c r="C440" s="455">
        <v>8.593</v>
      </c>
      <c r="D440" s="455">
        <f t="shared" si="18"/>
        <v>16.009577380952379</v>
      </c>
      <c r="E440" s="637">
        <f t="shared" si="19"/>
        <v>37.543226190476197</v>
      </c>
    </row>
    <row r="441" spans="1:5">
      <c r="A441">
        <v>11913</v>
      </c>
      <c r="B441">
        <v>500</v>
      </c>
      <c r="C441" s="455">
        <v>8.7330000000000005</v>
      </c>
      <c r="D441" s="455">
        <f t="shared" si="18"/>
        <v>16.270410714285717</v>
      </c>
      <c r="E441" s="637">
        <f t="shared" si="19"/>
        <v>38.154892857142869</v>
      </c>
    </row>
    <row r="442" spans="1:5">
      <c r="A442">
        <v>11913</v>
      </c>
      <c r="B442">
        <v>600</v>
      </c>
      <c r="C442" s="455">
        <v>8.5139999999999993</v>
      </c>
      <c r="D442" s="455">
        <f t="shared" si="18"/>
        <v>15.862392857142858</v>
      </c>
      <c r="E442" s="637">
        <f t="shared" si="19"/>
        <v>37.198071428571438</v>
      </c>
    </row>
    <row r="443" spans="1:5">
      <c r="A443">
        <v>11913</v>
      </c>
      <c r="B443">
        <v>700</v>
      </c>
      <c r="C443" s="455">
        <v>8.5429999999999993</v>
      </c>
      <c r="D443" s="455">
        <f t="shared" si="18"/>
        <v>15.916422619047619</v>
      </c>
      <c r="E443" s="637">
        <f t="shared" si="19"/>
        <v>37.324773809523819</v>
      </c>
    </row>
    <row r="444" spans="1:5">
      <c r="A444">
        <v>11913</v>
      </c>
      <c r="B444">
        <v>800</v>
      </c>
      <c r="C444" s="455">
        <v>8.5180000000000007</v>
      </c>
      <c r="D444" s="455">
        <f t="shared" si="18"/>
        <v>15.869845238095241</v>
      </c>
      <c r="E444" s="637">
        <f t="shared" si="19"/>
        <v>37.215547619047634</v>
      </c>
    </row>
    <row r="445" spans="1:5">
      <c r="A445">
        <v>11913</v>
      </c>
      <c r="B445">
        <v>900</v>
      </c>
      <c r="C445" s="455">
        <v>0.57599999999999996</v>
      </c>
      <c r="D445" s="455">
        <f t="shared" si="18"/>
        <v>1.0731428571428572</v>
      </c>
      <c r="E445" s="637">
        <f t="shared" si="19"/>
        <v>2.5165714285714289</v>
      </c>
    </row>
    <row r="446" spans="1:5">
      <c r="A446">
        <v>11913</v>
      </c>
      <c r="B446">
        <v>1000</v>
      </c>
      <c r="C446" s="455">
        <v>0</v>
      </c>
      <c r="D446" s="455">
        <f t="shared" si="18"/>
        <v>0</v>
      </c>
      <c r="E446" s="637">
        <f t="shared" si="19"/>
        <v>0</v>
      </c>
    </row>
    <row r="447" spans="1:5">
      <c r="A447">
        <v>11913</v>
      </c>
      <c r="B447">
        <v>1100</v>
      </c>
      <c r="C447" s="455">
        <v>0</v>
      </c>
      <c r="D447" s="455">
        <f t="shared" si="18"/>
        <v>0</v>
      </c>
      <c r="E447" s="637">
        <f t="shared" si="19"/>
        <v>0</v>
      </c>
    </row>
    <row r="448" spans="1:5">
      <c r="A448">
        <v>11913</v>
      </c>
      <c r="B448">
        <v>1200</v>
      </c>
      <c r="C448" s="455">
        <v>0</v>
      </c>
      <c r="D448" s="455">
        <f t="shared" si="18"/>
        <v>0</v>
      </c>
      <c r="E448" s="637">
        <f t="shared" si="19"/>
        <v>0</v>
      </c>
    </row>
    <row r="449" spans="1:5">
      <c r="A449">
        <v>11913</v>
      </c>
      <c r="B449">
        <v>1300</v>
      </c>
      <c r="C449" s="455">
        <v>1E-3</v>
      </c>
      <c r="D449" s="455">
        <f t="shared" si="18"/>
        <v>1.8630952380952381E-3</v>
      </c>
      <c r="E449" s="637">
        <f t="shared" si="19"/>
        <v>4.3690476190476205E-3</v>
      </c>
    </row>
    <row r="450" spans="1:5">
      <c r="A450">
        <v>11913</v>
      </c>
      <c r="B450">
        <v>1400</v>
      </c>
      <c r="C450" s="455">
        <v>0</v>
      </c>
      <c r="D450" s="455">
        <f t="shared" si="18"/>
        <v>0</v>
      </c>
      <c r="E450" s="637">
        <f t="shared" si="19"/>
        <v>0</v>
      </c>
    </row>
    <row r="451" spans="1:5">
      <c r="A451">
        <v>11913</v>
      </c>
      <c r="B451">
        <v>1500</v>
      </c>
      <c r="C451" s="455">
        <v>0</v>
      </c>
      <c r="D451" s="455">
        <f t="shared" si="18"/>
        <v>0</v>
      </c>
      <c r="E451" s="637">
        <f t="shared" si="19"/>
        <v>0</v>
      </c>
    </row>
    <row r="452" spans="1:5">
      <c r="A452">
        <v>11913</v>
      </c>
      <c r="B452">
        <v>1600</v>
      </c>
      <c r="C452" s="455">
        <v>0</v>
      </c>
      <c r="D452" s="455">
        <f t="shared" si="18"/>
        <v>0</v>
      </c>
      <c r="E452" s="637">
        <f t="shared" si="19"/>
        <v>0</v>
      </c>
    </row>
    <row r="453" spans="1:5">
      <c r="A453">
        <v>11913</v>
      </c>
      <c r="B453">
        <v>1700</v>
      </c>
      <c r="C453" s="455">
        <v>1.093</v>
      </c>
      <c r="D453" s="455">
        <f t="shared" si="18"/>
        <v>2.0363630952380953</v>
      </c>
      <c r="E453" s="637">
        <f t="shared" si="19"/>
        <v>4.7753690476190487</v>
      </c>
    </row>
    <row r="454" spans="1:5">
      <c r="A454">
        <v>11913</v>
      </c>
      <c r="B454">
        <v>1800</v>
      </c>
      <c r="C454" s="455">
        <v>7.7530000000000001</v>
      </c>
      <c r="D454" s="455">
        <f t="shared" ref="D454:D517" si="20">(C454/(MAX($C$5:$C$748)))*$W$5</f>
        <v>14.444577380952381</v>
      </c>
      <c r="E454" s="637">
        <f t="shared" ref="E454:E517" si="21">(C454/(MAX($C$5:$C$748)))*$P$5</f>
        <v>33.873226190476203</v>
      </c>
    </row>
    <row r="455" spans="1:5">
      <c r="A455">
        <v>11913</v>
      </c>
      <c r="B455">
        <v>1900</v>
      </c>
      <c r="C455" s="455">
        <v>8.0370000000000008</v>
      </c>
      <c r="D455" s="455">
        <f t="shared" si="20"/>
        <v>14.973696428571431</v>
      </c>
      <c r="E455" s="637">
        <f t="shared" si="21"/>
        <v>35.114035714285727</v>
      </c>
    </row>
    <row r="456" spans="1:5">
      <c r="A456">
        <v>11913</v>
      </c>
      <c r="B456">
        <v>2000</v>
      </c>
      <c r="C456" s="455">
        <v>8.5839999999999996</v>
      </c>
      <c r="D456" s="455">
        <f t="shared" si="20"/>
        <v>15.992809523809525</v>
      </c>
      <c r="E456" s="637">
        <f t="shared" si="21"/>
        <v>37.503904761904771</v>
      </c>
    </row>
    <row r="457" spans="1:5">
      <c r="A457">
        <v>11913</v>
      </c>
      <c r="B457">
        <v>2100</v>
      </c>
      <c r="C457" s="455">
        <v>8.4160000000000004</v>
      </c>
      <c r="D457" s="455">
        <f t="shared" si="20"/>
        <v>15.679809523809524</v>
      </c>
      <c r="E457" s="637">
        <f t="shared" si="21"/>
        <v>36.769904761904769</v>
      </c>
    </row>
    <row r="458" spans="1:5">
      <c r="A458">
        <v>11913</v>
      </c>
      <c r="B458">
        <v>2200</v>
      </c>
      <c r="C458" s="455">
        <v>8.1560000000000006</v>
      </c>
      <c r="D458" s="455">
        <f t="shared" si="20"/>
        <v>15.195404761904763</v>
      </c>
      <c r="E458" s="637">
        <f t="shared" si="21"/>
        <v>35.633952380952394</v>
      </c>
    </row>
    <row r="459" spans="1:5">
      <c r="A459">
        <v>11913</v>
      </c>
      <c r="B459">
        <v>2300</v>
      </c>
      <c r="C459" s="455">
        <v>8.5969999999999995</v>
      </c>
      <c r="D459" s="455">
        <f t="shared" si="20"/>
        <v>16.017029761904762</v>
      </c>
      <c r="E459" s="637">
        <f t="shared" si="21"/>
        <v>37.560702380952392</v>
      </c>
    </row>
    <row r="460" spans="1:5">
      <c r="A460">
        <v>11913</v>
      </c>
      <c r="B460">
        <v>2400</v>
      </c>
      <c r="C460" s="455">
        <v>8.5670000000000002</v>
      </c>
      <c r="D460" s="455">
        <f t="shared" si="20"/>
        <v>15.961136904761904</v>
      </c>
      <c r="E460" s="637">
        <f t="shared" si="21"/>
        <v>37.429630952380961</v>
      </c>
    </row>
    <row r="461" spans="1:5">
      <c r="A461">
        <v>12013</v>
      </c>
      <c r="B461">
        <v>100</v>
      </c>
      <c r="C461" s="455">
        <v>8.2449999999999992</v>
      </c>
      <c r="D461" s="455">
        <f t="shared" si="20"/>
        <v>15.361220238095235</v>
      </c>
      <c r="E461" s="637">
        <f t="shared" si="21"/>
        <v>36.022797619047623</v>
      </c>
    </row>
    <row r="462" spans="1:5">
      <c r="A462">
        <v>12013</v>
      </c>
      <c r="B462">
        <v>200</v>
      </c>
      <c r="C462" s="455">
        <v>8.4969999999999999</v>
      </c>
      <c r="D462" s="455">
        <f t="shared" si="20"/>
        <v>15.830720238095237</v>
      </c>
      <c r="E462" s="637">
        <f t="shared" si="21"/>
        <v>37.123797619047629</v>
      </c>
    </row>
    <row r="463" spans="1:5">
      <c r="A463">
        <v>12013</v>
      </c>
      <c r="B463">
        <v>300</v>
      </c>
      <c r="C463" s="455">
        <v>8.3190000000000008</v>
      </c>
      <c r="D463" s="455">
        <f t="shared" si="20"/>
        <v>15.499089285714287</v>
      </c>
      <c r="E463" s="637">
        <f t="shared" si="21"/>
        <v>36.346107142857157</v>
      </c>
    </row>
    <row r="464" spans="1:5">
      <c r="A464">
        <v>12013</v>
      </c>
      <c r="B464">
        <v>400</v>
      </c>
      <c r="C464" s="455">
        <v>8.7370000000000001</v>
      </c>
      <c r="D464" s="455">
        <f t="shared" si="20"/>
        <v>16.277863095238096</v>
      </c>
      <c r="E464" s="637">
        <f t="shared" si="21"/>
        <v>38.172369047619057</v>
      </c>
    </row>
    <row r="465" spans="1:5">
      <c r="A465">
        <v>12013</v>
      </c>
      <c r="B465">
        <v>500</v>
      </c>
      <c r="C465" s="455">
        <v>8.6820000000000004</v>
      </c>
      <c r="D465" s="455">
        <f t="shared" si="20"/>
        <v>16.17539285714286</v>
      </c>
      <c r="E465" s="637">
        <f t="shared" si="21"/>
        <v>37.93207142857144</v>
      </c>
    </row>
    <row r="466" spans="1:5">
      <c r="A466">
        <v>12013</v>
      </c>
      <c r="B466">
        <v>600</v>
      </c>
      <c r="C466" s="455">
        <v>8.9659999999999993</v>
      </c>
      <c r="D466" s="455">
        <f t="shared" si="20"/>
        <v>16.704511904761905</v>
      </c>
      <c r="E466" s="637">
        <f t="shared" si="21"/>
        <v>39.172880952380957</v>
      </c>
    </row>
    <row r="467" spans="1:5">
      <c r="A467">
        <v>12013</v>
      </c>
      <c r="B467">
        <v>700</v>
      </c>
      <c r="C467" s="455">
        <v>8.9930000000000003</v>
      </c>
      <c r="D467" s="455">
        <f t="shared" si="20"/>
        <v>16.754815476190476</v>
      </c>
      <c r="E467" s="637">
        <f t="shared" si="21"/>
        <v>39.290845238095251</v>
      </c>
    </row>
    <row r="468" spans="1:5">
      <c r="A468">
        <v>12013</v>
      </c>
      <c r="B468">
        <v>800</v>
      </c>
      <c r="C468" s="455">
        <v>8.9320000000000004</v>
      </c>
      <c r="D468" s="455">
        <f t="shared" si="20"/>
        <v>16.641166666666667</v>
      </c>
      <c r="E468" s="637">
        <f t="shared" si="21"/>
        <v>39.024333333333345</v>
      </c>
    </row>
    <row r="469" spans="1:5">
      <c r="A469">
        <v>12013</v>
      </c>
      <c r="B469">
        <v>900</v>
      </c>
      <c r="C469" s="455">
        <v>0.70499999999999996</v>
      </c>
      <c r="D469" s="455">
        <f t="shared" si="20"/>
        <v>1.3134821428571428</v>
      </c>
      <c r="E469" s="637">
        <f t="shared" si="21"/>
        <v>3.0801785714285725</v>
      </c>
    </row>
    <row r="470" spans="1:5">
      <c r="A470">
        <v>12013</v>
      </c>
      <c r="B470">
        <v>1000</v>
      </c>
      <c r="C470" s="455">
        <v>0</v>
      </c>
      <c r="D470" s="455">
        <f t="shared" si="20"/>
        <v>0</v>
      </c>
      <c r="E470" s="637">
        <f t="shared" si="21"/>
        <v>0</v>
      </c>
    </row>
    <row r="471" spans="1:5">
      <c r="A471">
        <v>12013</v>
      </c>
      <c r="B471">
        <v>1100</v>
      </c>
      <c r="C471" s="455">
        <v>1E-3</v>
      </c>
      <c r="D471" s="455">
        <f t="shared" si="20"/>
        <v>1.8630952380952381E-3</v>
      </c>
      <c r="E471" s="637">
        <f t="shared" si="21"/>
        <v>4.3690476190476205E-3</v>
      </c>
    </row>
    <row r="472" spans="1:5">
      <c r="A472">
        <v>12013</v>
      </c>
      <c r="B472">
        <v>1200</v>
      </c>
      <c r="C472" s="455">
        <v>0</v>
      </c>
      <c r="D472" s="455">
        <f t="shared" si="20"/>
        <v>0</v>
      </c>
      <c r="E472" s="637">
        <f t="shared" si="21"/>
        <v>0</v>
      </c>
    </row>
    <row r="473" spans="1:5">
      <c r="A473">
        <v>12013</v>
      </c>
      <c r="B473">
        <v>1300</v>
      </c>
      <c r="C473" s="455">
        <v>0</v>
      </c>
      <c r="D473" s="455">
        <f t="shared" si="20"/>
        <v>0</v>
      </c>
      <c r="E473" s="637">
        <f t="shared" si="21"/>
        <v>0</v>
      </c>
    </row>
    <row r="474" spans="1:5">
      <c r="A474">
        <v>12013</v>
      </c>
      <c r="B474">
        <v>1400</v>
      </c>
      <c r="C474" s="455">
        <v>0</v>
      </c>
      <c r="D474" s="455">
        <f t="shared" si="20"/>
        <v>0</v>
      </c>
      <c r="E474" s="637">
        <f t="shared" si="21"/>
        <v>0</v>
      </c>
    </row>
    <row r="475" spans="1:5">
      <c r="A475">
        <v>12013</v>
      </c>
      <c r="B475">
        <v>1500</v>
      </c>
      <c r="C475" s="455">
        <v>0</v>
      </c>
      <c r="D475" s="455">
        <f t="shared" si="20"/>
        <v>0</v>
      </c>
      <c r="E475" s="637">
        <f t="shared" si="21"/>
        <v>0</v>
      </c>
    </row>
    <row r="476" spans="1:5">
      <c r="A476">
        <v>12013</v>
      </c>
      <c r="B476">
        <v>1600</v>
      </c>
      <c r="C476" s="455">
        <v>3.0000000000000001E-3</v>
      </c>
      <c r="D476" s="455">
        <f t="shared" si="20"/>
        <v>5.5892857142857142E-3</v>
      </c>
      <c r="E476" s="637">
        <f t="shared" si="21"/>
        <v>1.3107142857142861E-2</v>
      </c>
    </row>
    <row r="477" spans="1:5">
      <c r="A477">
        <v>12013</v>
      </c>
      <c r="B477">
        <v>1700</v>
      </c>
      <c r="C477" s="455">
        <v>5.7000000000000002E-2</v>
      </c>
      <c r="D477" s="455">
        <f t="shared" si="20"/>
        <v>0.10619642857142857</v>
      </c>
      <c r="E477" s="637">
        <f t="shared" si="21"/>
        <v>0.24903571428571436</v>
      </c>
    </row>
    <row r="478" spans="1:5">
      <c r="A478">
        <v>12013</v>
      </c>
      <c r="B478">
        <v>1800</v>
      </c>
      <c r="C478" s="455">
        <v>8.3469999999999995</v>
      </c>
      <c r="D478" s="455">
        <f t="shared" si="20"/>
        <v>15.551255952380952</v>
      </c>
      <c r="E478" s="637">
        <f t="shared" si="21"/>
        <v>36.468440476190487</v>
      </c>
    </row>
    <row r="479" spans="1:5">
      <c r="A479">
        <v>12013</v>
      </c>
      <c r="B479">
        <v>1900</v>
      </c>
      <c r="C479" s="455">
        <v>9.0609999999999999</v>
      </c>
      <c r="D479" s="455">
        <f t="shared" si="20"/>
        <v>16.881505952380952</v>
      </c>
      <c r="E479" s="637">
        <f t="shared" si="21"/>
        <v>39.587940476190489</v>
      </c>
    </row>
    <row r="480" spans="1:5">
      <c r="A480">
        <v>12013</v>
      </c>
      <c r="B480">
        <v>2000</v>
      </c>
      <c r="C480" s="455">
        <v>9.0730000000000004</v>
      </c>
      <c r="D480" s="455">
        <f t="shared" si="20"/>
        <v>16.903863095238094</v>
      </c>
      <c r="E480" s="637">
        <f t="shared" si="21"/>
        <v>39.64036904761906</v>
      </c>
    </row>
    <row r="481" spans="1:5">
      <c r="A481">
        <v>12013</v>
      </c>
      <c r="B481">
        <v>2100</v>
      </c>
      <c r="C481" s="455">
        <v>8.9749999999999996</v>
      </c>
      <c r="D481" s="455">
        <f t="shared" si="20"/>
        <v>16.721279761904761</v>
      </c>
      <c r="E481" s="637">
        <f t="shared" si="21"/>
        <v>39.212202380952391</v>
      </c>
    </row>
    <row r="482" spans="1:5">
      <c r="A482">
        <v>12013</v>
      </c>
      <c r="B482">
        <v>2200</v>
      </c>
      <c r="C482" s="455">
        <v>9.2919999999999998</v>
      </c>
      <c r="D482" s="455">
        <f t="shared" si="20"/>
        <v>17.311880952380953</v>
      </c>
      <c r="E482" s="637">
        <f t="shared" si="21"/>
        <v>40.597190476190484</v>
      </c>
    </row>
    <row r="483" spans="1:5">
      <c r="A483">
        <v>12013</v>
      </c>
      <c r="B483">
        <v>2300</v>
      </c>
      <c r="C483" s="455">
        <v>9.2859999999999996</v>
      </c>
      <c r="D483" s="455">
        <f t="shared" si="20"/>
        <v>17.30070238095238</v>
      </c>
      <c r="E483" s="637">
        <f t="shared" si="21"/>
        <v>40.570976190476202</v>
      </c>
    </row>
    <row r="484" spans="1:5">
      <c r="A484">
        <v>12013</v>
      </c>
      <c r="B484">
        <v>2400</v>
      </c>
      <c r="C484" s="455">
        <v>9.2829999999999995</v>
      </c>
      <c r="D484" s="455">
        <f t="shared" si="20"/>
        <v>17.295113095238094</v>
      </c>
      <c r="E484" s="637">
        <f t="shared" si="21"/>
        <v>40.557869047619057</v>
      </c>
    </row>
    <row r="485" spans="1:5">
      <c r="A485">
        <v>12113</v>
      </c>
      <c r="B485">
        <v>100</v>
      </c>
      <c r="C485" s="455">
        <v>9.3960000000000008</v>
      </c>
      <c r="D485" s="455">
        <f t="shared" si="20"/>
        <v>17.50564285714286</v>
      </c>
      <c r="E485" s="637">
        <f t="shared" si="21"/>
        <v>41.051571428571442</v>
      </c>
    </row>
    <row r="486" spans="1:5">
      <c r="A486">
        <v>12113</v>
      </c>
      <c r="B486">
        <v>200</v>
      </c>
      <c r="C486" s="455">
        <v>8.9550000000000001</v>
      </c>
      <c r="D486" s="455">
        <f t="shared" si="20"/>
        <v>16.684017857142859</v>
      </c>
      <c r="E486" s="637">
        <f t="shared" si="21"/>
        <v>39.124821428571437</v>
      </c>
    </row>
    <row r="487" spans="1:5">
      <c r="A487">
        <v>12113</v>
      </c>
      <c r="B487">
        <v>300</v>
      </c>
      <c r="C487" s="455">
        <v>9.3520000000000003</v>
      </c>
      <c r="D487" s="455">
        <f t="shared" si="20"/>
        <v>17.423666666666669</v>
      </c>
      <c r="E487" s="637">
        <f t="shared" si="21"/>
        <v>40.859333333333346</v>
      </c>
    </row>
    <row r="488" spans="1:5">
      <c r="A488">
        <v>12113</v>
      </c>
      <c r="B488">
        <v>400</v>
      </c>
      <c r="C488" s="455">
        <v>9.3190000000000008</v>
      </c>
      <c r="D488" s="455">
        <f t="shared" si="20"/>
        <v>17.362184523809525</v>
      </c>
      <c r="E488" s="637">
        <f t="shared" si="21"/>
        <v>40.715154761904778</v>
      </c>
    </row>
    <row r="489" spans="1:5">
      <c r="A489">
        <v>12113</v>
      </c>
      <c r="B489">
        <v>500</v>
      </c>
      <c r="C489" s="455">
        <v>9.1300000000000008</v>
      </c>
      <c r="D489" s="455">
        <f t="shared" si="20"/>
        <v>17.010059523809524</v>
      </c>
      <c r="E489" s="637">
        <f t="shared" si="21"/>
        <v>39.889404761904771</v>
      </c>
    </row>
    <row r="490" spans="1:5">
      <c r="A490">
        <v>12113</v>
      </c>
      <c r="B490">
        <v>600</v>
      </c>
      <c r="C490" s="455">
        <v>9.2319999999999993</v>
      </c>
      <c r="D490" s="455">
        <f t="shared" si="20"/>
        <v>17.200095238095237</v>
      </c>
      <c r="E490" s="637">
        <f t="shared" si="21"/>
        <v>40.335047619047629</v>
      </c>
    </row>
    <row r="491" spans="1:5">
      <c r="A491">
        <v>12113</v>
      </c>
      <c r="B491">
        <v>700</v>
      </c>
      <c r="C491" s="455">
        <v>9.1869999999999994</v>
      </c>
      <c r="D491" s="455">
        <f t="shared" si="20"/>
        <v>17.116255952380953</v>
      </c>
      <c r="E491" s="637">
        <f t="shared" si="21"/>
        <v>40.138440476190482</v>
      </c>
    </row>
    <row r="492" spans="1:5">
      <c r="A492">
        <v>12113</v>
      </c>
      <c r="B492">
        <v>800</v>
      </c>
      <c r="C492" s="455">
        <v>8.8000000000000007</v>
      </c>
      <c r="D492" s="455">
        <f t="shared" si="20"/>
        <v>16.395238095238096</v>
      </c>
      <c r="E492" s="637">
        <f t="shared" si="21"/>
        <v>38.447619047619064</v>
      </c>
    </row>
    <row r="493" spans="1:5">
      <c r="A493">
        <v>12113</v>
      </c>
      <c r="B493">
        <v>900</v>
      </c>
      <c r="C493" s="455">
        <v>1.597</v>
      </c>
      <c r="D493" s="455">
        <f t="shared" si="20"/>
        <v>2.9753630952380954</v>
      </c>
      <c r="E493" s="637">
        <f t="shared" si="21"/>
        <v>6.9773690476190495</v>
      </c>
    </row>
    <row r="494" spans="1:5">
      <c r="A494">
        <v>12113</v>
      </c>
      <c r="B494">
        <v>1000</v>
      </c>
      <c r="C494" s="455">
        <v>0</v>
      </c>
      <c r="D494" s="455">
        <f t="shared" si="20"/>
        <v>0</v>
      </c>
      <c r="E494" s="637">
        <f t="shared" si="21"/>
        <v>0</v>
      </c>
    </row>
    <row r="495" spans="1:5">
      <c r="A495">
        <v>12113</v>
      </c>
      <c r="B495">
        <v>1100</v>
      </c>
      <c r="C495" s="455">
        <v>1E-3</v>
      </c>
      <c r="D495" s="455">
        <f t="shared" si="20"/>
        <v>1.8630952380952381E-3</v>
      </c>
      <c r="E495" s="637">
        <f t="shared" si="21"/>
        <v>4.3690476190476205E-3</v>
      </c>
    </row>
    <row r="496" spans="1:5">
      <c r="A496">
        <v>12113</v>
      </c>
      <c r="B496">
        <v>1200</v>
      </c>
      <c r="C496" s="455">
        <v>0</v>
      </c>
      <c r="D496" s="455">
        <f t="shared" si="20"/>
        <v>0</v>
      </c>
      <c r="E496" s="637">
        <f t="shared" si="21"/>
        <v>0</v>
      </c>
    </row>
    <row r="497" spans="1:5">
      <c r="A497">
        <v>12113</v>
      </c>
      <c r="B497">
        <v>1300</v>
      </c>
      <c r="C497" s="455">
        <v>0</v>
      </c>
      <c r="D497" s="455">
        <f t="shared" si="20"/>
        <v>0</v>
      </c>
      <c r="E497" s="637">
        <f t="shared" si="21"/>
        <v>0</v>
      </c>
    </row>
    <row r="498" spans="1:5">
      <c r="A498">
        <v>12113</v>
      </c>
      <c r="B498">
        <v>1400</v>
      </c>
      <c r="C498" s="455">
        <v>0</v>
      </c>
      <c r="D498" s="455">
        <f t="shared" si="20"/>
        <v>0</v>
      </c>
      <c r="E498" s="637">
        <f t="shared" si="21"/>
        <v>0</v>
      </c>
    </row>
    <row r="499" spans="1:5">
      <c r="A499">
        <v>12113</v>
      </c>
      <c r="B499">
        <v>1500</v>
      </c>
      <c r="C499" s="455">
        <v>0</v>
      </c>
      <c r="D499" s="455">
        <f t="shared" si="20"/>
        <v>0</v>
      </c>
      <c r="E499" s="637">
        <f t="shared" si="21"/>
        <v>0</v>
      </c>
    </row>
    <row r="500" spans="1:5">
      <c r="A500">
        <v>12113</v>
      </c>
      <c r="B500">
        <v>1600</v>
      </c>
      <c r="C500" s="455">
        <v>0</v>
      </c>
      <c r="D500" s="455">
        <f t="shared" si="20"/>
        <v>0</v>
      </c>
      <c r="E500" s="637">
        <f t="shared" si="21"/>
        <v>0</v>
      </c>
    </row>
    <row r="501" spans="1:5">
      <c r="A501">
        <v>12113</v>
      </c>
      <c r="B501">
        <v>1700</v>
      </c>
      <c r="C501" s="455">
        <v>1.4E-2</v>
      </c>
      <c r="D501" s="455">
        <f t="shared" si="20"/>
        <v>2.6083333333333337E-2</v>
      </c>
      <c r="E501" s="637">
        <f t="shared" si="21"/>
        <v>6.1166666666666689E-2</v>
      </c>
    </row>
    <row r="502" spans="1:5">
      <c r="A502">
        <v>12113</v>
      </c>
      <c r="B502">
        <v>1800</v>
      </c>
      <c r="C502" s="455">
        <v>7.9059999999999997</v>
      </c>
      <c r="D502" s="455">
        <f t="shared" si="20"/>
        <v>14.729630952380953</v>
      </c>
      <c r="E502" s="637">
        <f t="shared" si="21"/>
        <v>34.541690476190482</v>
      </c>
    </row>
    <row r="503" spans="1:5">
      <c r="A503">
        <v>12113</v>
      </c>
      <c r="B503">
        <v>1900</v>
      </c>
      <c r="C503" s="455">
        <v>9.2289999999999992</v>
      </c>
      <c r="D503" s="455">
        <f t="shared" si="20"/>
        <v>17.19450595238095</v>
      </c>
      <c r="E503" s="637">
        <f t="shared" si="21"/>
        <v>40.321940476190484</v>
      </c>
    </row>
    <row r="504" spans="1:5">
      <c r="A504">
        <v>12113</v>
      </c>
      <c r="B504">
        <v>2000</v>
      </c>
      <c r="C504" s="455">
        <v>9.3460000000000001</v>
      </c>
      <c r="D504" s="455">
        <f t="shared" si="20"/>
        <v>17.412488095238096</v>
      </c>
      <c r="E504" s="637">
        <f t="shared" si="21"/>
        <v>40.833119047619057</v>
      </c>
    </row>
    <row r="505" spans="1:5">
      <c r="A505">
        <v>12113</v>
      </c>
      <c r="B505">
        <v>2100</v>
      </c>
      <c r="C505" s="455">
        <v>9.7080000000000002</v>
      </c>
      <c r="D505" s="455">
        <f t="shared" si="20"/>
        <v>18.086928571428572</v>
      </c>
      <c r="E505" s="637">
        <f t="shared" si="21"/>
        <v>42.414714285714297</v>
      </c>
    </row>
    <row r="506" spans="1:5">
      <c r="A506">
        <v>12113</v>
      </c>
      <c r="B506">
        <v>2200</v>
      </c>
      <c r="C506" s="455">
        <v>9.6389999999999993</v>
      </c>
      <c r="D506" s="455">
        <f t="shared" si="20"/>
        <v>17.958375</v>
      </c>
      <c r="E506" s="637">
        <f t="shared" si="21"/>
        <v>42.113250000000008</v>
      </c>
    </row>
    <row r="507" spans="1:5">
      <c r="A507">
        <v>12113</v>
      </c>
      <c r="B507">
        <v>2300</v>
      </c>
      <c r="C507" s="455">
        <v>9.8610000000000007</v>
      </c>
      <c r="D507" s="455">
        <f t="shared" si="20"/>
        <v>18.371982142857146</v>
      </c>
      <c r="E507" s="637">
        <f t="shared" si="21"/>
        <v>43.083178571428583</v>
      </c>
    </row>
    <row r="508" spans="1:5">
      <c r="A508">
        <v>12113</v>
      </c>
      <c r="B508">
        <v>2400</v>
      </c>
      <c r="C508" s="455">
        <v>9.6259999999999994</v>
      </c>
      <c r="D508" s="455">
        <f t="shared" si="20"/>
        <v>17.934154761904761</v>
      </c>
      <c r="E508" s="637">
        <f t="shared" si="21"/>
        <v>42.056452380952393</v>
      </c>
    </row>
    <row r="509" spans="1:5">
      <c r="A509">
        <v>12213</v>
      </c>
      <c r="B509">
        <v>100</v>
      </c>
      <c r="C509" s="455">
        <v>9.9239999999999995</v>
      </c>
      <c r="D509" s="455">
        <f t="shared" si="20"/>
        <v>18.489357142857141</v>
      </c>
      <c r="E509" s="637">
        <f t="shared" si="21"/>
        <v>43.358428571428576</v>
      </c>
    </row>
    <row r="510" spans="1:5">
      <c r="A510">
        <v>12213</v>
      </c>
      <c r="B510">
        <v>200</v>
      </c>
      <c r="C510" s="455">
        <v>9.7789999999999999</v>
      </c>
      <c r="D510" s="455">
        <f t="shared" si="20"/>
        <v>18.219208333333334</v>
      </c>
      <c r="E510" s="637">
        <f t="shared" si="21"/>
        <v>42.724916666666672</v>
      </c>
    </row>
    <row r="511" spans="1:5">
      <c r="A511">
        <v>12213</v>
      </c>
      <c r="B511">
        <v>300</v>
      </c>
      <c r="C511" s="455">
        <v>10.039999999999999</v>
      </c>
      <c r="D511" s="455">
        <f t="shared" si="20"/>
        <v>18.70547619047619</v>
      </c>
      <c r="E511" s="637">
        <f t="shared" si="21"/>
        <v>43.865238095238105</v>
      </c>
    </row>
    <row r="512" spans="1:5">
      <c r="A512">
        <v>12213</v>
      </c>
      <c r="B512">
        <v>400</v>
      </c>
      <c r="C512" s="455">
        <v>10.004</v>
      </c>
      <c r="D512" s="455">
        <f t="shared" si="20"/>
        <v>18.638404761904763</v>
      </c>
      <c r="E512" s="637">
        <f t="shared" si="21"/>
        <v>43.707952380952392</v>
      </c>
    </row>
    <row r="513" spans="1:5">
      <c r="A513">
        <v>12213</v>
      </c>
      <c r="B513">
        <v>500</v>
      </c>
      <c r="C513" s="455">
        <v>10.002000000000001</v>
      </c>
      <c r="D513" s="455">
        <f t="shared" si="20"/>
        <v>18.634678571428573</v>
      </c>
      <c r="E513" s="637">
        <f t="shared" si="21"/>
        <v>43.699214285714298</v>
      </c>
    </row>
    <row r="514" spans="1:5">
      <c r="A514">
        <v>12213</v>
      </c>
      <c r="B514">
        <v>600</v>
      </c>
      <c r="C514" s="455">
        <v>9.9179999999999993</v>
      </c>
      <c r="D514" s="455">
        <f t="shared" si="20"/>
        <v>18.478178571428572</v>
      </c>
      <c r="E514" s="637">
        <f t="shared" si="21"/>
        <v>43.332214285714294</v>
      </c>
    </row>
    <row r="515" spans="1:5">
      <c r="A515">
        <v>12213</v>
      </c>
      <c r="B515">
        <v>700</v>
      </c>
      <c r="C515" s="455">
        <v>9.9169999999999998</v>
      </c>
      <c r="D515" s="455">
        <f t="shared" si="20"/>
        <v>18.476315476190475</v>
      </c>
      <c r="E515" s="637">
        <f t="shared" si="21"/>
        <v>43.32784523809525</v>
      </c>
    </row>
    <row r="516" spans="1:5">
      <c r="A516">
        <v>12213</v>
      </c>
      <c r="B516">
        <v>800</v>
      </c>
      <c r="C516" s="455">
        <v>8.7430000000000003</v>
      </c>
      <c r="D516" s="455">
        <f t="shared" si="20"/>
        <v>16.28904166666667</v>
      </c>
      <c r="E516" s="637">
        <f t="shared" si="21"/>
        <v>38.198583333333346</v>
      </c>
    </row>
    <row r="517" spans="1:5">
      <c r="A517">
        <v>12213</v>
      </c>
      <c r="B517">
        <v>900</v>
      </c>
      <c r="C517" s="455">
        <v>0.26700000000000002</v>
      </c>
      <c r="D517" s="455">
        <f t="shared" si="20"/>
        <v>0.49744642857142862</v>
      </c>
      <c r="E517" s="637">
        <f t="shared" si="21"/>
        <v>1.1665357142857147</v>
      </c>
    </row>
    <row r="518" spans="1:5">
      <c r="A518">
        <v>12213</v>
      </c>
      <c r="B518">
        <v>1000</v>
      </c>
      <c r="C518" s="455">
        <v>0</v>
      </c>
      <c r="D518" s="455">
        <f t="shared" ref="D518:D581" si="22">(C518/(MAX($C$5:$C$748)))*$W$5</f>
        <v>0</v>
      </c>
      <c r="E518" s="637">
        <f t="shared" ref="E518:E581" si="23">(C518/(MAX($C$5:$C$748)))*$P$5</f>
        <v>0</v>
      </c>
    </row>
    <row r="519" spans="1:5">
      <c r="A519">
        <v>12213</v>
      </c>
      <c r="B519">
        <v>1100</v>
      </c>
      <c r="C519" s="455">
        <v>1E-3</v>
      </c>
      <c r="D519" s="455">
        <f t="shared" si="22"/>
        <v>1.8630952380952381E-3</v>
      </c>
      <c r="E519" s="637">
        <f t="shared" si="23"/>
        <v>4.3690476190476205E-3</v>
      </c>
    </row>
    <row r="520" spans="1:5">
      <c r="A520">
        <v>12213</v>
      </c>
      <c r="B520">
        <v>1200</v>
      </c>
      <c r="C520" s="455">
        <v>0</v>
      </c>
      <c r="D520" s="455">
        <f t="shared" si="22"/>
        <v>0</v>
      </c>
      <c r="E520" s="637">
        <f t="shared" si="23"/>
        <v>0</v>
      </c>
    </row>
    <row r="521" spans="1:5">
      <c r="A521">
        <v>12213</v>
      </c>
      <c r="B521">
        <v>1300</v>
      </c>
      <c r="C521" s="455">
        <v>2E-3</v>
      </c>
      <c r="D521" s="455">
        <f t="shared" si="22"/>
        <v>3.7261904761904763E-3</v>
      </c>
      <c r="E521" s="637">
        <f t="shared" si="23"/>
        <v>8.738095238095241E-3</v>
      </c>
    </row>
    <row r="522" spans="1:5">
      <c r="A522">
        <v>12213</v>
      </c>
      <c r="B522">
        <v>1400</v>
      </c>
      <c r="C522" s="455">
        <v>0.36099999999999999</v>
      </c>
      <c r="D522" s="455">
        <f t="shared" si="22"/>
        <v>0.67257738095238095</v>
      </c>
      <c r="E522" s="637">
        <f t="shared" si="23"/>
        <v>1.5772261904761908</v>
      </c>
    </row>
    <row r="523" spans="1:5">
      <c r="A523">
        <v>12213</v>
      </c>
      <c r="B523">
        <v>1500</v>
      </c>
      <c r="C523" s="455">
        <v>0.53800000000000003</v>
      </c>
      <c r="D523" s="455">
        <f t="shared" si="22"/>
        <v>1.0023452380952382</v>
      </c>
      <c r="E523" s="637">
        <f t="shared" si="23"/>
        <v>2.35054761904762</v>
      </c>
    </row>
    <row r="524" spans="1:5">
      <c r="A524">
        <v>12213</v>
      </c>
      <c r="B524">
        <v>1600</v>
      </c>
      <c r="C524" s="455">
        <v>0.629</v>
      </c>
      <c r="D524" s="455">
        <f t="shared" si="22"/>
        <v>1.1718869047619049</v>
      </c>
      <c r="E524" s="637">
        <f t="shared" si="23"/>
        <v>2.7481309523809534</v>
      </c>
    </row>
    <row r="525" spans="1:5">
      <c r="A525">
        <v>12213</v>
      </c>
      <c r="B525">
        <v>1700</v>
      </c>
      <c r="C525" s="455">
        <v>5.1970000000000001</v>
      </c>
      <c r="D525" s="455">
        <f t="shared" si="22"/>
        <v>9.6825059523809518</v>
      </c>
      <c r="E525" s="637">
        <f t="shared" si="23"/>
        <v>22.705940476190481</v>
      </c>
    </row>
    <row r="526" spans="1:5">
      <c r="A526">
        <v>12213</v>
      </c>
      <c r="B526">
        <v>1800</v>
      </c>
      <c r="C526" s="455">
        <v>10.029999999999999</v>
      </c>
      <c r="D526" s="455">
        <f t="shared" si="22"/>
        <v>18.686845238095238</v>
      </c>
      <c r="E526" s="637">
        <f t="shared" si="23"/>
        <v>43.821547619047628</v>
      </c>
    </row>
    <row r="527" spans="1:5">
      <c r="A527">
        <v>12213</v>
      </c>
      <c r="B527">
        <v>1900</v>
      </c>
      <c r="C527" s="455">
        <v>9.5459999999999994</v>
      </c>
      <c r="D527" s="455">
        <f t="shared" si="22"/>
        <v>17.785107142857143</v>
      </c>
      <c r="E527" s="637">
        <f t="shared" si="23"/>
        <v>41.706928571428584</v>
      </c>
    </row>
    <row r="528" spans="1:5">
      <c r="A528">
        <v>12213</v>
      </c>
      <c r="B528">
        <v>2000</v>
      </c>
      <c r="C528" s="455">
        <v>9.8770000000000007</v>
      </c>
      <c r="D528" s="455">
        <f t="shared" si="22"/>
        <v>18.401791666666668</v>
      </c>
      <c r="E528" s="637">
        <f t="shared" si="23"/>
        <v>43.153083333333349</v>
      </c>
    </row>
    <row r="529" spans="1:5">
      <c r="A529">
        <v>12213</v>
      </c>
      <c r="B529">
        <v>2100</v>
      </c>
      <c r="C529" s="455">
        <v>9.6560000000000006</v>
      </c>
      <c r="D529" s="455">
        <f t="shared" si="22"/>
        <v>17.990047619047619</v>
      </c>
      <c r="E529" s="637">
        <f t="shared" si="23"/>
        <v>42.187523809523825</v>
      </c>
    </row>
    <row r="530" spans="1:5">
      <c r="A530">
        <v>12213</v>
      </c>
      <c r="B530">
        <v>2200</v>
      </c>
      <c r="C530" s="455">
        <v>9.9879999999999995</v>
      </c>
      <c r="D530" s="455">
        <f t="shared" si="22"/>
        <v>18.608595238095237</v>
      </c>
      <c r="E530" s="637">
        <f t="shared" si="23"/>
        <v>43.638047619047633</v>
      </c>
    </row>
    <row r="531" spans="1:5">
      <c r="A531">
        <v>12213</v>
      </c>
      <c r="B531">
        <v>2300</v>
      </c>
      <c r="C531" s="455">
        <v>10.01</v>
      </c>
      <c r="D531" s="455">
        <f t="shared" si="22"/>
        <v>18.649583333333336</v>
      </c>
      <c r="E531" s="637">
        <f t="shared" si="23"/>
        <v>43.734166666666681</v>
      </c>
    </row>
    <row r="532" spans="1:5">
      <c r="A532">
        <v>12213</v>
      </c>
      <c r="B532">
        <v>2400</v>
      </c>
      <c r="C532" s="455">
        <v>9.5530000000000008</v>
      </c>
      <c r="D532" s="455">
        <f t="shared" si="22"/>
        <v>17.798148809523813</v>
      </c>
      <c r="E532" s="637">
        <f t="shared" si="23"/>
        <v>41.737511904761924</v>
      </c>
    </row>
    <row r="533" spans="1:5">
      <c r="A533">
        <v>12313</v>
      </c>
      <c r="B533">
        <v>100</v>
      </c>
      <c r="C533" s="455">
        <v>9.8810000000000002</v>
      </c>
      <c r="D533" s="455">
        <f t="shared" si="22"/>
        <v>18.409244047619048</v>
      </c>
      <c r="E533" s="637">
        <f t="shared" si="23"/>
        <v>43.170559523809537</v>
      </c>
    </row>
    <row r="534" spans="1:5">
      <c r="A534">
        <v>12313</v>
      </c>
      <c r="B534">
        <v>200</v>
      </c>
      <c r="C534" s="455">
        <v>9.8360000000000003</v>
      </c>
      <c r="D534" s="455">
        <f t="shared" si="22"/>
        <v>18.32540476190476</v>
      </c>
      <c r="E534" s="637">
        <f t="shared" si="23"/>
        <v>42.97395238095239</v>
      </c>
    </row>
    <row r="535" spans="1:5">
      <c r="A535">
        <v>12313</v>
      </c>
      <c r="B535">
        <v>300</v>
      </c>
      <c r="C535" s="455">
        <v>9.9870000000000001</v>
      </c>
      <c r="D535" s="455">
        <f t="shared" si="22"/>
        <v>18.606732142857144</v>
      </c>
      <c r="E535" s="637">
        <f t="shared" si="23"/>
        <v>43.633678571428582</v>
      </c>
    </row>
    <row r="536" spans="1:5">
      <c r="A536">
        <v>12313</v>
      </c>
      <c r="B536">
        <v>400</v>
      </c>
      <c r="C536" s="455">
        <v>9.9849999999999994</v>
      </c>
      <c r="D536" s="455">
        <f t="shared" si="22"/>
        <v>18.603005952380951</v>
      </c>
      <c r="E536" s="637">
        <f t="shared" si="23"/>
        <v>43.624940476190488</v>
      </c>
    </row>
    <row r="537" spans="1:5">
      <c r="A537">
        <v>12313</v>
      </c>
      <c r="B537">
        <v>500</v>
      </c>
      <c r="C537" s="455">
        <v>10.057</v>
      </c>
      <c r="D537" s="455">
        <f t="shared" si="22"/>
        <v>18.737148809523809</v>
      </c>
      <c r="E537" s="637">
        <f t="shared" si="23"/>
        <v>43.939511904761915</v>
      </c>
    </row>
    <row r="538" spans="1:5">
      <c r="A538">
        <v>12313</v>
      </c>
      <c r="B538">
        <v>600</v>
      </c>
      <c r="C538" s="455">
        <v>9.8330000000000002</v>
      </c>
      <c r="D538" s="455">
        <f t="shared" si="22"/>
        <v>18.319815476190477</v>
      </c>
      <c r="E538" s="637">
        <f t="shared" si="23"/>
        <v>42.960845238095246</v>
      </c>
    </row>
    <row r="539" spans="1:5">
      <c r="A539">
        <v>12313</v>
      </c>
      <c r="B539">
        <v>700</v>
      </c>
      <c r="C539" s="455">
        <v>10.231999999999999</v>
      </c>
      <c r="D539" s="455">
        <f t="shared" si="22"/>
        <v>19.063190476190474</v>
      </c>
      <c r="E539" s="637">
        <f t="shared" si="23"/>
        <v>44.704095238095249</v>
      </c>
    </row>
    <row r="540" spans="1:5">
      <c r="A540">
        <v>12313</v>
      </c>
      <c r="B540">
        <v>800</v>
      </c>
      <c r="C540" s="455">
        <v>10.403</v>
      </c>
      <c r="D540" s="455">
        <f t="shared" si="22"/>
        <v>19.381779761904763</v>
      </c>
      <c r="E540" s="637">
        <f t="shared" si="23"/>
        <v>45.451202380952395</v>
      </c>
    </row>
    <row r="541" spans="1:5">
      <c r="A541">
        <v>12313</v>
      </c>
      <c r="B541">
        <v>900</v>
      </c>
      <c r="C541" s="455">
        <v>4.7430000000000003</v>
      </c>
      <c r="D541" s="455">
        <f t="shared" si="22"/>
        <v>8.8366607142857152</v>
      </c>
      <c r="E541" s="637">
        <f t="shared" si="23"/>
        <v>20.722392857142864</v>
      </c>
    </row>
    <row r="542" spans="1:5">
      <c r="A542">
        <v>12313</v>
      </c>
      <c r="B542">
        <v>1000</v>
      </c>
      <c r="C542" s="455">
        <v>0.36499999999999999</v>
      </c>
      <c r="D542" s="455">
        <f t="shared" si="22"/>
        <v>0.68002976190476194</v>
      </c>
      <c r="E542" s="637">
        <f t="shared" si="23"/>
        <v>1.5947023809523813</v>
      </c>
    </row>
    <row r="543" spans="1:5">
      <c r="A543">
        <v>12313</v>
      </c>
      <c r="B543">
        <v>1100</v>
      </c>
      <c r="C543" s="455">
        <v>0.31900000000000001</v>
      </c>
      <c r="D543" s="455">
        <f t="shared" si="22"/>
        <v>0.59432738095238091</v>
      </c>
      <c r="E543" s="637">
        <f t="shared" si="23"/>
        <v>1.3937261904761908</v>
      </c>
    </row>
    <row r="544" spans="1:5">
      <c r="A544">
        <v>12313</v>
      </c>
      <c r="B544">
        <v>1200</v>
      </c>
      <c r="C544" s="455">
        <v>0.14399999999999999</v>
      </c>
      <c r="D544" s="455">
        <f t="shared" si="22"/>
        <v>0.26828571428571429</v>
      </c>
      <c r="E544" s="637">
        <f t="shared" si="23"/>
        <v>0.62914285714285723</v>
      </c>
    </row>
    <row r="545" spans="1:5">
      <c r="A545">
        <v>12313</v>
      </c>
      <c r="B545">
        <v>1300</v>
      </c>
      <c r="C545" s="455">
        <v>0</v>
      </c>
      <c r="D545" s="455">
        <f t="shared" si="22"/>
        <v>0</v>
      </c>
      <c r="E545" s="637">
        <f t="shared" si="23"/>
        <v>0</v>
      </c>
    </row>
    <row r="546" spans="1:5">
      <c r="A546">
        <v>12313</v>
      </c>
      <c r="B546">
        <v>1400</v>
      </c>
      <c r="C546" s="455">
        <v>0</v>
      </c>
      <c r="D546" s="455">
        <f t="shared" si="22"/>
        <v>0</v>
      </c>
      <c r="E546" s="637">
        <f t="shared" si="23"/>
        <v>0</v>
      </c>
    </row>
    <row r="547" spans="1:5">
      <c r="A547">
        <v>12313</v>
      </c>
      <c r="B547">
        <v>1500</v>
      </c>
      <c r="C547" s="455">
        <v>0</v>
      </c>
      <c r="D547" s="455">
        <f t="shared" si="22"/>
        <v>0</v>
      </c>
      <c r="E547" s="637">
        <f t="shared" si="23"/>
        <v>0</v>
      </c>
    </row>
    <row r="548" spans="1:5">
      <c r="A548">
        <v>12313</v>
      </c>
      <c r="B548">
        <v>1600</v>
      </c>
      <c r="C548" s="455">
        <v>0.187</v>
      </c>
      <c r="D548" s="455">
        <f t="shared" si="22"/>
        <v>0.34839880952380958</v>
      </c>
      <c r="E548" s="637">
        <f t="shared" si="23"/>
        <v>0.81701190476190499</v>
      </c>
    </row>
    <row r="549" spans="1:5">
      <c r="A549">
        <v>12313</v>
      </c>
      <c r="B549">
        <v>1700</v>
      </c>
      <c r="C549" s="455">
        <v>2.2669999999999999</v>
      </c>
      <c r="D549" s="455">
        <f t="shared" si="22"/>
        <v>4.2236369047619045</v>
      </c>
      <c r="E549" s="637">
        <f t="shared" si="23"/>
        <v>9.9046309523809537</v>
      </c>
    </row>
    <row r="550" spans="1:5">
      <c r="A550">
        <v>12313</v>
      </c>
      <c r="B550">
        <v>1800</v>
      </c>
      <c r="C550" s="455">
        <v>9.0129999999999999</v>
      </c>
      <c r="D550" s="455">
        <f t="shared" si="22"/>
        <v>16.792077380952382</v>
      </c>
      <c r="E550" s="637">
        <f t="shared" si="23"/>
        <v>39.378226190476205</v>
      </c>
    </row>
    <row r="551" spans="1:5">
      <c r="A551">
        <v>12313</v>
      </c>
      <c r="B551">
        <v>1900</v>
      </c>
      <c r="C551" s="455">
        <v>9.4819999999999993</v>
      </c>
      <c r="D551" s="455">
        <f t="shared" si="22"/>
        <v>17.665869047619047</v>
      </c>
      <c r="E551" s="637">
        <f t="shared" si="23"/>
        <v>41.427309523809527</v>
      </c>
    </row>
    <row r="552" spans="1:5">
      <c r="A552">
        <v>12313</v>
      </c>
      <c r="B552">
        <v>2000</v>
      </c>
      <c r="C552" s="455">
        <v>9.5559999999999992</v>
      </c>
      <c r="D552" s="455">
        <f t="shared" si="22"/>
        <v>17.803738095238096</v>
      </c>
      <c r="E552" s="637">
        <f t="shared" si="23"/>
        <v>41.750619047619054</v>
      </c>
    </row>
    <row r="553" spans="1:5">
      <c r="A553">
        <v>12313</v>
      </c>
      <c r="B553">
        <v>2100</v>
      </c>
      <c r="C553" s="455">
        <v>9.3089999999999993</v>
      </c>
      <c r="D553" s="455">
        <f t="shared" si="22"/>
        <v>17.343553571428572</v>
      </c>
      <c r="E553" s="637">
        <f t="shared" si="23"/>
        <v>40.671464285714293</v>
      </c>
    </row>
    <row r="554" spans="1:5">
      <c r="A554">
        <v>12313</v>
      </c>
      <c r="B554">
        <v>2200</v>
      </c>
      <c r="C554" s="455">
        <v>9.7870000000000008</v>
      </c>
      <c r="D554" s="455">
        <f t="shared" si="22"/>
        <v>18.234113095238097</v>
      </c>
      <c r="E554" s="637">
        <f t="shared" si="23"/>
        <v>42.759869047619063</v>
      </c>
    </row>
    <row r="555" spans="1:5">
      <c r="A555">
        <v>12313</v>
      </c>
      <c r="B555">
        <v>2300</v>
      </c>
      <c r="C555" s="455">
        <v>9.5660000000000007</v>
      </c>
      <c r="D555" s="455">
        <f t="shared" si="22"/>
        <v>17.822369047619048</v>
      </c>
      <c r="E555" s="637">
        <f t="shared" si="23"/>
        <v>41.794309523809538</v>
      </c>
    </row>
    <row r="556" spans="1:5">
      <c r="A556">
        <v>12313</v>
      </c>
      <c r="B556">
        <v>2400</v>
      </c>
      <c r="C556" s="455">
        <v>9.5640000000000001</v>
      </c>
      <c r="D556" s="455">
        <f t="shared" si="22"/>
        <v>17.818642857142859</v>
      </c>
      <c r="E556" s="637">
        <f t="shared" si="23"/>
        <v>41.785571428571437</v>
      </c>
    </row>
    <row r="557" spans="1:5">
      <c r="A557">
        <v>12413</v>
      </c>
      <c r="B557">
        <v>100</v>
      </c>
      <c r="C557" s="455">
        <v>9.4169999999999998</v>
      </c>
      <c r="D557" s="455">
        <f t="shared" si="22"/>
        <v>17.544767857142858</v>
      </c>
      <c r="E557" s="637">
        <f t="shared" si="23"/>
        <v>41.14332142857144</v>
      </c>
    </row>
    <row r="558" spans="1:5">
      <c r="A558">
        <v>12413</v>
      </c>
      <c r="B558">
        <v>200</v>
      </c>
      <c r="C558" s="455">
        <v>9.7789999999999999</v>
      </c>
      <c r="D558" s="455">
        <f t="shared" si="22"/>
        <v>18.219208333333334</v>
      </c>
      <c r="E558" s="637">
        <f t="shared" si="23"/>
        <v>42.724916666666672</v>
      </c>
    </row>
    <row r="559" spans="1:5">
      <c r="A559">
        <v>12413</v>
      </c>
      <c r="B559">
        <v>300</v>
      </c>
      <c r="C559" s="455">
        <v>9.7080000000000002</v>
      </c>
      <c r="D559" s="455">
        <f t="shared" si="22"/>
        <v>18.086928571428572</v>
      </c>
      <c r="E559" s="637">
        <f t="shared" si="23"/>
        <v>42.414714285714297</v>
      </c>
    </row>
    <row r="560" spans="1:5">
      <c r="A560">
        <v>12413</v>
      </c>
      <c r="B560">
        <v>400</v>
      </c>
      <c r="C560" s="455">
        <v>9.4949999999999992</v>
      </c>
      <c r="D560" s="455">
        <f t="shared" si="22"/>
        <v>17.690089285714286</v>
      </c>
      <c r="E560" s="637">
        <f t="shared" si="23"/>
        <v>41.484107142857155</v>
      </c>
    </row>
    <row r="561" spans="1:5">
      <c r="A561">
        <v>12413</v>
      </c>
      <c r="B561">
        <v>500</v>
      </c>
      <c r="C561" s="455">
        <v>9.5619999999999994</v>
      </c>
      <c r="D561" s="455">
        <f t="shared" si="22"/>
        <v>17.814916666666665</v>
      </c>
      <c r="E561" s="637">
        <f t="shared" si="23"/>
        <v>41.776833333333343</v>
      </c>
    </row>
    <row r="562" spans="1:5">
      <c r="A562">
        <v>12413</v>
      </c>
      <c r="B562">
        <v>600</v>
      </c>
      <c r="C562" s="455">
        <v>10.066000000000001</v>
      </c>
      <c r="D562" s="455">
        <f t="shared" si="22"/>
        <v>18.753916666666669</v>
      </c>
      <c r="E562" s="637">
        <f t="shared" si="23"/>
        <v>43.978833333333348</v>
      </c>
    </row>
    <row r="563" spans="1:5">
      <c r="A563">
        <v>12413</v>
      </c>
      <c r="B563">
        <v>700</v>
      </c>
      <c r="C563" s="455">
        <v>10.308999999999999</v>
      </c>
      <c r="D563" s="455">
        <f t="shared" si="22"/>
        <v>19.206648809523809</v>
      </c>
      <c r="E563" s="637">
        <f t="shared" si="23"/>
        <v>45.040511904761914</v>
      </c>
    </row>
    <row r="564" spans="1:5">
      <c r="A564">
        <v>12413</v>
      </c>
      <c r="B564">
        <v>800</v>
      </c>
      <c r="C564" s="455">
        <v>9.9469999999999992</v>
      </c>
      <c r="D564" s="455">
        <f t="shared" si="22"/>
        <v>18.532208333333333</v>
      </c>
      <c r="E564" s="637">
        <f t="shared" si="23"/>
        <v>43.458916666666674</v>
      </c>
    </row>
    <row r="565" spans="1:5">
      <c r="A565">
        <v>12413</v>
      </c>
      <c r="B565">
        <v>900</v>
      </c>
      <c r="C565" s="455">
        <v>3.0569999999999999</v>
      </c>
      <c r="D565" s="455">
        <f t="shared" si="22"/>
        <v>5.6954821428571432</v>
      </c>
      <c r="E565" s="637">
        <f t="shared" si="23"/>
        <v>13.356178571428575</v>
      </c>
    </row>
    <row r="566" spans="1:5">
      <c r="A566">
        <v>12413</v>
      </c>
      <c r="B566">
        <v>1000</v>
      </c>
      <c r="C566" s="455">
        <v>4.0000000000000001E-3</v>
      </c>
      <c r="D566" s="455">
        <f t="shared" si="22"/>
        <v>7.4523809523809525E-3</v>
      </c>
      <c r="E566" s="637">
        <f t="shared" si="23"/>
        <v>1.7476190476190482E-2</v>
      </c>
    </row>
    <row r="567" spans="1:5">
      <c r="A567">
        <v>12413</v>
      </c>
      <c r="B567">
        <v>1100</v>
      </c>
      <c r="C567" s="455">
        <v>0</v>
      </c>
      <c r="D567" s="455">
        <f t="shared" si="22"/>
        <v>0</v>
      </c>
      <c r="E567" s="637">
        <f t="shared" si="23"/>
        <v>0</v>
      </c>
    </row>
    <row r="568" spans="1:5">
      <c r="A568">
        <v>12413</v>
      </c>
      <c r="B568">
        <v>1200</v>
      </c>
      <c r="C568" s="455">
        <v>0</v>
      </c>
      <c r="D568" s="455">
        <f t="shared" si="22"/>
        <v>0</v>
      </c>
      <c r="E568" s="637">
        <f t="shared" si="23"/>
        <v>0</v>
      </c>
    </row>
    <row r="569" spans="1:5">
      <c r="A569">
        <v>12413</v>
      </c>
      <c r="B569">
        <v>1300</v>
      </c>
      <c r="C569" s="455">
        <v>0</v>
      </c>
      <c r="D569" s="455">
        <f t="shared" si="22"/>
        <v>0</v>
      </c>
      <c r="E569" s="637">
        <f t="shared" si="23"/>
        <v>0</v>
      </c>
    </row>
    <row r="570" spans="1:5">
      <c r="A570">
        <v>12413</v>
      </c>
      <c r="B570">
        <v>1400</v>
      </c>
      <c r="C570" s="455">
        <v>0</v>
      </c>
      <c r="D570" s="455">
        <f t="shared" si="22"/>
        <v>0</v>
      </c>
      <c r="E570" s="637">
        <f t="shared" si="23"/>
        <v>0</v>
      </c>
    </row>
    <row r="571" spans="1:5">
      <c r="A571">
        <v>12413</v>
      </c>
      <c r="B571">
        <v>1500</v>
      </c>
      <c r="C571" s="455">
        <v>0</v>
      </c>
      <c r="D571" s="455">
        <f t="shared" si="22"/>
        <v>0</v>
      </c>
      <c r="E571" s="637">
        <f t="shared" si="23"/>
        <v>0</v>
      </c>
    </row>
    <row r="572" spans="1:5">
      <c r="A572">
        <v>12413</v>
      </c>
      <c r="B572">
        <v>1600</v>
      </c>
      <c r="C572" s="455">
        <v>0</v>
      </c>
      <c r="D572" s="455">
        <f t="shared" si="22"/>
        <v>0</v>
      </c>
      <c r="E572" s="637">
        <f t="shared" si="23"/>
        <v>0</v>
      </c>
    </row>
    <row r="573" spans="1:5">
      <c r="A573">
        <v>12413</v>
      </c>
      <c r="B573">
        <v>1700</v>
      </c>
      <c r="C573" s="455">
        <v>1.6519999999999999</v>
      </c>
      <c r="D573" s="455">
        <f t="shared" si="22"/>
        <v>3.077833333333333</v>
      </c>
      <c r="E573" s="637">
        <f t="shared" si="23"/>
        <v>7.217666666666668</v>
      </c>
    </row>
    <row r="574" spans="1:5">
      <c r="A574">
        <v>12413</v>
      </c>
      <c r="B574">
        <v>1800</v>
      </c>
      <c r="C574" s="455">
        <v>9.3170000000000002</v>
      </c>
      <c r="D574" s="455">
        <f t="shared" si="22"/>
        <v>17.358458333333335</v>
      </c>
      <c r="E574" s="637">
        <f t="shared" si="23"/>
        <v>40.706416666666676</v>
      </c>
    </row>
    <row r="575" spans="1:5">
      <c r="A575">
        <v>12413</v>
      </c>
      <c r="B575">
        <v>1900</v>
      </c>
      <c r="C575" s="455">
        <v>9.407</v>
      </c>
      <c r="D575" s="455">
        <f t="shared" si="22"/>
        <v>17.526136904761906</v>
      </c>
      <c r="E575" s="637">
        <f t="shared" si="23"/>
        <v>41.099630952380963</v>
      </c>
    </row>
    <row r="576" spans="1:5">
      <c r="A576">
        <v>12413</v>
      </c>
      <c r="B576">
        <v>2000</v>
      </c>
      <c r="C576" s="455">
        <v>9.5570000000000004</v>
      </c>
      <c r="D576" s="455">
        <f t="shared" si="22"/>
        <v>17.805601190476192</v>
      </c>
      <c r="E576" s="637">
        <f t="shared" si="23"/>
        <v>41.754988095238112</v>
      </c>
    </row>
    <row r="577" spans="1:5">
      <c r="A577">
        <v>12413</v>
      </c>
      <c r="B577">
        <v>2100</v>
      </c>
      <c r="C577" s="455">
        <v>9.67</v>
      </c>
      <c r="D577" s="455">
        <f t="shared" si="22"/>
        <v>18.016130952380951</v>
      </c>
      <c r="E577" s="637">
        <f t="shared" si="23"/>
        <v>42.24869047619049</v>
      </c>
    </row>
    <row r="578" spans="1:5">
      <c r="A578">
        <v>12413</v>
      </c>
      <c r="B578">
        <v>2200</v>
      </c>
      <c r="C578" s="455">
        <v>9.7829999999999995</v>
      </c>
      <c r="D578" s="455">
        <f t="shared" si="22"/>
        <v>18.226660714285714</v>
      </c>
      <c r="E578" s="637">
        <f t="shared" si="23"/>
        <v>42.742392857142868</v>
      </c>
    </row>
    <row r="579" spans="1:5">
      <c r="A579">
        <v>12413</v>
      </c>
      <c r="B579">
        <v>2300</v>
      </c>
      <c r="C579" s="455">
        <v>9.6709999999999994</v>
      </c>
      <c r="D579" s="455">
        <f t="shared" si="22"/>
        <v>18.017994047619045</v>
      </c>
      <c r="E579" s="637">
        <f t="shared" si="23"/>
        <v>42.253059523809533</v>
      </c>
    </row>
    <row r="580" spans="1:5">
      <c r="A580">
        <v>12413</v>
      </c>
      <c r="B580">
        <v>2400</v>
      </c>
      <c r="C580" s="455">
        <v>9.7010000000000005</v>
      </c>
      <c r="D580" s="455">
        <f t="shared" si="22"/>
        <v>18.073886904761906</v>
      </c>
      <c r="E580" s="637">
        <f t="shared" si="23"/>
        <v>42.384130952380964</v>
      </c>
    </row>
    <row r="581" spans="1:5">
      <c r="A581">
        <v>12513</v>
      </c>
      <c r="B581">
        <v>100</v>
      </c>
      <c r="C581" s="455">
        <v>9.7059999999999995</v>
      </c>
      <c r="D581" s="455">
        <f t="shared" si="22"/>
        <v>18.083202380952379</v>
      </c>
      <c r="E581" s="637">
        <f t="shared" si="23"/>
        <v>42.405976190476196</v>
      </c>
    </row>
    <row r="582" spans="1:5">
      <c r="A582">
        <v>12513</v>
      </c>
      <c r="B582">
        <v>200</v>
      </c>
      <c r="C582" s="455">
        <v>9.7070000000000007</v>
      </c>
      <c r="D582" s="455">
        <f t="shared" ref="D582:D645" si="24">(C582/(MAX($C$5:$C$748)))*$W$5</f>
        <v>18.085065476190476</v>
      </c>
      <c r="E582" s="637">
        <f t="shared" ref="E582:E645" si="25">(C582/(MAX($C$5:$C$748)))*$P$5</f>
        <v>42.410345238095253</v>
      </c>
    </row>
    <row r="583" spans="1:5">
      <c r="A583">
        <v>12513</v>
      </c>
      <c r="B583">
        <v>300</v>
      </c>
      <c r="C583" s="455">
        <v>9.8949999999999996</v>
      </c>
      <c r="D583" s="455">
        <f t="shared" si="24"/>
        <v>18.43532738095238</v>
      </c>
      <c r="E583" s="637">
        <f t="shared" si="25"/>
        <v>43.231726190476202</v>
      </c>
    </row>
    <row r="584" spans="1:5">
      <c r="A584">
        <v>12513</v>
      </c>
      <c r="B584">
        <v>400</v>
      </c>
      <c r="C584" s="455">
        <v>9.6479999999999997</v>
      </c>
      <c r="D584" s="455">
        <f t="shared" si="24"/>
        <v>17.975142857142856</v>
      </c>
      <c r="E584" s="637">
        <f t="shared" si="25"/>
        <v>42.152571428571441</v>
      </c>
    </row>
    <row r="585" spans="1:5">
      <c r="A585">
        <v>12513</v>
      </c>
      <c r="B585">
        <v>500</v>
      </c>
      <c r="C585" s="455">
        <v>9.8620000000000001</v>
      </c>
      <c r="D585" s="455">
        <f t="shared" si="24"/>
        <v>18.373845238095239</v>
      </c>
      <c r="E585" s="637">
        <f t="shared" si="25"/>
        <v>43.087547619047633</v>
      </c>
    </row>
    <row r="586" spans="1:5">
      <c r="A586">
        <v>12513</v>
      </c>
      <c r="B586">
        <v>600</v>
      </c>
      <c r="C586" s="455">
        <v>9.5619999999999994</v>
      </c>
      <c r="D586" s="455">
        <f t="shared" si="24"/>
        <v>17.814916666666665</v>
      </c>
      <c r="E586" s="637">
        <f t="shared" si="25"/>
        <v>41.776833333333343</v>
      </c>
    </row>
    <row r="587" spans="1:5">
      <c r="A587">
        <v>12513</v>
      </c>
      <c r="B587">
        <v>700</v>
      </c>
      <c r="C587" s="455">
        <v>9.7710000000000008</v>
      </c>
      <c r="D587" s="455">
        <f t="shared" si="24"/>
        <v>18.204303571428575</v>
      </c>
      <c r="E587" s="637">
        <f t="shared" si="25"/>
        <v>42.689964285714304</v>
      </c>
    </row>
    <row r="588" spans="1:5">
      <c r="A588">
        <v>12513</v>
      </c>
      <c r="B588">
        <v>800</v>
      </c>
      <c r="C588" s="455">
        <v>9.2919999999999998</v>
      </c>
      <c r="D588" s="455">
        <f t="shared" si="24"/>
        <v>17.311880952380953</v>
      </c>
      <c r="E588" s="637">
        <f t="shared" si="25"/>
        <v>40.597190476190484</v>
      </c>
    </row>
    <row r="589" spans="1:5">
      <c r="A589">
        <v>12513</v>
      </c>
      <c r="B589">
        <v>900</v>
      </c>
      <c r="C589" s="455">
        <v>2.3010000000000002</v>
      </c>
      <c r="D589" s="455">
        <f t="shared" si="24"/>
        <v>4.2869821428571431</v>
      </c>
      <c r="E589" s="637">
        <f t="shared" si="25"/>
        <v>10.053178571428575</v>
      </c>
    </row>
    <row r="590" spans="1:5">
      <c r="A590">
        <v>12513</v>
      </c>
      <c r="B590">
        <v>1000</v>
      </c>
      <c r="C590" s="455">
        <v>0</v>
      </c>
      <c r="D590" s="455">
        <f t="shared" si="24"/>
        <v>0</v>
      </c>
      <c r="E590" s="637">
        <f t="shared" si="25"/>
        <v>0</v>
      </c>
    </row>
    <row r="591" spans="1:5">
      <c r="A591">
        <v>12513</v>
      </c>
      <c r="B591">
        <v>1100</v>
      </c>
      <c r="C591" s="455">
        <v>0</v>
      </c>
      <c r="D591" s="455">
        <f t="shared" si="24"/>
        <v>0</v>
      </c>
      <c r="E591" s="637">
        <f t="shared" si="25"/>
        <v>0</v>
      </c>
    </row>
    <row r="592" spans="1:5">
      <c r="A592">
        <v>12513</v>
      </c>
      <c r="B592">
        <v>1200</v>
      </c>
      <c r="C592" s="455">
        <v>0</v>
      </c>
      <c r="D592" s="455">
        <f t="shared" si="24"/>
        <v>0</v>
      </c>
      <c r="E592" s="637">
        <f t="shared" si="25"/>
        <v>0</v>
      </c>
    </row>
    <row r="593" spans="1:5">
      <c r="A593">
        <v>12513</v>
      </c>
      <c r="B593">
        <v>1300</v>
      </c>
      <c r="C593" s="455">
        <v>0</v>
      </c>
      <c r="D593" s="455">
        <f t="shared" si="24"/>
        <v>0</v>
      </c>
      <c r="E593" s="637">
        <f t="shared" si="25"/>
        <v>0</v>
      </c>
    </row>
    <row r="594" spans="1:5">
      <c r="A594">
        <v>12513</v>
      </c>
      <c r="B594">
        <v>1400</v>
      </c>
      <c r="C594" s="455">
        <v>0.158</v>
      </c>
      <c r="D594" s="455">
        <f t="shared" si="24"/>
        <v>0.29436904761904764</v>
      </c>
      <c r="E594" s="637">
        <f t="shared" si="25"/>
        <v>0.69030952380952404</v>
      </c>
    </row>
    <row r="595" spans="1:5">
      <c r="A595">
        <v>12513</v>
      </c>
      <c r="B595">
        <v>1500</v>
      </c>
      <c r="C595" s="455">
        <v>0.48699999999999999</v>
      </c>
      <c r="D595" s="455">
        <f t="shared" si="24"/>
        <v>0.90732738095238097</v>
      </c>
      <c r="E595" s="637">
        <f t="shared" si="25"/>
        <v>2.1277261904761913</v>
      </c>
    </row>
    <row r="596" spans="1:5">
      <c r="A596">
        <v>12513</v>
      </c>
      <c r="B596">
        <v>1600</v>
      </c>
      <c r="C596" s="455">
        <v>2.35</v>
      </c>
      <c r="D596" s="455">
        <f t="shared" si="24"/>
        <v>4.3782738095238098</v>
      </c>
      <c r="E596" s="637">
        <f t="shared" si="25"/>
        <v>10.267261904761908</v>
      </c>
    </row>
    <row r="597" spans="1:5">
      <c r="A597">
        <v>12513</v>
      </c>
      <c r="B597">
        <v>1700</v>
      </c>
      <c r="C597" s="455">
        <v>6.47</v>
      </c>
      <c r="D597" s="455">
        <f t="shared" si="24"/>
        <v>12.054226190476191</v>
      </c>
      <c r="E597" s="637">
        <f t="shared" si="25"/>
        <v>28.267738095238105</v>
      </c>
    </row>
    <row r="598" spans="1:5">
      <c r="A598">
        <v>12513</v>
      </c>
      <c r="B598">
        <v>1800</v>
      </c>
      <c r="C598" s="455">
        <v>9.0220000000000002</v>
      </c>
      <c r="D598" s="455">
        <f t="shared" si="24"/>
        <v>16.808845238095238</v>
      </c>
      <c r="E598" s="637">
        <f t="shared" si="25"/>
        <v>39.417547619047632</v>
      </c>
    </row>
    <row r="599" spans="1:5">
      <c r="A599">
        <v>12513</v>
      </c>
      <c r="B599">
        <v>1900</v>
      </c>
      <c r="C599" s="455">
        <v>9.0950000000000006</v>
      </c>
      <c r="D599" s="455">
        <f t="shared" si="24"/>
        <v>16.944851190476189</v>
      </c>
      <c r="E599" s="637">
        <f t="shared" si="25"/>
        <v>39.736488095238109</v>
      </c>
    </row>
    <row r="600" spans="1:5">
      <c r="A600">
        <v>12513</v>
      </c>
      <c r="B600">
        <v>2000</v>
      </c>
      <c r="C600" s="455">
        <v>9.1</v>
      </c>
      <c r="D600" s="455">
        <f t="shared" si="24"/>
        <v>16.954166666666666</v>
      </c>
      <c r="E600" s="637">
        <f t="shared" si="25"/>
        <v>39.75833333333334</v>
      </c>
    </row>
    <row r="601" spans="1:5">
      <c r="A601">
        <v>12513</v>
      </c>
      <c r="B601">
        <v>2100</v>
      </c>
      <c r="C601" s="455">
        <v>9.3889999999999993</v>
      </c>
      <c r="D601" s="455">
        <f t="shared" si="24"/>
        <v>17.49260119047619</v>
      </c>
      <c r="E601" s="637">
        <f t="shared" si="25"/>
        <v>41.020988095238103</v>
      </c>
    </row>
    <row r="602" spans="1:5">
      <c r="A602">
        <v>12513</v>
      </c>
      <c r="B602">
        <v>2200</v>
      </c>
      <c r="C602" s="455">
        <v>9.42</v>
      </c>
      <c r="D602" s="455">
        <f t="shared" si="24"/>
        <v>17.550357142857145</v>
      </c>
      <c r="E602" s="637">
        <f t="shared" si="25"/>
        <v>41.156428571428584</v>
      </c>
    </row>
    <row r="603" spans="1:5">
      <c r="A603">
        <v>12513</v>
      </c>
      <c r="B603">
        <v>2300</v>
      </c>
      <c r="C603" s="455">
        <v>9.2989999999999995</v>
      </c>
      <c r="D603" s="455">
        <f t="shared" si="24"/>
        <v>17.324922619047619</v>
      </c>
      <c r="E603" s="637">
        <f t="shared" si="25"/>
        <v>40.627773809523816</v>
      </c>
    </row>
    <row r="604" spans="1:5">
      <c r="A604">
        <v>12513</v>
      </c>
      <c r="B604">
        <v>2400</v>
      </c>
      <c r="C604" s="455">
        <v>9.4909999999999997</v>
      </c>
      <c r="D604" s="455">
        <f t="shared" si="24"/>
        <v>17.682636904761903</v>
      </c>
      <c r="E604" s="637">
        <f t="shared" si="25"/>
        <v>41.46663095238096</v>
      </c>
    </row>
    <row r="605" spans="1:5">
      <c r="A605">
        <v>12613</v>
      </c>
      <c r="B605">
        <v>100</v>
      </c>
      <c r="C605" s="455">
        <v>9.4280000000000008</v>
      </c>
      <c r="D605" s="455">
        <f t="shared" si="24"/>
        <v>17.565261904761908</v>
      </c>
      <c r="E605" s="637">
        <f t="shared" si="25"/>
        <v>41.191380952380968</v>
      </c>
    </row>
    <row r="606" spans="1:5">
      <c r="A606">
        <v>12613</v>
      </c>
      <c r="B606">
        <v>200</v>
      </c>
      <c r="C606" s="455">
        <v>9.6850000000000005</v>
      </c>
      <c r="D606" s="455">
        <f t="shared" si="24"/>
        <v>18.04407738095238</v>
      </c>
      <c r="E606" s="637">
        <f t="shared" si="25"/>
        <v>42.314226190476205</v>
      </c>
    </row>
    <row r="607" spans="1:5">
      <c r="A607">
        <v>12613</v>
      </c>
      <c r="B607">
        <v>300</v>
      </c>
      <c r="C607" s="455">
        <v>9.5690000000000008</v>
      </c>
      <c r="D607" s="455">
        <f t="shared" si="24"/>
        <v>17.827958333333335</v>
      </c>
      <c r="E607" s="637">
        <f t="shared" si="25"/>
        <v>41.807416666666683</v>
      </c>
    </row>
    <row r="608" spans="1:5">
      <c r="A608">
        <v>12613</v>
      </c>
      <c r="B608">
        <v>400</v>
      </c>
      <c r="C608" s="455">
        <v>9.4990000000000006</v>
      </c>
      <c r="D608" s="455">
        <f t="shared" si="24"/>
        <v>17.697541666666666</v>
      </c>
      <c r="E608" s="637">
        <f t="shared" si="25"/>
        <v>41.501583333333343</v>
      </c>
    </row>
    <row r="609" spans="1:5">
      <c r="A609">
        <v>12613</v>
      </c>
      <c r="B609">
        <v>500</v>
      </c>
      <c r="C609" s="455">
        <v>9.6430000000000007</v>
      </c>
      <c r="D609" s="455">
        <f t="shared" si="24"/>
        <v>17.965827380952383</v>
      </c>
      <c r="E609" s="637">
        <f t="shared" si="25"/>
        <v>42.130726190476203</v>
      </c>
    </row>
    <row r="610" spans="1:5">
      <c r="A610">
        <v>12613</v>
      </c>
      <c r="B610">
        <v>600</v>
      </c>
      <c r="C610" s="455">
        <v>9.532</v>
      </c>
      <c r="D610" s="455">
        <f t="shared" si="24"/>
        <v>17.759023809523811</v>
      </c>
      <c r="E610" s="637">
        <f t="shared" si="25"/>
        <v>41.645761904761919</v>
      </c>
    </row>
    <row r="611" spans="1:5">
      <c r="A611">
        <v>12613</v>
      </c>
      <c r="B611">
        <v>700</v>
      </c>
      <c r="C611" s="455">
        <v>9.4179999999999993</v>
      </c>
      <c r="D611" s="455">
        <f t="shared" si="24"/>
        <v>17.546630952380951</v>
      </c>
      <c r="E611" s="637">
        <f t="shared" si="25"/>
        <v>41.147690476190483</v>
      </c>
    </row>
    <row r="612" spans="1:5">
      <c r="A612">
        <v>12613</v>
      </c>
      <c r="B612">
        <v>800</v>
      </c>
      <c r="C612" s="455">
        <v>9.4510000000000005</v>
      </c>
      <c r="D612" s="455">
        <f t="shared" si="24"/>
        <v>17.608113095238096</v>
      </c>
      <c r="E612" s="637">
        <f t="shared" si="25"/>
        <v>41.291869047619059</v>
      </c>
    </row>
    <row r="613" spans="1:5">
      <c r="A613">
        <v>12613</v>
      </c>
      <c r="B613">
        <v>900</v>
      </c>
      <c r="C613" s="455">
        <v>6.5529999999999999</v>
      </c>
      <c r="D613" s="455">
        <f t="shared" si="24"/>
        <v>12.208863095238096</v>
      </c>
      <c r="E613" s="637">
        <f t="shared" si="25"/>
        <v>28.630369047619055</v>
      </c>
    </row>
    <row r="614" spans="1:5">
      <c r="A614">
        <v>12613</v>
      </c>
      <c r="B614">
        <v>1000</v>
      </c>
      <c r="C614" s="455">
        <v>0.72399999999999998</v>
      </c>
      <c r="D614" s="455">
        <f t="shared" si="24"/>
        <v>1.3488809523809524</v>
      </c>
      <c r="E614" s="637">
        <f t="shared" si="25"/>
        <v>3.163190476190477</v>
      </c>
    </row>
    <row r="615" spans="1:5">
      <c r="A615">
        <v>12613</v>
      </c>
      <c r="B615">
        <v>1100</v>
      </c>
      <c r="C615" s="455">
        <v>0</v>
      </c>
      <c r="D615" s="455">
        <f t="shared" si="24"/>
        <v>0</v>
      </c>
      <c r="E615" s="637">
        <f t="shared" si="25"/>
        <v>0</v>
      </c>
    </row>
    <row r="616" spans="1:5">
      <c r="A616">
        <v>12613</v>
      </c>
      <c r="B616">
        <v>1200</v>
      </c>
      <c r="C616" s="455">
        <v>0</v>
      </c>
      <c r="D616" s="455">
        <f t="shared" si="24"/>
        <v>0</v>
      </c>
      <c r="E616" s="637">
        <f t="shared" si="25"/>
        <v>0</v>
      </c>
    </row>
    <row r="617" spans="1:5">
      <c r="A617">
        <v>12613</v>
      </c>
      <c r="B617">
        <v>1300</v>
      </c>
      <c r="C617" s="455">
        <v>1E-3</v>
      </c>
      <c r="D617" s="455">
        <f t="shared" si="24"/>
        <v>1.8630952380952381E-3</v>
      </c>
      <c r="E617" s="637">
        <f t="shared" si="25"/>
        <v>4.3690476190476205E-3</v>
      </c>
    </row>
    <row r="618" spans="1:5">
      <c r="A618">
        <v>12613</v>
      </c>
      <c r="B618">
        <v>1400</v>
      </c>
      <c r="C618" s="455">
        <v>0</v>
      </c>
      <c r="D618" s="455">
        <f t="shared" si="24"/>
        <v>0</v>
      </c>
      <c r="E618" s="637">
        <f t="shared" si="25"/>
        <v>0</v>
      </c>
    </row>
    <row r="619" spans="1:5">
      <c r="A619">
        <v>12613</v>
      </c>
      <c r="B619">
        <v>1500</v>
      </c>
      <c r="C619" s="455">
        <v>0</v>
      </c>
      <c r="D619" s="455">
        <f t="shared" si="24"/>
        <v>0</v>
      </c>
      <c r="E619" s="637">
        <f t="shared" si="25"/>
        <v>0</v>
      </c>
    </row>
    <row r="620" spans="1:5">
      <c r="A620">
        <v>12613</v>
      </c>
      <c r="B620">
        <v>1600</v>
      </c>
      <c r="C620" s="455">
        <v>0.11700000000000001</v>
      </c>
      <c r="D620" s="455">
        <f t="shared" si="24"/>
        <v>0.21798214285714287</v>
      </c>
      <c r="E620" s="637">
        <f t="shared" si="25"/>
        <v>0.51117857142857159</v>
      </c>
    </row>
    <row r="621" spans="1:5">
      <c r="A621">
        <v>12613</v>
      </c>
      <c r="B621">
        <v>1700</v>
      </c>
      <c r="C621" s="455">
        <v>2.536</v>
      </c>
      <c r="D621" s="455">
        <f t="shared" si="24"/>
        <v>4.7248095238095242</v>
      </c>
      <c r="E621" s="637">
        <f t="shared" si="25"/>
        <v>11.079904761904766</v>
      </c>
    </row>
    <row r="622" spans="1:5">
      <c r="A622">
        <v>12613</v>
      </c>
      <c r="B622">
        <v>1800</v>
      </c>
      <c r="C622" s="455">
        <v>8.7379999999999995</v>
      </c>
      <c r="D622" s="455">
        <f t="shared" si="24"/>
        <v>16.27972619047619</v>
      </c>
      <c r="E622" s="637">
        <f t="shared" si="25"/>
        <v>38.176738095238107</v>
      </c>
    </row>
    <row r="623" spans="1:5">
      <c r="A623">
        <v>12613</v>
      </c>
      <c r="B623">
        <v>1900</v>
      </c>
      <c r="C623" s="455">
        <v>8.67</v>
      </c>
      <c r="D623" s="455">
        <f t="shared" si="24"/>
        <v>16.153035714285714</v>
      </c>
      <c r="E623" s="637">
        <f t="shared" si="25"/>
        <v>37.879642857142869</v>
      </c>
    </row>
    <row r="624" spans="1:5">
      <c r="A624">
        <v>12613</v>
      </c>
      <c r="B624">
        <v>2000</v>
      </c>
      <c r="C624" s="455">
        <v>8.9600000000000009</v>
      </c>
      <c r="D624" s="455">
        <f t="shared" si="24"/>
        <v>16.693333333333335</v>
      </c>
      <c r="E624" s="637">
        <f t="shared" si="25"/>
        <v>39.146666666666682</v>
      </c>
    </row>
    <row r="625" spans="1:5">
      <c r="A625">
        <v>12613</v>
      </c>
      <c r="B625">
        <v>2100</v>
      </c>
      <c r="C625" s="455">
        <v>8.8559999999999999</v>
      </c>
      <c r="D625" s="455">
        <f t="shared" si="24"/>
        <v>16.499571428571429</v>
      </c>
      <c r="E625" s="637">
        <f t="shared" si="25"/>
        <v>38.692285714285724</v>
      </c>
    </row>
    <row r="626" spans="1:5">
      <c r="A626">
        <v>12613</v>
      </c>
      <c r="B626">
        <v>2200</v>
      </c>
      <c r="C626" s="455">
        <v>9.0579999999999998</v>
      </c>
      <c r="D626" s="455">
        <f t="shared" si="24"/>
        <v>16.875916666666669</v>
      </c>
      <c r="E626" s="637">
        <f t="shared" si="25"/>
        <v>39.574833333333345</v>
      </c>
    </row>
    <row r="627" spans="1:5">
      <c r="A627">
        <v>12613</v>
      </c>
      <c r="B627">
        <v>2300</v>
      </c>
      <c r="C627" s="455">
        <v>9.0280000000000005</v>
      </c>
      <c r="D627" s="455">
        <f t="shared" si="24"/>
        <v>16.820023809523811</v>
      </c>
      <c r="E627" s="637">
        <f t="shared" si="25"/>
        <v>39.443761904761914</v>
      </c>
    </row>
    <row r="628" spans="1:5">
      <c r="A628">
        <v>12613</v>
      </c>
      <c r="B628">
        <v>2400</v>
      </c>
      <c r="C628" s="455">
        <v>9.2850000000000001</v>
      </c>
      <c r="D628" s="455">
        <f t="shared" si="24"/>
        <v>17.298839285714287</v>
      </c>
      <c r="E628" s="637">
        <f t="shared" si="25"/>
        <v>40.566607142857158</v>
      </c>
    </row>
    <row r="629" spans="1:5">
      <c r="A629">
        <v>12713</v>
      </c>
      <c r="B629">
        <v>100</v>
      </c>
      <c r="C629" s="455">
        <v>9.3239999999999998</v>
      </c>
      <c r="D629" s="455">
        <f t="shared" si="24"/>
        <v>17.371500000000001</v>
      </c>
      <c r="E629" s="637">
        <f t="shared" si="25"/>
        <v>40.737000000000009</v>
      </c>
    </row>
    <row r="630" spans="1:5">
      <c r="A630">
        <v>12713</v>
      </c>
      <c r="B630">
        <v>200</v>
      </c>
      <c r="C630" s="455">
        <v>9.2119999999999997</v>
      </c>
      <c r="D630" s="455">
        <f t="shared" si="24"/>
        <v>17.162833333333335</v>
      </c>
      <c r="E630" s="637">
        <f t="shared" si="25"/>
        <v>40.247666666666674</v>
      </c>
    </row>
    <row r="631" spans="1:5">
      <c r="A631">
        <v>12713</v>
      </c>
      <c r="B631">
        <v>300</v>
      </c>
      <c r="C631" s="455">
        <v>9.6850000000000005</v>
      </c>
      <c r="D631" s="455">
        <f t="shared" si="24"/>
        <v>18.04407738095238</v>
      </c>
      <c r="E631" s="637">
        <f t="shared" si="25"/>
        <v>42.314226190476205</v>
      </c>
    </row>
    <row r="632" spans="1:5">
      <c r="A632">
        <v>12713</v>
      </c>
      <c r="B632">
        <v>400</v>
      </c>
      <c r="C632" s="455">
        <v>9.5050000000000008</v>
      </c>
      <c r="D632" s="455">
        <f t="shared" si="24"/>
        <v>17.708720238095239</v>
      </c>
      <c r="E632" s="637">
        <f t="shared" si="25"/>
        <v>41.527797619047632</v>
      </c>
    </row>
    <row r="633" spans="1:5">
      <c r="A633">
        <v>12713</v>
      </c>
      <c r="B633">
        <v>500</v>
      </c>
      <c r="C633" s="455">
        <v>9.5039999999999996</v>
      </c>
      <c r="D633" s="455">
        <f t="shared" si="24"/>
        <v>17.706857142857142</v>
      </c>
      <c r="E633" s="637">
        <f t="shared" si="25"/>
        <v>41.523428571428582</v>
      </c>
    </row>
    <row r="634" spans="1:5">
      <c r="A634">
        <v>12713</v>
      </c>
      <c r="B634">
        <v>600</v>
      </c>
      <c r="C634" s="455">
        <v>9.5709999999999997</v>
      </c>
      <c r="D634" s="455">
        <f t="shared" si="24"/>
        <v>17.831684523809521</v>
      </c>
      <c r="E634" s="637">
        <f t="shared" si="25"/>
        <v>41.81615476190477</v>
      </c>
    </row>
    <row r="635" spans="1:5">
      <c r="A635">
        <v>12713</v>
      </c>
      <c r="B635">
        <v>700</v>
      </c>
      <c r="C635" s="455">
        <v>9.4909999999999997</v>
      </c>
      <c r="D635" s="455">
        <f t="shared" si="24"/>
        <v>17.682636904761903</v>
      </c>
      <c r="E635" s="637">
        <f t="shared" si="25"/>
        <v>41.46663095238096</v>
      </c>
    </row>
    <row r="636" spans="1:5">
      <c r="A636">
        <v>12713</v>
      </c>
      <c r="B636">
        <v>800</v>
      </c>
      <c r="C636" s="455">
        <v>9.9670000000000005</v>
      </c>
      <c r="D636" s="455">
        <f t="shared" si="24"/>
        <v>18.569470238095239</v>
      </c>
      <c r="E636" s="637">
        <f t="shared" si="25"/>
        <v>43.546297619047635</v>
      </c>
    </row>
    <row r="637" spans="1:5">
      <c r="A637">
        <v>12713</v>
      </c>
      <c r="B637">
        <v>900</v>
      </c>
      <c r="C637" s="455">
        <v>3.2919999999999998</v>
      </c>
      <c r="D637" s="455">
        <f t="shared" si="24"/>
        <v>6.1333095238095234</v>
      </c>
      <c r="E637" s="637">
        <f t="shared" si="25"/>
        <v>14.382904761904765</v>
      </c>
    </row>
    <row r="638" spans="1:5">
      <c r="A638">
        <v>12713</v>
      </c>
      <c r="B638">
        <v>1000</v>
      </c>
      <c r="C638" s="455">
        <v>0.159</v>
      </c>
      <c r="D638" s="455">
        <f t="shared" si="24"/>
        <v>0.29623214285714289</v>
      </c>
      <c r="E638" s="637">
        <f t="shared" si="25"/>
        <v>0.69467857142857159</v>
      </c>
    </row>
    <row r="639" spans="1:5">
      <c r="A639">
        <v>12713</v>
      </c>
      <c r="B639">
        <v>1100</v>
      </c>
      <c r="C639" s="455">
        <v>0</v>
      </c>
      <c r="D639" s="455">
        <f t="shared" si="24"/>
        <v>0</v>
      </c>
      <c r="E639" s="637">
        <f t="shared" si="25"/>
        <v>0</v>
      </c>
    </row>
    <row r="640" spans="1:5">
      <c r="A640">
        <v>12713</v>
      </c>
      <c r="B640">
        <v>1200</v>
      </c>
      <c r="C640" s="455">
        <v>0</v>
      </c>
      <c r="D640" s="455">
        <f t="shared" si="24"/>
        <v>0</v>
      </c>
      <c r="E640" s="637">
        <f t="shared" si="25"/>
        <v>0</v>
      </c>
    </row>
    <row r="641" spans="1:5">
      <c r="A641">
        <v>12713</v>
      </c>
      <c r="B641">
        <v>1300</v>
      </c>
      <c r="C641" s="455">
        <v>0</v>
      </c>
      <c r="D641" s="455">
        <f t="shared" si="24"/>
        <v>0</v>
      </c>
      <c r="E641" s="637">
        <f t="shared" si="25"/>
        <v>0</v>
      </c>
    </row>
    <row r="642" spans="1:5">
      <c r="A642">
        <v>12713</v>
      </c>
      <c r="B642">
        <v>1400</v>
      </c>
      <c r="C642" s="455">
        <v>1E-3</v>
      </c>
      <c r="D642" s="455">
        <f t="shared" si="24"/>
        <v>1.8630952380952381E-3</v>
      </c>
      <c r="E642" s="637">
        <f t="shared" si="25"/>
        <v>4.3690476190476205E-3</v>
      </c>
    </row>
    <row r="643" spans="1:5">
      <c r="A643">
        <v>12713</v>
      </c>
      <c r="B643">
        <v>1500</v>
      </c>
      <c r="C643" s="455">
        <v>0</v>
      </c>
      <c r="D643" s="455">
        <f t="shared" si="24"/>
        <v>0</v>
      </c>
      <c r="E643" s="637">
        <f t="shared" si="25"/>
        <v>0</v>
      </c>
    </row>
    <row r="644" spans="1:5">
      <c r="A644">
        <v>12713</v>
      </c>
      <c r="B644">
        <v>1600</v>
      </c>
      <c r="C644" s="455">
        <v>1.6E-2</v>
      </c>
      <c r="D644" s="455">
        <f t="shared" si="24"/>
        <v>2.980952380952381E-2</v>
      </c>
      <c r="E644" s="637">
        <f t="shared" si="25"/>
        <v>6.9904761904761928E-2</v>
      </c>
    </row>
    <row r="645" spans="1:5">
      <c r="A645">
        <v>12713</v>
      </c>
      <c r="B645">
        <v>1700</v>
      </c>
      <c r="C645" s="455">
        <v>0.57399999999999995</v>
      </c>
      <c r="D645" s="455">
        <f t="shared" si="24"/>
        <v>1.0694166666666667</v>
      </c>
      <c r="E645" s="637">
        <f t="shared" si="25"/>
        <v>2.507833333333334</v>
      </c>
    </row>
    <row r="646" spans="1:5">
      <c r="A646">
        <v>12713</v>
      </c>
      <c r="B646">
        <v>1800</v>
      </c>
      <c r="C646" s="455">
        <v>8.2750000000000004</v>
      </c>
      <c r="D646" s="455">
        <f t="shared" ref="D646:D709" si="26">(C646/(MAX($C$5:$C$748)))*$W$5</f>
        <v>15.417113095238097</v>
      </c>
      <c r="E646" s="637">
        <f t="shared" ref="E646:E709" si="27">(C646/(MAX($C$5:$C$748)))*$P$5</f>
        <v>36.153869047619061</v>
      </c>
    </row>
    <row r="647" spans="1:5">
      <c r="A647">
        <v>12713</v>
      </c>
      <c r="B647">
        <v>1900</v>
      </c>
      <c r="C647" s="455">
        <v>8.5939999999999994</v>
      </c>
      <c r="D647" s="455">
        <f t="shared" si="26"/>
        <v>16.011440476190476</v>
      </c>
      <c r="E647" s="637">
        <f t="shared" si="27"/>
        <v>37.547595238095248</v>
      </c>
    </row>
    <row r="648" spans="1:5">
      <c r="A648">
        <v>12713</v>
      </c>
      <c r="B648">
        <v>2000</v>
      </c>
      <c r="C648" s="455">
        <v>8.67</v>
      </c>
      <c r="D648" s="455">
        <f t="shared" si="26"/>
        <v>16.153035714285714</v>
      </c>
      <c r="E648" s="637">
        <f t="shared" si="27"/>
        <v>37.879642857142869</v>
      </c>
    </row>
    <row r="649" spans="1:5">
      <c r="A649">
        <v>12713</v>
      </c>
      <c r="B649">
        <v>2100</v>
      </c>
      <c r="C649" s="455">
        <v>8.6389999999999993</v>
      </c>
      <c r="D649" s="455">
        <f t="shared" si="26"/>
        <v>16.095279761904759</v>
      </c>
      <c r="E649" s="637">
        <f t="shared" si="27"/>
        <v>37.744202380952387</v>
      </c>
    </row>
    <row r="650" spans="1:5">
      <c r="A650">
        <v>12713</v>
      </c>
      <c r="B650">
        <v>2200</v>
      </c>
      <c r="C650" s="455">
        <v>8.5969999999999995</v>
      </c>
      <c r="D650" s="455">
        <f t="shared" si="26"/>
        <v>16.017029761904762</v>
      </c>
      <c r="E650" s="637">
        <f t="shared" si="27"/>
        <v>37.560702380952392</v>
      </c>
    </row>
    <row r="651" spans="1:5">
      <c r="A651">
        <v>12713</v>
      </c>
      <c r="B651">
        <v>2300</v>
      </c>
      <c r="C651" s="455">
        <v>8.5299999999999994</v>
      </c>
      <c r="D651" s="455">
        <f t="shared" si="26"/>
        <v>15.89220238095238</v>
      </c>
      <c r="E651" s="637">
        <f t="shared" si="27"/>
        <v>37.267976190476197</v>
      </c>
    </row>
    <row r="652" spans="1:5">
      <c r="A652">
        <v>12713</v>
      </c>
      <c r="B652">
        <v>2400</v>
      </c>
      <c r="C652" s="455">
        <v>8.5109999999999992</v>
      </c>
      <c r="D652" s="455">
        <f t="shared" si="26"/>
        <v>15.856803571428571</v>
      </c>
      <c r="E652" s="637">
        <f t="shared" si="27"/>
        <v>37.184964285714294</v>
      </c>
    </row>
    <row r="653" spans="1:5">
      <c r="A653">
        <v>12813</v>
      </c>
      <c r="B653">
        <v>100</v>
      </c>
      <c r="C653" s="455">
        <v>8.5830000000000002</v>
      </c>
      <c r="D653" s="455">
        <f t="shared" si="26"/>
        <v>15.990946428571428</v>
      </c>
      <c r="E653" s="637">
        <f t="shared" si="27"/>
        <v>37.499535714285727</v>
      </c>
    </row>
    <row r="654" spans="1:5">
      <c r="A654">
        <v>12813</v>
      </c>
      <c r="B654">
        <v>200</v>
      </c>
      <c r="C654" s="455">
        <v>8.5150000000000006</v>
      </c>
      <c r="D654" s="455">
        <f t="shared" si="26"/>
        <v>15.864255952380955</v>
      </c>
      <c r="E654" s="637">
        <f t="shared" si="27"/>
        <v>37.202440476190489</v>
      </c>
    </row>
    <row r="655" spans="1:5">
      <c r="A655">
        <v>12813</v>
      </c>
      <c r="B655">
        <v>300</v>
      </c>
      <c r="C655" s="455">
        <v>8.516</v>
      </c>
      <c r="D655" s="455">
        <f t="shared" si="26"/>
        <v>15.866119047619048</v>
      </c>
      <c r="E655" s="637">
        <f t="shared" si="27"/>
        <v>37.206809523809532</v>
      </c>
    </row>
    <row r="656" spans="1:5">
      <c r="A656">
        <v>12813</v>
      </c>
      <c r="B656">
        <v>400</v>
      </c>
      <c r="C656" s="455">
        <v>8.77</v>
      </c>
      <c r="D656" s="455">
        <f t="shared" si="26"/>
        <v>16.339345238095238</v>
      </c>
      <c r="E656" s="637">
        <f t="shared" si="27"/>
        <v>38.316547619047633</v>
      </c>
    </row>
    <row r="657" spans="1:5">
      <c r="A657">
        <v>12813</v>
      </c>
      <c r="B657">
        <v>500</v>
      </c>
      <c r="C657" s="455">
        <v>8.59</v>
      </c>
      <c r="D657" s="455">
        <f t="shared" si="26"/>
        <v>16.003988095238096</v>
      </c>
      <c r="E657" s="637">
        <f t="shared" si="27"/>
        <v>37.53011904761906</v>
      </c>
    </row>
    <row r="658" spans="1:5">
      <c r="A658">
        <v>12813</v>
      </c>
      <c r="B658">
        <v>600</v>
      </c>
      <c r="C658" s="455">
        <v>8.7089999999999996</v>
      </c>
      <c r="D658" s="455">
        <f t="shared" si="26"/>
        <v>16.225696428571428</v>
      </c>
      <c r="E658" s="637">
        <f t="shared" si="27"/>
        <v>38.05003571428572</v>
      </c>
    </row>
    <row r="659" spans="1:5">
      <c r="A659">
        <v>12813</v>
      </c>
      <c r="B659">
        <v>700</v>
      </c>
      <c r="C659" s="455">
        <v>8.6440000000000001</v>
      </c>
      <c r="D659" s="455">
        <f t="shared" si="26"/>
        <v>16.104595238095239</v>
      </c>
      <c r="E659" s="637">
        <f t="shared" si="27"/>
        <v>37.766047619047633</v>
      </c>
    </row>
    <row r="660" spans="1:5">
      <c r="A660">
        <v>12813</v>
      </c>
      <c r="B660">
        <v>800</v>
      </c>
      <c r="C660" s="455">
        <v>8.8290000000000006</v>
      </c>
      <c r="D660" s="455">
        <f t="shared" si="26"/>
        <v>16.449267857142857</v>
      </c>
      <c r="E660" s="637">
        <f t="shared" si="27"/>
        <v>38.574321428571444</v>
      </c>
    </row>
    <row r="661" spans="1:5">
      <c r="A661">
        <v>12813</v>
      </c>
      <c r="B661">
        <v>900</v>
      </c>
      <c r="C661" s="455">
        <v>9.0079999999999991</v>
      </c>
      <c r="D661" s="455">
        <f t="shared" si="26"/>
        <v>16.782761904761902</v>
      </c>
      <c r="E661" s="637">
        <f t="shared" si="27"/>
        <v>39.35638095238096</v>
      </c>
    </row>
    <row r="662" spans="1:5">
      <c r="A662">
        <v>12813</v>
      </c>
      <c r="B662">
        <v>1000</v>
      </c>
      <c r="C662" s="455">
        <v>8.8870000000000005</v>
      </c>
      <c r="D662" s="455">
        <f t="shared" si="26"/>
        <v>16.557327380952383</v>
      </c>
      <c r="E662" s="637">
        <f t="shared" si="27"/>
        <v>38.827726190476206</v>
      </c>
    </row>
    <row r="663" spans="1:5">
      <c r="A663">
        <v>12813</v>
      </c>
      <c r="B663">
        <v>1100</v>
      </c>
      <c r="C663" s="455">
        <v>9.2170000000000005</v>
      </c>
      <c r="D663" s="455">
        <f t="shared" si="26"/>
        <v>17.172148809523812</v>
      </c>
      <c r="E663" s="637">
        <f t="shared" si="27"/>
        <v>40.26951190476192</v>
      </c>
    </row>
    <row r="664" spans="1:5">
      <c r="A664">
        <v>12813</v>
      </c>
      <c r="B664">
        <v>1200</v>
      </c>
      <c r="C664" s="455">
        <v>8.2919999999999998</v>
      </c>
      <c r="D664" s="455">
        <f t="shared" si="26"/>
        <v>15.448785714285714</v>
      </c>
      <c r="E664" s="637">
        <f t="shared" si="27"/>
        <v>36.228142857142863</v>
      </c>
    </row>
    <row r="665" spans="1:5">
      <c r="A665">
        <v>12813</v>
      </c>
      <c r="B665">
        <v>1300</v>
      </c>
      <c r="C665" s="455">
        <v>7.86</v>
      </c>
      <c r="D665" s="455">
        <f t="shared" si="26"/>
        <v>14.643928571428573</v>
      </c>
      <c r="E665" s="637">
        <f t="shared" si="27"/>
        <v>34.340714285714299</v>
      </c>
    </row>
    <row r="666" spans="1:5">
      <c r="A666">
        <v>12813</v>
      </c>
      <c r="B666">
        <v>1400</v>
      </c>
      <c r="C666" s="455">
        <v>6.6369999999999996</v>
      </c>
      <c r="D666" s="455">
        <f t="shared" si="26"/>
        <v>12.365363095238095</v>
      </c>
      <c r="E666" s="637">
        <f t="shared" si="27"/>
        <v>28.997369047619056</v>
      </c>
    </row>
    <row r="667" spans="1:5">
      <c r="A667">
        <v>12813</v>
      </c>
      <c r="B667">
        <v>1500</v>
      </c>
      <c r="C667" s="455">
        <v>7.6379999999999999</v>
      </c>
      <c r="D667" s="455">
        <f t="shared" si="26"/>
        <v>14.230321428571429</v>
      </c>
      <c r="E667" s="637">
        <f t="shared" si="27"/>
        <v>33.370785714285724</v>
      </c>
    </row>
    <row r="668" spans="1:5">
      <c r="A668">
        <v>12813</v>
      </c>
      <c r="B668">
        <v>1600</v>
      </c>
      <c r="C668" s="455">
        <v>9.17</v>
      </c>
      <c r="D668" s="455">
        <f t="shared" si="26"/>
        <v>17.084583333333331</v>
      </c>
      <c r="E668" s="637">
        <f t="shared" si="27"/>
        <v>40.064166666666672</v>
      </c>
    </row>
    <row r="669" spans="1:5">
      <c r="A669">
        <v>12813</v>
      </c>
      <c r="B669">
        <v>1700</v>
      </c>
      <c r="C669" s="455">
        <v>8.7509999999999994</v>
      </c>
      <c r="D669" s="455">
        <f t="shared" si="26"/>
        <v>16.303946428571429</v>
      </c>
      <c r="E669" s="637">
        <f t="shared" si="27"/>
        <v>38.233535714285722</v>
      </c>
    </row>
    <row r="670" spans="1:5">
      <c r="A670">
        <v>12813</v>
      </c>
      <c r="B670">
        <v>1800</v>
      </c>
      <c r="C670" s="455">
        <v>8.4700000000000006</v>
      </c>
      <c r="D670" s="455">
        <f t="shared" si="26"/>
        <v>15.780416666666667</v>
      </c>
      <c r="E670" s="637">
        <f t="shared" si="27"/>
        <v>37.005833333333342</v>
      </c>
    </row>
    <row r="671" spans="1:5">
      <c r="A671">
        <v>12813</v>
      </c>
      <c r="B671">
        <v>1900</v>
      </c>
      <c r="C671" s="455">
        <v>8.2370000000000001</v>
      </c>
      <c r="D671" s="455">
        <f t="shared" si="26"/>
        <v>15.346315476190478</v>
      </c>
      <c r="E671" s="637">
        <f t="shared" si="27"/>
        <v>35.987845238095247</v>
      </c>
    </row>
    <row r="672" spans="1:5">
      <c r="A672">
        <v>12813</v>
      </c>
      <c r="B672">
        <v>2000</v>
      </c>
      <c r="C672" s="455">
        <v>8.16</v>
      </c>
      <c r="D672" s="455">
        <f t="shared" si="26"/>
        <v>15.202857142857143</v>
      </c>
      <c r="E672" s="637">
        <f t="shared" si="27"/>
        <v>35.651428571428582</v>
      </c>
    </row>
    <row r="673" spans="1:5">
      <c r="A673">
        <v>12813</v>
      </c>
      <c r="B673">
        <v>2100</v>
      </c>
      <c r="C673" s="455">
        <v>8.7520000000000007</v>
      </c>
      <c r="D673" s="455">
        <f t="shared" si="26"/>
        <v>16.305809523809526</v>
      </c>
      <c r="E673" s="637">
        <f t="shared" si="27"/>
        <v>38.23790476190478</v>
      </c>
    </row>
    <row r="674" spans="1:5">
      <c r="A674">
        <v>12813</v>
      </c>
      <c r="B674">
        <v>2200</v>
      </c>
      <c r="C674" s="455">
        <v>8.4879999999999995</v>
      </c>
      <c r="D674" s="455">
        <f t="shared" si="26"/>
        <v>15.813952380952379</v>
      </c>
      <c r="E674" s="637">
        <f t="shared" si="27"/>
        <v>37.084476190476195</v>
      </c>
    </row>
    <row r="675" spans="1:5">
      <c r="A675">
        <v>12813</v>
      </c>
      <c r="B675">
        <v>2300</v>
      </c>
      <c r="C675" s="455">
        <v>8.2710000000000008</v>
      </c>
      <c r="D675" s="455">
        <f t="shared" si="26"/>
        <v>15.409660714285716</v>
      </c>
      <c r="E675" s="637">
        <f t="shared" si="27"/>
        <v>36.136392857142866</v>
      </c>
    </row>
    <row r="676" spans="1:5">
      <c r="A676">
        <v>12813</v>
      </c>
      <c r="B676">
        <v>2400</v>
      </c>
      <c r="C676" s="455">
        <v>8.4960000000000004</v>
      </c>
      <c r="D676" s="455">
        <f t="shared" si="26"/>
        <v>15.828857142857144</v>
      </c>
      <c r="E676" s="637">
        <f t="shared" si="27"/>
        <v>37.119428571428585</v>
      </c>
    </row>
    <row r="677" spans="1:5">
      <c r="A677">
        <v>12913</v>
      </c>
      <c r="B677">
        <v>100</v>
      </c>
      <c r="C677" s="455">
        <v>8.5020000000000007</v>
      </c>
      <c r="D677" s="455">
        <f t="shared" si="26"/>
        <v>15.840035714285715</v>
      </c>
      <c r="E677" s="637">
        <f t="shared" si="27"/>
        <v>37.145642857142867</v>
      </c>
    </row>
    <row r="678" spans="1:5">
      <c r="A678">
        <v>12913</v>
      </c>
      <c r="B678">
        <v>200</v>
      </c>
      <c r="C678" s="455">
        <v>8.6859999999999999</v>
      </c>
      <c r="D678" s="455">
        <f t="shared" si="26"/>
        <v>16.18284523809524</v>
      </c>
      <c r="E678" s="637">
        <f t="shared" si="27"/>
        <v>37.949547619047628</v>
      </c>
    </row>
    <row r="679" spans="1:5">
      <c r="A679">
        <v>12913</v>
      </c>
      <c r="B679">
        <v>300</v>
      </c>
      <c r="C679" s="455">
        <v>8.4139999999999997</v>
      </c>
      <c r="D679" s="455">
        <f t="shared" si="26"/>
        <v>15.676083333333333</v>
      </c>
      <c r="E679" s="637">
        <f t="shared" si="27"/>
        <v>36.761166666666675</v>
      </c>
    </row>
    <row r="680" spans="1:5">
      <c r="A680">
        <v>12913</v>
      </c>
      <c r="B680">
        <v>400</v>
      </c>
      <c r="C680" s="455">
        <v>8.3729999999999993</v>
      </c>
      <c r="D680" s="455">
        <f t="shared" si="26"/>
        <v>15.599696428571427</v>
      </c>
      <c r="E680" s="637">
        <f t="shared" si="27"/>
        <v>36.582035714285723</v>
      </c>
    </row>
    <row r="681" spans="1:5">
      <c r="A681">
        <v>12913</v>
      </c>
      <c r="B681">
        <v>500</v>
      </c>
      <c r="C681" s="455">
        <v>8.3420000000000005</v>
      </c>
      <c r="D681" s="455">
        <f t="shared" si="26"/>
        <v>15.541940476190478</v>
      </c>
      <c r="E681" s="637">
        <f t="shared" si="27"/>
        <v>36.446595238095249</v>
      </c>
    </row>
    <row r="682" spans="1:5">
      <c r="A682">
        <v>12913</v>
      </c>
      <c r="B682">
        <v>600</v>
      </c>
      <c r="C682" s="455">
        <v>8.5879999999999992</v>
      </c>
      <c r="D682" s="455">
        <f t="shared" si="26"/>
        <v>16.000261904761903</v>
      </c>
      <c r="E682" s="637">
        <f t="shared" si="27"/>
        <v>37.521380952380959</v>
      </c>
    </row>
    <row r="683" spans="1:5">
      <c r="A683">
        <v>12913</v>
      </c>
      <c r="B683">
        <v>700</v>
      </c>
      <c r="C683" s="455">
        <v>8.6270000000000007</v>
      </c>
      <c r="D683" s="455">
        <f t="shared" si="26"/>
        <v>16.07292261904762</v>
      </c>
      <c r="E683" s="637">
        <f t="shared" si="27"/>
        <v>37.691773809523824</v>
      </c>
    </row>
    <row r="684" spans="1:5">
      <c r="A684">
        <v>12913</v>
      </c>
      <c r="B684">
        <v>800</v>
      </c>
      <c r="C684" s="455">
        <v>8.6180000000000003</v>
      </c>
      <c r="D684" s="455">
        <f t="shared" si="26"/>
        <v>16.056154761904761</v>
      </c>
      <c r="E684" s="637">
        <f t="shared" si="27"/>
        <v>37.65245238095239</v>
      </c>
    </row>
    <row r="685" spans="1:5">
      <c r="A685">
        <v>12913</v>
      </c>
      <c r="B685">
        <v>900</v>
      </c>
      <c r="C685" s="455">
        <v>7.9470000000000001</v>
      </c>
      <c r="D685" s="455">
        <f t="shared" si="26"/>
        <v>14.806017857142859</v>
      </c>
      <c r="E685" s="637">
        <f t="shared" si="27"/>
        <v>34.72082142857144</v>
      </c>
    </row>
    <row r="686" spans="1:5">
      <c r="A686">
        <v>12913</v>
      </c>
      <c r="B686">
        <v>1000</v>
      </c>
      <c r="C686" s="455">
        <v>3.9420000000000002</v>
      </c>
      <c r="D686" s="455">
        <f t="shared" si="26"/>
        <v>7.3443214285714298</v>
      </c>
      <c r="E686" s="637">
        <f t="shared" si="27"/>
        <v>17.22278571428572</v>
      </c>
    </row>
    <row r="687" spans="1:5">
      <c r="A687">
        <v>12913</v>
      </c>
      <c r="B687">
        <v>1100</v>
      </c>
      <c r="C687" s="455">
        <v>1.94</v>
      </c>
      <c r="D687" s="455">
        <f t="shared" si="26"/>
        <v>3.6144047619047623</v>
      </c>
      <c r="E687" s="637">
        <f t="shared" si="27"/>
        <v>8.4759523809523838</v>
      </c>
    </row>
    <row r="688" spans="1:5">
      <c r="A688">
        <v>12913</v>
      </c>
      <c r="B688">
        <v>1200</v>
      </c>
      <c r="C688" s="455">
        <v>0.14399999999999999</v>
      </c>
      <c r="D688" s="455">
        <f t="shared" si="26"/>
        <v>0.26828571428571429</v>
      </c>
      <c r="E688" s="637">
        <f t="shared" si="27"/>
        <v>0.62914285714285723</v>
      </c>
    </row>
    <row r="689" spans="1:5">
      <c r="A689">
        <v>12913</v>
      </c>
      <c r="B689">
        <v>1300</v>
      </c>
      <c r="C689" s="455">
        <v>0.216</v>
      </c>
      <c r="D689" s="455">
        <f t="shared" si="26"/>
        <v>0.40242857142857147</v>
      </c>
      <c r="E689" s="637">
        <f t="shared" si="27"/>
        <v>0.94371428571428595</v>
      </c>
    </row>
    <row r="690" spans="1:5">
      <c r="A690">
        <v>12913</v>
      </c>
      <c r="B690">
        <v>1400</v>
      </c>
      <c r="C690" s="455">
        <v>0.14399999999999999</v>
      </c>
      <c r="D690" s="455">
        <f t="shared" si="26"/>
        <v>0.26828571428571429</v>
      </c>
      <c r="E690" s="637">
        <f t="shared" si="27"/>
        <v>0.62914285714285723</v>
      </c>
    </row>
    <row r="691" spans="1:5">
      <c r="A691">
        <v>12913</v>
      </c>
      <c r="B691">
        <v>1500</v>
      </c>
      <c r="C691" s="455">
        <v>0.25700000000000001</v>
      </c>
      <c r="D691" s="455">
        <f t="shared" si="26"/>
        <v>0.47881547619047621</v>
      </c>
      <c r="E691" s="637">
        <f t="shared" si="27"/>
        <v>1.1228452380952383</v>
      </c>
    </row>
    <row r="692" spans="1:5">
      <c r="A692">
        <v>12913</v>
      </c>
      <c r="B692">
        <v>1600</v>
      </c>
      <c r="C692" s="455">
        <v>1.4670000000000001</v>
      </c>
      <c r="D692" s="455">
        <f t="shared" si="26"/>
        <v>2.7331607142857148</v>
      </c>
      <c r="E692" s="637">
        <f t="shared" si="27"/>
        <v>6.4093928571428593</v>
      </c>
    </row>
    <row r="693" spans="1:5">
      <c r="A693">
        <v>12913</v>
      </c>
      <c r="B693">
        <v>1700</v>
      </c>
      <c r="C693" s="455">
        <v>6.0010000000000003</v>
      </c>
      <c r="D693" s="455">
        <f t="shared" si="26"/>
        <v>11.180434523809526</v>
      </c>
      <c r="E693" s="637">
        <f t="shared" si="27"/>
        <v>26.218654761904769</v>
      </c>
    </row>
    <row r="694" spans="1:5">
      <c r="A694">
        <v>12913</v>
      </c>
      <c r="B694">
        <v>1800</v>
      </c>
      <c r="C694" s="455">
        <v>8.0790000000000006</v>
      </c>
      <c r="D694" s="455">
        <f t="shared" si="26"/>
        <v>15.05194642857143</v>
      </c>
      <c r="E694" s="637">
        <f t="shared" si="27"/>
        <v>35.297535714285722</v>
      </c>
    </row>
    <row r="695" spans="1:5">
      <c r="A695">
        <v>12913</v>
      </c>
      <c r="B695">
        <v>1900</v>
      </c>
      <c r="C695" s="455">
        <v>7.782</v>
      </c>
      <c r="D695" s="455">
        <f t="shared" si="26"/>
        <v>14.498607142857143</v>
      </c>
      <c r="E695" s="637">
        <f t="shared" si="27"/>
        <v>33.999928571428576</v>
      </c>
    </row>
    <row r="696" spans="1:5">
      <c r="A696">
        <v>12913</v>
      </c>
      <c r="B696">
        <v>2000</v>
      </c>
      <c r="C696" s="455">
        <v>8.2629999999999999</v>
      </c>
      <c r="D696" s="455">
        <f t="shared" si="26"/>
        <v>15.394755952380953</v>
      </c>
      <c r="E696" s="637">
        <f t="shared" si="27"/>
        <v>36.101440476190483</v>
      </c>
    </row>
    <row r="697" spans="1:5">
      <c r="A697">
        <v>12913</v>
      </c>
      <c r="B697">
        <v>2100</v>
      </c>
      <c r="C697" s="455">
        <v>8.4160000000000004</v>
      </c>
      <c r="D697" s="455">
        <f t="shared" si="26"/>
        <v>15.679809523809524</v>
      </c>
      <c r="E697" s="637">
        <f t="shared" si="27"/>
        <v>36.769904761904769</v>
      </c>
    </row>
    <row r="698" spans="1:5">
      <c r="A698">
        <v>12913</v>
      </c>
      <c r="B698">
        <v>2200</v>
      </c>
      <c r="C698" s="455">
        <v>8.0869999999999997</v>
      </c>
      <c r="D698" s="455">
        <f t="shared" si="26"/>
        <v>15.066851190476189</v>
      </c>
      <c r="E698" s="637">
        <f t="shared" si="27"/>
        <v>35.332488095238105</v>
      </c>
    </row>
    <row r="699" spans="1:5">
      <c r="A699">
        <v>12913</v>
      </c>
      <c r="B699">
        <v>2300</v>
      </c>
      <c r="C699" s="455">
        <v>8.4819999999999993</v>
      </c>
      <c r="D699" s="455">
        <f t="shared" si="26"/>
        <v>15.802773809523808</v>
      </c>
      <c r="E699" s="637">
        <f t="shared" si="27"/>
        <v>37.058261904761906</v>
      </c>
    </row>
    <row r="700" spans="1:5">
      <c r="A700">
        <v>12913</v>
      </c>
      <c r="B700">
        <v>2400</v>
      </c>
      <c r="C700" s="455">
        <v>8.0410000000000004</v>
      </c>
      <c r="D700" s="455">
        <f t="shared" si="26"/>
        <v>14.981148809523809</v>
      </c>
      <c r="E700" s="637">
        <f t="shared" si="27"/>
        <v>35.131511904761915</v>
      </c>
    </row>
    <row r="701" spans="1:5">
      <c r="A701">
        <v>13013</v>
      </c>
      <c r="B701">
        <v>100</v>
      </c>
      <c r="C701" s="455">
        <v>8.5640000000000001</v>
      </c>
      <c r="D701" s="455">
        <f t="shared" si="26"/>
        <v>15.95554761904762</v>
      </c>
      <c r="E701" s="637">
        <f t="shared" si="27"/>
        <v>37.416523809523817</v>
      </c>
    </row>
    <row r="702" spans="1:5">
      <c r="A702">
        <v>13013</v>
      </c>
      <c r="B702">
        <v>200</v>
      </c>
      <c r="C702" s="455">
        <v>8.1319999999999997</v>
      </c>
      <c r="D702" s="455">
        <f t="shared" si="26"/>
        <v>15.150690476190475</v>
      </c>
      <c r="E702" s="637">
        <f t="shared" si="27"/>
        <v>35.529095238095245</v>
      </c>
    </row>
    <row r="703" spans="1:5">
      <c r="A703">
        <v>13013</v>
      </c>
      <c r="B703">
        <v>300</v>
      </c>
      <c r="C703" s="455">
        <v>8.32</v>
      </c>
      <c r="D703" s="455">
        <f t="shared" si="26"/>
        <v>15.500952380952382</v>
      </c>
      <c r="E703" s="637">
        <f t="shared" si="27"/>
        <v>36.350476190476201</v>
      </c>
    </row>
    <row r="704" spans="1:5">
      <c r="A704">
        <v>13013</v>
      </c>
      <c r="B704">
        <v>400</v>
      </c>
      <c r="C704" s="455">
        <v>7.6870000000000003</v>
      </c>
      <c r="D704" s="455">
        <f t="shared" si="26"/>
        <v>14.321613095238096</v>
      </c>
      <c r="E704" s="637">
        <f t="shared" si="27"/>
        <v>33.584869047619058</v>
      </c>
    </row>
    <row r="705" spans="1:5">
      <c r="A705">
        <v>13013</v>
      </c>
      <c r="B705">
        <v>500</v>
      </c>
      <c r="C705" s="455">
        <v>8.1709999999999994</v>
      </c>
      <c r="D705" s="455">
        <f t="shared" si="26"/>
        <v>15.22335119047619</v>
      </c>
      <c r="E705" s="637">
        <f t="shared" si="27"/>
        <v>35.699488095238102</v>
      </c>
    </row>
    <row r="706" spans="1:5">
      <c r="A706">
        <v>13013</v>
      </c>
      <c r="B706">
        <v>600</v>
      </c>
      <c r="C706" s="455">
        <v>7.7709999999999999</v>
      </c>
      <c r="D706" s="455">
        <f t="shared" si="26"/>
        <v>14.478113095238095</v>
      </c>
      <c r="E706" s="637">
        <f t="shared" si="27"/>
        <v>33.951869047619056</v>
      </c>
    </row>
    <row r="707" spans="1:5">
      <c r="A707">
        <v>13013</v>
      </c>
      <c r="B707">
        <v>700</v>
      </c>
      <c r="C707" s="455">
        <v>7.6420000000000003</v>
      </c>
      <c r="D707" s="455">
        <f t="shared" si="26"/>
        <v>14.23777380952381</v>
      </c>
      <c r="E707" s="637">
        <f t="shared" si="27"/>
        <v>33.388261904761919</v>
      </c>
    </row>
    <row r="708" spans="1:5">
      <c r="A708">
        <v>13013</v>
      </c>
      <c r="B708">
        <v>800</v>
      </c>
      <c r="C708" s="455">
        <v>7.6859999999999999</v>
      </c>
      <c r="D708" s="455">
        <f t="shared" si="26"/>
        <v>14.319750000000001</v>
      </c>
      <c r="E708" s="637">
        <f t="shared" si="27"/>
        <v>33.580500000000008</v>
      </c>
    </row>
    <row r="709" spans="1:5">
      <c r="A709">
        <v>13013</v>
      </c>
      <c r="B709">
        <v>900</v>
      </c>
      <c r="C709" s="455">
        <v>3.0430000000000001</v>
      </c>
      <c r="D709" s="455">
        <f t="shared" si="26"/>
        <v>5.6693988095238099</v>
      </c>
      <c r="E709" s="637">
        <f t="shared" si="27"/>
        <v>13.295011904761909</v>
      </c>
    </row>
    <row r="710" spans="1:5">
      <c r="A710">
        <v>13013</v>
      </c>
      <c r="B710">
        <v>1000</v>
      </c>
      <c r="C710" s="455">
        <v>0.182</v>
      </c>
      <c r="D710" s="455">
        <f t="shared" ref="D710:D748" si="28">(C710/(MAX($C$5:$C$748)))*$W$5</f>
        <v>0.33908333333333335</v>
      </c>
      <c r="E710" s="637">
        <f t="shared" ref="E710:E747" si="29">(C710/(MAX($C$5:$C$748)))*$P$5</f>
        <v>0.79516666666666691</v>
      </c>
    </row>
    <row r="711" spans="1:5">
      <c r="A711">
        <v>13013</v>
      </c>
      <c r="B711">
        <v>1100</v>
      </c>
      <c r="C711" s="455">
        <v>7.1999999999999995E-2</v>
      </c>
      <c r="D711" s="455">
        <f t="shared" si="28"/>
        <v>0.13414285714285715</v>
      </c>
      <c r="E711" s="637">
        <f t="shared" si="29"/>
        <v>0.31457142857142861</v>
      </c>
    </row>
    <row r="712" spans="1:5">
      <c r="A712">
        <v>13013</v>
      </c>
      <c r="B712">
        <v>1200</v>
      </c>
      <c r="C712" s="455">
        <v>0.14399999999999999</v>
      </c>
      <c r="D712" s="455">
        <f t="shared" si="28"/>
        <v>0.26828571428571429</v>
      </c>
      <c r="E712" s="637">
        <f t="shared" si="29"/>
        <v>0.62914285714285723</v>
      </c>
    </row>
    <row r="713" spans="1:5">
      <c r="A713">
        <v>13013</v>
      </c>
      <c r="B713">
        <v>1300</v>
      </c>
      <c r="C713" s="455">
        <v>7.1999999999999995E-2</v>
      </c>
      <c r="D713" s="455">
        <f t="shared" si="28"/>
        <v>0.13414285714285715</v>
      </c>
      <c r="E713" s="637">
        <f t="shared" si="29"/>
        <v>0.31457142857142861</v>
      </c>
    </row>
    <row r="714" spans="1:5">
      <c r="A714">
        <v>13013</v>
      </c>
      <c r="B714">
        <v>1400</v>
      </c>
      <c r="C714" s="455">
        <v>7.1999999999999995E-2</v>
      </c>
      <c r="D714" s="455">
        <f t="shared" si="28"/>
        <v>0.13414285714285715</v>
      </c>
      <c r="E714" s="637">
        <f t="shared" si="29"/>
        <v>0.31457142857142861</v>
      </c>
    </row>
    <row r="715" spans="1:5">
      <c r="A715">
        <v>13013</v>
      </c>
      <c r="B715">
        <v>1500</v>
      </c>
      <c r="C715" s="455">
        <v>0</v>
      </c>
      <c r="D715" s="455">
        <f t="shared" si="28"/>
        <v>0</v>
      </c>
      <c r="E715" s="637">
        <f t="shared" si="29"/>
        <v>0</v>
      </c>
    </row>
    <row r="716" spans="1:5">
      <c r="A716">
        <v>13013</v>
      </c>
      <c r="B716">
        <v>1600</v>
      </c>
      <c r="C716" s="455">
        <v>0.36</v>
      </c>
      <c r="D716" s="455">
        <f t="shared" si="28"/>
        <v>0.67071428571428571</v>
      </c>
      <c r="E716" s="637">
        <f t="shared" si="29"/>
        <v>1.5728571428571434</v>
      </c>
    </row>
    <row r="717" spans="1:5">
      <c r="A717">
        <v>13013</v>
      </c>
      <c r="B717">
        <v>1700</v>
      </c>
      <c r="C717" s="455">
        <v>1.349</v>
      </c>
      <c r="D717" s="455">
        <f t="shared" si="28"/>
        <v>2.5133154761904759</v>
      </c>
      <c r="E717" s="637">
        <f t="shared" si="29"/>
        <v>5.8938452380952393</v>
      </c>
    </row>
    <row r="718" spans="1:5">
      <c r="A718">
        <v>13013</v>
      </c>
      <c r="B718">
        <v>1800</v>
      </c>
      <c r="C718" s="455">
        <v>7.8319999999999999</v>
      </c>
      <c r="D718" s="455">
        <f t="shared" si="28"/>
        <v>14.591761904761904</v>
      </c>
      <c r="E718" s="637">
        <f t="shared" si="29"/>
        <v>34.218380952380961</v>
      </c>
    </row>
    <row r="719" spans="1:5">
      <c r="A719">
        <v>13013</v>
      </c>
      <c r="B719">
        <v>1900</v>
      </c>
      <c r="C719" s="455">
        <v>8.0410000000000004</v>
      </c>
      <c r="D719" s="455">
        <f t="shared" si="28"/>
        <v>14.981148809523809</v>
      </c>
      <c r="E719" s="637">
        <f t="shared" si="29"/>
        <v>35.131511904761915</v>
      </c>
    </row>
    <row r="720" spans="1:5">
      <c r="A720">
        <v>13013</v>
      </c>
      <c r="B720">
        <v>2000</v>
      </c>
      <c r="C720" s="455">
        <v>8.0190000000000001</v>
      </c>
      <c r="D720" s="455">
        <f t="shared" si="28"/>
        <v>14.940160714285716</v>
      </c>
      <c r="E720" s="637">
        <f t="shared" si="29"/>
        <v>35.035392857142867</v>
      </c>
    </row>
    <row r="721" spans="1:5">
      <c r="A721">
        <v>13013</v>
      </c>
      <c r="B721">
        <v>2100</v>
      </c>
      <c r="C721" s="455">
        <v>7.8769999999999998</v>
      </c>
      <c r="D721" s="455">
        <f t="shared" si="28"/>
        <v>14.675601190476192</v>
      </c>
      <c r="E721" s="637">
        <f t="shared" si="29"/>
        <v>34.414988095238108</v>
      </c>
    </row>
    <row r="722" spans="1:5">
      <c r="A722">
        <v>13013</v>
      </c>
      <c r="B722">
        <v>2200</v>
      </c>
      <c r="C722" s="455">
        <v>8.1950000000000003</v>
      </c>
      <c r="D722" s="455">
        <f t="shared" si="28"/>
        <v>15.268065476190477</v>
      </c>
      <c r="E722" s="637">
        <f t="shared" si="29"/>
        <v>35.804345238095244</v>
      </c>
    </row>
    <row r="723" spans="1:5">
      <c r="A723">
        <v>13013</v>
      </c>
      <c r="B723">
        <v>2300</v>
      </c>
      <c r="C723" s="455">
        <v>8.0150000000000006</v>
      </c>
      <c r="D723" s="455">
        <f t="shared" si="28"/>
        <v>14.932708333333334</v>
      </c>
      <c r="E723" s="637">
        <f t="shared" si="29"/>
        <v>35.017916666666679</v>
      </c>
    </row>
    <row r="724" spans="1:5">
      <c r="A724">
        <v>13013</v>
      </c>
      <c r="B724">
        <v>2400</v>
      </c>
      <c r="C724" s="455">
        <v>7.8659999999999997</v>
      </c>
      <c r="D724" s="455">
        <f t="shared" si="28"/>
        <v>14.655107142857142</v>
      </c>
      <c r="E724" s="637">
        <f t="shared" si="29"/>
        <v>34.366928571428581</v>
      </c>
    </row>
    <row r="725" spans="1:5">
      <c r="A725">
        <v>13113</v>
      </c>
      <c r="B725">
        <v>100</v>
      </c>
      <c r="C725" s="455">
        <v>8.1649999999999991</v>
      </c>
      <c r="D725" s="455">
        <f t="shared" si="28"/>
        <v>15.212172619047617</v>
      </c>
      <c r="E725" s="637">
        <f t="shared" si="29"/>
        <v>35.673273809523813</v>
      </c>
    </row>
    <row r="726" spans="1:5">
      <c r="A726">
        <v>13113</v>
      </c>
      <c r="B726">
        <v>200</v>
      </c>
      <c r="C726" s="455">
        <v>8.3089999999999993</v>
      </c>
      <c r="D726" s="455">
        <f t="shared" si="28"/>
        <v>15.480458333333333</v>
      </c>
      <c r="E726" s="637">
        <f t="shared" si="29"/>
        <v>36.302416666666673</v>
      </c>
    </row>
    <row r="727" spans="1:5">
      <c r="A727">
        <v>13113</v>
      </c>
      <c r="B727">
        <v>300</v>
      </c>
      <c r="C727" s="455">
        <v>8.6989999999999998</v>
      </c>
      <c r="D727" s="455">
        <f t="shared" si="28"/>
        <v>16.207065476190476</v>
      </c>
      <c r="E727" s="637">
        <f t="shared" si="29"/>
        <v>38.00634523809525</v>
      </c>
    </row>
    <row r="728" spans="1:5">
      <c r="A728">
        <v>13113</v>
      </c>
      <c r="B728">
        <v>400</v>
      </c>
      <c r="C728" s="455">
        <v>8.7370000000000001</v>
      </c>
      <c r="D728" s="455">
        <f t="shared" si="28"/>
        <v>16.277863095238096</v>
      </c>
      <c r="E728" s="637">
        <f t="shared" si="29"/>
        <v>38.172369047619057</v>
      </c>
    </row>
    <row r="729" spans="1:5">
      <c r="A729">
        <v>13113</v>
      </c>
      <c r="B729">
        <v>500</v>
      </c>
      <c r="C729" s="455">
        <v>8.4819999999999993</v>
      </c>
      <c r="D729" s="455">
        <f t="shared" si="28"/>
        <v>15.802773809523808</v>
      </c>
      <c r="E729" s="637">
        <f t="shared" si="29"/>
        <v>37.058261904761906</v>
      </c>
    </row>
    <row r="730" spans="1:5">
      <c r="A730">
        <v>13113</v>
      </c>
      <c r="B730">
        <v>600</v>
      </c>
      <c r="C730" s="455">
        <v>8.9049999999999994</v>
      </c>
      <c r="D730" s="455">
        <f t="shared" si="28"/>
        <v>16.590863095238095</v>
      </c>
      <c r="E730" s="637">
        <f t="shared" si="29"/>
        <v>38.906369047619059</v>
      </c>
    </row>
    <row r="731" spans="1:5">
      <c r="A731">
        <v>13113</v>
      </c>
      <c r="B731">
        <v>700</v>
      </c>
      <c r="C731" s="455">
        <v>8.9030000000000005</v>
      </c>
      <c r="D731" s="455">
        <f t="shared" si="28"/>
        <v>16.587136904761905</v>
      </c>
      <c r="E731" s="637">
        <f t="shared" si="29"/>
        <v>38.897630952380965</v>
      </c>
    </row>
    <row r="732" spans="1:5">
      <c r="A732">
        <v>13113</v>
      </c>
      <c r="B732">
        <v>800</v>
      </c>
      <c r="C732" s="455">
        <v>6.8259999999999996</v>
      </c>
      <c r="D732" s="455">
        <f t="shared" si="28"/>
        <v>12.717488095238096</v>
      </c>
      <c r="E732" s="637">
        <f t="shared" si="29"/>
        <v>29.823119047619056</v>
      </c>
    </row>
    <row r="733" spans="1:5">
      <c r="A733">
        <v>13113</v>
      </c>
      <c r="B733">
        <v>900</v>
      </c>
      <c r="C733" s="455">
        <v>8.0000000000000002E-3</v>
      </c>
      <c r="D733" s="455">
        <f t="shared" si="28"/>
        <v>1.4904761904761905E-2</v>
      </c>
      <c r="E733" s="637">
        <f t="shared" si="29"/>
        <v>3.4952380952380964E-2</v>
      </c>
    </row>
    <row r="734" spans="1:5">
      <c r="A734">
        <v>13113</v>
      </c>
      <c r="B734">
        <v>1000</v>
      </c>
      <c r="C734" s="455">
        <v>1.0999999999999999E-2</v>
      </c>
      <c r="D734" s="455">
        <f t="shared" si="28"/>
        <v>2.0494047619047617E-2</v>
      </c>
      <c r="E734" s="637">
        <f t="shared" si="29"/>
        <v>4.8059523809523816E-2</v>
      </c>
    </row>
    <row r="735" spans="1:5">
      <c r="A735">
        <v>13113</v>
      </c>
      <c r="B735">
        <v>1100</v>
      </c>
      <c r="C735" s="455">
        <v>0</v>
      </c>
      <c r="D735" s="455">
        <f t="shared" si="28"/>
        <v>0</v>
      </c>
      <c r="E735" s="637">
        <f t="shared" si="29"/>
        <v>0</v>
      </c>
    </row>
    <row r="736" spans="1:5">
      <c r="A736">
        <v>13113</v>
      </c>
      <c r="B736">
        <v>1200</v>
      </c>
      <c r="C736" s="455">
        <v>1E-3</v>
      </c>
      <c r="D736" s="455">
        <f t="shared" si="28"/>
        <v>1.8630952380952381E-3</v>
      </c>
      <c r="E736" s="637">
        <f t="shared" si="29"/>
        <v>4.3690476190476205E-3</v>
      </c>
    </row>
    <row r="737" spans="1:5">
      <c r="A737">
        <v>13113</v>
      </c>
      <c r="B737">
        <v>1300</v>
      </c>
      <c r="C737" s="455">
        <v>0</v>
      </c>
      <c r="D737" s="455">
        <f t="shared" si="28"/>
        <v>0</v>
      </c>
      <c r="E737" s="637">
        <f t="shared" si="29"/>
        <v>0</v>
      </c>
    </row>
    <row r="738" spans="1:5">
      <c r="A738">
        <v>13113</v>
      </c>
      <c r="B738">
        <v>1400</v>
      </c>
      <c r="C738" s="455">
        <v>0</v>
      </c>
      <c r="D738" s="455">
        <f t="shared" si="28"/>
        <v>0</v>
      </c>
      <c r="E738" s="637">
        <f t="shared" si="29"/>
        <v>0</v>
      </c>
    </row>
    <row r="739" spans="1:5">
      <c r="A739">
        <v>13113</v>
      </c>
      <c r="B739">
        <v>1500</v>
      </c>
      <c r="C739" s="455">
        <v>0</v>
      </c>
      <c r="D739" s="455">
        <f t="shared" si="28"/>
        <v>0</v>
      </c>
      <c r="E739" s="637">
        <f t="shared" si="29"/>
        <v>0</v>
      </c>
    </row>
    <row r="740" spans="1:5">
      <c r="A740">
        <v>13113</v>
      </c>
      <c r="B740">
        <v>1600</v>
      </c>
      <c r="C740" s="455">
        <v>0</v>
      </c>
      <c r="D740" s="455">
        <f t="shared" si="28"/>
        <v>0</v>
      </c>
      <c r="E740" s="637">
        <f t="shared" si="29"/>
        <v>0</v>
      </c>
    </row>
    <row r="741" spans="1:5">
      <c r="A741">
        <v>13113</v>
      </c>
      <c r="B741">
        <v>1700</v>
      </c>
      <c r="C741" s="455">
        <v>0</v>
      </c>
      <c r="D741" s="455">
        <f t="shared" si="28"/>
        <v>0</v>
      </c>
      <c r="E741" s="637">
        <f t="shared" si="29"/>
        <v>0</v>
      </c>
    </row>
    <row r="742" spans="1:5">
      <c r="A742">
        <v>13113</v>
      </c>
      <c r="B742">
        <v>1800</v>
      </c>
      <c r="C742" s="455">
        <v>5.93</v>
      </c>
      <c r="D742" s="455">
        <f t="shared" si="28"/>
        <v>11.048154761904762</v>
      </c>
      <c r="E742" s="637">
        <f t="shared" si="29"/>
        <v>25.90845238095239</v>
      </c>
    </row>
    <row r="743" spans="1:5">
      <c r="A743">
        <v>13113</v>
      </c>
      <c r="B743">
        <v>1900</v>
      </c>
      <c r="C743" s="455">
        <v>9.3439999999999994</v>
      </c>
      <c r="D743" s="455">
        <f t="shared" si="28"/>
        <v>17.408761904761906</v>
      </c>
      <c r="E743" s="637">
        <f t="shared" si="29"/>
        <v>40.824380952380963</v>
      </c>
    </row>
    <row r="744" spans="1:5">
      <c r="A744">
        <v>13113</v>
      </c>
      <c r="B744">
        <v>2000</v>
      </c>
      <c r="C744" s="455">
        <v>9.3550000000000004</v>
      </c>
      <c r="D744" s="455">
        <f t="shared" si="28"/>
        <v>17.429255952380952</v>
      </c>
      <c r="E744" s="637">
        <f t="shared" si="29"/>
        <v>40.872440476190491</v>
      </c>
    </row>
    <row r="745" spans="1:5">
      <c r="A745">
        <v>13113</v>
      </c>
      <c r="B745">
        <v>2100</v>
      </c>
      <c r="C745" s="455">
        <v>9.2379999999999995</v>
      </c>
      <c r="D745" s="455">
        <f t="shared" si="28"/>
        <v>17.21127380952381</v>
      </c>
      <c r="E745" s="637">
        <f t="shared" si="29"/>
        <v>40.361261904761911</v>
      </c>
    </row>
    <row r="746" spans="1:5">
      <c r="A746">
        <v>13113</v>
      </c>
      <c r="B746">
        <v>2200</v>
      </c>
      <c r="C746" s="455">
        <v>9.1790000000000003</v>
      </c>
      <c r="D746" s="455">
        <f t="shared" si="28"/>
        <v>17.101351190476191</v>
      </c>
      <c r="E746" s="637">
        <f t="shared" si="29"/>
        <v>40.103488095238106</v>
      </c>
    </row>
    <row r="747" spans="1:5">
      <c r="A747">
        <v>13113</v>
      </c>
      <c r="B747">
        <v>2300</v>
      </c>
      <c r="C747" s="455">
        <v>9.3789999999999996</v>
      </c>
      <c r="D747" s="455">
        <f t="shared" si="28"/>
        <v>17.473970238095237</v>
      </c>
      <c r="E747" s="637">
        <f t="shared" si="29"/>
        <v>40.977297619047633</v>
      </c>
    </row>
    <row r="748" spans="1:5">
      <c r="A748" s="647">
        <v>13113</v>
      </c>
      <c r="B748" s="647">
        <v>2400</v>
      </c>
      <c r="C748" s="648">
        <v>9.5220000000000002</v>
      </c>
      <c r="D748" s="455">
        <f t="shared" si="28"/>
        <v>17.740392857142858</v>
      </c>
      <c r="E748" s="645">
        <f>(C748/(MAX($C$5:$C$748)))*$P$5</f>
        <v>41.602071428571442</v>
      </c>
    </row>
    <row r="749" spans="1:5">
      <c r="A749">
        <v>20113</v>
      </c>
      <c r="B749">
        <v>100</v>
      </c>
      <c r="C749" s="455">
        <v>11.974</v>
      </c>
      <c r="D749" s="637">
        <f>(C749/(MAX($C$749:$C$1420)))*$W$6</f>
        <v>24.945833333333329</v>
      </c>
      <c r="E749" s="637">
        <f>(C749/(MAX($C$749:$C$1420)))*$P$6</f>
        <v>53.312809523809534</v>
      </c>
    </row>
    <row r="750" spans="1:5">
      <c r="A750">
        <v>20113</v>
      </c>
      <c r="B750">
        <v>200</v>
      </c>
      <c r="C750" s="455">
        <v>11.347</v>
      </c>
      <c r="D750" s="637">
        <f t="shared" ref="D750:D813" si="30">(C750/(MAX($C$749:$C$1420)))*$W$6</f>
        <v>23.639583333333327</v>
      </c>
      <c r="E750" s="637">
        <f t="shared" ref="E750:E813" si="31">(C750/(MAX($C$749:$C$1420)))*$P$6</f>
        <v>50.521166666666673</v>
      </c>
    </row>
    <row r="751" spans="1:5">
      <c r="A751">
        <v>20113</v>
      </c>
      <c r="B751">
        <v>300</v>
      </c>
      <c r="C751" s="455">
        <v>12.013999999999999</v>
      </c>
      <c r="D751" s="637">
        <f t="shared" si="30"/>
        <v>25.029166666666658</v>
      </c>
      <c r="E751" s="637">
        <f t="shared" si="31"/>
        <v>53.490904761904766</v>
      </c>
    </row>
    <row r="752" spans="1:5">
      <c r="A752">
        <v>20113</v>
      </c>
      <c r="B752">
        <v>400</v>
      </c>
      <c r="C752" s="455">
        <v>12.073</v>
      </c>
      <c r="D752" s="637">
        <f t="shared" si="30"/>
        <v>25.152083333333326</v>
      </c>
      <c r="E752" s="637">
        <f t="shared" si="31"/>
        <v>53.753595238095251</v>
      </c>
    </row>
    <row r="753" spans="1:5">
      <c r="A753">
        <v>20113</v>
      </c>
      <c r="B753">
        <v>500</v>
      </c>
      <c r="C753" s="455">
        <v>12.614000000000001</v>
      </c>
      <c r="D753" s="637">
        <f t="shared" si="30"/>
        <v>26.279166666666661</v>
      </c>
      <c r="E753" s="637">
        <f t="shared" si="31"/>
        <v>56.162333333333343</v>
      </c>
    </row>
    <row r="754" spans="1:5">
      <c r="A754">
        <v>20113</v>
      </c>
      <c r="B754">
        <v>600</v>
      </c>
      <c r="C754" s="455">
        <v>11.92</v>
      </c>
      <c r="D754" s="637">
        <f t="shared" si="30"/>
        <v>24.833333333333329</v>
      </c>
      <c r="E754" s="637">
        <f t="shared" si="31"/>
        <v>53.072380952380968</v>
      </c>
    </row>
    <row r="755" spans="1:5">
      <c r="A755">
        <v>20113</v>
      </c>
      <c r="B755">
        <v>700</v>
      </c>
      <c r="C755" s="455">
        <v>12.788</v>
      </c>
      <c r="D755" s="637">
        <f t="shared" si="30"/>
        <v>26.641666666666659</v>
      </c>
      <c r="E755" s="637">
        <f t="shared" si="31"/>
        <v>56.937047619047625</v>
      </c>
    </row>
    <row r="756" spans="1:5">
      <c r="A756">
        <v>20113</v>
      </c>
      <c r="B756">
        <v>800</v>
      </c>
      <c r="C756" s="455">
        <v>10.374000000000001</v>
      </c>
      <c r="D756" s="637">
        <f t="shared" si="30"/>
        <v>21.612499999999997</v>
      </c>
      <c r="E756" s="637">
        <f t="shared" si="31"/>
        <v>46.189000000000014</v>
      </c>
    </row>
    <row r="757" spans="1:5">
      <c r="A757">
        <v>20113</v>
      </c>
      <c r="B757">
        <v>900</v>
      </c>
      <c r="C757" s="455">
        <v>0</v>
      </c>
      <c r="D757" s="637">
        <f t="shared" si="30"/>
        <v>0</v>
      </c>
      <c r="E757" s="637">
        <f t="shared" si="31"/>
        <v>0</v>
      </c>
    </row>
    <row r="758" spans="1:5">
      <c r="A758">
        <v>20113</v>
      </c>
      <c r="B758">
        <v>1000</v>
      </c>
      <c r="C758" s="455">
        <v>0</v>
      </c>
      <c r="D758" s="637">
        <f t="shared" si="30"/>
        <v>0</v>
      </c>
      <c r="E758" s="637">
        <f t="shared" si="31"/>
        <v>0</v>
      </c>
    </row>
    <row r="759" spans="1:5">
      <c r="A759">
        <v>20113</v>
      </c>
      <c r="B759">
        <v>1100</v>
      </c>
      <c r="C759" s="455">
        <v>0</v>
      </c>
      <c r="D759" s="637">
        <f t="shared" si="30"/>
        <v>0</v>
      </c>
      <c r="E759" s="637">
        <f t="shared" si="31"/>
        <v>0</v>
      </c>
    </row>
    <row r="760" spans="1:5">
      <c r="A760">
        <v>20113</v>
      </c>
      <c r="B760">
        <v>1200</v>
      </c>
      <c r="C760" s="455">
        <v>0</v>
      </c>
      <c r="D760" s="637">
        <f t="shared" si="30"/>
        <v>0</v>
      </c>
      <c r="E760" s="637">
        <f t="shared" si="31"/>
        <v>0</v>
      </c>
    </row>
    <row r="761" spans="1:5">
      <c r="A761">
        <v>20113</v>
      </c>
      <c r="B761">
        <v>1300</v>
      </c>
      <c r="C761" s="455">
        <v>0</v>
      </c>
      <c r="D761" s="637">
        <f t="shared" si="30"/>
        <v>0</v>
      </c>
      <c r="E761" s="637">
        <f t="shared" si="31"/>
        <v>0</v>
      </c>
    </row>
    <row r="762" spans="1:5">
      <c r="A762">
        <v>20113</v>
      </c>
      <c r="B762">
        <v>1400</v>
      </c>
      <c r="C762" s="455">
        <v>0</v>
      </c>
      <c r="D762" s="637">
        <f t="shared" si="30"/>
        <v>0</v>
      </c>
      <c r="E762" s="637">
        <f t="shared" si="31"/>
        <v>0</v>
      </c>
    </row>
    <row r="763" spans="1:5">
      <c r="A763">
        <v>20113</v>
      </c>
      <c r="B763">
        <v>1500</v>
      </c>
      <c r="C763" s="455">
        <v>0</v>
      </c>
      <c r="D763" s="637">
        <f t="shared" si="30"/>
        <v>0</v>
      </c>
      <c r="E763" s="637">
        <f t="shared" si="31"/>
        <v>0</v>
      </c>
    </row>
    <row r="764" spans="1:5">
      <c r="A764">
        <v>20113</v>
      </c>
      <c r="B764">
        <v>1600</v>
      </c>
      <c r="C764" s="455">
        <v>0</v>
      </c>
      <c r="D764" s="637">
        <f t="shared" si="30"/>
        <v>0</v>
      </c>
      <c r="E764" s="637">
        <f t="shared" si="31"/>
        <v>0</v>
      </c>
    </row>
    <row r="765" spans="1:5">
      <c r="A765">
        <v>20113</v>
      </c>
      <c r="B765">
        <v>1700</v>
      </c>
      <c r="C765" s="455">
        <v>2E-3</v>
      </c>
      <c r="D765" s="637">
        <f t="shared" si="30"/>
        <v>4.1666666666666657E-3</v>
      </c>
      <c r="E765" s="637">
        <f t="shared" si="31"/>
        <v>8.9047619047619066E-3</v>
      </c>
    </row>
    <row r="766" spans="1:5">
      <c r="A766">
        <v>20113</v>
      </c>
      <c r="B766">
        <v>1800</v>
      </c>
      <c r="C766" s="455">
        <v>8.5510000000000002</v>
      </c>
      <c r="D766" s="637">
        <f t="shared" si="30"/>
        <v>17.814583333333328</v>
      </c>
      <c r="E766" s="637">
        <f t="shared" si="31"/>
        <v>38.07230952380953</v>
      </c>
    </row>
    <row r="767" spans="1:5">
      <c r="A767">
        <v>20113</v>
      </c>
      <c r="B767">
        <v>1900</v>
      </c>
      <c r="C767" s="455">
        <v>10.563000000000001</v>
      </c>
      <c r="D767" s="637">
        <f t="shared" si="30"/>
        <v>22.006249999999994</v>
      </c>
      <c r="E767" s="637">
        <f t="shared" si="31"/>
        <v>47.030500000000011</v>
      </c>
    </row>
    <row r="768" spans="1:5">
      <c r="A768">
        <v>20113</v>
      </c>
      <c r="B768">
        <v>2000</v>
      </c>
      <c r="C768" s="455">
        <v>10.521000000000001</v>
      </c>
      <c r="D768" s="637">
        <f t="shared" si="30"/>
        <v>21.918749999999996</v>
      </c>
      <c r="E768" s="637">
        <f t="shared" si="31"/>
        <v>46.843500000000006</v>
      </c>
    </row>
    <row r="769" spans="1:5">
      <c r="A769">
        <v>20113</v>
      </c>
      <c r="B769">
        <v>2100</v>
      </c>
      <c r="C769" s="455">
        <v>10.861000000000001</v>
      </c>
      <c r="D769" s="637">
        <f t="shared" si="30"/>
        <v>22.627083333333328</v>
      </c>
      <c r="E769" s="637">
        <f t="shared" si="31"/>
        <v>48.357309523809533</v>
      </c>
    </row>
    <row r="770" spans="1:5">
      <c r="A770">
        <v>20113</v>
      </c>
      <c r="B770">
        <v>2200</v>
      </c>
      <c r="C770" s="455">
        <v>12.04</v>
      </c>
      <c r="D770" s="637">
        <f t="shared" si="30"/>
        <v>25.083333333333325</v>
      </c>
      <c r="E770" s="637">
        <f t="shared" si="31"/>
        <v>53.606666666666669</v>
      </c>
    </row>
    <row r="771" spans="1:5">
      <c r="A771">
        <v>20113</v>
      </c>
      <c r="B771">
        <v>2300</v>
      </c>
      <c r="C771" s="455">
        <v>12.064</v>
      </c>
      <c r="D771" s="637">
        <f t="shared" si="30"/>
        <v>25.133333333333329</v>
      </c>
      <c r="E771" s="637">
        <f t="shared" si="31"/>
        <v>53.713523809523821</v>
      </c>
    </row>
    <row r="772" spans="1:5">
      <c r="A772">
        <v>20113</v>
      </c>
      <c r="B772">
        <v>2400</v>
      </c>
      <c r="C772" s="455">
        <v>11.815</v>
      </c>
      <c r="D772" s="637">
        <f t="shared" si="30"/>
        <v>24.614583333333325</v>
      </c>
      <c r="E772" s="637">
        <f t="shared" si="31"/>
        <v>52.60488095238096</v>
      </c>
    </row>
    <row r="773" spans="1:5">
      <c r="A773">
        <v>20213</v>
      </c>
      <c r="B773">
        <v>100</v>
      </c>
      <c r="C773" s="455">
        <v>11.497</v>
      </c>
      <c r="D773" s="637">
        <f t="shared" si="30"/>
        <v>23.952083333333327</v>
      </c>
      <c r="E773" s="637">
        <f t="shared" si="31"/>
        <v>51.189023809523825</v>
      </c>
    </row>
    <row r="774" spans="1:5">
      <c r="A774">
        <v>20213</v>
      </c>
      <c r="B774">
        <v>200</v>
      </c>
      <c r="C774" s="455">
        <v>11.896000000000001</v>
      </c>
      <c r="D774" s="637">
        <f t="shared" si="30"/>
        <v>24.783333333333328</v>
      </c>
      <c r="E774" s="637">
        <f t="shared" si="31"/>
        <v>52.965523809523823</v>
      </c>
    </row>
    <row r="775" spans="1:5">
      <c r="A775">
        <v>20213</v>
      </c>
      <c r="B775">
        <v>300</v>
      </c>
      <c r="C775" s="455">
        <v>12.276999999999999</v>
      </c>
      <c r="D775" s="637">
        <f t="shared" si="30"/>
        <v>25.577083333333327</v>
      </c>
      <c r="E775" s="637">
        <f t="shared" si="31"/>
        <v>54.661880952380962</v>
      </c>
    </row>
    <row r="776" spans="1:5">
      <c r="A776">
        <v>20213</v>
      </c>
      <c r="B776">
        <v>400</v>
      </c>
      <c r="C776" s="455">
        <v>12.207000000000001</v>
      </c>
      <c r="D776" s="637">
        <f t="shared" si="30"/>
        <v>25.431249999999995</v>
      </c>
      <c r="E776" s="637">
        <f t="shared" si="31"/>
        <v>54.350214285714294</v>
      </c>
    </row>
    <row r="777" spans="1:5">
      <c r="A777">
        <v>20213</v>
      </c>
      <c r="B777">
        <v>500</v>
      </c>
      <c r="C777" s="455">
        <v>12.709</v>
      </c>
      <c r="D777" s="637">
        <f t="shared" si="30"/>
        <v>26.477083333333326</v>
      </c>
      <c r="E777" s="637">
        <f t="shared" si="31"/>
        <v>56.585309523809535</v>
      </c>
    </row>
    <row r="778" spans="1:5">
      <c r="A778">
        <v>20213</v>
      </c>
      <c r="B778">
        <v>600</v>
      </c>
      <c r="C778" s="455">
        <v>12.189</v>
      </c>
      <c r="D778" s="637">
        <f t="shared" si="30"/>
        <v>25.393749999999994</v>
      </c>
      <c r="E778" s="637">
        <f t="shared" si="31"/>
        <v>54.270071428571441</v>
      </c>
    </row>
    <row r="779" spans="1:5">
      <c r="A779">
        <v>20213</v>
      </c>
      <c r="B779">
        <v>700</v>
      </c>
      <c r="C779" s="455">
        <v>12.273999999999999</v>
      </c>
      <c r="D779" s="637">
        <f t="shared" si="30"/>
        <v>25.570833333333326</v>
      </c>
      <c r="E779" s="637">
        <f t="shared" si="31"/>
        <v>54.648523809523816</v>
      </c>
    </row>
    <row r="780" spans="1:5">
      <c r="A780">
        <v>20213</v>
      </c>
      <c r="B780">
        <v>800</v>
      </c>
      <c r="C780" s="455">
        <v>13.680999999999999</v>
      </c>
      <c r="D780" s="637">
        <f t="shared" si="30"/>
        <v>28.502083333333324</v>
      </c>
      <c r="E780" s="637">
        <f t="shared" si="31"/>
        <v>60.913023809523814</v>
      </c>
    </row>
    <row r="781" spans="1:5">
      <c r="A781">
        <v>20213</v>
      </c>
      <c r="B781">
        <v>900</v>
      </c>
      <c r="C781" s="455">
        <v>1.786</v>
      </c>
      <c r="D781" s="637">
        <f t="shared" si="30"/>
        <v>3.7208333333333323</v>
      </c>
      <c r="E781" s="637">
        <f t="shared" si="31"/>
        <v>7.9519523809523829</v>
      </c>
    </row>
    <row r="782" spans="1:5">
      <c r="A782">
        <v>20213</v>
      </c>
      <c r="B782">
        <v>1000</v>
      </c>
      <c r="C782" s="455">
        <v>0</v>
      </c>
      <c r="D782" s="637">
        <f t="shared" si="30"/>
        <v>0</v>
      </c>
      <c r="E782" s="637">
        <f t="shared" si="31"/>
        <v>0</v>
      </c>
    </row>
    <row r="783" spans="1:5">
      <c r="A783">
        <v>20213</v>
      </c>
      <c r="B783">
        <v>1100</v>
      </c>
      <c r="C783" s="455">
        <v>0</v>
      </c>
      <c r="D783" s="637">
        <f t="shared" si="30"/>
        <v>0</v>
      </c>
      <c r="E783" s="637">
        <f t="shared" si="31"/>
        <v>0</v>
      </c>
    </row>
    <row r="784" spans="1:5">
      <c r="A784">
        <v>20213</v>
      </c>
      <c r="B784">
        <v>1200</v>
      </c>
      <c r="C784" s="455">
        <v>0</v>
      </c>
      <c r="D784" s="637">
        <f t="shared" si="30"/>
        <v>0</v>
      </c>
      <c r="E784" s="637">
        <f t="shared" si="31"/>
        <v>0</v>
      </c>
    </row>
    <row r="785" spans="1:5">
      <c r="A785">
        <v>20213</v>
      </c>
      <c r="B785">
        <v>1300</v>
      </c>
      <c r="C785" s="455">
        <v>1E-3</v>
      </c>
      <c r="D785" s="637">
        <f t="shared" si="30"/>
        <v>2.0833333333333329E-3</v>
      </c>
      <c r="E785" s="637">
        <f t="shared" si="31"/>
        <v>4.4523809523809533E-3</v>
      </c>
    </row>
    <row r="786" spans="1:5">
      <c r="A786">
        <v>20213</v>
      </c>
      <c r="B786">
        <v>1400</v>
      </c>
      <c r="C786" s="455">
        <v>0</v>
      </c>
      <c r="D786" s="637">
        <f t="shared" si="30"/>
        <v>0</v>
      </c>
      <c r="E786" s="637">
        <f t="shared" si="31"/>
        <v>0</v>
      </c>
    </row>
    <row r="787" spans="1:5">
      <c r="A787">
        <v>20213</v>
      </c>
      <c r="B787">
        <v>1500</v>
      </c>
      <c r="C787" s="455">
        <v>0</v>
      </c>
      <c r="D787" s="637">
        <f t="shared" si="30"/>
        <v>0</v>
      </c>
      <c r="E787" s="637">
        <f t="shared" si="31"/>
        <v>0</v>
      </c>
    </row>
    <row r="788" spans="1:5">
      <c r="A788">
        <v>20213</v>
      </c>
      <c r="B788">
        <v>1600</v>
      </c>
      <c r="C788" s="455">
        <v>0</v>
      </c>
      <c r="D788" s="637">
        <f t="shared" si="30"/>
        <v>0</v>
      </c>
      <c r="E788" s="637">
        <f t="shared" si="31"/>
        <v>0</v>
      </c>
    </row>
    <row r="789" spans="1:5">
      <c r="A789">
        <v>20213</v>
      </c>
      <c r="B789">
        <v>1700</v>
      </c>
      <c r="C789" s="455">
        <v>0</v>
      </c>
      <c r="D789" s="637">
        <f t="shared" si="30"/>
        <v>0</v>
      </c>
      <c r="E789" s="637">
        <f t="shared" si="31"/>
        <v>0</v>
      </c>
    </row>
    <row r="790" spans="1:5">
      <c r="A790">
        <v>20213</v>
      </c>
      <c r="B790">
        <v>1800</v>
      </c>
      <c r="C790" s="455">
        <v>8.7159999999999993</v>
      </c>
      <c r="D790" s="637">
        <f t="shared" si="30"/>
        <v>18.158333333333328</v>
      </c>
      <c r="E790" s="637">
        <f t="shared" si="31"/>
        <v>38.806952380952389</v>
      </c>
    </row>
    <row r="791" spans="1:5">
      <c r="A791">
        <v>20213</v>
      </c>
      <c r="B791">
        <v>1900</v>
      </c>
      <c r="C791" s="455">
        <v>10.394</v>
      </c>
      <c r="D791" s="637">
        <f t="shared" si="30"/>
        <v>21.654166666666661</v>
      </c>
      <c r="E791" s="637">
        <f t="shared" si="31"/>
        <v>46.278047619047626</v>
      </c>
    </row>
    <row r="792" spans="1:5">
      <c r="A792">
        <v>20213</v>
      </c>
      <c r="B792">
        <v>2000</v>
      </c>
      <c r="C792" s="455">
        <v>10.345000000000001</v>
      </c>
      <c r="D792" s="637">
        <f t="shared" si="30"/>
        <v>21.552083333333329</v>
      </c>
      <c r="E792" s="637">
        <f t="shared" si="31"/>
        <v>46.059880952380965</v>
      </c>
    </row>
    <row r="793" spans="1:5">
      <c r="A793">
        <v>20213</v>
      </c>
      <c r="B793">
        <v>2100</v>
      </c>
      <c r="C793" s="455">
        <v>10.821999999999999</v>
      </c>
      <c r="D793" s="637">
        <f t="shared" si="30"/>
        <v>22.545833333333327</v>
      </c>
      <c r="E793" s="637">
        <f t="shared" si="31"/>
        <v>48.183666666666674</v>
      </c>
    </row>
    <row r="794" spans="1:5">
      <c r="A794">
        <v>20213</v>
      </c>
      <c r="B794">
        <v>2200</v>
      </c>
      <c r="C794" s="455">
        <v>11.571</v>
      </c>
      <c r="D794" s="637">
        <f t="shared" si="30"/>
        <v>24.106249999999996</v>
      </c>
      <c r="E794" s="637">
        <f t="shared" si="31"/>
        <v>51.51850000000001</v>
      </c>
    </row>
    <row r="795" spans="1:5">
      <c r="A795">
        <v>20213</v>
      </c>
      <c r="B795">
        <v>2300</v>
      </c>
      <c r="C795" s="455">
        <v>11.552</v>
      </c>
      <c r="D795" s="637">
        <f t="shared" si="30"/>
        <v>24.066666666666663</v>
      </c>
      <c r="E795" s="637">
        <f t="shared" si="31"/>
        <v>51.43390476190477</v>
      </c>
    </row>
    <row r="796" spans="1:5">
      <c r="A796">
        <v>20213</v>
      </c>
      <c r="B796">
        <v>2400</v>
      </c>
      <c r="C796" s="455">
        <v>11.974</v>
      </c>
      <c r="D796" s="637">
        <f t="shared" si="30"/>
        <v>24.945833333333329</v>
      </c>
      <c r="E796" s="637">
        <f t="shared" si="31"/>
        <v>53.312809523809534</v>
      </c>
    </row>
    <row r="797" spans="1:5">
      <c r="A797">
        <v>20313</v>
      </c>
      <c r="B797">
        <v>100</v>
      </c>
      <c r="C797" s="455">
        <v>11.956</v>
      </c>
      <c r="D797" s="637">
        <f t="shared" si="30"/>
        <v>24.908333333333324</v>
      </c>
      <c r="E797" s="637">
        <f t="shared" si="31"/>
        <v>53.232666666666674</v>
      </c>
    </row>
    <row r="798" spans="1:5">
      <c r="A798">
        <v>20313</v>
      </c>
      <c r="B798">
        <v>200</v>
      </c>
      <c r="C798" s="455">
        <v>12.481</v>
      </c>
      <c r="D798" s="637">
        <f t="shared" si="30"/>
        <v>26.002083333333324</v>
      </c>
      <c r="E798" s="637">
        <f t="shared" si="31"/>
        <v>55.570166666666672</v>
      </c>
    </row>
    <row r="799" spans="1:5">
      <c r="A799">
        <v>20313</v>
      </c>
      <c r="B799">
        <v>300</v>
      </c>
      <c r="C799" s="455">
        <v>12.625999999999999</v>
      </c>
      <c r="D799" s="637">
        <f t="shared" si="30"/>
        <v>26.30416666666666</v>
      </c>
      <c r="E799" s="637">
        <f t="shared" si="31"/>
        <v>56.215761904761919</v>
      </c>
    </row>
    <row r="800" spans="1:5">
      <c r="A800">
        <v>20313</v>
      </c>
      <c r="B800">
        <v>400</v>
      </c>
      <c r="C800" s="455">
        <v>12.589</v>
      </c>
      <c r="D800" s="637">
        <f t="shared" si="30"/>
        <v>26.227083333333329</v>
      </c>
      <c r="E800" s="637">
        <f t="shared" si="31"/>
        <v>56.051023809523819</v>
      </c>
    </row>
    <row r="801" spans="1:5">
      <c r="A801">
        <v>20313</v>
      </c>
      <c r="B801">
        <v>500</v>
      </c>
      <c r="C801" s="455">
        <v>13.162000000000001</v>
      </c>
      <c r="D801" s="637">
        <f t="shared" si="30"/>
        <v>27.420833333333327</v>
      </c>
      <c r="E801" s="637">
        <f t="shared" si="31"/>
        <v>58.602238095238107</v>
      </c>
    </row>
    <row r="802" spans="1:5">
      <c r="A802">
        <v>20313</v>
      </c>
      <c r="B802">
        <v>600</v>
      </c>
      <c r="C802" s="455">
        <v>13.178000000000001</v>
      </c>
      <c r="D802" s="637">
        <f t="shared" si="30"/>
        <v>27.454166666666662</v>
      </c>
      <c r="E802" s="637">
        <f t="shared" si="31"/>
        <v>58.673476190476201</v>
      </c>
    </row>
    <row r="803" spans="1:5">
      <c r="A803">
        <v>20313</v>
      </c>
      <c r="B803">
        <v>700</v>
      </c>
      <c r="C803" s="455">
        <v>12.811999999999999</v>
      </c>
      <c r="D803" s="637">
        <f t="shared" si="30"/>
        <v>26.691666666666659</v>
      </c>
      <c r="E803" s="637">
        <f t="shared" si="31"/>
        <v>57.04390476190477</v>
      </c>
    </row>
    <row r="804" spans="1:5">
      <c r="A804">
        <v>20313</v>
      </c>
      <c r="B804">
        <v>800</v>
      </c>
      <c r="C804" s="455">
        <v>11.414</v>
      </c>
      <c r="D804" s="637">
        <f t="shared" si="30"/>
        <v>23.779166666666658</v>
      </c>
      <c r="E804" s="637">
        <f t="shared" si="31"/>
        <v>50.819476190476195</v>
      </c>
    </row>
    <row r="805" spans="1:5">
      <c r="A805">
        <v>20313</v>
      </c>
      <c r="B805">
        <v>900</v>
      </c>
      <c r="C805" s="455">
        <v>5.0000000000000001E-3</v>
      </c>
      <c r="D805" s="637">
        <f t="shared" si="30"/>
        <v>1.0416666666666664E-2</v>
      </c>
      <c r="E805" s="637">
        <f t="shared" si="31"/>
        <v>2.2261904761904767E-2</v>
      </c>
    </row>
    <row r="806" spans="1:5">
      <c r="A806">
        <v>20313</v>
      </c>
      <c r="B806">
        <v>1000</v>
      </c>
      <c r="C806" s="455">
        <v>0</v>
      </c>
      <c r="D806" s="637">
        <f t="shared" si="30"/>
        <v>0</v>
      </c>
      <c r="E806" s="637">
        <f t="shared" si="31"/>
        <v>0</v>
      </c>
    </row>
    <row r="807" spans="1:5">
      <c r="A807">
        <v>20313</v>
      </c>
      <c r="B807">
        <v>1100</v>
      </c>
      <c r="C807" s="455">
        <v>0</v>
      </c>
      <c r="D807" s="637">
        <f t="shared" si="30"/>
        <v>0</v>
      </c>
      <c r="E807" s="637">
        <f t="shared" si="31"/>
        <v>0</v>
      </c>
    </row>
    <row r="808" spans="1:5">
      <c r="A808">
        <v>20313</v>
      </c>
      <c r="B808">
        <v>1200</v>
      </c>
      <c r="C808" s="455">
        <v>0</v>
      </c>
      <c r="D808" s="637">
        <f t="shared" si="30"/>
        <v>0</v>
      </c>
      <c r="E808" s="637">
        <f t="shared" si="31"/>
        <v>0</v>
      </c>
    </row>
    <row r="809" spans="1:5">
      <c r="A809">
        <v>20313</v>
      </c>
      <c r="B809">
        <v>1300</v>
      </c>
      <c r="C809" s="455">
        <v>0</v>
      </c>
      <c r="D809" s="637">
        <f t="shared" si="30"/>
        <v>0</v>
      </c>
      <c r="E809" s="637">
        <f t="shared" si="31"/>
        <v>0</v>
      </c>
    </row>
    <row r="810" spans="1:5">
      <c r="A810">
        <v>20313</v>
      </c>
      <c r="B810">
        <v>1400</v>
      </c>
      <c r="C810" s="455">
        <v>0</v>
      </c>
      <c r="D810" s="637">
        <f t="shared" si="30"/>
        <v>0</v>
      </c>
      <c r="E810" s="637">
        <f t="shared" si="31"/>
        <v>0</v>
      </c>
    </row>
    <row r="811" spans="1:5">
      <c r="A811">
        <v>20313</v>
      </c>
      <c r="B811">
        <v>1500</v>
      </c>
      <c r="C811" s="455">
        <v>0</v>
      </c>
      <c r="D811" s="637">
        <f t="shared" si="30"/>
        <v>0</v>
      </c>
      <c r="E811" s="637">
        <f t="shared" si="31"/>
        <v>0</v>
      </c>
    </row>
    <row r="812" spans="1:5">
      <c r="A812">
        <v>20313</v>
      </c>
      <c r="B812">
        <v>1600</v>
      </c>
      <c r="C812" s="455">
        <v>0</v>
      </c>
      <c r="D812" s="637">
        <f t="shared" si="30"/>
        <v>0</v>
      </c>
      <c r="E812" s="637">
        <f t="shared" si="31"/>
        <v>0</v>
      </c>
    </row>
    <row r="813" spans="1:5">
      <c r="A813">
        <v>20313</v>
      </c>
      <c r="B813">
        <v>1700</v>
      </c>
      <c r="C813" s="455">
        <v>4.0000000000000001E-3</v>
      </c>
      <c r="D813" s="637">
        <f t="shared" si="30"/>
        <v>8.3333333333333315E-3</v>
      </c>
      <c r="E813" s="637">
        <f t="shared" si="31"/>
        <v>1.7809523809523813E-2</v>
      </c>
    </row>
    <row r="814" spans="1:5">
      <c r="A814">
        <v>20313</v>
      </c>
      <c r="B814">
        <v>1800</v>
      </c>
      <c r="C814" s="455">
        <v>9.2210000000000001</v>
      </c>
      <c r="D814" s="637">
        <f t="shared" ref="D814:D877" si="32">(C814/(MAX($C$749:$C$1420)))*$W$6</f>
        <v>19.210416666666664</v>
      </c>
      <c r="E814" s="637">
        <f t="shared" ref="E814:E877" si="33">(C814/(MAX($C$749:$C$1420)))*$P$6</f>
        <v>41.055404761904775</v>
      </c>
    </row>
    <row r="815" spans="1:5">
      <c r="A815">
        <v>20313</v>
      </c>
      <c r="B815">
        <v>1900</v>
      </c>
      <c r="C815" s="455">
        <v>10.087</v>
      </c>
      <c r="D815" s="637">
        <f t="shared" si="32"/>
        <v>21.014583333333327</v>
      </c>
      <c r="E815" s="637">
        <f t="shared" si="33"/>
        <v>44.911166666666674</v>
      </c>
    </row>
    <row r="816" spans="1:5">
      <c r="A816">
        <v>20313</v>
      </c>
      <c r="B816">
        <v>2000</v>
      </c>
      <c r="C816" s="455">
        <v>10.491</v>
      </c>
      <c r="D816" s="637">
        <f t="shared" si="32"/>
        <v>21.856249999999996</v>
      </c>
      <c r="E816" s="637">
        <f t="shared" si="33"/>
        <v>46.709928571428584</v>
      </c>
    </row>
    <row r="817" spans="1:5">
      <c r="A817">
        <v>20313</v>
      </c>
      <c r="B817">
        <v>2100</v>
      </c>
      <c r="C817" s="455">
        <v>11.015000000000001</v>
      </c>
      <c r="D817" s="637">
        <f t="shared" si="32"/>
        <v>22.947916666666661</v>
      </c>
      <c r="E817" s="637">
        <f t="shared" si="33"/>
        <v>49.042976190476203</v>
      </c>
    </row>
    <row r="818" spans="1:5">
      <c r="A818">
        <v>20313</v>
      </c>
      <c r="B818">
        <v>2200</v>
      </c>
      <c r="C818" s="455">
        <v>11.537000000000001</v>
      </c>
      <c r="D818" s="637">
        <f t="shared" si="32"/>
        <v>24.035416666666663</v>
      </c>
      <c r="E818" s="637">
        <f t="shared" si="33"/>
        <v>51.367119047619056</v>
      </c>
    </row>
    <row r="819" spans="1:5">
      <c r="A819">
        <v>20313</v>
      </c>
      <c r="B819">
        <v>2300</v>
      </c>
      <c r="C819" s="455">
        <v>11.041</v>
      </c>
      <c r="D819" s="637">
        <f t="shared" si="32"/>
        <v>23.002083333333328</v>
      </c>
      <c r="E819" s="637">
        <f t="shared" si="33"/>
        <v>49.158738095238107</v>
      </c>
    </row>
    <row r="820" spans="1:5">
      <c r="A820">
        <v>20313</v>
      </c>
      <c r="B820">
        <v>2400</v>
      </c>
      <c r="C820" s="455">
        <v>12.102</v>
      </c>
      <c r="D820" s="637">
        <f t="shared" si="32"/>
        <v>25.212499999999995</v>
      </c>
      <c r="E820" s="637">
        <f t="shared" si="33"/>
        <v>53.8827142857143</v>
      </c>
    </row>
    <row r="821" spans="1:5">
      <c r="A821">
        <v>20413</v>
      </c>
      <c r="B821">
        <v>100</v>
      </c>
      <c r="C821" s="455">
        <v>12.112</v>
      </c>
      <c r="D821" s="637">
        <f t="shared" si="32"/>
        <v>25.233333333333327</v>
      </c>
      <c r="E821" s="637">
        <f t="shared" si="33"/>
        <v>53.92723809523811</v>
      </c>
    </row>
    <row r="822" spans="1:5">
      <c r="A822">
        <v>20413</v>
      </c>
      <c r="B822">
        <v>200</v>
      </c>
      <c r="C822" s="455">
        <v>12.042999999999999</v>
      </c>
      <c r="D822" s="637">
        <f t="shared" si="32"/>
        <v>25.089583333333323</v>
      </c>
      <c r="E822" s="637">
        <f t="shared" si="33"/>
        <v>53.620023809523815</v>
      </c>
    </row>
    <row r="823" spans="1:5">
      <c r="A823">
        <v>20413</v>
      </c>
      <c r="B823">
        <v>300</v>
      </c>
      <c r="C823" s="455">
        <v>11.848000000000001</v>
      </c>
      <c r="D823" s="637">
        <f t="shared" si="32"/>
        <v>24.68333333333333</v>
      </c>
      <c r="E823" s="637">
        <f t="shared" si="33"/>
        <v>52.751809523809541</v>
      </c>
    </row>
    <row r="824" spans="1:5">
      <c r="A824">
        <v>20413</v>
      </c>
      <c r="B824">
        <v>400</v>
      </c>
      <c r="C824" s="455">
        <v>12.01</v>
      </c>
      <c r="D824" s="637">
        <f t="shared" si="32"/>
        <v>25.020833333333329</v>
      </c>
      <c r="E824" s="637">
        <f t="shared" si="33"/>
        <v>53.473095238095247</v>
      </c>
    </row>
    <row r="825" spans="1:5">
      <c r="A825">
        <v>20413</v>
      </c>
      <c r="B825">
        <v>500</v>
      </c>
      <c r="C825" s="455">
        <v>11.968999999999999</v>
      </c>
      <c r="D825" s="637">
        <f t="shared" si="32"/>
        <v>24.935416666666658</v>
      </c>
      <c r="E825" s="637">
        <f t="shared" si="33"/>
        <v>53.290547619047622</v>
      </c>
    </row>
    <row r="826" spans="1:5">
      <c r="A826">
        <v>20413</v>
      </c>
      <c r="B826">
        <v>600</v>
      </c>
      <c r="C826" s="455">
        <v>12.284000000000001</v>
      </c>
      <c r="D826" s="637">
        <f t="shared" si="32"/>
        <v>25.591666666666665</v>
      </c>
      <c r="E826" s="637">
        <f t="shared" si="33"/>
        <v>54.69304761904764</v>
      </c>
    </row>
    <row r="827" spans="1:5">
      <c r="A827">
        <v>20413</v>
      </c>
      <c r="B827">
        <v>700</v>
      </c>
      <c r="C827" s="455">
        <v>12.305</v>
      </c>
      <c r="D827" s="637">
        <f t="shared" si="32"/>
        <v>25.635416666666661</v>
      </c>
      <c r="E827" s="637">
        <f t="shared" si="33"/>
        <v>54.786547619047624</v>
      </c>
    </row>
    <row r="828" spans="1:5">
      <c r="A828">
        <v>20413</v>
      </c>
      <c r="B828">
        <v>800</v>
      </c>
      <c r="C828" s="455">
        <v>9.4789999999999992</v>
      </c>
      <c r="D828" s="637">
        <f t="shared" si="32"/>
        <v>19.747916666666661</v>
      </c>
      <c r="E828" s="637">
        <f t="shared" si="33"/>
        <v>42.204119047619052</v>
      </c>
    </row>
    <row r="829" spans="1:5">
      <c r="A829">
        <v>20413</v>
      </c>
      <c r="B829">
        <v>900</v>
      </c>
      <c r="C829" s="455">
        <v>1E-3</v>
      </c>
      <c r="D829" s="637">
        <f t="shared" si="32"/>
        <v>2.0833333333333329E-3</v>
      </c>
      <c r="E829" s="637">
        <f t="shared" si="33"/>
        <v>4.4523809523809533E-3</v>
      </c>
    </row>
    <row r="830" spans="1:5">
      <c r="A830">
        <v>20413</v>
      </c>
      <c r="B830">
        <v>1000</v>
      </c>
      <c r="C830" s="455">
        <v>0</v>
      </c>
      <c r="D830" s="637">
        <f t="shared" si="32"/>
        <v>0</v>
      </c>
      <c r="E830" s="637">
        <f t="shared" si="33"/>
        <v>0</v>
      </c>
    </row>
    <row r="831" spans="1:5">
      <c r="A831">
        <v>20413</v>
      </c>
      <c r="B831">
        <v>1100</v>
      </c>
      <c r="C831" s="455">
        <v>0</v>
      </c>
      <c r="D831" s="637">
        <f t="shared" si="32"/>
        <v>0</v>
      </c>
      <c r="E831" s="637">
        <f t="shared" si="33"/>
        <v>0</v>
      </c>
    </row>
    <row r="832" spans="1:5">
      <c r="A832">
        <v>20413</v>
      </c>
      <c r="B832">
        <v>1200</v>
      </c>
      <c r="C832" s="455">
        <v>0</v>
      </c>
      <c r="D832" s="637">
        <f t="shared" si="32"/>
        <v>0</v>
      </c>
      <c r="E832" s="637">
        <f t="shared" si="33"/>
        <v>0</v>
      </c>
    </row>
    <row r="833" spans="1:5">
      <c r="A833">
        <v>20413</v>
      </c>
      <c r="B833">
        <v>1300</v>
      </c>
      <c r="C833" s="455">
        <v>0</v>
      </c>
      <c r="D833" s="637">
        <f t="shared" si="32"/>
        <v>0</v>
      </c>
      <c r="E833" s="637">
        <f t="shared" si="33"/>
        <v>0</v>
      </c>
    </row>
    <row r="834" spans="1:5">
      <c r="A834">
        <v>20413</v>
      </c>
      <c r="B834">
        <v>1400</v>
      </c>
      <c r="C834" s="455">
        <v>0</v>
      </c>
      <c r="D834" s="637">
        <f t="shared" si="32"/>
        <v>0</v>
      </c>
      <c r="E834" s="637">
        <f t="shared" si="33"/>
        <v>0</v>
      </c>
    </row>
    <row r="835" spans="1:5">
      <c r="A835">
        <v>20413</v>
      </c>
      <c r="B835">
        <v>1500</v>
      </c>
      <c r="C835" s="455">
        <v>0</v>
      </c>
      <c r="D835" s="637">
        <f t="shared" si="32"/>
        <v>0</v>
      </c>
      <c r="E835" s="637">
        <f t="shared" si="33"/>
        <v>0</v>
      </c>
    </row>
    <row r="836" spans="1:5">
      <c r="A836">
        <v>20413</v>
      </c>
      <c r="B836">
        <v>1600</v>
      </c>
      <c r="C836" s="455">
        <v>0</v>
      </c>
      <c r="D836" s="637">
        <f t="shared" si="32"/>
        <v>0</v>
      </c>
      <c r="E836" s="637">
        <f t="shared" si="33"/>
        <v>0</v>
      </c>
    </row>
    <row r="837" spans="1:5">
      <c r="A837">
        <v>20413</v>
      </c>
      <c r="B837">
        <v>1700</v>
      </c>
      <c r="C837" s="455">
        <v>0.05</v>
      </c>
      <c r="D837" s="637">
        <f t="shared" si="32"/>
        <v>0.10416666666666666</v>
      </c>
      <c r="E837" s="637">
        <f t="shared" si="33"/>
        <v>0.22261904761904769</v>
      </c>
    </row>
    <row r="838" spans="1:5">
      <c r="A838">
        <v>20413</v>
      </c>
      <c r="B838">
        <v>1800</v>
      </c>
      <c r="C838" s="455">
        <v>8.7560000000000002</v>
      </c>
      <c r="D838" s="637">
        <f t="shared" si="32"/>
        <v>18.241666666666664</v>
      </c>
      <c r="E838" s="637">
        <f t="shared" si="33"/>
        <v>38.985047619047627</v>
      </c>
    </row>
    <row r="839" spans="1:5">
      <c r="A839">
        <v>20413</v>
      </c>
      <c r="B839">
        <v>1900</v>
      </c>
      <c r="C839" s="455">
        <v>10.538</v>
      </c>
      <c r="D839" s="637">
        <f t="shared" si="32"/>
        <v>21.954166666666662</v>
      </c>
      <c r="E839" s="637">
        <f t="shared" si="33"/>
        <v>46.919190476190487</v>
      </c>
    </row>
    <row r="840" spans="1:5">
      <c r="A840">
        <v>20413</v>
      </c>
      <c r="B840">
        <v>2000</v>
      </c>
      <c r="C840" s="455">
        <v>10.858000000000001</v>
      </c>
      <c r="D840" s="637">
        <f t="shared" si="32"/>
        <v>22.62083333333333</v>
      </c>
      <c r="E840" s="637">
        <f t="shared" si="33"/>
        <v>48.343952380952395</v>
      </c>
    </row>
    <row r="841" spans="1:5">
      <c r="A841">
        <v>20413</v>
      </c>
      <c r="B841">
        <v>2100</v>
      </c>
      <c r="C841" s="455">
        <v>11.005000000000001</v>
      </c>
      <c r="D841" s="637">
        <f t="shared" si="32"/>
        <v>22.927083333333329</v>
      </c>
      <c r="E841" s="637">
        <f t="shared" si="33"/>
        <v>48.998452380952394</v>
      </c>
    </row>
    <row r="842" spans="1:5">
      <c r="A842">
        <v>20413</v>
      </c>
      <c r="B842">
        <v>2200</v>
      </c>
      <c r="C842" s="455">
        <v>11.42</v>
      </c>
      <c r="D842" s="637">
        <f t="shared" si="32"/>
        <v>23.791666666666661</v>
      </c>
      <c r="E842" s="637">
        <f t="shared" si="33"/>
        <v>50.846190476190486</v>
      </c>
    </row>
    <row r="843" spans="1:5">
      <c r="A843">
        <v>20413</v>
      </c>
      <c r="B843">
        <v>2300</v>
      </c>
      <c r="C843" s="455">
        <v>11.769</v>
      </c>
      <c r="D843" s="637">
        <f t="shared" si="32"/>
        <v>24.518749999999994</v>
      </c>
      <c r="E843" s="637">
        <f t="shared" si="33"/>
        <v>52.400071428571437</v>
      </c>
    </row>
    <row r="844" spans="1:5">
      <c r="A844">
        <v>20413</v>
      </c>
      <c r="B844">
        <v>2400</v>
      </c>
      <c r="C844" s="455">
        <v>12.242000000000001</v>
      </c>
      <c r="D844" s="637">
        <f t="shared" si="32"/>
        <v>25.504166666666663</v>
      </c>
      <c r="E844" s="637">
        <f t="shared" si="33"/>
        <v>54.506047619047635</v>
      </c>
    </row>
    <row r="845" spans="1:5">
      <c r="A845">
        <v>20513</v>
      </c>
      <c r="B845">
        <v>100</v>
      </c>
      <c r="C845" s="455">
        <v>12.146000000000001</v>
      </c>
      <c r="D845" s="637">
        <f t="shared" si="32"/>
        <v>25.30416666666666</v>
      </c>
      <c r="E845" s="637">
        <f t="shared" si="33"/>
        <v>54.078619047619057</v>
      </c>
    </row>
    <row r="846" spans="1:5">
      <c r="A846">
        <v>20513</v>
      </c>
      <c r="B846">
        <v>200</v>
      </c>
      <c r="C846" s="455">
        <v>12.586</v>
      </c>
      <c r="D846" s="637">
        <f t="shared" si="32"/>
        <v>26.220833333333328</v>
      </c>
      <c r="E846" s="637">
        <f t="shared" si="33"/>
        <v>56.037666666666681</v>
      </c>
    </row>
    <row r="847" spans="1:5">
      <c r="A847">
        <v>20513</v>
      </c>
      <c r="B847">
        <v>300</v>
      </c>
      <c r="C847" s="455">
        <v>12.526</v>
      </c>
      <c r="D847" s="637">
        <f t="shared" si="32"/>
        <v>26.095833333333328</v>
      </c>
      <c r="E847" s="637">
        <f t="shared" si="33"/>
        <v>55.770523809523823</v>
      </c>
    </row>
    <row r="848" spans="1:5">
      <c r="A848">
        <v>20513</v>
      </c>
      <c r="B848">
        <v>400</v>
      </c>
      <c r="C848" s="455">
        <v>12.384</v>
      </c>
      <c r="D848" s="637">
        <f t="shared" si="32"/>
        <v>25.799999999999997</v>
      </c>
      <c r="E848" s="637">
        <f t="shared" si="33"/>
        <v>55.138285714285729</v>
      </c>
    </row>
    <row r="849" spans="1:5">
      <c r="A849">
        <v>20513</v>
      </c>
      <c r="B849">
        <v>500</v>
      </c>
      <c r="C849" s="455">
        <v>12.670999999999999</v>
      </c>
      <c r="D849" s="637">
        <f t="shared" si="32"/>
        <v>26.39791666666666</v>
      </c>
      <c r="E849" s="637">
        <f t="shared" si="33"/>
        <v>56.416119047619063</v>
      </c>
    </row>
    <row r="850" spans="1:5">
      <c r="A850">
        <v>20513</v>
      </c>
      <c r="B850">
        <v>600</v>
      </c>
      <c r="C850" s="455">
        <v>12.286</v>
      </c>
      <c r="D850" s="637">
        <f t="shared" si="32"/>
        <v>25.595833333333328</v>
      </c>
      <c r="E850" s="637">
        <f t="shared" si="33"/>
        <v>54.701952380952392</v>
      </c>
    </row>
    <row r="851" spans="1:5">
      <c r="A851">
        <v>20513</v>
      </c>
      <c r="B851">
        <v>700</v>
      </c>
      <c r="C851" s="455">
        <v>12.917</v>
      </c>
      <c r="D851" s="637">
        <f t="shared" si="32"/>
        <v>26.910416666666659</v>
      </c>
      <c r="E851" s="637">
        <f t="shared" si="33"/>
        <v>57.511404761904771</v>
      </c>
    </row>
    <row r="852" spans="1:5">
      <c r="A852">
        <v>20513</v>
      </c>
      <c r="B852">
        <v>800</v>
      </c>
      <c r="C852" s="455">
        <v>9.09</v>
      </c>
      <c r="D852" s="637">
        <f t="shared" si="32"/>
        <v>18.937499999999993</v>
      </c>
      <c r="E852" s="637">
        <f t="shared" si="33"/>
        <v>40.472142857142863</v>
      </c>
    </row>
    <row r="853" spans="1:5">
      <c r="A853">
        <v>20513</v>
      </c>
      <c r="B853">
        <v>900</v>
      </c>
      <c r="C853" s="455">
        <v>0</v>
      </c>
      <c r="D853" s="637">
        <f t="shared" si="32"/>
        <v>0</v>
      </c>
      <c r="E853" s="637">
        <f t="shared" si="33"/>
        <v>0</v>
      </c>
    </row>
    <row r="854" spans="1:5">
      <c r="A854">
        <v>20513</v>
      </c>
      <c r="B854">
        <v>1000</v>
      </c>
      <c r="C854" s="455">
        <v>0</v>
      </c>
      <c r="D854" s="637">
        <f t="shared" si="32"/>
        <v>0</v>
      </c>
      <c r="E854" s="637">
        <f t="shared" si="33"/>
        <v>0</v>
      </c>
    </row>
    <row r="855" spans="1:5">
      <c r="A855">
        <v>20513</v>
      </c>
      <c r="B855">
        <v>1100</v>
      </c>
      <c r="C855" s="455">
        <v>0</v>
      </c>
      <c r="D855" s="637">
        <f t="shared" si="32"/>
        <v>0</v>
      </c>
      <c r="E855" s="637">
        <f t="shared" si="33"/>
        <v>0</v>
      </c>
    </row>
    <row r="856" spans="1:5">
      <c r="A856">
        <v>20513</v>
      </c>
      <c r="B856">
        <v>1200</v>
      </c>
      <c r="C856" s="455">
        <v>0</v>
      </c>
      <c r="D856" s="637">
        <f t="shared" si="32"/>
        <v>0</v>
      </c>
      <c r="E856" s="637">
        <f t="shared" si="33"/>
        <v>0</v>
      </c>
    </row>
    <row r="857" spans="1:5">
      <c r="A857">
        <v>20513</v>
      </c>
      <c r="B857">
        <v>1300</v>
      </c>
      <c r="C857" s="455">
        <v>0</v>
      </c>
      <c r="D857" s="637">
        <f t="shared" si="32"/>
        <v>0</v>
      </c>
      <c r="E857" s="637">
        <f t="shared" si="33"/>
        <v>0</v>
      </c>
    </row>
    <row r="858" spans="1:5">
      <c r="A858">
        <v>20513</v>
      </c>
      <c r="B858">
        <v>1400</v>
      </c>
      <c r="C858" s="455">
        <v>0</v>
      </c>
      <c r="D858" s="637">
        <f t="shared" si="32"/>
        <v>0</v>
      </c>
      <c r="E858" s="637">
        <f t="shared" si="33"/>
        <v>0</v>
      </c>
    </row>
    <row r="859" spans="1:5">
      <c r="A859">
        <v>20513</v>
      </c>
      <c r="B859">
        <v>1500</v>
      </c>
      <c r="C859" s="455">
        <v>0</v>
      </c>
      <c r="D859" s="637">
        <f t="shared" si="32"/>
        <v>0</v>
      </c>
      <c r="E859" s="637">
        <f t="shared" si="33"/>
        <v>0</v>
      </c>
    </row>
    <row r="860" spans="1:5">
      <c r="A860">
        <v>20513</v>
      </c>
      <c r="B860">
        <v>1600</v>
      </c>
      <c r="C860" s="455">
        <v>0</v>
      </c>
      <c r="D860" s="637">
        <f t="shared" si="32"/>
        <v>0</v>
      </c>
      <c r="E860" s="637">
        <f t="shared" si="33"/>
        <v>0</v>
      </c>
    </row>
    <row r="861" spans="1:5">
      <c r="A861">
        <v>20513</v>
      </c>
      <c r="B861">
        <v>1700</v>
      </c>
      <c r="C861" s="455">
        <v>8.9999999999999993E-3</v>
      </c>
      <c r="D861" s="637">
        <f t="shared" si="32"/>
        <v>1.8749999999999992E-2</v>
      </c>
      <c r="E861" s="637">
        <f t="shared" si="33"/>
        <v>4.007142857142857E-2</v>
      </c>
    </row>
    <row r="862" spans="1:5">
      <c r="A862">
        <v>20513</v>
      </c>
      <c r="B862">
        <v>1800</v>
      </c>
      <c r="C862" s="455">
        <v>9.1839999999999993</v>
      </c>
      <c r="D862" s="637">
        <f t="shared" si="32"/>
        <v>19.133333333333326</v>
      </c>
      <c r="E862" s="637">
        <f t="shared" si="33"/>
        <v>40.890666666666668</v>
      </c>
    </row>
    <row r="863" spans="1:5">
      <c r="A863">
        <v>20513</v>
      </c>
      <c r="B863">
        <v>1900</v>
      </c>
      <c r="C863" s="455">
        <v>10.356999999999999</v>
      </c>
      <c r="D863" s="637">
        <f t="shared" si="32"/>
        <v>21.577083333333324</v>
      </c>
      <c r="E863" s="637">
        <f t="shared" si="33"/>
        <v>46.113309523809527</v>
      </c>
    </row>
    <row r="864" spans="1:5">
      <c r="A864">
        <v>20513</v>
      </c>
      <c r="B864">
        <v>2000</v>
      </c>
      <c r="C864" s="455">
        <v>10.254</v>
      </c>
      <c r="D864" s="637">
        <f t="shared" si="32"/>
        <v>21.362499999999994</v>
      </c>
      <c r="E864" s="637">
        <f t="shared" si="33"/>
        <v>45.654714285714292</v>
      </c>
    </row>
    <row r="865" spans="1:5">
      <c r="A865">
        <v>20513</v>
      </c>
      <c r="B865">
        <v>2100</v>
      </c>
      <c r="C865" s="455">
        <v>9.9930000000000003</v>
      </c>
      <c r="D865" s="637">
        <f t="shared" si="32"/>
        <v>20.818749999999994</v>
      </c>
      <c r="E865" s="637">
        <f t="shared" si="33"/>
        <v>44.492642857142862</v>
      </c>
    </row>
    <row r="866" spans="1:5">
      <c r="A866">
        <v>20513</v>
      </c>
      <c r="B866">
        <v>2200</v>
      </c>
      <c r="C866" s="455">
        <v>10.535</v>
      </c>
      <c r="D866" s="637">
        <f t="shared" si="32"/>
        <v>21.947916666666661</v>
      </c>
      <c r="E866" s="637">
        <f t="shared" si="33"/>
        <v>46.905833333333341</v>
      </c>
    </row>
    <row r="867" spans="1:5">
      <c r="A867">
        <v>20513</v>
      </c>
      <c r="B867">
        <v>2300</v>
      </c>
      <c r="C867" s="455">
        <v>10.711</v>
      </c>
      <c r="D867" s="637">
        <f t="shared" si="32"/>
        <v>22.314583333333331</v>
      </c>
      <c r="E867" s="637">
        <f t="shared" si="33"/>
        <v>47.689452380952396</v>
      </c>
    </row>
    <row r="868" spans="1:5">
      <c r="A868">
        <v>20513</v>
      </c>
      <c r="B868">
        <v>2400</v>
      </c>
      <c r="C868" s="455">
        <v>11.117000000000001</v>
      </c>
      <c r="D868" s="637">
        <f t="shared" si="32"/>
        <v>23.160416666666666</v>
      </c>
      <c r="E868" s="637">
        <f t="shared" si="33"/>
        <v>49.497119047619066</v>
      </c>
    </row>
    <row r="869" spans="1:5">
      <c r="A869">
        <v>20613</v>
      </c>
      <c r="B869">
        <v>100</v>
      </c>
      <c r="C869" s="455">
        <v>10.407999999999999</v>
      </c>
      <c r="D869" s="637">
        <f t="shared" si="32"/>
        <v>21.68333333333333</v>
      </c>
      <c r="E869" s="637">
        <f t="shared" si="33"/>
        <v>46.340380952380961</v>
      </c>
    </row>
    <row r="870" spans="1:5">
      <c r="A870">
        <v>20613</v>
      </c>
      <c r="B870">
        <v>200</v>
      </c>
      <c r="C870" s="455">
        <v>10.471</v>
      </c>
      <c r="D870" s="637">
        <f t="shared" si="32"/>
        <v>21.814583333333328</v>
      </c>
      <c r="E870" s="637">
        <f t="shared" si="33"/>
        <v>46.620880952380965</v>
      </c>
    </row>
    <row r="871" spans="1:5">
      <c r="A871">
        <v>20613</v>
      </c>
      <c r="B871">
        <v>300</v>
      </c>
      <c r="C871" s="455">
        <v>10.565</v>
      </c>
      <c r="D871" s="637">
        <f t="shared" si="32"/>
        <v>22.010416666666661</v>
      </c>
      <c r="E871" s="637">
        <f t="shared" si="33"/>
        <v>47.03940476190477</v>
      </c>
    </row>
    <row r="872" spans="1:5">
      <c r="A872">
        <v>20613</v>
      </c>
      <c r="B872">
        <v>400</v>
      </c>
      <c r="C872" s="455">
        <v>10.765000000000001</v>
      </c>
      <c r="D872" s="637">
        <f t="shared" si="32"/>
        <v>22.427083333333329</v>
      </c>
      <c r="E872" s="637">
        <f t="shared" si="33"/>
        <v>47.929880952380969</v>
      </c>
    </row>
    <row r="873" spans="1:5">
      <c r="A873">
        <v>20613</v>
      </c>
      <c r="B873">
        <v>500</v>
      </c>
      <c r="C873" s="455">
        <v>10.978999999999999</v>
      </c>
      <c r="D873" s="637">
        <f t="shared" si="32"/>
        <v>22.872916666666658</v>
      </c>
      <c r="E873" s="637">
        <f t="shared" si="33"/>
        <v>48.882690476190476</v>
      </c>
    </row>
    <row r="874" spans="1:5">
      <c r="A874">
        <v>20613</v>
      </c>
      <c r="B874">
        <v>600</v>
      </c>
      <c r="C874" s="455">
        <v>10.865</v>
      </c>
      <c r="D874" s="637">
        <f t="shared" si="32"/>
        <v>22.635416666666664</v>
      </c>
      <c r="E874" s="637">
        <f t="shared" si="33"/>
        <v>48.375119047619059</v>
      </c>
    </row>
    <row r="875" spans="1:5">
      <c r="A875">
        <v>20613</v>
      </c>
      <c r="B875">
        <v>700</v>
      </c>
      <c r="C875" s="455">
        <v>11.368</v>
      </c>
      <c r="D875" s="637">
        <f t="shared" si="32"/>
        <v>23.68333333333333</v>
      </c>
      <c r="E875" s="637">
        <f t="shared" si="33"/>
        <v>50.614666666666679</v>
      </c>
    </row>
    <row r="876" spans="1:5">
      <c r="A876">
        <v>20613</v>
      </c>
      <c r="B876">
        <v>800</v>
      </c>
      <c r="C876" s="455">
        <v>9.5559999999999992</v>
      </c>
      <c r="D876" s="637">
        <f t="shared" si="32"/>
        <v>19.908333333333328</v>
      </c>
      <c r="E876" s="637">
        <f t="shared" si="33"/>
        <v>42.546952380952384</v>
      </c>
    </row>
    <row r="877" spans="1:5">
      <c r="A877">
        <v>20613</v>
      </c>
      <c r="B877">
        <v>900</v>
      </c>
      <c r="C877" s="455">
        <v>1.2999999999999999E-2</v>
      </c>
      <c r="D877" s="637">
        <f t="shared" si="32"/>
        <v>2.7083333333333327E-2</v>
      </c>
      <c r="E877" s="637">
        <f t="shared" si="33"/>
        <v>5.7880952380952394E-2</v>
      </c>
    </row>
    <row r="878" spans="1:5">
      <c r="A878">
        <v>20613</v>
      </c>
      <c r="B878">
        <v>1000</v>
      </c>
      <c r="C878" s="455">
        <v>0</v>
      </c>
      <c r="D878" s="637">
        <f t="shared" ref="D878:D941" si="34">(C878/(MAX($C$749:$C$1420)))*$W$6</f>
        <v>0</v>
      </c>
      <c r="E878" s="637">
        <f t="shared" ref="E878:E941" si="35">(C878/(MAX($C$749:$C$1420)))*$P$6</f>
        <v>0</v>
      </c>
    </row>
    <row r="879" spans="1:5">
      <c r="A879">
        <v>20613</v>
      </c>
      <c r="B879">
        <v>1100</v>
      </c>
      <c r="C879" s="455">
        <v>0</v>
      </c>
      <c r="D879" s="637">
        <f t="shared" si="34"/>
        <v>0</v>
      </c>
      <c r="E879" s="637">
        <f t="shared" si="35"/>
        <v>0</v>
      </c>
    </row>
    <row r="880" spans="1:5">
      <c r="A880">
        <v>20613</v>
      </c>
      <c r="B880">
        <v>1200</v>
      </c>
      <c r="C880" s="455">
        <v>0</v>
      </c>
      <c r="D880" s="637">
        <f t="shared" si="34"/>
        <v>0</v>
      </c>
      <c r="E880" s="637">
        <f t="shared" si="35"/>
        <v>0</v>
      </c>
    </row>
    <row r="881" spans="1:5">
      <c r="A881">
        <v>20613</v>
      </c>
      <c r="B881">
        <v>1300</v>
      </c>
      <c r="C881" s="455">
        <v>0</v>
      </c>
      <c r="D881" s="637">
        <f t="shared" si="34"/>
        <v>0</v>
      </c>
      <c r="E881" s="637">
        <f t="shared" si="35"/>
        <v>0</v>
      </c>
    </row>
    <row r="882" spans="1:5">
      <c r="A882">
        <v>20613</v>
      </c>
      <c r="B882">
        <v>1400</v>
      </c>
      <c r="C882" s="455">
        <v>0</v>
      </c>
      <c r="D882" s="637">
        <f t="shared" si="34"/>
        <v>0</v>
      </c>
      <c r="E882" s="637">
        <f t="shared" si="35"/>
        <v>0</v>
      </c>
    </row>
    <row r="883" spans="1:5">
      <c r="A883">
        <v>20613</v>
      </c>
      <c r="B883">
        <v>1500</v>
      </c>
      <c r="C883" s="455">
        <v>0</v>
      </c>
      <c r="D883" s="637">
        <f t="shared" si="34"/>
        <v>0</v>
      </c>
      <c r="E883" s="637">
        <f t="shared" si="35"/>
        <v>0</v>
      </c>
    </row>
    <row r="884" spans="1:5">
      <c r="A884">
        <v>20613</v>
      </c>
      <c r="B884">
        <v>1600</v>
      </c>
      <c r="C884" s="455">
        <v>0</v>
      </c>
      <c r="D884" s="637">
        <f t="shared" si="34"/>
        <v>0</v>
      </c>
      <c r="E884" s="637">
        <f t="shared" si="35"/>
        <v>0</v>
      </c>
    </row>
    <row r="885" spans="1:5">
      <c r="A885">
        <v>20613</v>
      </c>
      <c r="B885">
        <v>1700</v>
      </c>
      <c r="C885" s="455">
        <v>0</v>
      </c>
      <c r="D885" s="637">
        <f t="shared" si="34"/>
        <v>0</v>
      </c>
      <c r="E885" s="637">
        <f t="shared" si="35"/>
        <v>0</v>
      </c>
    </row>
    <row r="886" spans="1:5">
      <c r="A886">
        <v>20613</v>
      </c>
      <c r="B886">
        <v>1800</v>
      </c>
      <c r="C886" s="455">
        <v>6.32</v>
      </c>
      <c r="D886" s="637">
        <f t="shared" si="34"/>
        <v>13.166666666666664</v>
      </c>
      <c r="E886" s="637">
        <f t="shared" si="35"/>
        <v>28.139047619047624</v>
      </c>
    </row>
    <row r="887" spans="1:5">
      <c r="A887">
        <v>20613</v>
      </c>
      <c r="B887">
        <v>1900</v>
      </c>
      <c r="C887" s="455">
        <v>10.028</v>
      </c>
      <c r="D887" s="637">
        <f t="shared" si="34"/>
        <v>20.891666666666662</v>
      </c>
      <c r="E887" s="637">
        <f t="shared" si="35"/>
        <v>44.648476190476195</v>
      </c>
    </row>
    <row r="888" spans="1:5">
      <c r="A888">
        <v>20613</v>
      </c>
      <c r="B888">
        <v>2000</v>
      </c>
      <c r="C888" s="455">
        <v>10.115</v>
      </c>
      <c r="D888" s="637">
        <f t="shared" si="34"/>
        <v>21.072916666666661</v>
      </c>
      <c r="E888" s="637">
        <f t="shared" si="35"/>
        <v>45.035833333333336</v>
      </c>
    </row>
    <row r="889" spans="1:5">
      <c r="A889">
        <v>20613</v>
      </c>
      <c r="B889">
        <v>2100</v>
      </c>
      <c r="C889" s="455">
        <v>10.016</v>
      </c>
      <c r="D889" s="637">
        <f t="shared" si="34"/>
        <v>20.86666666666666</v>
      </c>
      <c r="E889" s="637">
        <f t="shared" si="35"/>
        <v>44.595047619047627</v>
      </c>
    </row>
    <row r="890" spans="1:5">
      <c r="A890">
        <v>20613</v>
      </c>
      <c r="B890">
        <v>2200</v>
      </c>
      <c r="C890" s="455">
        <v>10.316000000000001</v>
      </c>
      <c r="D890" s="637">
        <f t="shared" si="34"/>
        <v>21.491666666666664</v>
      </c>
      <c r="E890" s="637">
        <f t="shared" si="35"/>
        <v>45.930761904761916</v>
      </c>
    </row>
    <row r="891" spans="1:5">
      <c r="A891">
        <v>20613</v>
      </c>
      <c r="B891">
        <v>2300</v>
      </c>
      <c r="C891" s="455">
        <v>10.597</v>
      </c>
      <c r="D891" s="637">
        <f t="shared" si="34"/>
        <v>22.077083333333327</v>
      </c>
      <c r="E891" s="637">
        <f t="shared" si="35"/>
        <v>47.181880952380958</v>
      </c>
    </row>
    <row r="892" spans="1:5">
      <c r="A892">
        <v>20613</v>
      </c>
      <c r="B892">
        <v>2400</v>
      </c>
      <c r="C892" s="455">
        <v>10.590999999999999</v>
      </c>
      <c r="D892" s="637">
        <f t="shared" si="34"/>
        <v>22.064583333333328</v>
      </c>
      <c r="E892" s="637">
        <f t="shared" si="35"/>
        <v>47.155166666666673</v>
      </c>
    </row>
    <row r="893" spans="1:5">
      <c r="A893">
        <v>20713</v>
      </c>
      <c r="B893">
        <v>100</v>
      </c>
      <c r="C893" s="455">
        <v>10.768000000000001</v>
      </c>
      <c r="D893" s="637">
        <f t="shared" si="34"/>
        <v>22.43333333333333</v>
      </c>
      <c r="E893" s="637">
        <f t="shared" si="35"/>
        <v>47.943238095238108</v>
      </c>
    </row>
    <row r="894" spans="1:5">
      <c r="A894">
        <v>20713</v>
      </c>
      <c r="B894">
        <v>200</v>
      </c>
      <c r="C894" s="455">
        <v>10.837999999999999</v>
      </c>
      <c r="D894" s="637">
        <f t="shared" si="34"/>
        <v>22.579166666666659</v>
      </c>
      <c r="E894" s="637">
        <f t="shared" si="35"/>
        <v>48.254904761904768</v>
      </c>
    </row>
    <row r="895" spans="1:5">
      <c r="A895">
        <v>20713</v>
      </c>
      <c r="B895">
        <v>300</v>
      </c>
      <c r="C895" s="455">
        <v>11.635999999999999</v>
      </c>
      <c r="D895" s="637">
        <f t="shared" si="34"/>
        <v>24.24166666666666</v>
      </c>
      <c r="E895" s="637">
        <f t="shared" si="35"/>
        <v>51.807904761904773</v>
      </c>
    </row>
    <row r="896" spans="1:5">
      <c r="A896">
        <v>20713</v>
      </c>
      <c r="B896">
        <v>400</v>
      </c>
      <c r="C896" s="455">
        <v>11.345000000000001</v>
      </c>
      <c r="D896" s="637">
        <f t="shared" si="34"/>
        <v>23.635416666666664</v>
      </c>
      <c r="E896" s="637">
        <f t="shared" si="35"/>
        <v>50.512261904761921</v>
      </c>
    </row>
    <row r="897" spans="1:5">
      <c r="A897">
        <v>20713</v>
      </c>
      <c r="B897">
        <v>500</v>
      </c>
      <c r="C897" s="455">
        <v>11.54</v>
      </c>
      <c r="D897" s="637">
        <f t="shared" si="34"/>
        <v>24.041666666666657</v>
      </c>
      <c r="E897" s="637">
        <f t="shared" si="35"/>
        <v>51.380476190476195</v>
      </c>
    </row>
    <row r="898" spans="1:5">
      <c r="A898">
        <v>20713</v>
      </c>
      <c r="B898">
        <v>600</v>
      </c>
      <c r="C898" s="455">
        <v>11.682</v>
      </c>
      <c r="D898" s="637">
        <f t="shared" si="34"/>
        <v>24.337499999999995</v>
      </c>
      <c r="E898" s="637">
        <f t="shared" si="35"/>
        <v>52.012714285714296</v>
      </c>
    </row>
    <row r="899" spans="1:5">
      <c r="A899">
        <v>20713</v>
      </c>
      <c r="B899">
        <v>700</v>
      </c>
      <c r="C899" s="455">
        <v>11.615</v>
      </c>
      <c r="D899" s="637">
        <f t="shared" si="34"/>
        <v>24.197916666666661</v>
      </c>
      <c r="E899" s="637">
        <f t="shared" si="35"/>
        <v>51.714404761904774</v>
      </c>
    </row>
    <row r="900" spans="1:5">
      <c r="A900">
        <v>20713</v>
      </c>
      <c r="B900">
        <v>800</v>
      </c>
      <c r="C900" s="455">
        <v>12.974</v>
      </c>
      <c r="D900" s="637">
        <f t="shared" si="34"/>
        <v>27.029166666666661</v>
      </c>
      <c r="E900" s="637">
        <f t="shared" si="35"/>
        <v>57.76519047619049</v>
      </c>
    </row>
    <row r="901" spans="1:5">
      <c r="A901">
        <v>20713</v>
      </c>
      <c r="B901">
        <v>900</v>
      </c>
      <c r="C901" s="455">
        <v>3.742</v>
      </c>
      <c r="D901" s="637">
        <f t="shared" si="34"/>
        <v>7.7958333333333316</v>
      </c>
      <c r="E901" s="637">
        <f t="shared" si="35"/>
        <v>16.660809523809526</v>
      </c>
    </row>
    <row r="902" spans="1:5">
      <c r="A902">
        <v>20713</v>
      </c>
      <c r="B902">
        <v>1000</v>
      </c>
      <c r="C902" s="455">
        <v>2.3E-2</v>
      </c>
      <c r="D902" s="637">
        <f t="shared" si="34"/>
        <v>4.7916666666666656E-2</v>
      </c>
      <c r="E902" s="637">
        <f t="shared" si="35"/>
        <v>0.10240476190476192</v>
      </c>
    </row>
    <row r="903" spans="1:5">
      <c r="A903">
        <v>20713</v>
      </c>
      <c r="B903">
        <v>1100</v>
      </c>
      <c r="C903" s="455">
        <v>0</v>
      </c>
      <c r="D903" s="637">
        <f t="shared" si="34"/>
        <v>0</v>
      </c>
      <c r="E903" s="637">
        <f t="shared" si="35"/>
        <v>0</v>
      </c>
    </row>
    <row r="904" spans="1:5">
      <c r="A904">
        <v>20713</v>
      </c>
      <c r="B904">
        <v>1200</v>
      </c>
      <c r="C904" s="455">
        <v>0</v>
      </c>
      <c r="D904" s="637">
        <f t="shared" si="34"/>
        <v>0</v>
      </c>
      <c r="E904" s="637">
        <f t="shared" si="35"/>
        <v>0</v>
      </c>
    </row>
    <row r="905" spans="1:5">
      <c r="A905">
        <v>20713</v>
      </c>
      <c r="B905">
        <v>1300</v>
      </c>
      <c r="C905" s="455">
        <v>1E-3</v>
      </c>
      <c r="D905" s="637">
        <f t="shared" si="34"/>
        <v>2.0833333333333329E-3</v>
      </c>
      <c r="E905" s="637">
        <f t="shared" si="35"/>
        <v>4.4523809523809533E-3</v>
      </c>
    </row>
    <row r="906" spans="1:5">
      <c r="A906">
        <v>20713</v>
      </c>
      <c r="B906">
        <v>1400</v>
      </c>
      <c r="C906" s="455">
        <v>0</v>
      </c>
      <c r="D906" s="637">
        <f t="shared" si="34"/>
        <v>0</v>
      </c>
      <c r="E906" s="637">
        <f t="shared" si="35"/>
        <v>0</v>
      </c>
    </row>
    <row r="907" spans="1:5">
      <c r="A907">
        <v>20713</v>
      </c>
      <c r="B907">
        <v>1500</v>
      </c>
      <c r="C907" s="455">
        <v>0</v>
      </c>
      <c r="D907" s="637">
        <f t="shared" si="34"/>
        <v>0</v>
      </c>
      <c r="E907" s="637">
        <f t="shared" si="35"/>
        <v>0</v>
      </c>
    </row>
    <row r="908" spans="1:5">
      <c r="A908">
        <v>20713</v>
      </c>
      <c r="B908">
        <v>1600</v>
      </c>
      <c r="C908" s="455">
        <v>0.04</v>
      </c>
      <c r="D908" s="637">
        <f t="shared" si="34"/>
        <v>8.3333333333333315E-2</v>
      </c>
      <c r="E908" s="637">
        <f t="shared" si="35"/>
        <v>0.17809523809523814</v>
      </c>
    </row>
    <row r="909" spans="1:5">
      <c r="A909">
        <v>20713</v>
      </c>
      <c r="B909">
        <v>1700</v>
      </c>
      <c r="C909" s="455">
        <v>0.73</v>
      </c>
      <c r="D909" s="637">
        <f t="shared" si="34"/>
        <v>1.520833333333333</v>
      </c>
      <c r="E909" s="637">
        <f t="shared" si="35"/>
        <v>3.2502380952380956</v>
      </c>
    </row>
    <row r="910" spans="1:5">
      <c r="A910">
        <v>20713</v>
      </c>
      <c r="B910">
        <v>1800</v>
      </c>
      <c r="C910" s="455">
        <v>10.786</v>
      </c>
      <c r="D910" s="637">
        <f t="shared" si="34"/>
        <v>22.470833333333324</v>
      </c>
      <c r="E910" s="637">
        <f t="shared" si="35"/>
        <v>48.023380952380954</v>
      </c>
    </row>
    <row r="911" spans="1:5">
      <c r="A911">
        <v>20713</v>
      </c>
      <c r="B911">
        <v>1900</v>
      </c>
      <c r="C911" s="455">
        <v>10.715</v>
      </c>
      <c r="D911" s="637">
        <f t="shared" si="34"/>
        <v>22.322916666666661</v>
      </c>
      <c r="E911" s="637">
        <f t="shared" si="35"/>
        <v>47.707261904761907</v>
      </c>
    </row>
    <row r="912" spans="1:5">
      <c r="A912">
        <v>20713</v>
      </c>
      <c r="B912">
        <v>2000</v>
      </c>
      <c r="C912" s="455">
        <v>10.717000000000001</v>
      </c>
      <c r="D912" s="637">
        <f t="shared" si="34"/>
        <v>22.327083333333331</v>
      </c>
      <c r="E912" s="637">
        <f t="shared" si="35"/>
        <v>47.71616666666668</v>
      </c>
    </row>
    <row r="913" spans="1:5">
      <c r="A913">
        <v>20713</v>
      </c>
      <c r="B913">
        <v>2100</v>
      </c>
      <c r="C913" s="455">
        <v>11.276</v>
      </c>
      <c r="D913" s="637">
        <f t="shared" si="34"/>
        <v>23.49166666666666</v>
      </c>
      <c r="E913" s="637">
        <f t="shared" si="35"/>
        <v>50.205047619047626</v>
      </c>
    </row>
    <row r="914" spans="1:5">
      <c r="A914">
        <v>20713</v>
      </c>
      <c r="B914">
        <v>2200</v>
      </c>
      <c r="C914" s="455">
        <v>11.371</v>
      </c>
      <c r="D914" s="637">
        <f t="shared" si="34"/>
        <v>23.689583333333328</v>
      </c>
      <c r="E914" s="637">
        <f t="shared" si="35"/>
        <v>50.628023809523825</v>
      </c>
    </row>
    <row r="915" spans="1:5">
      <c r="A915">
        <v>20713</v>
      </c>
      <c r="B915">
        <v>2300</v>
      </c>
      <c r="C915" s="455">
        <v>11.23</v>
      </c>
      <c r="D915" s="637">
        <f t="shared" si="34"/>
        <v>23.395833333333332</v>
      </c>
      <c r="E915" s="637">
        <f t="shared" si="35"/>
        <v>50.00023809523811</v>
      </c>
    </row>
    <row r="916" spans="1:5">
      <c r="A916">
        <v>20713</v>
      </c>
      <c r="B916">
        <v>2400</v>
      </c>
      <c r="C916" s="455">
        <v>11.74</v>
      </c>
      <c r="D916" s="637">
        <f t="shared" si="34"/>
        <v>24.458333333333325</v>
      </c>
      <c r="E916" s="637">
        <f t="shared" si="35"/>
        <v>52.270952380952387</v>
      </c>
    </row>
    <row r="917" spans="1:5">
      <c r="A917">
        <v>20813</v>
      </c>
      <c r="B917">
        <v>100</v>
      </c>
      <c r="C917" s="455">
        <v>11.834</v>
      </c>
      <c r="D917" s="637">
        <f t="shared" si="34"/>
        <v>24.654166666666658</v>
      </c>
      <c r="E917" s="637">
        <f t="shared" si="35"/>
        <v>52.689476190476199</v>
      </c>
    </row>
    <row r="918" spans="1:5">
      <c r="A918">
        <v>20813</v>
      </c>
      <c r="B918">
        <v>200</v>
      </c>
      <c r="C918" s="455">
        <v>11.962999999999999</v>
      </c>
      <c r="D918" s="637">
        <f t="shared" si="34"/>
        <v>24.922916666666659</v>
      </c>
      <c r="E918" s="637">
        <f t="shared" si="35"/>
        <v>53.263833333333338</v>
      </c>
    </row>
    <row r="919" spans="1:5">
      <c r="A919">
        <v>20813</v>
      </c>
      <c r="B919">
        <v>300</v>
      </c>
      <c r="C919" s="455">
        <v>12.041</v>
      </c>
      <c r="D919" s="637">
        <f t="shared" si="34"/>
        <v>25.08541666666666</v>
      </c>
      <c r="E919" s="637">
        <f t="shared" si="35"/>
        <v>53.611119047619063</v>
      </c>
    </row>
    <row r="920" spans="1:5">
      <c r="A920">
        <v>20813</v>
      </c>
      <c r="B920">
        <v>400</v>
      </c>
      <c r="C920" s="455">
        <v>12.15</v>
      </c>
      <c r="D920" s="637">
        <f t="shared" si="34"/>
        <v>25.312499999999993</v>
      </c>
      <c r="E920" s="637">
        <f t="shared" si="35"/>
        <v>54.096428571428582</v>
      </c>
    </row>
    <row r="921" spans="1:5">
      <c r="A921">
        <v>20813</v>
      </c>
      <c r="B921">
        <v>500</v>
      </c>
      <c r="C921" s="455">
        <v>12.558</v>
      </c>
      <c r="D921" s="637">
        <f t="shared" si="34"/>
        <v>26.162499999999994</v>
      </c>
      <c r="E921" s="637">
        <f t="shared" si="35"/>
        <v>55.913000000000011</v>
      </c>
    </row>
    <row r="922" spans="1:5">
      <c r="A922">
        <v>20813</v>
      </c>
      <c r="B922">
        <v>600</v>
      </c>
      <c r="C922" s="455">
        <v>12.461</v>
      </c>
      <c r="D922" s="637">
        <f t="shared" si="34"/>
        <v>25.960416666666664</v>
      </c>
      <c r="E922" s="637">
        <f t="shared" si="35"/>
        <v>55.48111904761906</v>
      </c>
    </row>
    <row r="923" spans="1:5">
      <c r="A923">
        <v>20813</v>
      </c>
      <c r="B923">
        <v>700</v>
      </c>
      <c r="C923" s="455">
        <v>12.457000000000001</v>
      </c>
      <c r="D923" s="637">
        <f t="shared" si="34"/>
        <v>25.952083333333327</v>
      </c>
      <c r="E923" s="637">
        <f t="shared" si="35"/>
        <v>55.463309523809535</v>
      </c>
    </row>
    <row r="924" spans="1:5">
      <c r="A924">
        <v>20813</v>
      </c>
      <c r="B924">
        <v>800</v>
      </c>
      <c r="C924" s="455">
        <v>12.75</v>
      </c>
      <c r="D924" s="637">
        <f t="shared" si="34"/>
        <v>26.562499999999993</v>
      </c>
      <c r="E924" s="637">
        <f t="shared" si="35"/>
        <v>56.767857142857153</v>
      </c>
    </row>
    <row r="925" spans="1:5">
      <c r="A925">
        <v>20813</v>
      </c>
      <c r="B925">
        <v>900</v>
      </c>
      <c r="C925" s="455">
        <v>16.646999999999998</v>
      </c>
      <c r="D925" s="637">
        <f t="shared" si="34"/>
        <v>34.681249999999984</v>
      </c>
      <c r="E925" s="637">
        <f t="shared" si="35"/>
        <v>74.118785714285721</v>
      </c>
    </row>
    <row r="926" spans="1:5">
      <c r="A926">
        <v>20813</v>
      </c>
      <c r="B926">
        <v>1000</v>
      </c>
      <c r="C926" s="455">
        <v>17.138000000000002</v>
      </c>
      <c r="D926" s="637">
        <f t="shared" si="34"/>
        <v>35.704166666666659</v>
      </c>
      <c r="E926" s="637">
        <f t="shared" si="35"/>
        <v>76.30490476190478</v>
      </c>
    </row>
    <row r="927" spans="1:5">
      <c r="A927">
        <v>20813</v>
      </c>
      <c r="B927">
        <v>1100</v>
      </c>
      <c r="C927" s="455">
        <v>16.344000000000001</v>
      </c>
      <c r="D927" s="637">
        <f t="shared" si="34"/>
        <v>34.04999999999999</v>
      </c>
      <c r="E927" s="637">
        <f t="shared" si="35"/>
        <v>72.769714285714301</v>
      </c>
    </row>
    <row r="928" spans="1:5">
      <c r="A928">
        <v>20813</v>
      </c>
      <c r="B928">
        <v>1200</v>
      </c>
      <c r="C928" s="455">
        <v>13.754</v>
      </c>
      <c r="D928" s="637">
        <f t="shared" si="34"/>
        <v>28.654166666666661</v>
      </c>
      <c r="E928" s="637">
        <f t="shared" si="35"/>
        <v>61.238047619047634</v>
      </c>
    </row>
    <row r="929" spans="1:5">
      <c r="A929">
        <v>20813</v>
      </c>
      <c r="B929">
        <v>1300</v>
      </c>
      <c r="C929" s="455">
        <v>13.153</v>
      </c>
      <c r="D929" s="637">
        <f t="shared" si="34"/>
        <v>27.402083333333326</v>
      </c>
      <c r="E929" s="637">
        <f t="shared" si="35"/>
        <v>58.562166666666677</v>
      </c>
    </row>
    <row r="930" spans="1:5">
      <c r="A930">
        <v>20813</v>
      </c>
      <c r="B930">
        <v>1400</v>
      </c>
      <c r="C930" s="455">
        <v>11.708</v>
      </c>
      <c r="D930" s="637">
        <f t="shared" si="34"/>
        <v>24.391666666666659</v>
      </c>
      <c r="E930" s="637">
        <f t="shared" si="35"/>
        <v>52.128476190476199</v>
      </c>
    </row>
    <row r="931" spans="1:5">
      <c r="A931">
        <v>20813</v>
      </c>
      <c r="B931">
        <v>1500</v>
      </c>
      <c r="C931" s="455">
        <v>11.055999999999999</v>
      </c>
      <c r="D931" s="637">
        <f t="shared" si="34"/>
        <v>23.033333333333328</v>
      </c>
      <c r="E931" s="637">
        <f t="shared" si="35"/>
        <v>49.225523809523821</v>
      </c>
    </row>
    <row r="932" spans="1:5">
      <c r="A932">
        <v>20813</v>
      </c>
      <c r="B932">
        <v>1600</v>
      </c>
      <c r="C932" s="455">
        <v>12.27</v>
      </c>
      <c r="D932" s="637">
        <f t="shared" si="34"/>
        <v>25.562499999999993</v>
      </c>
      <c r="E932" s="637">
        <f t="shared" si="35"/>
        <v>54.630714285714298</v>
      </c>
    </row>
    <row r="933" spans="1:5">
      <c r="A933">
        <v>20813</v>
      </c>
      <c r="B933">
        <v>1700</v>
      </c>
      <c r="C933" s="455">
        <v>14.585000000000001</v>
      </c>
      <c r="D933" s="637">
        <f t="shared" si="34"/>
        <v>30.385416666666661</v>
      </c>
      <c r="E933" s="637">
        <f t="shared" si="35"/>
        <v>64.937976190476206</v>
      </c>
    </row>
    <row r="934" spans="1:5">
      <c r="A934">
        <v>20813</v>
      </c>
      <c r="B934">
        <v>1800</v>
      </c>
      <c r="C934" s="455">
        <v>14.593999999999999</v>
      </c>
      <c r="D934" s="637">
        <f t="shared" si="34"/>
        <v>30.404166666666658</v>
      </c>
      <c r="E934" s="637">
        <f t="shared" si="35"/>
        <v>64.978047619047629</v>
      </c>
    </row>
    <row r="935" spans="1:5">
      <c r="A935">
        <v>20813</v>
      </c>
      <c r="B935">
        <v>1900</v>
      </c>
      <c r="C935" s="455">
        <v>12.385</v>
      </c>
      <c r="D935" s="637">
        <f t="shared" si="34"/>
        <v>25.802083333333325</v>
      </c>
      <c r="E935" s="637">
        <f t="shared" si="35"/>
        <v>55.142738095238101</v>
      </c>
    </row>
    <row r="936" spans="1:5">
      <c r="A936">
        <v>20813</v>
      </c>
      <c r="B936">
        <v>2000</v>
      </c>
      <c r="C936" s="455">
        <v>12.531000000000001</v>
      </c>
      <c r="D936" s="637">
        <f t="shared" si="34"/>
        <v>26.106249999999996</v>
      </c>
      <c r="E936" s="637">
        <f t="shared" si="35"/>
        <v>55.792785714285728</v>
      </c>
    </row>
    <row r="937" spans="1:5">
      <c r="A937">
        <v>20813</v>
      </c>
      <c r="B937">
        <v>2100</v>
      </c>
      <c r="C937" s="455">
        <v>12.518000000000001</v>
      </c>
      <c r="D937" s="637">
        <f t="shared" si="34"/>
        <v>26.079166666666662</v>
      </c>
      <c r="E937" s="637">
        <f t="shared" si="35"/>
        <v>55.734904761904772</v>
      </c>
    </row>
    <row r="938" spans="1:5">
      <c r="A938">
        <v>20813</v>
      </c>
      <c r="B938">
        <v>2200</v>
      </c>
      <c r="C938" s="455">
        <v>12.964</v>
      </c>
      <c r="D938" s="637">
        <f t="shared" si="34"/>
        <v>27.008333333333329</v>
      </c>
      <c r="E938" s="637">
        <f t="shared" si="35"/>
        <v>57.720666666666681</v>
      </c>
    </row>
    <row r="939" spans="1:5">
      <c r="A939">
        <v>20813</v>
      </c>
      <c r="B939">
        <v>2300</v>
      </c>
      <c r="C939" s="455">
        <v>13.11</v>
      </c>
      <c r="D939" s="637">
        <f t="shared" si="34"/>
        <v>27.312499999999989</v>
      </c>
      <c r="E939" s="637">
        <f t="shared" si="35"/>
        <v>58.370714285714293</v>
      </c>
    </row>
    <row r="940" spans="1:5">
      <c r="A940">
        <v>20813</v>
      </c>
      <c r="B940">
        <v>2400</v>
      </c>
      <c r="C940" s="455">
        <v>12.917</v>
      </c>
      <c r="D940" s="637">
        <f t="shared" si="34"/>
        <v>26.910416666666659</v>
      </c>
      <c r="E940" s="637">
        <f t="shared" si="35"/>
        <v>57.511404761904771</v>
      </c>
    </row>
    <row r="941" spans="1:5">
      <c r="A941">
        <v>20913</v>
      </c>
      <c r="B941">
        <v>100</v>
      </c>
      <c r="C941" s="455">
        <v>12.755000000000001</v>
      </c>
      <c r="D941" s="637">
        <f t="shared" si="34"/>
        <v>26.572916666666661</v>
      </c>
      <c r="E941" s="637">
        <f t="shared" si="35"/>
        <v>56.790119047619058</v>
      </c>
    </row>
    <row r="942" spans="1:5">
      <c r="A942">
        <v>20913</v>
      </c>
      <c r="B942">
        <v>200</v>
      </c>
      <c r="C942" s="455">
        <v>12.757</v>
      </c>
      <c r="D942" s="637">
        <f t="shared" ref="D942:D1005" si="36">(C942/(MAX($C$749:$C$1420)))*$W$6</f>
        <v>26.577083333333327</v>
      </c>
      <c r="E942" s="637">
        <f t="shared" ref="E942:E1005" si="37">(C942/(MAX($C$749:$C$1420)))*$P$6</f>
        <v>56.799023809523817</v>
      </c>
    </row>
    <row r="943" spans="1:5">
      <c r="A943">
        <v>20913</v>
      </c>
      <c r="B943">
        <v>300</v>
      </c>
      <c r="C943" s="455">
        <v>12.906000000000001</v>
      </c>
      <c r="D943" s="637">
        <f t="shared" si="36"/>
        <v>26.887499999999996</v>
      </c>
      <c r="E943" s="637">
        <f t="shared" si="37"/>
        <v>57.462428571428589</v>
      </c>
    </row>
    <row r="944" spans="1:5">
      <c r="A944">
        <v>20913</v>
      </c>
      <c r="B944">
        <v>400</v>
      </c>
      <c r="C944" s="455">
        <v>12.975</v>
      </c>
      <c r="D944" s="637">
        <f t="shared" si="36"/>
        <v>27.031249999999993</v>
      </c>
      <c r="E944" s="637">
        <f t="shared" si="37"/>
        <v>57.769642857142863</v>
      </c>
    </row>
    <row r="945" spans="1:5">
      <c r="A945">
        <v>20913</v>
      </c>
      <c r="B945">
        <v>500</v>
      </c>
      <c r="C945" s="455">
        <v>13.811999999999999</v>
      </c>
      <c r="D945" s="637">
        <f t="shared" si="36"/>
        <v>28.774999999999991</v>
      </c>
      <c r="E945" s="637">
        <f t="shared" si="37"/>
        <v>61.496285714285726</v>
      </c>
    </row>
    <row r="946" spans="1:5">
      <c r="A946">
        <v>20913</v>
      </c>
      <c r="B946">
        <v>600</v>
      </c>
      <c r="C946" s="455">
        <v>12.929</v>
      </c>
      <c r="D946" s="637">
        <f t="shared" si="36"/>
        <v>26.935416666666661</v>
      </c>
      <c r="E946" s="637">
        <f t="shared" si="37"/>
        <v>57.564833333333347</v>
      </c>
    </row>
    <row r="947" spans="1:5">
      <c r="A947">
        <v>20913</v>
      </c>
      <c r="B947">
        <v>700</v>
      </c>
      <c r="C947" s="455">
        <v>13.031000000000001</v>
      </c>
      <c r="D947" s="637">
        <f t="shared" si="36"/>
        <v>27.147916666666664</v>
      </c>
      <c r="E947" s="637">
        <f t="shared" si="37"/>
        <v>58.018976190476202</v>
      </c>
    </row>
    <row r="948" spans="1:5">
      <c r="A948">
        <v>20913</v>
      </c>
      <c r="B948">
        <v>800</v>
      </c>
      <c r="C948" s="455">
        <v>16.167999999999999</v>
      </c>
      <c r="D948" s="637">
        <f t="shared" si="36"/>
        <v>33.683333333333323</v>
      </c>
      <c r="E948" s="637">
        <f t="shared" si="37"/>
        <v>71.986095238095245</v>
      </c>
    </row>
    <row r="949" spans="1:5">
      <c r="A949">
        <v>20913</v>
      </c>
      <c r="B949">
        <v>900</v>
      </c>
      <c r="C949" s="455">
        <v>7.9420000000000002</v>
      </c>
      <c r="D949" s="637">
        <f t="shared" si="36"/>
        <v>16.545833333333331</v>
      </c>
      <c r="E949" s="637">
        <f t="shared" si="37"/>
        <v>35.360809523809529</v>
      </c>
    </row>
    <row r="950" spans="1:5">
      <c r="A950">
        <v>20913</v>
      </c>
      <c r="B950">
        <v>1000</v>
      </c>
      <c r="C950" s="455">
        <v>0.79200000000000004</v>
      </c>
      <c r="D950" s="637">
        <f t="shared" si="36"/>
        <v>1.6499999999999997</v>
      </c>
      <c r="E950" s="637">
        <f t="shared" si="37"/>
        <v>3.5262857142857151</v>
      </c>
    </row>
    <row r="951" spans="1:5">
      <c r="A951">
        <v>20913</v>
      </c>
      <c r="B951">
        <v>1100</v>
      </c>
      <c r="C951" s="455">
        <v>0</v>
      </c>
      <c r="D951" s="637">
        <f t="shared" si="36"/>
        <v>0</v>
      </c>
      <c r="E951" s="637">
        <f t="shared" si="37"/>
        <v>0</v>
      </c>
    </row>
    <row r="952" spans="1:5">
      <c r="A952">
        <v>20913</v>
      </c>
      <c r="B952">
        <v>1200</v>
      </c>
      <c r="C952" s="455">
        <v>0</v>
      </c>
      <c r="D952" s="637">
        <f t="shared" si="36"/>
        <v>0</v>
      </c>
      <c r="E952" s="637">
        <f t="shared" si="37"/>
        <v>0</v>
      </c>
    </row>
    <row r="953" spans="1:5">
      <c r="A953">
        <v>20913</v>
      </c>
      <c r="B953">
        <v>1300</v>
      </c>
      <c r="C953" s="455">
        <v>0</v>
      </c>
      <c r="D953" s="637">
        <f t="shared" si="36"/>
        <v>0</v>
      </c>
      <c r="E953" s="637">
        <f t="shared" si="37"/>
        <v>0</v>
      </c>
    </row>
    <row r="954" spans="1:5">
      <c r="A954">
        <v>20913</v>
      </c>
      <c r="B954">
        <v>1400</v>
      </c>
      <c r="C954" s="455">
        <v>0</v>
      </c>
      <c r="D954" s="637">
        <f t="shared" si="36"/>
        <v>0</v>
      </c>
      <c r="E954" s="637">
        <f t="shared" si="37"/>
        <v>0</v>
      </c>
    </row>
    <row r="955" spans="1:5">
      <c r="A955">
        <v>20913</v>
      </c>
      <c r="B955">
        <v>1500</v>
      </c>
      <c r="C955" s="455">
        <v>0</v>
      </c>
      <c r="D955" s="637">
        <f t="shared" si="36"/>
        <v>0</v>
      </c>
      <c r="E955" s="637">
        <f t="shared" si="37"/>
        <v>0</v>
      </c>
    </row>
    <row r="956" spans="1:5">
      <c r="A956">
        <v>20913</v>
      </c>
      <c r="B956">
        <v>1600</v>
      </c>
      <c r="C956" s="455">
        <v>0</v>
      </c>
      <c r="D956" s="637">
        <f t="shared" si="36"/>
        <v>0</v>
      </c>
      <c r="E956" s="637">
        <f t="shared" si="37"/>
        <v>0</v>
      </c>
    </row>
    <row r="957" spans="1:5">
      <c r="A957">
        <v>20913</v>
      </c>
      <c r="B957">
        <v>1700</v>
      </c>
      <c r="C957" s="455">
        <v>2.1240000000000001</v>
      </c>
      <c r="D957" s="637">
        <f t="shared" si="36"/>
        <v>4.4249999999999989</v>
      </c>
      <c r="E957" s="637">
        <f t="shared" si="37"/>
        <v>9.4568571428571442</v>
      </c>
    </row>
    <row r="958" spans="1:5">
      <c r="A958">
        <v>20913</v>
      </c>
      <c r="B958">
        <v>1800</v>
      </c>
      <c r="C958" s="455">
        <v>11.804</v>
      </c>
      <c r="D958" s="637">
        <f t="shared" si="36"/>
        <v>24.591666666666658</v>
      </c>
      <c r="E958" s="637">
        <f t="shared" si="37"/>
        <v>52.55590476190477</v>
      </c>
    </row>
    <row r="959" spans="1:5">
      <c r="A959">
        <v>20913</v>
      </c>
      <c r="B959">
        <v>1900</v>
      </c>
      <c r="C959" s="455">
        <v>10.228</v>
      </c>
      <c r="D959" s="637">
        <f t="shared" si="36"/>
        <v>21.308333333333326</v>
      </c>
      <c r="E959" s="637">
        <f t="shared" si="37"/>
        <v>45.538952380952388</v>
      </c>
    </row>
    <row r="960" spans="1:5">
      <c r="A960">
        <v>20913</v>
      </c>
      <c r="B960">
        <v>2000</v>
      </c>
      <c r="C960" s="455">
        <v>9.9019999999999992</v>
      </c>
      <c r="D960" s="637">
        <f t="shared" si="36"/>
        <v>20.629166666666663</v>
      </c>
      <c r="E960" s="637">
        <f t="shared" si="37"/>
        <v>44.087476190476202</v>
      </c>
    </row>
    <row r="961" spans="1:5">
      <c r="A961">
        <v>20913</v>
      </c>
      <c r="B961">
        <v>2100</v>
      </c>
      <c r="C961" s="455">
        <v>10.48</v>
      </c>
      <c r="D961" s="637">
        <f t="shared" si="36"/>
        <v>21.833333333333329</v>
      </c>
      <c r="E961" s="637">
        <f t="shared" si="37"/>
        <v>46.660952380952388</v>
      </c>
    </row>
    <row r="962" spans="1:5">
      <c r="A962">
        <v>20913</v>
      </c>
      <c r="B962">
        <v>2200</v>
      </c>
      <c r="C962" s="455">
        <v>10.939</v>
      </c>
      <c r="D962" s="637">
        <f t="shared" si="36"/>
        <v>22.789583333333329</v>
      </c>
      <c r="E962" s="637">
        <f t="shared" si="37"/>
        <v>48.704595238095251</v>
      </c>
    </row>
    <row r="963" spans="1:5">
      <c r="A963">
        <v>20913</v>
      </c>
      <c r="B963">
        <v>2300</v>
      </c>
      <c r="C963" s="455">
        <v>11.613</v>
      </c>
      <c r="D963" s="637">
        <f t="shared" si="36"/>
        <v>24.193749999999994</v>
      </c>
      <c r="E963" s="637">
        <f t="shared" si="37"/>
        <v>51.705500000000008</v>
      </c>
    </row>
    <row r="964" spans="1:5">
      <c r="A964">
        <v>20913</v>
      </c>
      <c r="B964">
        <v>2400</v>
      </c>
      <c r="C964" s="455">
        <v>11.675000000000001</v>
      </c>
      <c r="D964" s="637">
        <f t="shared" si="36"/>
        <v>24.322916666666661</v>
      </c>
      <c r="E964" s="637">
        <f t="shared" si="37"/>
        <v>51.981547619047625</v>
      </c>
    </row>
    <row r="965" spans="1:5">
      <c r="A965">
        <v>21013</v>
      </c>
      <c r="B965">
        <v>100</v>
      </c>
      <c r="C965" s="455">
        <v>11.797000000000001</v>
      </c>
      <c r="D965" s="637">
        <f t="shared" si="36"/>
        <v>24.577083333333331</v>
      </c>
      <c r="E965" s="637">
        <f t="shared" si="37"/>
        <v>52.524738095238114</v>
      </c>
    </row>
    <row r="966" spans="1:5">
      <c r="A966">
        <v>21013</v>
      </c>
      <c r="B966">
        <v>200</v>
      </c>
      <c r="C966" s="455">
        <v>12.321</v>
      </c>
      <c r="D966" s="637">
        <f t="shared" si="36"/>
        <v>25.668749999999992</v>
      </c>
      <c r="E966" s="637">
        <f t="shared" si="37"/>
        <v>54.857785714285725</v>
      </c>
    </row>
    <row r="967" spans="1:5">
      <c r="A967">
        <v>21013</v>
      </c>
      <c r="B967">
        <v>300</v>
      </c>
      <c r="C967" s="455">
        <v>12.394</v>
      </c>
      <c r="D967" s="637">
        <f t="shared" si="36"/>
        <v>25.820833333333326</v>
      </c>
      <c r="E967" s="637">
        <f t="shared" si="37"/>
        <v>55.182809523809532</v>
      </c>
    </row>
    <row r="968" spans="1:5">
      <c r="A968">
        <v>21013</v>
      </c>
      <c r="B968">
        <v>400</v>
      </c>
      <c r="C968" s="455">
        <v>12.808999999999999</v>
      </c>
      <c r="D968" s="637">
        <f t="shared" si="36"/>
        <v>26.685416666666658</v>
      </c>
      <c r="E968" s="637">
        <f t="shared" si="37"/>
        <v>57.030547619047631</v>
      </c>
    </row>
    <row r="969" spans="1:5">
      <c r="A969">
        <v>21013</v>
      </c>
      <c r="B969">
        <v>500</v>
      </c>
      <c r="C969" s="455">
        <v>12.717000000000001</v>
      </c>
      <c r="D969" s="637">
        <f t="shared" si="36"/>
        <v>26.493749999999995</v>
      </c>
      <c r="E969" s="637">
        <f t="shared" si="37"/>
        <v>56.620928571428585</v>
      </c>
    </row>
    <row r="970" spans="1:5">
      <c r="A970">
        <v>21013</v>
      </c>
      <c r="B970">
        <v>600</v>
      </c>
      <c r="C970" s="455">
        <v>13.455</v>
      </c>
      <c r="D970" s="637">
        <f t="shared" si="36"/>
        <v>28.031249999999993</v>
      </c>
      <c r="E970" s="637">
        <f t="shared" si="37"/>
        <v>59.906785714285725</v>
      </c>
    </row>
    <row r="971" spans="1:5">
      <c r="A971">
        <v>21013</v>
      </c>
      <c r="B971">
        <v>700</v>
      </c>
      <c r="C971" s="455">
        <v>12.73</v>
      </c>
      <c r="D971" s="637">
        <f t="shared" si="36"/>
        <v>26.520833333333325</v>
      </c>
      <c r="E971" s="637">
        <f t="shared" si="37"/>
        <v>56.678809523809534</v>
      </c>
    </row>
    <row r="972" spans="1:5">
      <c r="A972">
        <v>21013</v>
      </c>
      <c r="B972">
        <v>800</v>
      </c>
      <c r="C972" s="455">
        <v>14.746</v>
      </c>
      <c r="D972" s="637">
        <f t="shared" si="36"/>
        <v>30.720833333333328</v>
      </c>
      <c r="E972" s="637">
        <f t="shared" si="37"/>
        <v>65.654809523809533</v>
      </c>
    </row>
    <row r="973" spans="1:5">
      <c r="A973">
        <v>21013</v>
      </c>
      <c r="B973">
        <v>900</v>
      </c>
      <c r="C973" s="455">
        <v>1.819</v>
      </c>
      <c r="D973" s="637">
        <f t="shared" si="36"/>
        <v>3.7895833333333324</v>
      </c>
      <c r="E973" s="637">
        <f t="shared" si="37"/>
        <v>8.098880952380954</v>
      </c>
    </row>
    <row r="974" spans="1:5">
      <c r="A974">
        <v>21013</v>
      </c>
      <c r="B974">
        <v>1000</v>
      </c>
      <c r="C974" s="455">
        <v>0</v>
      </c>
      <c r="D974" s="637">
        <f t="shared" si="36"/>
        <v>0</v>
      </c>
      <c r="E974" s="637">
        <f t="shared" si="37"/>
        <v>0</v>
      </c>
    </row>
    <row r="975" spans="1:5">
      <c r="A975">
        <v>21013</v>
      </c>
      <c r="B975">
        <v>1100</v>
      </c>
      <c r="C975" s="455">
        <v>0</v>
      </c>
      <c r="D975" s="637">
        <f t="shared" si="36"/>
        <v>0</v>
      </c>
      <c r="E975" s="637">
        <f t="shared" si="37"/>
        <v>0</v>
      </c>
    </row>
    <row r="976" spans="1:5">
      <c r="A976">
        <v>21013</v>
      </c>
      <c r="B976">
        <v>1200</v>
      </c>
      <c r="C976" s="455">
        <v>0</v>
      </c>
      <c r="D976" s="637">
        <f t="shared" si="36"/>
        <v>0</v>
      </c>
      <c r="E976" s="637">
        <f t="shared" si="37"/>
        <v>0</v>
      </c>
    </row>
    <row r="977" spans="1:5">
      <c r="A977">
        <v>21013</v>
      </c>
      <c r="B977">
        <v>1300</v>
      </c>
      <c r="C977" s="455">
        <v>0</v>
      </c>
      <c r="D977" s="637">
        <f t="shared" si="36"/>
        <v>0</v>
      </c>
      <c r="E977" s="637">
        <f t="shared" si="37"/>
        <v>0</v>
      </c>
    </row>
    <row r="978" spans="1:5">
      <c r="A978">
        <v>21013</v>
      </c>
      <c r="B978">
        <v>1400</v>
      </c>
      <c r="C978" s="455">
        <v>0</v>
      </c>
      <c r="D978" s="637">
        <f t="shared" si="36"/>
        <v>0</v>
      </c>
      <c r="E978" s="637">
        <f t="shared" si="37"/>
        <v>0</v>
      </c>
    </row>
    <row r="979" spans="1:5">
      <c r="A979">
        <v>21013</v>
      </c>
      <c r="B979">
        <v>1500</v>
      </c>
      <c r="C979" s="455">
        <v>0</v>
      </c>
      <c r="D979" s="637">
        <f t="shared" si="36"/>
        <v>0</v>
      </c>
      <c r="E979" s="637">
        <f t="shared" si="37"/>
        <v>0</v>
      </c>
    </row>
    <row r="980" spans="1:5">
      <c r="A980">
        <v>21013</v>
      </c>
      <c r="B980">
        <v>1600</v>
      </c>
      <c r="C980" s="455">
        <v>0</v>
      </c>
      <c r="D980" s="637">
        <f t="shared" si="36"/>
        <v>0</v>
      </c>
      <c r="E980" s="637">
        <f t="shared" si="37"/>
        <v>0</v>
      </c>
    </row>
    <row r="981" spans="1:5">
      <c r="A981">
        <v>21013</v>
      </c>
      <c r="B981">
        <v>1700</v>
      </c>
      <c r="C981" s="455">
        <v>0.86399999999999999</v>
      </c>
      <c r="D981" s="637">
        <f t="shared" si="36"/>
        <v>1.7999999999999996</v>
      </c>
      <c r="E981" s="637">
        <f t="shared" si="37"/>
        <v>3.8468571428571434</v>
      </c>
    </row>
    <row r="982" spans="1:5">
      <c r="A982">
        <v>21013</v>
      </c>
      <c r="B982">
        <v>1800</v>
      </c>
      <c r="C982" s="455">
        <v>10.988</v>
      </c>
      <c r="D982" s="637">
        <f t="shared" si="36"/>
        <v>22.891666666666662</v>
      </c>
      <c r="E982" s="637">
        <f t="shared" si="37"/>
        <v>48.922761904761913</v>
      </c>
    </row>
    <row r="983" spans="1:5">
      <c r="A983">
        <v>21013</v>
      </c>
      <c r="B983">
        <v>1900</v>
      </c>
      <c r="C983" s="455">
        <v>10.336</v>
      </c>
      <c r="D983" s="637">
        <f t="shared" si="36"/>
        <v>21.533333333333328</v>
      </c>
      <c r="E983" s="637">
        <f t="shared" si="37"/>
        <v>46.019809523809535</v>
      </c>
    </row>
    <row r="984" spans="1:5">
      <c r="A984">
        <v>21013</v>
      </c>
      <c r="B984">
        <v>2000</v>
      </c>
      <c r="C984" s="455">
        <v>10.34</v>
      </c>
      <c r="D984" s="637">
        <f t="shared" si="36"/>
        <v>21.541666666666664</v>
      </c>
      <c r="E984" s="637">
        <f t="shared" si="37"/>
        <v>46.03761904761906</v>
      </c>
    </row>
    <row r="985" spans="1:5">
      <c r="A985">
        <v>21013</v>
      </c>
      <c r="B985">
        <v>2100</v>
      </c>
      <c r="C985" s="455">
        <v>10.234999999999999</v>
      </c>
      <c r="D985" s="637">
        <f t="shared" si="36"/>
        <v>21.322916666666661</v>
      </c>
      <c r="E985" s="637">
        <f t="shared" si="37"/>
        <v>45.570119047619052</v>
      </c>
    </row>
    <row r="986" spans="1:5">
      <c r="A986">
        <v>21013</v>
      </c>
      <c r="B986">
        <v>2200</v>
      </c>
      <c r="C986" s="455">
        <v>10.159000000000001</v>
      </c>
      <c r="D986" s="637">
        <f t="shared" si="36"/>
        <v>21.164583333333329</v>
      </c>
      <c r="E986" s="637">
        <f t="shared" si="37"/>
        <v>45.231738095238107</v>
      </c>
    </row>
    <row r="987" spans="1:5">
      <c r="A987">
        <v>21013</v>
      </c>
      <c r="B987">
        <v>2300</v>
      </c>
      <c r="C987" s="455">
        <v>10.366</v>
      </c>
      <c r="D987" s="637">
        <f t="shared" si="36"/>
        <v>21.595833333333328</v>
      </c>
      <c r="E987" s="637">
        <f t="shared" si="37"/>
        <v>46.153380952380964</v>
      </c>
    </row>
    <row r="988" spans="1:5">
      <c r="A988">
        <v>21013</v>
      </c>
      <c r="B988">
        <v>2400</v>
      </c>
      <c r="C988" s="455">
        <v>10.343</v>
      </c>
      <c r="D988" s="637">
        <f t="shared" si="36"/>
        <v>21.547916666666662</v>
      </c>
      <c r="E988" s="637">
        <f t="shared" si="37"/>
        <v>46.050976190476199</v>
      </c>
    </row>
    <row r="989" spans="1:5">
      <c r="A989">
        <v>21113</v>
      </c>
      <c r="B989">
        <v>100</v>
      </c>
      <c r="C989" s="455">
        <v>10.272</v>
      </c>
      <c r="D989" s="637">
        <f t="shared" si="36"/>
        <v>21.399999999999995</v>
      </c>
      <c r="E989" s="637">
        <f t="shared" si="37"/>
        <v>45.734857142857152</v>
      </c>
    </row>
    <row r="990" spans="1:5">
      <c r="A990">
        <v>21113</v>
      </c>
      <c r="B990">
        <v>200</v>
      </c>
      <c r="C990" s="455">
        <v>10.393000000000001</v>
      </c>
      <c r="D990" s="637">
        <f t="shared" si="36"/>
        <v>21.65208333333333</v>
      </c>
      <c r="E990" s="637">
        <f t="shared" si="37"/>
        <v>46.273595238095247</v>
      </c>
    </row>
    <row r="991" spans="1:5">
      <c r="A991">
        <v>21113</v>
      </c>
      <c r="B991">
        <v>300</v>
      </c>
      <c r="C991" s="455">
        <v>10.702999999999999</v>
      </c>
      <c r="D991" s="637">
        <f t="shared" si="36"/>
        <v>22.297916666666659</v>
      </c>
      <c r="E991" s="637">
        <f t="shared" si="37"/>
        <v>47.653833333333338</v>
      </c>
    </row>
    <row r="992" spans="1:5">
      <c r="A992">
        <v>21113</v>
      </c>
      <c r="B992">
        <v>400</v>
      </c>
      <c r="C992" s="455">
        <v>10.738</v>
      </c>
      <c r="D992" s="637">
        <f t="shared" si="36"/>
        <v>22.370833333333326</v>
      </c>
      <c r="E992" s="637">
        <f t="shared" si="37"/>
        <v>47.809666666666672</v>
      </c>
    </row>
    <row r="993" spans="1:5">
      <c r="A993">
        <v>21113</v>
      </c>
      <c r="B993">
        <v>500</v>
      </c>
      <c r="C993" s="455">
        <v>10.731999999999999</v>
      </c>
      <c r="D993" s="637">
        <f t="shared" si="36"/>
        <v>22.358333333333327</v>
      </c>
      <c r="E993" s="637">
        <f t="shared" si="37"/>
        <v>47.782952380952388</v>
      </c>
    </row>
    <row r="994" spans="1:5">
      <c r="A994">
        <v>21113</v>
      </c>
      <c r="B994">
        <v>600</v>
      </c>
      <c r="C994" s="455">
        <v>10.864000000000001</v>
      </c>
      <c r="D994" s="637">
        <f t="shared" si="36"/>
        <v>22.633333333333329</v>
      </c>
      <c r="E994" s="637">
        <f t="shared" si="37"/>
        <v>48.370666666666679</v>
      </c>
    </row>
    <row r="995" spans="1:5">
      <c r="A995">
        <v>21113</v>
      </c>
      <c r="B995">
        <v>700</v>
      </c>
      <c r="C995" s="455">
        <v>10.625</v>
      </c>
      <c r="D995" s="637">
        <f t="shared" si="36"/>
        <v>22.135416666666661</v>
      </c>
      <c r="E995" s="637">
        <f t="shared" si="37"/>
        <v>47.306547619047628</v>
      </c>
    </row>
    <row r="996" spans="1:5">
      <c r="A996">
        <v>21113</v>
      </c>
      <c r="B996">
        <v>800</v>
      </c>
      <c r="C996" s="455">
        <v>12.625</v>
      </c>
      <c r="D996" s="637">
        <f t="shared" si="36"/>
        <v>26.302083333333329</v>
      </c>
      <c r="E996" s="637">
        <f t="shared" si="37"/>
        <v>56.211309523809533</v>
      </c>
    </row>
    <row r="997" spans="1:5">
      <c r="A997">
        <v>21113</v>
      </c>
      <c r="B997">
        <v>900</v>
      </c>
      <c r="C997" s="455">
        <v>7.28</v>
      </c>
      <c r="D997" s="637">
        <f t="shared" si="36"/>
        <v>15.166666666666664</v>
      </c>
      <c r="E997" s="637">
        <f t="shared" si="37"/>
        <v>32.413333333333341</v>
      </c>
    </row>
    <row r="998" spans="1:5">
      <c r="A998">
        <v>21113</v>
      </c>
      <c r="B998">
        <v>1000</v>
      </c>
      <c r="C998" s="455">
        <v>0</v>
      </c>
      <c r="D998" s="637">
        <f t="shared" si="36"/>
        <v>0</v>
      </c>
      <c r="E998" s="637">
        <f t="shared" si="37"/>
        <v>0</v>
      </c>
    </row>
    <row r="999" spans="1:5">
      <c r="A999">
        <v>21113</v>
      </c>
      <c r="B999">
        <v>1100</v>
      </c>
      <c r="C999" s="455">
        <v>2.012</v>
      </c>
      <c r="D999" s="637">
        <f t="shared" si="36"/>
        <v>4.1916666666666655</v>
      </c>
      <c r="E999" s="637">
        <f t="shared" si="37"/>
        <v>8.9581904761904774</v>
      </c>
    </row>
    <row r="1000" spans="1:5">
      <c r="A1000">
        <v>21113</v>
      </c>
      <c r="B1000">
        <v>1200</v>
      </c>
      <c r="C1000" s="455">
        <v>0</v>
      </c>
      <c r="D1000" s="637">
        <f t="shared" si="36"/>
        <v>0</v>
      </c>
      <c r="E1000" s="637">
        <f t="shared" si="37"/>
        <v>0</v>
      </c>
    </row>
    <row r="1001" spans="1:5">
      <c r="A1001">
        <v>21113</v>
      </c>
      <c r="B1001">
        <v>1300</v>
      </c>
      <c r="C1001" s="455">
        <v>0.32400000000000001</v>
      </c>
      <c r="D1001" s="637">
        <f t="shared" si="36"/>
        <v>0.67499999999999982</v>
      </c>
      <c r="E1001" s="637">
        <f t="shared" si="37"/>
        <v>1.4425714285714288</v>
      </c>
    </row>
    <row r="1002" spans="1:5">
      <c r="A1002">
        <v>21113</v>
      </c>
      <c r="B1002">
        <v>1400</v>
      </c>
      <c r="C1002" s="455">
        <v>0</v>
      </c>
      <c r="D1002" s="637">
        <f t="shared" si="36"/>
        <v>0</v>
      </c>
      <c r="E1002" s="637">
        <f t="shared" si="37"/>
        <v>0</v>
      </c>
    </row>
    <row r="1003" spans="1:5">
      <c r="A1003">
        <v>21113</v>
      </c>
      <c r="B1003">
        <v>1500</v>
      </c>
      <c r="C1003" s="455">
        <v>0.28799999999999998</v>
      </c>
      <c r="D1003" s="637">
        <f t="shared" si="36"/>
        <v>0.59999999999999976</v>
      </c>
      <c r="E1003" s="637">
        <f t="shared" si="37"/>
        <v>1.2822857142857143</v>
      </c>
    </row>
    <row r="1004" spans="1:5">
      <c r="A1004">
        <v>21113</v>
      </c>
      <c r="B1004">
        <v>1600</v>
      </c>
      <c r="C1004" s="455">
        <v>1.556</v>
      </c>
      <c r="D1004" s="637">
        <f t="shared" si="36"/>
        <v>3.2416666666666663</v>
      </c>
      <c r="E1004" s="637">
        <f t="shared" si="37"/>
        <v>6.927904761904764</v>
      </c>
    </row>
    <row r="1005" spans="1:5">
      <c r="A1005">
        <v>21113</v>
      </c>
      <c r="B1005">
        <v>1700</v>
      </c>
      <c r="C1005" s="455">
        <v>0.45800000000000002</v>
      </c>
      <c r="D1005" s="637">
        <f t="shared" si="36"/>
        <v>0.9541666666666665</v>
      </c>
      <c r="E1005" s="637">
        <f t="shared" si="37"/>
        <v>2.0391904761904769</v>
      </c>
    </row>
    <row r="1006" spans="1:5">
      <c r="A1006">
        <v>21113</v>
      </c>
      <c r="B1006">
        <v>1800</v>
      </c>
      <c r="C1006" s="455">
        <v>10.92</v>
      </c>
      <c r="D1006" s="637">
        <f t="shared" ref="D1006:D1069" si="38">(C1006/(MAX($C$749:$C$1420)))*$W$6</f>
        <v>22.749999999999996</v>
      </c>
      <c r="E1006" s="637">
        <f t="shared" ref="E1006:E1069" si="39">(C1006/(MAX($C$749:$C$1420)))*$P$6</f>
        <v>48.620000000000012</v>
      </c>
    </row>
    <row r="1007" spans="1:5">
      <c r="A1007">
        <v>21113</v>
      </c>
      <c r="B1007">
        <v>1900</v>
      </c>
      <c r="C1007" s="455">
        <v>10.271000000000001</v>
      </c>
      <c r="D1007" s="637">
        <f t="shared" si="38"/>
        <v>21.397916666666664</v>
      </c>
      <c r="E1007" s="637">
        <f t="shared" si="39"/>
        <v>45.730404761904772</v>
      </c>
    </row>
    <row r="1008" spans="1:5">
      <c r="A1008">
        <v>21113</v>
      </c>
      <c r="B1008">
        <v>2000</v>
      </c>
      <c r="C1008" s="455">
        <v>10.269</v>
      </c>
      <c r="D1008" s="637">
        <f t="shared" si="38"/>
        <v>21.393749999999997</v>
      </c>
      <c r="E1008" s="637">
        <f t="shared" si="39"/>
        <v>45.721500000000013</v>
      </c>
    </row>
    <row r="1009" spans="1:5">
      <c r="A1009">
        <v>21113</v>
      </c>
      <c r="B1009">
        <v>2100</v>
      </c>
      <c r="C1009" s="455">
        <v>10.433</v>
      </c>
      <c r="D1009" s="637">
        <f t="shared" si="38"/>
        <v>21.735416666666662</v>
      </c>
      <c r="E1009" s="637">
        <f t="shared" si="39"/>
        <v>46.451690476190485</v>
      </c>
    </row>
    <row r="1010" spans="1:5">
      <c r="A1010">
        <v>21113</v>
      </c>
      <c r="B1010">
        <v>2200</v>
      </c>
      <c r="C1010" s="455">
        <v>10.196999999999999</v>
      </c>
      <c r="D1010" s="637">
        <f t="shared" si="38"/>
        <v>21.243749999999991</v>
      </c>
      <c r="E1010" s="637">
        <f t="shared" si="39"/>
        <v>45.40092857142858</v>
      </c>
    </row>
    <row r="1011" spans="1:5">
      <c r="A1011">
        <v>21113</v>
      </c>
      <c r="B1011">
        <v>2300</v>
      </c>
      <c r="C1011" s="455">
        <v>10.552</v>
      </c>
      <c r="D1011" s="637">
        <f t="shared" si="38"/>
        <v>21.983333333333327</v>
      </c>
      <c r="E1011" s="637">
        <f t="shared" si="39"/>
        <v>46.981523809523814</v>
      </c>
    </row>
    <row r="1012" spans="1:5">
      <c r="A1012">
        <v>21113</v>
      </c>
      <c r="B1012">
        <v>2400</v>
      </c>
      <c r="C1012" s="455">
        <v>10.407999999999999</v>
      </c>
      <c r="D1012" s="637">
        <f t="shared" si="38"/>
        <v>21.68333333333333</v>
      </c>
      <c r="E1012" s="637">
        <f t="shared" si="39"/>
        <v>46.340380952380961</v>
      </c>
    </row>
    <row r="1013" spans="1:5">
      <c r="A1013">
        <v>21213</v>
      </c>
      <c r="B1013">
        <v>100</v>
      </c>
      <c r="C1013" s="455">
        <v>10.935</v>
      </c>
      <c r="D1013" s="637">
        <f t="shared" si="38"/>
        <v>22.781249999999996</v>
      </c>
      <c r="E1013" s="637">
        <f t="shared" si="39"/>
        <v>48.686785714285726</v>
      </c>
    </row>
    <row r="1014" spans="1:5">
      <c r="A1014">
        <v>21213</v>
      </c>
      <c r="B1014">
        <v>200</v>
      </c>
      <c r="C1014" s="455">
        <v>10.42</v>
      </c>
      <c r="D1014" s="637">
        <f t="shared" si="38"/>
        <v>21.708333333333329</v>
      </c>
      <c r="E1014" s="637">
        <f t="shared" si="39"/>
        <v>46.393809523809537</v>
      </c>
    </row>
    <row r="1015" spans="1:5">
      <c r="A1015">
        <v>21213</v>
      </c>
      <c r="B1015">
        <v>300</v>
      </c>
      <c r="C1015" s="455">
        <v>10.711</v>
      </c>
      <c r="D1015" s="637">
        <f t="shared" si="38"/>
        <v>22.314583333333331</v>
      </c>
      <c r="E1015" s="637">
        <f t="shared" si="39"/>
        <v>47.689452380952396</v>
      </c>
    </row>
    <row r="1016" spans="1:5">
      <c r="A1016">
        <v>21213</v>
      </c>
      <c r="B1016">
        <v>400</v>
      </c>
      <c r="C1016" s="455">
        <v>11.08</v>
      </c>
      <c r="D1016" s="637">
        <f t="shared" si="38"/>
        <v>23.083333333333329</v>
      </c>
      <c r="E1016" s="637">
        <f t="shared" si="39"/>
        <v>49.332380952380959</v>
      </c>
    </row>
    <row r="1017" spans="1:5">
      <c r="A1017">
        <v>21213</v>
      </c>
      <c r="B1017">
        <v>500</v>
      </c>
      <c r="C1017" s="455">
        <v>10.48</v>
      </c>
      <c r="D1017" s="637">
        <f t="shared" si="38"/>
        <v>21.833333333333329</v>
      </c>
      <c r="E1017" s="637">
        <f t="shared" si="39"/>
        <v>46.660952380952388</v>
      </c>
    </row>
    <row r="1018" spans="1:5">
      <c r="A1018">
        <v>21213</v>
      </c>
      <c r="B1018">
        <v>600</v>
      </c>
      <c r="C1018" s="455">
        <v>10.586</v>
      </c>
      <c r="D1018" s="637">
        <f t="shared" si="38"/>
        <v>22.05416666666666</v>
      </c>
      <c r="E1018" s="637">
        <f t="shared" si="39"/>
        <v>47.132904761904769</v>
      </c>
    </row>
    <row r="1019" spans="1:5">
      <c r="A1019">
        <v>21213</v>
      </c>
      <c r="B1019">
        <v>700</v>
      </c>
      <c r="C1019" s="455">
        <v>10.536</v>
      </c>
      <c r="D1019" s="637">
        <f t="shared" si="38"/>
        <v>21.949999999999996</v>
      </c>
      <c r="E1019" s="637">
        <f t="shared" si="39"/>
        <v>46.91028571428572</v>
      </c>
    </row>
    <row r="1020" spans="1:5">
      <c r="A1020">
        <v>21213</v>
      </c>
      <c r="B1020">
        <v>800</v>
      </c>
      <c r="C1020" s="455">
        <v>10.949</v>
      </c>
      <c r="D1020" s="637">
        <f t="shared" si="38"/>
        <v>22.810416666666661</v>
      </c>
      <c r="E1020" s="637">
        <f t="shared" si="39"/>
        <v>48.749119047619061</v>
      </c>
    </row>
    <row r="1021" spans="1:5">
      <c r="A1021">
        <v>21213</v>
      </c>
      <c r="B1021">
        <v>900</v>
      </c>
      <c r="C1021" s="455">
        <v>1.915</v>
      </c>
      <c r="D1021" s="637">
        <f t="shared" si="38"/>
        <v>3.9895833333333326</v>
      </c>
      <c r="E1021" s="637">
        <f t="shared" si="39"/>
        <v>8.526309523809525</v>
      </c>
    </row>
    <row r="1022" spans="1:5">
      <c r="A1022">
        <v>21213</v>
      </c>
      <c r="B1022">
        <v>1000</v>
      </c>
      <c r="C1022" s="455">
        <v>0</v>
      </c>
      <c r="D1022" s="637">
        <f t="shared" si="38"/>
        <v>0</v>
      </c>
      <c r="E1022" s="637">
        <f t="shared" si="39"/>
        <v>0</v>
      </c>
    </row>
    <row r="1023" spans="1:5">
      <c r="A1023">
        <v>21213</v>
      </c>
      <c r="B1023">
        <v>1100</v>
      </c>
      <c r="C1023" s="455">
        <v>0</v>
      </c>
      <c r="D1023" s="637">
        <f t="shared" si="38"/>
        <v>0</v>
      </c>
      <c r="E1023" s="637">
        <f t="shared" si="39"/>
        <v>0</v>
      </c>
    </row>
    <row r="1024" spans="1:5">
      <c r="A1024">
        <v>21213</v>
      </c>
      <c r="B1024">
        <v>1200</v>
      </c>
      <c r="C1024" s="455">
        <v>0</v>
      </c>
      <c r="D1024" s="637">
        <f t="shared" si="38"/>
        <v>0</v>
      </c>
      <c r="E1024" s="637">
        <f t="shared" si="39"/>
        <v>0</v>
      </c>
    </row>
    <row r="1025" spans="1:5">
      <c r="A1025">
        <v>21213</v>
      </c>
      <c r="B1025">
        <v>1300</v>
      </c>
      <c r="C1025" s="455">
        <v>0</v>
      </c>
      <c r="D1025" s="637">
        <f t="shared" si="38"/>
        <v>0</v>
      </c>
      <c r="E1025" s="637">
        <f t="shared" si="39"/>
        <v>0</v>
      </c>
    </row>
    <row r="1026" spans="1:5">
      <c r="A1026">
        <v>21213</v>
      </c>
      <c r="B1026">
        <v>1400</v>
      </c>
      <c r="C1026" s="455">
        <v>0</v>
      </c>
      <c r="D1026" s="637">
        <f t="shared" si="38"/>
        <v>0</v>
      </c>
      <c r="E1026" s="637">
        <f t="shared" si="39"/>
        <v>0</v>
      </c>
    </row>
    <row r="1027" spans="1:5">
      <c r="A1027">
        <v>21213</v>
      </c>
      <c r="B1027">
        <v>1500</v>
      </c>
      <c r="C1027" s="455">
        <v>0</v>
      </c>
      <c r="D1027" s="637">
        <f t="shared" si="38"/>
        <v>0</v>
      </c>
      <c r="E1027" s="637">
        <f t="shared" si="39"/>
        <v>0</v>
      </c>
    </row>
    <row r="1028" spans="1:5">
      <c r="A1028">
        <v>21213</v>
      </c>
      <c r="B1028">
        <v>1600</v>
      </c>
      <c r="C1028" s="455">
        <v>7.1999999999999995E-2</v>
      </c>
      <c r="D1028" s="637">
        <f t="shared" si="38"/>
        <v>0.14999999999999994</v>
      </c>
      <c r="E1028" s="637">
        <f t="shared" si="39"/>
        <v>0.32057142857142856</v>
      </c>
    </row>
    <row r="1029" spans="1:5">
      <c r="A1029">
        <v>21213</v>
      </c>
      <c r="B1029">
        <v>1700</v>
      </c>
      <c r="C1029" s="455">
        <v>0.52800000000000002</v>
      </c>
      <c r="D1029" s="637">
        <f t="shared" si="38"/>
        <v>1.0999999999999999</v>
      </c>
      <c r="E1029" s="637">
        <f t="shared" si="39"/>
        <v>2.3508571428571434</v>
      </c>
    </row>
    <row r="1030" spans="1:5">
      <c r="A1030">
        <v>21213</v>
      </c>
      <c r="B1030">
        <v>1800</v>
      </c>
      <c r="C1030" s="455">
        <v>10.476000000000001</v>
      </c>
      <c r="D1030" s="637">
        <f t="shared" si="38"/>
        <v>21.824999999999996</v>
      </c>
      <c r="E1030" s="637">
        <f t="shared" si="39"/>
        <v>46.64314285714287</v>
      </c>
    </row>
    <row r="1031" spans="1:5">
      <c r="A1031">
        <v>21213</v>
      </c>
      <c r="B1031">
        <v>1900</v>
      </c>
      <c r="C1031" s="455">
        <v>10.263999999999999</v>
      </c>
      <c r="D1031" s="637">
        <f t="shared" si="38"/>
        <v>21.383333333333326</v>
      </c>
      <c r="E1031" s="637">
        <f t="shared" si="39"/>
        <v>45.699238095238101</v>
      </c>
    </row>
    <row r="1032" spans="1:5">
      <c r="A1032">
        <v>21213</v>
      </c>
      <c r="B1032">
        <v>2000</v>
      </c>
      <c r="C1032" s="455">
        <v>10.192</v>
      </c>
      <c r="D1032" s="637">
        <f t="shared" si="38"/>
        <v>21.233333333333331</v>
      </c>
      <c r="E1032" s="637">
        <f t="shared" si="39"/>
        <v>45.378666666666682</v>
      </c>
    </row>
    <row r="1033" spans="1:5">
      <c r="A1033">
        <v>21213</v>
      </c>
      <c r="B1033">
        <v>2100</v>
      </c>
      <c r="C1033" s="455">
        <v>10.048</v>
      </c>
      <c r="D1033" s="637">
        <f t="shared" si="38"/>
        <v>20.933333333333326</v>
      </c>
      <c r="E1033" s="637">
        <f t="shared" si="39"/>
        <v>44.737523809523815</v>
      </c>
    </row>
    <row r="1034" spans="1:5">
      <c r="A1034">
        <v>21213</v>
      </c>
      <c r="B1034">
        <v>2200</v>
      </c>
      <c r="C1034" s="455">
        <v>10.340999999999999</v>
      </c>
      <c r="D1034" s="637">
        <f t="shared" si="38"/>
        <v>21.543749999999992</v>
      </c>
      <c r="E1034" s="637">
        <f t="shared" si="39"/>
        <v>46.042071428571433</v>
      </c>
    </row>
    <row r="1035" spans="1:5">
      <c r="A1035">
        <v>21213</v>
      </c>
      <c r="B1035">
        <v>2300</v>
      </c>
      <c r="C1035" s="455">
        <v>10.048</v>
      </c>
      <c r="D1035" s="637">
        <f t="shared" si="38"/>
        <v>20.933333333333326</v>
      </c>
      <c r="E1035" s="637">
        <f t="shared" si="39"/>
        <v>44.737523809523815</v>
      </c>
    </row>
    <row r="1036" spans="1:5">
      <c r="A1036">
        <v>21213</v>
      </c>
      <c r="B1036">
        <v>2400</v>
      </c>
      <c r="C1036" s="455">
        <v>10.286</v>
      </c>
      <c r="D1036" s="637">
        <f t="shared" si="38"/>
        <v>21.42916666666666</v>
      </c>
      <c r="E1036" s="637">
        <f t="shared" si="39"/>
        <v>45.79719047619048</v>
      </c>
    </row>
    <row r="1037" spans="1:5">
      <c r="A1037">
        <v>21313</v>
      </c>
      <c r="B1037">
        <v>100</v>
      </c>
      <c r="C1037" s="455">
        <v>10.275</v>
      </c>
      <c r="D1037" s="637">
        <f t="shared" si="38"/>
        <v>21.406249999999996</v>
      </c>
      <c r="E1037" s="637">
        <f t="shared" si="39"/>
        <v>45.748214285714297</v>
      </c>
    </row>
    <row r="1038" spans="1:5">
      <c r="A1038">
        <v>21313</v>
      </c>
      <c r="B1038">
        <v>200</v>
      </c>
      <c r="C1038" s="455">
        <v>10.206</v>
      </c>
      <c r="D1038" s="637">
        <f t="shared" si="38"/>
        <v>21.262499999999992</v>
      </c>
      <c r="E1038" s="637">
        <f t="shared" si="39"/>
        <v>45.441000000000003</v>
      </c>
    </row>
    <row r="1039" spans="1:5">
      <c r="A1039">
        <v>21313</v>
      </c>
      <c r="B1039">
        <v>300</v>
      </c>
      <c r="C1039" s="455">
        <v>10.210000000000001</v>
      </c>
      <c r="D1039" s="637">
        <f t="shared" si="38"/>
        <v>21.270833333333329</v>
      </c>
      <c r="E1039" s="637">
        <f t="shared" si="39"/>
        <v>45.458809523809535</v>
      </c>
    </row>
    <row r="1040" spans="1:5">
      <c r="A1040">
        <v>21313</v>
      </c>
      <c r="B1040">
        <v>400</v>
      </c>
      <c r="C1040" s="455">
        <v>10.553000000000001</v>
      </c>
      <c r="D1040" s="637">
        <f t="shared" si="38"/>
        <v>21.985416666666666</v>
      </c>
      <c r="E1040" s="637">
        <f t="shared" si="39"/>
        <v>46.985976190476208</v>
      </c>
    </row>
    <row r="1041" spans="1:5">
      <c r="A1041">
        <v>21313</v>
      </c>
      <c r="B1041">
        <v>500</v>
      </c>
      <c r="C1041" s="455">
        <v>10.281000000000001</v>
      </c>
      <c r="D1041" s="637">
        <f t="shared" si="38"/>
        <v>21.418749999999996</v>
      </c>
      <c r="E1041" s="637">
        <f t="shared" si="39"/>
        <v>45.774928571428582</v>
      </c>
    </row>
    <row r="1042" spans="1:5">
      <c r="A1042">
        <v>21313</v>
      </c>
      <c r="B1042">
        <v>600</v>
      </c>
      <c r="C1042" s="455">
        <v>10.417</v>
      </c>
      <c r="D1042" s="637">
        <f t="shared" si="38"/>
        <v>21.702083333333327</v>
      </c>
      <c r="E1042" s="637">
        <f t="shared" si="39"/>
        <v>46.380452380952391</v>
      </c>
    </row>
    <row r="1043" spans="1:5">
      <c r="A1043">
        <v>21313</v>
      </c>
      <c r="B1043">
        <v>700</v>
      </c>
      <c r="C1043" s="455">
        <v>10.327</v>
      </c>
      <c r="D1043" s="637">
        <f t="shared" si="38"/>
        <v>21.514583333333331</v>
      </c>
      <c r="E1043" s="637">
        <f t="shared" si="39"/>
        <v>45.979738095238105</v>
      </c>
    </row>
    <row r="1044" spans="1:5">
      <c r="A1044">
        <v>21313</v>
      </c>
      <c r="B1044">
        <v>800</v>
      </c>
      <c r="C1044" s="455">
        <v>8.484</v>
      </c>
      <c r="D1044" s="637">
        <f t="shared" si="38"/>
        <v>17.674999999999997</v>
      </c>
      <c r="E1044" s="637">
        <f t="shared" si="39"/>
        <v>37.774000000000008</v>
      </c>
    </row>
    <row r="1045" spans="1:5">
      <c r="A1045">
        <v>21313</v>
      </c>
      <c r="B1045">
        <v>900</v>
      </c>
      <c r="C1045" s="455">
        <v>7.1999999999999995E-2</v>
      </c>
      <c r="D1045" s="637">
        <f t="shared" si="38"/>
        <v>0.14999999999999994</v>
      </c>
      <c r="E1045" s="637">
        <f t="shared" si="39"/>
        <v>0.32057142857142856</v>
      </c>
    </row>
    <row r="1046" spans="1:5">
      <c r="A1046">
        <v>21313</v>
      </c>
      <c r="B1046">
        <v>1000</v>
      </c>
      <c r="C1046" s="455">
        <v>0</v>
      </c>
      <c r="D1046" s="637">
        <f t="shared" si="38"/>
        <v>0</v>
      </c>
      <c r="E1046" s="637">
        <f t="shared" si="39"/>
        <v>0</v>
      </c>
    </row>
    <row r="1047" spans="1:5">
      <c r="A1047">
        <v>21313</v>
      </c>
      <c r="B1047">
        <v>1100</v>
      </c>
      <c r="C1047" s="455">
        <v>0</v>
      </c>
      <c r="D1047" s="637">
        <f t="shared" si="38"/>
        <v>0</v>
      </c>
      <c r="E1047" s="637">
        <f t="shared" si="39"/>
        <v>0</v>
      </c>
    </row>
    <row r="1048" spans="1:5">
      <c r="A1048">
        <v>21313</v>
      </c>
      <c r="B1048">
        <v>1200</v>
      </c>
      <c r="C1048" s="455">
        <v>0</v>
      </c>
      <c r="D1048" s="637">
        <f t="shared" si="38"/>
        <v>0</v>
      </c>
      <c r="E1048" s="637">
        <f t="shared" si="39"/>
        <v>0</v>
      </c>
    </row>
    <row r="1049" spans="1:5">
      <c r="A1049">
        <v>21313</v>
      </c>
      <c r="B1049">
        <v>1300</v>
      </c>
      <c r="C1049" s="455">
        <v>0</v>
      </c>
      <c r="D1049" s="637">
        <f t="shared" si="38"/>
        <v>0</v>
      </c>
      <c r="E1049" s="637">
        <f t="shared" si="39"/>
        <v>0</v>
      </c>
    </row>
    <row r="1050" spans="1:5">
      <c r="A1050">
        <v>21313</v>
      </c>
      <c r="B1050">
        <v>1400</v>
      </c>
      <c r="C1050" s="455">
        <v>0</v>
      </c>
      <c r="D1050" s="637">
        <f t="shared" si="38"/>
        <v>0</v>
      </c>
      <c r="E1050" s="637">
        <f t="shared" si="39"/>
        <v>0</v>
      </c>
    </row>
    <row r="1051" spans="1:5">
      <c r="A1051">
        <v>21313</v>
      </c>
      <c r="B1051">
        <v>1500</v>
      </c>
      <c r="C1051" s="455">
        <v>0</v>
      </c>
      <c r="D1051" s="637">
        <f t="shared" si="38"/>
        <v>0</v>
      </c>
      <c r="E1051" s="637">
        <f t="shared" si="39"/>
        <v>0</v>
      </c>
    </row>
    <row r="1052" spans="1:5">
      <c r="A1052">
        <v>21313</v>
      </c>
      <c r="B1052">
        <v>1600</v>
      </c>
      <c r="C1052" s="455">
        <v>0</v>
      </c>
      <c r="D1052" s="637">
        <f t="shared" si="38"/>
        <v>0</v>
      </c>
      <c r="E1052" s="637">
        <f t="shared" si="39"/>
        <v>0</v>
      </c>
    </row>
    <row r="1053" spans="1:5">
      <c r="A1053">
        <v>21313</v>
      </c>
      <c r="B1053">
        <v>1700</v>
      </c>
      <c r="C1053" s="455">
        <v>0</v>
      </c>
      <c r="D1053" s="637">
        <f t="shared" si="38"/>
        <v>0</v>
      </c>
      <c r="E1053" s="637">
        <f t="shared" si="39"/>
        <v>0</v>
      </c>
    </row>
    <row r="1054" spans="1:5">
      <c r="A1054">
        <v>21313</v>
      </c>
      <c r="B1054">
        <v>1800</v>
      </c>
      <c r="C1054" s="455">
        <v>4.63</v>
      </c>
      <c r="D1054" s="637">
        <f t="shared" si="38"/>
        <v>9.6458333333333321</v>
      </c>
      <c r="E1054" s="637">
        <f t="shared" si="39"/>
        <v>20.614523809523813</v>
      </c>
    </row>
    <row r="1055" spans="1:5">
      <c r="A1055">
        <v>21313</v>
      </c>
      <c r="B1055">
        <v>1900</v>
      </c>
      <c r="C1055" s="455">
        <v>10.84</v>
      </c>
      <c r="D1055" s="637">
        <f t="shared" si="38"/>
        <v>22.583333333333329</v>
      </c>
      <c r="E1055" s="637">
        <f t="shared" si="39"/>
        <v>48.263809523809535</v>
      </c>
    </row>
    <row r="1056" spans="1:5">
      <c r="A1056">
        <v>21313</v>
      </c>
      <c r="B1056">
        <v>2000</v>
      </c>
      <c r="C1056" s="455">
        <v>10.131</v>
      </c>
      <c r="D1056" s="637">
        <f t="shared" si="38"/>
        <v>21.106249999999992</v>
      </c>
      <c r="E1056" s="637">
        <f t="shared" si="39"/>
        <v>45.107071428571437</v>
      </c>
    </row>
    <row r="1057" spans="1:5">
      <c r="A1057">
        <v>21313</v>
      </c>
      <c r="B1057">
        <v>2100</v>
      </c>
      <c r="C1057" s="455">
        <v>10.194000000000001</v>
      </c>
      <c r="D1057" s="637">
        <f t="shared" si="38"/>
        <v>21.237499999999997</v>
      </c>
      <c r="E1057" s="637">
        <f t="shared" si="39"/>
        <v>45.387571428571441</v>
      </c>
    </row>
    <row r="1058" spans="1:5">
      <c r="A1058">
        <v>21313</v>
      </c>
      <c r="B1058">
        <v>2200</v>
      </c>
      <c r="C1058" s="455">
        <v>10.119999999999999</v>
      </c>
      <c r="D1058" s="637">
        <f t="shared" si="38"/>
        <v>21.083333333333329</v>
      </c>
      <c r="E1058" s="637">
        <f t="shared" si="39"/>
        <v>45.058095238095241</v>
      </c>
    </row>
    <row r="1059" spans="1:5">
      <c r="A1059">
        <v>21313</v>
      </c>
      <c r="B1059">
        <v>2300</v>
      </c>
      <c r="C1059" s="455">
        <v>10.159000000000001</v>
      </c>
      <c r="D1059" s="637">
        <f t="shared" si="38"/>
        <v>21.164583333333329</v>
      </c>
      <c r="E1059" s="637">
        <f t="shared" si="39"/>
        <v>45.231738095238107</v>
      </c>
    </row>
    <row r="1060" spans="1:5">
      <c r="A1060">
        <v>21313</v>
      </c>
      <c r="B1060">
        <v>2400</v>
      </c>
      <c r="C1060" s="455">
        <v>10.224</v>
      </c>
      <c r="D1060" s="637">
        <f t="shared" si="38"/>
        <v>21.299999999999997</v>
      </c>
      <c r="E1060" s="637">
        <f t="shared" si="39"/>
        <v>45.52114285714287</v>
      </c>
    </row>
    <row r="1061" spans="1:5">
      <c r="A1061">
        <v>21413</v>
      </c>
      <c r="B1061">
        <v>100</v>
      </c>
      <c r="C1061" s="455">
        <v>10.28</v>
      </c>
      <c r="D1061" s="637">
        <f t="shared" si="38"/>
        <v>21.416666666666661</v>
      </c>
      <c r="E1061" s="637">
        <f t="shared" si="39"/>
        <v>45.770476190476195</v>
      </c>
    </row>
    <row r="1062" spans="1:5">
      <c r="A1062">
        <v>21413</v>
      </c>
      <c r="B1062">
        <v>200</v>
      </c>
      <c r="C1062" s="455">
        <v>10.377000000000001</v>
      </c>
      <c r="D1062" s="637">
        <f t="shared" si="38"/>
        <v>21.618749999999995</v>
      </c>
      <c r="E1062" s="637">
        <f t="shared" si="39"/>
        <v>46.202357142857153</v>
      </c>
    </row>
    <row r="1063" spans="1:5">
      <c r="A1063">
        <v>21413</v>
      </c>
      <c r="B1063">
        <v>300</v>
      </c>
      <c r="C1063" s="455">
        <v>10.273</v>
      </c>
      <c r="D1063" s="637">
        <f t="shared" si="38"/>
        <v>21.402083333333326</v>
      </c>
      <c r="E1063" s="637">
        <f t="shared" si="39"/>
        <v>45.739309523809524</v>
      </c>
    </row>
    <row r="1064" spans="1:5">
      <c r="A1064">
        <v>21413</v>
      </c>
      <c r="B1064">
        <v>400</v>
      </c>
      <c r="C1064" s="455">
        <v>10.204000000000001</v>
      </c>
      <c r="D1064" s="637">
        <f t="shared" si="38"/>
        <v>21.258333333333329</v>
      </c>
      <c r="E1064" s="637">
        <f t="shared" si="39"/>
        <v>45.432095238095251</v>
      </c>
    </row>
    <row r="1065" spans="1:5">
      <c r="A1065">
        <v>21413</v>
      </c>
      <c r="B1065">
        <v>500</v>
      </c>
      <c r="C1065" s="455">
        <v>10.417999999999999</v>
      </c>
      <c r="D1065" s="637">
        <f t="shared" si="38"/>
        <v>21.704166666666659</v>
      </c>
      <c r="E1065" s="637">
        <f t="shared" si="39"/>
        <v>46.384904761904764</v>
      </c>
    </row>
    <row r="1066" spans="1:5">
      <c r="A1066">
        <v>21413</v>
      </c>
      <c r="B1066">
        <v>600</v>
      </c>
      <c r="C1066" s="455">
        <v>10.048</v>
      </c>
      <c r="D1066" s="637">
        <f t="shared" si="38"/>
        <v>20.933333333333326</v>
      </c>
      <c r="E1066" s="637">
        <f t="shared" si="39"/>
        <v>44.737523809523815</v>
      </c>
    </row>
    <row r="1067" spans="1:5">
      <c r="A1067">
        <v>21413</v>
      </c>
      <c r="B1067">
        <v>700</v>
      </c>
      <c r="C1067" s="455">
        <v>10.709</v>
      </c>
      <c r="D1067" s="637">
        <f t="shared" si="38"/>
        <v>22.310416666666661</v>
      </c>
      <c r="E1067" s="637">
        <f t="shared" si="39"/>
        <v>47.680547619047623</v>
      </c>
    </row>
    <row r="1068" spans="1:5">
      <c r="A1068">
        <v>21413</v>
      </c>
      <c r="B1068">
        <v>800</v>
      </c>
      <c r="C1068" s="455">
        <v>7.8890000000000002</v>
      </c>
      <c r="D1068" s="637">
        <f t="shared" si="38"/>
        <v>16.435416666666665</v>
      </c>
      <c r="E1068" s="637">
        <f t="shared" si="39"/>
        <v>35.124833333333342</v>
      </c>
    </row>
    <row r="1069" spans="1:5">
      <c r="A1069">
        <v>21413</v>
      </c>
      <c r="B1069">
        <v>900</v>
      </c>
      <c r="C1069" s="455">
        <v>7.1999999999999995E-2</v>
      </c>
      <c r="D1069" s="637">
        <f t="shared" si="38"/>
        <v>0.14999999999999994</v>
      </c>
      <c r="E1069" s="637">
        <f t="shared" si="39"/>
        <v>0.32057142857142856</v>
      </c>
    </row>
    <row r="1070" spans="1:5">
      <c r="A1070">
        <v>21413</v>
      </c>
      <c r="B1070">
        <v>1000</v>
      </c>
      <c r="C1070" s="455">
        <v>0</v>
      </c>
      <c r="D1070" s="637">
        <f t="shared" ref="D1070:D1133" si="40">(C1070/(MAX($C$749:$C$1420)))*$W$6</f>
        <v>0</v>
      </c>
      <c r="E1070" s="637">
        <f t="shared" ref="E1070:E1133" si="41">(C1070/(MAX($C$749:$C$1420)))*$P$6</f>
        <v>0</v>
      </c>
    </row>
    <row r="1071" spans="1:5">
      <c r="A1071">
        <v>21413</v>
      </c>
      <c r="B1071">
        <v>1100</v>
      </c>
      <c r="C1071" s="455">
        <v>0</v>
      </c>
      <c r="D1071" s="637">
        <f t="shared" si="40"/>
        <v>0</v>
      </c>
      <c r="E1071" s="637">
        <f t="shared" si="41"/>
        <v>0</v>
      </c>
    </row>
    <row r="1072" spans="1:5">
      <c r="A1072">
        <v>21413</v>
      </c>
      <c r="B1072">
        <v>1200</v>
      </c>
      <c r="C1072" s="455">
        <v>0</v>
      </c>
      <c r="D1072" s="637">
        <f t="shared" si="40"/>
        <v>0</v>
      </c>
      <c r="E1072" s="637">
        <f t="shared" si="41"/>
        <v>0</v>
      </c>
    </row>
    <row r="1073" spans="1:5">
      <c r="A1073">
        <v>21413</v>
      </c>
      <c r="B1073">
        <v>1300</v>
      </c>
      <c r="C1073" s="455">
        <v>0</v>
      </c>
      <c r="D1073" s="637">
        <f t="shared" si="40"/>
        <v>0</v>
      </c>
      <c r="E1073" s="637">
        <f t="shared" si="41"/>
        <v>0</v>
      </c>
    </row>
    <row r="1074" spans="1:5">
      <c r="A1074">
        <v>21413</v>
      </c>
      <c r="B1074">
        <v>1400</v>
      </c>
      <c r="C1074" s="455">
        <v>0</v>
      </c>
      <c r="D1074" s="637">
        <f t="shared" si="40"/>
        <v>0</v>
      </c>
      <c r="E1074" s="637">
        <f t="shared" si="41"/>
        <v>0</v>
      </c>
    </row>
    <row r="1075" spans="1:5">
      <c r="A1075">
        <v>21413</v>
      </c>
      <c r="B1075">
        <v>1500</v>
      </c>
      <c r="C1075" s="455">
        <v>0</v>
      </c>
      <c r="D1075" s="637">
        <f t="shared" si="40"/>
        <v>0</v>
      </c>
      <c r="E1075" s="637">
        <f t="shared" si="41"/>
        <v>0</v>
      </c>
    </row>
    <row r="1076" spans="1:5">
      <c r="A1076">
        <v>21413</v>
      </c>
      <c r="B1076">
        <v>1600</v>
      </c>
      <c r="C1076" s="455">
        <v>0</v>
      </c>
      <c r="D1076" s="637">
        <f t="shared" si="40"/>
        <v>0</v>
      </c>
      <c r="E1076" s="637">
        <f t="shared" si="41"/>
        <v>0</v>
      </c>
    </row>
    <row r="1077" spans="1:5">
      <c r="A1077">
        <v>21413</v>
      </c>
      <c r="B1077">
        <v>1700</v>
      </c>
      <c r="C1077" s="455">
        <v>0</v>
      </c>
      <c r="D1077" s="637">
        <f t="shared" si="40"/>
        <v>0</v>
      </c>
      <c r="E1077" s="637">
        <f t="shared" si="41"/>
        <v>0</v>
      </c>
    </row>
    <row r="1078" spans="1:5">
      <c r="A1078">
        <v>21413</v>
      </c>
      <c r="B1078">
        <v>1800</v>
      </c>
      <c r="C1078" s="455">
        <v>8.2149999999999999</v>
      </c>
      <c r="D1078" s="637">
        <f t="shared" si="40"/>
        <v>17.114583333333329</v>
      </c>
      <c r="E1078" s="637">
        <f t="shared" si="41"/>
        <v>36.576309523809535</v>
      </c>
    </row>
    <row r="1079" spans="1:5">
      <c r="A1079">
        <v>21413</v>
      </c>
      <c r="B1079">
        <v>1900</v>
      </c>
      <c r="C1079" s="455">
        <v>10.052</v>
      </c>
      <c r="D1079" s="637">
        <f t="shared" si="40"/>
        <v>20.941666666666659</v>
      </c>
      <c r="E1079" s="637">
        <f t="shared" si="41"/>
        <v>44.75533333333334</v>
      </c>
    </row>
    <row r="1080" spans="1:5">
      <c r="A1080">
        <v>21413</v>
      </c>
      <c r="B1080">
        <v>2000</v>
      </c>
      <c r="C1080" s="455">
        <v>10.015000000000001</v>
      </c>
      <c r="D1080" s="637">
        <f t="shared" si="40"/>
        <v>20.864583333333329</v>
      </c>
      <c r="E1080" s="637">
        <f t="shared" si="41"/>
        <v>44.590595238095247</v>
      </c>
    </row>
    <row r="1081" spans="1:5">
      <c r="A1081">
        <v>21413</v>
      </c>
      <c r="B1081">
        <v>2100</v>
      </c>
      <c r="C1081" s="455">
        <v>10.122999999999999</v>
      </c>
      <c r="D1081" s="637">
        <f t="shared" si="40"/>
        <v>21.089583333333326</v>
      </c>
      <c r="E1081" s="637">
        <f t="shared" si="41"/>
        <v>45.071452380952387</v>
      </c>
    </row>
    <row r="1082" spans="1:5">
      <c r="A1082">
        <v>21413</v>
      </c>
      <c r="B1082">
        <v>2200</v>
      </c>
      <c r="C1082" s="455">
        <v>9.8729999999999993</v>
      </c>
      <c r="D1082" s="637">
        <f t="shared" si="40"/>
        <v>20.568749999999994</v>
      </c>
      <c r="E1082" s="637">
        <f t="shared" si="41"/>
        <v>43.958357142857153</v>
      </c>
    </row>
    <row r="1083" spans="1:5">
      <c r="A1083">
        <v>21413</v>
      </c>
      <c r="B1083">
        <v>2300</v>
      </c>
      <c r="C1083" s="455">
        <v>10.039</v>
      </c>
      <c r="D1083" s="637">
        <f t="shared" si="40"/>
        <v>20.914583333333329</v>
      </c>
      <c r="E1083" s="637">
        <f t="shared" si="41"/>
        <v>44.697452380952392</v>
      </c>
    </row>
    <row r="1084" spans="1:5">
      <c r="A1084">
        <v>21413</v>
      </c>
      <c r="B1084">
        <v>2400</v>
      </c>
      <c r="C1084" s="455">
        <v>9.9570000000000007</v>
      </c>
      <c r="D1084" s="637">
        <f t="shared" si="40"/>
        <v>20.743749999999995</v>
      </c>
      <c r="E1084" s="637">
        <f t="shared" si="41"/>
        <v>44.332357142857148</v>
      </c>
    </row>
    <row r="1085" spans="1:5">
      <c r="A1085">
        <v>21513</v>
      </c>
      <c r="B1085">
        <v>100</v>
      </c>
      <c r="C1085" s="455">
        <v>10.27</v>
      </c>
      <c r="D1085" s="637">
        <f t="shared" si="40"/>
        <v>21.395833333333325</v>
      </c>
      <c r="E1085" s="637">
        <f t="shared" si="41"/>
        <v>45.725952380952386</v>
      </c>
    </row>
    <row r="1086" spans="1:5">
      <c r="A1086">
        <v>21513</v>
      </c>
      <c r="B1086">
        <v>200</v>
      </c>
      <c r="C1086" s="455">
        <v>10.099</v>
      </c>
      <c r="D1086" s="637">
        <f t="shared" si="40"/>
        <v>21.039583333333326</v>
      </c>
      <c r="E1086" s="637">
        <f t="shared" si="41"/>
        <v>44.964595238095242</v>
      </c>
    </row>
    <row r="1087" spans="1:5">
      <c r="A1087">
        <v>21513</v>
      </c>
      <c r="B1087">
        <v>300</v>
      </c>
      <c r="C1087" s="455">
        <v>10.582000000000001</v>
      </c>
      <c r="D1087" s="637">
        <f t="shared" si="40"/>
        <v>22.045833333333331</v>
      </c>
      <c r="E1087" s="637">
        <f t="shared" si="41"/>
        <v>47.115095238095257</v>
      </c>
    </row>
    <row r="1088" spans="1:5">
      <c r="A1088">
        <v>21513</v>
      </c>
      <c r="B1088">
        <v>400</v>
      </c>
      <c r="C1088" s="455">
        <v>10.048</v>
      </c>
      <c r="D1088" s="637">
        <f t="shared" si="40"/>
        <v>20.933333333333326</v>
      </c>
      <c r="E1088" s="637">
        <f t="shared" si="41"/>
        <v>44.737523809523815</v>
      </c>
    </row>
    <row r="1089" spans="1:5">
      <c r="A1089">
        <v>21513</v>
      </c>
      <c r="B1089">
        <v>500</v>
      </c>
      <c r="C1089" s="455">
        <v>10.477</v>
      </c>
      <c r="D1089" s="637">
        <f t="shared" si="40"/>
        <v>21.827083333333327</v>
      </c>
      <c r="E1089" s="637">
        <f t="shared" si="41"/>
        <v>46.647595238095249</v>
      </c>
    </row>
    <row r="1090" spans="1:5">
      <c r="A1090">
        <v>21513</v>
      </c>
      <c r="B1090">
        <v>600</v>
      </c>
      <c r="C1090" s="455">
        <v>10.398</v>
      </c>
      <c r="D1090" s="637">
        <f t="shared" si="40"/>
        <v>21.662499999999994</v>
      </c>
      <c r="E1090" s="637">
        <f t="shared" si="41"/>
        <v>46.295857142857152</v>
      </c>
    </row>
    <row r="1091" spans="1:5">
      <c r="A1091">
        <v>21513</v>
      </c>
      <c r="B1091">
        <v>700</v>
      </c>
      <c r="C1091" s="455">
        <v>10.106999999999999</v>
      </c>
      <c r="D1091" s="637">
        <f t="shared" si="40"/>
        <v>21.056249999999995</v>
      </c>
      <c r="E1091" s="637">
        <f t="shared" si="41"/>
        <v>45.000214285714293</v>
      </c>
    </row>
    <row r="1092" spans="1:5">
      <c r="A1092">
        <v>21513</v>
      </c>
      <c r="B1092">
        <v>800</v>
      </c>
      <c r="C1092" s="455">
        <v>11.238</v>
      </c>
      <c r="D1092" s="637">
        <f t="shared" si="40"/>
        <v>23.412499999999994</v>
      </c>
      <c r="E1092" s="637">
        <f t="shared" si="41"/>
        <v>50.035857142857147</v>
      </c>
    </row>
    <row r="1093" spans="1:5">
      <c r="A1093">
        <v>21513</v>
      </c>
      <c r="B1093">
        <v>900</v>
      </c>
      <c r="C1093" s="455">
        <v>0.81100000000000005</v>
      </c>
      <c r="D1093" s="637">
        <f t="shared" si="40"/>
        <v>1.689583333333333</v>
      </c>
      <c r="E1093" s="637">
        <f t="shared" si="41"/>
        <v>3.6108809523809535</v>
      </c>
    </row>
    <row r="1094" spans="1:5">
      <c r="A1094">
        <v>21513</v>
      </c>
      <c r="B1094">
        <v>1000</v>
      </c>
      <c r="C1094" s="455">
        <v>0</v>
      </c>
      <c r="D1094" s="637">
        <f t="shared" si="40"/>
        <v>0</v>
      </c>
      <c r="E1094" s="637">
        <f t="shared" si="41"/>
        <v>0</v>
      </c>
    </row>
    <row r="1095" spans="1:5">
      <c r="A1095">
        <v>21513</v>
      </c>
      <c r="B1095">
        <v>1100</v>
      </c>
      <c r="C1095" s="455">
        <v>0</v>
      </c>
      <c r="D1095" s="637">
        <f t="shared" si="40"/>
        <v>0</v>
      </c>
      <c r="E1095" s="637">
        <f t="shared" si="41"/>
        <v>0</v>
      </c>
    </row>
    <row r="1096" spans="1:5">
      <c r="A1096">
        <v>21513</v>
      </c>
      <c r="B1096">
        <v>1200</v>
      </c>
      <c r="C1096" s="455">
        <v>0</v>
      </c>
      <c r="D1096" s="637">
        <f t="shared" si="40"/>
        <v>0</v>
      </c>
      <c r="E1096" s="637">
        <f t="shared" si="41"/>
        <v>0</v>
      </c>
    </row>
    <row r="1097" spans="1:5">
      <c r="A1097">
        <v>21513</v>
      </c>
      <c r="B1097">
        <v>1300</v>
      </c>
      <c r="C1097" s="455">
        <v>0</v>
      </c>
      <c r="D1097" s="637">
        <f t="shared" si="40"/>
        <v>0</v>
      </c>
      <c r="E1097" s="637">
        <f t="shared" si="41"/>
        <v>0</v>
      </c>
    </row>
    <row r="1098" spans="1:5">
      <c r="A1098">
        <v>21513</v>
      </c>
      <c r="B1098">
        <v>1400</v>
      </c>
      <c r="C1098" s="455">
        <v>0</v>
      </c>
      <c r="D1098" s="637">
        <f t="shared" si="40"/>
        <v>0</v>
      </c>
      <c r="E1098" s="637">
        <f t="shared" si="41"/>
        <v>0</v>
      </c>
    </row>
    <row r="1099" spans="1:5">
      <c r="A1099">
        <v>21513</v>
      </c>
      <c r="B1099">
        <v>1500</v>
      </c>
      <c r="C1099" s="455">
        <v>0</v>
      </c>
      <c r="D1099" s="637">
        <f t="shared" si="40"/>
        <v>0</v>
      </c>
      <c r="E1099" s="637">
        <f t="shared" si="41"/>
        <v>0</v>
      </c>
    </row>
    <row r="1100" spans="1:5">
      <c r="A1100">
        <v>21513</v>
      </c>
      <c r="B1100">
        <v>1600</v>
      </c>
      <c r="C1100" s="455">
        <v>0</v>
      </c>
      <c r="D1100" s="637">
        <f t="shared" si="40"/>
        <v>0</v>
      </c>
      <c r="E1100" s="637">
        <f t="shared" si="41"/>
        <v>0</v>
      </c>
    </row>
    <row r="1101" spans="1:5">
      <c r="A1101">
        <v>21513</v>
      </c>
      <c r="B1101">
        <v>1700</v>
      </c>
      <c r="C1101" s="455">
        <v>0</v>
      </c>
      <c r="D1101" s="637">
        <f t="shared" si="40"/>
        <v>0</v>
      </c>
      <c r="E1101" s="637">
        <f t="shared" si="41"/>
        <v>0</v>
      </c>
    </row>
    <row r="1102" spans="1:5">
      <c r="A1102">
        <v>21513</v>
      </c>
      <c r="B1102">
        <v>1800</v>
      </c>
      <c r="C1102" s="455">
        <v>5.5750000000000002</v>
      </c>
      <c r="D1102" s="637">
        <f t="shared" si="40"/>
        <v>11.61458333333333</v>
      </c>
      <c r="E1102" s="637">
        <f t="shared" si="41"/>
        <v>24.822023809523813</v>
      </c>
    </row>
    <row r="1103" spans="1:5">
      <c r="A1103">
        <v>21513</v>
      </c>
      <c r="B1103">
        <v>1900</v>
      </c>
      <c r="C1103" s="455">
        <v>11.321</v>
      </c>
      <c r="D1103" s="637">
        <f t="shared" si="40"/>
        <v>23.58541666666666</v>
      </c>
      <c r="E1103" s="637">
        <f t="shared" si="41"/>
        <v>50.405404761904769</v>
      </c>
    </row>
    <row r="1104" spans="1:5">
      <c r="A1104">
        <v>21513</v>
      </c>
      <c r="B1104">
        <v>2000</v>
      </c>
      <c r="C1104" s="455">
        <v>10.069000000000001</v>
      </c>
      <c r="D1104" s="637">
        <f t="shared" si="40"/>
        <v>20.977083333333333</v>
      </c>
      <c r="E1104" s="637">
        <f t="shared" si="41"/>
        <v>44.831023809523828</v>
      </c>
    </row>
    <row r="1105" spans="1:5">
      <c r="A1105">
        <v>21513</v>
      </c>
      <c r="B1105">
        <v>2100</v>
      </c>
      <c r="C1105" s="455">
        <v>10.413</v>
      </c>
      <c r="D1105" s="637">
        <f t="shared" si="40"/>
        <v>21.693749999999994</v>
      </c>
      <c r="E1105" s="637">
        <f t="shared" si="41"/>
        <v>46.362642857142866</v>
      </c>
    </row>
    <row r="1106" spans="1:5">
      <c r="A1106">
        <v>21513</v>
      </c>
      <c r="B1106">
        <v>2200</v>
      </c>
      <c r="C1106" s="455">
        <v>10.662000000000001</v>
      </c>
      <c r="D1106" s="637">
        <f t="shared" si="40"/>
        <v>22.212499999999999</v>
      </c>
      <c r="E1106" s="637">
        <f t="shared" si="41"/>
        <v>47.471285714285727</v>
      </c>
    </row>
    <row r="1107" spans="1:5">
      <c r="A1107">
        <v>21513</v>
      </c>
      <c r="B1107">
        <v>2300</v>
      </c>
      <c r="C1107" s="455">
        <v>10.885</v>
      </c>
      <c r="D1107" s="637">
        <f t="shared" si="40"/>
        <v>22.677083333333329</v>
      </c>
      <c r="E1107" s="637">
        <f t="shared" si="41"/>
        <v>48.464166666666678</v>
      </c>
    </row>
    <row r="1108" spans="1:5">
      <c r="A1108">
        <v>21513</v>
      </c>
      <c r="B1108">
        <v>2400</v>
      </c>
      <c r="C1108" s="455">
        <v>10.875</v>
      </c>
      <c r="D1108" s="637">
        <f t="shared" si="40"/>
        <v>22.656249999999996</v>
      </c>
      <c r="E1108" s="637">
        <f t="shared" si="41"/>
        <v>48.419642857142868</v>
      </c>
    </row>
    <row r="1109" spans="1:5">
      <c r="A1109">
        <v>21613</v>
      </c>
      <c r="B1109">
        <v>100</v>
      </c>
      <c r="C1109" s="455">
        <v>11.215</v>
      </c>
      <c r="D1109" s="637">
        <f t="shared" si="40"/>
        <v>23.364583333333325</v>
      </c>
      <c r="E1109" s="637">
        <f t="shared" si="41"/>
        <v>49.933452380952389</v>
      </c>
    </row>
    <row r="1110" spans="1:5">
      <c r="A1110">
        <v>21613</v>
      </c>
      <c r="B1110">
        <v>200</v>
      </c>
      <c r="C1110" s="455">
        <v>11.574</v>
      </c>
      <c r="D1110" s="637">
        <f t="shared" si="40"/>
        <v>24.112499999999994</v>
      </c>
      <c r="E1110" s="637">
        <f t="shared" si="41"/>
        <v>51.531857142857156</v>
      </c>
    </row>
    <row r="1111" spans="1:5">
      <c r="A1111">
        <v>21613</v>
      </c>
      <c r="B1111">
        <v>300</v>
      </c>
      <c r="C1111" s="455">
        <v>11.882999999999999</v>
      </c>
      <c r="D1111" s="637">
        <f t="shared" si="40"/>
        <v>24.756249999999991</v>
      </c>
      <c r="E1111" s="637">
        <f t="shared" si="41"/>
        <v>52.907642857142861</v>
      </c>
    </row>
    <row r="1112" spans="1:5">
      <c r="A1112">
        <v>21613</v>
      </c>
      <c r="B1112">
        <v>400</v>
      </c>
      <c r="C1112" s="455">
        <v>11.362</v>
      </c>
      <c r="D1112" s="637">
        <f t="shared" si="40"/>
        <v>23.670833333333331</v>
      </c>
      <c r="E1112" s="637">
        <f t="shared" si="41"/>
        <v>50.587952380952395</v>
      </c>
    </row>
    <row r="1113" spans="1:5">
      <c r="A1113">
        <v>21613</v>
      </c>
      <c r="B1113">
        <v>500</v>
      </c>
      <c r="C1113" s="455">
        <v>11.613</v>
      </c>
      <c r="D1113" s="637">
        <f t="shared" si="40"/>
        <v>24.193749999999994</v>
      </c>
      <c r="E1113" s="637">
        <f t="shared" si="41"/>
        <v>51.705500000000008</v>
      </c>
    </row>
    <row r="1114" spans="1:5">
      <c r="A1114">
        <v>21613</v>
      </c>
      <c r="B1114">
        <v>600</v>
      </c>
      <c r="C1114" s="455">
        <v>10.851000000000001</v>
      </c>
      <c r="D1114" s="637">
        <f t="shared" si="40"/>
        <v>22.606249999999996</v>
      </c>
      <c r="E1114" s="637">
        <f t="shared" si="41"/>
        <v>48.312785714285724</v>
      </c>
    </row>
    <row r="1115" spans="1:5">
      <c r="A1115">
        <v>21613</v>
      </c>
      <c r="B1115">
        <v>700</v>
      </c>
      <c r="C1115" s="455">
        <v>11.842000000000001</v>
      </c>
      <c r="D1115" s="637">
        <f t="shared" si="40"/>
        <v>24.670833333333331</v>
      </c>
      <c r="E1115" s="637">
        <f t="shared" si="41"/>
        <v>52.72509523809525</v>
      </c>
    </row>
    <row r="1116" spans="1:5">
      <c r="A1116">
        <v>21613</v>
      </c>
      <c r="B1116">
        <v>800</v>
      </c>
      <c r="C1116" s="455">
        <v>8.6069999999999993</v>
      </c>
      <c r="D1116" s="637">
        <f t="shared" si="40"/>
        <v>17.931249999999995</v>
      </c>
      <c r="E1116" s="637">
        <f t="shared" si="41"/>
        <v>38.321642857142862</v>
      </c>
    </row>
    <row r="1117" spans="1:5">
      <c r="A1117">
        <v>21613</v>
      </c>
      <c r="B1117">
        <v>900</v>
      </c>
      <c r="C1117" s="455">
        <v>0</v>
      </c>
      <c r="D1117" s="637">
        <f t="shared" si="40"/>
        <v>0</v>
      </c>
      <c r="E1117" s="637">
        <f t="shared" si="41"/>
        <v>0</v>
      </c>
    </row>
    <row r="1118" spans="1:5">
      <c r="A1118">
        <v>21613</v>
      </c>
      <c r="B1118">
        <v>1000</v>
      </c>
      <c r="C1118" s="455">
        <v>0</v>
      </c>
      <c r="D1118" s="637">
        <f t="shared" si="40"/>
        <v>0</v>
      </c>
      <c r="E1118" s="637">
        <f t="shared" si="41"/>
        <v>0</v>
      </c>
    </row>
    <row r="1119" spans="1:5">
      <c r="A1119">
        <v>21613</v>
      </c>
      <c r="B1119">
        <v>1100</v>
      </c>
      <c r="C1119" s="455">
        <v>0</v>
      </c>
      <c r="D1119" s="637">
        <f t="shared" si="40"/>
        <v>0</v>
      </c>
      <c r="E1119" s="637">
        <f t="shared" si="41"/>
        <v>0</v>
      </c>
    </row>
    <row r="1120" spans="1:5">
      <c r="A1120">
        <v>21613</v>
      </c>
      <c r="B1120">
        <v>1200</v>
      </c>
      <c r="C1120" s="455">
        <v>0</v>
      </c>
      <c r="D1120" s="637">
        <f t="shared" si="40"/>
        <v>0</v>
      </c>
      <c r="E1120" s="637">
        <f t="shared" si="41"/>
        <v>0</v>
      </c>
    </row>
    <row r="1121" spans="1:5">
      <c r="A1121">
        <v>21613</v>
      </c>
      <c r="B1121">
        <v>1300</v>
      </c>
      <c r="C1121" s="455">
        <v>0</v>
      </c>
      <c r="D1121" s="637">
        <f t="shared" si="40"/>
        <v>0</v>
      </c>
      <c r="E1121" s="637">
        <f t="shared" si="41"/>
        <v>0</v>
      </c>
    </row>
    <row r="1122" spans="1:5">
      <c r="A1122">
        <v>21613</v>
      </c>
      <c r="B1122">
        <v>1400</v>
      </c>
      <c r="C1122" s="455">
        <v>0</v>
      </c>
      <c r="D1122" s="637">
        <f t="shared" si="40"/>
        <v>0</v>
      </c>
      <c r="E1122" s="637">
        <f t="shared" si="41"/>
        <v>0</v>
      </c>
    </row>
    <row r="1123" spans="1:5">
      <c r="A1123">
        <v>21613</v>
      </c>
      <c r="B1123">
        <v>1500</v>
      </c>
      <c r="C1123" s="455">
        <v>0</v>
      </c>
      <c r="D1123" s="637">
        <f t="shared" si="40"/>
        <v>0</v>
      </c>
      <c r="E1123" s="637">
        <f t="shared" si="41"/>
        <v>0</v>
      </c>
    </row>
    <row r="1124" spans="1:5">
      <c r="A1124">
        <v>21613</v>
      </c>
      <c r="B1124">
        <v>1600</v>
      </c>
      <c r="C1124" s="455">
        <v>1.3169999999999999</v>
      </c>
      <c r="D1124" s="637">
        <f t="shared" si="40"/>
        <v>2.7437499999999995</v>
      </c>
      <c r="E1124" s="637">
        <f t="shared" si="41"/>
        <v>5.863785714285715</v>
      </c>
    </row>
    <row r="1125" spans="1:5">
      <c r="A1125">
        <v>21613</v>
      </c>
      <c r="B1125">
        <v>1700</v>
      </c>
      <c r="C1125" s="455">
        <v>9.4809999999999999</v>
      </c>
      <c r="D1125" s="637">
        <f t="shared" si="40"/>
        <v>19.752083333333328</v>
      </c>
      <c r="E1125" s="637">
        <f t="shared" si="41"/>
        <v>42.213023809523818</v>
      </c>
    </row>
    <row r="1126" spans="1:5">
      <c r="A1126">
        <v>21613</v>
      </c>
      <c r="B1126">
        <v>1800</v>
      </c>
      <c r="C1126" s="455">
        <v>13.749000000000001</v>
      </c>
      <c r="D1126" s="637">
        <f t="shared" si="40"/>
        <v>28.643749999999994</v>
      </c>
      <c r="E1126" s="637">
        <f t="shared" si="41"/>
        <v>61.21578571428573</v>
      </c>
    </row>
    <row r="1127" spans="1:5">
      <c r="A1127">
        <v>21613</v>
      </c>
      <c r="B1127">
        <v>1900</v>
      </c>
      <c r="C1127" s="455">
        <v>10.419</v>
      </c>
      <c r="D1127" s="637">
        <f t="shared" si="40"/>
        <v>21.706249999999994</v>
      </c>
      <c r="E1127" s="637">
        <f t="shared" si="41"/>
        <v>46.389357142857151</v>
      </c>
    </row>
    <row r="1128" spans="1:5">
      <c r="A1128">
        <v>21613</v>
      </c>
      <c r="B1128">
        <v>2000</v>
      </c>
      <c r="C1128" s="455">
        <v>10.368</v>
      </c>
      <c r="D1128" s="637">
        <f t="shared" si="40"/>
        <v>21.599999999999994</v>
      </c>
      <c r="E1128" s="637">
        <f t="shared" si="41"/>
        <v>46.162285714285723</v>
      </c>
    </row>
    <row r="1129" spans="1:5">
      <c r="A1129">
        <v>21613</v>
      </c>
      <c r="B1129">
        <v>2100</v>
      </c>
      <c r="C1129" s="455">
        <v>10.66</v>
      </c>
      <c r="D1129" s="637">
        <f t="shared" si="40"/>
        <v>22.208333333333329</v>
      </c>
      <c r="E1129" s="637">
        <f t="shared" si="41"/>
        <v>47.462380952380961</v>
      </c>
    </row>
    <row r="1130" spans="1:5">
      <c r="A1130">
        <v>21613</v>
      </c>
      <c r="B1130">
        <v>2200</v>
      </c>
      <c r="C1130" s="455">
        <v>11.26</v>
      </c>
      <c r="D1130" s="637">
        <f t="shared" si="40"/>
        <v>23.458333333333325</v>
      </c>
      <c r="E1130" s="637">
        <f t="shared" si="41"/>
        <v>50.133809523809532</v>
      </c>
    </row>
    <row r="1131" spans="1:5">
      <c r="A1131">
        <v>21613</v>
      </c>
      <c r="B1131">
        <v>2300</v>
      </c>
      <c r="C1131" s="455">
        <v>11.103</v>
      </c>
      <c r="D1131" s="637">
        <f t="shared" si="40"/>
        <v>23.131249999999994</v>
      </c>
      <c r="E1131" s="637">
        <f t="shared" si="41"/>
        <v>49.434785714285724</v>
      </c>
    </row>
    <row r="1132" spans="1:5">
      <c r="A1132">
        <v>21613</v>
      </c>
      <c r="B1132">
        <v>2400</v>
      </c>
      <c r="C1132" s="455">
        <v>11.987</v>
      </c>
      <c r="D1132" s="637">
        <f t="shared" si="40"/>
        <v>24.972916666666663</v>
      </c>
      <c r="E1132" s="637">
        <f t="shared" si="41"/>
        <v>53.370690476190489</v>
      </c>
    </row>
    <row r="1133" spans="1:5">
      <c r="A1133">
        <v>21713</v>
      </c>
      <c r="B1133">
        <v>100</v>
      </c>
      <c r="C1133" s="455">
        <v>12.211</v>
      </c>
      <c r="D1133" s="637">
        <f t="shared" si="40"/>
        <v>25.439583333333328</v>
      </c>
      <c r="E1133" s="637">
        <f t="shared" si="41"/>
        <v>54.36802380952382</v>
      </c>
    </row>
    <row r="1134" spans="1:5">
      <c r="A1134">
        <v>21713</v>
      </c>
      <c r="B1134">
        <v>200</v>
      </c>
      <c r="C1134" s="455">
        <v>12.395</v>
      </c>
      <c r="D1134" s="637">
        <f t="shared" ref="D1134:D1197" si="42">(C1134/(MAX($C$749:$C$1420)))*$W$6</f>
        <v>25.822916666666657</v>
      </c>
      <c r="E1134" s="637">
        <f t="shared" ref="E1134:E1197" si="43">(C1134/(MAX($C$749:$C$1420)))*$P$6</f>
        <v>55.187261904761911</v>
      </c>
    </row>
    <row r="1135" spans="1:5">
      <c r="A1135">
        <v>21713</v>
      </c>
      <c r="B1135">
        <v>300</v>
      </c>
      <c r="C1135" s="455">
        <v>12.845000000000001</v>
      </c>
      <c r="D1135" s="637">
        <f t="shared" si="42"/>
        <v>26.760416666666664</v>
      </c>
      <c r="E1135" s="637">
        <f t="shared" si="43"/>
        <v>57.190833333333352</v>
      </c>
    </row>
    <row r="1136" spans="1:5">
      <c r="A1136">
        <v>21713</v>
      </c>
      <c r="B1136">
        <v>400</v>
      </c>
      <c r="C1136" s="455">
        <v>13.836</v>
      </c>
      <c r="D1136" s="637">
        <f t="shared" si="42"/>
        <v>28.824999999999992</v>
      </c>
      <c r="E1136" s="637">
        <f t="shared" si="43"/>
        <v>61.603142857142871</v>
      </c>
    </row>
    <row r="1137" spans="1:5">
      <c r="A1137">
        <v>21713</v>
      </c>
      <c r="B1137">
        <v>500</v>
      </c>
      <c r="C1137" s="455">
        <v>13.903</v>
      </c>
      <c r="D1137" s="637">
        <f t="shared" si="42"/>
        <v>28.964583333333326</v>
      </c>
      <c r="E1137" s="637">
        <f t="shared" si="43"/>
        <v>61.901452380952392</v>
      </c>
    </row>
    <row r="1138" spans="1:5">
      <c r="A1138">
        <v>21713</v>
      </c>
      <c r="B1138">
        <v>600</v>
      </c>
      <c r="C1138" s="455">
        <v>14.045999999999999</v>
      </c>
      <c r="D1138" s="637">
        <f t="shared" si="42"/>
        <v>29.262499999999992</v>
      </c>
      <c r="E1138" s="637">
        <f t="shared" si="43"/>
        <v>62.538142857142866</v>
      </c>
    </row>
    <row r="1139" spans="1:5">
      <c r="A1139">
        <v>21713</v>
      </c>
      <c r="B1139">
        <v>700</v>
      </c>
      <c r="C1139" s="455">
        <v>15.252000000000001</v>
      </c>
      <c r="D1139" s="637">
        <f t="shared" si="42"/>
        <v>31.774999999999995</v>
      </c>
      <c r="E1139" s="637">
        <f t="shared" si="43"/>
        <v>67.907714285714306</v>
      </c>
    </row>
    <row r="1140" spans="1:5">
      <c r="A1140">
        <v>21713</v>
      </c>
      <c r="B1140">
        <v>800</v>
      </c>
      <c r="C1140" s="455">
        <v>17.46</v>
      </c>
      <c r="D1140" s="637">
        <f t="shared" si="42"/>
        <v>36.374999999999993</v>
      </c>
      <c r="E1140" s="637">
        <f t="shared" si="43"/>
        <v>77.738571428571447</v>
      </c>
    </row>
    <row r="1141" spans="1:5">
      <c r="A1141">
        <v>21713</v>
      </c>
      <c r="B1141">
        <v>900</v>
      </c>
      <c r="C1141" s="455">
        <v>10.65</v>
      </c>
      <c r="D1141" s="637">
        <f t="shared" si="42"/>
        <v>22.187499999999993</v>
      </c>
      <c r="E1141" s="637">
        <f t="shared" si="43"/>
        <v>47.417857142857152</v>
      </c>
    </row>
    <row r="1142" spans="1:5">
      <c r="A1142">
        <v>21713</v>
      </c>
      <c r="B1142">
        <v>1000</v>
      </c>
      <c r="C1142" s="455">
        <v>3.5129999999999999</v>
      </c>
      <c r="D1142" s="637">
        <f t="shared" si="42"/>
        <v>7.3187499999999979</v>
      </c>
      <c r="E1142" s="637">
        <f t="shared" si="43"/>
        <v>15.641214285714288</v>
      </c>
    </row>
    <row r="1143" spans="1:5">
      <c r="A1143">
        <v>21713</v>
      </c>
      <c r="B1143">
        <v>1100</v>
      </c>
      <c r="C1143" s="455">
        <v>1.835</v>
      </c>
      <c r="D1143" s="637">
        <f t="shared" si="42"/>
        <v>3.8229166666666656</v>
      </c>
      <c r="E1143" s="637">
        <f t="shared" si="43"/>
        <v>8.1701190476190479</v>
      </c>
    </row>
    <row r="1144" spans="1:5">
      <c r="A1144">
        <v>21713</v>
      </c>
      <c r="B1144">
        <v>1200</v>
      </c>
      <c r="C1144" s="455">
        <v>1.1519999999999999</v>
      </c>
      <c r="D1144" s="637">
        <f t="shared" si="42"/>
        <v>2.399999999999999</v>
      </c>
      <c r="E1144" s="637">
        <f t="shared" si="43"/>
        <v>5.129142857142857</v>
      </c>
    </row>
    <row r="1145" spans="1:5">
      <c r="A1145">
        <v>21713</v>
      </c>
      <c r="B1145">
        <v>1300</v>
      </c>
      <c r="C1145" s="455">
        <v>1.091</v>
      </c>
      <c r="D1145" s="637">
        <f t="shared" si="42"/>
        <v>2.2729166666666658</v>
      </c>
      <c r="E1145" s="637">
        <f t="shared" si="43"/>
        <v>4.8575476190476197</v>
      </c>
    </row>
    <row r="1146" spans="1:5">
      <c r="A1146">
        <v>21713</v>
      </c>
      <c r="B1146">
        <v>1400</v>
      </c>
      <c r="C1146" s="455">
        <v>1.3260000000000001</v>
      </c>
      <c r="D1146" s="637">
        <f t="shared" si="42"/>
        <v>2.7624999999999993</v>
      </c>
      <c r="E1146" s="637">
        <f t="shared" si="43"/>
        <v>5.9038571428571434</v>
      </c>
    </row>
    <row r="1147" spans="1:5">
      <c r="A1147">
        <v>21713</v>
      </c>
      <c r="B1147">
        <v>1500</v>
      </c>
      <c r="C1147" s="455">
        <v>0.80800000000000005</v>
      </c>
      <c r="D1147" s="637">
        <f t="shared" si="42"/>
        <v>1.6833333333333331</v>
      </c>
      <c r="E1147" s="637">
        <f t="shared" si="43"/>
        <v>3.5975238095238105</v>
      </c>
    </row>
    <row r="1148" spans="1:5">
      <c r="A1148">
        <v>21713</v>
      </c>
      <c r="B1148">
        <v>1600</v>
      </c>
      <c r="C1148" s="455">
        <v>1.653</v>
      </c>
      <c r="D1148" s="637">
        <f t="shared" si="42"/>
        <v>3.4437499999999992</v>
      </c>
      <c r="E1148" s="637">
        <f t="shared" si="43"/>
        <v>7.3597857142857155</v>
      </c>
    </row>
    <row r="1149" spans="1:5">
      <c r="A1149">
        <v>21713</v>
      </c>
      <c r="B1149">
        <v>1700</v>
      </c>
      <c r="C1149" s="455">
        <v>7.3810000000000002</v>
      </c>
      <c r="D1149" s="637">
        <f t="shared" si="42"/>
        <v>15.37708333333333</v>
      </c>
      <c r="E1149" s="637">
        <f t="shared" si="43"/>
        <v>32.863023809523817</v>
      </c>
    </row>
    <row r="1150" spans="1:5">
      <c r="A1150">
        <v>21713</v>
      </c>
      <c r="B1150">
        <v>1800</v>
      </c>
      <c r="C1150" s="455">
        <v>15.073</v>
      </c>
      <c r="D1150" s="637">
        <f t="shared" si="42"/>
        <v>31.402083333333323</v>
      </c>
      <c r="E1150" s="637">
        <f t="shared" si="43"/>
        <v>67.110738095238105</v>
      </c>
    </row>
    <row r="1151" spans="1:5">
      <c r="A1151">
        <v>21713</v>
      </c>
      <c r="B1151">
        <v>1900</v>
      </c>
      <c r="C1151" s="455">
        <v>12.026999999999999</v>
      </c>
      <c r="D1151" s="637">
        <f t="shared" si="42"/>
        <v>25.056249999999991</v>
      </c>
      <c r="E1151" s="637">
        <f t="shared" si="43"/>
        <v>53.548785714285721</v>
      </c>
    </row>
    <row r="1152" spans="1:5">
      <c r="A1152">
        <v>21713</v>
      </c>
      <c r="B1152">
        <v>2000</v>
      </c>
      <c r="C1152" s="455">
        <v>12.101000000000001</v>
      </c>
      <c r="D1152" s="637">
        <f t="shared" si="42"/>
        <v>25.21041666666666</v>
      </c>
      <c r="E1152" s="637">
        <f t="shared" si="43"/>
        <v>53.878261904761914</v>
      </c>
    </row>
    <row r="1153" spans="1:5">
      <c r="A1153">
        <v>21713</v>
      </c>
      <c r="B1153">
        <v>2100</v>
      </c>
      <c r="C1153" s="455">
        <v>12.624000000000001</v>
      </c>
      <c r="D1153" s="637">
        <f t="shared" si="42"/>
        <v>26.299999999999994</v>
      </c>
      <c r="E1153" s="637">
        <f t="shared" si="43"/>
        <v>56.206857142857153</v>
      </c>
    </row>
    <row r="1154" spans="1:5">
      <c r="A1154">
        <v>21713</v>
      </c>
      <c r="B1154">
        <v>2200</v>
      </c>
      <c r="C1154" s="455">
        <v>12.646000000000001</v>
      </c>
      <c r="D1154" s="637">
        <f t="shared" si="42"/>
        <v>26.345833333333328</v>
      </c>
      <c r="E1154" s="637">
        <f t="shared" si="43"/>
        <v>56.304809523809539</v>
      </c>
    </row>
    <row r="1155" spans="1:5">
      <c r="A1155">
        <v>21713</v>
      </c>
      <c r="B1155">
        <v>2300</v>
      </c>
      <c r="C1155" s="455">
        <v>12.851000000000001</v>
      </c>
      <c r="D1155" s="637">
        <f t="shared" si="42"/>
        <v>26.772916666666664</v>
      </c>
      <c r="E1155" s="637">
        <f t="shared" si="43"/>
        <v>57.217547619047636</v>
      </c>
    </row>
    <row r="1156" spans="1:5">
      <c r="A1156">
        <v>21713</v>
      </c>
      <c r="B1156">
        <v>2400</v>
      </c>
      <c r="C1156" s="455">
        <v>12.802</v>
      </c>
      <c r="D1156" s="637">
        <f t="shared" si="42"/>
        <v>26.670833333333327</v>
      </c>
      <c r="E1156" s="637">
        <f t="shared" si="43"/>
        <v>56.99938095238096</v>
      </c>
    </row>
    <row r="1157" spans="1:5">
      <c r="A1157">
        <v>21813</v>
      </c>
      <c r="B1157">
        <v>100</v>
      </c>
      <c r="C1157" s="455">
        <v>13.250999999999999</v>
      </c>
      <c r="D1157" s="637">
        <f t="shared" si="42"/>
        <v>27.606249999999992</v>
      </c>
      <c r="E1157" s="637">
        <f t="shared" si="43"/>
        <v>58.998500000000014</v>
      </c>
    </row>
    <row r="1158" spans="1:5">
      <c r="A1158">
        <v>21813</v>
      </c>
      <c r="B1158">
        <v>200</v>
      </c>
      <c r="C1158" s="455">
        <v>13.629</v>
      </c>
      <c r="D1158" s="637">
        <f t="shared" si="42"/>
        <v>28.39374999999999</v>
      </c>
      <c r="E1158" s="637">
        <f t="shared" si="43"/>
        <v>60.681500000000007</v>
      </c>
    </row>
    <row r="1159" spans="1:5">
      <c r="A1159">
        <v>21813</v>
      </c>
      <c r="B1159">
        <v>300</v>
      </c>
      <c r="C1159" s="455">
        <v>14.567</v>
      </c>
      <c r="D1159" s="637">
        <f t="shared" si="42"/>
        <v>30.347916666666659</v>
      </c>
      <c r="E1159" s="637">
        <f t="shared" si="43"/>
        <v>64.857833333333346</v>
      </c>
    </row>
    <row r="1160" spans="1:5">
      <c r="A1160">
        <v>21813</v>
      </c>
      <c r="B1160">
        <v>400</v>
      </c>
      <c r="C1160" s="455">
        <v>13.718999999999999</v>
      </c>
      <c r="D1160" s="637">
        <f t="shared" si="42"/>
        <v>28.58124999999999</v>
      </c>
      <c r="E1160" s="637">
        <f t="shared" si="43"/>
        <v>61.082214285714294</v>
      </c>
    </row>
    <row r="1161" spans="1:5">
      <c r="A1161">
        <v>21813</v>
      </c>
      <c r="B1161">
        <v>500</v>
      </c>
      <c r="C1161" s="455">
        <v>14.129</v>
      </c>
      <c r="D1161" s="637">
        <f t="shared" si="42"/>
        <v>29.435416666666658</v>
      </c>
      <c r="E1161" s="637">
        <f t="shared" si="43"/>
        <v>62.907690476190481</v>
      </c>
    </row>
    <row r="1162" spans="1:5">
      <c r="A1162">
        <v>21813</v>
      </c>
      <c r="B1162">
        <v>600</v>
      </c>
      <c r="C1162" s="455">
        <v>14.542</v>
      </c>
      <c r="D1162" s="637">
        <f t="shared" si="42"/>
        <v>30.295833333333324</v>
      </c>
      <c r="E1162" s="637">
        <f t="shared" si="43"/>
        <v>64.746523809523822</v>
      </c>
    </row>
    <row r="1163" spans="1:5">
      <c r="A1163">
        <v>21813</v>
      </c>
      <c r="B1163">
        <v>700</v>
      </c>
      <c r="C1163" s="455">
        <v>13.834</v>
      </c>
      <c r="D1163" s="637">
        <f t="shared" si="42"/>
        <v>28.820833333333326</v>
      </c>
      <c r="E1163" s="637">
        <f t="shared" si="43"/>
        <v>61.594238095238104</v>
      </c>
    </row>
    <row r="1164" spans="1:5">
      <c r="A1164">
        <v>21813</v>
      </c>
      <c r="B1164">
        <v>800</v>
      </c>
      <c r="C1164" s="455">
        <v>16.898</v>
      </c>
      <c r="D1164" s="637">
        <f t="shared" si="42"/>
        <v>35.204166666666659</v>
      </c>
      <c r="E1164" s="637">
        <f t="shared" si="43"/>
        <v>75.236333333333349</v>
      </c>
    </row>
    <row r="1165" spans="1:5">
      <c r="A1165">
        <v>21813</v>
      </c>
      <c r="B1165">
        <v>900</v>
      </c>
      <c r="C1165" s="455">
        <v>6.06</v>
      </c>
      <c r="D1165" s="637">
        <f t="shared" si="42"/>
        <v>12.624999999999996</v>
      </c>
      <c r="E1165" s="637">
        <f t="shared" si="43"/>
        <v>26.981428571428577</v>
      </c>
    </row>
    <row r="1166" spans="1:5">
      <c r="A1166">
        <v>21813</v>
      </c>
      <c r="B1166">
        <v>1000</v>
      </c>
      <c r="C1166" s="455">
        <v>1.4379999999999999</v>
      </c>
      <c r="D1166" s="637">
        <f t="shared" si="42"/>
        <v>2.9958333333333327</v>
      </c>
      <c r="E1166" s="637">
        <f t="shared" si="43"/>
        <v>6.4025238095238111</v>
      </c>
    </row>
    <row r="1167" spans="1:5">
      <c r="A1167">
        <v>21813</v>
      </c>
      <c r="B1167">
        <v>1100</v>
      </c>
      <c r="C1167" s="455">
        <v>0.14399999999999999</v>
      </c>
      <c r="D1167" s="637">
        <f t="shared" si="42"/>
        <v>0.29999999999999988</v>
      </c>
      <c r="E1167" s="637">
        <f t="shared" si="43"/>
        <v>0.64114285714285713</v>
      </c>
    </row>
    <row r="1168" spans="1:5">
      <c r="A1168">
        <v>21813</v>
      </c>
      <c r="B1168">
        <v>1200</v>
      </c>
      <c r="C1168" s="455">
        <v>0</v>
      </c>
      <c r="D1168" s="637">
        <f t="shared" si="42"/>
        <v>0</v>
      </c>
      <c r="E1168" s="637">
        <f t="shared" si="43"/>
        <v>0</v>
      </c>
    </row>
    <row r="1169" spans="1:5">
      <c r="A1169">
        <v>21813</v>
      </c>
      <c r="B1169">
        <v>1300</v>
      </c>
      <c r="C1169" s="455">
        <v>7.1999999999999995E-2</v>
      </c>
      <c r="D1169" s="637">
        <f t="shared" si="42"/>
        <v>0.14999999999999994</v>
      </c>
      <c r="E1169" s="637">
        <f t="shared" si="43"/>
        <v>0.32057142857142856</v>
      </c>
    </row>
    <row r="1170" spans="1:5">
      <c r="A1170">
        <v>21813</v>
      </c>
      <c r="B1170">
        <v>1400</v>
      </c>
      <c r="C1170" s="455">
        <v>1.4999999999999999E-2</v>
      </c>
      <c r="D1170" s="637">
        <f t="shared" si="42"/>
        <v>3.124999999999999E-2</v>
      </c>
      <c r="E1170" s="637">
        <f t="shared" si="43"/>
        <v>6.6785714285714295E-2</v>
      </c>
    </row>
    <row r="1171" spans="1:5">
      <c r="A1171">
        <v>21813</v>
      </c>
      <c r="B1171">
        <v>1500</v>
      </c>
      <c r="C1171" s="455">
        <v>0.17899999999999999</v>
      </c>
      <c r="D1171" s="637">
        <f t="shared" si="42"/>
        <v>0.37291666666666651</v>
      </c>
      <c r="E1171" s="637">
        <f t="shared" si="43"/>
        <v>0.7969761904761905</v>
      </c>
    </row>
    <row r="1172" spans="1:5">
      <c r="A1172">
        <v>21813</v>
      </c>
      <c r="B1172">
        <v>1600</v>
      </c>
      <c r="C1172" s="455">
        <v>0.76800000000000002</v>
      </c>
      <c r="D1172" s="637">
        <f t="shared" si="42"/>
        <v>1.5999999999999996</v>
      </c>
      <c r="E1172" s="637">
        <f t="shared" si="43"/>
        <v>3.4194285714285719</v>
      </c>
    </row>
    <row r="1173" spans="1:5">
      <c r="A1173">
        <v>21813</v>
      </c>
      <c r="B1173">
        <v>1700</v>
      </c>
      <c r="C1173" s="455">
        <v>4.1710000000000003</v>
      </c>
      <c r="D1173" s="637">
        <f t="shared" si="42"/>
        <v>8.6895833333333314</v>
      </c>
      <c r="E1173" s="637">
        <f t="shared" si="43"/>
        <v>18.570880952380957</v>
      </c>
    </row>
    <row r="1174" spans="1:5">
      <c r="A1174">
        <v>21813</v>
      </c>
      <c r="B1174">
        <v>1800</v>
      </c>
      <c r="C1174" s="455">
        <v>10.537000000000001</v>
      </c>
      <c r="D1174" s="637">
        <f t="shared" si="42"/>
        <v>21.952083333333327</v>
      </c>
      <c r="E1174" s="637">
        <f t="shared" si="43"/>
        <v>46.914738095238107</v>
      </c>
    </row>
    <row r="1175" spans="1:5">
      <c r="A1175">
        <v>21813</v>
      </c>
      <c r="B1175">
        <v>1900</v>
      </c>
      <c r="C1175" s="455">
        <v>10.862</v>
      </c>
      <c r="D1175" s="637">
        <f t="shared" si="42"/>
        <v>22.629166666666663</v>
      </c>
      <c r="E1175" s="637">
        <f t="shared" si="43"/>
        <v>48.36176190476192</v>
      </c>
    </row>
    <row r="1176" spans="1:5">
      <c r="A1176">
        <v>21813</v>
      </c>
      <c r="B1176">
        <v>2000</v>
      </c>
      <c r="C1176" s="455">
        <v>10.228999999999999</v>
      </c>
      <c r="D1176" s="637">
        <f t="shared" si="42"/>
        <v>21.310416666666658</v>
      </c>
      <c r="E1176" s="637">
        <f t="shared" si="43"/>
        <v>45.543404761904767</v>
      </c>
    </row>
    <row r="1177" spans="1:5">
      <c r="A1177">
        <v>21813</v>
      </c>
      <c r="B1177">
        <v>2100</v>
      </c>
      <c r="C1177" s="455">
        <v>9.9149999999999991</v>
      </c>
      <c r="D1177" s="637">
        <f t="shared" si="42"/>
        <v>20.656249999999993</v>
      </c>
      <c r="E1177" s="637">
        <f t="shared" si="43"/>
        <v>44.145357142857144</v>
      </c>
    </row>
    <row r="1178" spans="1:5">
      <c r="A1178">
        <v>21813</v>
      </c>
      <c r="B1178">
        <v>2200</v>
      </c>
      <c r="C1178" s="455">
        <v>10.474</v>
      </c>
      <c r="D1178" s="637">
        <f t="shared" si="42"/>
        <v>21.820833333333329</v>
      </c>
      <c r="E1178" s="637">
        <f t="shared" si="43"/>
        <v>46.634238095238103</v>
      </c>
    </row>
    <row r="1179" spans="1:5">
      <c r="A1179">
        <v>21813</v>
      </c>
      <c r="B1179">
        <v>2300</v>
      </c>
      <c r="C1179" s="455">
        <v>10.06</v>
      </c>
      <c r="D1179" s="637">
        <f t="shared" si="42"/>
        <v>20.958333333333329</v>
      </c>
      <c r="E1179" s="637">
        <f t="shared" si="43"/>
        <v>44.79095238095239</v>
      </c>
    </row>
    <row r="1180" spans="1:5">
      <c r="A1180">
        <v>21813</v>
      </c>
      <c r="B1180">
        <v>2400</v>
      </c>
      <c r="C1180" s="455">
        <v>10.317</v>
      </c>
      <c r="D1180" s="637">
        <f t="shared" si="42"/>
        <v>21.493749999999995</v>
      </c>
      <c r="E1180" s="637">
        <f t="shared" si="43"/>
        <v>45.935214285714295</v>
      </c>
    </row>
    <row r="1181" spans="1:5">
      <c r="A1181">
        <v>21913</v>
      </c>
      <c r="B1181">
        <v>100</v>
      </c>
      <c r="C1181" s="455">
        <v>10.15</v>
      </c>
      <c r="D1181" s="637">
        <f t="shared" si="42"/>
        <v>21.145833333333332</v>
      </c>
      <c r="E1181" s="637">
        <f t="shared" si="43"/>
        <v>45.191666666666684</v>
      </c>
    </row>
    <row r="1182" spans="1:5">
      <c r="A1182">
        <v>21913</v>
      </c>
      <c r="B1182">
        <v>200</v>
      </c>
      <c r="C1182" s="455">
        <v>10.271000000000001</v>
      </c>
      <c r="D1182" s="637">
        <f t="shared" si="42"/>
        <v>21.397916666666664</v>
      </c>
      <c r="E1182" s="637">
        <f t="shared" si="43"/>
        <v>45.730404761904772</v>
      </c>
    </row>
    <row r="1183" spans="1:5">
      <c r="A1183">
        <v>21913</v>
      </c>
      <c r="B1183">
        <v>300</v>
      </c>
      <c r="C1183" s="455">
        <v>10.268000000000001</v>
      </c>
      <c r="D1183" s="637">
        <f t="shared" si="42"/>
        <v>21.391666666666662</v>
      </c>
      <c r="E1183" s="637">
        <f t="shared" si="43"/>
        <v>45.717047619047634</v>
      </c>
    </row>
    <row r="1184" spans="1:5">
      <c r="A1184">
        <v>21913</v>
      </c>
      <c r="B1184">
        <v>400</v>
      </c>
      <c r="C1184" s="455">
        <v>10.433</v>
      </c>
      <c r="D1184" s="637">
        <f t="shared" si="42"/>
        <v>21.735416666666662</v>
      </c>
      <c r="E1184" s="637">
        <f t="shared" si="43"/>
        <v>46.451690476190485</v>
      </c>
    </row>
    <row r="1185" spans="1:5">
      <c r="A1185">
        <v>21913</v>
      </c>
      <c r="B1185">
        <v>500</v>
      </c>
      <c r="C1185" s="455">
        <v>10.683999999999999</v>
      </c>
      <c r="D1185" s="637">
        <f t="shared" si="42"/>
        <v>22.258333333333326</v>
      </c>
      <c r="E1185" s="637">
        <f t="shared" si="43"/>
        <v>47.569238095238099</v>
      </c>
    </row>
    <row r="1186" spans="1:5">
      <c r="A1186">
        <v>21913</v>
      </c>
      <c r="B1186">
        <v>600</v>
      </c>
      <c r="C1186" s="455">
        <v>10.768000000000001</v>
      </c>
      <c r="D1186" s="637">
        <f t="shared" si="42"/>
        <v>22.43333333333333</v>
      </c>
      <c r="E1186" s="637">
        <f t="shared" si="43"/>
        <v>47.943238095238108</v>
      </c>
    </row>
    <row r="1187" spans="1:5">
      <c r="A1187">
        <v>21913</v>
      </c>
      <c r="B1187">
        <v>700</v>
      </c>
      <c r="C1187" s="455">
        <v>10.718</v>
      </c>
      <c r="D1187" s="637">
        <f t="shared" si="42"/>
        <v>22.329166666666659</v>
      </c>
      <c r="E1187" s="637">
        <f t="shared" si="43"/>
        <v>47.720619047619053</v>
      </c>
    </row>
    <row r="1188" spans="1:5">
      <c r="A1188">
        <v>21913</v>
      </c>
      <c r="B1188">
        <v>800</v>
      </c>
      <c r="C1188" s="455">
        <v>13.819000000000001</v>
      </c>
      <c r="D1188" s="637">
        <f t="shared" si="42"/>
        <v>28.789583333333326</v>
      </c>
      <c r="E1188" s="637">
        <f t="shared" si="43"/>
        <v>61.52745238095239</v>
      </c>
    </row>
    <row r="1189" spans="1:5">
      <c r="A1189">
        <v>21913</v>
      </c>
      <c r="B1189">
        <v>900</v>
      </c>
      <c r="C1189" s="455">
        <v>11.433</v>
      </c>
      <c r="D1189" s="637">
        <f t="shared" si="42"/>
        <v>23.818749999999994</v>
      </c>
      <c r="E1189" s="637">
        <f t="shared" si="43"/>
        <v>50.904071428571442</v>
      </c>
    </row>
    <row r="1190" spans="1:5">
      <c r="A1190">
        <v>21913</v>
      </c>
      <c r="B1190">
        <v>1000</v>
      </c>
      <c r="C1190" s="455">
        <v>3.484</v>
      </c>
      <c r="D1190" s="637">
        <f t="shared" si="42"/>
        <v>7.2583333333333311</v>
      </c>
      <c r="E1190" s="637">
        <f t="shared" si="43"/>
        <v>15.51209523809524</v>
      </c>
    </row>
    <row r="1191" spans="1:5">
      <c r="A1191">
        <v>21913</v>
      </c>
      <c r="B1191">
        <v>1100</v>
      </c>
      <c r="C1191" s="455">
        <v>1.0069999999999999</v>
      </c>
      <c r="D1191" s="637">
        <f t="shared" si="42"/>
        <v>2.097916666666666</v>
      </c>
      <c r="E1191" s="637">
        <f t="shared" si="43"/>
        <v>4.4835476190476191</v>
      </c>
    </row>
    <row r="1192" spans="1:5">
      <c r="A1192">
        <v>21913</v>
      </c>
      <c r="B1192">
        <v>1200</v>
      </c>
      <c r="C1192" s="455">
        <v>0</v>
      </c>
      <c r="D1192" s="637">
        <f t="shared" si="42"/>
        <v>0</v>
      </c>
      <c r="E1192" s="637">
        <f t="shared" si="43"/>
        <v>0</v>
      </c>
    </row>
    <row r="1193" spans="1:5">
      <c r="A1193">
        <v>21913</v>
      </c>
      <c r="B1193">
        <v>1300</v>
      </c>
      <c r="C1193" s="455">
        <v>0</v>
      </c>
      <c r="D1193" s="637">
        <f t="shared" si="42"/>
        <v>0</v>
      </c>
      <c r="E1193" s="637">
        <f t="shared" si="43"/>
        <v>0</v>
      </c>
    </row>
    <row r="1194" spans="1:5">
      <c r="A1194">
        <v>21913</v>
      </c>
      <c r="B1194">
        <v>1400</v>
      </c>
      <c r="C1194" s="455">
        <v>0</v>
      </c>
      <c r="D1194" s="637">
        <f t="shared" si="42"/>
        <v>0</v>
      </c>
      <c r="E1194" s="637">
        <f t="shared" si="43"/>
        <v>0</v>
      </c>
    </row>
    <row r="1195" spans="1:5">
      <c r="A1195">
        <v>21913</v>
      </c>
      <c r="B1195">
        <v>1500</v>
      </c>
      <c r="C1195" s="455">
        <v>0</v>
      </c>
      <c r="D1195" s="637">
        <f t="shared" si="42"/>
        <v>0</v>
      </c>
      <c r="E1195" s="637">
        <f t="shared" si="43"/>
        <v>0</v>
      </c>
    </row>
    <row r="1196" spans="1:5">
      <c r="A1196">
        <v>21913</v>
      </c>
      <c r="B1196">
        <v>1600</v>
      </c>
      <c r="C1196" s="455">
        <v>0.154</v>
      </c>
      <c r="D1196" s="637">
        <f t="shared" si="42"/>
        <v>0.32083333333333325</v>
      </c>
      <c r="E1196" s="637">
        <f t="shared" si="43"/>
        <v>0.68566666666666687</v>
      </c>
    </row>
    <row r="1197" spans="1:5">
      <c r="A1197">
        <v>21913</v>
      </c>
      <c r="B1197">
        <v>1700</v>
      </c>
      <c r="C1197" s="455">
        <v>6.0000000000000001E-3</v>
      </c>
      <c r="D1197" s="637">
        <f t="shared" si="42"/>
        <v>1.2499999999999997E-2</v>
      </c>
      <c r="E1197" s="637">
        <f t="shared" si="43"/>
        <v>2.6714285714285718E-2</v>
      </c>
    </row>
    <row r="1198" spans="1:5">
      <c r="A1198">
        <v>21913</v>
      </c>
      <c r="B1198">
        <v>1800</v>
      </c>
      <c r="C1198" s="455">
        <v>7.2320000000000002</v>
      </c>
      <c r="D1198" s="637">
        <f t="shared" ref="D1198:D1261" si="44">(C1198/(MAX($C$749:$C$1420)))*$W$6</f>
        <v>15.066666666666663</v>
      </c>
      <c r="E1198" s="637">
        <f t="shared" ref="E1198:E1261" si="45">(C1198/(MAX($C$749:$C$1420)))*$P$6</f>
        <v>32.199619047619052</v>
      </c>
    </row>
    <row r="1199" spans="1:5">
      <c r="A1199">
        <v>21913</v>
      </c>
      <c r="B1199">
        <v>1900</v>
      </c>
      <c r="C1199" s="455">
        <v>10.355</v>
      </c>
      <c r="D1199" s="637">
        <f t="shared" si="44"/>
        <v>21.572916666666664</v>
      </c>
      <c r="E1199" s="637">
        <f t="shared" si="45"/>
        <v>46.104404761904775</v>
      </c>
    </row>
    <row r="1200" spans="1:5">
      <c r="A1200">
        <v>21913</v>
      </c>
      <c r="B1200">
        <v>2000</v>
      </c>
      <c r="C1200" s="455">
        <v>10.651</v>
      </c>
      <c r="D1200" s="637">
        <f t="shared" si="44"/>
        <v>22.189583333333328</v>
      </c>
      <c r="E1200" s="637">
        <f t="shared" si="45"/>
        <v>47.422309523809531</v>
      </c>
    </row>
    <row r="1201" spans="1:5">
      <c r="A1201">
        <v>21913</v>
      </c>
      <c r="B1201">
        <v>2100</v>
      </c>
      <c r="C1201" s="455">
        <v>10.423999999999999</v>
      </c>
      <c r="D1201" s="637">
        <f t="shared" si="44"/>
        <v>21.716666666666661</v>
      </c>
      <c r="E1201" s="637">
        <f t="shared" si="45"/>
        <v>46.411619047619055</v>
      </c>
    </row>
    <row r="1202" spans="1:5">
      <c r="A1202">
        <v>21913</v>
      </c>
      <c r="B1202">
        <v>2200</v>
      </c>
      <c r="C1202" s="455">
        <v>10.991</v>
      </c>
      <c r="D1202" s="637">
        <f t="shared" si="44"/>
        <v>22.89791666666666</v>
      </c>
      <c r="E1202" s="637">
        <f t="shared" si="45"/>
        <v>48.936119047619059</v>
      </c>
    </row>
    <row r="1203" spans="1:5">
      <c r="A1203">
        <v>21913</v>
      </c>
      <c r="B1203">
        <v>2300</v>
      </c>
      <c r="C1203" s="455">
        <v>11.07</v>
      </c>
      <c r="D1203" s="637">
        <f t="shared" si="44"/>
        <v>23.062499999999993</v>
      </c>
      <c r="E1203" s="637">
        <f t="shared" si="45"/>
        <v>49.287857142857149</v>
      </c>
    </row>
    <row r="1204" spans="1:5">
      <c r="A1204">
        <v>21913</v>
      </c>
      <c r="B1204">
        <v>2400</v>
      </c>
      <c r="C1204" s="455">
        <v>10.801</v>
      </c>
      <c r="D1204" s="637">
        <f t="shared" si="44"/>
        <v>22.502083333333331</v>
      </c>
      <c r="E1204" s="637">
        <f t="shared" si="45"/>
        <v>48.090166666666683</v>
      </c>
    </row>
    <row r="1205" spans="1:5">
      <c r="A1205">
        <v>22013</v>
      </c>
      <c r="B1205">
        <v>100</v>
      </c>
      <c r="C1205" s="455">
        <v>11.081</v>
      </c>
      <c r="D1205" s="637">
        <f t="shared" si="44"/>
        <v>23.08541666666666</v>
      </c>
      <c r="E1205" s="637">
        <f t="shared" si="45"/>
        <v>49.336833333333345</v>
      </c>
    </row>
    <row r="1206" spans="1:5">
      <c r="A1206">
        <v>22013</v>
      </c>
      <c r="B1206">
        <v>200</v>
      </c>
      <c r="C1206" s="455">
        <v>11.632999999999999</v>
      </c>
      <c r="D1206" s="637">
        <f t="shared" si="44"/>
        <v>24.235416666666662</v>
      </c>
      <c r="E1206" s="637">
        <f t="shared" si="45"/>
        <v>51.794547619047627</v>
      </c>
    </row>
    <row r="1207" spans="1:5">
      <c r="A1207">
        <v>22013</v>
      </c>
      <c r="B1207">
        <v>300</v>
      </c>
      <c r="C1207" s="455">
        <v>11.663</v>
      </c>
      <c r="D1207" s="637">
        <f t="shared" si="44"/>
        <v>24.297916666666662</v>
      </c>
      <c r="E1207" s="637">
        <f t="shared" si="45"/>
        <v>51.928119047619056</v>
      </c>
    </row>
    <row r="1208" spans="1:5">
      <c r="A1208">
        <v>22013</v>
      </c>
      <c r="B1208">
        <v>400</v>
      </c>
      <c r="C1208" s="455">
        <v>11.739000000000001</v>
      </c>
      <c r="D1208" s="637">
        <f t="shared" si="44"/>
        <v>24.456249999999997</v>
      </c>
      <c r="E1208" s="637">
        <f t="shared" si="45"/>
        <v>52.266500000000015</v>
      </c>
    </row>
    <row r="1209" spans="1:5">
      <c r="A1209">
        <v>22013</v>
      </c>
      <c r="B1209">
        <v>500</v>
      </c>
      <c r="C1209" s="455">
        <v>11.483000000000001</v>
      </c>
      <c r="D1209" s="637">
        <f t="shared" si="44"/>
        <v>23.922916666666662</v>
      </c>
      <c r="E1209" s="637">
        <f t="shared" si="45"/>
        <v>51.12669047619049</v>
      </c>
    </row>
    <row r="1210" spans="1:5">
      <c r="A1210">
        <v>22013</v>
      </c>
      <c r="B1210">
        <v>600</v>
      </c>
      <c r="C1210" s="455">
        <v>11.654</v>
      </c>
      <c r="D1210" s="637">
        <f t="shared" si="44"/>
        <v>24.279166666666661</v>
      </c>
      <c r="E1210" s="637">
        <f t="shared" si="45"/>
        <v>51.888047619047626</v>
      </c>
    </row>
    <row r="1211" spans="1:5">
      <c r="A1211">
        <v>22013</v>
      </c>
      <c r="B1211">
        <v>700</v>
      </c>
      <c r="C1211" s="455">
        <v>11.666</v>
      </c>
      <c r="D1211" s="637">
        <f t="shared" si="44"/>
        <v>24.30416666666666</v>
      </c>
      <c r="E1211" s="637">
        <f t="shared" si="45"/>
        <v>51.941476190476202</v>
      </c>
    </row>
    <row r="1212" spans="1:5">
      <c r="A1212">
        <v>22013</v>
      </c>
      <c r="B1212">
        <v>800</v>
      </c>
      <c r="C1212" s="455">
        <v>7.1349999999999998</v>
      </c>
      <c r="D1212" s="637">
        <f t="shared" si="44"/>
        <v>14.86458333333333</v>
      </c>
      <c r="E1212" s="637">
        <f t="shared" si="45"/>
        <v>31.767738095238101</v>
      </c>
    </row>
    <row r="1213" spans="1:5">
      <c r="A1213">
        <v>22013</v>
      </c>
      <c r="B1213">
        <v>900</v>
      </c>
      <c r="C1213" s="455">
        <v>0</v>
      </c>
      <c r="D1213" s="637">
        <f t="shared" si="44"/>
        <v>0</v>
      </c>
      <c r="E1213" s="637">
        <f t="shared" si="45"/>
        <v>0</v>
      </c>
    </row>
    <row r="1214" spans="1:5">
      <c r="A1214">
        <v>22013</v>
      </c>
      <c r="B1214">
        <v>1000</v>
      </c>
      <c r="C1214" s="455">
        <v>0</v>
      </c>
      <c r="D1214" s="637">
        <f t="shared" si="44"/>
        <v>0</v>
      </c>
      <c r="E1214" s="637">
        <f t="shared" si="45"/>
        <v>0</v>
      </c>
    </row>
    <row r="1215" spans="1:5">
      <c r="A1215">
        <v>22013</v>
      </c>
      <c r="B1215">
        <v>1100</v>
      </c>
      <c r="C1215" s="455">
        <v>0</v>
      </c>
      <c r="D1215" s="637">
        <f t="shared" si="44"/>
        <v>0</v>
      </c>
      <c r="E1215" s="637">
        <f t="shared" si="45"/>
        <v>0</v>
      </c>
    </row>
    <row r="1216" spans="1:5">
      <c r="A1216">
        <v>22013</v>
      </c>
      <c r="B1216">
        <v>1200</v>
      </c>
      <c r="C1216" s="455">
        <v>0</v>
      </c>
      <c r="D1216" s="637">
        <f t="shared" si="44"/>
        <v>0</v>
      </c>
      <c r="E1216" s="637">
        <f t="shared" si="45"/>
        <v>0</v>
      </c>
    </row>
    <row r="1217" spans="1:5">
      <c r="A1217">
        <v>22013</v>
      </c>
      <c r="B1217">
        <v>1300</v>
      </c>
      <c r="C1217" s="455">
        <v>0</v>
      </c>
      <c r="D1217" s="637">
        <f t="shared" si="44"/>
        <v>0</v>
      </c>
      <c r="E1217" s="637">
        <f t="shared" si="45"/>
        <v>0</v>
      </c>
    </row>
    <row r="1218" spans="1:5">
      <c r="A1218">
        <v>22013</v>
      </c>
      <c r="B1218">
        <v>1400</v>
      </c>
      <c r="C1218" s="455">
        <v>0</v>
      </c>
      <c r="D1218" s="637">
        <f t="shared" si="44"/>
        <v>0</v>
      </c>
      <c r="E1218" s="637">
        <f t="shared" si="45"/>
        <v>0</v>
      </c>
    </row>
    <row r="1219" spans="1:5">
      <c r="A1219">
        <v>22013</v>
      </c>
      <c r="B1219">
        <v>1500</v>
      </c>
      <c r="C1219" s="455">
        <v>0</v>
      </c>
      <c r="D1219" s="637">
        <f t="shared" si="44"/>
        <v>0</v>
      </c>
      <c r="E1219" s="637">
        <f t="shared" si="45"/>
        <v>0</v>
      </c>
    </row>
    <row r="1220" spans="1:5">
      <c r="A1220">
        <v>22013</v>
      </c>
      <c r="B1220">
        <v>1600</v>
      </c>
      <c r="C1220" s="455">
        <v>0</v>
      </c>
      <c r="D1220" s="637">
        <f t="shared" si="44"/>
        <v>0</v>
      </c>
      <c r="E1220" s="637">
        <f t="shared" si="45"/>
        <v>0</v>
      </c>
    </row>
    <row r="1221" spans="1:5">
      <c r="A1221">
        <v>22013</v>
      </c>
      <c r="B1221">
        <v>1700</v>
      </c>
      <c r="C1221" s="455">
        <v>0</v>
      </c>
      <c r="D1221" s="637">
        <f t="shared" si="44"/>
        <v>0</v>
      </c>
      <c r="E1221" s="637">
        <f t="shared" si="45"/>
        <v>0</v>
      </c>
    </row>
    <row r="1222" spans="1:5">
      <c r="A1222">
        <v>22013</v>
      </c>
      <c r="B1222">
        <v>1800</v>
      </c>
      <c r="C1222" s="455">
        <v>4.07</v>
      </c>
      <c r="D1222" s="637">
        <f t="shared" si="44"/>
        <v>8.4791666666666643</v>
      </c>
      <c r="E1222" s="637">
        <f t="shared" si="45"/>
        <v>18.121190476190481</v>
      </c>
    </row>
    <row r="1223" spans="1:5">
      <c r="A1223">
        <v>22013</v>
      </c>
      <c r="B1223">
        <v>1900</v>
      </c>
      <c r="C1223" s="455">
        <v>11.938000000000001</v>
      </c>
      <c r="D1223" s="637">
        <f t="shared" si="44"/>
        <v>24.87083333333333</v>
      </c>
      <c r="E1223" s="637">
        <f t="shared" si="45"/>
        <v>53.152523809523821</v>
      </c>
    </row>
    <row r="1224" spans="1:5">
      <c r="A1224">
        <v>22013</v>
      </c>
      <c r="B1224">
        <v>2000</v>
      </c>
      <c r="C1224" s="455">
        <v>11.382999999999999</v>
      </c>
      <c r="D1224" s="637">
        <f t="shared" si="44"/>
        <v>23.714583333333326</v>
      </c>
      <c r="E1224" s="637">
        <f t="shared" si="45"/>
        <v>50.681452380952386</v>
      </c>
    </row>
    <row r="1225" spans="1:5">
      <c r="A1225">
        <v>22013</v>
      </c>
      <c r="B1225">
        <v>2100</v>
      </c>
      <c r="C1225" s="455">
        <v>11.657999999999999</v>
      </c>
      <c r="D1225" s="637">
        <f t="shared" si="44"/>
        <v>24.287499999999994</v>
      </c>
      <c r="E1225" s="637">
        <f t="shared" si="45"/>
        <v>51.905857142857151</v>
      </c>
    </row>
    <row r="1226" spans="1:5">
      <c r="A1226">
        <v>22013</v>
      </c>
      <c r="B1226">
        <v>2200</v>
      </c>
      <c r="C1226" s="455">
        <v>11.645</v>
      </c>
      <c r="D1226" s="637">
        <f t="shared" si="44"/>
        <v>24.260416666666661</v>
      </c>
      <c r="E1226" s="637">
        <f t="shared" si="45"/>
        <v>51.847976190476203</v>
      </c>
    </row>
    <row r="1227" spans="1:5">
      <c r="A1227">
        <v>22013</v>
      </c>
      <c r="B1227">
        <v>2300</v>
      </c>
      <c r="C1227" s="455">
        <v>11.382999999999999</v>
      </c>
      <c r="D1227" s="637">
        <f t="shared" si="44"/>
        <v>23.714583333333326</v>
      </c>
      <c r="E1227" s="637">
        <f t="shared" si="45"/>
        <v>50.681452380952386</v>
      </c>
    </row>
    <row r="1228" spans="1:5">
      <c r="A1228">
        <v>22013</v>
      </c>
      <c r="B1228">
        <v>2400</v>
      </c>
      <c r="C1228" s="455">
        <v>11.558999999999999</v>
      </c>
      <c r="D1228" s="637">
        <f t="shared" si="44"/>
        <v>24.081249999999994</v>
      </c>
      <c r="E1228" s="637">
        <f t="shared" si="45"/>
        <v>51.465071428571441</v>
      </c>
    </row>
    <row r="1229" spans="1:5">
      <c r="A1229">
        <v>22113</v>
      </c>
      <c r="B1229">
        <v>100</v>
      </c>
      <c r="C1229" s="455">
        <v>11.686</v>
      </c>
      <c r="D1229" s="637">
        <f t="shared" si="44"/>
        <v>24.345833333333328</v>
      </c>
      <c r="E1229" s="637">
        <f t="shared" si="45"/>
        <v>52.030523809523821</v>
      </c>
    </row>
    <row r="1230" spans="1:5">
      <c r="A1230">
        <v>22113</v>
      </c>
      <c r="B1230">
        <v>200</v>
      </c>
      <c r="C1230" s="455">
        <v>12.102</v>
      </c>
      <c r="D1230" s="637">
        <f t="shared" si="44"/>
        <v>25.212499999999995</v>
      </c>
      <c r="E1230" s="637">
        <f t="shared" si="45"/>
        <v>53.8827142857143</v>
      </c>
    </row>
    <row r="1231" spans="1:5">
      <c r="A1231">
        <v>22113</v>
      </c>
      <c r="B1231">
        <v>300</v>
      </c>
      <c r="C1231" s="455">
        <v>12.170999999999999</v>
      </c>
      <c r="D1231" s="637">
        <f t="shared" si="44"/>
        <v>25.356249999999992</v>
      </c>
      <c r="E1231" s="637">
        <f t="shared" si="45"/>
        <v>54.189928571428581</v>
      </c>
    </row>
    <row r="1232" spans="1:5">
      <c r="A1232">
        <v>22113</v>
      </c>
      <c r="B1232">
        <v>400</v>
      </c>
      <c r="C1232" s="455">
        <v>12.21</v>
      </c>
      <c r="D1232" s="637">
        <f t="shared" si="44"/>
        <v>25.437499999999996</v>
      </c>
      <c r="E1232" s="637">
        <f t="shared" si="45"/>
        <v>54.363571428571447</v>
      </c>
    </row>
    <row r="1233" spans="1:5">
      <c r="A1233">
        <v>22113</v>
      </c>
      <c r="B1233">
        <v>500</v>
      </c>
      <c r="C1233" s="455">
        <v>12.388999999999999</v>
      </c>
      <c r="D1233" s="637">
        <f t="shared" si="44"/>
        <v>25.810416666666658</v>
      </c>
      <c r="E1233" s="637">
        <f t="shared" si="45"/>
        <v>55.160547619047627</v>
      </c>
    </row>
    <row r="1234" spans="1:5">
      <c r="A1234">
        <v>22113</v>
      </c>
      <c r="B1234">
        <v>600</v>
      </c>
      <c r="C1234" s="455">
        <v>13.057</v>
      </c>
      <c r="D1234" s="637">
        <f t="shared" si="44"/>
        <v>27.202083333333327</v>
      </c>
      <c r="E1234" s="637">
        <f t="shared" si="45"/>
        <v>58.134738095238113</v>
      </c>
    </row>
    <row r="1235" spans="1:5">
      <c r="A1235">
        <v>22113</v>
      </c>
      <c r="B1235">
        <v>700</v>
      </c>
      <c r="C1235" s="455">
        <v>14.214</v>
      </c>
      <c r="D1235" s="637">
        <f t="shared" si="44"/>
        <v>29.612499999999994</v>
      </c>
      <c r="E1235" s="637">
        <f t="shared" si="45"/>
        <v>63.28614285714287</v>
      </c>
    </row>
    <row r="1236" spans="1:5">
      <c r="A1236">
        <v>22113</v>
      </c>
      <c r="B1236">
        <v>800</v>
      </c>
      <c r="C1236" s="455">
        <v>5.6150000000000002</v>
      </c>
      <c r="D1236" s="637">
        <f t="shared" si="44"/>
        <v>11.697916666666666</v>
      </c>
      <c r="E1236" s="637">
        <f t="shared" si="45"/>
        <v>25.000119047619055</v>
      </c>
    </row>
    <row r="1237" spans="1:5">
      <c r="A1237">
        <v>22113</v>
      </c>
      <c r="B1237">
        <v>900</v>
      </c>
      <c r="C1237" s="455">
        <v>0</v>
      </c>
      <c r="D1237" s="637">
        <f t="shared" si="44"/>
        <v>0</v>
      </c>
      <c r="E1237" s="637">
        <f t="shared" si="45"/>
        <v>0</v>
      </c>
    </row>
    <row r="1238" spans="1:5">
      <c r="A1238">
        <v>22113</v>
      </c>
      <c r="B1238">
        <v>1000</v>
      </c>
      <c r="C1238" s="455">
        <v>0</v>
      </c>
      <c r="D1238" s="637">
        <f t="shared" si="44"/>
        <v>0</v>
      </c>
      <c r="E1238" s="637">
        <f t="shared" si="45"/>
        <v>0</v>
      </c>
    </row>
    <row r="1239" spans="1:5">
      <c r="A1239">
        <v>22113</v>
      </c>
      <c r="B1239">
        <v>1100</v>
      </c>
      <c r="C1239" s="455">
        <v>0.09</v>
      </c>
      <c r="D1239" s="637">
        <f t="shared" si="44"/>
        <v>0.18749999999999997</v>
      </c>
      <c r="E1239" s="637">
        <f t="shared" si="45"/>
        <v>0.4007142857142858</v>
      </c>
    </row>
    <row r="1240" spans="1:5">
      <c r="A1240">
        <v>22113</v>
      </c>
      <c r="B1240">
        <v>1200</v>
      </c>
      <c r="C1240" s="455">
        <v>0</v>
      </c>
      <c r="D1240" s="637">
        <f t="shared" si="44"/>
        <v>0</v>
      </c>
      <c r="E1240" s="637">
        <f t="shared" si="45"/>
        <v>0</v>
      </c>
    </row>
    <row r="1241" spans="1:5">
      <c r="A1241">
        <v>22113</v>
      </c>
      <c r="B1241">
        <v>1300</v>
      </c>
      <c r="C1241" s="455">
        <v>0</v>
      </c>
      <c r="D1241" s="637">
        <f t="shared" si="44"/>
        <v>0</v>
      </c>
      <c r="E1241" s="637">
        <f t="shared" si="45"/>
        <v>0</v>
      </c>
    </row>
    <row r="1242" spans="1:5">
      <c r="A1242">
        <v>22113</v>
      </c>
      <c r="B1242">
        <v>1400</v>
      </c>
      <c r="C1242" s="455">
        <v>0</v>
      </c>
      <c r="D1242" s="637">
        <f t="shared" si="44"/>
        <v>0</v>
      </c>
      <c r="E1242" s="637">
        <f t="shared" si="45"/>
        <v>0</v>
      </c>
    </row>
    <row r="1243" spans="1:5">
      <c r="A1243">
        <v>22113</v>
      </c>
      <c r="B1243">
        <v>1500</v>
      </c>
      <c r="C1243" s="455">
        <v>0</v>
      </c>
      <c r="D1243" s="637">
        <f t="shared" si="44"/>
        <v>0</v>
      </c>
      <c r="E1243" s="637">
        <f t="shared" si="45"/>
        <v>0</v>
      </c>
    </row>
    <row r="1244" spans="1:5">
      <c r="A1244">
        <v>22113</v>
      </c>
      <c r="B1244">
        <v>1600</v>
      </c>
      <c r="C1244" s="455">
        <v>0</v>
      </c>
      <c r="D1244" s="637">
        <f t="shared" si="44"/>
        <v>0</v>
      </c>
      <c r="E1244" s="637">
        <f t="shared" si="45"/>
        <v>0</v>
      </c>
    </row>
    <row r="1245" spans="1:5">
      <c r="A1245">
        <v>22113</v>
      </c>
      <c r="B1245">
        <v>1700</v>
      </c>
      <c r="C1245" s="455">
        <v>0</v>
      </c>
      <c r="D1245" s="637">
        <f t="shared" si="44"/>
        <v>0</v>
      </c>
      <c r="E1245" s="637">
        <f t="shared" si="45"/>
        <v>0</v>
      </c>
    </row>
    <row r="1246" spans="1:5">
      <c r="A1246">
        <v>22113</v>
      </c>
      <c r="B1246">
        <v>1800</v>
      </c>
      <c r="C1246" s="455">
        <v>2.6960000000000002</v>
      </c>
      <c r="D1246" s="637">
        <f t="shared" si="44"/>
        <v>5.6166666666666654</v>
      </c>
      <c r="E1246" s="637">
        <f t="shared" si="45"/>
        <v>12.003619047619051</v>
      </c>
    </row>
    <row r="1247" spans="1:5">
      <c r="A1247">
        <v>22113</v>
      </c>
      <c r="B1247">
        <v>1900</v>
      </c>
      <c r="C1247" s="455">
        <v>11.914</v>
      </c>
      <c r="D1247" s="637">
        <f t="shared" si="44"/>
        <v>24.820833333333326</v>
      </c>
      <c r="E1247" s="637">
        <f t="shared" si="45"/>
        <v>53.045666666666669</v>
      </c>
    </row>
    <row r="1248" spans="1:5">
      <c r="A1248">
        <v>22113</v>
      </c>
      <c r="B1248">
        <v>2000</v>
      </c>
      <c r="C1248" s="455">
        <v>10.590999999999999</v>
      </c>
      <c r="D1248" s="637">
        <f t="shared" si="44"/>
        <v>22.064583333333328</v>
      </c>
      <c r="E1248" s="637">
        <f t="shared" si="45"/>
        <v>47.155166666666673</v>
      </c>
    </row>
    <row r="1249" spans="1:5">
      <c r="A1249">
        <v>22113</v>
      </c>
      <c r="B1249">
        <v>2100</v>
      </c>
      <c r="C1249" s="455">
        <v>10.484</v>
      </c>
      <c r="D1249" s="637">
        <f t="shared" si="44"/>
        <v>21.841666666666661</v>
      </c>
      <c r="E1249" s="637">
        <f t="shared" si="45"/>
        <v>46.678761904761913</v>
      </c>
    </row>
    <row r="1250" spans="1:5">
      <c r="A1250">
        <v>22113</v>
      </c>
      <c r="B1250">
        <v>2200</v>
      </c>
      <c r="C1250" s="455">
        <v>10.875999999999999</v>
      </c>
      <c r="D1250" s="637">
        <f t="shared" si="44"/>
        <v>22.658333333333324</v>
      </c>
      <c r="E1250" s="637">
        <f t="shared" si="45"/>
        <v>48.424095238095241</v>
      </c>
    </row>
    <row r="1251" spans="1:5">
      <c r="A1251">
        <v>22113</v>
      </c>
      <c r="B1251">
        <v>2300</v>
      </c>
      <c r="C1251" s="455">
        <v>11.622999999999999</v>
      </c>
      <c r="D1251" s="637">
        <f t="shared" si="44"/>
        <v>24.214583333333326</v>
      </c>
      <c r="E1251" s="637">
        <f t="shared" si="45"/>
        <v>51.750023809523817</v>
      </c>
    </row>
    <row r="1252" spans="1:5">
      <c r="A1252">
        <v>22113</v>
      </c>
      <c r="B1252">
        <v>2400</v>
      </c>
      <c r="C1252" s="455">
        <v>11.303000000000001</v>
      </c>
      <c r="D1252" s="637">
        <f t="shared" si="44"/>
        <v>23.547916666666662</v>
      </c>
      <c r="E1252" s="637">
        <f t="shared" si="45"/>
        <v>50.325261904761916</v>
      </c>
    </row>
    <row r="1253" spans="1:5">
      <c r="A1253">
        <v>22213</v>
      </c>
      <c r="B1253">
        <v>100</v>
      </c>
      <c r="C1253" s="455">
        <v>11.167999999999999</v>
      </c>
      <c r="D1253" s="637">
        <f t="shared" si="44"/>
        <v>23.266666666666659</v>
      </c>
      <c r="E1253" s="637">
        <f t="shared" si="45"/>
        <v>49.724190476190486</v>
      </c>
    </row>
    <row r="1254" spans="1:5">
      <c r="A1254">
        <v>22213</v>
      </c>
      <c r="B1254">
        <v>200</v>
      </c>
      <c r="C1254" s="455">
        <v>12.038</v>
      </c>
      <c r="D1254" s="637">
        <f t="shared" si="44"/>
        <v>25.079166666666662</v>
      </c>
      <c r="E1254" s="637">
        <f t="shared" si="45"/>
        <v>53.597761904761917</v>
      </c>
    </row>
    <row r="1255" spans="1:5">
      <c r="A1255">
        <v>22213</v>
      </c>
      <c r="B1255">
        <v>300</v>
      </c>
      <c r="C1255" s="455">
        <v>11.555999999999999</v>
      </c>
      <c r="D1255" s="637">
        <f t="shared" si="44"/>
        <v>24.074999999999992</v>
      </c>
      <c r="E1255" s="637">
        <f t="shared" si="45"/>
        <v>51.451714285714289</v>
      </c>
    </row>
    <row r="1256" spans="1:5">
      <c r="A1256">
        <v>22213</v>
      </c>
      <c r="B1256">
        <v>400</v>
      </c>
      <c r="C1256" s="455">
        <v>11.965</v>
      </c>
      <c r="D1256" s="637">
        <f t="shared" si="44"/>
        <v>24.927083333333329</v>
      </c>
      <c r="E1256" s="637">
        <f t="shared" si="45"/>
        <v>53.272738095238111</v>
      </c>
    </row>
    <row r="1257" spans="1:5">
      <c r="A1257">
        <v>22213</v>
      </c>
      <c r="B1257">
        <v>500</v>
      </c>
      <c r="C1257" s="455">
        <v>11.821</v>
      </c>
      <c r="D1257" s="637">
        <f t="shared" si="44"/>
        <v>24.627083333333324</v>
      </c>
      <c r="E1257" s="637">
        <f t="shared" si="45"/>
        <v>52.631595238095244</v>
      </c>
    </row>
    <row r="1258" spans="1:5">
      <c r="A1258">
        <v>22213</v>
      </c>
      <c r="B1258">
        <v>600</v>
      </c>
      <c r="C1258" s="455">
        <v>11.938000000000001</v>
      </c>
      <c r="D1258" s="637">
        <f t="shared" si="44"/>
        <v>24.87083333333333</v>
      </c>
      <c r="E1258" s="637">
        <f t="shared" si="45"/>
        <v>53.152523809523821</v>
      </c>
    </row>
    <row r="1259" spans="1:5">
      <c r="A1259">
        <v>22213</v>
      </c>
      <c r="B1259">
        <v>700</v>
      </c>
      <c r="C1259" s="455">
        <v>11.31</v>
      </c>
      <c r="D1259" s="637">
        <f t="shared" si="44"/>
        <v>23.562499999999996</v>
      </c>
      <c r="E1259" s="637">
        <f t="shared" si="45"/>
        <v>50.356428571428587</v>
      </c>
    </row>
    <row r="1260" spans="1:5">
      <c r="A1260">
        <v>22213</v>
      </c>
      <c r="B1260">
        <v>800</v>
      </c>
      <c r="C1260" s="455">
        <v>9.8510000000000009</v>
      </c>
      <c r="D1260" s="637">
        <f t="shared" si="44"/>
        <v>20.522916666666664</v>
      </c>
      <c r="E1260" s="637">
        <f t="shared" si="45"/>
        <v>43.860404761904775</v>
      </c>
    </row>
    <row r="1261" spans="1:5">
      <c r="A1261">
        <v>22213</v>
      </c>
      <c r="B1261">
        <v>900</v>
      </c>
      <c r="C1261" s="455">
        <v>0.46300000000000002</v>
      </c>
      <c r="D1261" s="637">
        <f t="shared" si="44"/>
        <v>0.96458333333333313</v>
      </c>
      <c r="E1261" s="637">
        <f t="shared" si="45"/>
        <v>2.0614523809523813</v>
      </c>
    </row>
    <row r="1262" spans="1:5">
      <c r="A1262">
        <v>22213</v>
      </c>
      <c r="B1262">
        <v>1000</v>
      </c>
      <c r="C1262" s="455">
        <v>0</v>
      </c>
      <c r="D1262" s="637">
        <f t="shared" ref="D1262:D1325" si="46">(C1262/(MAX($C$749:$C$1420)))*$W$6</f>
        <v>0</v>
      </c>
      <c r="E1262" s="637">
        <f t="shared" ref="E1262:E1325" si="47">(C1262/(MAX($C$749:$C$1420)))*$P$6</f>
        <v>0</v>
      </c>
    </row>
    <row r="1263" spans="1:5">
      <c r="A1263">
        <v>22213</v>
      </c>
      <c r="B1263">
        <v>1100</v>
      </c>
      <c r="C1263" s="455">
        <v>0</v>
      </c>
      <c r="D1263" s="637">
        <f t="shared" si="46"/>
        <v>0</v>
      </c>
      <c r="E1263" s="637">
        <f t="shared" si="47"/>
        <v>0</v>
      </c>
    </row>
    <row r="1264" spans="1:5">
      <c r="A1264">
        <v>22213</v>
      </c>
      <c r="B1264">
        <v>1200</v>
      </c>
      <c r="C1264" s="455">
        <v>0</v>
      </c>
      <c r="D1264" s="637">
        <f t="shared" si="46"/>
        <v>0</v>
      </c>
      <c r="E1264" s="637">
        <f t="shared" si="47"/>
        <v>0</v>
      </c>
    </row>
    <row r="1265" spans="1:5">
      <c r="A1265">
        <v>22213</v>
      </c>
      <c r="B1265">
        <v>1300</v>
      </c>
      <c r="C1265" s="455">
        <v>0</v>
      </c>
      <c r="D1265" s="637">
        <f t="shared" si="46"/>
        <v>0</v>
      </c>
      <c r="E1265" s="637">
        <f t="shared" si="47"/>
        <v>0</v>
      </c>
    </row>
    <row r="1266" spans="1:5">
      <c r="A1266">
        <v>22213</v>
      </c>
      <c r="B1266">
        <v>1400</v>
      </c>
      <c r="C1266" s="455">
        <v>0</v>
      </c>
      <c r="D1266" s="637">
        <f t="shared" si="46"/>
        <v>0</v>
      </c>
      <c r="E1266" s="637">
        <f t="shared" si="47"/>
        <v>0</v>
      </c>
    </row>
    <row r="1267" spans="1:5">
      <c r="A1267">
        <v>22213</v>
      </c>
      <c r="B1267">
        <v>1500</v>
      </c>
      <c r="C1267" s="455">
        <v>0</v>
      </c>
      <c r="D1267" s="637">
        <f t="shared" si="46"/>
        <v>0</v>
      </c>
      <c r="E1267" s="637">
        <f t="shared" si="47"/>
        <v>0</v>
      </c>
    </row>
    <row r="1268" spans="1:5">
      <c r="A1268">
        <v>22213</v>
      </c>
      <c r="B1268">
        <v>1600</v>
      </c>
      <c r="C1268" s="455">
        <v>0</v>
      </c>
      <c r="D1268" s="637">
        <f t="shared" si="46"/>
        <v>0</v>
      </c>
      <c r="E1268" s="637">
        <f t="shared" si="47"/>
        <v>0</v>
      </c>
    </row>
    <row r="1269" spans="1:5">
      <c r="A1269">
        <v>22213</v>
      </c>
      <c r="B1269">
        <v>1700</v>
      </c>
      <c r="C1269" s="455">
        <v>1.04</v>
      </c>
      <c r="D1269" s="637">
        <f t="shared" si="46"/>
        <v>2.1666666666666661</v>
      </c>
      <c r="E1269" s="637">
        <f t="shared" si="47"/>
        <v>4.6304761904761911</v>
      </c>
    </row>
    <row r="1270" spans="1:5">
      <c r="A1270">
        <v>22213</v>
      </c>
      <c r="B1270">
        <v>1800</v>
      </c>
      <c r="C1270" s="455">
        <v>10.741</v>
      </c>
      <c r="D1270" s="637">
        <f t="shared" si="46"/>
        <v>22.377083333333328</v>
      </c>
      <c r="E1270" s="637">
        <f t="shared" si="47"/>
        <v>47.823023809523818</v>
      </c>
    </row>
    <row r="1271" spans="1:5">
      <c r="A1271">
        <v>22213</v>
      </c>
      <c r="B1271">
        <v>1900</v>
      </c>
      <c r="C1271" s="455">
        <v>10.715</v>
      </c>
      <c r="D1271" s="637">
        <f t="shared" si="46"/>
        <v>22.322916666666661</v>
      </c>
      <c r="E1271" s="637">
        <f t="shared" si="47"/>
        <v>47.707261904761907</v>
      </c>
    </row>
    <row r="1272" spans="1:5">
      <c r="A1272">
        <v>22213</v>
      </c>
      <c r="B1272">
        <v>2000</v>
      </c>
      <c r="C1272" s="455">
        <v>10.058</v>
      </c>
      <c r="D1272" s="637">
        <f t="shared" si="46"/>
        <v>20.954166666666662</v>
      </c>
      <c r="E1272" s="637">
        <f t="shared" si="47"/>
        <v>44.782047619047624</v>
      </c>
    </row>
    <row r="1273" spans="1:5">
      <c r="A1273">
        <v>22213</v>
      </c>
      <c r="B1273">
        <v>2100</v>
      </c>
      <c r="C1273" s="455">
        <v>10.307</v>
      </c>
      <c r="D1273" s="637">
        <f t="shared" si="46"/>
        <v>21.472916666666663</v>
      </c>
      <c r="E1273" s="637">
        <f t="shared" si="47"/>
        <v>45.890690476190485</v>
      </c>
    </row>
    <row r="1274" spans="1:5">
      <c r="A1274">
        <v>22213</v>
      </c>
      <c r="B1274">
        <v>2200</v>
      </c>
      <c r="C1274" s="455">
        <v>7.4779999999999998</v>
      </c>
      <c r="D1274" s="637">
        <f t="shared" si="46"/>
        <v>15.579166666666662</v>
      </c>
      <c r="E1274" s="637">
        <f t="shared" si="47"/>
        <v>33.294904761904768</v>
      </c>
    </row>
    <row r="1275" spans="1:5">
      <c r="A1275">
        <v>22213</v>
      </c>
      <c r="B1275">
        <v>2300</v>
      </c>
      <c r="C1275" s="455">
        <v>7.03</v>
      </c>
      <c r="D1275" s="637">
        <f t="shared" si="46"/>
        <v>14.64583333333333</v>
      </c>
      <c r="E1275" s="637">
        <f t="shared" si="47"/>
        <v>31.300238095238104</v>
      </c>
    </row>
    <row r="1276" spans="1:5">
      <c r="A1276">
        <v>22213</v>
      </c>
      <c r="B1276">
        <v>2400</v>
      </c>
      <c r="C1276" s="455">
        <v>7.3230000000000004</v>
      </c>
      <c r="D1276" s="637">
        <f t="shared" si="46"/>
        <v>15.256249999999998</v>
      </c>
      <c r="E1276" s="637">
        <f t="shared" si="47"/>
        <v>32.604785714285725</v>
      </c>
    </row>
    <row r="1277" spans="1:5">
      <c r="A1277">
        <v>22313</v>
      </c>
      <c r="B1277">
        <v>100</v>
      </c>
      <c r="C1277" s="455">
        <v>7.375</v>
      </c>
      <c r="D1277" s="637">
        <f t="shared" si="46"/>
        <v>15.36458333333333</v>
      </c>
      <c r="E1277" s="637">
        <f t="shared" si="47"/>
        <v>32.836309523809533</v>
      </c>
    </row>
    <row r="1278" spans="1:5">
      <c r="A1278">
        <v>22313</v>
      </c>
      <c r="B1278">
        <v>200</v>
      </c>
      <c r="C1278" s="455">
        <v>7.38</v>
      </c>
      <c r="D1278" s="637">
        <f t="shared" si="46"/>
        <v>15.374999999999996</v>
      </c>
      <c r="E1278" s="637">
        <f t="shared" si="47"/>
        <v>32.858571428571437</v>
      </c>
    </row>
    <row r="1279" spans="1:5">
      <c r="A1279">
        <v>22313</v>
      </c>
      <c r="B1279">
        <v>300</v>
      </c>
      <c r="C1279" s="455">
        <v>7.5209999999999999</v>
      </c>
      <c r="D1279" s="637">
        <f t="shared" si="46"/>
        <v>15.668749999999996</v>
      </c>
      <c r="E1279" s="637">
        <f t="shared" si="47"/>
        <v>33.486357142857152</v>
      </c>
    </row>
    <row r="1280" spans="1:5">
      <c r="A1280">
        <v>22313</v>
      </c>
      <c r="B1280">
        <v>400</v>
      </c>
      <c r="C1280" s="455">
        <v>7.1840000000000002</v>
      </c>
      <c r="D1280" s="637">
        <f t="shared" si="46"/>
        <v>14.966666666666663</v>
      </c>
      <c r="E1280" s="637">
        <f t="shared" si="47"/>
        <v>31.985904761904767</v>
      </c>
    </row>
    <row r="1281" spans="1:5">
      <c r="A1281">
        <v>22313</v>
      </c>
      <c r="B1281">
        <v>500</v>
      </c>
      <c r="C1281" s="455">
        <v>7.2560000000000002</v>
      </c>
      <c r="D1281" s="637">
        <f t="shared" si="46"/>
        <v>15.116666666666662</v>
      </c>
      <c r="E1281" s="637">
        <f t="shared" si="47"/>
        <v>32.306476190476197</v>
      </c>
    </row>
    <row r="1282" spans="1:5">
      <c r="A1282">
        <v>22313</v>
      </c>
      <c r="B1282">
        <v>600</v>
      </c>
      <c r="C1282" s="455">
        <v>7.3319999999999999</v>
      </c>
      <c r="D1282" s="637">
        <f t="shared" si="46"/>
        <v>15.274999999999995</v>
      </c>
      <c r="E1282" s="637">
        <f t="shared" si="47"/>
        <v>32.644857142857148</v>
      </c>
    </row>
    <row r="1283" spans="1:5">
      <c r="A1283">
        <v>22313</v>
      </c>
      <c r="B1283">
        <v>700</v>
      </c>
      <c r="C1283" s="455">
        <v>7.2169999999999996</v>
      </c>
      <c r="D1283" s="637">
        <f t="shared" si="46"/>
        <v>15.035416666666663</v>
      </c>
      <c r="E1283" s="637">
        <f t="shared" si="47"/>
        <v>32.132833333333338</v>
      </c>
    </row>
    <row r="1284" spans="1:5">
      <c r="A1284">
        <v>22313</v>
      </c>
      <c r="B1284">
        <v>800</v>
      </c>
      <c r="C1284" s="455">
        <v>6.0590000000000002</v>
      </c>
      <c r="D1284" s="637">
        <f t="shared" si="46"/>
        <v>12.622916666666663</v>
      </c>
      <c r="E1284" s="637">
        <f t="shared" si="47"/>
        <v>26.976976190476197</v>
      </c>
    </row>
    <row r="1285" spans="1:5">
      <c r="A1285">
        <v>22313</v>
      </c>
      <c r="B1285">
        <v>900</v>
      </c>
      <c r="C1285" s="455">
        <v>0.45600000000000002</v>
      </c>
      <c r="D1285" s="637">
        <f t="shared" si="46"/>
        <v>0.94999999999999984</v>
      </c>
      <c r="E1285" s="637">
        <f t="shared" si="47"/>
        <v>2.0302857142857147</v>
      </c>
    </row>
    <row r="1286" spans="1:5">
      <c r="A1286">
        <v>22313</v>
      </c>
      <c r="B1286">
        <v>1000</v>
      </c>
      <c r="C1286" s="455">
        <v>0</v>
      </c>
      <c r="D1286" s="637">
        <f t="shared" si="46"/>
        <v>0</v>
      </c>
      <c r="E1286" s="637">
        <f t="shared" si="47"/>
        <v>0</v>
      </c>
    </row>
    <row r="1287" spans="1:5">
      <c r="A1287">
        <v>22313</v>
      </c>
      <c r="B1287">
        <v>1100</v>
      </c>
      <c r="C1287" s="455">
        <v>0</v>
      </c>
      <c r="D1287" s="637">
        <f t="shared" si="46"/>
        <v>0</v>
      </c>
      <c r="E1287" s="637">
        <f t="shared" si="47"/>
        <v>0</v>
      </c>
    </row>
    <row r="1288" spans="1:5">
      <c r="A1288">
        <v>22313</v>
      </c>
      <c r="B1288">
        <v>1200</v>
      </c>
      <c r="C1288" s="455">
        <v>0</v>
      </c>
      <c r="D1288" s="637">
        <f t="shared" si="46"/>
        <v>0</v>
      </c>
      <c r="E1288" s="637">
        <f t="shared" si="47"/>
        <v>0</v>
      </c>
    </row>
    <row r="1289" spans="1:5">
      <c r="A1289">
        <v>22313</v>
      </c>
      <c r="B1289">
        <v>1300</v>
      </c>
      <c r="C1289" s="455">
        <v>0</v>
      </c>
      <c r="D1289" s="637">
        <f t="shared" si="46"/>
        <v>0</v>
      </c>
      <c r="E1289" s="637">
        <f t="shared" si="47"/>
        <v>0</v>
      </c>
    </row>
    <row r="1290" spans="1:5">
      <c r="A1290">
        <v>22313</v>
      </c>
      <c r="B1290">
        <v>1400</v>
      </c>
      <c r="C1290" s="455">
        <v>0</v>
      </c>
      <c r="D1290" s="637">
        <f t="shared" si="46"/>
        <v>0</v>
      </c>
      <c r="E1290" s="637">
        <f t="shared" si="47"/>
        <v>0</v>
      </c>
    </row>
    <row r="1291" spans="1:5">
      <c r="A1291">
        <v>22313</v>
      </c>
      <c r="B1291">
        <v>1500</v>
      </c>
      <c r="C1291" s="455">
        <v>0</v>
      </c>
      <c r="D1291" s="637">
        <f t="shared" si="46"/>
        <v>0</v>
      </c>
      <c r="E1291" s="637">
        <f t="shared" si="47"/>
        <v>0</v>
      </c>
    </row>
    <row r="1292" spans="1:5">
      <c r="A1292">
        <v>22313</v>
      </c>
      <c r="B1292">
        <v>1600</v>
      </c>
      <c r="C1292" s="455">
        <v>0</v>
      </c>
      <c r="D1292" s="637">
        <f t="shared" si="46"/>
        <v>0</v>
      </c>
      <c r="E1292" s="637">
        <f t="shared" si="47"/>
        <v>0</v>
      </c>
    </row>
    <row r="1293" spans="1:5">
      <c r="A1293">
        <v>22313</v>
      </c>
      <c r="B1293">
        <v>1700</v>
      </c>
      <c r="C1293" s="455">
        <v>1E-3</v>
      </c>
      <c r="D1293" s="637">
        <f t="shared" si="46"/>
        <v>2.0833333333333329E-3</v>
      </c>
      <c r="E1293" s="637">
        <f t="shared" si="47"/>
        <v>4.4523809523809533E-3</v>
      </c>
    </row>
    <row r="1294" spans="1:5">
      <c r="A1294">
        <v>22313</v>
      </c>
      <c r="B1294">
        <v>1800</v>
      </c>
      <c r="C1294" s="455">
        <v>1.726</v>
      </c>
      <c r="D1294" s="637">
        <f t="shared" si="46"/>
        <v>3.5958333333333323</v>
      </c>
      <c r="E1294" s="637">
        <f t="shared" si="47"/>
        <v>7.6848095238095251</v>
      </c>
    </row>
    <row r="1295" spans="1:5">
      <c r="A1295">
        <v>22313</v>
      </c>
      <c r="B1295">
        <v>1900</v>
      </c>
      <c r="C1295" s="455">
        <v>7.9960000000000004</v>
      </c>
      <c r="D1295" s="637">
        <f t="shared" si="46"/>
        <v>16.658333333333328</v>
      </c>
      <c r="E1295" s="637">
        <f t="shared" si="47"/>
        <v>35.601238095238102</v>
      </c>
    </row>
    <row r="1296" spans="1:5">
      <c r="A1296">
        <v>22313</v>
      </c>
      <c r="B1296">
        <v>2000</v>
      </c>
      <c r="C1296" s="455">
        <v>6.8280000000000003</v>
      </c>
      <c r="D1296" s="637">
        <f t="shared" si="46"/>
        <v>14.224999999999998</v>
      </c>
      <c r="E1296" s="637">
        <f t="shared" si="47"/>
        <v>30.400857142857149</v>
      </c>
    </row>
    <row r="1297" spans="1:5">
      <c r="A1297">
        <v>22313</v>
      </c>
      <c r="B1297">
        <v>2100</v>
      </c>
      <c r="C1297" s="455">
        <v>6.7439999999999998</v>
      </c>
      <c r="D1297" s="637">
        <f t="shared" si="46"/>
        <v>14.049999999999995</v>
      </c>
      <c r="E1297" s="637">
        <f t="shared" si="47"/>
        <v>30.026857142857146</v>
      </c>
    </row>
    <row r="1298" spans="1:5">
      <c r="A1298">
        <v>22313</v>
      </c>
      <c r="B1298">
        <v>2200</v>
      </c>
      <c r="C1298" s="455">
        <v>6.89</v>
      </c>
      <c r="D1298" s="637">
        <f t="shared" si="46"/>
        <v>14.354166666666663</v>
      </c>
      <c r="E1298" s="637">
        <f t="shared" si="47"/>
        <v>30.676904761904769</v>
      </c>
    </row>
    <row r="1299" spans="1:5">
      <c r="A1299">
        <v>22313</v>
      </c>
      <c r="B1299">
        <v>2300</v>
      </c>
      <c r="C1299" s="455">
        <v>6.6340000000000003</v>
      </c>
      <c r="D1299" s="637">
        <f t="shared" si="46"/>
        <v>13.820833333333329</v>
      </c>
      <c r="E1299" s="637">
        <f t="shared" si="47"/>
        <v>29.537095238095244</v>
      </c>
    </row>
    <row r="1300" spans="1:5">
      <c r="A1300">
        <v>22313</v>
      </c>
      <c r="B1300">
        <v>2400</v>
      </c>
      <c r="C1300" s="455">
        <v>7.09</v>
      </c>
      <c r="D1300" s="637">
        <f t="shared" si="46"/>
        <v>14.770833333333329</v>
      </c>
      <c r="E1300" s="637">
        <f t="shared" si="47"/>
        <v>31.567380952380955</v>
      </c>
    </row>
    <row r="1301" spans="1:5">
      <c r="A1301">
        <v>22413</v>
      </c>
      <c r="B1301">
        <v>100</v>
      </c>
      <c r="C1301" s="455">
        <v>6.577</v>
      </c>
      <c r="D1301" s="637">
        <f t="shared" si="46"/>
        <v>13.702083333333331</v>
      </c>
      <c r="E1301" s="637">
        <f t="shared" si="47"/>
        <v>29.283309523809532</v>
      </c>
    </row>
    <row r="1302" spans="1:5">
      <c r="A1302">
        <v>22413</v>
      </c>
      <c r="B1302">
        <v>200</v>
      </c>
      <c r="C1302" s="455">
        <v>6.9649999999999999</v>
      </c>
      <c r="D1302" s="637">
        <f t="shared" si="46"/>
        <v>14.510416666666663</v>
      </c>
      <c r="E1302" s="637">
        <f t="shared" si="47"/>
        <v>31.010833333333338</v>
      </c>
    </row>
    <row r="1303" spans="1:5">
      <c r="A1303">
        <v>22413</v>
      </c>
      <c r="B1303">
        <v>300</v>
      </c>
      <c r="C1303" s="455">
        <v>6.8369999999999997</v>
      </c>
      <c r="D1303" s="637">
        <f t="shared" si="46"/>
        <v>14.243749999999995</v>
      </c>
      <c r="E1303" s="637">
        <f t="shared" si="47"/>
        <v>30.440928571428575</v>
      </c>
    </row>
    <row r="1304" spans="1:5">
      <c r="A1304">
        <v>22413</v>
      </c>
      <c r="B1304">
        <v>400</v>
      </c>
      <c r="C1304" s="455">
        <v>6.7430000000000003</v>
      </c>
      <c r="D1304" s="637">
        <f t="shared" si="46"/>
        <v>14.047916666666664</v>
      </c>
      <c r="E1304" s="637">
        <f t="shared" si="47"/>
        <v>30.02240476190477</v>
      </c>
    </row>
    <row r="1305" spans="1:5">
      <c r="A1305">
        <v>22413</v>
      </c>
      <c r="B1305">
        <v>500</v>
      </c>
      <c r="C1305" s="455">
        <v>6.74</v>
      </c>
      <c r="D1305" s="637">
        <f t="shared" si="46"/>
        <v>14.041666666666664</v>
      </c>
      <c r="E1305" s="637">
        <f t="shared" si="47"/>
        <v>30.009047619047628</v>
      </c>
    </row>
    <row r="1306" spans="1:5">
      <c r="A1306">
        <v>22413</v>
      </c>
      <c r="B1306">
        <v>600</v>
      </c>
      <c r="C1306" s="455">
        <v>7.0430000000000001</v>
      </c>
      <c r="D1306" s="637">
        <f t="shared" si="46"/>
        <v>14.672916666666664</v>
      </c>
      <c r="E1306" s="637">
        <f t="shared" si="47"/>
        <v>31.358119047619056</v>
      </c>
    </row>
    <row r="1307" spans="1:5">
      <c r="A1307">
        <v>22413</v>
      </c>
      <c r="B1307">
        <v>700</v>
      </c>
      <c r="C1307" s="455">
        <v>7.3179999999999996</v>
      </c>
      <c r="D1307" s="637">
        <f t="shared" si="46"/>
        <v>15.245833333333328</v>
      </c>
      <c r="E1307" s="637">
        <f t="shared" si="47"/>
        <v>32.582523809523813</v>
      </c>
    </row>
    <row r="1308" spans="1:5">
      <c r="A1308">
        <v>22413</v>
      </c>
      <c r="B1308">
        <v>800</v>
      </c>
      <c r="C1308" s="455">
        <v>7.9009999999999998</v>
      </c>
      <c r="D1308" s="637">
        <f t="shared" si="46"/>
        <v>16.46041666666666</v>
      </c>
      <c r="E1308" s="637">
        <f t="shared" si="47"/>
        <v>35.178261904761911</v>
      </c>
    </row>
    <row r="1309" spans="1:5">
      <c r="A1309">
        <v>22413</v>
      </c>
      <c r="B1309">
        <v>900</v>
      </c>
      <c r="C1309" s="455">
        <v>0.36099999999999999</v>
      </c>
      <c r="D1309" s="637">
        <f t="shared" si="46"/>
        <v>0.75208333333333321</v>
      </c>
      <c r="E1309" s="637">
        <f t="shared" si="47"/>
        <v>1.6073095238095241</v>
      </c>
    </row>
    <row r="1310" spans="1:5">
      <c r="A1310">
        <v>22413</v>
      </c>
      <c r="B1310">
        <v>1000</v>
      </c>
      <c r="C1310" s="455">
        <v>1E-3</v>
      </c>
      <c r="D1310" s="637">
        <f t="shared" si="46"/>
        <v>2.0833333333333329E-3</v>
      </c>
      <c r="E1310" s="637">
        <f t="shared" si="47"/>
        <v>4.4523809523809533E-3</v>
      </c>
    </row>
    <row r="1311" spans="1:5">
      <c r="A1311">
        <v>22413</v>
      </c>
      <c r="B1311">
        <v>1100</v>
      </c>
      <c r="C1311" s="455">
        <v>0</v>
      </c>
      <c r="D1311" s="637">
        <f t="shared" si="46"/>
        <v>0</v>
      </c>
      <c r="E1311" s="637">
        <f t="shared" si="47"/>
        <v>0</v>
      </c>
    </row>
    <row r="1312" spans="1:5">
      <c r="A1312">
        <v>22413</v>
      </c>
      <c r="B1312">
        <v>1200</v>
      </c>
      <c r="C1312" s="455">
        <v>0</v>
      </c>
      <c r="D1312" s="637">
        <f t="shared" si="46"/>
        <v>0</v>
      </c>
      <c r="E1312" s="637">
        <f t="shared" si="47"/>
        <v>0</v>
      </c>
    </row>
    <row r="1313" spans="1:5">
      <c r="A1313">
        <v>22413</v>
      </c>
      <c r="B1313">
        <v>1300</v>
      </c>
      <c r="C1313" s="455">
        <v>0</v>
      </c>
      <c r="D1313" s="637">
        <f t="shared" si="46"/>
        <v>0</v>
      </c>
      <c r="E1313" s="637">
        <f t="shared" si="47"/>
        <v>0</v>
      </c>
    </row>
    <row r="1314" spans="1:5">
      <c r="A1314">
        <v>22413</v>
      </c>
      <c r="B1314">
        <v>1400</v>
      </c>
      <c r="C1314" s="455">
        <v>0</v>
      </c>
      <c r="D1314" s="637">
        <f t="shared" si="46"/>
        <v>0</v>
      </c>
      <c r="E1314" s="637">
        <f t="shared" si="47"/>
        <v>0</v>
      </c>
    </row>
    <row r="1315" spans="1:5">
      <c r="A1315">
        <v>22413</v>
      </c>
      <c r="B1315">
        <v>1500</v>
      </c>
      <c r="C1315" s="455">
        <v>0</v>
      </c>
      <c r="D1315" s="637">
        <f t="shared" si="46"/>
        <v>0</v>
      </c>
      <c r="E1315" s="637">
        <f t="shared" si="47"/>
        <v>0</v>
      </c>
    </row>
    <row r="1316" spans="1:5">
      <c r="A1316">
        <v>22413</v>
      </c>
      <c r="B1316">
        <v>1600</v>
      </c>
      <c r="C1316" s="455">
        <v>0</v>
      </c>
      <c r="D1316" s="637">
        <f t="shared" si="46"/>
        <v>0</v>
      </c>
      <c r="E1316" s="637">
        <f t="shared" si="47"/>
        <v>0</v>
      </c>
    </row>
    <row r="1317" spans="1:5">
      <c r="A1317">
        <v>22413</v>
      </c>
      <c r="B1317">
        <v>1700</v>
      </c>
      <c r="C1317" s="455">
        <v>0</v>
      </c>
      <c r="D1317" s="637">
        <f t="shared" si="46"/>
        <v>0</v>
      </c>
      <c r="E1317" s="637">
        <f t="shared" si="47"/>
        <v>0</v>
      </c>
    </row>
    <row r="1318" spans="1:5">
      <c r="A1318">
        <v>22413</v>
      </c>
      <c r="B1318">
        <v>1800</v>
      </c>
      <c r="C1318" s="455">
        <v>3.9830000000000001</v>
      </c>
      <c r="D1318" s="637">
        <f t="shared" si="46"/>
        <v>8.2979166666666657</v>
      </c>
      <c r="E1318" s="637">
        <f t="shared" si="47"/>
        <v>17.733833333333337</v>
      </c>
    </row>
    <row r="1319" spans="1:5">
      <c r="A1319">
        <v>22413</v>
      </c>
      <c r="B1319">
        <v>1900</v>
      </c>
      <c r="C1319" s="455">
        <v>7.4370000000000003</v>
      </c>
      <c r="D1319" s="637">
        <f t="shared" si="46"/>
        <v>15.493749999999997</v>
      </c>
      <c r="E1319" s="637">
        <f t="shared" si="47"/>
        <v>33.112357142857149</v>
      </c>
    </row>
    <row r="1320" spans="1:5">
      <c r="A1320">
        <v>22413</v>
      </c>
      <c r="B1320">
        <v>2000</v>
      </c>
      <c r="C1320" s="455">
        <v>6.8289999999999997</v>
      </c>
      <c r="D1320" s="637">
        <f t="shared" si="46"/>
        <v>14.227083333333329</v>
      </c>
      <c r="E1320" s="637">
        <f t="shared" si="47"/>
        <v>30.405309523809528</v>
      </c>
    </row>
    <row r="1321" spans="1:5">
      <c r="A1321">
        <v>22413</v>
      </c>
      <c r="B1321">
        <v>2100</v>
      </c>
      <c r="C1321" s="455">
        <v>6.8890000000000002</v>
      </c>
      <c r="D1321" s="637">
        <f t="shared" si="46"/>
        <v>14.352083333333329</v>
      </c>
      <c r="E1321" s="637">
        <f t="shared" si="47"/>
        <v>30.672452380952386</v>
      </c>
    </row>
    <row r="1322" spans="1:5">
      <c r="A1322">
        <v>22413</v>
      </c>
      <c r="B1322">
        <v>2200</v>
      </c>
      <c r="C1322" s="455">
        <v>6.7850000000000001</v>
      </c>
      <c r="D1322" s="637">
        <f t="shared" si="46"/>
        <v>14.135416666666664</v>
      </c>
      <c r="E1322" s="637">
        <f t="shared" si="47"/>
        <v>30.209404761904771</v>
      </c>
    </row>
    <row r="1323" spans="1:5">
      <c r="A1323">
        <v>22413</v>
      </c>
      <c r="B1323">
        <v>2300</v>
      </c>
      <c r="C1323" s="455">
        <v>6.8449999999999998</v>
      </c>
      <c r="D1323" s="637">
        <f t="shared" si="46"/>
        <v>14.260416666666663</v>
      </c>
      <c r="E1323" s="637">
        <f t="shared" si="47"/>
        <v>30.476547619047622</v>
      </c>
    </row>
    <row r="1324" spans="1:5">
      <c r="A1324">
        <v>22413</v>
      </c>
      <c r="B1324">
        <v>2400</v>
      </c>
      <c r="C1324" s="455">
        <v>6.9530000000000003</v>
      </c>
      <c r="D1324" s="637">
        <f t="shared" si="46"/>
        <v>14.485416666666662</v>
      </c>
      <c r="E1324" s="637">
        <f t="shared" si="47"/>
        <v>30.957404761904765</v>
      </c>
    </row>
    <row r="1325" spans="1:5">
      <c r="A1325">
        <v>22513</v>
      </c>
      <c r="B1325">
        <v>100</v>
      </c>
      <c r="C1325" s="455">
        <v>6.6639999999999997</v>
      </c>
      <c r="D1325" s="637">
        <f t="shared" si="46"/>
        <v>13.883333333333329</v>
      </c>
      <c r="E1325" s="637">
        <f t="shared" si="47"/>
        <v>29.670666666666673</v>
      </c>
    </row>
    <row r="1326" spans="1:5">
      <c r="A1326">
        <v>22513</v>
      </c>
      <c r="B1326">
        <v>200</v>
      </c>
      <c r="C1326" s="455">
        <v>6.81</v>
      </c>
      <c r="D1326" s="637">
        <f t="shared" ref="D1326:D1389" si="48">(C1326/(MAX($C$749:$C$1420)))*$W$6</f>
        <v>14.187499999999995</v>
      </c>
      <c r="E1326" s="637">
        <f t="shared" ref="E1326:E1389" si="49">(C1326/(MAX($C$749:$C$1420)))*$P$6</f>
        <v>30.320714285714288</v>
      </c>
    </row>
    <row r="1327" spans="1:5">
      <c r="A1327">
        <v>22513</v>
      </c>
      <c r="B1327">
        <v>300</v>
      </c>
      <c r="C1327" s="455">
        <v>6.7619999999999996</v>
      </c>
      <c r="D1327" s="637">
        <f t="shared" si="48"/>
        <v>14.087499999999995</v>
      </c>
      <c r="E1327" s="637">
        <f t="shared" si="49"/>
        <v>30.107000000000003</v>
      </c>
    </row>
    <row r="1328" spans="1:5">
      <c r="A1328">
        <v>22513</v>
      </c>
      <c r="B1328">
        <v>400</v>
      </c>
      <c r="C1328" s="455">
        <v>6.9610000000000003</v>
      </c>
      <c r="D1328" s="637">
        <f t="shared" si="48"/>
        <v>14.50208333333333</v>
      </c>
      <c r="E1328" s="637">
        <f t="shared" si="49"/>
        <v>30.993023809523816</v>
      </c>
    </row>
    <row r="1329" spans="1:5">
      <c r="A1329">
        <v>22513</v>
      </c>
      <c r="B1329">
        <v>500</v>
      </c>
      <c r="C1329" s="455">
        <v>6.6680000000000001</v>
      </c>
      <c r="D1329" s="637">
        <f t="shared" si="48"/>
        <v>13.891666666666664</v>
      </c>
      <c r="E1329" s="637">
        <f t="shared" si="49"/>
        <v>29.688476190476194</v>
      </c>
    </row>
    <row r="1330" spans="1:5">
      <c r="A1330">
        <v>22513</v>
      </c>
      <c r="B1330">
        <v>600</v>
      </c>
      <c r="C1330" s="455">
        <v>6.7489999999999997</v>
      </c>
      <c r="D1330" s="637">
        <f t="shared" si="48"/>
        <v>14.060416666666663</v>
      </c>
      <c r="E1330" s="637">
        <f t="shared" si="49"/>
        <v>30.049119047619051</v>
      </c>
    </row>
    <row r="1331" spans="1:5">
      <c r="A1331">
        <v>22513</v>
      </c>
      <c r="B1331">
        <v>700</v>
      </c>
      <c r="C1331" s="455">
        <v>6.8979999999999997</v>
      </c>
      <c r="D1331" s="637">
        <f t="shared" si="48"/>
        <v>14.37083333333333</v>
      </c>
      <c r="E1331" s="637">
        <f t="shared" si="49"/>
        <v>30.712523809523816</v>
      </c>
    </row>
    <row r="1332" spans="1:5">
      <c r="A1332">
        <v>22513</v>
      </c>
      <c r="B1332">
        <v>800</v>
      </c>
      <c r="C1332" s="455">
        <v>7.1070000000000002</v>
      </c>
      <c r="D1332" s="637">
        <f t="shared" si="48"/>
        <v>14.806249999999997</v>
      </c>
      <c r="E1332" s="637">
        <f t="shared" si="49"/>
        <v>31.643071428571435</v>
      </c>
    </row>
    <row r="1333" spans="1:5">
      <c r="A1333">
        <v>22513</v>
      </c>
      <c r="B1333">
        <v>900</v>
      </c>
      <c r="C1333" s="455">
        <v>0.16300000000000001</v>
      </c>
      <c r="D1333" s="637">
        <f t="shared" si="48"/>
        <v>0.33958333333333324</v>
      </c>
      <c r="E1333" s="637">
        <f t="shared" si="49"/>
        <v>0.7257380952380954</v>
      </c>
    </row>
    <row r="1334" spans="1:5">
      <c r="A1334">
        <v>22513</v>
      </c>
      <c r="B1334">
        <v>1000</v>
      </c>
      <c r="C1334" s="455">
        <v>0</v>
      </c>
      <c r="D1334" s="637">
        <f t="shared" si="48"/>
        <v>0</v>
      </c>
      <c r="E1334" s="637">
        <f t="shared" si="49"/>
        <v>0</v>
      </c>
    </row>
    <row r="1335" spans="1:5">
      <c r="A1335">
        <v>22513</v>
      </c>
      <c r="B1335">
        <v>1100</v>
      </c>
      <c r="C1335" s="455">
        <v>0</v>
      </c>
      <c r="D1335" s="637">
        <f t="shared" si="48"/>
        <v>0</v>
      </c>
      <c r="E1335" s="637">
        <f t="shared" si="49"/>
        <v>0</v>
      </c>
    </row>
    <row r="1336" spans="1:5">
      <c r="A1336">
        <v>22513</v>
      </c>
      <c r="B1336">
        <v>1200</v>
      </c>
      <c r="C1336" s="455">
        <v>0</v>
      </c>
      <c r="D1336" s="637">
        <f t="shared" si="48"/>
        <v>0</v>
      </c>
      <c r="E1336" s="637">
        <f t="shared" si="49"/>
        <v>0</v>
      </c>
    </row>
    <row r="1337" spans="1:5">
      <c r="A1337">
        <v>22513</v>
      </c>
      <c r="B1337">
        <v>1300</v>
      </c>
      <c r="C1337" s="455">
        <v>0</v>
      </c>
      <c r="D1337" s="637">
        <f t="shared" si="48"/>
        <v>0</v>
      </c>
      <c r="E1337" s="637">
        <f t="shared" si="49"/>
        <v>0</v>
      </c>
    </row>
    <row r="1338" spans="1:5">
      <c r="A1338">
        <v>22513</v>
      </c>
      <c r="B1338">
        <v>1400</v>
      </c>
      <c r="C1338" s="455">
        <v>0.14399999999999999</v>
      </c>
      <c r="D1338" s="637">
        <f t="shared" si="48"/>
        <v>0.29999999999999988</v>
      </c>
      <c r="E1338" s="637">
        <f t="shared" si="49"/>
        <v>0.64114285714285713</v>
      </c>
    </row>
    <row r="1339" spans="1:5">
      <c r="A1339">
        <v>22513</v>
      </c>
      <c r="B1339">
        <v>1500</v>
      </c>
      <c r="C1339" s="455">
        <v>0.14399999999999999</v>
      </c>
      <c r="D1339" s="637">
        <f t="shared" si="48"/>
        <v>0.29999999999999988</v>
      </c>
      <c r="E1339" s="637">
        <f t="shared" si="49"/>
        <v>0.64114285714285713</v>
      </c>
    </row>
    <row r="1340" spans="1:5">
      <c r="A1340">
        <v>22513</v>
      </c>
      <c r="B1340">
        <v>1600</v>
      </c>
      <c r="C1340" s="455">
        <v>0</v>
      </c>
      <c r="D1340" s="637">
        <f t="shared" si="48"/>
        <v>0</v>
      </c>
      <c r="E1340" s="637">
        <f t="shared" si="49"/>
        <v>0</v>
      </c>
    </row>
    <row r="1341" spans="1:5">
      <c r="A1341">
        <v>22513</v>
      </c>
      <c r="B1341">
        <v>1700</v>
      </c>
      <c r="C1341" s="455">
        <v>0</v>
      </c>
      <c r="D1341" s="637">
        <f t="shared" si="48"/>
        <v>0</v>
      </c>
      <c r="E1341" s="637">
        <f t="shared" si="49"/>
        <v>0</v>
      </c>
    </row>
    <row r="1342" spans="1:5">
      <c r="A1342">
        <v>22513</v>
      </c>
      <c r="B1342">
        <v>1800</v>
      </c>
      <c r="C1342" s="455">
        <v>3.23</v>
      </c>
      <c r="D1342" s="637">
        <f t="shared" si="48"/>
        <v>6.7291666666666643</v>
      </c>
      <c r="E1342" s="637">
        <f t="shared" si="49"/>
        <v>14.381190476190477</v>
      </c>
    </row>
    <row r="1343" spans="1:5">
      <c r="A1343">
        <v>22513</v>
      </c>
      <c r="B1343">
        <v>1900</v>
      </c>
      <c r="C1343" s="455">
        <v>10.930999999999999</v>
      </c>
      <c r="D1343" s="637">
        <f t="shared" si="48"/>
        <v>22.772916666666656</v>
      </c>
      <c r="E1343" s="637">
        <f t="shared" si="49"/>
        <v>48.668976190476194</v>
      </c>
    </row>
    <row r="1344" spans="1:5">
      <c r="A1344">
        <v>22513</v>
      </c>
      <c r="B1344">
        <v>2000</v>
      </c>
      <c r="C1344" s="455">
        <v>9.6920000000000002</v>
      </c>
      <c r="D1344" s="637">
        <f t="shared" si="48"/>
        <v>20.191666666666663</v>
      </c>
      <c r="E1344" s="637">
        <f t="shared" si="49"/>
        <v>43.1524761904762</v>
      </c>
    </row>
    <row r="1345" spans="1:5">
      <c r="A1345">
        <v>22513</v>
      </c>
      <c r="B1345">
        <v>2100</v>
      </c>
      <c r="C1345" s="455">
        <v>9.9469999999999992</v>
      </c>
      <c r="D1345" s="637">
        <f t="shared" si="48"/>
        <v>20.722916666666663</v>
      </c>
      <c r="E1345" s="637">
        <f t="shared" si="49"/>
        <v>44.287833333333339</v>
      </c>
    </row>
    <row r="1346" spans="1:5">
      <c r="A1346">
        <v>22513</v>
      </c>
      <c r="B1346">
        <v>2200</v>
      </c>
      <c r="C1346" s="455">
        <v>10.121</v>
      </c>
      <c r="D1346" s="637">
        <f t="shared" si="48"/>
        <v>21.085416666666664</v>
      </c>
      <c r="E1346" s="637">
        <f t="shared" si="49"/>
        <v>45.062547619047635</v>
      </c>
    </row>
    <row r="1347" spans="1:5">
      <c r="A1347">
        <v>22513</v>
      </c>
      <c r="B1347">
        <v>2300</v>
      </c>
      <c r="C1347" s="455">
        <v>10.147</v>
      </c>
      <c r="D1347" s="637">
        <f t="shared" si="48"/>
        <v>21.139583333333327</v>
      </c>
      <c r="E1347" s="637">
        <f t="shared" si="49"/>
        <v>45.178309523809531</v>
      </c>
    </row>
    <row r="1348" spans="1:5">
      <c r="A1348">
        <v>22513</v>
      </c>
      <c r="B1348">
        <v>2400</v>
      </c>
      <c r="C1348" s="455">
        <v>10.016</v>
      </c>
      <c r="D1348" s="637">
        <f t="shared" si="48"/>
        <v>20.86666666666666</v>
      </c>
      <c r="E1348" s="637">
        <f t="shared" si="49"/>
        <v>44.595047619047627</v>
      </c>
    </row>
    <row r="1349" spans="1:5">
      <c r="A1349">
        <v>22613</v>
      </c>
      <c r="B1349">
        <v>100</v>
      </c>
      <c r="C1349" s="455">
        <v>10.115</v>
      </c>
      <c r="D1349" s="637">
        <f t="shared" si="48"/>
        <v>21.072916666666661</v>
      </c>
      <c r="E1349" s="637">
        <f t="shared" si="49"/>
        <v>45.035833333333336</v>
      </c>
    </row>
    <row r="1350" spans="1:5">
      <c r="A1350">
        <v>22613</v>
      </c>
      <c r="B1350">
        <v>200</v>
      </c>
      <c r="C1350" s="455">
        <v>9.8339999999999996</v>
      </c>
      <c r="D1350" s="637">
        <f t="shared" si="48"/>
        <v>20.487499999999997</v>
      </c>
      <c r="E1350" s="637">
        <f t="shared" si="49"/>
        <v>43.784714285714294</v>
      </c>
    </row>
    <row r="1351" spans="1:5">
      <c r="A1351">
        <v>22613</v>
      </c>
      <c r="B1351">
        <v>300</v>
      </c>
      <c r="C1351" s="455">
        <v>9.8140000000000001</v>
      </c>
      <c r="D1351" s="637">
        <f t="shared" si="48"/>
        <v>20.445833333333329</v>
      </c>
      <c r="E1351" s="637">
        <f t="shared" si="49"/>
        <v>43.695666666666675</v>
      </c>
    </row>
    <row r="1352" spans="1:5">
      <c r="A1352">
        <v>22613</v>
      </c>
      <c r="B1352">
        <v>400</v>
      </c>
      <c r="C1352" s="455">
        <v>9.7970000000000006</v>
      </c>
      <c r="D1352" s="637">
        <f t="shared" si="48"/>
        <v>20.410416666666663</v>
      </c>
      <c r="E1352" s="637">
        <f t="shared" si="49"/>
        <v>43.619976190476201</v>
      </c>
    </row>
    <row r="1353" spans="1:5">
      <c r="A1353">
        <v>22613</v>
      </c>
      <c r="B1353">
        <v>500</v>
      </c>
      <c r="C1353" s="455">
        <v>9.8130000000000006</v>
      </c>
      <c r="D1353" s="637">
        <f t="shared" si="48"/>
        <v>20.443749999999994</v>
      </c>
      <c r="E1353" s="637">
        <f t="shared" si="49"/>
        <v>43.691214285714295</v>
      </c>
    </row>
    <row r="1354" spans="1:5">
      <c r="A1354">
        <v>22613</v>
      </c>
      <c r="B1354">
        <v>600</v>
      </c>
      <c r="C1354" s="455">
        <v>9.843</v>
      </c>
      <c r="D1354" s="637">
        <f t="shared" si="48"/>
        <v>20.506249999999994</v>
      </c>
      <c r="E1354" s="637">
        <f t="shared" si="49"/>
        <v>43.824785714285724</v>
      </c>
    </row>
    <row r="1355" spans="1:5">
      <c r="A1355">
        <v>22613</v>
      </c>
      <c r="B1355">
        <v>700</v>
      </c>
      <c r="C1355" s="455">
        <v>10.281000000000001</v>
      </c>
      <c r="D1355" s="637">
        <f t="shared" si="48"/>
        <v>21.418749999999996</v>
      </c>
      <c r="E1355" s="637">
        <f t="shared" si="49"/>
        <v>45.774928571428582</v>
      </c>
    </row>
    <row r="1356" spans="1:5">
      <c r="A1356">
        <v>22613</v>
      </c>
      <c r="B1356">
        <v>800</v>
      </c>
      <c r="C1356" s="455">
        <v>1.391</v>
      </c>
      <c r="D1356" s="637">
        <f t="shared" si="48"/>
        <v>2.8979166666666658</v>
      </c>
      <c r="E1356" s="637">
        <f t="shared" si="49"/>
        <v>6.193261904761906</v>
      </c>
    </row>
    <row r="1357" spans="1:5">
      <c r="A1357">
        <v>22613</v>
      </c>
      <c r="B1357">
        <v>900</v>
      </c>
      <c r="C1357" s="455">
        <v>0</v>
      </c>
      <c r="D1357" s="637">
        <f t="shared" si="48"/>
        <v>0</v>
      </c>
      <c r="E1357" s="637">
        <f t="shared" si="49"/>
        <v>0</v>
      </c>
    </row>
    <row r="1358" spans="1:5">
      <c r="A1358">
        <v>22613</v>
      </c>
      <c r="B1358">
        <v>1000</v>
      </c>
      <c r="C1358" s="455">
        <v>0</v>
      </c>
      <c r="D1358" s="637">
        <f t="shared" si="48"/>
        <v>0</v>
      </c>
      <c r="E1358" s="637">
        <f t="shared" si="49"/>
        <v>0</v>
      </c>
    </row>
    <row r="1359" spans="1:5">
      <c r="A1359">
        <v>22613</v>
      </c>
      <c r="B1359">
        <v>1100</v>
      </c>
      <c r="C1359" s="455">
        <v>0</v>
      </c>
      <c r="D1359" s="637">
        <f t="shared" si="48"/>
        <v>0</v>
      </c>
      <c r="E1359" s="637">
        <f t="shared" si="49"/>
        <v>0</v>
      </c>
    </row>
    <row r="1360" spans="1:5">
      <c r="A1360">
        <v>22613</v>
      </c>
      <c r="B1360">
        <v>1200</v>
      </c>
      <c r="C1360" s="455">
        <v>0</v>
      </c>
      <c r="D1360" s="637">
        <f t="shared" si="48"/>
        <v>0</v>
      </c>
      <c r="E1360" s="637">
        <f t="shared" si="49"/>
        <v>0</v>
      </c>
    </row>
    <row r="1361" spans="1:5">
      <c r="A1361">
        <v>22613</v>
      </c>
      <c r="B1361">
        <v>1300</v>
      </c>
      <c r="C1361" s="455">
        <v>0</v>
      </c>
      <c r="D1361" s="637">
        <f t="shared" si="48"/>
        <v>0</v>
      </c>
      <c r="E1361" s="637">
        <f t="shared" si="49"/>
        <v>0</v>
      </c>
    </row>
    <row r="1362" spans="1:5">
      <c r="A1362">
        <v>22613</v>
      </c>
      <c r="B1362">
        <v>1400</v>
      </c>
      <c r="C1362" s="455">
        <v>0</v>
      </c>
      <c r="D1362" s="637">
        <f t="shared" si="48"/>
        <v>0</v>
      </c>
      <c r="E1362" s="637">
        <f t="shared" si="49"/>
        <v>0</v>
      </c>
    </row>
    <row r="1363" spans="1:5">
      <c r="A1363">
        <v>22613</v>
      </c>
      <c r="B1363">
        <v>1500</v>
      </c>
      <c r="C1363" s="455">
        <v>0</v>
      </c>
      <c r="D1363" s="637">
        <f t="shared" si="48"/>
        <v>0</v>
      </c>
      <c r="E1363" s="637">
        <f t="shared" si="49"/>
        <v>0</v>
      </c>
    </row>
    <row r="1364" spans="1:5">
      <c r="A1364">
        <v>22613</v>
      </c>
      <c r="B1364">
        <v>1600</v>
      </c>
      <c r="C1364" s="455">
        <v>0</v>
      </c>
      <c r="D1364" s="637">
        <f t="shared" si="48"/>
        <v>0</v>
      </c>
      <c r="E1364" s="637">
        <f t="shared" si="49"/>
        <v>0</v>
      </c>
    </row>
    <row r="1365" spans="1:5">
      <c r="A1365">
        <v>22613</v>
      </c>
      <c r="B1365">
        <v>1700</v>
      </c>
      <c r="C1365" s="455">
        <v>0</v>
      </c>
      <c r="D1365" s="637">
        <f t="shared" si="48"/>
        <v>0</v>
      </c>
      <c r="E1365" s="637">
        <f t="shared" si="49"/>
        <v>0</v>
      </c>
    </row>
    <row r="1366" spans="1:5">
      <c r="A1366">
        <v>22613</v>
      </c>
      <c r="B1366">
        <v>1800</v>
      </c>
      <c r="C1366" s="455">
        <v>5.87</v>
      </c>
      <c r="D1366" s="637">
        <f t="shared" si="48"/>
        <v>12.229166666666663</v>
      </c>
      <c r="E1366" s="637">
        <f t="shared" si="49"/>
        <v>26.135476190476194</v>
      </c>
    </row>
    <row r="1367" spans="1:5">
      <c r="A1367">
        <v>22613</v>
      </c>
      <c r="B1367">
        <v>1900</v>
      </c>
      <c r="C1367" s="455">
        <v>10.291</v>
      </c>
      <c r="D1367" s="637">
        <f t="shared" si="48"/>
        <v>21.439583333333331</v>
      </c>
      <c r="E1367" s="637">
        <f t="shared" si="49"/>
        <v>45.819452380952391</v>
      </c>
    </row>
    <row r="1368" spans="1:5">
      <c r="A1368">
        <v>22613</v>
      </c>
      <c r="B1368">
        <v>2000</v>
      </c>
      <c r="C1368" s="455">
        <v>9.6679999999999993</v>
      </c>
      <c r="D1368" s="637">
        <f t="shared" si="48"/>
        <v>20.141666666666659</v>
      </c>
      <c r="E1368" s="637">
        <f t="shared" si="49"/>
        <v>43.045619047619049</v>
      </c>
    </row>
    <row r="1369" spans="1:5">
      <c r="A1369">
        <v>22613</v>
      </c>
      <c r="B1369">
        <v>2100</v>
      </c>
      <c r="C1369" s="455">
        <v>9.7439999999999998</v>
      </c>
      <c r="D1369" s="637">
        <f t="shared" si="48"/>
        <v>20.299999999999994</v>
      </c>
      <c r="E1369" s="637">
        <f t="shared" si="49"/>
        <v>43.384</v>
      </c>
    </row>
    <row r="1370" spans="1:5">
      <c r="A1370">
        <v>22613</v>
      </c>
      <c r="B1370">
        <v>2200</v>
      </c>
      <c r="C1370" s="455">
        <v>9.9269999999999996</v>
      </c>
      <c r="D1370" s="637">
        <f t="shared" si="48"/>
        <v>20.681249999999995</v>
      </c>
      <c r="E1370" s="637">
        <f t="shared" si="49"/>
        <v>44.198785714285727</v>
      </c>
    </row>
    <row r="1371" spans="1:5">
      <c r="A1371">
        <v>22613</v>
      </c>
      <c r="B1371">
        <v>2300</v>
      </c>
      <c r="C1371" s="455">
        <v>9.9359999999999999</v>
      </c>
      <c r="D1371" s="637">
        <f t="shared" si="48"/>
        <v>20.699999999999996</v>
      </c>
      <c r="E1371" s="637">
        <f t="shared" si="49"/>
        <v>44.23885714285715</v>
      </c>
    </row>
    <row r="1372" spans="1:5">
      <c r="A1372">
        <v>22613</v>
      </c>
      <c r="B1372">
        <v>2400</v>
      </c>
      <c r="C1372" s="455">
        <v>10.318</v>
      </c>
      <c r="D1372" s="637">
        <f t="shared" si="48"/>
        <v>21.495833333333326</v>
      </c>
      <c r="E1372" s="637">
        <f t="shared" si="49"/>
        <v>45.939666666666668</v>
      </c>
    </row>
    <row r="1373" spans="1:5">
      <c r="A1373">
        <v>22713</v>
      </c>
      <c r="B1373">
        <v>100</v>
      </c>
      <c r="C1373" s="455">
        <v>10.788</v>
      </c>
      <c r="D1373" s="637">
        <f t="shared" si="48"/>
        <v>22.474999999999998</v>
      </c>
      <c r="E1373" s="637">
        <f t="shared" si="49"/>
        <v>48.032285714285727</v>
      </c>
    </row>
    <row r="1374" spans="1:5">
      <c r="A1374">
        <v>22713</v>
      </c>
      <c r="B1374">
        <v>200</v>
      </c>
      <c r="C1374" s="455">
        <v>10.651</v>
      </c>
      <c r="D1374" s="637">
        <f t="shared" si="48"/>
        <v>22.189583333333328</v>
      </c>
      <c r="E1374" s="637">
        <f t="shared" si="49"/>
        <v>47.422309523809531</v>
      </c>
    </row>
    <row r="1375" spans="1:5">
      <c r="A1375">
        <v>22713</v>
      </c>
      <c r="B1375">
        <v>300</v>
      </c>
      <c r="C1375" s="455">
        <v>10.502000000000001</v>
      </c>
      <c r="D1375" s="637">
        <f t="shared" si="48"/>
        <v>21.879166666666663</v>
      </c>
      <c r="E1375" s="637">
        <f t="shared" si="49"/>
        <v>46.758904761904773</v>
      </c>
    </row>
    <row r="1376" spans="1:5">
      <c r="A1376">
        <v>22713</v>
      </c>
      <c r="B1376">
        <v>400</v>
      </c>
      <c r="C1376" s="455">
        <v>10.957000000000001</v>
      </c>
      <c r="D1376" s="637">
        <f t="shared" si="48"/>
        <v>22.827083333333327</v>
      </c>
      <c r="E1376" s="637">
        <f t="shared" si="49"/>
        <v>48.784738095238104</v>
      </c>
    </row>
    <row r="1377" spans="1:5">
      <c r="A1377">
        <v>22713</v>
      </c>
      <c r="B1377">
        <v>500</v>
      </c>
      <c r="C1377" s="455">
        <v>11.35</v>
      </c>
      <c r="D1377" s="637">
        <f t="shared" si="48"/>
        <v>23.645833333333325</v>
      </c>
      <c r="E1377" s="637">
        <f t="shared" si="49"/>
        <v>50.534523809523812</v>
      </c>
    </row>
    <row r="1378" spans="1:5">
      <c r="A1378">
        <v>22713</v>
      </c>
      <c r="B1378">
        <v>600</v>
      </c>
      <c r="C1378" s="455">
        <v>10.824999999999999</v>
      </c>
      <c r="D1378" s="637">
        <f t="shared" si="48"/>
        <v>22.552083333333325</v>
      </c>
      <c r="E1378" s="637">
        <f t="shared" si="49"/>
        <v>48.197023809523813</v>
      </c>
    </row>
    <row r="1379" spans="1:5">
      <c r="A1379">
        <v>22713</v>
      </c>
      <c r="B1379">
        <v>700</v>
      </c>
      <c r="C1379" s="455">
        <v>10.958</v>
      </c>
      <c r="D1379" s="637">
        <f t="shared" si="48"/>
        <v>22.829166666666662</v>
      </c>
      <c r="E1379" s="637">
        <f t="shared" si="49"/>
        <v>48.789190476190484</v>
      </c>
    </row>
    <row r="1380" spans="1:5">
      <c r="A1380">
        <v>22713</v>
      </c>
      <c r="B1380">
        <v>800</v>
      </c>
      <c r="C1380" s="455">
        <v>13.55</v>
      </c>
      <c r="D1380" s="637">
        <f t="shared" si="48"/>
        <v>28.229166666666661</v>
      </c>
      <c r="E1380" s="637">
        <f t="shared" si="49"/>
        <v>60.329761904761924</v>
      </c>
    </row>
    <row r="1381" spans="1:5">
      <c r="A1381">
        <v>22713</v>
      </c>
      <c r="B1381">
        <v>900</v>
      </c>
      <c r="C1381" s="455">
        <v>14.085000000000001</v>
      </c>
      <c r="D1381" s="637">
        <f t="shared" si="48"/>
        <v>29.343749999999996</v>
      </c>
      <c r="E1381" s="637">
        <f t="shared" si="49"/>
        <v>62.711785714285732</v>
      </c>
    </row>
    <row r="1382" spans="1:5">
      <c r="A1382">
        <v>22713</v>
      </c>
      <c r="B1382">
        <v>1000</v>
      </c>
      <c r="C1382" s="455">
        <v>13.045</v>
      </c>
      <c r="D1382" s="637">
        <f t="shared" si="48"/>
        <v>27.177083333333329</v>
      </c>
      <c r="E1382" s="637">
        <f t="shared" si="49"/>
        <v>58.081309523809537</v>
      </c>
    </row>
    <row r="1383" spans="1:5">
      <c r="A1383">
        <v>22713</v>
      </c>
      <c r="B1383">
        <v>1100</v>
      </c>
      <c r="C1383" s="455">
        <v>10.112</v>
      </c>
      <c r="D1383" s="637">
        <f t="shared" si="48"/>
        <v>21.066666666666659</v>
      </c>
      <c r="E1383" s="637">
        <f t="shared" si="49"/>
        <v>45.022476190476198</v>
      </c>
    </row>
    <row r="1384" spans="1:5">
      <c r="A1384">
        <v>22713</v>
      </c>
      <c r="B1384">
        <v>1200</v>
      </c>
      <c r="C1384" s="455">
        <v>9.6869999999999994</v>
      </c>
      <c r="D1384" s="637">
        <f t="shared" si="48"/>
        <v>20.181249999999991</v>
      </c>
      <c r="E1384" s="637">
        <f t="shared" si="49"/>
        <v>43.130214285714288</v>
      </c>
    </row>
    <row r="1385" spans="1:5">
      <c r="A1385">
        <v>22713</v>
      </c>
      <c r="B1385">
        <v>1300</v>
      </c>
      <c r="C1385" s="455">
        <v>8.5039999999999996</v>
      </c>
      <c r="D1385" s="637">
        <f t="shared" si="48"/>
        <v>17.716666666666661</v>
      </c>
      <c r="E1385" s="637">
        <f t="shared" si="49"/>
        <v>37.86304761904762</v>
      </c>
    </row>
    <row r="1386" spans="1:5">
      <c r="A1386">
        <v>22713</v>
      </c>
      <c r="B1386">
        <v>1400</v>
      </c>
      <c r="C1386" s="455">
        <v>6.68</v>
      </c>
      <c r="D1386" s="637">
        <f t="shared" si="48"/>
        <v>13.916666666666663</v>
      </c>
      <c r="E1386" s="637">
        <f t="shared" si="49"/>
        <v>29.741904761904767</v>
      </c>
    </row>
    <row r="1387" spans="1:5">
      <c r="A1387">
        <v>22713</v>
      </c>
      <c r="B1387">
        <v>1500</v>
      </c>
      <c r="C1387" s="455">
        <v>9.2080000000000002</v>
      </c>
      <c r="D1387" s="637">
        <f t="shared" si="48"/>
        <v>19.18333333333333</v>
      </c>
      <c r="E1387" s="637">
        <f t="shared" si="49"/>
        <v>40.99752380952382</v>
      </c>
    </row>
    <row r="1388" spans="1:5">
      <c r="A1388">
        <v>22713</v>
      </c>
      <c r="B1388">
        <v>1600</v>
      </c>
      <c r="C1388" s="455">
        <v>11.029</v>
      </c>
      <c r="D1388" s="637">
        <f t="shared" si="48"/>
        <v>22.977083333333329</v>
      </c>
      <c r="E1388" s="637">
        <f t="shared" si="49"/>
        <v>49.105309523809531</v>
      </c>
    </row>
    <row r="1389" spans="1:5">
      <c r="A1389">
        <v>22713</v>
      </c>
      <c r="B1389">
        <v>1700</v>
      </c>
      <c r="C1389" s="455">
        <v>12.013999999999999</v>
      </c>
      <c r="D1389" s="637">
        <f t="shared" si="48"/>
        <v>25.029166666666658</v>
      </c>
      <c r="E1389" s="637">
        <f t="shared" si="49"/>
        <v>53.490904761904766</v>
      </c>
    </row>
    <row r="1390" spans="1:5">
      <c r="A1390">
        <v>22713</v>
      </c>
      <c r="B1390">
        <v>1800</v>
      </c>
      <c r="C1390" s="455">
        <v>13.682</v>
      </c>
      <c r="D1390" s="637">
        <f t="shared" ref="D1390:D1418" si="50">(C1390/(MAX($C$749:$C$1420)))*$W$6</f>
        <v>28.504166666666659</v>
      </c>
      <c r="E1390" s="637">
        <f t="shared" ref="E1390:E1420" si="51">(C1390/(MAX($C$749:$C$1420)))*$P$6</f>
        <v>60.917476190476208</v>
      </c>
    </row>
    <row r="1391" spans="1:5">
      <c r="A1391">
        <v>22713</v>
      </c>
      <c r="B1391">
        <v>1900</v>
      </c>
      <c r="C1391" s="455">
        <v>10.315</v>
      </c>
      <c r="D1391" s="637">
        <f t="shared" si="50"/>
        <v>21.489583333333325</v>
      </c>
      <c r="E1391" s="637">
        <f t="shared" si="51"/>
        <v>45.926309523809529</v>
      </c>
    </row>
    <row r="1392" spans="1:5">
      <c r="A1392">
        <v>22713</v>
      </c>
      <c r="B1392">
        <v>2000</v>
      </c>
      <c r="C1392" s="455">
        <v>10.087</v>
      </c>
      <c r="D1392" s="637">
        <f t="shared" si="50"/>
        <v>21.014583333333327</v>
      </c>
      <c r="E1392" s="637">
        <f t="shared" si="51"/>
        <v>44.911166666666674</v>
      </c>
    </row>
    <row r="1393" spans="1:5">
      <c r="A1393">
        <v>22713</v>
      </c>
      <c r="B1393">
        <v>2100</v>
      </c>
      <c r="C1393" s="455">
        <v>10.11</v>
      </c>
      <c r="D1393" s="637">
        <f t="shared" si="50"/>
        <v>21.062499999999993</v>
      </c>
      <c r="E1393" s="637">
        <f t="shared" si="51"/>
        <v>45.013571428571431</v>
      </c>
    </row>
    <row r="1394" spans="1:5">
      <c r="A1394">
        <v>22713</v>
      </c>
      <c r="B1394">
        <v>2200</v>
      </c>
      <c r="C1394" s="455">
        <v>10.686999999999999</v>
      </c>
      <c r="D1394" s="637">
        <f t="shared" si="50"/>
        <v>22.264583333333327</v>
      </c>
      <c r="E1394" s="637">
        <f t="shared" si="51"/>
        <v>47.582595238095244</v>
      </c>
    </row>
    <row r="1395" spans="1:5">
      <c r="A1395">
        <v>22713</v>
      </c>
      <c r="B1395">
        <v>2300</v>
      </c>
      <c r="C1395" s="455">
        <v>10.212</v>
      </c>
      <c r="D1395" s="637">
        <f t="shared" si="50"/>
        <v>21.274999999999991</v>
      </c>
      <c r="E1395" s="637">
        <f t="shared" si="51"/>
        <v>45.467714285714287</v>
      </c>
    </row>
    <row r="1396" spans="1:5">
      <c r="A1396">
        <v>22713</v>
      </c>
      <c r="B1396">
        <v>2400</v>
      </c>
      <c r="C1396" s="455">
        <v>10.153</v>
      </c>
      <c r="D1396" s="637">
        <f t="shared" si="50"/>
        <v>21.15208333333333</v>
      </c>
      <c r="E1396" s="637">
        <f t="shared" si="51"/>
        <v>45.205023809523823</v>
      </c>
    </row>
    <row r="1397" spans="1:5">
      <c r="A1397">
        <v>22813</v>
      </c>
      <c r="B1397">
        <v>100</v>
      </c>
      <c r="C1397" s="455">
        <v>10.512</v>
      </c>
      <c r="D1397" s="637">
        <f t="shared" si="50"/>
        <v>21.899999999999995</v>
      </c>
      <c r="E1397" s="637">
        <f t="shared" si="51"/>
        <v>46.803428571428583</v>
      </c>
    </row>
    <row r="1398" spans="1:5">
      <c r="A1398">
        <v>22813</v>
      </c>
      <c r="B1398">
        <v>200</v>
      </c>
      <c r="C1398" s="455">
        <v>10.269</v>
      </c>
      <c r="D1398" s="637">
        <f t="shared" si="50"/>
        <v>21.393749999999997</v>
      </c>
      <c r="E1398" s="637">
        <f t="shared" si="51"/>
        <v>45.721500000000013</v>
      </c>
    </row>
    <row r="1399" spans="1:5">
      <c r="A1399">
        <v>22813</v>
      </c>
      <c r="B1399">
        <v>300</v>
      </c>
      <c r="C1399" s="455">
        <v>10.395</v>
      </c>
      <c r="D1399" s="637">
        <f t="shared" si="50"/>
        <v>21.656249999999996</v>
      </c>
      <c r="E1399" s="637">
        <f t="shared" si="51"/>
        <v>46.282500000000013</v>
      </c>
    </row>
    <row r="1400" spans="1:5">
      <c r="A1400">
        <v>22813</v>
      </c>
      <c r="B1400">
        <v>400</v>
      </c>
      <c r="C1400" s="455">
        <v>10.345000000000001</v>
      </c>
      <c r="D1400" s="637">
        <f t="shared" si="50"/>
        <v>21.552083333333329</v>
      </c>
      <c r="E1400" s="637">
        <f t="shared" si="51"/>
        <v>46.059880952380965</v>
      </c>
    </row>
    <row r="1401" spans="1:5">
      <c r="A1401">
        <v>22813</v>
      </c>
      <c r="B1401">
        <v>500</v>
      </c>
      <c r="C1401" s="455">
        <v>10.265000000000001</v>
      </c>
      <c r="D1401" s="637">
        <f t="shared" si="50"/>
        <v>21.385416666666664</v>
      </c>
      <c r="E1401" s="637">
        <f t="shared" si="51"/>
        <v>45.703690476190488</v>
      </c>
    </row>
    <row r="1402" spans="1:5">
      <c r="A1402">
        <v>22813</v>
      </c>
      <c r="B1402">
        <v>600</v>
      </c>
      <c r="C1402" s="455">
        <v>10.603</v>
      </c>
      <c r="D1402" s="637">
        <f t="shared" si="50"/>
        <v>22.089583333333326</v>
      </c>
      <c r="E1402" s="637">
        <f t="shared" si="51"/>
        <v>47.208595238095242</v>
      </c>
    </row>
    <row r="1403" spans="1:5">
      <c r="A1403">
        <v>22813</v>
      </c>
      <c r="B1403">
        <v>700</v>
      </c>
      <c r="C1403" s="455">
        <v>10.209</v>
      </c>
      <c r="D1403" s="637">
        <f t="shared" si="50"/>
        <v>21.268749999999994</v>
      </c>
      <c r="E1403" s="637">
        <f t="shared" si="51"/>
        <v>45.454357142857148</v>
      </c>
    </row>
    <row r="1404" spans="1:5">
      <c r="A1404">
        <v>22813</v>
      </c>
      <c r="B1404">
        <v>800</v>
      </c>
      <c r="C1404" s="455">
        <v>12.343999999999999</v>
      </c>
      <c r="D1404" s="637">
        <f t="shared" si="50"/>
        <v>25.716666666666658</v>
      </c>
      <c r="E1404" s="637">
        <f t="shared" si="51"/>
        <v>54.960190476190483</v>
      </c>
    </row>
    <row r="1405" spans="1:5">
      <c r="A1405">
        <v>22813</v>
      </c>
      <c r="B1405">
        <v>900</v>
      </c>
      <c r="C1405" s="455">
        <v>13.967000000000001</v>
      </c>
      <c r="D1405" s="637">
        <f t="shared" si="50"/>
        <v>29.097916666666663</v>
      </c>
      <c r="E1405" s="637">
        <f t="shared" si="51"/>
        <v>62.186404761904782</v>
      </c>
    </row>
    <row r="1406" spans="1:5">
      <c r="A1406">
        <v>22813</v>
      </c>
      <c r="B1406">
        <v>1000</v>
      </c>
      <c r="C1406" s="455">
        <v>11.942</v>
      </c>
      <c r="D1406" s="637">
        <f t="shared" si="50"/>
        <v>24.879166666666663</v>
      </c>
      <c r="E1406" s="637">
        <f t="shared" si="51"/>
        <v>53.170333333333346</v>
      </c>
    </row>
    <row r="1407" spans="1:5">
      <c r="A1407">
        <v>22813</v>
      </c>
      <c r="B1407">
        <v>1100</v>
      </c>
      <c r="C1407" s="455">
        <v>8.65</v>
      </c>
      <c r="D1407" s="637">
        <f t="shared" si="50"/>
        <v>18.020833333333332</v>
      </c>
      <c r="E1407" s="637">
        <f t="shared" si="51"/>
        <v>38.513095238095246</v>
      </c>
    </row>
    <row r="1408" spans="1:5">
      <c r="A1408">
        <v>22813</v>
      </c>
      <c r="B1408">
        <v>1200</v>
      </c>
      <c r="C1408" s="455">
        <v>6.4029999999999996</v>
      </c>
      <c r="D1408" s="637">
        <f t="shared" si="50"/>
        <v>13.33958333333333</v>
      </c>
      <c r="E1408" s="637">
        <f t="shared" si="51"/>
        <v>28.508595238095243</v>
      </c>
    </row>
    <row r="1409" spans="1:5">
      <c r="A1409">
        <v>22813</v>
      </c>
      <c r="B1409">
        <v>1300</v>
      </c>
      <c r="C1409" s="455">
        <v>3.7229999999999999</v>
      </c>
      <c r="D1409" s="637">
        <f t="shared" si="50"/>
        <v>7.7562499999999979</v>
      </c>
      <c r="E1409" s="637">
        <f t="shared" si="51"/>
        <v>16.57621428571429</v>
      </c>
    </row>
    <row r="1410" spans="1:5">
      <c r="A1410">
        <v>22813</v>
      </c>
      <c r="B1410">
        <v>1400</v>
      </c>
      <c r="C1410" s="455">
        <v>2.714</v>
      </c>
      <c r="D1410" s="637">
        <f t="shared" si="50"/>
        <v>5.6541666666666659</v>
      </c>
      <c r="E1410" s="637">
        <f t="shared" si="51"/>
        <v>12.083761904761907</v>
      </c>
    </row>
    <row r="1411" spans="1:5">
      <c r="A1411">
        <v>22813</v>
      </c>
      <c r="B1411">
        <v>1500</v>
      </c>
      <c r="C1411" s="455">
        <v>3.6640000000000001</v>
      </c>
      <c r="D1411" s="637">
        <f t="shared" si="50"/>
        <v>7.633333333333332</v>
      </c>
      <c r="E1411" s="637">
        <f t="shared" si="51"/>
        <v>16.313523809523815</v>
      </c>
    </row>
    <row r="1412" spans="1:5">
      <c r="A1412">
        <v>22813</v>
      </c>
      <c r="B1412">
        <v>1600</v>
      </c>
      <c r="C1412" s="455">
        <v>7.09</v>
      </c>
      <c r="D1412" s="637">
        <f t="shared" si="50"/>
        <v>14.770833333333329</v>
      </c>
      <c r="E1412" s="637">
        <f t="shared" si="51"/>
        <v>31.567380952380955</v>
      </c>
    </row>
    <row r="1413" spans="1:5">
      <c r="A1413">
        <v>22813</v>
      </c>
      <c r="B1413">
        <v>1700</v>
      </c>
      <c r="C1413" s="455">
        <v>9.1470000000000002</v>
      </c>
      <c r="D1413" s="637">
        <f t="shared" si="50"/>
        <v>19.056249999999999</v>
      </c>
      <c r="E1413" s="637">
        <f t="shared" si="51"/>
        <v>40.725928571428582</v>
      </c>
    </row>
    <row r="1414" spans="1:5">
      <c r="A1414">
        <v>22813</v>
      </c>
      <c r="B1414">
        <v>1800</v>
      </c>
      <c r="C1414" s="455">
        <v>11.670999999999999</v>
      </c>
      <c r="D1414" s="637">
        <f t="shared" si="50"/>
        <v>24.314583333333328</v>
      </c>
      <c r="E1414" s="637">
        <f t="shared" si="51"/>
        <v>51.963738095238106</v>
      </c>
    </row>
    <row r="1415" spans="1:5">
      <c r="A1415">
        <v>22813</v>
      </c>
      <c r="B1415">
        <v>1900</v>
      </c>
      <c r="C1415" s="455">
        <v>10.622999999999999</v>
      </c>
      <c r="D1415" s="637">
        <f t="shared" si="50"/>
        <v>22.131249999999994</v>
      </c>
      <c r="E1415" s="637">
        <f t="shared" si="51"/>
        <v>47.297642857142861</v>
      </c>
    </row>
    <row r="1416" spans="1:5">
      <c r="A1416">
        <v>22813</v>
      </c>
      <c r="B1416">
        <v>2000</v>
      </c>
      <c r="C1416" s="455">
        <v>9.7690000000000001</v>
      </c>
      <c r="D1416" s="637">
        <f t="shared" si="50"/>
        <v>20.352083333333329</v>
      </c>
      <c r="E1416" s="637">
        <f t="shared" si="51"/>
        <v>43.495309523809532</v>
      </c>
    </row>
    <row r="1417" spans="1:5">
      <c r="A1417">
        <v>22813</v>
      </c>
      <c r="B1417">
        <v>2100</v>
      </c>
      <c r="C1417" s="455">
        <v>9.8810000000000002</v>
      </c>
      <c r="D1417" s="637">
        <f t="shared" si="50"/>
        <v>20.585416666666664</v>
      </c>
      <c r="E1417" s="637">
        <f t="shared" si="51"/>
        <v>43.993976190476197</v>
      </c>
    </row>
    <row r="1418" spans="1:5">
      <c r="A1418">
        <v>22813</v>
      </c>
      <c r="B1418">
        <v>2200</v>
      </c>
      <c r="C1418" s="455">
        <v>10.28</v>
      </c>
      <c r="D1418" s="637">
        <f t="shared" si="50"/>
        <v>21.416666666666661</v>
      </c>
      <c r="E1418" s="637">
        <f t="shared" si="51"/>
        <v>45.770476190476195</v>
      </c>
    </row>
    <row r="1419" spans="1:5">
      <c r="A1419">
        <v>22813</v>
      </c>
      <c r="B1419">
        <v>2300</v>
      </c>
      <c r="C1419" s="455">
        <v>9.9329999999999998</v>
      </c>
      <c r="D1419" s="637">
        <f>(C1419/(MAX($C$749:$C$1420)))*$W$6</f>
        <v>20.693749999999994</v>
      </c>
      <c r="E1419" s="637">
        <f t="shared" si="51"/>
        <v>44.225500000000011</v>
      </c>
    </row>
    <row r="1420" spans="1:5">
      <c r="A1420" s="647">
        <v>22813</v>
      </c>
      <c r="B1420" s="647">
        <v>2400</v>
      </c>
      <c r="C1420" s="648">
        <v>10.173999999999999</v>
      </c>
      <c r="D1420" s="637">
        <f>(C1420/(MAX($C$749:$C$1420)))*$W$6</f>
        <v>21.195833333333326</v>
      </c>
      <c r="E1420" s="645">
        <f t="shared" si="51"/>
        <v>45.298523809523815</v>
      </c>
    </row>
    <row r="1421" spans="1:5">
      <c r="A1421">
        <v>30113</v>
      </c>
      <c r="B1421">
        <v>100</v>
      </c>
      <c r="C1421" s="455">
        <v>10.307</v>
      </c>
      <c r="D1421" s="637">
        <f>(C1421/(MAX($C$1421:$C$2164)))*$W$7</f>
        <v>20.775046875000001</v>
      </c>
      <c r="E1421" s="637">
        <f>(C1421/(MAX($C$1421:$C$2164)))*$P$7</f>
        <v>40.905906250000008</v>
      </c>
    </row>
    <row r="1422" spans="1:5">
      <c r="A1422">
        <v>30113</v>
      </c>
      <c r="B1422">
        <v>200</v>
      </c>
      <c r="C1422" s="455">
        <v>10.606999999999999</v>
      </c>
      <c r="D1422" s="637">
        <f t="shared" ref="D1422:D1485" si="52">(C1422/(MAX($C$1421:$C$2164)))*$W$7</f>
        <v>21.379734374999998</v>
      </c>
      <c r="E1422" s="637">
        <f t="shared" ref="E1422:E1485" si="53">(C1422/(MAX($C$1421:$C$2164)))*$P$7</f>
        <v>42.096531250000005</v>
      </c>
    </row>
    <row r="1423" spans="1:5">
      <c r="A1423">
        <v>30113</v>
      </c>
      <c r="B1423">
        <v>300</v>
      </c>
      <c r="C1423" s="455">
        <v>11.007</v>
      </c>
      <c r="D1423" s="637">
        <f t="shared" si="52"/>
        <v>22.185984375</v>
      </c>
      <c r="E1423" s="637">
        <f t="shared" si="53"/>
        <v>43.684031250000011</v>
      </c>
    </row>
    <row r="1424" spans="1:5">
      <c r="A1424">
        <v>30113</v>
      </c>
      <c r="B1424">
        <v>400</v>
      </c>
      <c r="C1424" s="455">
        <v>10.352</v>
      </c>
      <c r="D1424" s="637">
        <f t="shared" si="52"/>
        <v>20.865750000000002</v>
      </c>
      <c r="E1424" s="637">
        <f t="shared" si="53"/>
        <v>41.084500000000013</v>
      </c>
    </row>
    <row r="1425" spans="1:5">
      <c r="A1425">
        <v>30113</v>
      </c>
      <c r="B1425">
        <v>500</v>
      </c>
      <c r="C1425" s="455">
        <v>10.637</v>
      </c>
      <c r="D1425" s="637">
        <f t="shared" si="52"/>
        <v>21.440203125</v>
      </c>
      <c r="E1425" s="637">
        <f t="shared" si="53"/>
        <v>42.215593750000011</v>
      </c>
    </row>
    <row r="1426" spans="1:5">
      <c r="A1426">
        <v>30113</v>
      </c>
      <c r="B1426">
        <v>600</v>
      </c>
      <c r="C1426" s="455">
        <v>10.615</v>
      </c>
      <c r="D1426" s="637">
        <f t="shared" si="52"/>
        <v>21.395859375000001</v>
      </c>
      <c r="E1426" s="637">
        <f t="shared" si="53"/>
        <v>42.128281250000015</v>
      </c>
    </row>
    <row r="1427" spans="1:5">
      <c r="A1427">
        <v>30113</v>
      </c>
      <c r="B1427">
        <v>700</v>
      </c>
      <c r="C1427" s="455">
        <v>11.173</v>
      </c>
      <c r="D1427" s="637">
        <f t="shared" si="52"/>
        <v>22.520578125</v>
      </c>
      <c r="E1427" s="637">
        <f t="shared" si="53"/>
        <v>44.342843750000014</v>
      </c>
    </row>
    <row r="1428" spans="1:5">
      <c r="A1428">
        <v>30113</v>
      </c>
      <c r="B1428">
        <v>800</v>
      </c>
      <c r="C1428" s="455">
        <v>13.807</v>
      </c>
      <c r="D1428" s="637">
        <f t="shared" si="52"/>
        <v>27.829734375000001</v>
      </c>
      <c r="E1428" s="637">
        <f t="shared" si="53"/>
        <v>54.796531250000015</v>
      </c>
    </row>
    <row r="1429" spans="1:5">
      <c r="A1429">
        <v>30113</v>
      </c>
      <c r="B1429">
        <v>900</v>
      </c>
      <c r="C1429" s="455">
        <v>9.0850000000000009</v>
      </c>
      <c r="D1429" s="637">
        <f t="shared" si="52"/>
        <v>18.311953125000002</v>
      </c>
      <c r="E1429" s="637">
        <f t="shared" si="53"/>
        <v>36.056093750000016</v>
      </c>
    </row>
    <row r="1430" spans="1:5">
      <c r="A1430">
        <v>30113</v>
      </c>
      <c r="B1430">
        <v>1000</v>
      </c>
      <c r="C1430" s="455">
        <v>3.2719999999999998</v>
      </c>
      <c r="D1430" s="637">
        <f t="shared" si="52"/>
        <v>6.5951249999999995</v>
      </c>
      <c r="E1430" s="637">
        <f t="shared" si="53"/>
        <v>12.985750000000003</v>
      </c>
    </row>
    <row r="1431" spans="1:5">
      <c r="A1431">
        <v>30113</v>
      </c>
      <c r="B1431">
        <v>1100</v>
      </c>
      <c r="C1431" s="455">
        <v>1.224</v>
      </c>
      <c r="D1431" s="637">
        <f t="shared" si="52"/>
        <v>2.4671249999999998</v>
      </c>
      <c r="E1431" s="637">
        <f t="shared" si="53"/>
        <v>4.8577500000000011</v>
      </c>
    </row>
    <row r="1432" spans="1:5">
      <c r="A1432">
        <v>30113</v>
      </c>
      <c r="B1432">
        <v>1200</v>
      </c>
      <c r="C1432" s="455">
        <v>7.1999999999999995E-2</v>
      </c>
      <c r="D1432" s="637">
        <f t="shared" si="52"/>
        <v>0.145125</v>
      </c>
      <c r="E1432" s="637">
        <f t="shared" si="53"/>
        <v>0.28575000000000006</v>
      </c>
    </row>
    <row r="1433" spans="1:5">
      <c r="A1433">
        <v>30113</v>
      </c>
      <c r="B1433">
        <v>1300</v>
      </c>
      <c r="C1433" s="455">
        <v>0.36</v>
      </c>
      <c r="D1433" s="637">
        <f t="shared" si="52"/>
        <v>0.72562499999999996</v>
      </c>
      <c r="E1433" s="637">
        <f t="shared" si="53"/>
        <v>1.4287500000000002</v>
      </c>
    </row>
    <row r="1434" spans="1:5">
      <c r="A1434">
        <v>30113</v>
      </c>
      <c r="B1434">
        <v>1400</v>
      </c>
      <c r="C1434" s="455">
        <v>0.75600000000000001</v>
      </c>
      <c r="D1434" s="637">
        <f t="shared" si="52"/>
        <v>1.5238125</v>
      </c>
      <c r="E1434" s="637">
        <f t="shared" si="53"/>
        <v>3.0003750000000009</v>
      </c>
    </row>
    <row r="1435" spans="1:5">
      <c r="A1435">
        <v>30113</v>
      </c>
      <c r="B1435">
        <v>1500</v>
      </c>
      <c r="C1435" s="455">
        <v>0.504</v>
      </c>
      <c r="D1435" s="637">
        <f t="shared" si="52"/>
        <v>1.0158749999999999</v>
      </c>
      <c r="E1435" s="637">
        <f t="shared" si="53"/>
        <v>2.0002500000000003</v>
      </c>
    </row>
    <row r="1436" spans="1:5">
      <c r="A1436">
        <v>30113</v>
      </c>
      <c r="B1436">
        <v>1600</v>
      </c>
      <c r="C1436" s="455">
        <v>0.51700000000000002</v>
      </c>
      <c r="D1436" s="637">
        <f t="shared" si="52"/>
        <v>1.042078125</v>
      </c>
      <c r="E1436" s="637">
        <f t="shared" si="53"/>
        <v>2.0518437500000006</v>
      </c>
    </row>
    <row r="1437" spans="1:5">
      <c r="A1437">
        <v>30113</v>
      </c>
      <c r="B1437">
        <v>1700</v>
      </c>
      <c r="C1437" s="455">
        <v>3.6779999999999999</v>
      </c>
      <c r="D1437" s="637">
        <f t="shared" si="52"/>
        <v>7.4134687499999998</v>
      </c>
      <c r="E1437" s="637">
        <f t="shared" si="53"/>
        <v>14.597062500000003</v>
      </c>
    </row>
    <row r="1438" spans="1:5">
      <c r="A1438">
        <v>30113</v>
      </c>
      <c r="B1438">
        <v>1800</v>
      </c>
      <c r="C1438" s="455">
        <v>11.138</v>
      </c>
      <c r="D1438" s="637">
        <f t="shared" si="52"/>
        <v>22.450031250000002</v>
      </c>
      <c r="E1438" s="637">
        <f t="shared" si="53"/>
        <v>44.203937500000016</v>
      </c>
    </row>
    <row r="1439" spans="1:5">
      <c r="A1439">
        <v>30113</v>
      </c>
      <c r="B1439">
        <v>1900</v>
      </c>
      <c r="C1439" s="455">
        <v>11.666</v>
      </c>
      <c r="D1439" s="637">
        <f t="shared" si="52"/>
        <v>23.514281250000003</v>
      </c>
      <c r="E1439" s="637">
        <f t="shared" si="53"/>
        <v>46.299437500000018</v>
      </c>
    </row>
    <row r="1440" spans="1:5">
      <c r="A1440">
        <v>30113</v>
      </c>
      <c r="B1440">
        <v>2000</v>
      </c>
      <c r="C1440" s="455">
        <v>10.445</v>
      </c>
      <c r="D1440" s="637">
        <f t="shared" si="52"/>
        <v>21.053203125</v>
      </c>
      <c r="E1440" s="637">
        <f t="shared" si="53"/>
        <v>41.45359375000001</v>
      </c>
    </row>
    <row r="1441" spans="1:5">
      <c r="A1441">
        <v>30113</v>
      </c>
      <c r="B1441">
        <v>2100</v>
      </c>
      <c r="C1441" s="455">
        <v>10.448</v>
      </c>
      <c r="D1441" s="637">
        <f t="shared" si="52"/>
        <v>21.059250000000002</v>
      </c>
      <c r="E1441" s="637">
        <f t="shared" si="53"/>
        <v>41.465500000000013</v>
      </c>
    </row>
    <row r="1442" spans="1:5">
      <c r="A1442">
        <v>30113</v>
      </c>
      <c r="B1442">
        <v>2200</v>
      </c>
      <c r="C1442" s="455">
        <v>10.779</v>
      </c>
      <c r="D1442" s="637">
        <f t="shared" si="52"/>
        <v>21.726421875</v>
      </c>
      <c r="E1442" s="637">
        <f t="shared" si="53"/>
        <v>42.779156250000014</v>
      </c>
    </row>
    <row r="1443" spans="1:5">
      <c r="A1443">
        <v>30113</v>
      </c>
      <c r="B1443">
        <v>2300</v>
      </c>
      <c r="C1443" s="455">
        <v>10.715</v>
      </c>
      <c r="D1443" s="637">
        <f t="shared" si="52"/>
        <v>21.597421874999998</v>
      </c>
      <c r="E1443" s="637">
        <f t="shared" si="53"/>
        <v>42.525156250000009</v>
      </c>
    </row>
    <row r="1444" spans="1:5">
      <c r="A1444">
        <v>30113</v>
      </c>
      <c r="B1444">
        <v>2400</v>
      </c>
      <c r="C1444" s="455">
        <v>11.236000000000001</v>
      </c>
      <c r="D1444" s="637">
        <f t="shared" si="52"/>
        <v>22.647562499999999</v>
      </c>
      <c r="E1444" s="637">
        <f t="shared" si="53"/>
        <v>44.592875000000014</v>
      </c>
    </row>
    <row r="1445" spans="1:5">
      <c r="A1445">
        <v>30213</v>
      </c>
      <c r="B1445">
        <v>100</v>
      </c>
      <c r="C1445" s="455">
        <v>11.55</v>
      </c>
      <c r="D1445" s="637">
        <f t="shared" si="52"/>
        <v>23.280468750000001</v>
      </c>
      <c r="E1445" s="637">
        <f t="shared" si="53"/>
        <v>45.839062500000011</v>
      </c>
    </row>
    <row r="1446" spans="1:5">
      <c r="A1446">
        <v>30213</v>
      </c>
      <c r="B1446">
        <v>200</v>
      </c>
      <c r="C1446" s="455">
        <v>11.481999999999999</v>
      </c>
      <c r="D1446" s="637">
        <f t="shared" si="52"/>
        <v>23.143406250000002</v>
      </c>
      <c r="E1446" s="637">
        <f t="shared" si="53"/>
        <v>45.569187500000012</v>
      </c>
    </row>
    <row r="1447" spans="1:5">
      <c r="A1447">
        <v>30213</v>
      </c>
      <c r="B1447">
        <v>300</v>
      </c>
      <c r="C1447" s="455">
        <v>11.805999999999999</v>
      </c>
      <c r="D1447" s="637">
        <f t="shared" si="52"/>
        <v>23.796468749999999</v>
      </c>
      <c r="E1447" s="637">
        <f t="shared" si="53"/>
        <v>46.85506250000001</v>
      </c>
    </row>
    <row r="1448" spans="1:5">
      <c r="A1448">
        <v>30213</v>
      </c>
      <c r="B1448">
        <v>400</v>
      </c>
      <c r="C1448" s="455">
        <v>12.103</v>
      </c>
      <c r="D1448" s="637">
        <f t="shared" si="52"/>
        <v>24.395109375000001</v>
      </c>
      <c r="E1448" s="637">
        <f t="shared" si="53"/>
        <v>48.033781250000011</v>
      </c>
    </row>
    <row r="1449" spans="1:5">
      <c r="A1449">
        <v>30213</v>
      </c>
      <c r="B1449">
        <v>500</v>
      </c>
      <c r="C1449" s="455">
        <v>12.119</v>
      </c>
      <c r="D1449" s="637">
        <f t="shared" si="52"/>
        <v>24.427359374999998</v>
      </c>
      <c r="E1449" s="637">
        <f t="shared" si="53"/>
        <v>48.097281250000009</v>
      </c>
    </row>
    <row r="1450" spans="1:5">
      <c r="A1450">
        <v>30213</v>
      </c>
      <c r="B1450">
        <v>600</v>
      </c>
      <c r="C1450" s="455">
        <v>12.154</v>
      </c>
      <c r="D1450" s="637">
        <f t="shared" si="52"/>
        <v>24.49790625</v>
      </c>
      <c r="E1450" s="637">
        <f t="shared" si="53"/>
        <v>48.236187500000014</v>
      </c>
    </row>
    <row r="1451" spans="1:5">
      <c r="A1451">
        <v>30213</v>
      </c>
      <c r="B1451">
        <v>700</v>
      </c>
      <c r="C1451" s="455">
        <v>12.645</v>
      </c>
      <c r="D1451" s="637">
        <f t="shared" si="52"/>
        <v>25.487578124999999</v>
      </c>
      <c r="E1451" s="637">
        <f t="shared" si="53"/>
        <v>50.184843750000013</v>
      </c>
    </row>
    <row r="1452" spans="1:5">
      <c r="A1452">
        <v>30213</v>
      </c>
      <c r="B1452">
        <v>800</v>
      </c>
      <c r="C1452" s="455">
        <v>13.683999999999999</v>
      </c>
      <c r="D1452" s="637">
        <f t="shared" si="52"/>
        <v>27.581812499999998</v>
      </c>
      <c r="E1452" s="637">
        <f t="shared" si="53"/>
        <v>54.308375000000012</v>
      </c>
    </row>
    <row r="1453" spans="1:5">
      <c r="A1453">
        <v>30213</v>
      </c>
      <c r="B1453">
        <v>900</v>
      </c>
      <c r="C1453" s="455">
        <v>9.9700000000000006</v>
      </c>
      <c r="D1453" s="637">
        <f t="shared" si="52"/>
        <v>20.095781250000002</v>
      </c>
      <c r="E1453" s="637">
        <f t="shared" si="53"/>
        <v>39.568437500000009</v>
      </c>
    </row>
    <row r="1454" spans="1:5">
      <c r="A1454">
        <v>30213</v>
      </c>
      <c r="B1454">
        <v>1000</v>
      </c>
      <c r="C1454" s="455">
        <v>4.9130000000000003</v>
      </c>
      <c r="D1454" s="637">
        <f t="shared" si="52"/>
        <v>9.9027656250000007</v>
      </c>
      <c r="E1454" s="637">
        <f t="shared" si="53"/>
        <v>19.498468750000004</v>
      </c>
    </row>
    <row r="1455" spans="1:5">
      <c r="A1455">
        <v>30213</v>
      </c>
      <c r="B1455">
        <v>1100</v>
      </c>
      <c r="C1455" s="455">
        <v>2.6640000000000001</v>
      </c>
      <c r="D1455" s="637">
        <f t="shared" si="52"/>
        <v>5.3696250000000001</v>
      </c>
      <c r="E1455" s="637">
        <f t="shared" si="53"/>
        <v>10.572750000000003</v>
      </c>
    </row>
    <row r="1456" spans="1:5">
      <c r="A1456">
        <v>30213</v>
      </c>
      <c r="B1456">
        <v>1200</v>
      </c>
      <c r="C1456" s="455">
        <v>2.34</v>
      </c>
      <c r="D1456" s="637">
        <f t="shared" si="52"/>
        <v>4.7165624999999993</v>
      </c>
      <c r="E1456" s="637">
        <f t="shared" si="53"/>
        <v>9.2868750000000002</v>
      </c>
    </row>
    <row r="1457" spans="1:5">
      <c r="A1457">
        <v>30213</v>
      </c>
      <c r="B1457">
        <v>1300</v>
      </c>
      <c r="C1457" s="455">
        <v>1.296</v>
      </c>
      <c r="D1457" s="637">
        <f t="shared" si="52"/>
        <v>2.61225</v>
      </c>
      <c r="E1457" s="637">
        <f t="shared" si="53"/>
        <v>5.1435000000000013</v>
      </c>
    </row>
    <row r="1458" spans="1:5">
      <c r="A1458">
        <v>30213</v>
      </c>
      <c r="B1458">
        <v>1400</v>
      </c>
      <c r="C1458" s="455">
        <v>0.57599999999999996</v>
      </c>
      <c r="D1458" s="637">
        <f t="shared" si="52"/>
        <v>1.161</v>
      </c>
      <c r="E1458" s="637">
        <f t="shared" si="53"/>
        <v>2.2860000000000005</v>
      </c>
    </row>
    <row r="1459" spans="1:5">
      <c r="A1459">
        <v>30213</v>
      </c>
      <c r="B1459">
        <v>1500</v>
      </c>
      <c r="C1459" s="455">
        <v>0.68400000000000005</v>
      </c>
      <c r="D1459" s="637">
        <f t="shared" si="52"/>
        <v>1.3786875000000003</v>
      </c>
      <c r="E1459" s="637">
        <f t="shared" si="53"/>
        <v>2.7146250000000012</v>
      </c>
    </row>
    <row r="1460" spans="1:5">
      <c r="A1460">
        <v>30213</v>
      </c>
      <c r="B1460">
        <v>1600</v>
      </c>
      <c r="C1460" s="455">
        <v>2.5270000000000001</v>
      </c>
      <c r="D1460" s="637">
        <f t="shared" si="52"/>
        <v>5.093484375000001</v>
      </c>
      <c r="E1460" s="637">
        <f t="shared" si="53"/>
        <v>10.029031250000003</v>
      </c>
    </row>
    <row r="1461" spans="1:5">
      <c r="A1461">
        <v>30213</v>
      </c>
      <c r="B1461">
        <v>1700</v>
      </c>
      <c r="C1461" s="455">
        <v>7.06</v>
      </c>
      <c r="D1461" s="637">
        <f t="shared" si="52"/>
        <v>14.230312499999998</v>
      </c>
      <c r="E1461" s="637">
        <f t="shared" si="53"/>
        <v>28.019375000000004</v>
      </c>
    </row>
    <row r="1462" spans="1:5">
      <c r="A1462">
        <v>30213</v>
      </c>
      <c r="B1462">
        <v>1800</v>
      </c>
      <c r="C1462" s="455">
        <v>11.343</v>
      </c>
      <c r="D1462" s="637">
        <f t="shared" si="52"/>
        <v>22.863234375000001</v>
      </c>
      <c r="E1462" s="637">
        <f t="shared" si="53"/>
        <v>45.017531250000012</v>
      </c>
    </row>
    <row r="1463" spans="1:5">
      <c r="A1463">
        <v>30213</v>
      </c>
      <c r="B1463">
        <v>1900</v>
      </c>
      <c r="C1463" s="455">
        <v>11.532999999999999</v>
      </c>
      <c r="D1463" s="637">
        <f t="shared" si="52"/>
        <v>23.246203124999997</v>
      </c>
      <c r="E1463" s="637">
        <f t="shared" si="53"/>
        <v>45.771593750000008</v>
      </c>
    </row>
    <row r="1464" spans="1:5">
      <c r="A1464">
        <v>30213</v>
      </c>
      <c r="B1464">
        <v>2000</v>
      </c>
      <c r="C1464" s="455">
        <v>10.287000000000001</v>
      </c>
      <c r="D1464" s="637">
        <f t="shared" si="52"/>
        <v>20.734734375000002</v>
      </c>
      <c r="E1464" s="637">
        <f t="shared" si="53"/>
        <v>40.826531250000009</v>
      </c>
    </row>
    <row r="1465" spans="1:5">
      <c r="A1465">
        <v>30213</v>
      </c>
      <c r="B1465">
        <v>2100</v>
      </c>
      <c r="C1465" s="455">
        <v>10.611000000000001</v>
      </c>
      <c r="D1465" s="637">
        <f t="shared" si="52"/>
        <v>21.387796874999999</v>
      </c>
      <c r="E1465" s="637">
        <f t="shared" si="53"/>
        <v>42.112406250000014</v>
      </c>
    </row>
    <row r="1466" spans="1:5">
      <c r="A1466">
        <v>30213</v>
      </c>
      <c r="B1466">
        <v>2200</v>
      </c>
      <c r="C1466" s="455">
        <v>10.481</v>
      </c>
      <c r="D1466" s="637">
        <f t="shared" si="52"/>
        <v>21.125765625</v>
      </c>
      <c r="E1466" s="637">
        <f t="shared" si="53"/>
        <v>41.596468750000007</v>
      </c>
    </row>
    <row r="1467" spans="1:5">
      <c r="A1467">
        <v>30213</v>
      </c>
      <c r="B1467">
        <v>2300</v>
      </c>
      <c r="C1467" s="455">
        <v>10.468999999999999</v>
      </c>
      <c r="D1467" s="637">
        <f t="shared" si="52"/>
        <v>21.101578125</v>
      </c>
      <c r="E1467" s="637">
        <f t="shared" si="53"/>
        <v>41.54884375000001</v>
      </c>
    </row>
    <row r="1468" spans="1:5">
      <c r="A1468">
        <v>30213</v>
      </c>
      <c r="B1468">
        <v>2400</v>
      </c>
      <c r="C1468" s="455">
        <v>10.795999999999999</v>
      </c>
      <c r="D1468" s="637">
        <f t="shared" si="52"/>
        <v>21.7606875</v>
      </c>
      <c r="E1468" s="637">
        <f t="shared" si="53"/>
        <v>42.84662500000001</v>
      </c>
    </row>
    <row r="1469" spans="1:5">
      <c r="A1469">
        <v>30313</v>
      </c>
      <c r="B1469">
        <v>100</v>
      </c>
      <c r="C1469" s="455">
        <v>11.026999999999999</v>
      </c>
      <c r="D1469" s="637">
        <f t="shared" si="52"/>
        <v>22.226296874999999</v>
      </c>
      <c r="E1469" s="637">
        <f t="shared" si="53"/>
        <v>43.76340625000001</v>
      </c>
    </row>
    <row r="1470" spans="1:5">
      <c r="A1470">
        <v>30313</v>
      </c>
      <c r="B1470">
        <v>200</v>
      </c>
      <c r="C1470" s="455">
        <v>10.833</v>
      </c>
      <c r="D1470" s="637">
        <f t="shared" si="52"/>
        <v>21.835265625000002</v>
      </c>
      <c r="E1470" s="637">
        <f t="shared" si="53"/>
        <v>42.993468750000012</v>
      </c>
    </row>
    <row r="1471" spans="1:5">
      <c r="A1471">
        <v>30313</v>
      </c>
      <c r="B1471">
        <v>300</v>
      </c>
      <c r="C1471" s="455">
        <v>11.087</v>
      </c>
      <c r="D1471" s="637">
        <f t="shared" si="52"/>
        <v>22.347234374999999</v>
      </c>
      <c r="E1471" s="637">
        <f t="shared" si="53"/>
        <v>44.001531250000014</v>
      </c>
    </row>
    <row r="1472" spans="1:5">
      <c r="A1472">
        <v>30313</v>
      </c>
      <c r="B1472">
        <v>400</v>
      </c>
      <c r="C1472" s="455">
        <v>12.256</v>
      </c>
      <c r="D1472" s="637">
        <f t="shared" si="52"/>
        <v>24.703500000000002</v>
      </c>
      <c r="E1472" s="637">
        <f t="shared" si="53"/>
        <v>48.641000000000012</v>
      </c>
    </row>
    <row r="1473" spans="1:5">
      <c r="A1473">
        <v>30313</v>
      </c>
      <c r="B1473">
        <v>500</v>
      </c>
      <c r="C1473" s="455">
        <v>11.734999999999999</v>
      </c>
      <c r="D1473" s="637">
        <f t="shared" si="52"/>
        <v>23.653359375000001</v>
      </c>
      <c r="E1473" s="637">
        <f t="shared" si="53"/>
        <v>46.573281250000008</v>
      </c>
    </row>
    <row r="1474" spans="1:5">
      <c r="A1474">
        <v>30313</v>
      </c>
      <c r="B1474">
        <v>600</v>
      </c>
      <c r="C1474" s="455">
        <v>11.946999999999999</v>
      </c>
      <c r="D1474" s="637">
        <f t="shared" si="52"/>
        <v>24.080671874999997</v>
      </c>
      <c r="E1474" s="637">
        <f t="shared" si="53"/>
        <v>47.414656250000007</v>
      </c>
    </row>
    <row r="1475" spans="1:5">
      <c r="A1475">
        <v>30313</v>
      </c>
      <c r="B1475">
        <v>700</v>
      </c>
      <c r="C1475" s="455">
        <v>12.586</v>
      </c>
      <c r="D1475" s="637">
        <f t="shared" si="52"/>
        <v>25.368656250000001</v>
      </c>
      <c r="E1475" s="637">
        <f t="shared" si="53"/>
        <v>49.950687500000015</v>
      </c>
    </row>
    <row r="1476" spans="1:5">
      <c r="A1476">
        <v>30313</v>
      </c>
      <c r="B1476">
        <v>800</v>
      </c>
      <c r="C1476" s="455">
        <v>13.06</v>
      </c>
      <c r="D1476" s="637">
        <f t="shared" si="52"/>
        <v>26.324062500000004</v>
      </c>
      <c r="E1476" s="637">
        <f t="shared" si="53"/>
        <v>51.831875000000018</v>
      </c>
    </row>
    <row r="1477" spans="1:5">
      <c r="A1477">
        <v>30313</v>
      </c>
      <c r="B1477">
        <v>900</v>
      </c>
      <c r="C1477" s="455">
        <v>7.6609999999999996</v>
      </c>
      <c r="D1477" s="637">
        <f t="shared" si="52"/>
        <v>15.441703125</v>
      </c>
      <c r="E1477" s="637">
        <f t="shared" si="53"/>
        <v>30.404593750000007</v>
      </c>
    </row>
    <row r="1478" spans="1:5">
      <c r="A1478">
        <v>30313</v>
      </c>
      <c r="B1478">
        <v>1000</v>
      </c>
      <c r="C1478" s="455">
        <v>1.944</v>
      </c>
      <c r="D1478" s="637">
        <f t="shared" si="52"/>
        <v>3.9183749999999997</v>
      </c>
      <c r="E1478" s="637">
        <f t="shared" si="53"/>
        <v>7.7152500000000011</v>
      </c>
    </row>
    <row r="1479" spans="1:5">
      <c r="A1479">
        <v>30313</v>
      </c>
      <c r="B1479">
        <v>1100</v>
      </c>
      <c r="C1479" s="455">
        <v>0.504</v>
      </c>
      <c r="D1479" s="637">
        <f t="shared" si="52"/>
        <v>1.0158749999999999</v>
      </c>
      <c r="E1479" s="637">
        <f t="shared" si="53"/>
        <v>2.0002500000000003</v>
      </c>
    </row>
    <row r="1480" spans="1:5">
      <c r="A1480">
        <v>30313</v>
      </c>
      <c r="B1480">
        <v>1200</v>
      </c>
      <c r="C1480" s="455">
        <v>7.1999999999999995E-2</v>
      </c>
      <c r="D1480" s="637">
        <f t="shared" si="52"/>
        <v>0.145125</v>
      </c>
      <c r="E1480" s="637">
        <f t="shared" si="53"/>
        <v>0.28575000000000006</v>
      </c>
    </row>
    <row r="1481" spans="1:5">
      <c r="A1481">
        <v>30313</v>
      </c>
      <c r="B1481">
        <v>1300</v>
      </c>
      <c r="C1481" s="455">
        <v>0.432</v>
      </c>
      <c r="D1481" s="637">
        <f t="shared" si="52"/>
        <v>0.87074999999999991</v>
      </c>
      <c r="E1481" s="637">
        <f t="shared" si="53"/>
        <v>1.7145000000000001</v>
      </c>
    </row>
    <row r="1482" spans="1:5">
      <c r="A1482">
        <v>30313</v>
      </c>
      <c r="B1482">
        <v>1400</v>
      </c>
      <c r="C1482" s="455">
        <v>0.216</v>
      </c>
      <c r="D1482" s="637">
        <f t="shared" si="52"/>
        <v>0.43537499999999996</v>
      </c>
      <c r="E1482" s="637">
        <f t="shared" si="53"/>
        <v>0.85725000000000007</v>
      </c>
    </row>
    <row r="1483" spans="1:5">
      <c r="A1483">
        <v>30313</v>
      </c>
      <c r="B1483">
        <v>1500</v>
      </c>
      <c r="C1483" s="455">
        <v>1.08</v>
      </c>
      <c r="D1483" s="637">
        <f t="shared" si="52"/>
        <v>2.1768750000000003</v>
      </c>
      <c r="E1483" s="637">
        <f t="shared" si="53"/>
        <v>4.2862500000000017</v>
      </c>
    </row>
    <row r="1484" spans="1:5">
      <c r="A1484">
        <v>30313</v>
      </c>
      <c r="B1484">
        <v>1600</v>
      </c>
      <c r="C1484" s="455">
        <v>2.7749999999999999</v>
      </c>
      <c r="D1484" s="637">
        <f t="shared" si="52"/>
        <v>5.5933593750000004</v>
      </c>
      <c r="E1484" s="637">
        <f t="shared" si="53"/>
        <v>11.013281250000002</v>
      </c>
    </row>
    <row r="1485" spans="1:5">
      <c r="A1485">
        <v>30313</v>
      </c>
      <c r="B1485">
        <v>1700</v>
      </c>
      <c r="C1485" s="455">
        <v>6.6879999999999997</v>
      </c>
      <c r="D1485" s="637">
        <f t="shared" si="52"/>
        <v>13.480499999999999</v>
      </c>
      <c r="E1485" s="637">
        <f t="shared" si="53"/>
        <v>26.543000000000006</v>
      </c>
    </row>
    <row r="1486" spans="1:5">
      <c r="A1486">
        <v>30313</v>
      </c>
      <c r="B1486">
        <v>1800</v>
      </c>
      <c r="C1486" s="455">
        <v>11.821</v>
      </c>
      <c r="D1486" s="637">
        <f t="shared" ref="D1486:D1549" si="54">(C1486/(MAX($C$1421:$C$2164)))*$W$7</f>
        <v>23.826703124999998</v>
      </c>
      <c r="E1486" s="637">
        <f t="shared" ref="E1486:E1549" si="55">(C1486/(MAX($C$1421:$C$2164)))*$P$7</f>
        <v>46.914593750000009</v>
      </c>
    </row>
    <row r="1487" spans="1:5">
      <c r="A1487">
        <v>30313</v>
      </c>
      <c r="B1487">
        <v>1900</v>
      </c>
      <c r="C1487" s="455">
        <v>12.045999999999999</v>
      </c>
      <c r="D1487" s="637">
        <f t="shared" si="54"/>
        <v>24.28021875</v>
      </c>
      <c r="E1487" s="637">
        <f t="shared" si="55"/>
        <v>47.80756250000001</v>
      </c>
    </row>
    <row r="1488" spans="1:5">
      <c r="A1488">
        <v>30313</v>
      </c>
      <c r="B1488">
        <v>2000</v>
      </c>
      <c r="C1488" s="455">
        <v>10.210000000000001</v>
      </c>
      <c r="D1488" s="637">
        <f t="shared" si="54"/>
        <v>20.579531250000002</v>
      </c>
      <c r="E1488" s="637">
        <f t="shared" si="55"/>
        <v>40.520937500000009</v>
      </c>
    </row>
    <row r="1489" spans="1:5">
      <c r="A1489">
        <v>30313</v>
      </c>
      <c r="B1489">
        <v>2100</v>
      </c>
      <c r="C1489" s="455">
        <v>10.611000000000001</v>
      </c>
      <c r="D1489" s="637">
        <f t="shared" si="54"/>
        <v>21.387796874999999</v>
      </c>
      <c r="E1489" s="637">
        <f t="shared" si="55"/>
        <v>42.112406250000014</v>
      </c>
    </row>
    <row r="1490" spans="1:5">
      <c r="A1490">
        <v>30313</v>
      </c>
      <c r="B1490">
        <v>2200</v>
      </c>
      <c r="C1490" s="455">
        <v>10.670999999999999</v>
      </c>
      <c r="D1490" s="637">
        <f t="shared" si="54"/>
        <v>21.508734375</v>
      </c>
      <c r="E1490" s="637">
        <f t="shared" si="55"/>
        <v>42.35053125000001</v>
      </c>
    </row>
    <row r="1491" spans="1:5">
      <c r="A1491">
        <v>30313</v>
      </c>
      <c r="B1491">
        <v>2300</v>
      </c>
      <c r="C1491" s="455">
        <v>10.686</v>
      </c>
      <c r="D1491" s="637">
        <f t="shared" si="54"/>
        <v>21.538968750000002</v>
      </c>
      <c r="E1491" s="637">
        <f t="shared" si="55"/>
        <v>42.410062500000009</v>
      </c>
    </row>
    <row r="1492" spans="1:5">
      <c r="A1492">
        <v>30313</v>
      </c>
      <c r="B1492">
        <v>2400</v>
      </c>
      <c r="C1492" s="455">
        <v>11.112</v>
      </c>
      <c r="D1492" s="637">
        <f t="shared" si="54"/>
        <v>22.397624999999998</v>
      </c>
      <c r="E1492" s="637">
        <f t="shared" si="55"/>
        <v>44.100750000000012</v>
      </c>
    </row>
    <row r="1493" spans="1:5">
      <c r="A1493">
        <v>30413</v>
      </c>
      <c r="B1493">
        <v>100</v>
      </c>
      <c r="C1493" s="455">
        <v>10.644</v>
      </c>
      <c r="D1493" s="637">
        <f t="shared" si="54"/>
        <v>21.4543125</v>
      </c>
      <c r="E1493" s="637">
        <f t="shared" si="55"/>
        <v>42.243375000000007</v>
      </c>
    </row>
    <row r="1494" spans="1:5">
      <c r="A1494">
        <v>30413</v>
      </c>
      <c r="B1494">
        <v>200</v>
      </c>
      <c r="C1494" s="455">
        <v>11.202999999999999</v>
      </c>
      <c r="D1494" s="637">
        <f t="shared" si="54"/>
        <v>22.581046874999998</v>
      </c>
      <c r="E1494" s="637">
        <f t="shared" si="55"/>
        <v>44.461906250000006</v>
      </c>
    </row>
    <row r="1495" spans="1:5">
      <c r="A1495">
        <v>30413</v>
      </c>
      <c r="B1495">
        <v>300</v>
      </c>
      <c r="C1495" s="455">
        <v>11.295999999999999</v>
      </c>
      <c r="D1495" s="637">
        <f t="shared" si="54"/>
        <v>22.7685</v>
      </c>
      <c r="E1495" s="637">
        <f t="shared" si="55"/>
        <v>44.83100000000001</v>
      </c>
    </row>
    <row r="1496" spans="1:5">
      <c r="A1496">
        <v>30413</v>
      </c>
      <c r="B1496">
        <v>400</v>
      </c>
      <c r="C1496" s="455">
        <v>11.476000000000001</v>
      </c>
      <c r="D1496" s="637">
        <f t="shared" si="54"/>
        <v>23.1313125</v>
      </c>
      <c r="E1496" s="637">
        <f t="shared" si="55"/>
        <v>45.545375000000014</v>
      </c>
    </row>
    <row r="1497" spans="1:5">
      <c r="A1497">
        <v>30413</v>
      </c>
      <c r="B1497">
        <v>500</v>
      </c>
      <c r="C1497" s="455">
        <v>11.327999999999999</v>
      </c>
      <c r="D1497" s="637">
        <f t="shared" si="54"/>
        <v>22.832999999999998</v>
      </c>
      <c r="E1497" s="637">
        <f t="shared" si="55"/>
        <v>44.958000000000013</v>
      </c>
    </row>
    <row r="1498" spans="1:5">
      <c r="A1498">
        <v>30413</v>
      </c>
      <c r="B1498">
        <v>600</v>
      </c>
      <c r="C1498" s="455">
        <v>11.577</v>
      </c>
      <c r="D1498" s="637">
        <f t="shared" si="54"/>
        <v>23.334890625</v>
      </c>
      <c r="E1498" s="637">
        <f t="shared" si="55"/>
        <v>45.946218750000007</v>
      </c>
    </row>
    <row r="1499" spans="1:5">
      <c r="A1499">
        <v>30413</v>
      </c>
      <c r="B1499">
        <v>700</v>
      </c>
      <c r="C1499" s="455">
        <v>12.553000000000001</v>
      </c>
      <c r="D1499" s="637">
        <f t="shared" si="54"/>
        <v>25.302140625</v>
      </c>
      <c r="E1499" s="637">
        <f t="shared" si="55"/>
        <v>49.819718750000014</v>
      </c>
    </row>
    <row r="1500" spans="1:5">
      <c r="A1500">
        <v>30413</v>
      </c>
      <c r="B1500">
        <v>800</v>
      </c>
      <c r="C1500" s="455">
        <v>11.723000000000001</v>
      </c>
      <c r="D1500" s="637">
        <f t="shared" si="54"/>
        <v>23.629171875000004</v>
      </c>
      <c r="E1500" s="637">
        <f t="shared" si="55"/>
        <v>46.525656250000019</v>
      </c>
    </row>
    <row r="1501" spans="1:5">
      <c r="A1501">
        <v>30413</v>
      </c>
      <c r="B1501">
        <v>900</v>
      </c>
      <c r="C1501" s="455">
        <v>4.4729999999999999</v>
      </c>
      <c r="D1501" s="637">
        <f t="shared" si="54"/>
        <v>9.015890624999999</v>
      </c>
      <c r="E1501" s="637">
        <f t="shared" si="55"/>
        <v>17.752218750000004</v>
      </c>
    </row>
    <row r="1502" spans="1:5">
      <c r="A1502">
        <v>30413</v>
      </c>
      <c r="B1502">
        <v>1000</v>
      </c>
      <c r="C1502" s="455">
        <v>2.306</v>
      </c>
      <c r="D1502" s="637">
        <f t="shared" si="54"/>
        <v>4.6480312499999998</v>
      </c>
      <c r="E1502" s="637">
        <f t="shared" si="55"/>
        <v>9.1519375000000025</v>
      </c>
    </row>
    <row r="1503" spans="1:5">
      <c r="A1503">
        <v>30413</v>
      </c>
      <c r="B1503">
        <v>1100</v>
      </c>
      <c r="C1503" s="455">
        <v>0.504</v>
      </c>
      <c r="D1503" s="637">
        <f t="shared" si="54"/>
        <v>1.0158749999999999</v>
      </c>
      <c r="E1503" s="637">
        <f t="shared" si="55"/>
        <v>2.0002500000000003</v>
      </c>
    </row>
    <row r="1504" spans="1:5">
      <c r="A1504">
        <v>30413</v>
      </c>
      <c r="B1504">
        <v>1200</v>
      </c>
      <c r="C1504" s="455">
        <v>0</v>
      </c>
      <c r="D1504" s="637">
        <f t="shared" si="54"/>
        <v>0</v>
      </c>
      <c r="E1504" s="637">
        <f t="shared" si="55"/>
        <v>0</v>
      </c>
    </row>
    <row r="1505" spans="1:5">
      <c r="A1505">
        <v>30413</v>
      </c>
      <c r="B1505">
        <v>1300</v>
      </c>
      <c r="C1505" s="455">
        <v>7.1999999999999995E-2</v>
      </c>
      <c r="D1505" s="637">
        <f t="shared" si="54"/>
        <v>0.145125</v>
      </c>
      <c r="E1505" s="637">
        <f t="shared" si="55"/>
        <v>0.28575000000000006</v>
      </c>
    </row>
    <row r="1506" spans="1:5">
      <c r="A1506">
        <v>30413</v>
      </c>
      <c r="B1506">
        <v>1400</v>
      </c>
      <c r="C1506" s="455">
        <v>0.28799999999999998</v>
      </c>
      <c r="D1506" s="637">
        <f t="shared" si="54"/>
        <v>0.58050000000000002</v>
      </c>
      <c r="E1506" s="637">
        <f t="shared" si="55"/>
        <v>1.1430000000000002</v>
      </c>
    </row>
    <row r="1507" spans="1:5">
      <c r="A1507">
        <v>30413</v>
      </c>
      <c r="B1507">
        <v>1500</v>
      </c>
      <c r="C1507" s="455">
        <v>1.4039999999999999</v>
      </c>
      <c r="D1507" s="637">
        <f t="shared" si="54"/>
        <v>2.8299374999999998</v>
      </c>
      <c r="E1507" s="637">
        <f t="shared" si="55"/>
        <v>5.5721250000000007</v>
      </c>
    </row>
    <row r="1508" spans="1:5">
      <c r="A1508">
        <v>30413</v>
      </c>
      <c r="B1508">
        <v>1600</v>
      </c>
      <c r="C1508" s="455">
        <v>2.7719999999999998</v>
      </c>
      <c r="D1508" s="637">
        <f t="shared" si="54"/>
        <v>5.5873124999999995</v>
      </c>
      <c r="E1508" s="637">
        <f t="shared" si="55"/>
        <v>11.001375000000001</v>
      </c>
    </row>
    <row r="1509" spans="1:5">
      <c r="A1509">
        <v>30413</v>
      </c>
      <c r="B1509">
        <v>1700</v>
      </c>
      <c r="C1509" s="455">
        <v>5.5620000000000003</v>
      </c>
      <c r="D1509" s="637">
        <f t="shared" si="54"/>
        <v>11.210906250000001</v>
      </c>
      <c r="E1509" s="637">
        <f t="shared" si="55"/>
        <v>22.074187500000008</v>
      </c>
    </row>
    <row r="1510" spans="1:5">
      <c r="A1510">
        <v>30413</v>
      </c>
      <c r="B1510">
        <v>1800</v>
      </c>
      <c r="C1510" s="455">
        <v>10.528</v>
      </c>
      <c r="D1510" s="637">
        <f t="shared" si="54"/>
        <v>21.220500000000001</v>
      </c>
      <c r="E1510" s="637">
        <f t="shared" si="55"/>
        <v>41.783000000000008</v>
      </c>
    </row>
    <row r="1511" spans="1:5">
      <c r="A1511">
        <v>30413</v>
      </c>
      <c r="B1511">
        <v>1900</v>
      </c>
      <c r="C1511" s="455">
        <v>11.311999999999999</v>
      </c>
      <c r="D1511" s="637">
        <f t="shared" si="54"/>
        <v>22.800749999999997</v>
      </c>
      <c r="E1511" s="637">
        <f t="shared" si="55"/>
        <v>44.894500000000008</v>
      </c>
    </row>
    <row r="1512" spans="1:5">
      <c r="A1512">
        <v>30413</v>
      </c>
      <c r="B1512">
        <v>2000</v>
      </c>
      <c r="C1512" s="455">
        <v>10.265000000000001</v>
      </c>
      <c r="D1512" s="637">
        <f t="shared" si="54"/>
        <v>20.690390625000003</v>
      </c>
      <c r="E1512" s="637">
        <f t="shared" si="55"/>
        <v>40.739218750000013</v>
      </c>
    </row>
    <row r="1513" spans="1:5">
      <c r="A1513">
        <v>30413</v>
      </c>
      <c r="B1513">
        <v>2100</v>
      </c>
      <c r="C1513" s="455">
        <v>10.63</v>
      </c>
      <c r="D1513" s="637">
        <f t="shared" si="54"/>
        <v>21.426093750000003</v>
      </c>
      <c r="E1513" s="637">
        <f t="shared" si="55"/>
        <v>42.187812500000014</v>
      </c>
    </row>
    <row r="1514" spans="1:5">
      <c r="A1514">
        <v>30413</v>
      </c>
      <c r="B1514">
        <v>2200</v>
      </c>
      <c r="C1514" s="455">
        <v>10.345000000000001</v>
      </c>
      <c r="D1514" s="637">
        <f t="shared" si="54"/>
        <v>20.851640625000002</v>
      </c>
      <c r="E1514" s="637">
        <f t="shared" si="55"/>
        <v>41.056718750000016</v>
      </c>
    </row>
    <row r="1515" spans="1:5">
      <c r="A1515">
        <v>30413</v>
      </c>
      <c r="B1515">
        <v>2300</v>
      </c>
      <c r="C1515" s="455">
        <v>10.907999999999999</v>
      </c>
      <c r="D1515" s="637">
        <f t="shared" si="54"/>
        <v>21.986437499999997</v>
      </c>
      <c r="E1515" s="637">
        <f t="shared" si="55"/>
        <v>43.291125000000008</v>
      </c>
    </row>
    <row r="1516" spans="1:5">
      <c r="A1516">
        <v>30413</v>
      </c>
      <c r="B1516">
        <v>2400</v>
      </c>
      <c r="C1516" s="455">
        <v>10.936999999999999</v>
      </c>
      <c r="D1516" s="637">
        <f t="shared" si="54"/>
        <v>22.044890625000001</v>
      </c>
      <c r="E1516" s="637">
        <f t="shared" si="55"/>
        <v>43.406218750000008</v>
      </c>
    </row>
    <row r="1517" spans="1:5">
      <c r="A1517">
        <v>30513</v>
      </c>
      <c r="B1517">
        <v>100</v>
      </c>
      <c r="C1517" s="455">
        <v>10.792</v>
      </c>
      <c r="D1517" s="637">
        <f t="shared" si="54"/>
        <v>21.752624999999998</v>
      </c>
      <c r="E1517" s="637">
        <f t="shared" si="55"/>
        <v>42.830750000000009</v>
      </c>
    </row>
    <row r="1518" spans="1:5">
      <c r="A1518">
        <v>30513</v>
      </c>
      <c r="B1518">
        <v>200</v>
      </c>
      <c r="C1518" s="455">
        <v>11.212999999999999</v>
      </c>
      <c r="D1518" s="637">
        <f t="shared" si="54"/>
        <v>22.601203124999998</v>
      </c>
      <c r="E1518" s="637">
        <f t="shared" si="55"/>
        <v>44.501593750000005</v>
      </c>
    </row>
    <row r="1519" spans="1:5">
      <c r="A1519">
        <v>30513</v>
      </c>
      <c r="B1519">
        <v>300</v>
      </c>
      <c r="C1519" s="455">
        <v>11.398</v>
      </c>
      <c r="D1519" s="637">
        <f t="shared" si="54"/>
        <v>22.974093750000002</v>
      </c>
      <c r="E1519" s="637">
        <f t="shared" si="55"/>
        <v>45.235812500000009</v>
      </c>
    </row>
    <row r="1520" spans="1:5">
      <c r="A1520">
        <v>30513</v>
      </c>
      <c r="B1520">
        <v>400</v>
      </c>
      <c r="C1520" s="455">
        <v>11.255000000000001</v>
      </c>
      <c r="D1520" s="637">
        <f t="shared" si="54"/>
        <v>22.685859375000003</v>
      </c>
      <c r="E1520" s="637">
        <f t="shared" si="55"/>
        <v>44.668281250000014</v>
      </c>
    </row>
    <row r="1521" spans="1:5">
      <c r="A1521">
        <v>30513</v>
      </c>
      <c r="B1521">
        <v>500</v>
      </c>
      <c r="C1521" s="455">
        <v>11.667999999999999</v>
      </c>
      <c r="D1521" s="637">
        <f t="shared" si="54"/>
        <v>23.5183125</v>
      </c>
      <c r="E1521" s="637">
        <f t="shared" si="55"/>
        <v>46.307375000000008</v>
      </c>
    </row>
    <row r="1522" spans="1:5">
      <c r="A1522">
        <v>30513</v>
      </c>
      <c r="B1522">
        <v>600</v>
      </c>
      <c r="C1522" s="455">
        <v>11.571</v>
      </c>
      <c r="D1522" s="637">
        <f t="shared" si="54"/>
        <v>23.322796874999998</v>
      </c>
      <c r="E1522" s="637">
        <f t="shared" si="55"/>
        <v>45.922406250000009</v>
      </c>
    </row>
    <row r="1523" spans="1:5">
      <c r="A1523">
        <v>30513</v>
      </c>
      <c r="B1523">
        <v>700</v>
      </c>
      <c r="C1523" s="455">
        <v>12.394</v>
      </c>
      <c r="D1523" s="637">
        <f t="shared" si="54"/>
        <v>24.98165625</v>
      </c>
      <c r="E1523" s="637">
        <f t="shared" si="55"/>
        <v>49.188687500000015</v>
      </c>
    </row>
    <row r="1524" spans="1:5">
      <c r="A1524">
        <v>30513</v>
      </c>
      <c r="B1524">
        <v>800</v>
      </c>
      <c r="C1524" s="455">
        <v>12.474</v>
      </c>
      <c r="D1524" s="637">
        <f t="shared" si="54"/>
        <v>25.142906250000003</v>
      </c>
      <c r="E1524" s="637">
        <f t="shared" si="55"/>
        <v>49.506187500000017</v>
      </c>
    </row>
    <row r="1525" spans="1:5">
      <c r="A1525">
        <v>30513</v>
      </c>
      <c r="B1525">
        <v>900</v>
      </c>
      <c r="C1525" s="455">
        <v>6.7119999999999997</v>
      </c>
      <c r="D1525" s="637">
        <f t="shared" si="54"/>
        <v>13.528875000000001</v>
      </c>
      <c r="E1525" s="637">
        <f t="shared" si="55"/>
        <v>26.638250000000006</v>
      </c>
    </row>
    <row r="1526" spans="1:5">
      <c r="A1526">
        <v>30513</v>
      </c>
      <c r="B1526">
        <v>1000</v>
      </c>
      <c r="C1526" s="455">
        <v>2.7</v>
      </c>
      <c r="D1526" s="637">
        <f t="shared" si="54"/>
        <v>5.4421875000000011</v>
      </c>
      <c r="E1526" s="637">
        <f t="shared" si="55"/>
        <v>10.715625000000005</v>
      </c>
    </row>
    <row r="1527" spans="1:5">
      <c r="A1527">
        <v>30513</v>
      </c>
      <c r="B1527">
        <v>1100</v>
      </c>
      <c r="C1527" s="455">
        <v>0.432</v>
      </c>
      <c r="D1527" s="637">
        <f t="shared" si="54"/>
        <v>0.87074999999999991</v>
      </c>
      <c r="E1527" s="637">
        <f t="shared" si="55"/>
        <v>1.7145000000000001</v>
      </c>
    </row>
    <row r="1528" spans="1:5">
      <c r="A1528">
        <v>30513</v>
      </c>
      <c r="B1528">
        <v>1200</v>
      </c>
      <c r="C1528" s="455">
        <v>0.14399999999999999</v>
      </c>
      <c r="D1528" s="637">
        <f t="shared" si="54"/>
        <v>0.29025000000000001</v>
      </c>
      <c r="E1528" s="637">
        <f t="shared" si="55"/>
        <v>0.57150000000000012</v>
      </c>
    </row>
    <row r="1529" spans="1:5">
      <c r="A1529">
        <v>30513</v>
      </c>
      <c r="B1529">
        <v>1300</v>
      </c>
      <c r="C1529" s="455">
        <v>0.216</v>
      </c>
      <c r="D1529" s="637">
        <f t="shared" si="54"/>
        <v>0.43537499999999996</v>
      </c>
      <c r="E1529" s="637">
        <f t="shared" si="55"/>
        <v>0.85725000000000007</v>
      </c>
    </row>
    <row r="1530" spans="1:5">
      <c r="A1530">
        <v>30513</v>
      </c>
      <c r="B1530">
        <v>1400</v>
      </c>
      <c r="C1530" s="455">
        <v>0.14399999999999999</v>
      </c>
      <c r="D1530" s="637">
        <f t="shared" si="54"/>
        <v>0.29025000000000001</v>
      </c>
      <c r="E1530" s="637">
        <f t="shared" si="55"/>
        <v>0.57150000000000012</v>
      </c>
    </row>
    <row r="1531" spans="1:5">
      <c r="A1531">
        <v>30513</v>
      </c>
      <c r="B1531">
        <v>1500</v>
      </c>
      <c r="C1531" s="455">
        <v>0.216</v>
      </c>
      <c r="D1531" s="637">
        <f t="shared" si="54"/>
        <v>0.43537499999999996</v>
      </c>
      <c r="E1531" s="637">
        <f t="shared" si="55"/>
        <v>0.85725000000000007</v>
      </c>
    </row>
    <row r="1532" spans="1:5">
      <c r="A1532">
        <v>30513</v>
      </c>
      <c r="B1532">
        <v>1600</v>
      </c>
      <c r="C1532" s="455">
        <v>0.72</v>
      </c>
      <c r="D1532" s="637">
        <f t="shared" si="54"/>
        <v>1.4512499999999999</v>
      </c>
      <c r="E1532" s="637">
        <f t="shared" si="55"/>
        <v>2.8575000000000004</v>
      </c>
    </row>
    <row r="1533" spans="1:5">
      <c r="A1533">
        <v>30513</v>
      </c>
      <c r="B1533">
        <v>1700</v>
      </c>
      <c r="C1533" s="455">
        <v>1.8</v>
      </c>
      <c r="D1533" s="637">
        <f t="shared" si="54"/>
        <v>3.6281249999999998</v>
      </c>
      <c r="E1533" s="637">
        <f t="shared" si="55"/>
        <v>7.1437500000000016</v>
      </c>
    </row>
    <row r="1534" spans="1:5">
      <c r="A1534">
        <v>30513</v>
      </c>
      <c r="B1534">
        <v>1800</v>
      </c>
      <c r="C1534" s="455">
        <v>7.0629999999999997</v>
      </c>
      <c r="D1534" s="637">
        <f t="shared" si="54"/>
        <v>14.236359374999999</v>
      </c>
      <c r="E1534" s="637">
        <f t="shared" si="55"/>
        <v>28.031281250000003</v>
      </c>
    </row>
    <row r="1535" spans="1:5">
      <c r="A1535">
        <v>30513</v>
      </c>
      <c r="B1535">
        <v>1900</v>
      </c>
      <c r="C1535" s="455">
        <v>11.659000000000001</v>
      </c>
      <c r="D1535" s="637">
        <f t="shared" si="54"/>
        <v>23.500171875000003</v>
      </c>
      <c r="E1535" s="637">
        <f t="shared" si="55"/>
        <v>46.271656250000014</v>
      </c>
    </row>
    <row r="1536" spans="1:5">
      <c r="A1536">
        <v>30513</v>
      </c>
      <c r="B1536">
        <v>2000</v>
      </c>
      <c r="C1536" s="455">
        <v>9.9489999999999998</v>
      </c>
      <c r="D1536" s="637">
        <f t="shared" si="54"/>
        <v>20.053453125000001</v>
      </c>
      <c r="E1536" s="637">
        <f t="shared" si="55"/>
        <v>39.485093750000004</v>
      </c>
    </row>
    <row r="1537" spans="1:5">
      <c r="A1537">
        <v>30513</v>
      </c>
      <c r="B1537">
        <v>2100</v>
      </c>
      <c r="C1537" s="455">
        <v>10.295</v>
      </c>
      <c r="D1537" s="637">
        <f t="shared" si="54"/>
        <v>20.750859375000001</v>
      </c>
      <c r="E1537" s="637">
        <f t="shared" si="55"/>
        <v>40.858281250000012</v>
      </c>
    </row>
    <row r="1538" spans="1:5">
      <c r="A1538">
        <v>30513</v>
      </c>
      <c r="B1538">
        <v>2200</v>
      </c>
      <c r="C1538" s="455">
        <v>10.057</v>
      </c>
      <c r="D1538" s="637">
        <f t="shared" si="54"/>
        <v>20.271140625000001</v>
      </c>
      <c r="E1538" s="637">
        <f t="shared" si="55"/>
        <v>39.913718750000008</v>
      </c>
    </row>
    <row r="1539" spans="1:5">
      <c r="A1539">
        <v>30513</v>
      </c>
      <c r="B1539">
        <v>2300</v>
      </c>
      <c r="C1539" s="455">
        <v>10.316000000000001</v>
      </c>
      <c r="D1539" s="637">
        <f t="shared" si="54"/>
        <v>20.793187500000002</v>
      </c>
      <c r="E1539" s="637">
        <f t="shared" si="55"/>
        <v>40.941625000000016</v>
      </c>
    </row>
    <row r="1540" spans="1:5">
      <c r="A1540">
        <v>30513</v>
      </c>
      <c r="B1540">
        <v>2400</v>
      </c>
      <c r="C1540" s="455">
        <v>10.345000000000001</v>
      </c>
      <c r="D1540" s="637">
        <f t="shared" si="54"/>
        <v>20.851640625000002</v>
      </c>
      <c r="E1540" s="637">
        <f t="shared" si="55"/>
        <v>41.056718750000016</v>
      </c>
    </row>
    <row r="1541" spans="1:5">
      <c r="A1541">
        <v>30613</v>
      </c>
      <c r="B1541">
        <v>100</v>
      </c>
      <c r="C1541" s="455">
        <v>10.404999999999999</v>
      </c>
      <c r="D1541" s="637">
        <f t="shared" si="54"/>
        <v>20.972578124999998</v>
      </c>
      <c r="E1541" s="637">
        <f t="shared" si="55"/>
        <v>41.294843750000013</v>
      </c>
    </row>
    <row r="1542" spans="1:5">
      <c r="A1542">
        <v>30613</v>
      </c>
      <c r="B1542">
        <v>200</v>
      </c>
      <c r="C1542" s="455">
        <v>10.826000000000001</v>
      </c>
      <c r="D1542" s="637">
        <f t="shared" si="54"/>
        <v>21.821156250000001</v>
      </c>
      <c r="E1542" s="637">
        <f t="shared" si="55"/>
        <v>42.965687500000016</v>
      </c>
    </row>
    <row r="1543" spans="1:5">
      <c r="A1543">
        <v>30613</v>
      </c>
      <c r="B1543">
        <v>300</v>
      </c>
      <c r="C1543" s="455">
        <v>10.644</v>
      </c>
      <c r="D1543" s="637">
        <f t="shared" si="54"/>
        <v>21.4543125</v>
      </c>
      <c r="E1543" s="637">
        <f t="shared" si="55"/>
        <v>42.243375000000007</v>
      </c>
    </row>
    <row r="1544" spans="1:5">
      <c r="A1544">
        <v>30613</v>
      </c>
      <c r="B1544">
        <v>400</v>
      </c>
      <c r="C1544" s="455">
        <v>10.917</v>
      </c>
      <c r="D1544" s="637">
        <f t="shared" si="54"/>
        <v>22.004578125000002</v>
      </c>
      <c r="E1544" s="637">
        <f t="shared" si="55"/>
        <v>43.326843750000009</v>
      </c>
    </row>
    <row r="1545" spans="1:5">
      <c r="A1545">
        <v>30613</v>
      </c>
      <c r="B1545">
        <v>500</v>
      </c>
      <c r="C1545" s="455">
        <v>10.571</v>
      </c>
      <c r="D1545" s="637">
        <f t="shared" si="54"/>
        <v>21.307171874999998</v>
      </c>
      <c r="E1545" s="637">
        <f t="shared" si="55"/>
        <v>41.953656250000009</v>
      </c>
    </row>
    <row r="1546" spans="1:5">
      <c r="A1546">
        <v>30613</v>
      </c>
      <c r="B1546">
        <v>600</v>
      </c>
      <c r="C1546" s="455">
        <v>10.44</v>
      </c>
      <c r="D1546" s="637">
        <f t="shared" si="54"/>
        <v>21.043125</v>
      </c>
      <c r="E1546" s="637">
        <f t="shared" si="55"/>
        <v>41.433750000000003</v>
      </c>
    </row>
    <row r="1547" spans="1:5">
      <c r="A1547">
        <v>30613</v>
      </c>
      <c r="B1547">
        <v>700</v>
      </c>
      <c r="C1547" s="455">
        <v>11.731</v>
      </c>
      <c r="D1547" s="637">
        <f t="shared" si="54"/>
        <v>23.645296875</v>
      </c>
      <c r="E1547" s="637">
        <f t="shared" si="55"/>
        <v>46.557406250000014</v>
      </c>
    </row>
    <row r="1548" spans="1:5">
      <c r="A1548">
        <v>30613</v>
      </c>
      <c r="B1548">
        <v>800</v>
      </c>
      <c r="C1548" s="455">
        <v>8.4540000000000006</v>
      </c>
      <c r="D1548" s="637">
        <f t="shared" si="54"/>
        <v>17.040093750000004</v>
      </c>
      <c r="E1548" s="637">
        <f t="shared" si="55"/>
        <v>33.551812500000011</v>
      </c>
    </row>
    <row r="1549" spans="1:5">
      <c r="A1549">
        <v>30613</v>
      </c>
      <c r="B1549">
        <v>900</v>
      </c>
      <c r="C1549" s="455">
        <v>4.5720000000000001</v>
      </c>
      <c r="D1549" s="637">
        <f t="shared" si="54"/>
        <v>9.2154375000000002</v>
      </c>
      <c r="E1549" s="637">
        <f t="shared" si="55"/>
        <v>18.145125000000004</v>
      </c>
    </row>
    <row r="1550" spans="1:5">
      <c r="A1550">
        <v>30613</v>
      </c>
      <c r="B1550">
        <v>1000</v>
      </c>
      <c r="C1550" s="455">
        <v>3.2040000000000002</v>
      </c>
      <c r="D1550" s="637">
        <f t="shared" ref="D1550:D1613" si="56">(C1550/(MAX($C$1421:$C$2164)))*$W$7</f>
        <v>6.4580625000000005</v>
      </c>
      <c r="E1550" s="637">
        <f t="shared" ref="E1550:E1613" si="57">(C1550/(MAX($C$1421:$C$2164)))*$P$7</f>
        <v>12.715875000000004</v>
      </c>
    </row>
    <row r="1551" spans="1:5">
      <c r="A1551">
        <v>30613</v>
      </c>
      <c r="B1551">
        <v>1100</v>
      </c>
      <c r="C1551" s="455">
        <v>1.26</v>
      </c>
      <c r="D1551" s="637">
        <f t="shared" si="56"/>
        <v>2.5396874999999999</v>
      </c>
      <c r="E1551" s="637">
        <f t="shared" si="57"/>
        <v>5.0006250000000012</v>
      </c>
    </row>
    <row r="1552" spans="1:5">
      <c r="A1552">
        <v>30613</v>
      </c>
      <c r="B1552">
        <v>1200</v>
      </c>
      <c r="C1552" s="455">
        <v>0</v>
      </c>
      <c r="D1552" s="637">
        <f t="shared" si="56"/>
        <v>0</v>
      </c>
      <c r="E1552" s="637">
        <f t="shared" si="57"/>
        <v>0</v>
      </c>
    </row>
    <row r="1553" spans="1:5">
      <c r="A1553">
        <v>30613</v>
      </c>
      <c r="B1553">
        <v>1300</v>
      </c>
      <c r="C1553" s="455">
        <v>0</v>
      </c>
      <c r="D1553" s="637">
        <f t="shared" si="56"/>
        <v>0</v>
      </c>
      <c r="E1553" s="637">
        <f t="shared" si="57"/>
        <v>0</v>
      </c>
    </row>
    <row r="1554" spans="1:5">
      <c r="A1554">
        <v>30613</v>
      </c>
      <c r="B1554">
        <v>1400</v>
      </c>
      <c r="C1554" s="455">
        <v>0.14399999999999999</v>
      </c>
      <c r="D1554" s="637">
        <f t="shared" si="56"/>
        <v>0.29025000000000001</v>
      </c>
      <c r="E1554" s="637">
        <f t="shared" si="57"/>
        <v>0.57150000000000012</v>
      </c>
    </row>
    <row r="1555" spans="1:5">
      <c r="A1555">
        <v>30613</v>
      </c>
      <c r="B1555">
        <v>1500</v>
      </c>
      <c r="C1555" s="455">
        <v>0</v>
      </c>
      <c r="D1555" s="637">
        <f t="shared" si="56"/>
        <v>0</v>
      </c>
      <c r="E1555" s="637">
        <f t="shared" si="57"/>
        <v>0</v>
      </c>
    </row>
    <row r="1556" spans="1:5">
      <c r="A1556">
        <v>30613</v>
      </c>
      <c r="B1556">
        <v>1600</v>
      </c>
      <c r="C1556" s="455">
        <v>0.161</v>
      </c>
      <c r="D1556" s="637">
        <f t="shared" si="56"/>
        <v>0.32451562500000003</v>
      </c>
      <c r="E1556" s="637">
        <f t="shared" si="57"/>
        <v>0.6389687500000002</v>
      </c>
    </row>
    <row r="1557" spans="1:5">
      <c r="A1557">
        <v>30613</v>
      </c>
      <c r="B1557">
        <v>1700</v>
      </c>
      <c r="C1557" s="455">
        <v>2.6320000000000001</v>
      </c>
      <c r="D1557" s="637">
        <f t="shared" si="56"/>
        <v>5.3051250000000003</v>
      </c>
      <c r="E1557" s="637">
        <f t="shared" si="57"/>
        <v>10.445750000000002</v>
      </c>
    </row>
    <row r="1558" spans="1:5">
      <c r="A1558">
        <v>30613</v>
      </c>
      <c r="B1558">
        <v>1800</v>
      </c>
      <c r="C1558" s="455">
        <v>8.0259999999999998</v>
      </c>
      <c r="D1558" s="637">
        <f t="shared" si="56"/>
        <v>16.177406250000001</v>
      </c>
      <c r="E1558" s="637">
        <f t="shared" si="57"/>
        <v>31.853187500000008</v>
      </c>
    </row>
    <row r="1559" spans="1:5">
      <c r="A1559">
        <v>30613</v>
      </c>
      <c r="B1559">
        <v>1900</v>
      </c>
      <c r="C1559" s="455">
        <v>10.831</v>
      </c>
      <c r="D1559" s="637">
        <f t="shared" si="56"/>
        <v>21.831234374999998</v>
      </c>
      <c r="E1559" s="637">
        <f t="shared" si="57"/>
        <v>42.985531250000008</v>
      </c>
    </row>
    <row r="1560" spans="1:5">
      <c r="A1560">
        <v>30613</v>
      </c>
      <c r="B1560">
        <v>2000</v>
      </c>
      <c r="C1560" s="455">
        <v>9.5950000000000006</v>
      </c>
      <c r="D1560" s="637">
        <f t="shared" si="56"/>
        <v>19.339921875000002</v>
      </c>
      <c r="E1560" s="637">
        <f t="shared" si="57"/>
        <v>38.080156250000009</v>
      </c>
    </row>
    <row r="1561" spans="1:5">
      <c r="A1561">
        <v>30613</v>
      </c>
      <c r="B1561">
        <v>2100</v>
      </c>
      <c r="C1561" s="455">
        <v>9.3439999999999994</v>
      </c>
      <c r="D1561" s="637">
        <f t="shared" si="56"/>
        <v>18.834</v>
      </c>
      <c r="E1561" s="637">
        <f t="shared" si="57"/>
        <v>37.084000000000003</v>
      </c>
    </row>
    <row r="1562" spans="1:5">
      <c r="A1562">
        <v>30613</v>
      </c>
      <c r="B1562">
        <v>2200</v>
      </c>
      <c r="C1562" s="455">
        <v>9.7750000000000004</v>
      </c>
      <c r="D1562" s="637">
        <f t="shared" si="56"/>
        <v>19.702734374999999</v>
      </c>
      <c r="E1562" s="637">
        <f t="shared" si="57"/>
        <v>38.794531250000006</v>
      </c>
    </row>
    <row r="1563" spans="1:5">
      <c r="A1563">
        <v>30613</v>
      </c>
      <c r="B1563">
        <v>2300</v>
      </c>
      <c r="C1563" s="455">
        <v>9.5440000000000005</v>
      </c>
      <c r="D1563" s="637">
        <f t="shared" si="56"/>
        <v>19.237124999999999</v>
      </c>
      <c r="E1563" s="637">
        <f t="shared" si="57"/>
        <v>37.877750000000006</v>
      </c>
    </row>
    <row r="1564" spans="1:5">
      <c r="A1564">
        <v>30613</v>
      </c>
      <c r="B1564">
        <v>2400</v>
      </c>
      <c r="C1564" s="455">
        <v>9.8439999999999994</v>
      </c>
      <c r="D1564" s="637">
        <f t="shared" si="56"/>
        <v>19.8418125</v>
      </c>
      <c r="E1564" s="637">
        <f t="shared" si="57"/>
        <v>39.06837500000001</v>
      </c>
    </row>
    <row r="1565" spans="1:5">
      <c r="A1565">
        <v>30713</v>
      </c>
      <c r="B1565">
        <v>100</v>
      </c>
      <c r="C1565" s="455">
        <v>9.6329999999999991</v>
      </c>
      <c r="D1565" s="637">
        <f t="shared" si="56"/>
        <v>19.416515624999999</v>
      </c>
      <c r="E1565" s="637">
        <f t="shared" si="57"/>
        <v>38.230968750000009</v>
      </c>
    </row>
    <row r="1566" spans="1:5">
      <c r="A1566">
        <v>30713</v>
      </c>
      <c r="B1566">
        <v>200</v>
      </c>
      <c r="C1566" s="455">
        <v>9.9600000000000009</v>
      </c>
      <c r="D1566" s="637">
        <f t="shared" si="56"/>
        <v>20.075625000000002</v>
      </c>
      <c r="E1566" s="637">
        <f t="shared" si="57"/>
        <v>39.528750000000009</v>
      </c>
    </row>
    <row r="1567" spans="1:5">
      <c r="A1567">
        <v>30713</v>
      </c>
      <c r="B1567">
        <v>300</v>
      </c>
      <c r="C1567" s="455">
        <v>9.9220000000000006</v>
      </c>
      <c r="D1567" s="637">
        <f t="shared" si="56"/>
        <v>19.999031250000002</v>
      </c>
      <c r="E1567" s="637">
        <f t="shared" si="57"/>
        <v>39.377937500000009</v>
      </c>
    </row>
    <row r="1568" spans="1:5">
      <c r="A1568">
        <v>30713</v>
      </c>
      <c r="B1568">
        <v>400</v>
      </c>
      <c r="C1568" s="455">
        <v>10.105</v>
      </c>
      <c r="D1568" s="637">
        <f t="shared" si="56"/>
        <v>20.367890625000001</v>
      </c>
      <c r="E1568" s="637">
        <f t="shared" si="57"/>
        <v>40.104218750000015</v>
      </c>
    </row>
    <row r="1569" spans="1:5">
      <c r="A1569">
        <v>30713</v>
      </c>
      <c r="B1569">
        <v>500</v>
      </c>
      <c r="C1569" s="455">
        <v>9.7970000000000006</v>
      </c>
      <c r="D1569" s="637">
        <f t="shared" si="56"/>
        <v>19.747078125000002</v>
      </c>
      <c r="E1569" s="637">
        <f t="shared" si="57"/>
        <v>38.881843750000016</v>
      </c>
    </row>
    <row r="1570" spans="1:5">
      <c r="A1570">
        <v>30713</v>
      </c>
      <c r="B1570">
        <v>600</v>
      </c>
      <c r="C1570" s="455">
        <v>10.276</v>
      </c>
      <c r="D1570" s="637">
        <f t="shared" si="56"/>
        <v>20.712562499999997</v>
      </c>
      <c r="E1570" s="637">
        <f t="shared" si="57"/>
        <v>40.782875000000004</v>
      </c>
    </row>
    <row r="1571" spans="1:5">
      <c r="A1571">
        <v>30713</v>
      </c>
      <c r="B1571">
        <v>700</v>
      </c>
      <c r="C1571" s="455">
        <v>11.013999999999999</v>
      </c>
      <c r="D1571" s="637">
        <f t="shared" si="56"/>
        <v>22.200093750000001</v>
      </c>
      <c r="E1571" s="637">
        <f t="shared" si="57"/>
        <v>43.711812500000008</v>
      </c>
    </row>
    <row r="1572" spans="1:5">
      <c r="A1572">
        <v>30713</v>
      </c>
      <c r="B1572">
        <v>800</v>
      </c>
      <c r="C1572" s="455">
        <v>7.984</v>
      </c>
      <c r="D1572" s="637">
        <f t="shared" si="56"/>
        <v>16.092749999999999</v>
      </c>
      <c r="E1572" s="637">
        <f t="shared" si="57"/>
        <v>31.686500000000006</v>
      </c>
    </row>
    <row r="1573" spans="1:5">
      <c r="A1573">
        <v>30713</v>
      </c>
      <c r="B1573">
        <v>900</v>
      </c>
      <c r="C1573" s="455">
        <v>5.0039999999999996</v>
      </c>
      <c r="D1573" s="637">
        <f t="shared" si="56"/>
        <v>10.086187499999999</v>
      </c>
      <c r="E1573" s="637">
        <f t="shared" si="57"/>
        <v>19.859625000000005</v>
      </c>
    </row>
    <row r="1574" spans="1:5">
      <c r="A1574">
        <v>30713</v>
      </c>
      <c r="B1574">
        <v>1000</v>
      </c>
      <c r="C1574" s="455">
        <v>1.9079999999999999</v>
      </c>
      <c r="D1574" s="637">
        <f t="shared" si="56"/>
        <v>3.8458124999999996</v>
      </c>
      <c r="E1574" s="637">
        <f t="shared" si="57"/>
        <v>7.572375000000001</v>
      </c>
    </row>
    <row r="1575" spans="1:5">
      <c r="A1575">
        <v>30713</v>
      </c>
      <c r="B1575">
        <v>1100</v>
      </c>
      <c r="C1575" s="455">
        <v>0.504</v>
      </c>
      <c r="D1575" s="637">
        <f t="shared" si="56"/>
        <v>1.0158749999999999</v>
      </c>
      <c r="E1575" s="637">
        <f t="shared" si="57"/>
        <v>2.0002500000000003</v>
      </c>
    </row>
    <row r="1576" spans="1:5">
      <c r="A1576">
        <v>30713</v>
      </c>
      <c r="B1576">
        <v>1200</v>
      </c>
      <c r="C1576" s="455">
        <v>0</v>
      </c>
      <c r="D1576" s="637">
        <f t="shared" si="56"/>
        <v>0</v>
      </c>
      <c r="E1576" s="637">
        <f t="shared" si="57"/>
        <v>0</v>
      </c>
    </row>
    <row r="1577" spans="1:5">
      <c r="A1577">
        <v>30713</v>
      </c>
      <c r="B1577">
        <v>1300</v>
      </c>
      <c r="C1577" s="455">
        <v>0</v>
      </c>
      <c r="D1577" s="637">
        <f t="shared" si="56"/>
        <v>0</v>
      </c>
      <c r="E1577" s="637">
        <f t="shared" si="57"/>
        <v>0</v>
      </c>
    </row>
    <row r="1578" spans="1:5">
      <c r="A1578">
        <v>30713</v>
      </c>
      <c r="B1578">
        <v>1400</v>
      </c>
      <c r="C1578" s="455">
        <v>0</v>
      </c>
      <c r="D1578" s="637">
        <f t="shared" si="56"/>
        <v>0</v>
      </c>
      <c r="E1578" s="637">
        <f t="shared" si="57"/>
        <v>0</v>
      </c>
    </row>
    <row r="1579" spans="1:5">
      <c r="A1579">
        <v>30713</v>
      </c>
      <c r="B1579">
        <v>1500</v>
      </c>
      <c r="C1579" s="455">
        <v>0</v>
      </c>
      <c r="D1579" s="637">
        <f t="shared" si="56"/>
        <v>0</v>
      </c>
      <c r="E1579" s="637">
        <f t="shared" si="57"/>
        <v>0</v>
      </c>
    </row>
    <row r="1580" spans="1:5">
      <c r="A1580">
        <v>30713</v>
      </c>
      <c r="B1580">
        <v>1600</v>
      </c>
      <c r="C1580" s="455">
        <v>0</v>
      </c>
      <c r="D1580" s="637">
        <f t="shared" si="56"/>
        <v>0</v>
      </c>
      <c r="E1580" s="637">
        <f t="shared" si="57"/>
        <v>0</v>
      </c>
    </row>
    <row r="1581" spans="1:5">
      <c r="A1581">
        <v>30713</v>
      </c>
      <c r="B1581">
        <v>1700</v>
      </c>
      <c r="C1581" s="455">
        <v>1.26</v>
      </c>
      <c r="D1581" s="637">
        <f t="shared" si="56"/>
        <v>2.5396874999999999</v>
      </c>
      <c r="E1581" s="637">
        <f t="shared" si="57"/>
        <v>5.0006250000000012</v>
      </c>
    </row>
    <row r="1582" spans="1:5">
      <c r="A1582">
        <v>30713</v>
      </c>
      <c r="B1582">
        <v>1800</v>
      </c>
      <c r="C1582" s="455">
        <v>3.5640000000000001</v>
      </c>
      <c r="D1582" s="637">
        <f t="shared" si="56"/>
        <v>7.1836874999999996</v>
      </c>
      <c r="E1582" s="637">
        <f t="shared" si="57"/>
        <v>14.144625000000003</v>
      </c>
    </row>
    <row r="1583" spans="1:5">
      <c r="A1583">
        <v>30713</v>
      </c>
      <c r="B1583">
        <v>1900</v>
      </c>
      <c r="C1583" s="455">
        <v>11.093</v>
      </c>
      <c r="D1583" s="637">
        <f t="shared" si="56"/>
        <v>22.359328125000001</v>
      </c>
      <c r="E1583" s="637">
        <f t="shared" si="57"/>
        <v>44.025343750000012</v>
      </c>
    </row>
    <row r="1584" spans="1:5">
      <c r="A1584">
        <v>30713</v>
      </c>
      <c r="B1584">
        <v>2000</v>
      </c>
      <c r="C1584" s="455">
        <v>9.35</v>
      </c>
      <c r="D1584" s="637">
        <f t="shared" si="56"/>
        <v>18.846093749999998</v>
      </c>
      <c r="E1584" s="637">
        <f t="shared" si="57"/>
        <v>37.107812500000009</v>
      </c>
    </row>
    <row r="1585" spans="1:5">
      <c r="A1585">
        <v>30713</v>
      </c>
      <c r="B1585">
        <v>2100</v>
      </c>
      <c r="C1585" s="455">
        <v>9.8770000000000007</v>
      </c>
      <c r="D1585" s="637">
        <f t="shared" si="56"/>
        <v>19.908328125000001</v>
      </c>
      <c r="E1585" s="637">
        <f t="shared" si="57"/>
        <v>39.199343750000011</v>
      </c>
    </row>
    <row r="1586" spans="1:5">
      <c r="A1586">
        <v>30713</v>
      </c>
      <c r="B1586">
        <v>2200</v>
      </c>
      <c r="C1586" s="455">
        <v>9.9130000000000003</v>
      </c>
      <c r="D1586" s="637">
        <f t="shared" si="56"/>
        <v>19.980890625000001</v>
      </c>
      <c r="E1586" s="637">
        <f t="shared" si="57"/>
        <v>39.342218750000008</v>
      </c>
    </row>
    <row r="1587" spans="1:5">
      <c r="A1587">
        <v>30713</v>
      </c>
      <c r="B1587">
        <v>2300</v>
      </c>
      <c r="C1587" s="455">
        <v>9.8140000000000001</v>
      </c>
      <c r="D1587" s="637">
        <f t="shared" si="56"/>
        <v>19.781343750000001</v>
      </c>
      <c r="E1587" s="637">
        <f t="shared" si="57"/>
        <v>38.949312500000012</v>
      </c>
    </row>
    <row r="1588" spans="1:5">
      <c r="A1588">
        <v>30713</v>
      </c>
      <c r="B1588">
        <v>2400</v>
      </c>
      <c r="C1588" s="455">
        <v>10.189</v>
      </c>
      <c r="D1588" s="637">
        <f t="shared" si="56"/>
        <v>20.537203124999998</v>
      </c>
      <c r="E1588" s="637">
        <f t="shared" si="57"/>
        <v>40.437593750000005</v>
      </c>
    </row>
    <row r="1589" spans="1:5">
      <c r="A1589">
        <v>30813</v>
      </c>
      <c r="B1589">
        <v>100</v>
      </c>
      <c r="C1589" s="455">
        <v>9.7780000000000005</v>
      </c>
      <c r="D1589" s="637">
        <f t="shared" si="56"/>
        <v>19.708781250000001</v>
      </c>
      <c r="E1589" s="637">
        <f t="shared" si="57"/>
        <v>38.806437500000008</v>
      </c>
    </row>
    <row r="1590" spans="1:5">
      <c r="A1590">
        <v>30813</v>
      </c>
      <c r="B1590">
        <v>200</v>
      </c>
      <c r="C1590" s="455">
        <v>9.59</v>
      </c>
      <c r="D1590" s="637">
        <f t="shared" si="56"/>
        <v>19.329843750000002</v>
      </c>
      <c r="E1590" s="637">
        <f t="shared" si="57"/>
        <v>38.060312500000009</v>
      </c>
    </row>
    <row r="1591" spans="1:5">
      <c r="A1591">
        <v>30813</v>
      </c>
      <c r="B1591">
        <v>300</v>
      </c>
      <c r="C1591" s="455">
        <v>9.9890000000000008</v>
      </c>
      <c r="D1591" s="637">
        <f t="shared" si="56"/>
        <v>20.134078125000002</v>
      </c>
      <c r="E1591" s="637">
        <f t="shared" si="57"/>
        <v>39.643843750000009</v>
      </c>
    </row>
    <row r="1592" spans="1:5">
      <c r="A1592">
        <v>30813</v>
      </c>
      <c r="B1592">
        <v>400</v>
      </c>
      <c r="C1592" s="455">
        <v>9.9209999999999994</v>
      </c>
      <c r="D1592" s="637">
        <f t="shared" si="56"/>
        <v>19.997015625</v>
      </c>
      <c r="E1592" s="637">
        <f t="shared" si="57"/>
        <v>39.37396875000001</v>
      </c>
    </row>
    <row r="1593" spans="1:5">
      <c r="A1593">
        <v>30813</v>
      </c>
      <c r="B1593">
        <v>500</v>
      </c>
      <c r="C1593" s="455">
        <v>9.8829999999999991</v>
      </c>
      <c r="D1593" s="637">
        <f t="shared" si="56"/>
        <v>19.920421874999999</v>
      </c>
      <c r="E1593" s="637">
        <f t="shared" si="57"/>
        <v>39.223156250000009</v>
      </c>
    </row>
    <row r="1594" spans="1:5">
      <c r="A1594">
        <v>30813</v>
      </c>
      <c r="B1594">
        <v>600</v>
      </c>
      <c r="C1594" s="455">
        <v>10.413</v>
      </c>
      <c r="D1594" s="637">
        <f t="shared" si="56"/>
        <v>20.988703125000001</v>
      </c>
      <c r="E1594" s="637">
        <f t="shared" si="57"/>
        <v>41.326593750000008</v>
      </c>
    </row>
    <row r="1595" spans="1:5">
      <c r="A1595">
        <v>30813</v>
      </c>
      <c r="B1595">
        <v>700</v>
      </c>
      <c r="C1595" s="455">
        <v>11.276</v>
      </c>
      <c r="D1595" s="637">
        <f t="shared" si="56"/>
        <v>22.728187500000001</v>
      </c>
      <c r="E1595" s="637">
        <f t="shared" si="57"/>
        <v>44.751625000000011</v>
      </c>
    </row>
    <row r="1596" spans="1:5">
      <c r="A1596">
        <v>30813</v>
      </c>
      <c r="B1596">
        <v>800</v>
      </c>
      <c r="C1596" s="455">
        <v>8.6669999999999998</v>
      </c>
      <c r="D1596" s="637">
        <f t="shared" si="56"/>
        <v>17.469421875000002</v>
      </c>
      <c r="E1596" s="637">
        <f t="shared" si="57"/>
        <v>34.397156250000009</v>
      </c>
    </row>
    <row r="1597" spans="1:5">
      <c r="A1597">
        <v>30813</v>
      </c>
      <c r="B1597">
        <v>900</v>
      </c>
      <c r="C1597" s="455">
        <v>2.4119999999999999</v>
      </c>
      <c r="D1597" s="637">
        <f t="shared" si="56"/>
        <v>4.8616874999999995</v>
      </c>
      <c r="E1597" s="637">
        <f t="shared" si="57"/>
        <v>9.5726250000000022</v>
      </c>
    </row>
    <row r="1598" spans="1:5">
      <c r="A1598">
        <v>30813</v>
      </c>
      <c r="B1598">
        <v>1000</v>
      </c>
      <c r="C1598" s="455">
        <v>0</v>
      </c>
      <c r="D1598" s="637">
        <f t="shared" si="56"/>
        <v>0</v>
      </c>
      <c r="E1598" s="637">
        <f t="shared" si="57"/>
        <v>0</v>
      </c>
    </row>
    <row r="1599" spans="1:5">
      <c r="A1599">
        <v>30813</v>
      </c>
      <c r="B1599">
        <v>1100</v>
      </c>
      <c r="C1599" s="455">
        <v>0</v>
      </c>
      <c r="D1599" s="637">
        <f t="shared" si="56"/>
        <v>0</v>
      </c>
      <c r="E1599" s="637">
        <f t="shared" si="57"/>
        <v>0</v>
      </c>
    </row>
    <row r="1600" spans="1:5">
      <c r="A1600">
        <v>30813</v>
      </c>
      <c r="B1600">
        <v>1200</v>
      </c>
      <c r="C1600" s="455">
        <v>0</v>
      </c>
      <c r="D1600" s="637">
        <f t="shared" si="56"/>
        <v>0</v>
      </c>
      <c r="E1600" s="637">
        <f t="shared" si="57"/>
        <v>0</v>
      </c>
    </row>
    <row r="1601" spans="1:5">
      <c r="A1601">
        <v>30813</v>
      </c>
      <c r="B1601">
        <v>1300</v>
      </c>
      <c r="C1601" s="455">
        <v>0</v>
      </c>
      <c r="D1601" s="637">
        <f t="shared" si="56"/>
        <v>0</v>
      </c>
      <c r="E1601" s="637">
        <f t="shared" si="57"/>
        <v>0</v>
      </c>
    </row>
    <row r="1602" spans="1:5">
      <c r="A1602">
        <v>30813</v>
      </c>
      <c r="B1602">
        <v>1400</v>
      </c>
      <c r="C1602" s="455">
        <v>1E-3</v>
      </c>
      <c r="D1602" s="637">
        <f t="shared" si="56"/>
        <v>2.0156250000000001E-3</v>
      </c>
      <c r="E1602" s="637">
        <f t="shared" si="57"/>
        <v>3.9687500000000009E-3</v>
      </c>
    </row>
    <row r="1603" spans="1:5">
      <c r="A1603">
        <v>30813</v>
      </c>
      <c r="B1603">
        <v>1500</v>
      </c>
      <c r="C1603" s="455">
        <v>0</v>
      </c>
      <c r="D1603" s="637">
        <f t="shared" si="56"/>
        <v>0</v>
      </c>
      <c r="E1603" s="637">
        <f t="shared" si="57"/>
        <v>0</v>
      </c>
    </row>
    <row r="1604" spans="1:5">
      <c r="A1604">
        <v>30813</v>
      </c>
      <c r="B1604">
        <v>1600</v>
      </c>
      <c r="C1604" s="455">
        <v>0</v>
      </c>
      <c r="D1604" s="637">
        <f t="shared" si="56"/>
        <v>0</v>
      </c>
      <c r="E1604" s="637">
        <f t="shared" si="57"/>
        <v>0</v>
      </c>
    </row>
    <row r="1605" spans="1:5">
      <c r="A1605">
        <v>30813</v>
      </c>
      <c r="B1605">
        <v>1700</v>
      </c>
      <c r="C1605" s="455">
        <v>0</v>
      </c>
      <c r="D1605" s="637">
        <f t="shared" si="56"/>
        <v>0</v>
      </c>
      <c r="E1605" s="637">
        <f t="shared" si="57"/>
        <v>0</v>
      </c>
    </row>
    <row r="1606" spans="1:5">
      <c r="A1606">
        <v>30813</v>
      </c>
      <c r="B1606">
        <v>1800</v>
      </c>
      <c r="C1606" s="455">
        <v>0.438</v>
      </c>
      <c r="D1606" s="637">
        <f t="shared" si="56"/>
        <v>0.88284375000000004</v>
      </c>
      <c r="E1606" s="637">
        <f t="shared" si="57"/>
        <v>1.7383125000000006</v>
      </c>
    </row>
    <row r="1607" spans="1:5">
      <c r="A1607">
        <v>30813</v>
      </c>
      <c r="B1607">
        <v>1900</v>
      </c>
      <c r="C1607" s="455">
        <v>7.5739999999999998</v>
      </c>
      <c r="D1607" s="637">
        <f t="shared" si="56"/>
        <v>15.266343750000001</v>
      </c>
      <c r="E1607" s="637">
        <f t="shared" si="57"/>
        <v>30.059312500000008</v>
      </c>
    </row>
    <row r="1608" spans="1:5">
      <c r="A1608">
        <v>30813</v>
      </c>
      <c r="B1608">
        <v>2000</v>
      </c>
      <c r="C1608" s="455">
        <v>6.2560000000000002</v>
      </c>
      <c r="D1608" s="637">
        <f t="shared" si="56"/>
        <v>12.60975</v>
      </c>
      <c r="E1608" s="637">
        <f t="shared" si="57"/>
        <v>24.828500000000005</v>
      </c>
    </row>
    <row r="1609" spans="1:5">
      <c r="A1609">
        <v>30813</v>
      </c>
      <c r="B1609">
        <v>2100</v>
      </c>
      <c r="C1609" s="455">
        <v>6.548</v>
      </c>
      <c r="D1609" s="637">
        <f t="shared" si="56"/>
        <v>13.1983125</v>
      </c>
      <c r="E1609" s="637">
        <f t="shared" si="57"/>
        <v>25.987375000000007</v>
      </c>
    </row>
    <row r="1610" spans="1:5">
      <c r="A1610">
        <v>30813</v>
      </c>
      <c r="B1610">
        <v>2200</v>
      </c>
      <c r="C1610" s="455">
        <v>6.6369999999999996</v>
      </c>
      <c r="D1610" s="637">
        <f t="shared" si="56"/>
        <v>13.377703124999998</v>
      </c>
      <c r="E1610" s="637">
        <f t="shared" si="57"/>
        <v>26.340593750000004</v>
      </c>
    </row>
    <row r="1611" spans="1:5">
      <c r="A1611">
        <v>30813</v>
      </c>
      <c r="B1611">
        <v>2300</v>
      </c>
      <c r="C1611" s="455">
        <v>6.4630000000000001</v>
      </c>
      <c r="D1611" s="637">
        <f t="shared" si="56"/>
        <v>13.026984375000001</v>
      </c>
      <c r="E1611" s="637">
        <f t="shared" si="57"/>
        <v>25.650031250000008</v>
      </c>
    </row>
    <row r="1612" spans="1:5">
      <c r="A1612">
        <v>30813</v>
      </c>
      <c r="B1612">
        <v>2400</v>
      </c>
      <c r="C1612" s="455">
        <v>6.7969999999999997</v>
      </c>
      <c r="D1612" s="637">
        <f t="shared" si="56"/>
        <v>13.700203125</v>
      </c>
      <c r="E1612" s="637">
        <f t="shared" si="57"/>
        <v>26.975593750000005</v>
      </c>
    </row>
    <row r="1613" spans="1:5">
      <c r="A1613">
        <v>30913</v>
      </c>
      <c r="B1613">
        <v>100</v>
      </c>
      <c r="C1613" s="455">
        <v>6.6689999999999996</v>
      </c>
      <c r="D1613" s="637">
        <f t="shared" si="56"/>
        <v>13.442203124999999</v>
      </c>
      <c r="E1613" s="637">
        <f t="shared" si="57"/>
        <v>26.467593750000006</v>
      </c>
    </row>
    <row r="1614" spans="1:5">
      <c r="A1614">
        <v>30913</v>
      </c>
      <c r="B1614">
        <v>200</v>
      </c>
      <c r="C1614" s="455">
        <v>6.726</v>
      </c>
      <c r="D1614" s="637">
        <f t="shared" ref="D1614:D1677" si="58">(C1614/(MAX($C$1421:$C$2164)))*$W$7</f>
        <v>13.55709375</v>
      </c>
      <c r="E1614" s="637">
        <f t="shared" ref="E1614:E1677" si="59">(C1614/(MAX($C$1421:$C$2164)))*$P$7</f>
        <v>26.693812500000007</v>
      </c>
    </row>
    <row r="1615" spans="1:5">
      <c r="A1615">
        <v>30913</v>
      </c>
      <c r="B1615">
        <v>300</v>
      </c>
      <c r="C1615" s="455">
        <v>6.57</v>
      </c>
      <c r="D1615" s="637">
        <f t="shared" si="58"/>
        <v>13.242656250000001</v>
      </c>
      <c r="E1615" s="637">
        <f t="shared" si="59"/>
        <v>26.07468750000001</v>
      </c>
    </row>
    <row r="1616" spans="1:5">
      <c r="A1616">
        <v>30913</v>
      </c>
      <c r="B1616">
        <v>400</v>
      </c>
      <c r="C1616" s="455">
        <v>6.6440000000000001</v>
      </c>
      <c r="D1616" s="637">
        <f t="shared" si="58"/>
        <v>13.3918125</v>
      </c>
      <c r="E1616" s="637">
        <f t="shared" si="59"/>
        <v>26.368375000000007</v>
      </c>
    </row>
    <row r="1617" spans="1:5">
      <c r="A1617">
        <v>30913</v>
      </c>
      <c r="B1617">
        <v>500</v>
      </c>
      <c r="C1617" s="455">
        <v>6.7320000000000002</v>
      </c>
      <c r="D1617" s="637">
        <f t="shared" si="58"/>
        <v>13.569187500000002</v>
      </c>
      <c r="E1617" s="637">
        <f t="shared" si="59"/>
        <v>26.717625000000009</v>
      </c>
    </row>
    <row r="1618" spans="1:5">
      <c r="A1618">
        <v>30913</v>
      </c>
      <c r="B1618">
        <v>600</v>
      </c>
      <c r="C1618" s="455">
        <v>6.7110000000000003</v>
      </c>
      <c r="D1618" s="637">
        <f t="shared" si="58"/>
        <v>13.526859375000001</v>
      </c>
      <c r="E1618" s="637">
        <f t="shared" si="59"/>
        <v>26.634281250000008</v>
      </c>
    </row>
    <row r="1619" spans="1:5">
      <c r="A1619">
        <v>30913</v>
      </c>
      <c r="B1619">
        <v>700</v>
      </c>
      <c r="C1619" s="455">
        <v>7.7060000000000004</v>
      </c>
      <c r="D1619" s="637">
        <f t="shared" si="58"/>
        <v>15.532406250000001</v>
      </c>
      <c r="E1619" s="637">
        <f t="shared" si="59"/>
        <v>30.583187500000008</v>
      </c>
    </row>
    <row r="1620" spans="1:5">
      <c r="A1620">
        <v>30913</v>
      </c>
      <c r="B1620">
        <v>800</v>
      </c>
      <c r="C1620" s="455">
        <v>0.61199999999999999</v>
      </c>
      <c r="D1620" s="637">
        <f t="shared" si="58"/>
        <v>1.2335624999999999</v>
      </c>
      <c r="E1620" s="637">
        <f t="shared" si="59"/>
        <v>2.4288750000000006</v>
      </c>
    </row>
    <row r="1621" spans="1:5">
      <c r="A1621">
        <v>30913</v>
      </c>
      <c r="B1621">
        <v>900</v>
      </c>
      <c r="C1621" s="455">
        <v>0</v>
      </c>
      <c r="D1621" s="637">
        <f t="shared" si="58"/>
        <v>0</v>
      </c>
      <c r="E1621" s="637">
        <f t="shared" si="59"/>
        <v>0</v>
      </c>
    </row>
    <row r="1622" spans="1:5">
      <c r="A1622">
        <v>30913</v>
      </c>
      <c r="B1622">
        <v>1000</v>
      </c>
      <c r="C1622" s="455">
        <v>0</v>
      </c>
      <c r="D1622" s="637">
        <f t="shared" si="58"/>
        <v>0</v>
      </c>
      <c r="E1622" s="637">
        <f t="shared" si="59"/>
        <v>0</v>
      </c>
    </row>
    <row r="1623" spans="1:5">
      <c r="A1623">
        <v>30913</v>
      </c>
      <c r="B1623">
        <v>1100</v>
      </c>
      <c r="C1623" s="455">
        <v>0</v>
      </c>
      <c r="D1623" s="637">
        <f t="shared" si="58"/>
        <v>0</v>
      </c>
      <c r="E1623" s="637">
        <f t="shared" si="59"/>
        <v>0</v>
      </c>
    </row>
    <row r="1624" spans="1:5">
      <c r="A1624">
        <v>30913</v>
      </c>
      <c r="B1624">
        <v>1200</v>
      </c>
      <c r="C1624" s="455">
        <v>0</v>
      </c>
      <c r="D1624" s="637">
        <f t="shared" si="58"/>
        <v>0</v>
      </c>
      <c r="E1624" s="637">
        <f t="shared" si="59"/>
        <v>0</v>
      </c>
    </row>
    <row r="1625" spans="1:5">
      <c r="A1625">
        <v>30913</v>
      </c>
      <c r="B1625">
        <v>1300</v>
      </c>
      <c r="C1625" s="455">
        <v>0</v>
      </c>
      <c r="D1625" s="637">
        <f t="shared" si="58"/>
        <v>0</v>
      </c>
      <c r="E1625" s="637">
        <f t="shared" si="59"/>
        <v>0</v>
      </c>
    </row>
    <row r="1626" spans="1:5">
      <c r="A1626">
        <v>30913</v>
      </c>
      <c r="B1626">
        <v>1400</v>
      </c>
      <c r="C1626" s="455">
        <v>0</v>
      </c>
      <c r="D1626" s="637">
        <f t="shared" si="58"/>
        <v>0</v>
      </c>
      <c r="E1626" s="637">
        <f t="shared" si="59"/>
        <v>0</v>
      </c>
    </row>
    <row r="1627" spans="1:5">
      <c r="A1627">
        <v>30913</v>
      </c>
      <c r="B1627">
        <v>1500</v>
      </c>
      <c r="C1627" s="455">
        <v>0</v>
      </c>
      <c r="D1627" s="637">
        <f t="shared" si="58"/>
        <v>0</v>
      </c>
      <c r="E1627" s="637">
        <f t="shared" si="59"/>
        <v>0</v>
      </c>
    </row>
    <row r="1628" spans="1:5">
      <c r="A1628">
        <v>30913</v>
      </c>
      <c r="B1628">
        <v>1600</v>
      </c>
      <c r="C1628" s="455">
        <v>0</v>
      </c>
      <c r="D1628" s="637">
        <f t="shared" si="58"/>
        <v>0</v>
      </c>
      <c r="E1628" s="637">
        <f t="shared" si="59"/>
        <v>0</v>
      </c>
    </row>
    <row r="1629" spans="1:5">
      <c r="A1629">
        <v>30913</v>
      </c>
      <c r="B1629">
        <v>1700</v>
      </c>
      <c r="C1629" s="455">
        <v>0</v>
      </c>
      <c r="D1629" s="637">
        <f t="shared" si="58"/>
        <v>0</v>
      </c>
      <c r="E1629" s="637">
        <f t="shared" si="59"/>
        <v>0</v>
      </c>
    </row>
    <row r="1630" spans="1:5">
      <c r="A1630">
        <v>30913</v>
      </c>
      <c r="B1630">
        <v>1800</v>
      </c>
      <c r="C1630" s="455">
        <v>1.7999999999999999E-2</v>
      </c>
      <c r="D1630" s="637">
        <f t="shared" si="58"/>
        <v>3.6281250000000001E-2</v>
      </c>
      <c r="E1630" s="637">
        <f t="shared" si="59"/>
        <v>7.1437500000000015E-2</v>
      </c>
    </row>
    <row r="1631" spans="1:5">
      <c r="A1631">
        <v>30913</v>
      </c>
      <c r="B1631">
        <v>1900</v>
      </c>
      <c r="C1631" s="455">
        <v>7.7050000000000001</v>
      </c>
      <c r="D1631" s="637">
        <f t="shared" si="58"/>
        <v>15.530390625000001</v>
      </c>
      <c r="E1631" s="637">
        <f t="shared" si="59"/>
        <v>30.57921875000001</v>
      </c>
    </row>
    <row r="1632" spans="1:5">
      <c r="A1632">
        <v>30913</v>
      </c>
      <c r="B1632">
        <v>2000</v>
      </c>
      <c r="C1632" s="455">
        <v>5.8860000000000001</v>
      </c>
      <c r="D1632" s="637">
        <f t="shared" si="58"/>
        <v>11.86396875</v>
      </c>
      <c r="E1632" s="637">
        <f t="shared" si="59"/>
        <v>23.360062500000005</v>
      </c>
    </row>
    <row r="1633" spans="1:5">
      <c r="A1633">
        <v>30913</v>
      </c>
      <c r="B1633">
        <v>2100</v>
      </c>
      <c r="C1633" s="455">
        <v>6.41</v>
      </c>
      <c r="D1633" s="637">
        <f t="shared" si="58"/>
        <v>12.92015625</v>
      </c>
      <c r="E1633" s="637">
        <f t="shared" si="59"/>
        <v>25.439687500000005</v>
      </c>
    </row>
    <row r="1634" spans="1:5">
      <c r="A1634">
        <v>30913</v>
      </c>
      <c r="B1634">
        <v>2200</v>
      </c>
      <c r="C1634" s="455">
        <v>6.3570000000000002</v>
      </c>
      <c r="D1634" s="637">
        <f t="shared" si="58"/>
        <v>12.813328125</v>
      </c>
      <c r="E1634" s="637">
        <f t="shared" si="59"/>
        <v>25.229343750000005</v>
      </c>
    </row>
    <row r="1635" spans="1:5">
      <c r="A1635">
        <v>30913</v>
      </c>
      <c r="B1635">
        <v>2300</v>
      </c>
      <c r="C1635" s="455">
        <v>6.6479999999999997</v>
      </c>
      <c r="D1635" s="637">
        <f t="shared" si="58"/>
        <v>13.399875</v>
      </c>
      <c r="E1635" s="637">
        <f t="shared" si="59"/>
        <v>26.384250000000005</v>
      </c>
    </row>
    <row r="1636" spans="1:5">
      <c r="A1636">
        <v>30913</v>
      </c>
      <c r="B1636">
        <v>2400</v>
      </c>
      <c r="C1636" s="455">
        <v>6.508</v>
      </c>
      <c r="D1636" s="637">
        <f t="shared" si="58"/>
        <v>13.117687500000001</v>
      </c>
      <c r="E1636" s="637">
        <f t="shared" si="59"/>
        <v>25.828625000000006</v>
      </c>
    </row>
    <row r="1637" spans="1:5">
      <c r="A1637">
        <v>31013</v>
      </c>
      <c r="B1637">
        <v>100</v>
      </c>
      <c r="C1637" s="455">
        <v>6.53</v>
      </c>
      <c r="D1637" s="637">
        <f t="shared" si="58"/>
        <v>13.162031250000002</v>
      </c>
      <c r="E1637" s="637">
        <f t="shared" si="59"/>
        <v>25.915937500000009</v>
      </c>
    </row>
    <row r="1638" spans="1:5">
      <c r="A1638">
        <v>31013</v>
      </c>
      <c r="B1638">
        <v>200</v>
      </c>
      <c r="C1638" s="455">
        <v>6.4710000000000001</v>
      </c>
      <c r="D1638" s="637">
        <f t="shared" si="58"/>
        <v>13.043109375</v>
      </c>
      <c r="E1638" s="637">
        <f t="shared" si="59"/>
        <v>25.681781250000007</v>
      </c>
    </row>
    <row r="1639" spans="1:5">
      <c r="A1639">
        <v>31013</v>
      </c>
      <c r="B1639">
        <v>300</v>
      </c>
      <c r="C1639" s="455">
        <v>6.4640000000000004</v>
      </c>
      <c r="D1639" s="637">
        <f t="shared" si="58"/>
        <v>13.029000000000002</v>
      </c>
      <c r="E1639" s="637">
        <f t="shared" si="59"/>
        <v>25.654000000000007</v>
      </c>
    </row>
    <row r="1640" spans="1:5">
      <c r="A1640">
        <v>31013</v>
      </c>
      <c r="B1640">
        <v>400</v>
      </c>
      <c r="C1640" s="455">
        <v>6.4119999999999999</v>
      </c>
      <c r="D1640" s="637">
        <f t="shared" si="58"/>
        <v>12.9241875</v>
      </c>
      <c r="E1640" s="637">
        <f t="shared" si="59"/>
        <v>25.447625000000006</v>
      </c>
    </row>
    <row r="1641" spans="1:5">
      <c r="A1641">
        <v>31013</v>
      </c>
      <c r="B1641">
        <v>500</v>
      </c>
      <c r="C1641" s="455">
        <v>6.6079999999999997</v>
      </c>
      <c r="D1641" s="637">
        <f t="shared" si="58"/>
        <v>13.31925</v>
      </c>
      <c r="E1641" s="637">
        <f t="shared" si="59"/>
        <v>26.225500000000007</v>
      </c>
    </row>
    <row r="1642" spans="1:5">
      <c r="A1642">
        <v>31013</v>
      </c>
      <c r="B1642">
        <v>600</v>
      </c>
      <c r="C1642" s="455">
        <v>6.5330000000000004</v>
      </c>
      <c r="D1642" s="637">
        <f t="shared" si="58"/>
        <v>13.168078125000001</v>
      </c>
      <c r="E1642" s="637">
        <f t="shared" si="59"/>
        <v>25.927843750000008</v>
      </c>
    </row>
    <row r="1643" spans="1:5">
      <c r="A1643">
        <v>31013</v>
      </c>
      <c r="B1643">
        <v>700</v>
      </c>
      <c r="C1643" s="455">
        <v>6.6040000000000001</v>
      </c>
      <c r="D1643" s="637">
        <f t="shared" si="58"/>
        <v>13.311187500000001</v>
      </c>
      <c r="E1643" s="637">
        <f t="shared" si="59"/>
        <v>26.209625000000006</v>
      </c>
    </row>
    <row r="1644" spans="1:5">
      <c r="A1644">
        <v>31013</v>
      </c>
      <c r="B1644">
        <v>800</v>
      </c>
      <c r="C1644" s="455">
        <v>0.109</v>
      </c>
      <c r="D1644" s="637">
        <f t="shared" si="58"/>
        <v>0.219703125</v>
      </c>
      <c r="E1644" s="637">
        <f t="shared" si="59"/>
        <v>0.43259375000000005</v>
      </c>
    </row>
    <row r="1645" spans="1:5">
      <c r="A1645">
        <v>31013</v>
      </c>
      <c r="B1645">
        <v>900</v>
      </c>
      <c r="C1645" s="455">
        <v>0</v>
      </c>
      <c r="D1645" s="637">
        <f t="shared" si="58"/>
        <v>0</v>
      </c>
      <c r="E1645" s="637">
        <f t="shared" si="59"/>
        <v>0</v>
      </c>
    </row>
    <row r="1646" spans="1:5">
      <c r="A1646">
        <v>31013</v>
      </c>
      <c r="B1646">
        <v>1000</v>
      </c>
      <c r="C1646" s="455">
        <v>0</v>
      </c>
      <c r="D1646" s="637">
        <f t="shared" si="58"/>
        <v>0</v>
      </c>
      <c r="E1646" s="637">
        <f t="shared" si="59"/>
        <v>0</v>
      </c>
    </row>
    <row r="1647" spans="1:5">
      <c r="A1647">
        <v>31013</v>
      </c>
      <c r="B1647">
        <v>1100</v>
      </c>
      <c r="C1647" s="455">
        <v>0</v>
      </c>
      <c r="D1647" s="637">
        <f t="shared" si="58"/>
        <v>0</v>
      </c>
      <c r="E1647" s="637">
        <f t="shared" si="59"/>
        <v>0</v>
      </c>
    </row>
    <row r="1648" spans="1:5">
      <c r="A1648">
        <v>31013</v>
      </c>
      <c r="B1648">
        <v>1200</v>
      </c>
      <c r="C1648" s="455">
        <v>0</v>
      </c>
      <c r="D1648" s="637">
        <f t="shared" si="58"/>
        <v>0</v>
      </c>
      <c r="E1648" s="637">
        <f t="shared" si="59"/>
        <v>0</v>
      </c>
    </row>
    <row r="1649" spans="1:5">
      <c r="A1649">
        <v>31013</v>
      </c>
      <c r="B1649">
        <v>1300</v>
      </c>
      <c r="C1649" s="455">
        <v>0.28799999999999998</v>
      </c>
      <c r="D1649" s="637">
        <f t="shared" si="58"/>
        <v>0.58050000000000002</v>
      </c>
      <c r="E1649" s="637">
        <f t="shared" si="59"/>
        <v>1.1430000000000002</v>
      </c>
    </row>
    <row r="1650" spans="1:5">
      <c r="A1650">
        <v>31013</v>
      </c>
      <c r="B1650">
        <v>1400</v>
      </c>
      <c r="C1650" s="455">
        <v>1.008</v>
      </c>
      <c r="D1650" s="637">
        <f t="shared" si="58"/>
        <v>2.0317499999999997</v>
      </c>
      <c r="E1650" s="637">
        <f t="shared" si="59"/>
        <v>4.0005000000000006</v>
      </c>
    </row>
    <row r="1651" spans="1:5">
      <c r="A1651">
        <v>31013</v>
      </c>
      <c r="B1651">
        <v>1500</v>
      </c>
      <c r="C1651" s="455">
        <v>1.008</v>
      </c>
      <c r="D1651" s="637">
        <f t="shared" si="58"/>
        <v>2.0317499999999997</v>
      </c>
      <c r="E1651" s="637">
        <f t="shared" si="59"/>
        <v>4.0005000000000006</v>
      </c>
    </row>
    <row r="1652" spans="1:5">
      <c r="A1652">
        <v>31013</v>
      </c>
      <c r="B1652">
        <v>1600</v>
      </c>
      <c r="C1652" s="455">
        <v>1.008</v>
      </c>
      <c r="D1652" s="637">
        <f t="shared" si="58"/>
        <v>2.0317499999999997</v>
      </c>
      <c r="E1652" s="637">
        <f t="shared" si="59"/>
        <v>4.0005000000000006</v>
      </c>
    </row>
    <row r="1653" spans="1:5">
      <c r="A1653">
        <v>31013</v>
      </c>
      <c r="B1653">
        <v>1700</v>
      </c>
      <c r="C1653" s="455">
        <v>1.008</v>
      </c>
      <c r="D1653" s="637">
        <f t="shared" si="58"/>
        <v>2.0317499999999997</v>
      </c>
      <c r="E1653" s="637">
        <f t="shared" si="59"/>
        <v>4.0005000000000006</v>
      </c>
    </row>
    <row r="1654" spans="1:5">
      <c r="A1654">
        <v>31013</v>
      </c>
      <c r="B1654">
        <v>1800</v>
      </c>
      <c r="C1654" s="455">
        <v>1.008</v>
      </c>
      <c r="D1654" s="637">
        <f t="shared" si="58"/>
        <v>2.0317499999999997</v>
      </c>
      <c r="E1654" s="637">
        <f t="shared" si="59"/>
        <v>4.0005000000000006</v>
      </c>
    </row>
    <row r="1655" spans="1:5">
      <c r="A1655">
        <v>31013</v>
      </c>
      <c r="B1655">
        <v>1900</v>
      </c>
      <c r="C1655" s="455">
        <v>6.1859999999999999</v>
      </c>
      <c r="D1655" s="637">
        <f t="shared" si="58"/>
        <v>12.468656249999999</v>
      </c>
      <c r="E1655" s="637">
        <f t="shared" si="59"/>
        <v>24.550687500000006</v>
      </c>
    </row>
    <row r="1656" spans="1:5">
      <c r="A1656">
        <v>31013</v>
      </c>
      <c r="B1656">
        <v>2000</v>
      </c>
      <c r="C1656" s="455">
        <v>5.35</v>
      </c>
      <c r="D1656" s="637">
        <f t="shared" si="58"/>
        <v>10.78359375</v>
      </c>
      <c r="E1656" s="637">
        <f t="shared" si="59"/>
        <v>21.232812500000005</v>
      </c>
    </row>
    <row r="1657" spans="1:5">
      <c r="A1657">
        <v>31013</v>
      </c>
      <c r="B1657">
        <v>2100</v>
      </c>
      <c r="C1657" s="455">
        <v>5.61</v>
      </c>
      <c r="D1657" s="637">
        <f t="shared" si="58"/>
        <v>11.307656250000001</v>
      </c>
      <c r="E1657" s="637">
        <f t="shared" si="59"/>
        <v>22.264687500000008</v>
      </c>
    </row>
    <row r="1658" spans="1:5">
      <c r="A1658">
        <v>31013</v>
      </c>
      <c r="B1658">
        <v>2200</v>
      </c>
      <c r="C1658" s="455">
        <v>5.8940000000000001</v>
      </c>
      <c r="D1658" s="637">
        <f t="shared" si="58"/>
        <v>11.88009375</v>
      </c>
      <c r="E1658" s="637">
        <f t="shared" si="59"/>
        <v>23.391812500000007</v>
      </c>
    </row>
    <row r="1659" spans="1:5">
      <c r="A1659">
        <v>31013</v>
      </c>
      <c r="B1659">
        <v>2300</v>
      </c>
      <c r="C1659" s="455">
        <v>6.2729999999999997</v>
      </c>
      <c r="D1659" s="637">
        <f t="shared" si="58"/>
        <v>12.644015625</v>
      </c>
      <c r="E1659" s="637">
        <f t="shared" si="59"/>
        <v>24.895968750000005</v>
      </c>
    </row>
    <row r="1660" spans="1:5">
      <c r="A1660">
        <v>31013</v>
      </c>
      <c r="B1660">
        <v>2400</v>
      </c>
      <c r="C1660" s="455">
        <v>6.0309999999999997</v>
      </c>
      <c r="D1660" s="637">
        <f t="shared" si="58"/>
        <v>12.156234374999999</v>
      </c>
      <c r="E1660" s="637">
        <f t="shared" si="59"/>
        <v>23.935531250000004</v>
      </c>
    </row>
    <row r="1661" spans="1:5">
      <c r="A1661">
        <v>31113</v>
      </c>
      <c r="B1661">
        <v>100</v>
      </c>
      <c r="C1661" s="455">
        <v>5.8460000000000001</v>
      </c>
      <c r="D1661" s="637">
        <f t="shared" si="58"/>
        <v>11.78334375</v>
      </c>
      <c r="E1661" s="637">
        <f t="shared" si="59"/>
        <v>23.201312500000007</v>
      </c>
    </row>
    <row r="1662" spans="1:5">
      <c r="A1662">
        <v>31113</v>
      </c>
      <c r="B1662">
        <v>200</v>
      </c>
      <c r="C1662" s="455">
        <v>6.0819999999999999</v>
      </c>
      <c r="D1662" s="637">
        <f t="shared" si="58"/>
        <v>12.259031250000001</v>
      </c>
      <c r="E1662" s="637">
        <f t="shared" si="59"/>
        <v>24.137937500000007</v>
      </c>
    </row>
    <row r="1663" spans="1:5">
      <c r="A1663">
        <v>31113</v>
      </c>
      <c r="B1663">
        <v>300</v>
      </c>
      <c r="C1663" s="455">
        <v>6.1020000000000003</v>
      </c>
      <c r="D1663" s="637">
        <f t="shared" si="58"/>
        <v>12.299343750000002</v>
      </c>
      <c r="E1663" s="637">
        <f t="shared" si="59"/>
        <v>24.217312500000009</v>
      </c>
    </row>
    <row r="1664" spans="1:5">
      <c r="A1664">
        <v>31113</v>
      </c>
      <c r="B1664">
        <v>400</v>
      </c>
      <c r="C1664" s="455">
        <v>6.1689999999999996</v>
      </c>
      <c r="D1664" s="637">
        <f t="shared" si="58"/>
        <v>12.434390624999999</v>
      </c>
      <c r="E1664" s="637">
        <f t="shared" si="59"/>
        <v>24.483218750000002</v>
      </c>
    </row>
    <row r="1665" spans="1:5">
      <c r="A1665">
        <v>31113</v>
      </c>
      <c r="B1665">
        <v>500</v>
      </c>
      <c r="C1665" s="455">
        <v>5.6269999999999998</v>
      </c>
      <c r="D1665" s="637">
        <f t="shared" si="58"/>
        <v>11.341921875000001</v>
      </c>
      <c r="E1665" s="637">
        <f t="shared" si="59"/>
        <v>22.332156250000004</v>
      </c>
    </row>
    <row r="1666" spans="1:5">
      <c r="A1666">
        <v>31113</v>
      </c>
      <c r="B1666">
        <v>600</v>
      </c>
      <c r="C1666" s="455">
        <v>6.2949999999999999</v>
      </c>
      <c r="D1666" s="637">
        <f t="shared" si="58"/>
        <v>12.688359374999999</v>
      </c>
      <c r="E1666" s="637">
        <f t="shared" si="59"/>
        <v>24.983281250000005</v>
      </c>
    </row>
    <row r="1667" spans="1:5">
      <c r="A1667">
        <v>31113</v>
      </c>
      <c r="B1667">
        <v>700</v>
      </c>
      <c r="C1667" s="455">
        <v>7.2060000000000004</v>
      </c>
      <c r="D1667" s="637">
        <f t="shared" si="58"/>
        <v>14.524593750000003</v>
      </c>
      <c r="E1667" s="637">
        <f t="shared" si="59"/>
        <v>28.598812500000012</v>
      </c>
    </row>
    <row r="1668" spans="1:5">
      <c r="A1668">
        <v>31113</v>
      </c>
      <c r="B1668">
        <v>800</v>
      </c>
      <c r="C1668" s="455">
        <v>4.6310000000000002</v>
      </c>
      <c r="D1668" s="637">
        <f t="shared" si="58"/>
        <v>9.334359375</v>
      </c>
      <c r="E1668" s="637">
        <f t="shared" si="59"/>
        <v>18.379281250000005</v>
      </c>
    </row>
    <row r="1669" spans="1:5">
      <c r="A1669">
        <v>31113</v>
      </c>
      <c r="B1669">
        <v>900</v>
      </c>
      <c r="C1669" s="455">
        <v>0.22</v>
      </c>
      <c r="D1669" s="637">
        <f t="shared" si="58"/>
        <v>0.44343749999999998</v>
      </c>
      <c r="E1669" s="637">
        <f t="shared" si="59"/>
        <v>0.87312500000000015</v>
      </c>
    </row>
    <row r="1670" spans="1:5">
      <c r="A1670">
        <v>31113</v>
      </c>
      <c r="B1670">
        <v>1000</v>
      </c>
      <c r="C1670" s="455">
        <v>0</v>
      </c>
      <c r="D1670" s="637">
        <f t="shared" si="58"/>
        <v>0</v>
      </c>
      <c r="E1670" s="637">
        <f t="shared" si="59"/>
        <v>0</v>
      </c>
    </row>
    <row r="1671" spans="1:5">
      <c r="A1671">
        <v>31113</v>
      </c>
      <c r="B1671">
        <v>1100</v>
      </c>
      <c r="C1671" s="455">
        <v>0</v>
      </c>
      <c r="D1671" s="637">
        <f t="shared" si="58"/>
        <v>0</v>
      </c>
      <c r="E1671" s="637">
        <f t="shared" si="59"/>
        <v>0</v>
      </c>
    </row>
    <row r="1672" spans="1:5">
      <c r="A1672">
        <v>31113</v>
      </c>
      <c r="B1672">
        <v>1200</v>
      </c>
      <c r="C1672" s="455">
        <v>0</v>
      </c>
      <c r="D1672" s="637">
        <f t="shared" si="58"/>
        <v>0</v>
      </c>
      <c r="E1672" s="637">
        <f t="shared" si="59"/>
        <v>0</v>
      </c>
    </row>
    <row r="1673" spans="1:5">
      <c r="A1673">
        <v>31113</v>
      </c>
      <c r="B1673">
        <v>1300</v>
      </c>
      <c r="C1673" s="455">
        <v>0</v>
      </c>
      <c r="D1673" s="637">
        <f t="shared" si="58"/>
        <v>0</v>
      </c>
      <c r="E1673" s="637">
        <f t="shared" si="59"/>
        <v>0</v>
      </c>
    </row>
    <row r="1674" spans="1:5">
      <c r="A1674">
        <v>31113</v>
      </c>
      <c r="B1674">
        <v>1400</v>
      </c>
      <c r="C1674" s="455">
        <v>0</v>
      </c>
      <c r="D1674" s="637">
        <f t="shared" si="58"/>
        <v>0</v>
      </c>
      <c r="E1674" s="637">
        <f t="shared" si="59"/>
        <v>0</v>
      </c>
    </row>
    <row r="1675" spans="1:5">
      <c r="A1675">
        <v>31113</v>
      </c>
      <c r="B1675">
        <v>1500</v>
      </c>
      <c r="C1675" s="455">
        <v>0</v>
      </c>
      <c r="D1675" s="637">
        <f t="shared" si="58"/>
        <v>0</v>
      </c>
      <c r="E1675" s="637">
        <f t="shared" si="59"/>
        <v>0</v>
      </c>
    </row>
    <row r="1676" spans="1:5">
      <c r="A1676">
        <v>31113</v>
      </c>
      <c r="B1676">
        <v>1600</v>
      </c>
      <c r="C1676" s="455">
        <v>0</v>
      </c>
      <c r="D1676" s="637">
        <f t="shared" si="58"/>
        <v>0</v>
      </c>
      <c r="E1676" s="637">
        <f t="shared" si="59"/>
        <v>0</v>
      </c>
    </row>
    <row r="1677" spans="1:5">
      <c r="A1677">
        <v>31113</v>
      </c>
      <c r="B1677">
        <v>1700</v>
      </c>
      <c r="C1677" s="455">
        <v>0</v>
      </c>
      <c r="D1677" s="637">
        <f t="shared" si="58"/>
        <v>0</v>
      </c>
      <c r="E1677" s="637">
        <f t="shared" si="59"/>
        <v>0</v>
      </c>
    </row>
    <row r="1678" spans="1:5">
      <c r="A1678">
        <v>31113</v>
      </c>
      <c r="B1678">
        <v>1800</v>
      </c>
      <c r="C1678" s="455">
        <v>0.96099999999999997</v>
      </c>
      <c r="D1678" s="637">
        <f t="shared" ref="D1678:D1741" si="60">(C1678/(MAX($C$1421:$C$2164)))*$W$7</f>
        <v>1.9370156249999999</v>
      </c>
      <c r="E1678" s="637">
        <f t="shared" ref="E1678:E1741" si="61">(C1678/(MAX($C$1421:$C$2164)))*$P$7</f>
        <v>3.8139687500000008</v>
      </c>
    </row>
    <row r="1679" spans="1:5">
      <c r="A1679">
        <v>31113</v>
      </c>
      <c r="B1679">
        <v>1900</v>
      </c>
      <c r="C1679" s="455">
        <v>7.5730000000000004</v>
      </c>
      <c r="D1679" s="637">
        <f t="shared" si="60"/>
        <v>15.264328125</v>
      </c>
      <c r="E1679" s="637">
        <f t="shared" si="61"/>
        <v>30.055343750000009</v>
      </c>
    </row>
    <row r="1680" spans="1:5">
      <c r="A1680">
        <v>31113</v>
      </c>
      <c r="B1680">
        <v>2000</v>
      </c>
      <c r="C1680" s="455">
        <v>5.3410000000000002</v>
      </c>
      <c r="D1680" s="637">
        <f t="shared" si="60"/>
        <v>10.765453125000001</v>
      </c>
      <c r="E1680" s="637">
        <f t="shared" si="61"/>
        <v>21.197093750000008</v>
      </c>
    </row>
    <row r="1681" spans="1:5">
      <c r="A1681">
        <v>31113</v>
      </c>
      <c r="B1681">
        <v>2100</v>
      </c>
      <c r="C1681" s="455">
        <v>6.0629999999999997</v>
      </c>
      <c r="D1681" s="637">
        <f t="shared" si="60"/>
        <v>12.220734374999999</v>
      </c>
      <c r="E1681" s="637">
        <f t="shared" si="61"/>
        <v>24.062531250000006</v>
      </c>
    </row>
    <row r="1682" spans="1:5">
      <c r="A1682">
        <v>31113</v>
      </c>
      <c r="B1682">
        <v>2200</v>
      </c>
      <c r="C1682" s="455">
        <v>6.3</v>
      </c>
      <c r="D1682" s="637">
        <f t="shared" si="60"/>
        <v>12.698437499999999</v>
      </c>
      <c r="E1682" s="637">
        <f t="shared" si="61"/>
        <v>25.003125000000004</v>
      </c>
    </row>
    <row r="1683" spans="1:5">
      <c r="A1683">
        <v>31113</v>
      </c>
      <c r="B1683">
        <v>2300</v>
      </c>
      <c r="C1683" s="455">
        <v>6.0229999999999997</v>
      </c>
      <c r="D1683" s="637">
        <f t="shared" si="60"/>
        <v>12.140109375</v>
      </c>
      <c r="E1683" s="637">
        <f t="shared" si="61"/>
        <v>23.903781250000005</v>
      </c>
    </row>
    <row r="1684" spans="1:5">
      <c r="A1684">
        <v>31113</v>
      </c>
      <c r="B1684">
        <v>2400</v>
      </c>
      <c r="C1684" s="455">
        <v>6.1779999999999999</v>
      </c>
      <c r="D1684" s="637">
        <f t="shared" si="60"/>
        <v>12.45253125</v>
      </c>
      <c r="E1684" s="637">
        <f t="shared" si="61"/>
        <v>24.518937500000007</v>
      </c>
    </row>
    <row r="1685" spans="1:5">
      <c r="A1685">
        <v>31213</v>
      </c>
      <c r="B1685">
        <v>100</v>
      </c>
      <c r="C1685" s="455">
        <v>6.4729999999999999</v>
      </c>
      <c r="D1685" s="637">
        <f t="shared" si="60"/>
        <v>13.047140625000001</v>
      </c>
      <c r="E1685" s="637">
        <f t="shared" si="61"/>
        <v>25.689718750000008</v>
      </c>
    </row>
    <row r="1686" spans="1:5">
      <c r="A1686">
        <v>31213</v>
      </c>
      <c r="B1686">
        <v>200</v>
      </c>
      <c r="C1686" s="455">
        <v>6.399</v>
      </c>
      <c r="D1686" s="637">
        <f t="shared" si="60"/>
        <v>12.897984375</v>
      </c>
      <c r="E1686" s="637">
        <f t="shared" si="61"/>
        <v>25.396031250000007</v>
      </c>
    </row>
    <row r="1687" spans="1:5">
      <c r="A1687">
        <v>31213</v>
      </c>
      <c r="B1687">
        <v>300</v>
      </c>
      <c r="C1687" s="455">
        <v>6.2880000000000003</v>
      </c>
      <c r="D1687" s="637">
        <f t="shared" si="60"/>
        <v>12.674250000000001</v>
      </c>
      <c r="E1687" s="637">
        <f t="shared" si="61"/>
        <v>24.955500000000008</v>
      </c>
    </row>
    <row r="1688" spans="1:5">
      <c r="A1688">
        <v>31213</v>
      </c>
      <c r="B1688">
        <v>400</v>
      </c>
      <c r="C1688" s="455">
        <v>6.4660000000000002</v>
      </c>
      <c r="D1688" s="637">
        <f t="shared" si="60"/>
        <v>13.033031250000001</v>
      </c>
      <c r="E1688" s="637">
        <f t="shared" si="61"/>
        <v>25.661937500000008</v>
      </c>
    </row>
    <row r="1689" spans="1:5">
      <c r="A1689">
        <v>31213</v>
      </c>
      <c r="B1689">
        <v>500</v>
      </c>
      <c r="C1689" s="455">
        <v>6.556</v>
      </c>
      <c r="D1689" s="637">
        <f t="shared" si="60"/>
        <v>13.214437500000001</v>
      </c>
      <c r="E1689" s="637">
        <f t="shared" si="61"/>
        <v>26.019125000000006</v>
      </c>
    </row>
    <row r="1690" spans="1:5">
      <c r="A1690">
        <v>31213</v>
      </c>
      <c r="B1690">
        <v>600</v>
      </c>
      <c r="C1690" s="455">
        <v>6.5250000000000004</v>
      </c>
      <c r="D1690" s="637">
        <f t="shared" si="60"/>
        <v>13.151953125000002</v>
      </c>
      <c r="E1690" s="637">
        <f t="shared" si="61"/>
        <v>25.896093750000009</v>
      </c>
    </row>
    <row r="1691" spans="1:5">
      <c r="A1691">
        <v>31213</v>
      </c>
      <c r="B1691">
        <v>700</v>
      </c>
      <c r="C1691" s="455">
        <v>8.2609999999999992</v>
      </c>
      <c r="D1691" s="637">
        <f t="shared" si="60"/>
        <v>16.651078124999998</v>
      </c>
      <c r="E1691" s="637">
        <f t="shared" si="61"/>
        <v>32.785843750000005</v>
      </c>
    </row>
    <row r="1692" spans="1:5">
      <c r="A1692">
        <v>31213</v>
      </c>
      <c r="B1692">
        <v>800</v>
      </c>
      <c r="C1692" s="455">
        <v>0.59299999999999997</v>
      </c>
      <c r="D1692" s="637">
        <f t="shared" si="60"/>
        <v>1.195265625</v>
      </c>
      <c r="E1692" s="637">
        <f t="shared" si="61"/>
        <v>2.3534687500000002</v>
      </c>
    </row>
    <row r="1693" spans="1:5">
      <c r="A1693">
        <v>31213</v>
      </c>
      <c r="B1693">
        <v>900</v>
      </c>
      <c r="C1693" s="455">
        <v>0</v>
      </c>
      <c r="D1693" s="637">
        <f t="shared" si="60"/>
        <v>0</v>
      </c>
      <c r="E1693" s="637">
        <f t="shared" si="61"/>
        <v>0</v>
      </c>
    </row>
    <row r="1694" spans="1:5">
      <c r="A1694">
        <v>31213</v>
      </c>
      <c r="B1694">
        <v>1000</v>
      </c>
      <c r="C1694" s="455">
        <v>0</v>
      </c>
      <c r="D1694" s="637">
        <f t="shared" si="60"/>
        <v>0</v>
      </c>
      <c r="E1694" s="637">
        <f t="shared" si="61"/>
        <v>0</v>
      </c>
    </row>
    <row r="1695" spans="1:5">
      <c r="A1695">
        <v>31213</v>
      </c>
      <c r="B1695">
        <v>1100</v>
      </c>
      <c r="C1695" s="455">
        <v>0</v>
      </c>
      <c r="D1695" s="637">
        <f t="shared" si="60"/>
        <v>0</v>
      </c>
      <c r="E1695" s="637">
        <f t="shared" si="61"/>
        <v>0</v>
      </c>
    </row>
    <row r="1696" spans="1:5">
      <c r="A1696">
        <v>31213</v>
      </c>
      <c r="B1696">
        <v>1200</v>
      </c>
      <c r="C1696" s="455">
        <v>0</v>
      </c>
      <c r="D1696" s="637">
        <f t="shared" si="60"/>
        <v>0</v>
      </c>
      <c r="E1696" s="637">
        <f t="shared" si="61"/>
        <v>0</v>
      </c>
    </row>
    <row r="1697" spans="1:5">
      <c r="A1697">
        <v>31213</v>
      </c>
      <c r="B1697">
        <v>1300</v>
      </c>
      <c r="C1697" s="455">
        <v>0</v>
      </c>
      <c r="D1697" s="637">
        <f t="shared" si="60"/>
        <v>0</v>
      </c>
      <c r="E1697" s="637">
        <f t="shared" si="61"/>
        <v>0</v>
      </c>
    </row>
    <row r="1698" spans="1:5">
      <c r="A1698">
        <v>31213</v>
      </c>
      <c r="B1698">
        <v>1400</v>
      </c>
      <c r="C1698" s="455">
        <v>0</v>
      </c>
      <c r="D1698" s="637">
        <f t="shared" si="60"/>
        <v>0</v>
      </c>
      <c r="E1698" s="637">
        <f t="shared" si="61"/>
        <v>0</v>
      </c>
    </row>
    <row r="1699" spans="1:5">
      <c r="A1699">
        <v>31213</v>
      </c>
      <c r="B1699">
        <v>1500</v>
      </c>
      <c r="C1699" s="455">
        <v>0</v>
      </c>
      <c r="D1699" s="637">
        <f t="shared" si="60"/>
        <v>0</v>
      </c>
      <c r="E1699" s="637">
        <f t="shared" si="61"/>
        <v>0</v>
      </c>
    </row>
    <row r="1700" spans="1:5">
      <c r="A1700">
        <v>31213</v>
      </c>
      <c r="B1700">
        <v>1600</v>
      </c>
      <c r="C1700" s="455">
        <v>0</v>
      </c>
      <c r="D1700" s="637">
        <f t="shared" si="60"/>
        <v>0</v>
      </c>
      <c r="E1700" s="637">
        <f t="shared" si="61"/>
        <v>0</v>
      </c>
    </row>
    <row r="1701" spans="1:5">
      <c r="A1701">
        <v>31213</v>
      </c>
      <c r="B1701">
        <v>1700</v>
      </c>
      <c r="C1701" s="455">
        <v>0</v>
      </c>
      <c r="D1701" s="637">
        <f t="shared" si="60"/>
        <v>0</v>
      </c>
      <c r="E1701" s="637">
        <f t="shared" si="61"/>
        <v>0</v>
      </c>
    </row>
    <row r="1702" spans="1:5">
      <c r="A1702">
        <v>31213</v>
      </c>
      <c r="B1702">
        <v>1800</v>
      </c>
      <c r="C1702" s="455">
        <v>0.67600000000000005</v>
      </c>
      <c r="D1702" s="637">
        <f t="shared" si="60"/>
        <v>1.3625625000000001</v>
      </c>
      <c r="E1702" s="637">
        <f t="shared" si="61"/>
        <v>2.682875000000001</v>
      </c>
    </row>
    <row r="1703" spans="1:5">
      <c r="A1703">
        <v>31213</v>
      </c>
      <c r="B1703">
        <v>1900</v>
      </c>
      <c r="C1703" s="455">
        <v>9.1039999999999992</v>
      </c>
      <c r="D1703" s="637">
        <f t="shared" si="60"/>
        <v>18.350249999999999</v>
      </c>
      <c r="E1703" s="637">
        <f t="shared" si="61"/>
        <v>36.131500000000003</v>
      </c>
    </row>
    <row r="1704" spans="1:5">
      <c r="A1704">
        <v>31213</v>
      </c>
      <c r="B1704">
        <v>2000</v>
      </c>
      <c r="C1704" s="455">
        <v>6.2409999999999997</v>
      </c>
      <c r="D1704" s="637">
        <f t="shared" si="60"/>
        <v>12.579515624999999</v>
      </c>
      <c r="E1704" s="637">
        <f t="shared" si="61"/>
        <v>24.768968750000003</v>
      </c>
    </row>
    <row r="1705" spans="1:5">
      <c r="A1705">
        <v>31213</v>
      </c>
      <c r="B1705">
        <v>2100</v>
      </c>
      <c r="C1705" s="455">
        <v>6.5359999999999996</v>
      </c>
      <c r="D1705" s="637">
        <f t="shared" si="60"/>
        <v>13.174125</v>
      </c>
      <c r="E1705" s="637">
        <f t="shared" si="61"/>
        <v>25.939750000000007</v>
      </c>
    </row>
    <row r="1706" spans="1:5">
      <c r="A1706">
        <v>31213</v>
      </c>
      <c r="B1706">
        <v>2200</v>
      </c>
      <c r="C1706" s="455">
        <v>6.665</v>
      </c>
      <c r="D1706" s="637">
        <f t="shared" si="60"/>
        <v>13.434140625000001</v>
      </c>
      <c r="E1706" s="637">
        <f t="shared" si="61"/>
        <v>26.451718750000008</v>
      </c>
    </row>
    <row r="1707" spans="1:5">
      <c r="A1707">
        <v>31213</v>
      </c>
      <c r="B1707">
        <v>2300</v>
      </c>
      <c r="C1707" s="455">
        <v>6.4669999999999996</v>
      </c>
      <c r="D1707" s="637">
        <f t="shared" si="60"/>
        <v>13.035046874999999</v>
      </c>
      <c r="E1707" s="637">
        <f t="shared" si="61"/>
        <v>25.665906250000006</v>
      </c>
    </row>
    <row r="1708" spans="1:5">
      <c r="A1708">
        <v>31213</v>
      </c>
      <c r="B1708">
        <v>2400</v>
      </c>
      <c r="C1708" s="455">
        <v>6.7939999999999996</v>
      </c>
      <c r="D1708" s="637">
        <f t="shared" si="60"/>
        <v>13.694156249999999</v>
      </c>
      <c r="E1708" s="637">
        <f t="shared" si="61"/>
        <v>26.963687500000002</v>
      </c>
    </row>
    <row r="1709" spans="1:5">
      <c r="A1709">
        <v>31313</v>
      </c>
      <c r="B1709">
        <v>100</v>
      </c>
      <c r="C1709" s="455">
        <v>6.4</v>
      </c>
      <c r="D1709" s="637">
        <f t="shared" si="60"/>
        <v>12.9</v>
      </c>
      <c r="E1709" s="637">
        <f t="shared" si="61"/>
        <v>25.400000000000006</v>
      </c>
    </row>
    <row r="1710" spans="1:5">
      <c r="A1710">
        <v>31313</v>
      </c>
      <c r="B1710">
        <v>200</v>
      </c>
      <c r="C1710" s="455">
        <v>6.6609999999999996</v>
      </c>
      <c r="D1710" s="637">
        <f t="shared" si="60"/>
        <v>13.426078125</v>
      </c>
      <c r="E1710" s="637">
        <f t="shared" si="61"/>
        <v>26.435843750000004</v>
      </c>
    </row>
    <row r="1711" spans="1:5">
      <c r="A1711">
        <v>31313</v>
      </c>
      <c r="B1711">
        <v>300</v>
      </c>
      <c r="C1711" s="455">
        <v>6.7169999999999996</v>
      </c>
      <c r="D1711" s="637">
        <f t="shared" si="60"/>
        <v>13.538953125000001</v>
      </c>
      <c r="E1711" s="637">
        <f t="shared" si="61"/>
        <v>26.658093750000006</v>
      </c>
    </row>
    <row r="1712" spans="1:5">
      <c r="A1712">
        <v>31313</v>
      </c>
      <c r="B1712">
        <v>400</v>
      </c>
      <c r="C1712" s="455">
        <v>6.4640000000000004</v>
      </c>
      <c r="D1712" s="637">
        <f t="shared" si="60"/>
        <v>13.029000000000002</v>
      </c>
      <c r="E1712" s="637">
        <f t="shared" si="61"/>
        <v>25.654000000000007</v>
      </c>
    </row>
    <row r="1713" spans="1:5">
      <c r="A1713">
        <v>31313</v>
      </c>
      <c r="B1713">
        <v>500</v>
      </c>
      <c r="C1713" s="455">
        <v>6.73</v>
      </c>
      <c r="D1713" s="637">
        <f t="shared" si="60"/>
        <v>13.565156250000001</v>
      </c>
      <c r="E1713" s="637">
        <f t="shared" si="61"/>
        <v>26.709687500000008</v>
      </c>
    </row>
    <row r="1714" spans="1:5">
      <c r="A1714">
        <v>31313</v>
      </c>
      <c r="B1714">
        <v>600</v>
      </c>
      <c r="C1714" s="455">
        <v>6.3819999999999997</v>
      </c>
      <c r="D1714" s="637">
        <f t="shared" si="60"/>
        <v>12.86371875</v>
      </c>
      <c r="E1714" s="637">
        <f t="shared" si="61"/>
        <v>25.328562500000004</v>
      </c>
    </row>
    <row r="1715" spans="1:5">
      <c r="A1715">
        <v>31313</v>
      </c>
      <c r="B1715">
        <v>700</v>
      </c>
      <c r="C1715" s="455">
        <v>8.1910000000000007</v>
      </c>
      <c r="D1715" s="637">
        <f t="shared" si="60"/>
        <v>16.509984375000002</v>
      </c>
      <c r="E1715" s="637">
        <f t="shared" si="61"/>
        <v>32.508031250000009</v>
      </c>
    </row>
    <row r="1716" spans="1:5">
      <c r="A1716">
        <v>31313</v>
      </c>
      <c r="B1716">
        <v>800</v>
      </c>
      <c r="C1716" s="455">
        <v>1.1319999999999999</v>
      </c>
      <c r="D1716" s="637">
        <f t="shared" si="60"/>
        <v>2.2816874999999999</v>
      </c>
      <c r="E1716" s="637">
        <f t="shared" si="61"/>
        <v>4.4926250000000003</v>
      </c>
    </row>
    <row r="1717" spans="1:5">
      <c r="A1717">
        <v>31313</v>
      </c>
      <c r="B1717">
        <v>900</v>
      </c>
      <c r="C1717" s="455">
        <v>1E-3</v>
      </c>
      <c r="D1717" s="637">
        <f t="shared" si="60"/>
        <v>2.0156250000000001E-3</v>
      </c>
      <c r="E1717" s="637">
        <f t="shared" si="61"/>
        <v>3.9687500000000009E-3</v>
      </c>
    </row>
    <row r="1718" spans="1:5">
      <c r="A1718">
        <v>31313</v>
      </c>
      <c r="B1718">
        <v>1000</v>
      </c>
      <c r="C1718" s="455">
        <v>0</v>
      </c>
      <c r="D1718" s="637">
        <f t="shared" si="60"/>
        <v>0</v>
      </c>
      <c r="E1718" s="637">
        <f t="shared" si="61"/>
        <v>0</v>
      </c>
    </row>
    <row r="1719" spans="1:5">
      <c r="A1719">
        <v>31313</v>
      </c>
      <c r="B1719">
        <v>1100</v>
      </c>
      <c r="C1719" s="455">
        <v>0</v>
      </c>
      <c r="D1719" s="637">
        <f t="shared" si="60"/>
        <v>0</v>
      </c>
      <c r="E1719" s="637">
        <f t="shared" si="61"/>
        <v>0</v>
      </c>
    </row>
    <row r="1720" spans="1:5">
      <c r="A1720">
        <v>31313</v>
      </c>
      <c r="B1720">
        <v>1200</v>
      </c>
      <c r="C1720" s="455">
        <v>0</v>
      </c>
      <c r="D1720" s="637">
        <f t="shared" si="60"/>
        <v>0</v>
      </c>
      <c r="E1720" s="637">
        <f t="shared" si="61"/>
        <v>0</v>
      </c>
    </row>
    <row r="1721" spans="1:5">
      <c r="A1721">
        <v>31313</v>
      </c>
      <c r="B1721">
        <v>1300</v>
      </c>
      <c r="C1721" s="455">
        <v>0</v>
      </c>
      <c r="D1721" s="637">
        <f t="shared" si="60"/>
        <v>0</v>
      </c>
      <c r="E1721" s="637">
        <f t="shared" si="61"/>
        <v>0</v>
      </c>
    </row>
    <row r="1722" spans="1:5">
      <c r="A1722">
        <v>31313</v>
      </c>
      <c r="B1722">
        <v>1400</v>
      </c>
      <c r="C1722" s="455">
        <v>0</v>
      </c>
      <c r="D1722" s="637">
        <f t="shared" si="60"/>
        <v>0</v>
      </c>
      <c r="E1722" s="637">
        <f t="shared" si="61"/>
        <v>0</v>
      </c>
    </row>
    <row r="1723" spans="1:5">
      <c r="A1723">
        <v>31313</v>
      </c>
      <c r="B1723">
        <v>1500</v>
      </c>
      <c r="C1723" s="455">
        <v>0</v>
      </c>
      <c r="D1723" s="637">
        <f t="shared" si="60"/>
        <v>0</v>
      </c>
      <c r="E1723" s="637">
        <f t="shared" si="61"/>
        <v>0</v>
      </c>
    </row>
    <row r="1724" spans="1:5">
      <c r="A1724">
        <v>31313</v>
      </c>
      <c r="B1724">
        <v>1600</v>
      </c>
      <c r="C1724" s="455">
        <v>0</v>
      </c>
      <c r="D1724" s="637">
        <f t="shared" si="60"/>
        <v>0</v>
      </c>
      <c r="E1724" s="637">
        <f t="shared" si="61"/>
        <v>0</v>
      </c>
    </row>
    <row r="1725" spans="1:5">
      <c r="A1725">
        <v>31313</v>
      </c>
      <c r="B1725">
        <v>1700</v>
      </c>
      <c r="C1725" s="455">
        <v>0</v>
      </c>
      <c r="D1725" s="637">
        <f t="shared" si="60"/>
        <v>0</v>
      </c>
      <c r="E1725" s="637">
        <f t="shared" si="61"/>
        <v>0</v>
      </c>
    </row>
    <row r="1726" spans="1:5">
      <c r="A1726">
        <v>31313</v>
      </c>
      <c r="B1726">
        <v>1800</v>
      </c>
      <c r="C1726" s="455">
        <v>0</v>
      </c>
      <c r="D1726" s="637">
        <f t="shared" si="60"/>
        <v>0</v>
      </c>
      <c r="E1726" s="637">
        <f t="shared" si="61"/>
        <v>0</v>
      </c>
    </row>
    <row r="1727" spans="1:5">
      <c r="A1727">
        <v>31313</v>
      </c>
      <c r="B1727">
        <v>1900</v>
      </c>
      <c r="C1727" s="455">
        <v>9.1530000000000005</v>
      </c>
      <c r="D1727" s="637">
        <f t="shared" si="60"/>
        <v>18.449015625000001</v>
      </c>
      <c r="E1727" s="637">
        <f t="shared" si="61"/>
        <v>36.325968750000008</v>
      </c>
    </row>
    <row r="1728" spans="1:5">
      <c r="A1728">
        <v>31313</v>
      </c>
      <c r="B1728">
        <v>2000</v>
      </c>
      <c r="C1728" s="455">
        <v>6.8449999999999998</v>
      </c>
      <c r="D1728" s="637">
        <f t="shared" si="60"/>
        <v>13.796953125</v>
      </c>
      <c r="E1728" s="637">
        <f t="shared" si="61"/>
        <v>27.166093750000005</v>
      </c>
    </row>
    <row r="1729" spans="1:5">
      <c r="A1729">
        <v>31313</v>
      </c>
      <c r="B1729">
        <v>2100</v>
      </c>
      <c r="C1729" s="455">
        <v>7.6429999999999998</v>
      </c>
      <c r="D1729" s="637">
        <f t="shared" si="60"/>
        <v>15.405421875</v>
      </c>
      <c r="E1729" s="637">
        <f t="shared" si="61"/>
        <v>30.333156250000009</v>
      </c>
    </row>
    <row r="1730" spans="1:5">
      <c r="A1730">
        <v>31313</v>
      </c>
      <c r="B1730">
        <v>2200</v>
      </c>
      <c r="C1730" s="455">
        <v>7.7720000000000002</v>
      </c>
      <c r="D1730" s="637">
        <f t="shared" si="60"/>
        <v>15.665437500000001</v>
      </c>
      <c r="E1730" s="637">
        <f t="shared" si="61"/>
        <v>30.84512500000001</v>
      </c>
    </row>
    <row r="1731" spans="1:5">
      <c r="A1731">
        <v>31313</v>
      </c>
      <c r="B1731">
        <v>2300</v>
      </c>
      <c r="C1731" s="455">
        <v>7.9740000000000002</v>
      </c>
      <c r="D1731" s="637">
        <f t="shared" si="60"/>
        <v>16.072593749999999</v>
      </c>
      <c r="E1731" s="637">
        <f t="shared" si="61"/>
        <v>31.646812500000006</v>
      </c>
    </row>
    <row r="1732" spans="1:5">
      <c r="A1732">
        <v>31313</v>
      </c>
      <c r="B1732">
        <v>2400</v>
      </c>
      <c r="C1732" s="455">
        <v>7.87</v>
      </c>
      <c r="D1732" s="637">
        <f t="shared" si="60"/>
        <v>15.86296875</v>
      </c>
      <c r="E1732" s="637">
        <f t="shared" si="61"/>
        <v>31.234062500000011</v>
      </c>
    </row>
    <row r="1733" spans="1:5">
      <c r="A1733">
        <v>31413</v>
      </c>
      <c r="B1733">
        <v>100</v>
      </c>
      <c r="C1733" s="455">
        <v>7.7450000000000001</v>
      </c>
      <c r="D1733" s="637">
        <f t="shared" si="60"/>
        <v>15.611015625</v>
      </c>
      <c r="E1733" s="637">
        <f t="shared" si="61"/>
        <v>30.737968750000007</v>
      </c>
    </row>
    <row r="1734" spans="1:5">
      <c r="A1734">
        <v>31413</v>
      </c>
      <c r="B1734">
        <v>200</v>
      </c>
      <c r="C1734" s="455">
        <v>7.835</v>
      </c>
      <c r="D1734" s="637">
        <f t="shared" si="60"/>
        <v>15.792421874999999</v>
      </c>
      <c r="E1734" s="637">
        <f t="shared" si="61"/>
        <v>31.095156250000006</v>
      </c>
    </row>
    <row r="1735" spans="1:5">
      <c r="A1735">
        <v>31413</v>
      </c>
      <c r="B1735">
        <v>300</v>
      </c>
      <c r="C1735" s="455">
        <v>6.29</v>
      </c>
      <c r="D1735" s="637">
        <f t="shared" si="60"/>
        <v>12.67828125</v>
      </c>
      <c r="E1735" s="637">
        <f t="shared" si="61"/>
        <v>24.963437500000005</v>
      </c>
    </row>
    <row r="1736" spans="1:5">
      <c r="A1736">
        <v>31413</v>
      </c>
      <c r="B1736">
        <v>400</v>
      </c>
      <c r="C1736" s="455">
        <v>5.0309999999999997</v>
      </c>
      <c r="D1736" s="637">
        <f t="shared" si="60"/>
        <v>10.140609374999999</v>
      </c>
      <c r="E1736" s="637">
        <f t="shared" si="61"/>
        <v>19.966781250000004</v>
      </c>
    </row>
    <row r="1737" spans="1:5">
      <c r="A1737">
        <v>31413</v>
      </c>
      <c r="B1737">
        <v>500</v>
      </c>
      <c r="C1737" s="455">
        <v>5.3369999999999997</v>
      </c>
      <c r="D1737" s="637">
        <f t="shared" si="60"/>
        <v>10.757390624999999</v>
      </c>
      <c r="E1737" s="637">
        <f t="shared" si="61"/>
        <v>21.181218750000003</v>
      </c>
    </row>
    <row r="1738" spans="1:5">
      <c r="A1738">
        <v>31413</v>
      </c>
      <c r="B1738">
        <v>600</v>
      </c>
      <c r="C1738" s="455">
        <v>5.0949999999999998</v>
      </c>
      <c r="D1738" s="637">
        <f t="shared" si="60"/>
        <v>10.269609375</v>
      </c>
      <c r="E1738" s="637">
        <f t="shared" si="61"/>
        <v>20.220781250000005</v>
      </c>
    </row>
    <row r="1739" spans="1:5">
      <c r="A1739">
        <v>31413</v>
      </c>
      <c r="B1739">
        <v>700</v>
      </c>
      <c r="C1739" s="455">
        <v>4.9829999999999997</v>
      </c>
      <c r="D1739" s="637">
        <f t="shared" si="60"/>
        <v>10.043859374999998</v>
      </c>
      <c r="E1739" s="637">
        <f t="shared" si="61"/>
        <v>19.776281250000004</v>
      </c>
    </row>
    <row r="1740" spans="1:5">
      <c r="A1740">
        <v>31413</v>
      </c>
      <c r="B1740">
        <v>800</v>
      </c>
      <c r="C1740" s="455">
        <v>0</v>
      </c>
      <c r="D1740" s="637">
        <f t="shared" si="60"/>
        <v>0</v>
      </c>
      <c r="E1740" s="637">
        <f t="shared" si="61"/>
        <v>0</v>
      </c>
    </row>
    <row r="1741" spans="1:5">
      <c r="A1741">
        <v>31413</v>
      </c>
      <c r="B1741">
        <v>900</v>
      </c>
      <c r="C1741" s="455">
        <v>1E-3</v>
      </c>
      <c r="D1741" s="637">
        <f t="shared" si="60"/>
        <v>2.0156250000000001E-3</v>
      </c>
      <c r="E1741" s="637">
        <f t="shared" si="61"/>
        <v>3.9687500000000009E-3</v>
      </c>
    </row>
    <row r="1742" spans="1:5">
      <c r="A1742">
        <v>31413</v>
      </c>
      <c r="B1742">
        <v>1000</v>
      </c>
      <c r="C1742" s="455">
        <v>0</v>
      </c>
      <c r="D1742" s="637">
        <f t="shared" ref="D1742:D1805" si="62">(C1742/(MAX($C$1421:$C$2164)))*$W$7</f>
        <v>0</v>
      </c>
      <c r="E1742" s="637">
        <f t="shared" ref="E1742:E1805" si="63">(C1742/(MAX($C$1421:$C$2164)))*$P$7</f>
        <v>0</v>
      </c>
    </row>
    <row r="1743" spans="1:5">
      <c r="A1743">
        <v>31413</v>
      </c>
      <c r="B1743">
        <v>1100</v>
      </c>
      <c r="C1743" s="455">
        <v>0</v>
      </c>
      <c r="D1743" s="637">
        <f t="shared" si="62"/>
        <v>0</v>
      </c>
      <c r="E1743" s="637">
        <f t="shared" si="63"/>
        <v>0</v>
      </c>
    </row>
    <row r="1744" spans="1:5">
      <c r="A1744">
        <v>31413</v>
      </c>
      <c r="B1744">
        <v>1200</v>
      </c>
      <c r="C1744" s="455">
        <v>0</v>
      </c>
      <c r="D1744" s="637">
        <f t="shared" si="62"/>
        <v>0</v>
      </c>
      <c r="E1744" s="637">
        <f t="shared" si="63"/>
        <v>0</v>
      </c>
    </row>
    <row r="1745" spans="1:5">
      <c r="A1745">
        <v>31413</v>
      </c>
      <c r="B1745">
        <v>1300</v>
      </c>
      <c r="C1745" s="455">
        <v>0</v>
      </c>
      <c r="D1745" s="637">
        <f t="shared" si="62"/>
        <v>0</v>
      </c>
      <c r="E1745" s="637">
        <f t="shared" si="63"/>
        <v>0</v>
      </c>
    </row>
    <row r="1746" spans="1:5">
      <c r="A1746">
        <v>31413</v>
      </c>
      <c r="B1746">
        <v>1400</v>
      </c>
      <c r="C1746" s="455">
        <v>0</v>
      </c>
      <c r="D1746" s="637">
        <f t="shared" si="62"/>
        <v>0</v>
      </c>
      <c r="E1746" s="637">
        <f t="shared" si="63"/>
        <v>0</v>
      </c>
    </row>
    <row r="1747" spans="1:5">
      <c r="A1747">
        <v>31413</v>
      </c>
      <c r="B1747">
        <v>1500</v>
      </c>
      <c r="C1747" s="455">
        <v>0</v>
      </c>
      <c r="D1747" s="637">
        <f t="shared" si="62"/>
        <v>0</v>
      </c>
      <c r="E1747" s="637">
        <f t="shared" si="63"/>
        <v>0</v>
      </c>
    </row>
    <row r="1748" spans="1:5">
      <c r="A1748">
        <v>31413</v>
      </c>
      <c r="B1748">
        <v>1600</v>
      </c>
      <c r="C1748" s="455">
        <v>0</v>
      </c>
      <c r="D1748" s="637">
        <f t="shared" si="62"/>
        <v>0</v>
      </c>
      <c r="E1748" s="637">
        <f t="shared" si="63"/>
        <v>0</v>
      </c>
    </row>
    <row r="1749" spans="1:5">
      <c r="A1749">
        <v>31413</v>
      </c>
      <c r="B1749">
        <v>1700</v>
      </c>
      <c r="C1749" s="455">
        <v>0</v>
      </c>
      <c r="D1749" s="637">
        <f t="shared" si="62"/>
        <v>0</v>
      </c>
      <c r="E1749" s="637">
        <f t="shared" si="63"/>
        <v>0</v>
      </c>
    </row>
    <row r="1750" spans="1:5">
      <c r="A1750">
        <v>31413</v>
      </c>
      <c r="B1750">
        <v>1800</v>
      </c>
      <c r="C1750" s="455">
        <v>0</v>
      </c>
      <c r="D1750" s="637">
        <f t="shared" si="62"/>
        <v>0</v>
      </c>
      <c r="E1750" s="637">
        <f t="shared" si="63"/>
        <v>0</v>
      </c>
    </row>
    <row r="1751" spans="1:5">
      <c r="A1751">
        <v>31413</v>
      </c>
      <c r="B1751">
        <v>1900</v>
      </c>
      <c r="C1751" s="455">
        <v>5.1790000000000003</v>
      </c>
      <c r="D1751" s="637">
        <f t="shared" si="62"/>
        <v>10.438921875</v>
      </c>
      <c r="E1751" s="637">
        <f t="shared" si="63"/>
        <v>20.554156250000005</v>
      </c>
    </row>
    <row r="1752" spans="1:5">
      <c r="A1752">
        <v>31413</v>
      </c>
      <c r="B1752">
        <v>2000</v>
      </c>
      <c r="C1752" s="455">
        <v>3.7829999999999999</v>
      </c>
      <c r="D1752" s="637">
        <f t="shared" si="62"/>
        <v>7.6251093750000001</v>
      </c>
      <c r="E1752" s="637">
        <f t="shared" si="63"/>
        <v>15.013781250000005</v>
      </c>
    </row>
    <row r="1753" spans="1:5">
      <c r="A1753">
        <v>31413</v>
      </c>
      <c r="B1753">
        <v>2100</v>
      </c>
      <c r="C1753" s="455">
        <v>4.0780000000000003</v>
      </c>
      <c r="D1753" s="637">
        <f t="shared" si="62"/>
        <v>8.2197187500000002</v>
      </c>
      <c r="E1753" s="637">
        <f t="shared" si="63"/>
        <v>16.184562500000006</v>
      </c>
    </row>
    <row r="1754" spans="1:5">
      <c r="A1754">
        <v>31413</v>
      </c>
      <c r="B1754">
        <v>2200</v>
      </c>
      <c r="C1754" s="455">
        <v>3.786</v>
      </c>
      <c r="D1754" s="637">
        <f t="shared" si="62"/>
        <v>7.6311562500000001</v>
      </c>
      <c r="E1754" s="637">
        <f t="shared" si="63"/>
        <v>15.025687500000004</v>
      </c>
    </row>
    <row r="1755" spans="1:5">
      <c r="A1755">
        <v>31413</v>
      </c>
      <c r="B1755">
        <v>2300</v>
      </c>
      <c r="C1755" s="455">
        <v>3.952</v>
      </c>
      <c r="D1755" s="637">
        <f t="shared" si="62"/>
        <v>7.9657499999999999</v>
      </c>
      <c r="E1755" s="637">
        <f t="shared" si="63"/>
        <v>15.684500000000003</v>
      </c>
    </row>
    <row r="1756" spans="1:5">
      <c r="A1756">
        <v>31413</v>
      </c>
      <c r="B1756">
        <v>2400</v>
      </c>
      <c r="C1756" s="455">
        <v>4.0880000000000001</v>
      </c>
      <c r="D1756" s="637">
        <f t="shared" si="62"/>
        <v>8.2398750000000014</v>
      </c>
      <c r="E1756" s="637">
        <f t="shared" si="63"/>
        <v>16.224250000000005</v>
      </c>
    </row>
    <row r="1757" spans="1:5">
      <c r="A1757">
        <v>31513</v>
      </c>
      <c r="B1757">
        <v>100</v>
      </c>
      <c r="C1757" s="455">
        <v>3.8039999999999998</v>
      </c>
      <c r="D1757" s="637">
        <f t="shared" si="62"/>
        <v>7.6674374999999992</v>
      </c>
      <c r="E1757" s="637">
        <f t="shared" si="63"/>
        <v>15.097125000000002</v>
      </c>
    </row>
    <row r="1758" spans="1:5">
      <c r="A1758">
        <v>31513</v>
      </c>
      <c r="B1758">
        <v>200</v>
      </c>
      <c r="C1758" s="455">
        <v>4.1139999999999999</v>
      </c>
      <c r="D1758" s="637">
        <f t="shared" si="62"/>
        <v>8.2922812500000003</v>
      </c>
      <c r="E1758" s="637">
        <f t="shared" si="63"/>
        <v>16.327437500000002</v>
      </c>
    </row>
    <row r="1759" spans="1:5">
      <c r="A1759">
        <v>31513</v>
      </c>
      <c r="B1759">
        <v>300</v>
      </c>
      <c r="C1759" s="455">
        <v>3.9550000000000001</v>
      </c>
      <c r="D1759" s="637">
        <f t="shared" si="62"/>
        <v>7.9717968749999999</v>
      </c>
      <c r="E1759" s="637">
        <f t="shared" si="63"/>
        <v>15.696406250000003</v>
      </c>
    </row>
    <row r="1760" spans="1:5">
      <c r="A1760">
        <v>31513</v>
      </c>
      <c r="B1760">
        <v>400</v>
      </c>
      <c r="C1760" s="455">
        <v>4.3129999999999997</v>
      </c>
      <c r="D1760" s="637">
        <f t="shared" si="62"/>
        <v>8.6933906249999993</v>
      </c>
      <c r="E1760" s="637">
        <f t="shared" si="63"/>
        <v>17.117218750000003</v>
      </c>
    </row>
    <row r="1761" spans="1:5">
      <c r="A1761">
        <v>31513</v>
      </c>
      <c r="B1761">
        <v>500</v>
      </c>
      <c r="C1761" s="455">
        <v>4.306</v>
      </c>
      <c r="D1761" s="637">
        <f t="shared" si="62"/>
        <v>8.6792812499999989</v>
      </c>
      <c r="E1761" s="637">
        <f t="shared" si="63"/>
        <v>17.089437500000003</v>
      </c>
    </row>
    <row r="1762" spans="1:5">
      <c r="A1762">
        <v>31513</v>
      </c>
      <c r="B1762">
        <v>600</v>
      </c>
      <c r="C1762" s="455">
        <v>4.2930000000000001</v>
      </c>
      <c r="D1762" s="637">
        <f t="shared" si="62"/>
        <v>8.6530781250000004</v>
      </c>
      <c r="E1762" s="637">
        <f t="shared" si="63"/>
        <v>17.037843750000004</v>
      </c>
    </row>
    <row r="1763" spans="1:5">
      <c r="A1763">
        <v>31513</v>
      </c>
      <c r="B1763">
        <v>700</v>
      </c>
      <c r="C1763" s="455">
        <v>5.2119999999999997</v>
      </c>
      <c r="D1763" s="637">
        <f t="shared" si="62"/>
        <v>10.505437499999999</v>
      </c>
      <c r="E1763" s="637">
        <f t="shared" si="63"/>
        <v>20.685125000000003</v>
      </c>
    </row>
    <row r="1764" spans="1:5">
      <c r="A1764">
        <v>31513</v>
      </c>
      <c r="B1764">
        <v>800</v>
      </c>
      <c r="C1764" s="455">
        <v>3.7999999999999999E-2</v>
      </c>
      <c r="D1764" s="637">
        <f t="shared" si="62"/>
        <v>7.6593749999999988E-2</v>
      </c>
      <c r="E1764" s="637">
        <f t="shared" si="63"/>
        <v>0.15081250000000002</v>
      </c>
    </row>
    <row r="1765" spans="1:5">
      <c r="A1765">
        <v>31513</v>
      </c>
      <c r="B1765">
        <v>900</v>
      </c>
      <c r="C1765" s="455">
        <v>0</v>
      </c>
      <c r="D1765" s="637">
        <f t="shared" si="62"/>
        <v>0</v>
      </c>
      <c r="E1765" s="637">
        <f t="shared" si="63"/>
        <v>0</v>
      </c>
    </row>
    <row r="1766" spans="1:5">
      <c r="A1766">
        <v>31513</v>
      </c>
      <c r="B1766">
        <v>1000</v>
      </c>
      <c r="C1766" s="455">
        <v>0</v>
      </c>
      <c r="D1766" s="637">
        <f t="shared" si="62"/>
        <v>0</v>
      </c>
      <c r="E1766" s="637">
        <f t="shared" si="63"/>
        <v>0</v>
      </c>
    </row>
    <row r="1767" spans="1:5">
      <c r="A1767">
        <v>31513</v>
      </c>
      <c r="B1767">
        <v>1100</v>
      </c>
      <c r="C1767" s="455">
        <v>0</v>
      </c>
      <c r="D1767" s="637">
        <f t="shared" si="62"/>
        <v>0</v>
      </c>
      <c r="E1767" s="637">
        <f t="shared" si="63"/>
        <v>0</v>
      </c>
    </row>
    <row r="1768" spans="1:5">
      <c r="A1768">
        <v>31513</v>
      </c>
      <c r="B1768">
        <v>1200</v>
      </c>
      <c r="C1768" s="455">
        <v>1E-3</v>
      </c>
      <c r="D1768" s="637">
        <f t="shared" si="62"/>
        <v>2.0156250000000001E-3</v>
      </c>
      <c r="E1768" s="637">
        <f t="shared" si="63"/>
        <v>3.9687500000000009E-3</v>
      </c>
    </row>
    <row r="1769" spans="1:5">
      <c r="A1769">
        <v>31513</v>
      </c>
      <c r="B1769">
        <v>1300</v>
      </c>
      <c r="C1769" s="455">
        <v>0</v>
      </c>
      <c r="D1769" s="637">
        <f t="shared" si="62"/>
        <v>0</v>
      </c>
      <c r="E1769" s="637">
        <f t="shared" si="63"/>
        <v>0</v>
      </c>
    </row>
    <row r="1770" spans="1:5">
      <c r="A1770">
        <v>31513</v>
      </c>
      <c r="B1770">
        <v>1400</v>
      </c>
      <c r="C1770" s="455">
        <v>0</v>
      </c>
      <c r="D1770" s="637">
        <f t="shared" si="62"/>
        <v>0</v>
      </c>
      <c r="E1770" s="637">
        <f t="shared" si="63"/>
        <v>0</v>
      </c>
    </row>
    <row r="1771" spans="1:5">
      <c r="A1771">
        <v>31513</v>
      </c>
      <c r="B1771">
        <v>1500</v>
      </c>
      <c r="C1771" s="455">
        <v>0</v>
      </c>
      <c r="D1771" s="637">
        <f t="shared" si="62"/>
        <v>0</v>
      </c>
      <c r="E1771" s="637">
        <f t="shared" si="63"/>
        <v>0</v>
      </c>
    </row>
    <row r="1772" spans="1:5">
      <c r="A1772">
        <v>31513</v>
      </c>
      <c r="B1772">
        <v>1600</v>
      </c>
      <c r="C1772" s="455">
        <v>0</v>
      </c>
      <c r="D1772" s="637">
        <f t="shared" si="62"/>
        <v>0</v>
      </c>
      <c r="E1772" s="637">
        <f t="shared" si="63"/>
        <v>0</v>
      </c>
    </row>
    <row r="1773" spans="1:5">
      <c r="A1773">
        <v>31513</v>
      </c>
      <c r="B1773">
        <v>1700</v>
      </c>
      <c r="C1773" s="455">
        <v>0</v>
      </c>
      <c r="D1773" s="637">
        <f t="shared" si="62"/>
        <v>0</v>
      </c>
      <c r="E1773" s="637">
        <f t="shared" si="63"/>
        <v>0</v>
      </c>
    </row>
    <row r="1774" spans="1:5">
      <c r="A1774">
        <v>31513</v>
      </c>
      <c r="B1774">
        <v>1800</v>
      </c>
      <c r="C1774" s="455">
        <v>0</v>
      </c>
      <c r="D1774" s="637">
        <f t="shared" si="62"/>
        <v>0</v>
      </c>
      <c r="E1774" s="637">
        <f t="shared" si="63"/>
        <v>0</v>
      </c>
    </row>
    <row r="1775" spans="1:5">
      <c r="A1775">
        <v>31513</v>
      </c>
      <c r="B1775">
        <v>1900</v>
      </c>
      <c r="C1775" s="455">
        <v>4.8819999999999997</v>
      </c>
      <c r="D1775" s="637">
        <f t="shared" si="62"/>
        <v>9.8402812500000003</v>
      </c>
      <c r="E1775" s="637">
        <f t="shared" si="63"/>
        <v>19.375437500000004</v>
      </c>
    </row>
    <row r="1776" spans="1:5">
      <c r="A1776">
        <v>31513</v>
      </c>
      <c r="B1776">
        <v>2000</v>
      </c>
      <c r="C1776" s="455">
        <v>3.9369999999999998</v>
      </c>
      <c r="D1776" s="637">
        <f t="shared" si="62"/>
        <v>7.9355156250000007</v>
      </c>
      <c r="E1776" s="637">
        <f t="shared" si="63"/>
        <v>15.624968750000004</v>
      </c>
    </row>
    <row r="1777" spans="1:5">
      <c r="A1777">
        <v>31513</v>
      </c>
      <c r="B1777">
        <v>2100</v>
      </c>
      <c r="C1777" s="455">
        <v>3.8610000000000002</v>
      </c>
      <c r="D1777" s="637">
        <f t="shared" si="62"/>
        <v>7.7823281250000003</v>
      </c>
      <c r="E1777" s="637">
        <f t="shared" si="63"/>
        <v>15.323343750000005</v>
      </c>
    </row>
    <row r="1778" spans="1:5">
      <c r="A1778">
        <v>31513</v>
      </c>
      <c r="B1778">
        <v>2200</v>
      </c>
      <c r="C1778" s="455">
        <v>3.9470000000000001</v>
      </c>
      <c r="D1778" s="637">
        <f t="shared" si="62"/>
        <v>7.9556718750000002</v>
      </c>
      <c r="E1778" s="637">
        <f t="shared" si="63"/>
        <v>15.664656250000004</v>
      </c>
    </row>
    <row r="1779" spans="1:5">
      <c r="A1779">
        <v>31513</v>
      </c>
      <c r="B1779">
        <v>2300</v>
      </c>
      <c r="C1779" s="455">
        <v>4.0839999999999996</v>
      </c>
      <c r="D1779" s="637">
        <f t="shared" si="62"/>
        <v>8.2318124999999984</v>
      </c>
      <c r="E1779" s="637">
        <f t="shared" si="63"/>
        <v>16.208375000000004</v>
      </c>
    </row>
    <row r="1780" spans="1:5">
      <c r="A1780">
        <v>31513</v>
      </c>
      <c r="B1780">
        <v>2400</v>
      </c>
      <c r="C1780" s="455">
        <v>3.8050000000000002</v>
      </c>
      <c r="D1780" s="637">
        <f t="shared" si="62"/>
        <v>7.6694531250000013</v>
      </c>
      <c r="E1780" s="637">
        <f t="shared" si="63"/>
        <v>15.101093750000006</v>
      </c>
    </row>
    <row r="1781" spans="1:5">
      <c r="A1781">
        <v>31613</v>
      </c>
      <c r="B1781">
        <v>100</v>
      </c>
      <c r="C1781" s="455">
        <v>4.117</v>
      </c>
      <c r="D1781" s="637">
        <f t="shared" si="62"/>
        <v>8.2983281249999994</v>
      </c>
      <c r="E1781" s="637">
        <f t="shared" si="63"/>
        <v>16.339343750000001</v>
      </c>
    </row>
    <row r="1782" spans="1:5">
      <c r="A1782">
        <v>31613</v>
      </c>
      <c r="B1782">
        <v>200</v>
      </c>
      <c r="C1782" s="455">
        <v>4.1719999999999997</v>
      </c>
      <c r="D1782" s="637">
        <f t="shared" si="62"/>
        <v>8.409187499999998</v>
      </c>
      <c r="E1782" s="637">
        <f t="shared" si="63"/>
        <v>16.557625000000002</v>
      </c>
    </row>
    <row r="1783" spans="1:5">
      <c r="A1783">
        <v>31613</v>
      </c>
      <c r="B1783">
        <v>300</v>
      </c>
      <c r="C1783" s="455">
        <v>3.9430000000000001</v>
      </c>
      <c r="D1783" s="637">
        <f t="shared" si="62"/>
        <v>7.9476093749999999</v>
      </c>
      <c r="E1783" s="637">
        <f t="shared" si="63"/>
        <v>15.648781250000004</v>
      </c>
    </row>
    <row r="1784" spans="1:5">
      <c r="A1784">
        <v>31613</v>
      </c>
      <c r="B1784">
        <v>400</v>
      </c>
      <c r="C1784" s="455">
        <v>4.7530000000000001</v>
      </c>
      <c r="D1784" s="637">
        <f t="shared" si="62"/>
        <v>9.5802656250000009</v>
      </c>
      <c r="E1784" s="637">
        <f t="shared" si="63"/>
        <v>18.863468750000006</v>
      </c>
    </row>
    <row r="1785" spans="1:5">
      <c r="A1785">
        <v>31613</v>
      </c>
      <c r="B1785">
        <v>500</v>
      </c>
      <c r="C1785" s="455">
        <v>4.444</v>
      </c>
      <c r="D1785" s="637">
        <f t="shared" si="62"/>
        <v>8.9574375000000011</v>
      </c>
      <c r="E1785" s="637">
        <f t="shared" si="63"/>
        <v>17.637125000000005</v>
      </c>
    </row>
    <row r="1786" spans="1:5">
      <c r="A1786">
        <v>31613</v>
      </c>
      <c r="B1786">
        <v>600</v>
      </c>
      <c r="C1786" s="455">
        <v>4.6550000000000002</v>
      </c>
      <c r="D1786" s="637">
        <f t="shared" si="62"/>
        <v>9.3827343750000018</v>
      </c>
      <c r="E1786" s="637">
        <f t="shared" si="63"/>
        <v>18.474531250000005</v>
      </c>
    </row>
    <row r="1787" spans="1:5">
      <c r="A1787">
        <v>31613</v>
      </c>
      <c r="B1787">
        <v>700</v>
      </c>
      <c r="C1787" s="455">
        <v>5.2649999999999997</v>
      </c>
      <c r="D1787" s="637">
        <f t="shared" si="62"/>
        <v>10.612265624999999</v>
      </c>
      <c r="E1787" s="637">
        <f t="shared" si="63"/>
        <v>20.895468750000003</v>
      </c>
    </row>
    <row r="1788" spans="1:5">
      <c r="A1788">
        <v>31613</v>
      </c>
      <c r="B1788">
        <v>800</v>
      </c>
      <c r="C1788" s="455">
        <v>2E-3</v>
      </c>
      <c r="D1788" s="637">
        <f t="shared" si="62"/>
        <v>4.0312500000000001E-3</v>
      </c>
      <c r="E1788" s="637">
        <f t="shared" si="63"/>
        <v>7.9375000000000018E-3</v>
      </c>
    </row>
    <row r="1789" spans="1:5">
      <c r="A1789">
        <v>31613</v>
      </c>
      <c r="B1789">
        <v>900</v>
      </c>
      <c r="C1789" s="455">
        <v>0</v>
      </c>
      <c r="D1789" s="637">
        <f t="shared" si="62"/>
        <v>0</v>
      </c>
      <c r="E1789" s="637">
        <f t="shared" si="63"/>
        <v>0</v>
      </c>
    </row>
    <row r="1790" spans="1:5">
      <c r="A1790">
        <v>31613</v>
      </c>
      <c r="B1790">
        <v>1000</v>
      </c>
      <c r="C1790" s="455">
        <v>0</v>
      </c>
      <c r="D1790" s="637">
        <f t="shared" si="62"/>
        <v>0</v>
      </c>
      <c r="E1790" s="637">
        <f t="shared" si="63"/>
        <v>0</v>
      </c>
    </row>
    <row r="1791" spans="1:5">
      <c r="A1791">
        <v>31613</v>
      </c>
      <c r="B1791">
        <v>1100</v>
      </c>
      <c r="C1791" s="455">
        <v>1E-3</v>
      </c>
      <c r="D1791" s="637">
        <f t="shared" si="62"/>
        <v>2.0156250000000001E-3</v>
      </c>
      <c r="E1791" s="637">
        <f t="shared" si="63"/>
        <v>3.9687500000000009E-3</v>
      </c>
    </row>
    <row r="1792" spans="1:5">
      <c r="A1792">
        <v>31613</v>
      </c>
      <c r="B1792">
        <v>1200</v>
      </c>
      <c r="C1792" s="455">
        <v>0</v>
      </c>
      <c r="D1792" s="637">
        <f t="shared" si="62"/>
        <v>0</v>
      </c>
      <c r="E1792" s="637">
        <f t="shared" si="63"/>
        <v>0</v>
      </c>
    </row>
    <row r="1793" spans="1:5">
      <c r="A1793">
        <v>31613</v>
      </c>
      <c r="B1793">
        <v>1300</v>
      </c>
      <c r="C1793" s="455">
        <v>0</v>
      </c>
      <c r="D1793" s="637">
        <f t="shared" si="62"/>
        <v>0</v>
      </c>
      <c r="E1793" s="637">
        <f t="shared" si="63"/>
        <v>0</v>
      </c>
    </row>
    <row r="1794" spans="1:5">
      <c r="A1794">
        <v>31613</v>
      </c>
      <c r="B1794">
        <v>1400</v>
      </c>
      <c r="C1794" s="455">
        <v>0</v>
      </c>
      <c r="D1794" s="637">
        <f t="shared" si="62"/>
        <v>0</v>
      </c>
      <c r="E1794" s="637">
        <f t="shared" si="63"/>
        <v>0</v>
      </c>
    </row>
    <row r="1795" spans="1:5">
      <c r="A1795">
        <v>31613</v>
      </c>
      <c r="B1795">
        <v>1500</v>
      </c>
      <c r="C1795" s="455">
        <v>1E-3</v>
      </c>
      <c r="D1795" s="637">
        <f t="shared" si="62"/>
        <v>2.0156250000000001E-3</v>
      </c>
      <c r="E1795" s="637">
        <f t="shared" si="63"/>
        <v>3.9687500000000009E-3</v>
      </c>
    </row>
    <row r="1796" spans="1:5">
      <c r="A1796">
        <v>31613</v>
      </c>
      <c r="B1796">
        <v>1600</v>
      </c>
      <c r="C1796" s="455">
        <v>0</v>
      </c>
      <c r="D1796" s="637">
        <f t="shared" si="62"/>
        <v>0</v>
      </c>
      <c r="E1796" s="637">
        <f t="shared" si="63"/>
        <v>0</v>
      </c>
    </row>
    <row r="1797" spans="1:5">
      <c r="A1797">
        <v>31613</v>
      </c>
      <c r="B1797">
        <v>1700</v>
      </c>
      <c r="C1797" s="455">
        <v>0</v>
      </c>
      <c r="D1797" s="637">
        <f t="shared" si="62"/>
        <v>0</v>
      </c>
      <c r="E1797" s="637">
        <f t="shared" si="63"/>
        <v>0</v>
      </c>
    </row>
    <row r="1798" spans="1:5">
      <c r="A1798">
        <v>31613</v>
      </c>
      <c r="B1798">
        <v>1800</v>
      </c>
      <c r="C1798" s="455">
        <v>1.6E-2</v>
      </c>
      <c r="D1798" s="637">
        <f t="shared" si="62"/>
        <v>3.2250000000000001E-2</v>
      </c>
      <c r="E1798" s="637">
        <f t="shared" si="63"/>
        <v>6.3500000000000015E-2</v>
      </c>
    </row>
    <row r="1799" spans="1:5">
      <c r="A1799">
        <v>31613</v>
      </c>
      <c r="B1799">
        <v>1900</v>
      </c>
      <c r="C1799" s="455">
        <v>4.774</v>
      </c>
      <c r="D1799" s="637">
        <f t="shared" si="62"/>
        <v>9.6225937500000001</v>
      </c>
      <c r="E1799" s="637">
        <f t="shared" si="63"/>
        <v>18.946812500000004</v>
      </c>
    </row>
    <row r="1800" spans="1:5">
      <c r="A1800">
        <v>31613</v>
      </c>
      <c r="B1800">
        <v>2000</v>
      </c>
      <c r="C1800" s="455">
        <v>3.9369999999999998</v>
      </c>
      <c r="D1800" s="637">
        <f t="shared" si="62"/>
        <v>7.9355156250000007</v>
      </c>
      <c r="E1800" s="637">
        <f t="shared" si="63"/>
        <v>15.624968750000004</v>
      </c>
    </row>
    <row r="1801" spans="1:5">
      <c r="A1801">
        <v>31613</v>
      </c>
      <c r="B1801">
        <v>2100</v>
      </c>
      <c r="C1801" s="455">
        <v>3.8690000000000002</v>
      </c>
      <c r="D1801" s="637">
        <f t="shared" si="62"/>
        <v>7.798453125</v>
      </c>
      <c r="E1801" s="637">
        <f t="shared" si="63"/>
        <v>15.355093750000004</v>
      </c>
    </row>
    <row r="1802" spans="1:5">
      <c r="A1802">
        <v>31613</v>
      </c>
      <c r="B1802">
        <v>2200</v>
      </c>
      <c r="C1802" s="455">
        <v>4.0990000000000002</v>
      </c>
      <c r="D1802" s="637">
        <f t="shared" si="62"/>
        <v>8.2620468749999993</v>
      </c>
      <c r="E1802" s="637">
        <f t="shared" si="63"/>
        <v>16.267906250000003</v>
      </c>
    </row>
    <row r="1803" spans="1:5">
      <c r="A1803">
        <v>31613</v>
      </c>
      <c r="B1803">
        <v>2300</v>
      </c>
      <c r="C1803" s="455">
        <v>4.0869999999999997</v>
      </c>
      <c r="D1803" s="637">
        <f t="shared" si="62"/>
        <v>8.2378593749999993</v>
      </c>
      <c r="E1803" s="637">
        <f t="shared" si="63"/>
        <v>16.220281250000003</v>
      </c>
    </row>
    <row r="1804" spans="1:5">
      <c r="A1804">
        <v>31613</v>
      </c>
      <c r="B1804">
        <v>2400</v>
      </c>
      <c r="C1804" s="455">
        <v>3.9449999999999998</v>
      </c>
      <c r="D1804" s="637">
        <f t="shared" si="62"/>
        <v>7.9516406250000005</v>
      </c>
      <c r="E1804" s="637">
        <f t="shared" si="63"/>
        <v>15.656718750000003</v>
      </c>
    </row>
    <row r="1805" spans="1:5">
      <c r="A1805">
        <v>31713</v>
      </c>
      <c r="B1805">
        <v>100</v>
      </c>
      <c r="C1805" s="455">
        <v>4.6120000000000001</v>
      </c>
      <c r="D1805" s="637">
        <f t="shared" si="62"/>
        <v>9.2960624999999997</v>
      </c>
      <c r="E1805" s="637">
        <f t="shared" si="63"/>
        <v>18.303875000000005</v>
      </c>
    </row>
    <row r="1806" spans="1:5">
      <c r="A1806">
        <v>31713</v>
      </c>
      <c r="B1806">
        <v>200</v>
      </c>
      <c r="C1806" s="455">
        <v>4.5259999999999998</v>
      </c>
      <c r="D1806" s="637">
        <f t="shared" ref="D1806:D1869" si="64">(C1806/(MAX($C$1421:$C$2164)))*$W$7</f>
        <v>9.1227187500000007</v>
      </c>
      <c r="E1806" s="637">
        <f t="shared" ref="E1806:E1869" si="65">(C1806/(MAX($C$1421:$C$2164)))*$P$7</f>
        <v>17.962562500000004</v>
      </c>
    </row>
    <row r="1807" spans="1:5">
      <c r="A1807">
        <v>31713</v>
      </c>
      <c r="B1807">
        <v>300</v>
      </c>
      <c r="C1807" s="455">
        <v>4.976</v>
      </c>
      <c r="D1807" s="637">
        <f t="shared" si="64"/>
        <v>10.02975</v>
      </c>
      <c r="E1807" s="637">
        <f t="shared" si="65"/>
        <v>19.748500000000003</v>
      </c>
    </row>
    <row r="1808" spans="1:5">
      <c r="A1808">
        <v>31713</v>
      </c>
      <c r="B1808">
        <v>400</v>
      </c>
      <c r="C1808" s="455">
        <v>4.5289999999999999</v>
      </c>
      <c r="D1808" s="637">
        <f t="shared" si="64"/>
        <v>9.1287656249999998</v>
      </c>
      <c r="E1808" s="637">
        <f t="shared" si="65"/>
        <v>17.974468750000003</v>
      </c>
    </row>
    <row r="1809" spans="1:5">
      <c r="A1809">
        <v>31713</v>
      </c>
      <c r="B1809">
        <v>500</v>
      </c>
      <c r="C1809" s="455">
        <v>5.1029999999999998</v>
      </c>
      <c r="D1809" s="637">
        <f t="shared" si="64"/>
        <v>10.285734374999999</v>
      </c>
      <c r="E1809" s="637">
        <f t="shared" si="65"/>
        <v>20.252531250000004</v>
      </c>
    </row>
    <row r="1810" spans="1:5">
      <c r="A1810">
        <v>31713</v>
      </c>
      <c r="B1810">
        <v>600</v>
      </c>
      <c r="C1810" s="455">
        <v>5.17</v>
      </c>
      <c r="D1810" s="637">
        <f t="shared" si="64"/>
        <v>10.420781249999999</v>
      </c>
      <c r="E1810" s="637">
        <f t="shared" si="65"/>
        <v>20.518437500000005</v>
      </c>
    </row>
    <row r="1811" spans="1:5">
      <c r="A1811">
        <v>31713</v>
      </c>
      <c r="B1811">
        <v>700</v>
      </c>
      <c r="C1811" s="455">
        <v>4.2370000000000001</v>
      </c>
      <c r="D1811" s="637">
        <f t="shared" si="64"/>
        <v>8.5402031250000014</v>
      </c>
      <c r="E1811" s="637">
        <f t="shared" si="65"/>
        <v>16.815593750000005</v>
      </c>
    </row>
    <row r="1812" spans="1:5">
      <c r="A1812">
        <v>31713</v>
      </c>
      <c r="B1812">
        <v>800</v>
      </c>
      <c r="C1812" s="455">
        <v>0</v>
      </c>
      <c r="D1812" s="637">
        <f t="shared" si="64"/>
        <v>0</v>
      </c>
      <c r="E1812" s="637">
        <f t="shared" si="65"/>
        <v>0</v>
      </c>
    </row>
    <row r="1813" spans="1:5">
      <c r="A1813">
        <v>31713</v>
      </c>
      <c r="B1813">
        <v>900</v>
      </c>
      <c r="C1813" s="455">
        <v>1E-3</v>
      </c>
      <c r="D1813" s="637">
        <f t="shared" si="64"/>
        <v>2.0156250000000001E-3</v>
      </c>
      <c r="E1813" s="637">
        <f t="shared" si="65"/>
        <v>3.9687500000000009E-3</v>
      </c>
    </row>
    <row r="1814" spans="1:5">
      <c r="A1814">
        <v>31713</v>
      </c>
      <c r="B1814">
        <v>1000</v>
      </c>
      <c r="C1814" s="455">
        <v>0</v>
      </c>
      <c r="D1814" s="637">
        <f t="shared" si="64"/>
        <v>0</v>
      </c>
      <c r="E1814" s="637">
        <f t="shared" si="65"/>
        <v>0</v>
      </c>
    </row>
    <row r="1815" spans="1:5">
      <c r="A1815">
        <v>31713</v>
      </c>
      <c r="B1815">
        <v>1100</v>
      </c>
      <c r="C1815" s="455">
        <v>0</v>
      </c>
      <c r="D1815" s="637">
        <f t="shared" si="64"/>
        <v>0</v>
      </c>
      <c r="E1815" s="637">
        <f t="shared" si="65"/>
        <v>0</v>
      </c>
    </row>
    <row r="1816" spans="1:5">
      <c r="A1816">
        <v>31713</v>
      </c>
      <c r="B1816">
        <v>1200</v>
      </c>
      <c r="C1816" s="455">
        <v>0</v>
      </c>
      <c r="D1816" s="637">
        <f t="shared" si="64"/>
        <v>0</v>
      </c>
      <c r="E1816" s="637">
        <f t="shared" si="65"/>
        <v>0</v>
      </c>
    </row>
    <row r="1817" spans="1:5">
      <c r="A1817">
        <v>31713</v>
      </c>
      <c r="B1817">
        <v>1300</v>
      </c>
      <c r="C1817" s="455">
        <v>0</v>
      </c>
      <c r="D1817" s="637">
        <f t="shared" si="64"/>
        <v>0</v>
      </c>
      <c r="E1817" s="637">
        <f t="shared" si="65"/>
        <v>0</v>
      </c>
    </row>
    <row r="1818" spans="1:5">
      <c r="A1818">
        <v>31713</v>
      </c>
      <c r="B1818">
        <v>1400</v>
      </c>
      <c r="C1818" s="455">
        <v>0</v>
      </c>
      <c r="D1818" s="637">
        <f t="shared" si="64"/>
        <v>0</v>
      </c>
      <c r="E1818" s="637">
        <f t="shared" si="65"/>
        <v>0</v>
      </c>
    </row>
    <row r="1819" spans="1:5">
      <c r="A1819">
        <v>31713</v>
      </c>
      <c r="B1819">
        <v>1500</v>
      </c>
      <c r="C1819" s="455">
        <v>0</v>
      </c>
      <c r="D1819" s="637">
        <f t="shared" si="64"/>
        <v>0</v>
      </c>
      <c r="E1819" s="637">
        <f t="shared" si="65"/>
        <v>0</v>
      </c>
    </row>
    <row r="1820" spans="1:5">
      <c r="A1820">
        <v>31713</v>
      </c>
      <c r="B1820">
        <v>1600</v>
      </c>
      <c r="C1820" s="455">
        <v>0</v>
      </c>
      <c r="D1820" s="637">
        <f t="shared" si="64"/>
        <v>0</v>
      </c>
      <c r="E1820" s="637">
        <f t="shared" si="65"/>
        <v>0</v>
      </c>
    </row>
    <row r="1821" spans="1:5">
      <c r="A1821">
        <v>31713</v>
      </c>
      <c r="B1821">
        <v>1700</v>
      </c>
      <c r="C1821" s="455">
        <v>0</v>
      </c>
      <c r="D1821" s="637">
        <f t="shared" si="64"/>
        <v>0</v>
      </c>
      <c r="E1821" s="637">
        <f t="shared" si="65"/>
        <v>0</v>
      </c>
    </row>
    <row r="1822" spans="1:5">
      <c r="A1822">
        <v>31713</v>
      </c>
      <c r="B1822">
        <v>1800</v>
      </c>
      <c r="C1822" s="455">
        <v>0</v>
      </c>
      <c r="D1822" s="637">
        <f t="shared" si="64"/>
        <v>0</v>
      </c>
      <c r="E1822" s="637">
        <f t="shared" si="65"/>
        <v>0</v>
      </c>
    </row>
    <row r="1823" spans="1:5">
      <c r="A1823">
        <v>31713</v>
      </c>
      <c r="B1823">
        <v>1900</v>
      </c>
      <c r="C1823" s="455">
        <v>4.7149999999999999</v>
      </c>
      <c r="D1823" s="637">
        <f t="shared" si="64"/>
        <v>9.5036718750000002</v>
      </c>
      <c r="E1823" s="637">
        <f t="shared" si="65"/>
        <v>18.712656250000006</v>
      </c>
    </row>
    <row r="1824" spans="1:5">
      <c r="A1824">
        <v>31713</v>
      </c>
      <c r="B1824">
        <v>2000</v>
      </c>
      <c r="C1824" s="455">
        <v>3.9380000000000002</v>
      </c>
      <c r="D1824" s="637">
        <f t="shared" si="64"/>
        <v>7.9375312500000001</v>
      </c>
      <c r="E1824" s="637">
        <f t="shared" si="65"/>
        <v>15.628937500000005</v>
      </c>
    </row>
    <row r="1825" spans="1:5">
      <c r="A1825">
        <v>31713</v>
      </c>
      <c r="B1825">
        <v>2100</v>
      </c>
      <c r="C1825" s="455">
        <v>4.2489999999999997</v>
      </c>
      <c r="D1825" s="637">
        <f t="shared" si="64"/>
        <v>8.5643906249999997</v>
      </c>
      <c r="E1825" s="637">
        <f t="shared" si="65"/>
        <v>16.863218750000001</v>
      </c>
    </row>
    <row r="1826" spans="1:5">
      <c r="A1826">
        <v>31713</v>
      </c>
      <c r="B1826">
        <v>2200</v>
      </c>
      <c r="C1826" s="455">
        <v>4.0179999999999998</v>
      </c>
      <c r="D1826" s="637">
        <f t="shared" si="64"/>
        <v>8.09878125</v>
      </c>
      <c r="E1826" s="637">
        <f t="shared" si="65"/>
        <v>15.946437500000004</v>
      </c>
    </row>
    <row r="1827" spans="1:5">
      <c r="A1827">
        <v>31713</v>
      </c>
      <c r="B1827">
        <v>2300</v>
      </c>
      <c r="C1827" s="455">
        <v>3.9460000000000002</v>
      </c>
      <c r="D1827" s="637">
        <f t="shared" si="64"/>
        <v>7.9536562499999999</v>
      </c>
      <c r="E1827" s="637">
        <f t="shared" si="65"/>
        <v>15.660687500000003</v>
      </c>
    </row>
    <row r="1828" spans="1:5">
      <c r="A1828">
        <v>31713</v>
      </c>
      <c r="B1828">
        <v>2400</v>
      </c>
      <c r="C1828" s="455">
        <v>4.2480000000000002</v>
      </c>
      <c r="D1828" s="637">
        <f t="shared" si="64"/>
        <v>8.5623750000000012</v>
      </c>
      <c r="E1828" s="637">
        <f t="shared" si="65"/>
        <v>16.859250000000007</v>
      </c>
    </row>
    <row r="1829" spans="1:5">
      <c r="A1829">
        <v>31813</v>
      </c>
      <c r="B1829">
        <v>100</v>
      </c>
      <c r="C1829" s="455">
        <v>4.16</v>
      </c>
      <c r="D1829" s="637">
        <f t="shared" si="64"/>
        <v>8.3850000000000016</v>
      </c>
      <c r="E1829" s="637">
        <f t="shared" si="65"/>
        <v>16.510000000000005</v>
      </c>
    </row>
    <row r="1830" spans="1:5">
      <c r="A1830">
        <v>31813</v>
      </c>
      <c r="B1830">
        <v>200</v>
      </c>
      <c r="C1830" s="455">
        <v>4.6689999999999996</v>
      </c>
      <c r="D1830" s="637">
        <f t="shared" si="64"/>
        <v>9.4109531249999989</v>
      </c>
      <c r="E1830" s="637">
        <f t="shared" si="65"/>
        <v>18.530093750000002</v>
      </c>
    </row>
    <row r="1831" spans="1:5">
      <c r="A1831">
        <v>31813</v>
      </c>
      <c r="B1831">
        <v>300</v>
      </c>
      <c r="C1831" s="455">
        <v>4.5430000000000001</v>
      </c>
      <c r="D1831" s="637">
        <f t="shared" si="64"/>
        <v>9.1569843750000004</v>
      </c>
      <c r="E1831" s="637">
        <f t="shared" si="65"/>
        <v>18.030031250000008</v>
      </c>
    </row>
    <row r="1832" spans="1:5">
      <c r="A1832">
        <v>31813</v>
      </c>
      <c r="B1832">
        <v>400</v>
      </c>
      <c r="C1832" s="455">
        <v>4.5229999999999997</v>
      </c>
      <c r="D1832" s="637">
        <f t="shared" si="64"/>
        <v>9.116671874999998</v>
      </c>
      <c r="E1832" s="637">
        <f t="shared" si="65"/>
        <v>17.950656250000002</v>
      </c>
    </row>
    <row r="1833" spans="1:5">
      <c r="A1833">
        <v>31813</v>
      </c>
      <c r="B1833">
        <v>500</v>
      </c>
      <c r="C1833" s="455">
        <v>5.3140000000000001</v>
      </c>
      <c r="D1833" s="637">
        <f t="shared" si="64"/>
        <v>10.71103125</v>
      </c>
      <c r="E1833" s="637">
        <f t="shared" si="65"/>
        <v>21.089937500000005</v>
      </c>
    </row>
    <row r="1834" spans="1:5">
      <c r="A1834">
        <v>31813</v>
      </c>
      <c r="B1834">
        <v>600</v>
      </c>
      <c r="C1834" s="455">
        <v>5.2489999999999997</v>
      </c>
      <c r="D1834" s="637">
        <f t="shared" si="64"/>
        <v>10.580015625</v>
      </c>
      <c r="E1834" s="637">
        <f t="shared" si="65"/>
        <v>20.831968750000005</v>
      </c>
    </row>
    <row r="1835" spans="1:5">
      <c r="A1835">
        <v>31813</v>
      </c>
      <c r="B1835">
        <v>700</v>
      </c>
      <c r="C1835" s="455">
        <v>4.7640000000000002</v>
      </c>
      <c r="D1835" s="637">
        <f t="shared" si="64"/>
        <v>9.6024375000000006</v>
      </c>
      <c r="E1835" s="637">
        <f t="shared" si="65"/>
        <v>18.907125000000004</v>
      </c>
    </row>
    <row r="1836" spans="1:5">
      <c r="A1836">
        <v>31813</v>
      </c>
      <c r="B1836">
        <v>800</v>
      </c>
      <c r="C1836" s="455">
        <v>1E-3</v>
      </c>
      <c r="D1836" s="637">
        <f t="shared" si="64"/>
        <v>2.0156250000000001E-3</v>
      </c>
      <c r="E1836" s="637">
        <f t="shared" si="65"/>
        <v>3.9687500000000009E-3</v>
      </c>
    </row>
    <row r="1837" spans="1:5">
      <c r="A1837">
        <v>31813</v>
      </c>
      <c r="B1837">
        <v>900</v>
      </c>
      <c r="C1837" s="455">
        <v>0</v>
      </c>
      <c r="D1837" s="637">
        <f t="shared" si="64"/>
        <v>0</v>
      </c>
      <c r="E1837" s="637">
        <f t="shared" si="65"/>
        <v>0</v>
      </c>
    </row>
    <row r="1838" spans="1:5">
      <c r="A1838">
        <v>31813</v>
      </c>
      <c r="B1838">
        <v>1000</v>
      </c>
      <c r="C1838" s="455">
        <v>0</v>
      </c>
      <c r="D1838" s="637">
        <f t="shared" si="64"/>
        <v>0</v>
      </c>
      <c r="E1838" s="637">
        <f t="shared" si="65"/>
        <v>0</v>
      </c>
    </row>
    <row r="1839" spans="1:5">
      <c r="A1839">
        <v>31813</v>
      </c>
      <c r="B1839">
        <v>1100</v>
      </c>
      <c r="C1839" s="455">
        <v>0.29699999999999999</v>
      </c>
      <c r="D1839" s="637">
        <f t="shared" si="64"/>
        <v>0.59864062499999993</v>
      </c>
      <c r="E1839" s="637">
        <f t="shared" si="65"/>
        <v>1.1787187500000003</v>
      </c>
    </row>
    <row r="1840" spans="1:5">
      <c r="A1840">
        <v>31813</v>
      </c>
      <c r="B1840">
        <v>1200</v>
      </c>
      <c r="C1840" s="455">
        <v>0</v>
      </c>
      <c r="D1840" s="637">
        <f t="shared" si="64"/>
        <v>0</v>
      </c>
      <c r="E1840" s="637">
        <f t="shared" si="65"/>
        <v>0</v>
      </c>
    </row>
    <row r="1841" spans="1:5">
      <c r="A1841">
        <v>31813</v>
      </c>
      <c r="B1841">
        <v>1300</v>
      </c>
      <c r="C1841" s="455">
        <v>0</v>
      </c>
      <c r="D1841" s="637">
        <f t="shared" si="64"/>
        <v>0</v>
      </c>
      <c r="E1841" s="637">
        <f t="shared" si="65"/>
        <v>0</v>
      </c>
    </row>
    <row r="1842" spans="1:5">
      <c r="A1842">
        <v>31813</v>
      </c>
      <c r="B1842">
        <v>1400</v>
      </c>
      <c r="C1842" s="455">
        <v>0</v>
      </c>
      <c r="D1842" s="637">
        <f t="shared" si="64"/>
        <v>0</v>
      </c>
      <c r="E1842" s="637">
        <f t="shared" si="65"/>
        <v>0</v>
      </c>
    </row>
    <row r="1843" spans="1:5">
      <c r="A1843">
        <v>31813</v>
      </c>
      <c r="B1843">
        <v>1500</v>
      </c>
      <c r="C1843" s="455">
        <v>0</v>
      </c>
      <c r="D1843" s="637">
        <f t="shared" si="64"/>
        <v>0</v>
      </c>
      <c r="E1843" s="637">
        <f t="shared" si="65"/>
        <v>0</v>
      </c>
    </row>
    <row r="1844" spans="1:5">
      <c r="A1844">
        <v>31813</v>
      </c>
      <c r="B1844">
        <v>1600</v>
      </c>
      <c r="C1844" s="455">
        <v>0</v>
      </c>
      <c r="D1844" s="637">
        <f t="shared" si="64"/>
        <v>0</v>
      </c>
      <c r="E1844" s="637">
        <f t="shared" si="65"/>
        <v>0</v>
      </c>
    </row>
    <row r="1845" spans="1:5">
      <c r="A1845">
        <v>31813</v>
      </c>
      <c r="B1845">
        <v>1700</v>
      </c>
      <c r="C1845" s="455">
        <v>9.1999999999999998E-2</v>
      </c>
      <c r="D1845" s="637">
        <f t="shared" si="64"/>
        <v>0.18543750000000001</v>
      </c>
      <c r="E1845" s="637">
        <f t="shared" si="65"/>
        <v>0.36512500000000009</v>
      </c>
    </row>
    <row r="1846" spans="1:5">
      <c r="A1846">
        <v>31813</v>
      </c>
      <c r="B1846">
        <v>1800</v>
      </c>
      <c r="C1846" s="455">
        <v>1.635</v>
      </c>
      <c r="D1846" s="637">
        <f t="shared" si="64"/>
        <v>3.2955468749999999</v>
      </c>
      <c r="E1846" s="637">
        <f t="shared" si="65"/>
        <v>6.4889062500000012</v>
      </c>
    </row>
    <row r="1847" spans="1:5">
      <c r="A1847">
        <v>31813</v>
      </c>
      <c r="B1847">
        <v>1900</v>
      </c>
      <c r="C1847" s="455">
        <v>9.9610000000000003</v>
      </c>
      <c r="D1847" s="637">
        <f t="shared" si="64"/>
        <v>20.077640625000001</v>
      </c>
      <c r="E1847" s="637">
        <f t="shared" si="65"/>
        <v>39.532718750000015</v>
      </c>
    </row>
    <row r="1848" spans="1:5">
      <c r="A1848">
        <v>31813</v>
      </c>
      <c r="B1848">
        <v>2000</v>
      </c>
      <c r="C1848" s="455">
        <v>7.56</v>
      </c>
      <c r="D1848" s="637">
        <f t="shared" si="64"/>
        <v>15.238125</v>
      </c>
      <c r="E1848" s="637">
        <f t="shared" si="65"/>
        <v>30.003750000000007</v>
      </c>
    </row>
    <row r="1849" spans="1:5">
      <c r="A1849">
        <v>31813</v>
      </c>
      <c r="B1849">
        <v>2100</v>
      </c>
      <c r="C1849" s="455">
        <v>8.016</v>
      </c>
      <c r="D1849" s="637">
        <f t="shared" si="64"/>
        <v>16.157250000000001</v>
      </c>
      <c r="E1849" s="637">
        <f t="shared" si="65"/>
        <v>31.813500000000012</v>
      </c>
    </row>
    <row r="1850" spans="1:5">
      <c r="A1850">
        <v>31813</v>
      </c>
      <c r="B1850">
        <v>2200</v>
      </c>
      <c r="C1850" s="455">
        <v>7.702</v>
      </c>
      <c r="D1850" s="637">
        <f t="shared" si="64"/>
        <v>15.524343750000002</v>
      </c>
      <c r="E1850" s="637">
        <f t="shared" si="65"/>
        <v>30.567312500000011</v>
      </c>
    </row>
    <row r="1851" spans="1:5">
      <c r="A1851">
        <v>31813</v>
      </c>
      <c r="B1851">
        <v>2300</v>
      </c>
      <c r="C1851" s="455">
        <v>7.9859999999999998</v>
      </c>
      <c r="D1851" s="637">
        <f t="shared" si="64"/>
        <v>16.096781249999999</v>
      </c>
      <c r="E1851" s="637">
        <f t="shared" si="65"/>
        <v>31.694437500000006</v>
      </c>
    </row>
    <row r="1852" spans="1:5">
      <c r="A1852">
        <v>31813</v>
      </c>
      <c r="B1852">
        <v>2400</v>
      </c>
      <c r="C1852" s="455">
        <v>7.9420000000000002</v>
      </c>
      <c r="D1852" s="637">
        <f t="shared" si="64"/>
        <v>16.00809375</v>
      </c>
      <c r="E1852" s="637">
        <f t="shared" si="65"/>
        <v>31.519812500000011</v>
      </c>
    </row>
    <row r="1853" spans="1:5">
      <c r="A1853">
        <v>31913</v>
      </c>
      <c r="B1853">
        <v>100</v>
      </c>
      <c r="C1853" s="455">
        <v>8.3469999999999995</v>
      </c>
      <c r="D1853" s="637">
        <f t="shared" si="64"/>
        <v>16.824421875000002</v>
      </c>
      <c r="E1853" s="637">
        <f t="shared" si="65"/>
        <v>33.127156250000006</v>
      </c>
    </row>
    <row r="1854" spans="1:5">
      <c r="A1854">
        <v>31913</v>
      </c>
      <c r="B1854">
        <v>200</v>
      </c>
      <c r="C1854" s="455">
        <v>8.3930000000000007</v>
      </c>
      <c r="D1854" s="637">
        <f t="shared" si="64"/>
        <v>16.917140625000002</v>
      </c>
      <c r="E1854" s="637">
        <f t="shared" si="65"/>
        <v>33.309718750000009</v>
      </c>
    </row>
    <row r="1855" spans="1:5">
      <c r="A1855">
        <v>31913</v>
      </c>
      <c r="B1855">
        <v>300</v>
      </c>
      <c r="C1855" s="455">
        <v>7.8620000000000001</v>
      </c>
      <c r="D1855" s="637">
        <f t="shared" si="64"/>
        <v>15.846843750000001</v>
      </c>
      <c r="E1855" s="637">
        <f t="shared" si="65"/>
        <v>31.202312500000009</v>
      </c>
    </row>
    <row r="1856" spans="1:5">
      <c r="A1856">
        <v>31913</v>
      </c>
      <c r="B1856">
        <v>400</v>
      </c>
      <c r="C1856" s="455">
        <v>8.4120000000000008</v>
      </c>
      <c r="D1856" s="637">
        <f t="shared" si="64"/>
        <v>16.955437500000002</v>
      </c>
      <c r="E1856" s="637">
        <f t="shared" si="65"/>
        <v>33.385125000000009</v>
      </c>
    </row>
    <row r="1857" spans="1:5">
      <c r="A1857">
        <v>31913</v>
      </c>
      <c r="B1857">
        <v>500</v>
      </c>
      <c r="C1857" s="455">
        <v>7.9960000000000004</v>
      </c>
      <c r="D1857" s="637">
        <f t="shared" si="64"/>
        <v>16.116937500000002</v>
      </c>
      <c r="E1857" s="637">
        <f t="shared" si="65"/>
        <v>31.734125000000013</v>
      </c>
    </row>
    <row r="1858" spans="1:5">
      <c r="A1858">
        <v>31913</v>
      </c>
      <c r="B1858">
        <v>600</v>
      </c>
      <c r="C1858" s="455">
        <v>7.9480000000000004</v>
      </c>
      <c r="D1858" s="637">
        <f t="shared" si="64"/>
        <v>16.020187500000002</v>
      </c>
      <c r="E1858" s="637">
        <f t="shared" si="65"/>
        <v>31.543625000000009</v>
      </c>
    </row>
    <row r="1859" spans="1:5">
      <c r="A1859">
        <v>31913</v>
      </c>
      <c r="B1859">
        <v>700</v>
      </c>
      <c r="C1859" s="455">
        <v>9.0419999999999998</v>
      </c>
      <c r="D1859" s="637">
        <f t="shared" si="64"/>
        <v>18.225281250000002</v>
      </c>
      <c r="E1859" s="637">
        <f t="shared" si="65"/>
        <v>35.885437500000009</v>
      </c>
    </row>
    <row r="1860" spans="1:5">
      <c r="A1860">
        <v>31913</v>
      </c>
      <c r="B1860">
        <v>800</v>
      </c>
      <c r="C1860" s="455">
        <v>1.04</v>
      </c>
      <c r="D1860" s="637">
        <f t="shared" si="64"/>
        <v>2.0962500000000004</v>
      </c>
      <c r="E1860" s="637">
        <f t="shared" si="65"/>
        <v>4.1275000000000013</v>
      </c>
    </row>
    <row r="1861" spans="1:5">
      <c r="A1861">
        <v>31913</v>
      </c>
      <c r="B1861">
        <v>900</v>
      </c>
      <c r="C1861" s="455">
        <v>0</v>
      </c>
      <c r="D1861" s="637">
        <f t="shared" si="64"/>
        <v>0</v>
      </c>
      <c r="E1861" s="637">
        <f t="shared" si="65"/>
        <v>0</v>
      </c>
    </row>
    <row r="1862" spans="1:5">
      <c r="A1862">
        <v>31913</v>
      </c>
      <c r="B1862">
        <v>1000</v>
      </c>
      <c r="C1862" s="455">
        <v>3.0000000000000001E-3</v>
      </c>
      <c r="D1862" s="637">
        <f t="shared" si="64"/>
        <v>6.0468750000000002E-3</v>
      </c>
      <c r="E1862" s="637">
        <f t="shared" si="65"/>
        <v>1.1906250000000002E-2</v>
      </c>
    </row>
    <row r="1863" spans="1:5">
      <c r="A1863">
        <v>31913</v>
      </c>
      <c r="B1863">
        <v>1100</v>
      </c>
      <c r="C1863" s="455">
        <v>0</v>
      </c>
      <c r="D1863" s="637">
        <f t="shared" si="64"/>
        <v>0</v>
      </c>
      <c r="E1863" s="637">
        <f t="shared" si="65"/>
        <v>0</v>
      </c>
    </row>
    <row r="1864" spans="1:5">
      <c r="A1864">
        <v>31913</v>
      </c>
      <c r="B1864">
        <v>1200</v>
      </c>
      <c r="C1864" s="455">
        <v>0</v>
      </c>
      <c r="D1864" s="637">
        <f t="shared" si="64"/>
        <v>0</v>
      </c>
      <c r="E1864" s="637">
        <f t="shared" si="65"/>
        <v>0</v>
      </c>
    </row>
    <row r="1865" spans="1:5">
      <c r="A1865">
        <v>31913</v>
      </c>
      <c r="B1865">
        <v>1300</v>
      </c>
      <c r="C1865" s="455">
        <v>0</v>
      </c>
      <c r="D1865" s="637">
        <f t="shared" si="64"/>
        <v>0</v>
      </c>
      <c r="E1865" s="637">
        <f t="shared" si="65"/>
        <v>0</v>
      </c>
    </row>
    <row r="1866" spans="1:5">
      <c r="A1866">
        <v>31913</v>
      </c>
      <c r="B1866">
        <v>1400</v>
      </c>
      <c r="C1866" s="455">
        <v>0</v>
      </c>
      <c r="D1866" s="637">
        <f t="shared" si="64"/>
        <v>0</v>
      </c>
      <c r="E1866" s="637">
        <f t="shared" si="65"/>
        <v>0</v>
      </c>
    </row>
    <row r="1867" spans="1:5">
      <c r="A1867">
        <v>31913</v>
      </c>
      <c r="B1867">
        <v>1500</v>
      </c>
      <c r="C1867" s="455">
        <v>0</v>
      </c>
      <c r="D1867" s="637">
        <f t="shared" si="64"/>
        <v>0</v>
      </c>
      <c r="E1867" s="637">
        <f t="shared" si="65"/>
        <v>0</v>
      </c>
    </row>
    <row r="1868" spans="1:5">
      <c r="A1868">
        <v>31913</v>
      </c>
      <c r="B1868">
        <v>1600</v>
      </c>
      <c r="C1868" s="455">
        <v>0</v>
      </c>
      <c r="D1868" s="637">
        <f t="shared" si="64"/>
        <v>0</v>
      </c>
      <c r="E1868" s="637">
        <f t="shared" si="65"/>
        <v>0</v>
      </c>
    </row>
    <row r="1869" spans="1:5">
      <c r="A1869">
        <v>31913</v>
      </c>
      <c r="B1869">
        <v>1700</v>
      </c>
      <c r="C1869" s="455">
        <v>0</v>
      </c>
      <c r="D1869" s="637">
        <f t="shared" si="64"/>
        <v>0</v>
      </c>
      <c r="E1869" s="637">
        <f t="shared" si="65"/>
        <v>0</v>
      </c>
    </row>
    <row r="1870" spans="1:5">
      <c r="A1870">
        <v>31913</v>
      </c>
      <c r="B1870">
        <v>1800</v>
      </c>
      <c r="C1870" s="455">
        <v>1.9E-2</v>
      </c>
      <c r="D1870" s="637">
        <f t="shared" ref="D1870:D1933" si="66">(C1870/(MAX($C$1421:$C$2164)))*$W$7</f>
        <v>3.8296874999999994E-2</v>
      </c>
      <c r="E1870" s="637">
        <f t="shared" ref="E1870:E1933" si="67">(C1870/(MAX($C$1421:$C$2164)))*$P$7</f>
        <v>7.5406250000000008E-2</v>
      </c>
    </row>
    <row r="1871" spans="1:5">
      <c r="A1871">
        <v>31913</v>
      </c>
      <c r="B1871">
        <v>1900</v>
      </c>
      <c r="C1871" s="455">
        <v>7.81</v>
      </c>
      <c r="D1871" s="637">
        <f t="shared" si="66"/>
        <v>15.74203125</v>
      </c>
      <c r="E1871" s="637">
        <f t="shared" si="67"/>
        <v>30.995937500000007</v>
      </c>
    </row>
    <row r="1872" spans="1:5">
      <c r="A1872">
        <v>31913</v>
      </c>
      <c r="B1872">
        <v>2000</v>
      </c>
      <c r="C1872" s="455">
        <v>7.625</v>
      </c>
      <c r="D1872" s="637">
        <f t="shared" si="66"/>
        <v>15.369140625000002</v>
      </c>
      <c r="E1872" s="637">
        <f t="shared" si="67"/>
        <v>30.261718750000011</v>
      </c>
    </row>
    <row r="1873" spans="1:5">
      <c r="A1873">
        <v>31913</v>
      </c>
      <c r="B1873">
        <v>2100</v>
      </c>
      <c r="C1873" s="455">
        <v>7.508</v>
      </c>
      <c r="D1873" s="637">
        <f t="shared" si="66"/>
        <v>15.133312500000001</v>
      </c>
      <c r="E1873" s="637">
        <f t="shared" si="67"/>
        <v>29.797375000000006</v>
      </c>
    </row>
    <row r="1874" spans="1:5">
      <c r="A1874">
        <v>31913</v>
      </c>
      <c r="B1874">
        <v>2200</v>
      </c>
      <c r="C1874" s="455">
        <v>6.1260000000000003</v>
      </c>
      <c r="D1874" s="637">
        <f t="shared" si="66"/>
        <v>12.34771875</v>
      </c>
      <c r="E1874" s="637">
        <f t="shared" si="67"/>
        <v>24.312562500000006</v>
      </c>
    </row>
    <row r="1875" spans="1:5">
      <c r="A1875">
        <v>31913</v>
      </c>
      <c r="B1875">
        <v>2300</v>
      </c>
      <c r="C1875" s="455">
        <v>4.7050000000000001</v>
      </c>
      <c r="D1875" s="637">
        <f t="shared" si="66"/>
        <v>9.4835156250000008</v>
      </c>
      <c r="E1875" s="637">
        <f t="shared" si="67"/>
        <v>18.672968750000006</v>
      </c>
    </row>
    <row r="1876" spans="1:5">
      <c r="A1876">
        <v>31913</v>
      </c>
      <c r="B1876">
        <v>2400</v>
      </c>
      <c r="C1876" s="455">
        <v>4.327</v>
      </c>
      <c r="D1876" s="637">
        <f t="shared" si="66"/>
        <v>8.7216093749999999</v>
      </c>
      <c r="E1876" s="637">
        <f t="shared" si="67"/>
        <v>17.172781250000003</v>
      </c>
    </row>
    <row r="1877" spans="1:5">
      <c r="A1877">
        <v>32013</v>
      </c>
      <c r="B1877">
        <v>100</v>
      </c>
      <c r="C1877" s="455">
        <v>4.8360000000000003</v>
      </c>
      <c r="D1877" s="637">
        <f t="shared" si="66"/>
        <v>9.7475625000000008</v>
      </c>
      <c r="E1877" s="637">
        <f t="shared" si="67"/>
        <v>19.192875000000004</v>
      </c>
    </row>
    <row r="1878" spans="1:5">
      <c r="A1878">
        <v>32013</v>
      </c>
      <c r="B1878">
        <v>200</v>
      </c>
      <c r="C1878" s="455">
        <v>4.6980000000000004</v>
      </c>
      <c r="D1878" s="637">
        <f t="shared" si="66"/>
        <v>9.4694062500000005</v>
      </c>
      <c r="E1878" s="637">
        <f t="shared" si="67"/>
        <v>18.645187500000006</v>
      </c>
    </row>
    <row r="1879" spans="1:5">
      <c r="A1879">
        <v>32013</v>
      </c>
      <c r="B1879">
        <v>300</v>
      </c>
      <c r="C1879" s="455">
        <v>4.8639999999999999</v>
      </c>
      <c r="D1879" s="637">
        <f t="shared" si="66"/>
        <v>9.8039999999999985</v>
      </c>
      <c r="E1879" s="637">
        <f t="shared" si="67"/>
        <v>19.304000000000002</v>
      </c>
    </row>
    <row r="1880" spans="1:5">
      <c r="A1880">
        <v>32013</v>
      </c>
      <c r="B1880">
        <v>400</v>
      </c>
      <c r="C1880" s="455">
        <v>4.84</v>
      </c>
      <c r="D1880" s="637">
        <f t="shared" si="66"/>
        <v>9.7556250000000002</v>
      </c>
      <c r="E1880" s="637">
        <f t="shared" si="67"/>
        <v>19.208750000000006</v>
      </c>
    </row>
    <row r="1881" spans="1:5">
      <c r="A1881">
        <v>32013</v>
      </c>
      <c r="B1881">
        <v>500</v>
      </c>
      <c r="C1881" s="455">
        <v>5.407</v>
      </c>
      <c r="D1881" s="637">
        <f t="shared" si="66"/>
        <v>10.898484374999999</v>
      </c>
      <c r="E1881" s="637">
        <f t="shared" si="67"/>
        <v>21.459031250000002</v>
      </c>
    </row>
    <row r="1882" spans="1:5">
      <c r="A1882">
        <v>32013</v>
      </c>
      <c r="B1882">
        <v>600</v>
      </c>
      <c r="C1882" s="455">
        <v>4.8890000000000002</v>
      </c>
      <c r="D1882" s="637">
        <f t="shared" si="66"/>
        <v>9.8543906250000006</v>
      </c>
      <c r="E1882" s="637">
        <f t="shared" si="67"/>
        <v>19.403218750000004</v>
      </c>
    </row>
    <row r="1883" spans="1:5">
      <c r="A1883">
        <v>32013</v>
      </c>
      <c r="B1883">
        <v>700</v>
      </c>
      <c r="C1883" s="455">
        <v>5.5129999999999999</v>
      </c>
      <c r="D1883" s="637">
        <f t="shared" si="66"/>
        <v>11.112140625</v>
      </c>
      <c r="E1883" s="637">
        <f t="shared" si="67"/>
        <v>21.879718750000006</v>
      </c>
    </row>
    <row r="1884" spans="1:5">
      <c r="A1884">
        <v>32013</v>
      </c>
      <c r="B1884">
        <v>800</v>
      </c>
      <c r="C1884" s="455">
        <v>7.1999999999999995E-2</v>
      </c>
      <c r="D1884" s="637">
        <f t="shared" si="66"/>
        <v>0.145125</v>
      </c>
      <c r="E1884" s="637">
        <f t="shared" si="67"/>
        <v>0.28575000000000006</v>
      </c>
    </row>
    <row r="1885" spans="1:5">
      <c r="A1885">
        <v>32013</v>
      </c>
      <c r="B1885">
        <v>900</v>
      </c>
      <c r="C1885" s="455">
        <v>0</v>
      </c>
      <c r="D1885" s="637">
        <f t="shared" si="66"/>
        <v>0</v>
      </c>
      <c r="E1885" s="637">
        <f t="shared" si="67"/>
        <v>0</v>
      </c>
    </row>
    <row r="1886" spans="1:5">
      <c r="A1886">
        <v>32013</v>
      </c>
      <c r="B1886">
        <v>1000</v>
      </c>
      <c r="C1886" s="455">
        <v>0</v>
      </c>
      <c r="D1886" s="637">
        <f t="shared" si="66"/>
        <v>0</v>
      </c>
      <c r="E1886" s="637">
        <f t="shared" si="67"/>
        <v>0</v>
      </c>
    </row>
    <row r="1887" spans="1:5">
      <c r="A1887">
        <v>32013</v>
      </c>
      <c r="B1887">
        <v>1100</v>
      </c>
      <c r="C1887" s="455">
        <v>1E-3</v>
      </c>
      <c r="D1887" s="637">
        <f t="shared" si="66"/>
        <v>2.0156250000000001E-3</v>
      </c>
      <c r="E1887" s="637">
        <f t="shared" si="67"/>
        <v>3.9687500000000009E-3</v>
      </c>
    </row>
    <row r="1888" spans="1:5">
      <c r="A1888">
        <v>32013</v>
      </c>
      <c r="B1888">
        <v>1200</v>
      </c>
      <c r="C1888" s="455">
        <v>0</v>
      </c>
      <c r="D1888" s="637">
        <f t="shared" si="66"/>
        <v>0</v>
      </c>
      <c r="E1888" s="637">
        <f t="shared" si="67"/>
        <v>0</v>
      </c>
    </row>
    <row r="1889" spans="1:5">
      <c r="A1889">
        <v>32013</v>
      </c>
      <c r="B1889">
        <v>1300</v>
      </c>
      <c r="C1889" s="455">
        <v>0</v>
      </c>
      <c r="D1889" s="637">
        <f t="shared" si="66"/>
        <v>0</v>
      </c>
      <c r="E1889" s="637">
        <f t="shared" si="67"/>
        <v>0</v>
      </c>
    </row>
    <row r="1890" spans="1:5">
      <c r="A1890">
        <v>32013</v>
      </c>
      <c r="B1890">
        <v>1400</v>
      </c>
      <c r="C1890" s="455">
        <v>0</v>
      </c>
      <c r="D1890" s="637">
        <f t="shared" si="66"/>
        <v>0</v>
      </c>
      <c r="E1890" s="637">
        <f t="shared" si="67"/>
        <v>0</v>
      </c>
    </row>
    <row r="1891" spans="1:5">
      <c r="A1891">
        <v>32013</v>
      </c>
      <c r="B1891">
        <v>1500</v>
      </c>
      <c r="C1891" s="455">
        <v>0</v>
      </c>
      <c r="D1891" s="637">
        <f t="shared" si="66"/>
        <v>0</v>
      </c>
      <c r="E1891" s="637">
        <f t="shared" si="67"/>
        <v>0</v>
      </c>
    </row>
    <row r="1892" spans="1:5">
      <c r="A1892">
        <v>32013</v>
      </c>
      <c r="B1892">
        <v>1600</v>
      </c>
      <c r="C1892" s="455">
        <v>0</v>
      </c>
      <c r="D1892" s="637">
        <f t="shared" si="66"/>
        <v>0</v>
      </c>
      <c r="E1892" s="637">
        <f t="shared" si="67"/>
        <v>0</v>
      </c>
    </row>
    <row r="1893" spans="1:5">
      <c r="A1893">
        <v>32013</v>
      </c>
      <c r="B1893">
        <v>1700</v>
      </c>
      <c r="C1893" s="455">
        <v>0</v>
      </c>
      <c r="D1893" s="637">
        <f t="shared" si="66"/>
        <v>0</v>
      </c>
      <c r="E1893" s="637">
        <f t="shared" si="67"/>
        <v>0</v>
      </c>
    </row>
    <row r="1894" spans="1:5">
      <c r="A1894">
        <v>32013</v>
      </c>
      <c r="B1894">
        <v>1800</v>
      </c>
      <c r="C1894" s="455">
        <v>0</v>
      </c>
      <c r="D1894" s="637">
        <f t="shared" si="66"/>
        <v>0</v>
      </c>
      <c r="E1894" s="637">
        <f t="shared" si="67"/>
        <v>0</v>
      </c>
    </row>
    <row r="1895" spans="1:5">
      <c r="A1895">
        <v>32013</v>
      </c>
      <c r="B1895">
        <v>1900</v>
      </c>
      <c r="C1895" s="455">
        <v>6.1859999999999999</v>
      </c>
      <c r="D1895" s="637">
        <f t="shared" si="66"/>
        <v>12.468656249999999</v>
      </c>
      <c r="E1895" s="637">
        <f t="shared" si="67"/>
        <v>24.550687500000006</v>
      </c>
    </row>
    <row r="1896" spans="1:5">
      <c r="A1896">
        <v>32013</v>
      </c>
      <c r="B1896">
        <v>2000</v>
      </c>
      <c r="C1896" s="455">
        <v>7.5730000000000004</v>
      </c>
      <c r="D1896" s="637">
        <f t="shared" si="66"/>
        <v>15.264328125</v>
      </c>
      <c r="E1896" s="637">
        <f t="shared" si="67"/>
        <v>30.055343750000009</v>
      </c>
    </row>
    <row r="1897" spans="1:5">
      <c r="A1897">
        <v>32013</v>
      </c>
      <c r="B1897">
        <v>2100</v>
      </c>
      <c r="C1897" s="455">
        <v>7.5640000000000001</v>
      </c>
      <c r="D1897" s="637">
        <f t="shared" si="66"/>
        <v>15.246187500000001</v>
      </c>
      <c r="E1897" s="637">
        <f t="shared" si="67"/>
        <v>30.019625000000008</v>
      </c>
    </row>
    <row r="1898" spans="1:5">
      <c r="A1898">
        <v>32013</v>
      </c>
      <c r="B1898">
        <v>2200</v>
      </c>
      <c r="C1898" s="455">
        <v>7.6280000000000001</v>
      </c>
      <c r="D1898" s="637">
        <f t="shared" si="66"/>
        <v>15.375187500000001</v>
      </c>
      <c r="E1898" s="637">
        <f t="shared" si="67"/>
        <v>30.27362500000001</v>
      </c>
    </row>
    <row r="1899" spans="1:5">
      <c r="A1899">
        <v>32013</v>
      </c>
      <c r="B1899">
        <v>2300</v>
      </c>
      <c r="C1899" s="455">
        <v>7.41</v>
      </c>
      <c r="D1899" s="637">
        <f t="shared" si="66"/>
        <v>14.93578125</v>
      </c>
      <c r="E1899" s="637">
        <f t="shared" si="67"/>
        <v>29.408437500000009</v>
      </c>
    </row>
    <row r="1900" spans="1:5">
      <c r="A1900">
        <v>32013</v>
      </c>
      <c r="B1900">
        <v>2400</v>
      </c>
      <c r="C1900" s="455">
        <v>8.0909999999999993</v>
      </c>
      <c r="D1900" s="637">
        <f t="shared" si="66"/>
        <v>16.308421874999997</v>
      </c>
      <c r="E1900" s="637">
        <f t="shared" si="67"/>
        <v>32.111156250000008</v>
      </c>
    </row>
    <row r="1901" spans="1:5">
      <c r="A1901">
        <v>32113</v>
      </c>
      <c r="B1901">
        <v>100</v>
      </c>
      <c r="C1901" s="455">
        <v>7.9329999999999998</v>
      </c>
      <c r="D1901" s="637">
        <f t="shared" si="66"/>
        <v>15.989953124999998</v>
      </c>
      <c r="E1901" s="637">
        <f t="shared" si="67"/>
        <v>31.484093750000003</v>
      </c>
    </row>
    <row r="1902" spans="1:5">
      <c r="A1902">
        <v>32113</v>
      </c>
      <c r="B1902">
        <v>200</v>
      </c>
      <c r="C1902" s="455">
        <v>8.73</v>
      </c>
      <c r="D1902" s="637">
        <f t="shared" si="66"/>
        <v>17.596406250000001</v>
      </c>
      <c r="E1902" s="637">
        <f t="shared" si="67"/>
        <v>34.647187500000008</v>
      </c>
    </row>
    <row r="1903" spans="1:5">
      <c r="A1903">
        <v>32113</v>
      </c>
      <c r="B1903">
        <v>300</v>
      </c>
      <c r="C1903" s="455">
        <v>8.8659999999999997</v>
      </c>
      <c r="D1903" s="637">
        <f t="shared" si="66"/>
        <v>17.870531249999999</v>
      </c>
      <c r="E1903" s="637">
        <f t="shared" si="67"/>
        <v>35.186937500000006</v>
      </c>
    </row>
    <row r="1904" spans="1:5">
      <c r="A1904">
        <v>32113</v>
      </c>
      <c r="B1904">
        <v>400</v>
      </c>
      <c r="C1904" s="455">
        <v>8.8800000000000008</v>
      </c>
      <c r="D1904" s="637">
        <f t="shared" si="66"/>
        <v>17.89875</v>
      </c>
      <c r="E1904" s="637">
        <f t="shared" si="67"/>
        <v>35.242500000000014</v>
      </c>
    </row>
    <row r="1905" spans="1:5">
      <c r="A1905">
        <v>32113</v>
      </c>
      <c r="B1905">
        <v>500</v>
      </c>
      <c r="C1905" s="455">
        <v>8.7080000000000002</v>
      </c>
      <c r="D1905" s="637">
        <f t="shared" si="66"/>
        <v>17.552062500000002</v>
      </c>
      <c r="E1905" s="637">
        <f t="shared" si="67"/>
        <v>34.559875000000012</v>
      </c>
    </row>
    <row r="1906" spans="1:5">
      <c r="A1906">
        <v>32113</v>
      </c>
      <c r="B1906">
        <v>600</v>
      </c>
      <c r="C1906" s="455">
        <v>8.6370000000000005</v>
      </c>
      <c r="D1906" s="637">
        <f t="shared" si="66"/>
        <v>17.408953125</v>
      </c>
      <c r="E1906" s="637">
        <f t="shared" si="67"/>
        <v>34.278093750000011</v>
      </c>
    </row>
    <row r="1907" spans="1:5">
      <c r="A1907">
        <v>32113</v>
      </c>
      <c r="B1907">
        <v>700</v>
      </c>
      <c r="C1907" s="455">
        <v>5.4450000000000003</v>
      </c>
      <c r="D1907" s="637">
        <f t="shared" si="66"/>
        <v>10.975078125000001</v>
      </c>
      <c r="E1907" s="637">
        <f t="shared" si="67"/>
        <v>21.609843750000007</v>
      </c>
    </row>
    <row r="1908" spans="1:5">
      <c r="A1908">
        <v>32113</v>
      </c>
      <c r="B1908">
        <v>800</v>
      </c>
      <c r="C1908" s="455">
        <v>0</v>
      </c>
      <c r="D1908" s="637">
        <f t="shared" si="66"/>
        <v>0</v>
      </c>
      <c r="E1908" s="637">
        <f t="shared" si="67"/>
        <v>0</v>
      </c>
    </row>
    <row r="1909" spans="1:5">
      <c r="A1909">
        <v>32113</v>
      </c>
      <c r="B1909">
        <v>900</v>
      </c>
      <c r="C1909" s="455">
        <v>0</v>
      </c>
      <c r="D1909" s="637">
        <f t="shared" si="66"/>
        <v>0</v>
      </c>
      <c r="E1909" s="637">
        <f t="shared" si="67"/>
        <v>0</v>
      </c>
    </row>
    <row r="1910" spans="1:5">
      <c r="A1910">
        <v>32113</v>
      </c>
      <c r="B1910">
        <v>1000</v>
      </c>
      <c r="C1910" s="455">
        <v>0</v>
      </c>
      <c r="D1910" s="637">
        <f t="shared" si="66"/>
        <v>0</v>
      </c>
      <c r="E1910" s="637">
        <f t="shared" si="67"/>
        <v>0</v>
      </c>
    </row>
    <row r="1911" spans="1:5">
      <c r="A1911">
        <v>32113</v>
      </c>
      <c r="B1911">
        <v>1100</v>
      </c>
      <c r="C1911" s="455">
        <v>0</v>
      </c>
      <c r="D1911" s="637">
        <f t="shared" si="66"/>
        <v>0</v>
      </c>
      <c r="E1911" s="637">
        <f t="shared" si="67"/>
        <v>0</v>
      </c>
    </row>
    <row r="1912" spans="1:5">
      <c r="A1912">
        <v>32113</v>
      </c>
      <c r="B1912">
        <v>1200</v>
      </c>
      <c r="C1912" s="455">
        <v>1E-3</v>
      </c>
      <c r="D1912" s="637">
        <f t="shared" si="66"/>
        <v>2.0156250000000001E-3</v>
      </c>
      <c r="E1912" s="637">
        <f t="shared" si="67"/>
        <v>3.9687500000000009E-3</v>
      </c>
    </row>
    <row r="1913" spans="1:5">
      <c r="A1913">
        <v>32113</v>
      </c>
      <c r="B1913">
        <v>1300</v>
      </c>
      <c r="C1913" s="455">
        <v>0</v>
      </c>
      <c r="D1913" s="637">
        <f t="shared" si="66"/>
        <v>0</v>
      </c>
      <c r="E1913" s="637">
        <f t="shared" si="67"/>
        <v>0</v>
      </c>
    </row>
    <row r="1914" spans="1:5">
      <c r="A1914">
        <v>32113</v>
      </c>
      <c r="B1914">
        <v>1400</v>
      </c>
      <c r="C1914" s="455">
        <v>0</v>
      </c>
      <c r="D1914" s="637">
        <f t="shared" si="66"/>
        <v>0</v>
      </c>
      <c r="E1914" s="637">
        <f t="shared" si="67"/>
        <v>0</v>
      </c>
    </row>
    <row r="1915" spans="1:5">
      <c r="A1915">
        <v>32113</v>
      </c>
      <c r="B1915">
        <v>1500</v>
      </c>
      <c r="C1915" s="455">
        <v>0</v>
      </c>
      <c r="D1915" s="637">
        <f t="shared" si="66"/>
        <v>0</v>
      </c>
      <c r="E1915" s="637">
        <f t="shared" si="67"/>
        <v>0</v>
      </c>
    </row>
    <row r="1916" spans="1:5">
      <c r="A1916">
        <v>32113</v>
      </c>
      <c r="B1916">
        <v>1600</v>
      </c>
      <c r="C1916" s="455">
        <v>0</v>
      </c>
      <c r="D1916" s="637">
        <f t="shared" si="66"/>
        <v>0</v>
      </c>
      <c r="E1916" s="637">
        <f t="shared" si="67"/>
        <v>0</v>
      </c>
    </row>
    <row r="1917" spans="1:5">
      <c r="A1917">
        <v>32113</v>
      </c>
      <c r="B1917">
        <v>1700</v>
      </c>
      <c r="C1917" s="455">
        <v>1E-3</v>
      </c>
      <c r="D1917" s="637">
        <f t="shared" si="66"/>
        <v>2.0156250000000001E-3</v>
      </c>
      <c r="E1917" s="637">
        <f t="shared" si="67"/>
        <v>3.9687500000000009E-3</v>
      </c>
    </row>
    <row r="1918" spans="1:5">
      <c r="A1918">
        <v>32113</v>
      </c>
      <c r="B1918">
        <v>1800</v>
      </c>
      <c r="C1918" s="455">
        <v>1.288</v>
      </c>
      <c r="D1918" s="637">
        <f t="shared" si="66"/>
        <v>2.5961250000000002</v>
      </c>
      <c r="E1918" s="637">
        <f t="shared" si="67"/>
        <v>5.1117500000000016</v>
      </c>
    </row>
    <row r="1919" spans="1:5">
      <c r="A1919">
        <v>32113</v>
      </c>
      <c r="B1919">
        <v>1900</v>
      </c>
      <c r="C1919" s="455">
        <v>10.42</v>
      </c>
      <c r="D1919" s="637">
        <f t="shared" si="66"/>
        <v>21.002812499999997</v>
      </c>
      <c r="E1919" s="637">
        <f t="shared" si="67"/>
        <v>41.354375000000005</v>
      </c>
    </row>
    <row r="1920" spans="1:5">
      <c r="A1920">
        <v>32113</v>
      </c>
      <c r="B1920">
        <v>2000</v>
      </c>
      <c r="C1920" s="455">
        <v>7.5579999999999998</v>
      </c>
      <c r="D1920" s="637">
        <f t="shared" si="66"/>
        <v>15.234093750000001</v>
      </c>
      <c r="E1920" s="637">
        <f t="shared" si="67"/>
        <v>29.99581250000001</v>
      </c>
    </row>
    <row r="1921" spans="1:5">
      <c r="A1921">
        <v>32113</v>
      </c>
      <c r="B1921">
        <v>2100</v>
      </c>
      <c r="C1921" s="455">
        <v>7.569</v>
      </c>
      <c r="D1921" s="637">
        <f t="shared" si="66"/>
        <v>15.256265625000001</v>
      </c>
      <c r="E1921" s="637">
        <f t="shared" si="67"/>
        <v>30.039468750000008</v>
      </c>
    </row>
    <row r="1922" spans="1:5">
      <c r="A1922">
        <v>32113</v>
      </c>
      <c r="B1922">
        <v>2200</v>
      </c>
      <c r="C1922" s="455">
        <v>7.63</v>
      </c>
      <c r="D1922" s="637">
        <f t="shared" si="66"/>
        <v>15.379218750000001</v>
      </c>
      <c r="E1922" s="637">
        <f t="shared" si="67"/>
        <v>30.28156250000001</v>
      </c>
    </row>
    <row r="1923" spans="1:5">
      <c r="A1923">
        <v>32113</v>
      </c>
      <c r="B1923">
        <v>2300</v>
      </c>
      <c r="C1923" s="455">
        <v>7.5869999999999997</v>
      </c>
      <c r="D1923" s="637">
        <f t="shared" si="66"/>
        <v>15.292546874999999</v>
      </c>
      <c r="E1923" s="637">
        <f t="shared" si="67"/>
        <v>30.110906250000006</v>
      </c>
    </row>
    <row r="1924" spans="1:5">
      <c r="A1924">
        <v>32113</v>
      </c>
      <c r="B1924">
        <v>2400</v>
      </c>
      <c r="C1924" s="455">
        <v>7.7130000000000001</v>
      </c>
      <c r="D1924" s="637">
        <f t="shared" si="66"/>
        <v>15.546515625000001</v>
      </c>
      <c r="E1924" s="637">
        <f t="shared" si="67"/>
        <v>30.610968750000008</v>
      </c>
    </row>
    <row r="1925" spans="1:5">
      <c r="A1925">
        <v>32213</v>
      </c>
      <c r="B1925">
        <v>100</v>
      </c>
      <c r="C1925" s="455">
        <v>7.7229999999999999</v>
      </c>
      <c r="D1925" s="637">
        <f t="shared" si="66"/>
        <v>15.566671875000001</v>
      </c>
      <c r="E1925" s="637">
        <f t="shared" si="67"/>
        <v>30.650656250000008</v>
      </c>
    </row>
    <row r="1926" spans="1:5">
      <c r="A1926">
        <v>32213</v>
      </c>
      <c r="B1926">
        <v>200</v>
      </c>
      <c r="C1926" s="455">
        <v>7.9569999999999999</v>
      </c>
      <c r="D1926" s="637">
        <f t="shared" si="66"/>
        <v>16.038328125</v>
      </c>
      <c r="E1926" s="637">
        <f t="shared" si="67"/>
        <v>31.57934375000001</v>
      </c>
    </row>
    <row r="1927" spans="1:5">
      <c r="A1927">
        <v>32213</v>
      </c>
      <c r="B1927">
        <v>300</v>
      </c>
      <c r="C1927" s="455">
        <v>7.9279999999999999</v>
      </c>
      <c r="D1927" s="637">
        <f t="shared" si="66"/>
        <v>15.979874999999998</v>
      </c>
      <c r="E1927" s="637">
        <f t="shared" si="67"/>
        <v>31.464250000000003</v>
      </c>
    </row>
    <row r="1928" spans="1:5">
      <c r="A1928">
        <v>32213</v>
      </c>
      <c r="B1928">
        <v>400</v>
      </c>
      <c r="C1928" s="455">
        <v>7.9969999999999999</v>
      </c>
      <c r="D1928" s="637">
        <f t="shared" si="66"/>
        <v>16.118953124999997</v>
      </c>
      <c r="E1928" s="637">
        <f t="shared" si="67"/>
        <v>31.738093750000004</v>
      </c>
    </row>
    <row r="1929" spans="1:5">
      <c r="A1929">
        <v>32213</v>
      </c>
      <c r="B1929">
        <v>500</v>
      </c>
      <c r="C1929" s="455">
        <v>7.9219999999999997</v>
      </c>
      <c r="D1929" s="637">
        <f t="shared" si="66"/>
        <v>15.967781249999998</v>
      </c>
      <c r="E1929" s="637">
        <f t="shared" si="67"/>
        <v>31.440437500000005</v>
      </c>
    </row>
    <row r="1930" spans="1:5">
      <c r="A1930">
        <v>32213</v>
      </c>
      <c r="B1930">
        <v>600</v>
      </c>
      <c r="C1930" s="455">
        <v>7.91</v>
      </c>
      <c r="D1930" s="637">
        <f t="shared" si="66"/>
        <v>15.94359375</v>
      </c>
      <c r="E1930" s="637">
        <f t="shared" si="67"/>
        <v>31.392812500000005</v>
      </c>
    </row>
    <row r="1931" spans="1:5">
      <c r="A1931">
        <v>32213</v>
      </c>
      <c r="B1931">
        <v>700</v>
      </c>
      <c r="C1931" s="455">
        <v>7.4619999999999997</v>
      </c>
      <c r="D1931" s="637">
        <f t="shared" si="66"/>
        <v>15.040593749999999</v>
      </c>
      <c r="E1931" s="637">
        <f t="shared" si="67"/>
        <v>29.614812500000003</v>
      </c>
    </row>
    <row r="1932" spans="1:5">
      <c r="A1932">
        <v>32213</v>
      </c>
      <c r="B1932">
        <v>800</v>
      </c>
      <c r="C1932" s="455">
        <v>0.01</v>
      </c>
      <c r="D1932" s="637">
        <f t="shared" si="66"/>
        <v>2.0156250000000001E-2</v>
      </c>
      <c r="E1932" s="637">
        <f t="shared" si="67"/>
        <v>3.9687500000000007E-2</v>
      </c>
    </row>
    <row r="1933" spans="1:5">
      <c r="A1933">
        <v>32213</v>
      </c>
      <c r="B1933">
        <v>900</v>
      </c>
      <c r="C1933" s="455">
        <v>1E-3</v>
      </c>
      <c r="D1933" s="637">
        <f t="shared" si="66"/>
        <v>2.0156250000000001E-3</v>
      </c>
      <c r="E1933" s="637">
        <f t="shared" si="67"/>
        <v>3.9687500000000009E-3</v>
      </c>
    </row>
    <row r="1934" spans="1:5">
      <c r="A1934">
        <v>32213</v>
      </c>
      <c r="B1934">
        <v>1000</v>
      </c>
      <c r="C1934" s="455">
        <v>0</v>
      </c>
      <c r="D1934" s="637">
        <f t="shared" ref="D1934:D1997" si="68">(C1934/(MAX($C$1421:$C$2164)))*$W$7</f>
        <v>0</v>
      </c>
      <c r="E1934" s="637">
        <f t="shared" ref="E1934:E1997" si="69">(C1934/(MAX($C$1421:$C$2164)))*$P$7</f>
        <v>0</v>
      </c>
    </row>
    <row r="1935" spans="1:5">
      <c r="A1935">
        <v>32213</v>
      </c>
      <c r="B1935">
        <v>1100</v>
      </c>
      <c r="C1935" s="455">
        <v>0</v>
      </c>
      <c r="D1935" s="637">
        <f t="shared" si="68"/>
        <v>0</v>
      </c>
      <c r="E1935" s="637">
        <f t="shared" si="69"/>
        <v>0</v>
      </c>
    </row>
    <row r="1936" spans="1:5">
      <c r="A1936">
        <v>32213</v>
      </c>
      <c r="B1936">
        <v>1200</v>
      </c>
      <c r="C1936" s="455">
        <v>0</v>
      </c>
      <c r="D1936" s="637">
        <f t="shared" si="68"/>
        <v>0</v>
      </c>
      <c r="E1936" s="637">
        <f t="shared" si="69"/>
        <v>0</v>
      </c>
    </row>
    <row r="1937" spans="1:5">
      <c r="A1937">
        <v>32213</v>
      </c>
      <c r="B1937">
        <v>1300</v>
      </c>
      <c r="C1937" s="455">
        <v>0</v>
      </c>
      <c r="D1937" s="637">
        <f t="shared" si="68"/>
        <v>0</v>
      </c>
      <c r="E1937" s="637">
        <f t="shared" si="69"/>
        <v>0</v>
      </c>
    </row>
    <row r="1938" spans="1:5">
      <c r="A1938">
        <v>32213</v>
      </c>
      <c r="B1938">
        <v>1400</v>
      </c>
      <c r="C1938" s="455">
        <v>0</v>
      </c>
      <c r="D1938" s="637">
        <f t="shared" si="68"/>
        <v>0</v>
      </c>
      <c r="E1938" s="637">
        <f t="shared" si="69"/>
        <v>0</v>
      </c>
    </row>
    <row r="1939" spans="1:5">
      <c r="A1939">
        <v>32213</v>
      </c>
      <c r="B1939">
        <v>1500</v>
      </c>
      <c r="C1939" s="455">
        <v>0.14399999999999999</v>
      </c>
      <c r="D1939" s="637">
        <f t="shared" si="68"/>
        <v>0.29025000000000001</v>
      </c>
      <c r="E1939" s="637">
        <f t="shared" si="69"/>
        <v>0.57150000000000012</v>
      </c>
    </row>
    <row r="1940" spans="1:5">
      <c r="A1940">
        <v>32213</v>
      </c>
      <c r="B1940">
        <v>1600</v>
      </c>
      <c r="C1940" s="455">
        <v>0.216</v>
      </c>
      <c r="D1940" s="637">
        <f t="shared" si="68"/>
        <v>0.43537499999999996</v>
      </c>
      <c r="E1940" s="637">
        <f t="shared" si="69"/>
        <v>0.85725000000000007</v>
      </c>
    </row>
    <row r="1941" spans="1:5">
      <c r="A1941">
        <v>32213</v>
      </c>
      <c r="B1941">
        <v>1700</v>
      </c>
      <c r="C1941" s="455">
        <v>7.1999999999999995E-2</v>
      </c>
      <c r="D1941" s="637">
        <f t="shared" si="68"/>
        <v>0.145125</v>
      </c>
      <c r="E1941" s="637">
        <f t="shared" si="69"/>
        <v>0.28575000000000006</v>
      </c>
    </row>
    <row r="1942" spans="1:5">
      <c r="A1942">
        <v>32213</v>
      </c>
      <c r="B1942">
        <v>1800</v>
      </c>
      <c r="C1942" s="455">
        <v>3.2000000000000001E-2</v>
      </c>
      <c r="D1942" s="637">
        <f t="shared" si="68"/>
        <v>6.4500000000000002E-2</v>
      </c>
      <c r="E1942" s="637">
        <f t="shared" si="69"/>
        <v>0.12700000000000003</v>
      </c>
    </row>
    <row r="1943" spans="1:5">
      <c r="A1943">
        <v>32213</v>
      </c>
      <c r="B1943">
        <v>1900</v>
      </c>
      <c r="C1943" s="455">
        <v>8.9120000000000008</v>
      </c>
      <c r="D1943" s="637">
        <f t="shared" si="68"/>
        <v>17.963250000000002</v>
      </c>
      <c r="E1943" s="637">
        <f t="shared" si="69"/>
        <v>35.369500000000016</v>
      </c>
    </row>
    <row r="1944" spans="1:5">
      <c r="A1944">
        <v>32213</v>
      </c>
      <c r="B1944">
        <v>2000</v>
      </c>
      <c r="C1944" s="455">
        <v>7.4939999999999998</v>
      </c>
      <c r="D1944" s="637">
        <f t="shared" si="68"/>
        <v>15.10509375</v>
      </c>
      <c r="E1944" s="637">
        <f t="shared" si="69"/>
        <v>29.741812500000009</v>
      </c>
    </row>
    <row r="1945" spans="1:5">
      <c r="A1945">
        <v>32213</v>
      </c>
      <c r="B1945">
        <v>2100</v>
      </c>
      <c r="C1945" s="455">
        <v>7.6459999999999999</v>
      </c>
      <c r="D1945" s="637">
        <f t="shared" si="68"/>
        <v>15.411468750000001</v>
      </c>
      <c r="E1945" s="637">
        <f t="shared" si="69"/>
        <v>30.345062500000008</v>
      </c>
    </row>
    <row r="1946" spans="1:5">
      <c r="A1946">
        <v>32213</v>
      </c>
      <c r="B1946">
        <v>2200</v>
      </c>
      <c r="C1946" s="455">
        <v>7.5010000000000003</v>
      </c>
      <c r="D1946" s="637">
        <f t="shared" si="68"/>
        <v>15.119203125</v>
      </c>
      <c r="E1946" s="637">
        <f t="shared" si="69"/>
        <v>29.769593750000006</v>
      </c>
    </row>
    <row r="1947" spans="1:5">
      <c r="A1947">
        <v>32213</v>
      </c>
      <c r="B1947">
        <v>2300</v>
      </c>
      <c r="C1947" s="455">
        <v>7.7229999999999999</v>
      </c>
      <c r="D1947" s="637">
        <f t="shared" si="68"/>
        <v>15.566671875000001</v>
      </c>
      <c r="E1947" s="637">
        <f t="shared" si="69"/>
        <v>30.650656250000008</v>
      </c>
    </row>
    <row r="1948" spans="1:5">
      <c r="A1948">
        <v>32213</v>
      </c>
      <c r="B1948">
        <v>2400</v>
      </c>
      <c r="C1948" s="455">
        <v>7.6420000000000003</v>
      </c>
      <c r="D1948" s="637">
        <f t="shared" si="68"/>
        <v>15.403406250000002</v>
      </c>
      <c r="E1948" s="637">
        <f t="shared" si="69"/>
        <v>30.32918750000001</v>
      </c>
    </row>
    <row r="1949" spans="1:5">
      <c r="A1949">
        <v>32313</v>
      </c>
      <c r="B1949">
        <v>100</v>
      </c>
      <c r="C1949" s="455">
        <v>7.577</v>
      </c>
      <c r="D1949" s="637">
        <f t="shared" si="68"/>
        <v>15.272390625</v>
      </c>
      <c r="E1949" s="637">
        <f t="shared" si="69"/>
        <v>30.071218750000007</v>
      </c>
    </row>
    <row r="1950" spans="1:5">
      <c r="A1950">
        <v>32313</v>
      </c>
      <c r="B1950">
        <v>200</v>
      </c>
      <c r="C1950" s="455">
        <v>7.8</v>
      </c>
      <c r="D1950" s="637">
        <f t="shared" si="68"/>
        <v>15.721875000000001</v>
      </c>
      <c r="E1950" s="637">
        <f t="shared" si="69"/>
        <v>30.956250000000008</v>
      </c>
    </row>
    <row r="1951" spans="1:5">
      <c r="A1951">
        <v>32313</v>
      </c>
      <c r="B1951">
        <v>300</v>
      </c>
      <c r="C1951" s="455">
        <v>7.89</v>
      </c>
      <c r="D1951" s="637">
        <f t="shared" si="68"/>
        <v>15.903281250000001</v>
      </c>
      <c r="E1951" s="637">
        <f t="shared" si="69"/>
        <v>31.313437500000006</v>
      </c>
    </row>
    <row r="1952" spans="1:5">
      <c r="A1952">
        <v>32313</v>
      </c>
      <c r="B1952">
        <v>400</v>
      </c>
      <c r="C1952" s="455">
        <v>7.9429999999999996</v>
      </c>
      <c r="D1952" s="637">
        <f t="shared" si="68"/>
        <v>16.010109374999999</v>
      </c>
      <c r="E1952" s="637">
        <f t="shared" si="69"/>
        <v>31.523781250000003</v>
      </c>
    </row>
    <row r="1953" spans="1:5">
      <c r="A1953">
        <v>32313</v>
      </c>
      <c r="B1953">
        <v>500</v>
      </c>
      <c r="C1953" s="455">
        <v>7.5789999999999997</v>
      </c>
      <c r="D1953" s="637">
        <f t="shared" si="68"/>
        <v>15.276421875</v>
      </c>
      <c r="E1953" s="637">
        <f t="shared" si="69"/>
        <v>30.079156250000008</v>
      </c>
    </row>
    <row r="1954" spans="1:5">
      <c r="A1954">
        <v>32313</v>
      </c>
      <c r="B1954">
        <v>600</v>
      </c>
      <c r="C1954" s="455">
        <v>7.6470000000000002</v>
      </c>
      <c r="D1954" s="637">
        <f t="shared" si="68"/>
        <v>15.413484375000001</v>
      </c>
      <c r="E1954" s="637">
        <f t="shared" si="69"/>
        <v>30.349031250000007</v>
      </c>
    </row>
    <row r="1955" spans="1:5">
      <c r="A1955">
        <v>32313</v>
      </c>
      <c r="B1955">
        <v>700</v>
      </c>
      <c r="C1955" s="455">
        <v>4.6360000000000001</v>
      </c>
      <c r="D1955" s="637">
        <f t="shared" si="68"/>
        <v>9.3444374999999997</v>
      </c>
      <c r="E1955" s="637">
        <f t="shared" si="69"/>
        <v>18.399125000000005</v>
      </c>
    </row>
    <row r="1956" spans="1:5">
      <c r="A1956">
        <v>32313</v>
      </c>
      <c r="B1956">
        <v>800</v>
      </c>
      <c r="C1956" s="455">
        <v>1E-3</v>
      </c>
      <c r="D1956" s="637">
        <f t="shared" si="68"/>
        <v>2.0156250000000001E-3</v>
      </c>
      <c r="E1956" s="637">
        <f t="shared" si="69"/>
        <v>3.9687500000000009E-3</v>
      </c>
    </row>
    <row r="1957" spans="1:5">
      <c r="A1957">
        <v>32313</v>
      </c>
      <c r="B1957">
        <v>900</v>
      </c>
      <c r="C1957" s="455">
        <v>0</v>
      </c>
      <c r="D1957" s="637">
        <f t="shared" si="68"/>
        <v>0</v>
      </c>
      <c r="E1957" s="637">
        <f t="shared" si="69"/>
        <v>0</v>
      </c>
    </row>
    <row r="1958" spans="1:5">
      <c r="A1958">
        <v>32313</v>
      </c>
      <c r="B1958">
        <v>1000</v>
      </c>
      <c r="C1958" s="455">
        <v>0</v>
      </c>
      <c r="D1958" s="637">
        <f t="shared" si="68"/>
        <v>0</v>
      </c>
      <c r="E1958" s="637">
        <f t="shared" si="69"/>
        <v>0</v>
      </c>
    </row>
    <row r="1959" spans="1:5">
      <c r="A1959">
        <v>32313</v>
      </c>
      <c r="B1959">
        <v>1100</v>
      </c>
      <c r="C1959" s="455">
        <v>0</v>
      </c>
      <c r="D1959" s="637">
        <f t="shared" si="68"/>
        <v>0</v>
      </c>
      <c r="E1959" s="637">
        <f t="shared" si="69"/>
        <v>0</v>
      </c>
    </row>
    <row r="1960" spans="1:5">
      <c r="A1960">
        <v>32313</v>
      </c>
      <c r="B1960">
        <v>1200</v>
      </c>
      <c r="C1960" s="455">
        <v>0</v>
      </c>
      <c r="D1960" s="637">
        <f t="shared" si="68"/>
        <v>0</v>
      </c>
      <c r="E1960" s="637">
        <f t="shared" si="69"/>
        <v>0</v>
      </c>
    </row>
    <row r="1961" spans="1:5">
      <c r="A1961">
        <v>32313</v>
      </c>
      <c r="B1961">
        <v>1300</v>
      </c>
      <c r="C1961" s="455">
        <v>0</v>
      </c>
      <c r="D1961" s="637">
        <f t="shared" si="68"/>
        <v>0</v>
      </c>
      <c r="E1961" s="637">
        <f t="shared" si="69"/>
        <v>0</v>
      </c>
    </row>
    <row r="1962" spans="1:5">
      <c r="A1962">
        <v>32313</v>
      </c>
      <c r="B1962">
        <v>1400</v>
      </c>
      <c r="C1962" s="455">
        <v>0</v>
      </c>
      <c r="D1962" s="637">
        <f t="shared" si="68"/>
        <v>0</v>
      </c>
      <c r="E1962" s="637">
        <f t="shared" si="69"/>
        <v>0</v>
      </c>
    </row>
    <row r="1963" spans="1:5">
      <c r="A1963">
        <v>32313</v>
      </c>
      <c r="B1963">
        <v>1500</v>
      </c>
      <c r="C1963" s="455">
        <v>0</v>
      </c>
      <c r="D1963" s="637">
        <f t="shared" si="68"/>
        <v>0</v>
      </c>
      <c r="E1963" s="637">
        <f t="shared" si="69"/>
        <v>0</v>
      </c>
    </row>
    <row r="1964" spans="1:5">
      <c r="A1964">
        <v>32313</v>
      </c>
      <c r="B1964">
        <v>1600</v>
      </c>
      <c r="C1964" s="455">
        <v>0</v>
      </c>
      <c r="D1964" s="637">
        <f t="shared" si="68"/>
        <v>0</v>
      </c>
      <c r="E1964" s="637">
        <f t="shared" si="69"/>
        <v>0</v>
      </c>
    </row>
    <row r="1965" spans="1:5">
      <c r="A1965">
        <v>32313</v>
      </c>
      <c r="B1965">
        <v>1700</v>
      </c>
      <c r="C1965" s="455">
        <v>0</v>
      </c>
      <c r="D1965" s="637">
        <f t="shared" si="68"/>
        <v>0</v>
      </c>
      <c r="E1965" s="637">
        <f t="shared" si="69"/>
        <v>0</v>
      </c>
    </row>
    <row r="1966" spans="1:5">
      <c r="A1966">
        <v>32313</v>
      </c>
      <c r="B1966">
        <v>1800</v>
      </c>
      <c r="C1966" s="455">
        <v>0</v>
      </c>
      <c r="D1966" s="637">
        <f t="shared" si="68"/>
        <v>0</v>
      </c>
      <c r="E1966" s="637">
        <f t="shared" si="69"/>
        <v>0</v>
      </c>
    </row>
    <row r="1967" spans="1:5">
      <c r="A1967">
        <v>32313</v>
      </c>
      <c r="B1967">
        <v>1900</v>
      </c>
      <c r="C1967" s="455">
        <v>5.56</v>
      </c>
      <c r="D1967" s="637">
        <f t="shared" si="68"/>
        <v>11.206875</v>
      </c>
      <c r="E1967" s="637">
        <f t="shared" si="69"/>
        <v>22.066250000000004</v>
      </c>
    </row>
    <row r="1968" spans="1:5">
      <c r="A1968">
        <v>32313</v>
      </c>
      <c r="B1968">
        <v>2000</v>
      </c>
      <c r="C1968" s="455">
        <v>7.66</v>
      </c>
      <c r="D1968" s="637">
        <f t="shared" si="68"/>
        <v>15.4396875</v>
      </c>
      <c r="E1968" s="637">
        <f t="shared" si="69"/>
        <v>30.400625000000009</v>
      </c>
    </row>
    <row r="1969" spans="1:5">
      <c r="A1969">
        <v>32313</v>
      </c>
      <c r="B1969">
        <v>2100</v>
      </c>
      <c r="C1969" s="455">
        <v>7.5579999999999998</v>
      </c>
      <c r="D1969" s="637">
        <f t="shared" si="68"/>
        <v>15.234093750000001</v>
      </c>
      <c r="E1969" s="637">
        <f t="shared" si="69"/>
        <v>29.99581250000001</v>
      </c>
    </row>
    <row r="1970" spans="1:5">
      <c r="A1970">
        <v>32313</v>
      </c>
      <c r="B1970">
        <v>2200</v>
      </c>
      <c r="C1970" s="455">
        <v>7.4160000000000004</v>
      </c>
      <c r="D1970" s="637">
        <f t="shared" si="68"/>
        <v>14.947875</v>
      </c>
      <c r="E1970" s="637">
        <f t="shared" si="69"/>
        <v>29.432250000000007</v>
      </c>
    </row>
    <row r="1971" spans="1:5">
      <c r="A1971">
        <v>32313</v>
      </c>
      <c r="B1971">
        <v>2300</v>
      </c>
      <c r="C1971" s="455">
        <v>7.7169999999999996</v>
      </c>
      <c r="D1971" s="637">
        <f t="shared" si="68"/>
        <v>15.554578125000001</v>
      </c>
      <c r="E1971" s="637">
        <f t="shared" si="69"/>
        <v>30.62684375000001</v>
      </c>
    </row>
    <row r="1972" spans="1:5">
      <c r="A1972">
        <v>32313</v>
      </c>
      <c r="B1972">
        <v>2400</v>
      </c>
      <c r="C1972" s="455">
        <v>7.8120000000000003</v>
      </c>
      <c r="D1972" s="637">
        <f t="shared" si="68"/>
        <v>15.746062500000001</v>
      </c>
      <c r="E1972" s="637">
        <f t="shared" si="69"/>
        <v>31.003875000000008</v>
      </c>
    </row>
    <row r="1973" spans="1:5">
      <c r="A1973">
        <v>32413</v>
      </c>
      <c r="B1973">
        <v>100</v>
      </c>
      <c r="C1973" s="455">
        <v>7.57</v>
      </c>
      <c r="D1973" s="637">
        <f t="shared" si="68"/>
        <v>15.25828125</v>
      </c>
      <c r="E1973" s="637">
        <f t="shared" si="69"/>
        <v>30.043437500000007</v>
      </c>
    </row>
    <row r="1974" spans="1:5">
      <c r="A1974">
        <v>32413</v>
      </c>
      <c r="B1974">
        <v>200</v>
      </c>
      <c r="C1974" s="455">
        <v>7.8609999999999998</v>
      </c>
      <c r="D1974" s="637">
        <f t="shared" si="68"/>
        <v>15.844828124999998</v>
      </c>
      <c r="E1974" s="637">
        <f t="shared" si="69"/>
        <v>31.198343750000003</v>
      </c>
    </row>
    <row r="1975" spans="1:5">
      <c r="A1975">
        <v>32413</v>
      </c>
      <c r="B1975">
        <v>300</v>
      </c>
      <c r="C1975" s="455">
        <v>7.8070000000000004</v>
      </c>
      <c r="D1975" s="637">
        <f t="shared" si="68"/>
        <v>15.735984375000001</v>
      </c>
      <c r="E1975" s="637">
        <f t="shared" si="69"/>
        <v>30.984031250000008</v>
      </c>
    </row>
    <row r="1976" spans="1:5">
      <c r="A1976">
        <v>32413</v>
      </c>
      <c r="B1976">
        <v>400</v>
      </c>
      <c r="C1976" s="455">
        <v>7.5739999999999998</v>
      </c>
      <c r="D1976" s="637">
        <f t="shared" si="68"/>
        <v>15.266343750000001</v>
      </c>
      <c r="E1976" s="637">
        <f t="shared" si="69"/>
        <v>30.059312500000008</v>
      </c>
    </row>
    <row r="1977" spans="1:5">
      <c r="A1977">
        <v>32413</v>
      </c>
      <c r="B1977">
        <v>500</v>
      </c>
      <c r="C1977" s="455">
        <v>8.093</v>
      </c>
      <c r="D1977" s="637">
        <f t="shared" si="68"/>
        <v>16.312453125000001</v>
      </c>
      <c r="E1977" s="637">
        <f t="shared" si="69"/>
        <v>32.119093750000012</v>
      </c>
    </row>
    <row r="1978" spans="1:5">
      <c r="A1978">
        <v>32413</v>
      </c>
      <c r="B1978">
        <v>600</v>
      </c>
      <c r="C1978" s="455">
        <v>8.0860000000000003</v>
      </c>
      <c r="D1978" s="637">
        <f t="shared" si="68"/>
        <v>16.298343750000001</v>
      </c>
      <c r="E1978" s="637">
        <f t="shared" si="69"/>
        <v>32.091312500000008</v>
      </c>
    </row>
    <row r="1979" spans="1:5">
      <c r="A1979">
        <v>32413</v>
      </c>
      <c r="B1979">
        <v>700</v>
      </c>
      <c r="C1979" s="455">
        <v>4.26</v>
      </c>
      <c r="D1979" s="637">
        <f t="shared" si="68"/>
        <v>8.5865624999999994</v>
      </c>
      <c r="E1979" s="637">
        <f t="shared" si="69"/>
        <v>16.906875000000003</v>
      </c>
    </row>
    <row r="1980" spans="1:5">
      <c r="A1980">
        <v>32413</v>
      </c>
      <c r="B1980">
        <v>800</v>
      </c>
      <c r="C1980" s="455">
        <v>0</v>
      </c>
      <c r="D1980" s="637">
        <f t="shared" si="68"/>
        <v>0</v>
      </c>
      <c r="E1980" s="637">
        <f t="shared" si="69"/>
        <v>0</v>
      </c>
    </row>
    <row r="1981" spans="1:5">
      <c r="A1981">
        <v>32413</v>
      </c>
      <c r="B1981">
        <v>900</v>
      </c>
      <c r="C1981" s="455">
        <v>0</v>
      </c>
      <c r="D1981" s="637">
        <f t="shared" si="68"/>
        <v>0</v>
      </c>
      <c r="E1981" s="637">
        <f t="shared" si="69"/>
        <v>0</v>
      </c>
    </row>
    <row r="1982" spans="1:5">
      <c r="A1982">
        <v>32413</v>
      </c>
      <c r="B1982">
        <v>1000</v>
      </c>
      <c r="C1982" s="455">
        <v>0</v>
      </c>
      <c r="D1982" s="637">
        <f t="shared" si="68"/>
        <v>0</v>
      </c>
      <c r="E1982" s="637">
        <f t="shared" si="69"/>
        <v>0</v>
      </c>
    </row>
    <row r="1983" spans="1:5">
      <c r="A1983">
        <v>32413</v>
      </c>
      <c r="B1983">
        <v>1100</v>
      </c>
      <c r="C1983" s="455">
        <v>0</v>
      </c>
      <c r="D1983" s="637">
        <f t="shared" si="68"/>
        <v>0</v>
      </c>
      <c r="E1983" s="637">
        <f t="shared" si="69"/>
        <v>0</v>
      </c>
    </row>
    <row r="1984" spans="1:5">
      <c r="A1984">
        <v>32413</v>
      </c>
      <c r="B1984">
        <v>1200</v>
      </c>
      <c r="C1984" s="455">
        <v>0</v>
      </c>
      <c r="D1984" s="637">
        <f t="shared" si="68"/>
        <v>0</v>
      </c>
      <c r="E1984" s="637">
        <f t="shared" si="69"/>
        <v>0</v>
      </c>
    </row>
    <row r="1985" spans="1:5">
      <c r="A1985">
        <v>32413</v>
      </c>
      <c r="B1985">
        <v>1300</v>
      </c>
      <c r="C1985" s="455">
        <v>7.1999999999999995E-2</v>
      </c>
      <c r="D1985" s="637">
        <f t="shared" si="68"/>
        <v>0.145125</v>
      </c>
      <c r="E1985" s="637">
        <f t="shared" si="69"/>
        <v>0.28575000000000006</v>
      </c>
    </row>
    <row r="1986" spans="1:5">
      <c r="A1986">
        <v>32413</v>
      </c>
      <c r="B1986">
        <v>1400</v>
      </c>
      <c r="C1986" s="455">
        <v>0</v>
      </c>
      <c r="D1986" s="637">
        <f t="shared" si="68"/>
        <v>0</v>
      </c>
      <c r="E1986" s="637">
        <f t="shared" si="69"/>
        <v>0</v>
      </c>
    </row>
    <row r="1987" spans="1:5">
      <c r="A1987">
        <v>32413</v>
      </c>
      <c r="B1987">
        <v>1500</v>
      </c>
      <c r="C1987" s="455">
        <v>0</v>
      </c>
      <c r="D1987" s="637">
        <f t="shared" si="68"/>
        <v>0</v>
      </c>
      <c r="E1987" s="637">
        <f t="shared" si="69"/>
        <v>0</v>
      </c>
    </row>
    <row r="1988" spans="1:5">
      <c r="A1988">
        <v>32413</v>
      </c>
      <c r="B1988">
        <v>1600</v>
      </c>
      <c r="C1988" s="455">
        <v>0</v>
      </c>
      <c r="D1988" s="637">
        <f t="shared" si="68"/>
        <v>0</v>
      </c>
      <c r="E1988" s="637">
        <f t="shared" si="69"/>
        <v>0</v>
      </c>
    </row>
    <row r="1989" spans="1:5">
      <c r="A1989">
        <v>32413</v>
      </c>
      <c r="B1989">
        <v>1700</v>
      </c>
      <c r="C1989" s="455">
        <v>0</v>
      </c>
      <c r="D1989" s="637">
        <f t="shared" si="68"/>
        <v>0</v>
      </c>
      <c r="E1989" s="637">
        <f t="shared" si="69"/>
        <v>0</v>
      </c>
    </row>
    <row r="1990" spans="1:5">
      <c r="A1990">
        <v>32413</v>
      </c>
      <c r="B1990">
        <v>1800</v>
      </c>
      <c r="C1990" s="455">
        <v>0</v>
      </c>
      <c r="D1990" s="637">
        <f t="shared" si="68"/>
        <v>0</v>
      </c>
      <c r="E1990" s="637">
        <f t="shared" si="69"/>
        <v>0</v>
      </c>
    </row>
    <row r="1991" spans="1:5">
      <c r="A1991">
        <v>32413</v>
      </c>
      <c r="B1991">
        <v>1900</v>
      </c>
      <c r="C1991" s="455">
        <v>7.3860000000000001</v>
      </c>
      <c r="D1991" s="637">
        <f t="shared" si="68"/>
        <v>14.887406250000002</v>
      </c>
      <c r="E1991" s="637">
        <f t="shared" si="69"/>
        <v>29.313187500000009</v>
      </c>
    </row>
    <row r="1992" spans="1:5">
      <c r="A1992">
        <v>32413</v>
      </c>
      <c r="B1992">
        <v>2000</v>
      </c>
      <c r="C1992" s="455">
        <v>7.5640000000000001</v>
      </c>
      <c r="D1992" s="637">
        <f t="shared" si="68"/>
        <v>15.246187500000001</v>
      </c>
      <c r="E1992" s="637">
        <f t="shared" si="69"/>
        <v>30.019625000000008</v>
      </c>
    </row>
    <row r="1993" spans="1:5">
      <c r="A1993">
        <v>32413</v>
      </c>
      <c r="B1993">
        <v>2100</v>
      </c>
      <c r="C1993" s="455">
        <v>7.5</v>
      </c>
      <c r="D1993" s="637">
        <f t="shared" si="68"/>
        <v>15.1171875</v>
      </c>
      <c r="E1993" s="637">
        <f t="shared" si="69"/>
        <v>29.765625000000007</v>
      </c>
    </row>
    <row r="1994" spans="1:5">
      <c r="A1994">
        <v>32413</v>
      </c>
      <c r="B1994">
        <v>2200</v>
      </c>
      <c r="C1994" s="455">
        <v>7.734</v>
      </c>
      <c r="D1994" s="637">
        <f t="shared" si="68"/>
        <v>15.588843750000001</v>
      </c>
      <c r="E1994" s="637">
        <f t="shared" si="69"/>
        <v>30.694312500000006</v>
      </c>
    </row>
    <row r="1995" spans="1:5">
      <c r="A1995">
        <v>32413</v>
      </c>
      <c r="B1995">
        <v>2300</v>
      </c>
      <c r="C1995" s="455">
        <v>7.5709999999999997</v>
      </c>
      <c r="D1995" s="637">
        <f t="shared" si="68"/>
        <v>15.260296875</v>
      </c>
      <c r="E1995" s="637">
        <f t="shared" si="69"/>
        <v>30.047406250000009</v>
      </c>
    </row>
    <row r="1996" spans="1:5">
      <c r="A1996">
        <v>32413</v>
      </c>
      <c r="B1996">
        <v>2400</v>
      </c>
      <c r="C1996" s="455">
        <v>7.6470000000000002</v>
      </c>
      <c r="D1996" s="637">
        <f t="shared" si="68"/>
        <v>15.413484375000001</v>
      </c>
      <c r="E1996" s="637">
        <f t="shared" si="69"/>
        <v>30.349031250000007</v>
      </c>
    </row>
    <row r="1997" spans="1:5">
      <c r="A1997">
        <v>32513</v>
      </c>
      <c r="B1997">
        <v>100</v>
      </c>
      <c r="C1997" s="455">
        <v>7.8159999999999998</v>
      </c>
      <c r="D1997" s="637">
        <f t="shared" si="68"/>
        <v>15.754125</v>
      </c>
      <c r="E1997" s="637">
        <f t="shared" si="69"/>
        <v>31.019750000000009</v>
      </c>
    </row>
    <row r="1998" spans="1:5">
      <c r="A1998">
        <v>32513</v>
      </c>
      <c r="B1998">
        <v>200</v>
      </c>
      <c r="C1998" s="455">
        <v>7.57</v>
      </c>
      <c r="D1998" s="637">
        <f t="shared" ref="D1998:D2061" si="70">(C1998/(MAX($C$1421:$C$2164)))*$W$7</f>
        <v>15.25828125</v>
      </c>
      <c r="E1998" s="637">
        <f t="shared" ref="E1998:E2061" si="71">(C1998/(MAX($C$1421:$C$2164)))*$P$7</f>
        <v>30.043437500000007</v>
      </c>
    </row>
    <row r="1999" spans="1:5">
      <c r="A1999">
        <v>32513</v>
      </c>
      <c r="B1999">
        <v>300</v>
      </c>
      <c r="C1999" s="455">
        <v>7.7110000000000003</v>
      </c>
      <c r="D1999" s="637">
        <f t="shared" si="70"/>
        <v>15.542484375000001</v>
      </c>
      <c r="E1999" s="637">
        <f t="shared" si="71"/>
        <v>30.603031250000008</v>
      </c>
    </row>
    <row r="2000" spans="1:5">
      <c r="A2000">
        <v>32513</v>
      </c>
      <c r="B2000">
        <v>400</v>
      </c>
      <c r="C2000" s="455">
        <v>7.6360000000000001</v>
      </c>
      <c r="D2000" s="637">
        <f t="shared" si="70"/>
        <v>15.391312500000002</v>
      </c>
      <c r="E2000" s="637">
        <f t="shared" si="71"/>
        <v>30.305375000000009</v>
      </c>
    </row>
    <row r="2001" spans="1:5">
      <c r="A2001">
        <v>32513</v>
      </c>
      <c r="B2001">
        <v>500</v>
      </c>
      <c r="C2001" s="455">
        <v>7.5549999999999997</v>
      </c>
      <c r="D2001" s="637">
        <f t="shared" si="70"/>
        <v>15.228046875</v>
      </c>
      <c r="E2001" s="637">
        <f t="shared" si="71"/>
        <v>29.983906250000008</v>
      </c>
    </row>
    <row r="2002" spans="1:5">
      <c r="A2002">
        <v>32513</v>
      </c>
      <c r="B2002">
        <v>600</v>
      </c>
      <c r="C2002" s="455">
        <v>7.5819999999999999</v>
      </c>
      <c r="D2002" s="637">
        <f t="shared" si="70"/>
        <v>15.28246875</v>
      </c>
      <c r="E2002" s="637">
        <f t="shared" si="71"/>
        <v>30.091062500000007</v>
      </c>
    </row>
    <row r="2003" spans="1:5">
      <c r="A2003">
        <v>32513</v>
      </c>
      <c r="B2003">
        <v>700</v>
      </c>
      <c r="C2003" s="455">
        <v>3.7770000000000001</v>
      </c>
      <c r="D2003" s="637">
        <f t="shared" si="70"/>
        <v>7.613015625000001</v>
      </c>
      <c r="E2003" s="637">
        <f t="shared" si="71"/>
        <v>14.989968750000005</v>
      </c>
    </row>
    <row r="2004" spans="1:5">
      <c r="A2004">
        <v>32513</v>
      </c>
      <c r="B2004">
        <v>800</v>
      </c>
      <c r="C2004" s="455">
        <v>0</v>
      </c>
      <c r="D2004" s="637">
        <f t="shared" si="70"/>
        <v>0</v>
      </c>
      <c r="E2004" s="637">
        <f t="shared" si="71"/>
        <v>0</v>
      </c>
    </row>
    <row r="2005" spans="1:5">
      <c r="A2005">
        <v>32513</v>
      </c>
      <c r="B2005">
        <v>900</v>
      </c>
      <c r="C2005" s="455">
        <v>0</v>
      </c>
      <c r="D2005" s="637">
        <f t="shared" si="70"/>
        <v>0</v>
      </c>
      <c r="E2005" s="637">
        <f t="shared" si="71"/>
        <v>0</v>
      </c>
    </row>
    <row r="2006" spans="1:5">
      <c r="A2006">
        <v>32513</v>
      </c>
      <c r="B2006">
        <v>1000</v>
      </c>
      <c r="C2006" s="455">
        <v>0</v>
      </c>
      <c r="D2006" s="637">
        <f t="shared" si="70"/>
        <v>0</v>
      </c>
      <c r="E2006" s="637">
        <f t="shared" si="71"/>
        <v>0</v>
      </c>
    </row>
    <row r="2007" spans="1:5">
      <c r="A2007">
        <v>32513</v>
      </c>
      <c r="B2007">
        <v>1100</v>
      </c>
      <c r="C2007" s="455">
        <v>0</v>
      </c>
      <c r="D2007" s="637">
        <f t="shared" si="70"/>
        <v>0</v>
      </c>
      <c r="E2007" s="637">
        <f t="shared" si="71"/>
        <v>0</v>
      </c>
    </row>
    <row r="2008" spans="1:5">
      <c r="A2008">
        <v>32513</v>
      </c>
      <c r="B2008">
        <v>1200</v>
      </c>
      <c r="C2008" s="455">
        <v>0</v>
      </c>
      <c r="D2008" s="637">
        <f t="shared" si="70"/>
        <v>0</v>
      </c>
      <c r="E2008" s="637">
        <f t="shared" si="71"/>
        <v>0</v>
      </c>
    </row>
    <row r="2009" spans="1:5">
      <c r="A2009">
        <v>32513</v>
      </c>
      <c r="B2009">
        <v>1300</v>
      </c>
      <c r="C2009" s="455">
        <v>0.28799999999999998</v>
      </c>
      <c r="D2009" s="637">
        <f t="shared" si="70"/>
        <v>0.58050000000000002</v>
      </c>
      <c r="E2009" s="637">
        <f t="shared" si="71"/>
        <v>1.1430000000000002</v>
      </c>
    </row>
    <row r="2010" spans="1:5">
      <c r="A2010">
        <v>32513</v>
      </c>
      <c r="B2010">
        <v>1400</v>
      </c>
      <c r="C2010" s="455">
        <v>0</v>
      </c>
      <c r="D2010" s="637">
        <f t="shared" si="70"/>
        <v>0</v>
      </c>
      <c r="E2010" s="637">
        <f t="shared" si="71"/>
        <v>0</v>
      </c>
    </row>
    <row r="2011" spans="1:5">
      <c r="A2011">
        <v>32513</v>
      </c>
      <c r="B2011">
        <v>1500</v>
      </c>
      <c r="C2011" s="455">
        <v>0</v>
      </c>
      <c r="D2011" s="637">
        <f t="shared" si="70"/>
        <v>0</v>
      </c>
      <c r="E2011" s="637">
        <f t="shared" si="71"/>
        <v>0</v>
      </c>
    </row>
    <row r="2012" spans="1:5">
      <c r="A2012">
        <v>32513</v>
      </c>
      <c r="B2012">
        <v>1600</v>
      </c>
      <c r="C2012" s="455">
        <v>0</v>
      </c>
      <c r="D2012" s="637">
        <f t="shared" si="70"/>
        <v>0</v>
      </c>
      <c r="E2012" s="637">
        <f t="shared" si="71"/>
        <v>0</v>
      </c>
    </row>
    <row r="2013" spans="1:5">
      <c r="A2013">
        <v>32513</v>
      </c>
      <c r="B2013">
        <v>1700</v>
      </c>
      <c r="C2013" s="455">
        <v>0</v>
      </c>
      <c r="D2013" s="637">
        <f t="shared" si="70"/>
        <v>0</v>
      </c>
      <c r="E2013" s="637">
        <f t="shared" si="71"/>
        <v>0</v>
      </c>
    </row>
    <row r="2014" spans="1:5">
      <c r="A2014">
        <v>32513</v>
      </c>
      <c r="B2014">
        <v>1800</v>
      </c>
      <c r="C2014" s="455">
        <v>6.0000000000000001E-3</v>
      </c>
      <c r="D2014" s="637">
        <f t="shared" si="70"/>
        <v>1.209375E-2</v>
      </c>
      <c r="E2014" s="637">
        <f t="shared" si="71"/>
        <v>2.3812500000000004E-2</v>
      </c>
    </row>
    <row r="2015" spans="1:5">
      <c r="A2015">
        <v>32513</v>
      </c>
      <c r="B2015">
        <v>1900</v>
      </c>
      <c r="C2015" s="455">
        <v>7.2240000000000002</v>
      </c>
      <c r="D2015" s="637">
        <f t="shared" si="70"/>
        <v>14.560875000000001</v>
      </c>
      <c r="E2015" s="637">
        <f t="shared" si="71"/>
        <v>28.67025000000001</v>
      </c>
    </row>
    <row r="2016" spans="1:5">
      <c r="A2016">
        <v>32513</v>
      </c>
      <c r="B2016">
        <v>2000</v>
      </c>
      <c r="C2016" s="455">
        <v>7.2709999999999999</v>
      </c>
      <c r="D2016" s="637">
        <f t="shared" si="70"/>
        <v>14.655609374999999</v>
      </c>
      <c r="E2016" s="637">
        <f t="shared" si="71"/>
        <v>28.856781250000008</v>
      </c>
    </row>
    <row r="2017" spans="1:5">
      <c r="A2017">
        <v>32513</v>
      </c>
      <c r="B2017">
        <v>2100</v>
      </c>
      <c r="C2017" s="455">
        <v>7.6550000000000002</v>
      </c>
      <c r="D2017" s="637">
        <f t="shared" si="70"/>
        <v>15.429609375</v>
      </c>
      <c r="E2017" s="637">
        <f t="shared" si="71"/>
        <v>30.380781250000009</v>
      </c>
    </row>
    <row r="2018" spans="1:5">
      <c r="A2018">
        <v>32513</v>
      </c>
      <c r="B2018">
        <v>2200</v>
      </c>
      <c r="C2018" s="455">
        <v>7.556</v>
      </c>
      <c r="D2018" s="637">
        <f t="shared" si="70"/>
        <v>15.230062500000001</v>
      </c>
      <c r="E2018" s="637">
        <f t="shared" si="71"/>
        <v>29.98787500000001</v>
      </c>
    </row>
    <row r="2019" spans="1:5">
      <c r="A2019">
        <v>32513</v>
      </c>
      <c r="B2019">
        <v>2300</v>
      </c>
      <c r="C2019" s="455">
        <v>7.56</v>
      </c>
      <c r="D2019" s="637">
        <f t="shared" si="70"/>
        <v>15.238125</v>
      </c>
      <c r="E2019" s="637">
        <f t="shared" si="71"/>
        <v>30.003750000000007</v>
      </c>
    </row>
    <row r="2020" spans="1:5">
      <c r="A2020">
        <v>32513</v>
      </c>
      <c r="B2020">
        <v>2400</v>
      </c>
      <c r="C2020" s="455">
        <v>7.5540000000000003</v>
      </c>
      <c r="D2020" s="637">
        <f t="shared" si="70"/>
        <v>15.226031250000002</v>
      </c>
      <c r="E2020" s="637">
        <f t="shared" si="71"/>
        <v>29.979937500000009</v>
      </c>
    </row>
    <row r="2021" spans="1:5">
      <c r="A2021">
        <v>32613</v>
      </c>
      <c r="B2021">
        <v>100</v>
      </c>
      <c r="C2021" s="455">
        <v>7.4169999999999998</v>
      </c>
      <c r="D2021" s="637">
        <f t="shared" si="70"/>
        <v>14.949890625</v>
      </c>
      <c r="E2021" s="637">
        <f t="shared" si="71"/>
        <v>29.436218750000009</v>
      </c>
    </row>
    <row r="2022" spans="1:5">
      <c r="A2022">
        <v>32613</v>
      </c>
      <c r="B2022">
        <v>200</v>
      </c>
      <c r="C2022" s="455">
        <v>7.8019999999999996</v>
      </c>
      <c r="D2022" s="637">
        <f t="shared" si="70"/>
        <v>15.725906250000001</v>
      </c>
      <c r="E2022" s="637">
        <f t="shared" si="71"/>
        <v>30.964187500000008</v>
      </c>
    </row>
    <row r="2023" spans="1:5">
      <c r="A2023">
        <v>32613</v>
      </c>
      <c r="B2023">
        <v>300</v>
      </c>
      <c r="C2023" s="455">
        <v>7.7320000000000002</v>
      </c>
      <c r="D2023" s="637">
        <f t="shared" si="70"/>
        <v>15.5848125</v>
      </c>
      <c r="E2023" s="637">
        <f t="shared" si="71"/>
        <v>30.686375000000009</v>
      </c>
    </row>
    <row r="2024" spans="1:5">
      <c r="A2024">
        <v>32613</v>
      </c>
      <c r="B2024">
        <v>400</v>
      </c>
      <c r="C2024" s="455">
        <v>7.6390000000000002</v>
      </c>
      <c r="D2024" s="637">
        <f t="shared" si="70"/>
        <v>15.397359375000001</v>
      </c>
      <c r="E2024" s="637">
        <f t="shared" si="71"/>
        <v>30.317281250000008</v>
      </c>
    </row>
    <row r="2025" spans="1:5">
      <c r="A2025">
        <v>32613</v>
      </c>
      <c r="B2025">
        <v>500</v>
      </c>
      <c r="C2025" s="455">
        <v>7.6520000000000001</v>
      </c>
      <c r="D2025" s="637">
        <f t="shared" si="70"/>
        <v>15.423562500000001</v>
      </c>
      <c r="E2025" s="637">
        <f t="shared" si="71"/>
        <v>30.368875000000006</v>
      </c>
    </row>
    <row r="2026" spans="1:5">
      <c r="A2026">
        <v>32613</v>
      </c>
      <c r="B2026">
        <v>600</v>
      </c>
      <c r="C2026" s="455">
        <v>7.492</v>
      </c>
      <c r="D2026" s="637">
        <f t="shared" si="70"/>
        <v>15.101062500000001</v>
      </c>
      <c r="E2026" s="637">
        <f t="shared" si="71"/>
        <v>29.733875000000008</v>
      </c>
    </row>
    <row r="2027" spans="1:5">
      <c r="A2027">
        <v>32613</v>
      </c>
      <c r="B2027">
        <v>700</v>
      </c>
      <c r="C2027" s="455">
        <v>5.2370000000000001</v>
      </c>
      <c r="D2027" s="637">
        <f t="shared" si="70"/>
        <v>10.555828125</v>
      </c>
      <c r="E2027" s="637">
        <f t="shared" si="71"/>
        <v>20.784343750000005</v>
      </c>
    </row>
    <row r="2028" spans="1:5">
      <c r="A2028">
        <v>32613</v>
      </c>
      <c r="B2028">
        <v>800</v>
      </c>
      <c r="C2028" s="455">
        <v>0</v>
      </c>
      <c r="D2028" s="637">
        <f t="shared" si="70"/>
        <v>0</v>
      </c>
      <c r="E2028" s="637">
        <f t="shared" si="71"/>
        <v>0</v>
      </c>
    </row>
    <row r="2029" spans="1:5">
      <c r="A2029">
        <v>32613</v>
      </c>
      <c r="B2029">
        <v>900</v>
      </c>
      <c r="C2029" s="455">
        <v>0</v>
      </c>
      <c r="D2029" s="637">
        <f t="shared" si="70"/>
        <v>0</v>
      </c>
      <c r="E2029" s="637">
        <f t="shared" si="71"/>
        <v>0</v>
      </c>
    </row>
    <row r="2030" spans="1:5">
      <c r="A2030">
        <v>32613</v>
      </c>
      <c r="B2030">
        <v>1000</v>
      </c>
      <c r="C2030" s="455">
        <v>0</v>
      </c>
      <c r="D2030" s="637">
        <f t="shared" si="70"/>
        <v>0</v>
      </c>
      <c r="E2030" s="637">
        <f t="shared" si="71"/>
        <v>0</v>
      </c>
    </row>
    <row r="2031" spans="1:5">
      <c r="A2031">
        <v>32613</v>
      </c>
      <c r="B2031">
        <v>1100</v>
      </c>
      <c r="C2031" s="455">
        <v>0</v>
      </c>
      <c r="D2031" s="637">
        <f t="shared" si="70"/>
        <v>0</v>
      </c>
      <c r="E2031" s="637">
        <f t="shared" si="71"/>
        <v>0</v>
      </c>
    </row>
    <row r="2032" spans="1:5">
      <c r="A2032">
        <v>32613</v>
      </c>
      <c r="B2032">
        <v>1200</v>
      </c>
      <c r="C2032" s="455">
        <v>0</v>
      </c>
      <c r="D2032" s="637">
        <f t="shared" si="70"/>
        <v>0</v>
      </c>
      <c r="E2032" s="637">
        <f t="shared" si="71"/>
        <v>0</v>
      </c>
    </row>
    <row r="2033" spans="1:5">
      <c r="A2033">
        <v>32613</v>
      </c>
      <c r="B2033">
        <v>1300</v>
      </c>
      <c r="C2033" s="455">
        <v>0</v>
      </c>
      <c r="D2033" s="637">
        <f t="shared" si="70"/>
        <v>0</v>
      </c>
      <c r="E2033" s="637">
        <f t="shared" si="71"/>
        <v>0</v>
      </c>
    </row>
    <row r="2034" spans="1:5">
      <c r="A2034">
        <v>32613</v>
      </c>
      <c r="B2034">
        <v>1400</v>
      </c>
      <c r="C2034" s="455">
        <v>0</v>
      </c>
      <c r="D2034" s="637">
        <f t="shared" si="70"/>
        <v>0</v>
      </c>
      <c r="E2034" s="637">
        <f t="shared" si="71"/>
        <v>0</v>
      </c>
    </row>
    <row r="2035" spans="1:5">
      <c r="A2035">
        <v>32613</v>
      </c>
      <c r="B2035">
        <v>1500</v>
      </c>
      <c r="C2035" s="455">
        <v>0</v>
      </c>
      <c r="D2035" s="637">
        <f t="shared" si="70"/>
        <v>0</v>
      </c>
      <c r="E2035" s="637">
        <f t="shared" si="71"/>
        <v>0</v>
      </c>
    </row>
    <row r="2036" spans="1:5">
      <c r="A2036">
        <v>32613</v>
      </c>
      <c r="B2036">
        <v>1600</v>
      </c>
      <c r="C2036" s="455">
        <v>0</v>
      </c>
      <c r="D2036" s="637">
        <f t="shared" si="70"/>
        <v>0</v>
      </c>
      <c r="E2036" s="637">
        <f t="shared" si="71"/>
        <v>0</v>
      </c>
    </row>
    <row r="2037" spans="1:5">
      <c r="A2037">
        <v>32613</v>
      </c>
      <c r="B2037">
        <v>1700</v>
      </c>
      <c r="C2037" s="455">
        <v>0</v>
      </c>
      <c r="D2037" s="637">
        <f t="shared" si="70"/>
        <v>0</v>
      </c>
      <c r="E2037" s="637">
        <f t="shared" si="71"/>
        <v>0</v>
      </c>
    </row>
    <row r="2038" spans="1:5">
      <c r="A2038">
        <v>32613</v>
      </c>
      <c r="B2038">
        <v>1800</v>
      </c>
      <c r="C2038" s="455">
        <v>0</v>
      </c>
      <c r="D2038" s="637">
        <f t="shared" si="70"/>
        <v>0</v>
      </c>
      <c r="E2038" s="637">
        <f t="shared" si="71"/>
        <v>0</v>
      </c>
    </row>
    <row r="2039" spans="1:5">
      <c r="A2039">
        <v>32613</v>
      </c>
      <c r="B2039">
        <v>1900</v>
      </c>
      <c r="C2039" s="455">
        <v>5.4820000000000002</v>
      </c>
      <c r="D2039" s="637">
        <f t="shared" si="70"/>
        <v>11.049656250000002</v>
      </c>
      <c r="E2039" s="637">
        <f t="shared" si="71"/>
        <v>21.756687500000009</v>
      </c>
    </row>
    <row r="2040" spans="1:5">
      <c r="A2040">
        <v>32613</v>
      </c>
      <c r="B2040">
        <v>2000</v>
      </c>
      <c r="C2040" s="455">
        <v>7.2759999999999998</v>
      </c>
      <c r="D2040" s="637">
        <f t="shared" si="70"/>
        <v>14.665687499999999</v>
      </c>
      <c r="E2040" s="637">
        <f t="shared" si="71"/>
        <v>28.876625000000008</v>
      </c>
    </row>
    <row r="2041" spans="1:5">
      <c r="A2041">
        <v>32613</v>
      </c>
      <c r="B2041">
        <v>2100</v>
      </c>
      <c r="C2041" s="455">
        <v>7.6449999999999996</v>
      </c>
      <c r="D2041" s="637">
        <f t="shared" si="70"/>
        <v>15.409453125000001</v>
      </c>
      <c r="E2041" s="637">
        <f t="shared" si="71"/>
        <v>30.34109375000001</v>
      </c>
    </row>
    <row r="2042" spans="1:5">
      <c r="A2042">
        <v>32613</v>
      </c>
      <c r="B2042">
        <v>2200</v>
      </c>
      <c r="C2042" s="455">
        <v>7.5570000000000004</v>
      </c>
      <c r="D2042" s="637">
        <f t="shared" si="70"/>
        <v>15.232078125000001</v>
      </c>
      <c r="E2042" s="637">
        <f t="shared" si="71"/>
        <v>29.991843750000008</v>
      </c>
    </row>
    <row r="2043" spans="1:5">
      <c r="A2043">
        <v>32613</v>
      </c>
      <c r="B2043">
        <v>2300</v>
      </c>
      <c r="C2043" s="455">
        <v>7.6459999999999999</v>
      </c>
      <c r="D2043" s="637">
        <f t="shared" si="70"/>
        <v>15.411468750000001</v>
      </c>
      <c r="E2043" s="637">
        <f t="shared" si="71"/>
        <v>30.345062500000008</v>
      </c>
    </row>
    <row r="2044" spans="1:5">
      <c r="A2044">
        <v>32613</v>
      </c>
      <c r="B2044">
        <v>2400</v>
      </c>
      <c r="C2044" s="455">
        <v>7.56</v>
      </c>
      <c r="D2044" s="637">
        <f t="shared" si="70"/>
        <v>15.238125</v>
      </c>
      <c r="E2044" s="637">
        <f t="shared" si="71"/>
        <v>30.003750000000007</v>
      </c>
    </row>
    <row r="2045" spans="1:5">
      <c r="A2045">
        <v>32713</v>
      </c>
      <c r="B2045">
        <v>100</v>
      </c>
      <c r="C2045" s="455">
        <v>7.7080000000000002</v>
      </c>
      <c r="D2045" s="637">
        <f t="shared" si="70"/>
        <v>15.536437500000002</v>
      </c>
      <c r="E2045" s="637">
        <f t="shared" si="71"/>
        <v>30.591125000000009</v>
      </c>
    </row>
    <row r="2046" spans="1:5">
      <c r="A2046">
        <v>32713</v>
      </c>
      <c r="B2046">
        <v>200</v>
      </c>
      <c r="C2046" s="455">
        <v>7.7350000000000003</v>
      </c>
      <c r="D2046" s="637">
        <f t="shared" si="70"/>
        <v>15.590859375000001</v>
      </c>
      <c r="E2046" s="637">
        <f t="shared" si="71"/>
        <v>30.698281250000008</v>
      </c>
    </row>
    <row r="2047" spans="1:5">
      <c r="A2047">
        <v>32713</v>
      </c>
      <c r="B2047">
        <v>300</v>
      </c>
      <c r="C2047" s="455">
        <v>7.79</v>
      </c>
      <c r="D2047" s="637">
        <f t="shared" si="70"/>
        <v>15.701718750000001</v>
      </c>
      <c r="E2047" s="637">
        <f t="shared" si="71"/>
        <v>30.916562500000008</v>
      </c>
    </row>
    <row r="2048" spans="1:5">
      <c r="A2048">
        <v>32713</v>
      </c>
      <c r="B2048">
        <v>400</v>
      </c>
      <c r="C2048" s="455">
        <v>7.7359999999999998</v>
      </c>
      <c r="D2048" s="637">
        <f t="shared" si="70"/>
        <v>15.592874999999999</v>
      </c>
      <c r="E2048" s="637">
        <f t="shared" si="71"/>
        <v>30.702250000000006</v>
      </c>
    </row>
    <row r="2049" spans="1:5">
      <c r="A2049">
        <v>32713</v>
      </c>
      <c r="B2049">
        <v>500</v>
      </c>
      <c r="C2049" s="455">
        <v>7.4249999999999998</v>
      </c>
      <c r="D2049" s="637">
        <f t="shared" si="70"/>
        <v>14.966015625000001</v>
      </c>
      <c r="E2049" s="637">
        <f t="shared" si="71"/>
        <v>29.467968750000008</v>
      </c>
    </row>
    <row r="2050" spans="1:5">
      <c r="A2050">
        <v>32713</v>
      </c>
      <c r="B2050">
        <v>600</v>
      </c>
      <c r="C2050" s="455">
        <v>7.7859999999999996</v>
      </c>
      <c r="D2050" s="637">
        <f t="shared" si="70"/>
        <v>15.693656249999998</v>
      </c>
      <c r="E2050" s="637">
        <f t="shared" si="71"/>
        <v>30.900687500000004</v>
      </c>
    </row>
    <row r="2051" spans="1:5">
      <c r="A2051">
        <v>32713</v>
      </c>
      <c r="B2051">
        <v>700</v>
      </c>
      <c r="C2051" s="455">
        <v>3.5720000000000001</v>
      </c>
      <c r="D2051" s="637">
        <f t="shared" si="70"/>
        <v>7.1998125000000011</v>
      </c>
      <c r="E2051" s="637">
        <f t="shared" si="71"/>
        <v>14.176375000000005</v>
      </c>
    </row>
    <row r="2052" spans="1:5">
      <c r="A2052">
        <v>32713</v>
      </c>
      <c r="B2052">
        <v>800</v>
      </c>
      <c r="C2052" s="455">
        <v>0</v>
      </c>
      <c r="D2052" s="637">
        <f t="shared" si="70"/>
        <v>0</v>
      </c>
      <c r="E2052" s="637">
        <f t="shared" si="71"/>
        <v>0</v>
      </c>
    </row>
    <row r="2053" spans="1:5">
      <c r="A2053">
        <v>32713</v>
      </c>
      <c r="B2053">
        <v>900</v>
      </c>
      <c r="C2053" s="455">
        <v>0</v>
      </c>
      <c r="D2053" s="637">
        <f t="shared" si="70"/>
        <v>0</v>
      </c>
      <c r="E2053" s="637">
        <f t="shared" si="71"/>
        <v>0</v>
      </c>
    </row>
    <row r="2054" spans="1:5">
      <c r="A2054">
        <v>32713</v>
      </c>
      <c r="B2054">
        <v>1000</v>
      </c>
      <c r="C2054" s="455">
        <v>0</v>
      </c>
      <c r="D2054" s="637">
        <f t="shared" si="70"/>
        <v>0</v>
      </c>
      <c r="E2054" s="637">
        <f t="shared" si="71"/>
        <v>0</v>
      </c>
    </row>
    <row r="2055" spans="1:5">
      <c r="A2055">
        <v>32713</v>
      </c>
      <c r="B2055">
        <v>1100</v>
      </c>
      <c r="C2055" s="455">
        <v>0</v>
      </c>
      <c r="D2055" s="637">
        <f t="shared" si="70"/>
        <v>0</v>
      </c>
      <c r="E2055" s="637">
        <f t="shared" si="71"/>
        <v>0</v>
      </c>
    </row>
    <row r="2056" spans="1:5">
      <c r="A2056">
        <v>32713</v>
      </c>
      <c r="B2056">
        <v>1200</v>
      </c>
      <c r="C2056" s="455">
        <v>0</v>
      </c>
      <c r="D2056" s="637">
        <f t="shared" si="70"/>
        <v>0</v>
      </c>
      <c r="E2056" s="637">
        <f t="shared" si="71"/>
        <v>0</v>
      </c>
    </row>
    <row r="2057" spans="1:5">
      <c r="A2057">
        <v>32713</v>
      </c>
      <c r="B2057">
        <v>1300</v>
      </c>
      <c r="C2057" s="455">
        <v>0</v>
      </c>
      <c r="D2057" s="637">
        <f t="shared" si="70"/>
        <v>0</v>
      </c>
      <c r="E2057" s="637">
        <f t="shared" si="71"/>
        <v>0</v>
      </c>
    </row>
    <row r="2058" spans="1:5">
      <c r="A2058">
        <v>32713</v>
      </c>
      <c r="B2058">
        <v>1400</v>
      </c>
      <c r="C2058" s="455">
        <v>0</v>
      </c>
      <c r="D2058" s="637">
        <f t="shared" si="70"/>
        <v>0</v>
      </c>
      <c r="E2058" s="637">
        <f t="shared" si="71"/>
        <v>0</v>
      </c>
    </row>
    <row r="2059" spans="1:5">
      <c r="A2059">
        <v>32713</v>
      </c>
      <c r="B2059">
        <v>1500</v>
      </c>
      <c r="C2059" s="455">
        <v>0</v>
      </c>
      <c r="D2059" s="637">
        <f t="shared" si="70"/>
        <v>0</v>
      </c>
      <c r="E2059" s="637">
        <f t="shared" si="71"/>
        <v>0</v>
      </c>
    </row>
    <row r="2060" spans="1:5">
      <c r="A2060">
        <v>32713</v>
      </c>
      <c r="B2060">
        <v>1600</v>
      </c>
      <c r="C2060" s="455">
        <v>0</v>
      </c>
      <c r="D2060" s="637">
        <f t="shared" si="70"/>
        <v>0</v>
      </c>
      <c r="E2060" s="637">
        <f t="shared" si="71"/>
        <v>0</v>
      </c>
    </row>
    <row r="2061" spans="1:5">
      <c r="A2061">
        <v>32713</v>
      </c>
      <c r="B2061">
        <v>1700</v>
      </c>
      <c r="C2061" s="455">
        <v>0</v>
      </c>
      <c r="D2061" s="637">
        <f t="shared" si="70"/>
        <v>0</v>
      </c>
      <c r="E2061" s="637">
        <f t="shared" si="71"/>
        <v>0</v>
      </c>
    </row>
    <row r="2062" spans="1:5">
      <c r="A2062">
        <v>32713</v>
      </c>
      <c r="B2062">
        <v>1800</v>
      </c>
      <c r="C2062" s="455">
        <v>0</v>
      </c>
      <c r="D2062" s="637">
        <f t="shared" ref="D2062:D2125" si="72">(C2062/(MAX($C$1421:$C$2164)))*$W$7</f>
        <v>0</v>
      </c>
      <c r="E2062" s="637">
        <f t="shared" ref="E2062:E2125" si="73">(C2062/(MAX($C$1421:$C$2164)))*$P$7</f>
        <v>0</v>
      </c>
    </row>
    <row r="2063" spans="1:5">
      <c r="A2063">
        <v>32713</v>
      </c>
      <c r="B2063">
        <v>1900</v>
      </c>
      <c r="C2063" s="455">
        <v>5.1319999999999997</v>
      </c>
      <c r="D2063" s="637">
        <f t="shared" si="72"/>
        <v>10.3441875</v>
      </c>
      <c r="E2063" s="637">
        <f t="shared" si="73"/>
        <v>20.367625000000004</v>
      </c>
    </row>
    <row r="2064" spans="1:5">
      <c r="A2064">
        <v>32713</v>
      </c>
      <c r="B2064">
        <v>2000</v>
      </c>
      <c r="C2064" s="455">
        <v>7.64</v>
      </c>
      <c r="D2064" s="637">
        <f t="shared" si="72"/>
        <v>15.399375000000001</v>
      </c>
      <c r="E2064" s="637">
        <f t="shared" si="73"/>
        <v>30.32125000000001</v>
      </c>
    </row>
    <row r="2065" spans="1:5">
      <c r="A2065">
        <v>32713</v>
      </c>
      <c r="B2065">
        <v>2100</v>
      </c>
      <c r="C2065" s="455">
        <v>7.8849999999999998</v>
      </c>
      <c r="D2065" s="637">
        <f t="shared" si="72"/>
        <v>15.893203125000001</v>
      </c>
      <c r="E2065" s="637">
        <f t="shared" si="73"/>
        <v>31.293593750000007</v>
      </c>
    </row>
    <row r="2066" spans="1:5">
      <c r="A2066">
        <v>32713</v>
      </c>
      <c r="B2066">
        <v>2200</v>
      </c>
      <c r="C2066" s="455">
        <v>7.859</v>
      </c>
      <c r="D2066" s="637">
        <f t="shared" si="72"/>
        <v>15.840796875000001</v>
      </c>
      <c r="E2066" s="637">
        <f t="shared" si="73"/>
        <v>31.190406250000009</v>
      </c>
    </row>
    <row r="2067" spans="1:5">
      <c r="A2067">
        <v>32713</v>
      </c>
      <c r="B2067">
        <v>2300</v>
      </c>
      <c r="C2067" s="455">
        <v>7.726</v>
      </c>
      <c r="D2067" s="637">
        <f t="shared" si="72"/>
        <v>15.57271875</v>
      </c>
      <c r="E2067" s="637">
        <f t="shared" si="73"/>
        <v>30.662562500000007</v>
      </c>
    </row>
    <row r="2068" spans="1:5">
      <c r="A2068">
        <v>32713</v>
      </c>
      <c r="B2068">
        <v>2400</v>
      </c>
      <c r="C2068" s="455">
        <v>7.7130000000000001</v>
      </c>
      <c r="D2068" s="637">
        <f t="shared" si="72"/>
        <v>15.546515625000001</v>
      </c>
      <c r="E2068" s="637">
        <f t="shared" si="73"/>
        <v>30.610968750000008</v>
      </c>
    </row>
    <row r="2069" spans="1:5">
      <c r="A2069">
        <v>32813</v>
      </c>
      <c r="B2069">
        <v>100</v>
      </c>
      <c r="C2069" s="455">
        <v>7.8079999999999998</v>
      </c>
      <c r="D2069" s="637">
        <f t="shared" si="72"/>
        <v>15.738</v>
      </c>
      <c r="E2069" s="637">
        <f t="shared" si="73"/>
        <v>30.988000000000007</v>
      </c>
    </row>
    <row r="2070" spans="1:5">
      <c r="A2070">
        <v>32813</v>
      </c>
      <c r="B2070">
        <v>200</v>
      </c>
      <c r="C2070" s="455">
        <v>7.7969999999999997</v>
      </c>
      <c r="D2070" s="637">
        <f t="shared" si="72"/>
        <v>15.715828125000002</v>
      </c>
      <c r="E2070" s="637">
        <f t="shared" si="73"/>
        <v>30.944343750000009</v>
      </c>
    </row>
    <row r="2071" spans="1:5">
      <c r="A2071">
        <v>32813</v>
      </c>
      <c r="B2071">
        <v>300</v>
      </c>
      <c r="C2071" s="455">
        <v>7.8730000000000002</v>
      </c>
      <c r="D2071" s="637">
        <f t="shared" si="72"/>
        <v>15.869015625000001</v>
      </c>
      <c r="E2071" s="637">
        <f t="shared" si="73"/>
        <v>31.24596875000001</v>
      </c>
    </row>
    <row r="2072" spans="1:5">
      <c r="A2072">
        <v>32813</v>
      </c>
      <c r="B2072">
        <v>400</v>
      </c>
      <c r="C2072" s="455">
        <v>7.96</v>
      </c>
      <c r="D2072" s="637">
        <f t="shared" si="72"/>
        <v>16.044374999999999</v>
      </c>
      <c r="E2072" s="637">
        <f t="shared" si="73"/>
        <v>31.591250000000009</v>
      </c>
    </row>
    <row r="2073" spans="1:5">
      <c r="A2073">
        <v>32813</v>
      </c>
      <c r="B2073">
        <v>500</v>
      </c>
      <c r="C2073" s="455">
        <v>7.7169999999999996</v>
      </c>
      <c r="D2073" s="637">
        <f t="shared" si="72"/>
        <v>15.554578125000001</v>
      </c>
      <c r="E2073" s="637">
        <f t="shared" si="73"/>
        <v>30.62684375000001</v>
      </c>
    </row>
    <row r="2074" spans="1:5">
      <c r="A2074">
        <v>32813</v>
      </c>
      <c r="B2074">
        <v>600</v>
      </c>
      <c r="C2074" s="455">
        <v>7.8639999999999999</v>
      </c>
      <c r="D2074" s="637">
        <f t="shared" si="72"/>
        <v>15.850875000000002</v>
      </c>
      <c r="E2074" s="637">
        <f t="shared" si="73"/>
        <v>31.210250000000009</v>
      </c>
    </row>
    <row r="2075" spans="1:5">
      <c r="A2075">
        <v>32813</v>
      </c>
      <c r="B2075">
        <v>700</v>
      </c>
      <c r="C2075" s="455">
        <v>4.6239999999999997</v>
      </c>
      <c r="D2075" s="637">
        <f t="shared" si="72"/>
        <v>9.3202499999999997</v>
      </c>
      <c r="E2075" s="637">
        <f t="shared" si="73"/>
        <v>18.351500000000005</v>
      </c>
    </row>
    <row r="2076" spans="1:5">
      <c r="A2076">
        <v>32813</v>
      </c>
      <c r="B2076">
        <v>800</v>
      </c>
      <c r="C2076" s="455">
        <v>0</v>
      </c>
      <c r="D2076" s="637">
        <f t="shared" si="72"/>
        <v>0</v>
      </c>
      <c r="E2076" s="637">
        <f t="shared" si="73"/>
        <v>0</v>
      </c>
    </row>
    <row r="2077" spans="1:5">
      <c r="A2077">
        <v>32813</v>
      </c>
      <c r="B2077">
        <v>900</v>
      </c>
      <c r="C2077" s="455">
        <v>0</v>
      </c>
      <c r="D2077" s="637">
        <f t="shared" si="72"/>
        <v>0</v>
      </c>
      <c r="E2077" s="637">
        <f t="shared" si="73"/>
        <v>0</v>
      </c>
    </row>
    <row r="2078" spans="1:5">
      <c r="A2078">
        <v>32813</v>
      </c>
      <c r="B2078">
        <v>1000</v>
      </c>
      <c r="C2078" s="455">
        <v>0</v>
      </c>
      <c r="D2078" s="637">
        <f t="shared" si="72"/>
        <v>0</v>
      </c>
      <c r="E2078" s="637">
        <f t="shared" si="73"/>
        <v>0</v>
      </c>
    </row>
    <row r="2079" spans="1:5">
      <c r="A2079">
        <v>32813</v>
      </c>
      <c r="B2079">
        <v>1100</v>
      </c>
      <c r="C2079" s="455">
        <v>0</v>
      </c>
      <c r="D2079" s="637">
        <f t="shared" si="72"/>
        <v>0</v>
      </c>
      <c r="E2079" s="637">
        <f t="shared" si="73"/>
        <v>0</v>
      </c>
    </row>
    <row r="2080" spans="1:5">
      <c r="A2080">
        <v>32813</v>
      </c>
      <c r="B2080">
        <v>1200</v>
      </c>
      <c r="C2080" s="455">
        <v>0</v>
      </c>
      <c r="D2080" s="637">
        <f t="shared" si="72"/>
        <v>0</v>
      </c>
      <c r="E2080" s="637">
        <f t="shared" si="73"/>
        <v>0</v>
      </c>
    </row>
    <row r="2081" spans="1:5">
      <c r="A2081">
        <v>32813</v>
      </c>
      <c r="B2081">
        <v>1300</v>
      </c>
      <c r="C2081" s="455">
        <v>0</v>
      </c>
      <c r="D2081" s="637">
        <f t="shared" si="72"/>
        <v>0</v>
      </c>
      <c r="E2081" s="637">
        <f t="shared" si="73"/>
        <v>0</v>
      </c>
    </row>
    <row r="2082" spans="1:5">
      <c r="A2082">
        <v>32813</v>
      </c>
      <c r="B2082">
        <v>1400</v>
      </c>
      <c r="C2082" s="455">
        <v>0</v>
      </c>
      <c r="D2082" s="637">
        <f t="shared" si="72"/>
        <v>0</v>
      </c>
      <c r="E2082" s="637">
        <f t="shared" si="73"/>
        <v>0</v>
      </c>
    </row>
    <row r="2083" spans="1:5">
      <c r="A2083">
        <v>32813</v>
      </c>
      <c r="B2083">
        <v>1500</v>
      </c>
      <c r="C2083" s="455">
        <v>0</v>
      </c>
      <c r="D2083" s="637">
        <f t="shared" si="72"/>
        <v>0</v>
      </c>
      <c r="E2083" s="637">
        <f t="shared" si="73"/>
        <v>0</v>
      </c>
    </row>
    <row r="2084" spans="1:5">
      <c r="A2084">
        <v>32813</v>
      </c>
      <c r="B2084">
        <v>1600</v>
      </c>
      <c r="C2084" s="455">
        <v>0</v>
      </c>
      <c r="D2084" s="637">
        <f t="shared" si="72"/>
        <v>0</v>
      </c>
      <c r="E2084" s="637">
        <f t="shared" si="73"/>
        <v>0</v>
      </c>
    </row>
    <row r="2085" spans="1:5">
      <c r="A2085">
        <v>32813</v>
      </c>
      <c r="B2085">
        <v>1700</v>
      </c>
      <c r="C2085" s="455">
        <v>0</v>
      </c>
      <c r="D2085" s="637">
        <f t="shared" si="72"/>
        <v>0</v>
      </c>
      <c r="E2085" s="637">
        <f t="shared" si="73"/>
        <v>0</v>
      </c>
    </row>
    <row r="2086" spans="1:5">
      <c r="A2086">
        <v>32813</v>
      </c>
      <c r="B2086">
        <v>1800</v>
      </c>
      <c r="C2086" s="455">
        <v>2E-3</v>
      </c>
      <c r="D2086" s="637">
        <f t="shared" si="72"/>
        <v>4.0312500000000001E-3</v>
      </c>
      <c r="E2086" s="637">
        <f t="shared" si="73"/>
        <v>7.9375000000000018E-3</v>
      </c>
    </row>
    <row r="2087" spans="1:5">
      <c r="A2087">
        <v>32813</v>
      </c>
      <c r="B2087">
        <v>1900</v>
      </c>
      <c r="C2087" s="455">
        <v>7.5019999999999998</v>
      </c>
      <c r="D2087" s="637">
        <f t="shared" si="72"/>
        <v>15.121218750000001</v>
      </c>
      <c r="E2087" s="637">
        <f t="shared" si="73"/>
        <v>29.773562500000008</v>
      </c>
    </row>
    <row r="2088" spans="1:5">
      <c r="A2088">
        <v>32813</v>
      </c>
      <c r="B2088">
        <v>2000</v>
      </c>
      <c r="C2088" s="455">
        <v>7.51</v>
      </c>
      <c r="D2088" s="637">
        <f t="shared" si="72"/>
        <v>15.137343749999999</v>
      </c>
      <c r="E2088" s="637">
        <f t="shared" si="73"/>
        <v>29.805312500000007</v>
      </c>
    </row>
    <row r="2089" spans="1:5">
      <c r="A2089">
        <v>32813</v>
      </c>
      <c r="B2089">
        <v>2100</v>
      </c>
      <c r="C2089" s="455">
        <v>7.5620000000000003</v>
      </c>
      <c r="D2089" s="637">
        <f t="shared" si="72"/>
        <v>15.242156250000001</v>
      </c>
      <c r="E2089" s="637">
        <f t="shared" si="73"/>
        <v>30.011687500000008</v>
      </c>
    </row>
    <row r="2090" spans="1:5">
      <c r="A2090">
        <v>32813</v>
      </c>
      <c r="B2090">
        <v>2200</v>
      </c>
      <c r="C2090" s="455">
        <v>7.4930000000000003</v>
      </c>
      <c r="D2090" s="637">
        <f t="shared" si="72"/>
        <v>15.103078125</v>
      </c>
      <c r="E2090" s="637">
        <f t="shared" si="73"/>
        <v>29.737843750000007</v>
      </c>
    </row>
    <row r="2091" spans="1:5">
      <c r="A2091">
        <v>32813</v>
      </c>
      <c r="B2091">
        <v>2300</v>
      </c>
      <c r="C2091" s="455">
        <v>7.806</v>
      </c>
      <c r="D2091" s="637">
        <f t="shared" si="72"/>
        <v>15.733968750000001</v>
      </c>
      <c r="E2091" s="637">
        <f t="shared" si="73"/>
        <v>30.98006250000001</v>
      </c>
    </row>
    <row r="2092" spans="1:5">
      <c r="A2092">
        <v>32813</v>
      </c>
      <c r="B2092">
        <v>2400</v>
      </c>
      <c r="C2092" s="455">
        <v>7.5709999999999997</v>
      </c>
      <c r="D2092" s="637">
        <f t="shared" si="72"/>
        <v>15.260296875</v>
      </c>
      <c r="E2092" s="637">
        <f t="shared" si="73"/>
        <v>30.047406250000009</v>
      </c>
    </row>
    <row r="2093" spans="1:5">
      <c r="A2093">
        <v>32913</v>
      </c>
      <c r="B2093">
        <v>100</v>
      </c>
      <c r="C2093" s="455">
        <v>7.7350000000000003</v>
      </c>
      <c r="D2093" s="637">
        <f t="shared" si="72"/>
        <v>15.590859375000001</v>
      </c>
      <c r="E2093" s="637">
        <f t="shared" si="73"/>
        <v>30.698281250000008</v>
      </c>
    </row>
    <row r="2094" spans="1:5">
      <c r="A2094">
        <v>32913</v>
      </c>
      <c r="B2094">
        <v>200</v>
      </c>
      <c r="C2094" s="455">
        <v>7.6459999999999999</v>
      </c>
      <c r="D2094" s="637">
        <f t="shared" si="72"/>
        <v>15.411468750000001</v>
      </c>
      <c r="E2094" s="637">
        <f t="shared" si="73"/>
        <v>30.345062500000008</v>
      </c>
    </row>
    <row r="2095" spans="1:5">
      <c r="A2095">
        <v>32913</v>
      </c>
      <c r="B2095">
        <v>300</v>
      </c>
      <c r="C2095" s="455">
        <v>7.5730000000000004</v>
      </c>
      <c r="D2095" s="637">
        <f t="shared" si="72"/>
        <v>15.264328125</v>
      </c>
      <c r="E2095" s="637">
        <f t="shared" si="73"/>
        <v>30.055343750000009</v>
      </c>
    </row>
    <row r="2096" spans="1:5">
      <c r="A2096">
        <v>32913</v>
      </c>
      <c r="B2096">
        <v>400</v>
      </c>
      <c r="C2096" s="455">
        <v>7.734</v>
      </c>
      <c r="D2096" s="637">
        <f t="shared" si="72"/>
        <v>15.588843750000001</v>
      </c>
      <c r="E2096" s="637">
        <f t="shared" si="73"/>
        <v>30.694312500000006</v>
      </c>
    </row>
    <row r="2097" spans="1:5">
      <c r="A2097">
        <v>32913</v>
      </c>
      <c r="B2097">
        <v>500</v>
      </c>
      <c r="C2097" s="455">
        <v>7.7149999999999999</v>
      </c>
      <c r="D2097" s="637">
        <f t="shared" si="72"/>
        <v>15.550546875</v>
      </c>
      <c r="E2097" s="637">
        <f t="shared" si="73"/>
        <v>30.618906250000009</v>
      </c>
    </row>
    <row r="2098" spans="1:5">
      <c r="A2098">
        <v>32913</v>
      </c>
      <c r="B2098">
        <v>600</v>
      </c>
      <c r="C2098" s="455">
        <v>7.8029999999999999</v>
      </c>
      <c r="D2098" s="637">
        <f t="shared" si="72"/>
        <v>15.727921875</v>
      </c>
      <c r="E2098" s="637">
        <f t="shared" si="73"/>
        <v>30.968156250000007</v>
      </c>
    </row>
    <row r="2099" spans="1:5">
      <c r="A2099">
        <v>32913</v>
      </c>
      <c r="B2099">
        <v>700</v>
      </c>
      <c r="C2099" s="455">
        <v>3.0459999999999998</v>
      </c>
      <c r="D2099" s="637">
        <f t="shared" si="72"/>
        <v>6.1395937500000004</v>
      </c>
      <c r="E2099" s="637">
        <f t="shared" si="73"/>
        <v>12.088812500000003</v>
      </c>
    </row>
    <row r="2100" spans="1:5">
      <c r="A2100">
        <v>32913</v>
      </c>
      <c r="B2100">
        <v>800</v>
      </c>
      <c r="C2100" s="455">
        <v>0</v>
      </c>
      <c r="D2100" s="637">
        <f t="shared" si="72"/>
        <v>0</v>
      </c>
      <c r="E2100" s="637">
        <f t="shared" si="73"/>
        <v>0</v>
      </c>
    </row>
    <row r="2101" spans="1:5">
      <c r="A2101">
        <v>32913</v>
      </c>
      <c r="B2101">
        <v>900</v>
      </c>
      <c r="C2101" s="455">
        <v>0</v>
      </c>
      <c r="D2101" s="637">
        <f t="shared" si="72"/>
        <v>0</v>
      </c>
      <c r="E2101" s="637">
        <f t="shared" si="73"/>
        <v>0</v>
      </c>
    </row>
    <row r="2102" spans="1:5">
      <c r="A2102">
        <v>32913</v>
      </c>
      <c r="B2102">
        <v>1000</v>
      </c>
      <c r="C2102" s="455">
        <v>0</v>
      </c>
      <c r="D2102" s="637">
        <f t="shared" si="72"/>
        <v>0</v>
      </c>
      <c r="E2102" s="637">
        <f t="shared" si="73"/>
        <v>0</v>
      </c>
    </row>
    <row r="2103" spans="1:5">
      <c r="A2103">
        <v>32913</v>
      </c>
      <c r="B2103">
        <v>1100</v>
      </c>
      <c r="C2103" s="455">
        <v>0</v>
      </c>
      <c r="D2103" s="637">
        <f t="shared" si="72"/>
        <v>0</v>
      </c>
      <c r="E2103" s="637">
        <f t="shared" si="73"/>
        <v>0</v>
      </c>
    </row>
    <row r="2104" spans="1:5">
      <c r="A2104">
        <v>32913</v>
      </c>
      <c r="B2104">
        <v>1200</v>
      </c>
      <c r="C2104" s="455">
        <v>0</v>
      </c>
      <c r="D2104" s="637">
        <f t="shared" si="72"/>
        <v>0</v>
      </c>
      <c r="E2104" s="637">
        <f t="shared" si="73"/>
        <v>0</v>
      </c>
    </row>
    <row r="2105" spans="1:5">
      <c r="A2105">
        <v>32913</v>
      </c>
      <c r="B2105">
        <v>1300</v>
      </c>
      <c r="C2105" s="455">
        <v>0</v>
      </c>
      <c r="D2105" s="637">
        <f t="shared" si="72"/>
        <v>0</v>
      </c>
      <c r="E2105" s="637">
        <f t="shared" si="73"/>
        <v>0</v>
      </c>
    </row>
    <row r="2106" spans="1:5">
      <c r="A2106">
        <v>32913</v>
      </c>
      <c r="B2106">
        <v>1400</v>
      </c>
      <c r="C2106" s="455">
        <v>0</v>
      </c>
      <c r="D2106" s="637">
        <f t="shared" si="72"/>
        <v>0</v>
      </c>
      <c r="E2106" s="637">
        <f t="shared" si="73"/>
        <v>0</v>
      </c>
    </row>
    <row r="2107" spans="1:5">
      <c r="A2107">
        <v>32913</v>
      </c>
      <c r="B2107">
        <v>1500</v>
      </c>
      <c r="C2107" s="455">
        <v>0</v>
      </c>
      <c r="D2107" s="637">
        <f t="shared" si="72"/>
        <v>0</v>
      </c>
      <c r="E2107" s="637">
        <f t="shared" si="73"/>
        <v>0</v>
      </c>
    </row>
    <row r="2108" spans="1:5">
      <c r="A2108">
        <v>32913</v>
      </c>
      <c r="B2108">
        <v>1600</v>
      </c>
      <c r="C2108" s="455">
        <v>0</v>
      </c>
      <c r="D2108" s="637">
        <f t="shared" si="72"/>
        <v>0</v>
      </c>
      <c r="E2108" s="637">
        <f t="shared" si="73"/>
        <v>0</v>
      </c>
    </row>
    <row r="2109" spans="1:5">
      <c r="A2109">
        <v>32913</v>
      </c>
      <c r="B2109">
        <v>1700</v>
      </c>
      <c r="C2109" s="455">
        <v>0</v>
      </c>
      <c r="D2109" s="637">
        <f t="shared" si="72"/>
        <v>0</v>
      </c>
      <c r="E2109" s="637">
        <f t="shared" si="73"/>
        <v>0</v>
      </c>
    </row>
    <row r="2110" spans="1:5">
      <c r="A2110">
        <v>32913</v>
      </c>
      <c r="B2110">
        <v>1800</v>
      </c>
      <c r="C2110" s="455">
        <v>0</v>
      </c>
      <c r="D2110" s="637">
        <f t="shared" si="72"/>
        <v>0</v>
      </c>
      <c r="E2110" s="637">
        <f t="shared" si="73"/>
        <v>0</v>
      </c>
    </row>
    <row r="2111" spans="1:5">
      <c r="A2111">
        <v>32913</v>
      </c>
      <c r="B2111">
        <v>1900</v>
      </c>
      <c r="C2111" s="455">
        <v>4.5369999999999999</v>
      </c>
      <c r="D2111" s="637">
        <f t="shared" si="72"/>
        <v>9.1448906250000004</v>
      </c>
      <c r="E2111" s="637">
        <f t="shared" si="73"/>
        <v>18.006218750000006</v>
      </c>
    </row>
    <row r="2112" spans="1:5">
      <c r="A2112">
        <v>32913</v>
      </c>
      <c r="B2112">
        <v>2000</v>
      </c>
      <c r="C2112" s="455">
        <v>7.3470000000000004</v>
      </c>
      <c r="D2112" s="637">
        <f t="shared" si="72"/>
        <v>14.808796875000001</v>
      </c>
      <c r="E2112" s="637">
        <f t="shared" si="73"/>
        <v>29.158406250000006</v>
      </c>
    </row>
    <row r="2113" spans="1:5">
      <c r="A2113">
        <v>32913</v>
      </c>
      <c r="B2113">
        <v>2100</v>
      </c>
      <c r="C2113" s="455">
        <v>6.843</v>
      </c>
      <c r="D2113" s="637">
        <f t="shared" si="72"/>
        <v>13.792921874999999</v>
      </c>
      <c r="E2113" s="637">
        <f t="shared" si="73"/>
        <v>27.158156250000005</v>
      </c>
    </row>
    <row r="2114" spans="1:5">
      <c r="A2114">
        <v>32913</v>
      </c>
      <c r="B2114">
        <v>2200</v>
      </c>
      <c r="C2114" s="455">
        <v>7.8040000000000003</v>
      </c>
      <c r="D2114" s="637">
        <f t="shared" si="72"/>
        <v>15.7299375</v>
      </c>
      <c r="E2114" s="637">
        <f t="shared" si="73"/>
        <v>30.972125000000009</v>
      </c>
    </row>
    <row r="2115" spans="1:5">
      <c r="A2115">
        <v>32913</v>
      </c>
      <c r="B2115">
        <v>2300</v>
      </c>
      <c r="C2115" s="455">
        <v>7.6529999999999996</v>
      </c>
      <c r="D2115" s="637">
        <f t="shared" si="72"/>
        <v>15.425578124999999</v>
      </c>
      <c r="E2115" s="637">
        <f t="shared" si="73"/>
        <v>30.372843750000008</v>
      </c>
    </row>
    <row r="2116" spans="1:5">
      <c r="A2116">
        <v>32913</v>
      </c>
      <c r="B2116">
        <v>2400</v>
      </c>
      <c r="C2116" s="455">
        <v>7.8929999999999998</v>
      </c>
      <c r="D2116" s="637">
        <f t="shared" si="72"/>
        <v>15.909328125</v>
      </c>
      <c r="E2116" s="637">
        <f t="shared" si="73"/>
        <v>31.325343750000009</v>
      </c>
    </row>
    <row r="2117" spans="1:5">
      <c r="A2117">
        <v>33013</v>
      </c>
      <c r="B2117">
        <v>100</v>
      </c>
      <c r="C2117" s="455">
        <v>7.8040000000000003</v>
      </c>
      <c r="D2117" s="637">
        <f t="shared" si="72"/>
        <v>15.7299375</v>
      </c>
      <c r="E2117" s="637">
        <f t="shared" si="73"/>
        <v>30.972125000000009</v>
      </c>
    </row>
    <row r="2118" spans="1:5">
      <c r="A2118">
        <v>33013</v>
      </c>
      <c r="B2118">
        <v>200</v>
      </c>
      <c r="C2118" s="455">
        <v>7.8369999999999997</v>
      </c>
      <c r="D2118" s="637">
        <f t="shared" si="72"/>
        <v>15.796453124999999</v>
      </c>
      <c r="E2118" s="637">
        <f t="shared" si="73"/>
        <v>31.103093750000006</v>
      </c>
    </row>
    <row r="2119" spans="1:5">
      <c r="A2119">
        <v>33013</v>
      </c>
      <c r="B2119">
        <v>300</v>
      </c>
      <c r="C2119" s="455">
        <v>7.819</v>
      </c>
      <c r="D2119" s="637">
        <f t="shared" si="72"/>
        <v>15.760171874999999</v>
      </c>
      <c r="E2119" s="637">
        <f t="shared" si="73"/>
        <v>31.031656250000008</v>
      </c>
    </row>
    <row r="2120" spans="1:5">
      <c r="A2120">
        <v>33013</v>
      </c>
      <c r="B2120">
        <v>400</v>
      </c>
      <c r="C2120" s="455">
        <v>7.7709999999999999</v>
      </c>
      <c r="D2120" s="637">
        <f t="shared" si="72"/>
        <v>15.663421874999999</v>
      </c>
      <c r="E2120" s="637">
        <f t="shared" si="73"/>
        <v>30.841156250000004</v>
      </c>
    </row>
    <row r="2121" spans="1:5">
      <c r="A2121">
        <v>33013</v>
      </c>
      <c r="B2121">
        <v>500</v>
      </c>
      <c r="C2121" s="455">
        <v>7.8739999999999997</v>
      </c>
      <c r="D2121" s="637">
        <f t="shared" si="72"/>
        <v>15.871031250000001</v>
      </c>
      <c r="E2121" s="637">
        <f t="shared" si="73"/>
        <v>31.249937500000009</v>
      </c>
    </row>
    <row r="2122" spans="1:5">
      <c r="A2122">
        <v>33013</v>
      </c>
      <c r="B2122">
        <v>600</v>
      </c>
      <c r="C2122" s="455">
        <v>8.157</v>
      </c>
      <c r="D2122" s="637">
        <f t="shared" si="72"/>
        <v>16.441453124999999</v>
      </c>
      <c r="E2122" s="637">
        <f t="shared" si="73"/>
        <v>32.373093750000002</v>
      </c>
    </row>
    <row r="2123" spans="1:5">
      <c r="A2123">
        <v>33013</v>
      </c>
      <c r="B2123">
        <v>700</v>
      </c>
      <c r="C2123" s="455">
        <v>2.056</v>
      </c>
      <c r="D2123" s="637">
        <f t="shared" si="72"/>
        <v>4.1441249999999998</v>
      </c>
      <c r="E2123" s="637">
        <f t="shared" si="73"/>
        <v>8.1597500000000025</v>
      </c>
    </row>
    <row r="2124" spans="1:5">
      <c r="A2124">
        <v>33013</v>
      </c>
      <c r="B2124">
        <v>800</v>
      </c>
      <c r="C2124" s="455">
        <v>0</v>
      </c>
      <c r="D2124" s="637">
        <f t="shared" si="72"/>
        <v>0</v>
      </c>
      <c r="E2124" s="637">
        <f t="shared" si="73"/>
        <v>0</v>
      </c>
    </row>
    <row r="2125" spans="1:5">
      <c r="A2125">
        <v>33013</v>
      </c>
      <c r="B2125">
        <v>900</v>
      </c>
      <c r="C2125" s="455">
        <v>0</v>
      </c>
      <c r="D2125" s="637">
        <f t="shared" si="72"/>
        <v>0</v>
      </c>
      <c r="E2125" s="637">
        <f t="shared" si="73"/>
        <v>0</v>
      </c>
    </row>
    <row r="2126" spans="1:5">
      <c r="A2126">
        <v>33013</v>
      </c>
      <c r="B2126">
        <v>1000</v>
      </c>
      <c r="C2126" s="455">
        <v>0</v>
      </c>
      <c r="D2126" s="637">
        <f t="shared" ref="D2126:D2164" si="74">(C2126/(MAX($C$1421:$C$2164)))*$W$7</f>
        <v>0</v>
      </c>
      <c r="E2126" s="637">
        <f t="shared" ref="E2126:E2164" si="75">(C2126/(MAX($C$1421:$C$2164)))*$P$7</f>
        <v>0</v>
      </c>
    </row>
    <row r="2127" spans="1:5">
      <c r="A2127">
        <v>33013</v>
      </c>
      <c r="B2127">
        <v>1100</v>
      </c>
      <c r="C2127" s="455">
        <v>0</v>
      </c>
      <c r="D2127" s="637">
        <f t="shared" si="74"/>
        <v>0</v>
      </c>
      <c r="E2127" s="637">
        <f t="shared" si="75"/>
        <v>0</v>
      </c>
    </row>
    <row r="2128" spans="1:5">
      <c r="A2128">
        <v>33013</v>
      </c>
      <c r="B2128">
        <v>1200</v>
      </c>
      <c r="C2128" s="455">
        <v>0</v>
      </c>
      <c r="D2128" s="637">
        <f t="shared" si="74"/>
        <v>0</v>
      </c>
      <c r="E2128" s="637">
        <f t="shared" si="75"/>
        <v>0</v>
      </c>
    </row>
    <row r="2129" spans="1:5">
      <c r="A2129">
        <v>33013</v>
      </c>
      <c r="B2129">
        <v>1300</v>
      </c>
      <c r="C2129" s="455">
        <v>0</v>
      </c>
      <c r="D2129" s="637">
        <f t="shared" si="74"/>
        <v>0</v>
      </c>
      <c r="E2129" s="637">
        <f t="shared" si="75"/>
        <v>0</v>
      </c>
    </row>
    <row r="2130" spans="1:5">
      <c r="A2130">
        <v>33013</v>
      </c>
      <c r="B2130">
        <v>1400</v>
      </c>
      <c r="C2130" s="455">
        <v>0</v>
      </c>
      <c r="D2130" s="637">
        <f t="shared" si="74"/>
        <v>0</v>
      </c>
      <c r="E2130" s="637">
        <f t="shared" si="75"/>
        <v>0</v>
      </c>
    </row>
    <row r="2131" spans="1:5">
      <c r="A2131">
        <v>33013</v>
      </c>
      <c r="B2131">
        <v>1500</v>
      </c>
      <c r="C2131" s="455">
        <v>0</v>
      </c>
      <c r="D2131" s="637">
        <f t="shared" si="74"/>
        <v>0</v>
      </c>
      <c r="E2131" s="637">
        <f t="shared" si="75"/>
        <v>0</v>
      </c>
    </row>
    <row r="2132" spans="1:5">
      <c r="A2132">
        <v>33013</v>
      </c>
      <c r="B2132">
        <v>1600</v>
      </c>
      <c r="C2132" s="455">
        <v>0</v>
      </c>
      <c r="D2132" s="637">
        <f t="shared" si="74"/>
        <v>0</v>
      </c>
      <c r="E2132" s="637">
        <f t="shared" si="75"/>
        <v>0</v>
      </c>
    </row>
    <row r="2133" spans="1:5">
      <c r="A2133">
        <v>33013</v>
      </c>
      <c r="B2133">
        <v>1700</v>
      </c>
      <c r="C2133" s="455">
        <v>0</v>
      </c>
      <c r="D2133" s="637">
        <f t="shared" si="74"/>
        <v>0</v>
      </c>
      <c r="E2133" s="637">
        <f t="shared" si="75"/>
        <v>0</v>
      </c>
    </row>
    <row r="2134" spans="1:5">
      <c r="A2134">
        <v>33013</v>
      </c>
      <c r="B2134">
        <v>1800</v>
      </c>
      <c r="C2134" s="455">
        <v>0</v>
      </c>
      <c r="D2134" s="637">
        <f t="shared" si="74"/>
        <v>0</v>
      </c>
      <c r="E2134" s="637">
        <f t="shared" si="75"/>
        <v>0</v>
      </c>
    </row>
    <row r="2135" spans="1:5">
      <c r="A2135">
        <v>33013</v>
      </c>
      <c r="B2135">
        <v>1900</v>
      </c>
      <c r="C2135" s="455">
        <v>5.1849999999999996</v>
      </c>
      <c r="D2135" s="637">
        <f t="shared" si="74"/>
        <v>10.451015624999998</v>
      </c>
      <c r="E2135" s="637">
        <f t="shared" si="75"/>
        <v>20.577968750000004</v>
      </c>
    </row>
    <row r="2136" spans="1:5">
      <c r="A2136">
        <v>33013</v>
      </c>
      <c r="B2136">
        <v>2000</v>
      </c>
      <c r="C2136" s="455">
        <v>7.14</v>
      </c>
      <c r="D2136" s="637">
        <f t="shared" si="74"/>
        <v>14.391562499999999</v>
      </c>
      <c r="E2136" s="637">
        <f t="shared" si="75"/>
        <v>28.336875000000006</v>
      </c>
    </row>
    <row r="2137" spans="1:5">
      <c r="A2137">
        <v>33013</v>
      </c>
      <c r="B2137">
        <v>2100</v>
      </c>
      <c r="C2137" s="455">
        <v>7.069</v>
      </c>
      <c r="D2137" s="637">
        <f t="shared" si="74"/>
        <v>14.248453124999999</v>
      </c>
      <c r="E2137" s="637">
        <f t="shared" si="75"/>
        <v>28.055093750000005</v>
      </c>
    </row>
    <row r="2138" spans="1:5">
      <c r="A2138">
        <v>33013</v>
      </c>
      <c r="B2138">
        <v>2200</v>
      </c>
      <c r="C2138" s="455">
        <v>7.1680000000000001</v>
      </c>
      <c r="D2138" s="637">
        <f t="shared" si="74"/>
        <v>14.448</v>
      </c>
      <c r="E2138" s="637">
        <f t="shared" si="75"/>
        <v>28.448000000000008</v>
      </c>
    </row>
    <row r="2139" spans="1:5">
      <c r="A2139">
        <v>33013</v>
      </c>
      <c r="B2139">
        <v>2300</v>
      </c>
      <c r="C2139" s="455">
        <v>7.4379999999999997</v>
      </c>
      <c r="D2139" s="637">
        <f t="shared" si="74"/>
        <v>14.992218749999999</v>
      </c>
      <c r="E2139" s="637">
        <f t="shared" si="75"/>
        <v>29.519562500000006</v>
      </c>
    </row>
    <row r="2140" spans="1:5">
      <c r="A2140">
        <v>33013</v>
      </c>
      <c r="B2140">
        <v>2400</v>
      </c>
      <c r="C2140" s="455">
        <v>7.6719999999999997</v>
      </c>
      <c r="D2140" s="637">
        <f t="shared" si="74"/>
        <v>15.463875</v>
      </c>
      <c r="E2140" s="637">
        <f t="shared" si="75"/>
        <v>30.448250000000005</v>
      </c>
    </row>
    <row r="2141" spans="1:5">
      <c r="A2141">
        <v>33113</v>
      </c>
      <c r="B2141">
        <v>100</v>
      </c>
      <c r="C2141" s="455">
        <v>7.8019999999999996</v>
      </c>
      <c r="D2141" s="637">
        <f t="shared" si="74"/>
        <v>15.725906250000001</v>
      </c>
      <c r="E2141" s="637">
        <f t="shared" si="75"/>
        <v>30.964187500000008</v>
      </c>
    </row>
    <row r="2142" spans="1:5">
      <c r="A2142">
        <v>33113</v>
      </c>
      <c r="B2142">
        <v>200</v>
      </c>
      <c r="C2142" s="455">
        <v>7.6630000000000003</v>
      </c>
      <c r="D2142" s="637">
        <f t="shared" si="74"/>
        <v>15.445734375000001</v>
      </c>
      <c r="E2142" s="637">
        <f t="shared" si="75"/>
        <v>30.412531250000008</v>
      </c>
    </row>
    <row r="2143" spans="1:5">
      <c r="A2143">
        <v>33113</v>
      </c>
      <c r="B2143">
        <v>300</v>
      </c>
      <c r="C2143" s="455">
        <v>7.9690000000000003</v>
      </c>
      <c r="D2143" s="637">
        <f t="shared" si="74"/>
        <v>16.062515625</v>
      </c>
      <c r="E2143" s="637">
        <f t="shared" si="75"/>
        <v>31.626968750000007</v>
      </c>
    </row>
    <row r="2144" spans="1:5">
      <c r="A2144">
        <v>33113</v>
      </c>
      <c r="B2144">
        <v>400</v>
      </c>
      <c r="C2144" s="455">
        <v>7.8769999999999998</v>
      </c>
      <c r="D2144" s="637">
        <f t="shared" si="74"/>
        <v>15.877078125000001</v>
      </c>
      <c r="E2144" s="637">
        <f t="shared" si="75"/>
        <v>31.261843750000008</v>
      </c>
    </row>
    <row r="2145" spans="1:5">
      <c r="A2145">
        <v>33113</v>
      </c>
      <c r="B2145">
        <v>500</v>
      </c>
      <c r="C2145" s="455">
        <v>7.5129999999999999</v>
      </c>
      <c r="D2145" s="637">
        <f t="shared" si="74"/>
        <v>15.143390625</v>
      </c>
      <c r="E2145" s="637">
        <f t="shared" si="75"/>
        <v>29.817218750000006</v>
      </c>
    </row>
    <row r="2146" spans="1:5">
      <c r="A2146">
        <v>33113</v>
      </c>
      <c r="B2146">
        <v>600</v>
      </c>
      <c r="C2146" s="455">
        <v>8.0519999999999996</v>
      </c>
      <c r="D2146" s="637">
        <f t="shared" si="74"/>
        <v>16.229812500000001</v>
      </c>
      <c r="E2146" s="637">
        <f t="shared" si="75"/>
        <v>31.956375000000008</v>
      </c>
    </row>
    <row r="2147" spans="1:5">
      <c r="A2147">
        <v>33113</v>
      </c>
      <c r="B2147">
        <v>700</v>
      </c>
      <c r="C2147" s="455">
        <v>3.5680000000000001</v>
      </c>
      <c r="D2147" s="637">
        <f t="shared" si="74"/>
        <v>7.1917499999999999</v>
      </c>
      <c r="E2147" s="637">
        <f t="shared" si="75"/>
        <v>14.160500000000003</v>
      </c>
    </row>
    <row r="2148" spans="1:5">
      <c r="A2148">
        <v>33113</v>
      </c>
      <c r="B2148">
        <v>800</v>
      </c>
      <c r="C2148" s="455">
        <v>0</v>
      </c>
      <c r="D2148" s="637">
        <f t="shared" si="74"/>
        <v>0</v>
      </c>
      <c r="E2148" s="637">
        <f t="shared" si="75"/>
        <v>0</v>
      </c>
    </row>
    <row r="2149" spans="1:5">
      <c r="A2149">
        <v>33113</v>
      </c>
      <c r="B2149">
        <v>900</v>
      </c>
      <c r="C2149" s="455">
        <v>0</v>
      </c>
      <c r="D2149" s="637">
        <f t="shared" si="74"/>
        <v>0</v>
      </c>
      <c r="E2149" s="637">
        <f t="shared" si="75"/>
        <v>0</v>
      </c>
    </row>
    <row r="2150" spans="1:5">
      <c r="A2150">
        <v>33113</v>
      </c>
      <c r="B2150">
        <v>1000</v>
      </c>
      <c r="C2150" s="455">
        <v>0</v>
      </c>
      <c r="D2150" s="637">
        <f t="shared" si="74"/>
        <v>0</v>
      </c>
      <c r="E2150" s="637">
        <f t="shared" si="75"/>
        <v>0</v>
      </c>
    </row>
    <row r="2151" spans="1:5">
      <c r="A2151">
        <v>33113</v>
      </c>
      <c r="B2151">
        <v>1100</v>
      </c>
      <c r="C2151" s="455">
        <v>0</v>
      </c>
      <c r="D2151" s="637">
        <f t="shared" si="74"/>
        <v>0</v>
      </c>
      <c r="E2151" s="637">
        <f t="shared" si="75"/>
        <v>0</v>
      </c>
    </row>
    <row r="2152" spans="1:5">
      <c r="A2152">
        <v>33113</v>
      </c>
      <c r="B2152">
        <v>1200</v>
      </c>
      <c r="C2152" s="455">
        <v>0</v>
      </c>
      <c r="D2152" s="637">
        <f t="shared" si="74"/>
        <v>0</v>
      </c>
      <c r="E2152" s="637">
        <f t="shared" si="75"/>
        <v>0</v>
      </c>
    </row>
    <row r="2153" spans="1:5">
      <c r="A2153">
        <v>33113</v>
      </c>
      <c r="B2153">
        <v>1300</v>
      </c>
      <c r="C2153" s="455">
        <v>0</v>
      </c>
      <c r="D2153" s="637">
        <f t="shared" si="74"/>
        <v>0</v>
      </c>
      <c r="E2153" s="637">
        <f t="shared" si="75"/>
        <v>0</v>
      </c>
    </row>
    <row r="2154" spans="1:5">
      <c r="A2154">
        <v>33113</v>
      </c>
      <c r="B2154">
        <v>1400</v>
      </c>
      <c r="C2154" s="455">
        <v>0</v>
      </c>
      <c r="D2154" s="637">
        <f t="shared" si="74"/>
        <v>0</v>
      </c>
      <c r="E2154" s="637">
        <f t="shared" si="75"/>
        <v>0</v>
      </c>
    </row>
    <row r="2155" spans="1:5">
      <c r="A2155">
        <v>33113</v>
      </c>
      <c r="B2155">
        <v>1500</v>
      </c>
      <c r="C2155" s="455">
        <v>0</v>
      </c>
      <c r="D2155" s="637">
        <f t="shared" si="74"/>
        <v>0</v>
      </c>
      <c r="E2155" s="637">
        <f t="shared" si="75"/>
        <v>0</v>
      </c>
    </row>
    <row r="2156" spans="1:5">
      <c r="A2156">
        <v>33113</v>
      </c>
      <c r="B2156">
        <v>1600</v>
      </c>
      <c r="C2156" s="455">
        <v>0</v>
      </c>
      <c r="D2156" s="637">
        <f t="shared" si="74"/>
        <v>0</v>
      </c>
      <c r="E2156" s="637">
        <f t="shared" si="75"/>
        <v>0</v>
      </c>
    </row>
    <row r="2157" spans="1:5">
      <c r="A2157">
        <v>33113</v>
      </c>
      <c r="B2157">
        <v>1700</v>
      </c>
      <c r="C2157" s="455">
        <v>0</v>
      </c>
      <c r="D2157" s="637">
        <f t="shared" si="74"/>
        <v>0</v>
      </c>
      <c r="E2157" s="637">
        <f t="shared" si="75"/>
        <v>0</v>
      </c>
    </row>
    <row r="2158" spans="1:5">
      <c r="A2158">
        <v>33113</v>
      </c>
      <c r="B2158">
        <v>1800</v>
      </c>
      <c r="C2158" s="455">
        <v>0</v>
      </c>
      <c r="D2158" s="637">
        <f t="shared" si="74"/>
        <v>0</v>
      </c>
      <c r="E2158" s="637">
        <f t="shared" si="75"/>
        <v>0</v>
      </c>
    </row>
    <row r="2159" spans="1:5">
      <c r="A2159">
        <v>33113</v>
      </c>
      <c r="B2159">
        <v>1900</v>
      </c>
      <c r="C2159" s="455">
        <v>5.6230000000000002</v>
      </c>
      <c r="D2159" s="637">
        <f t="shared" si="74"/>
        <v>11.333859374999999</v>
      </c>
      <c r="E2159" s="637">
        <f t="shared" si="75"/>
        <v>22.316281250000007</v>
      </c>
    </row>
    <row r="2160" spans="1:5">
      <c r="A2160">
        <v>33113</v>
      </c>
      <c r="B2160">
        <v>2000</v>
      </c>
      <c r="C2160" s="455">
        <v>7.0279999999999996</v>
      </c>
      <c r="D2160" s="637">
        <f t="shared" si="74"/>
        <v>14.165812499999999</v>
      </c>
      <c r="E2160" s="637">
        <f t="shared" si="75"/>
        <v>27.892375000000008</v>
      </c>
    </row>
    <row r="2161" spans="1:5">
      <c r="A2161">
        <v>33113</v>
      </c>
      <c r="B2161">
        <v>2100</v>
      </c>
      <c r="C2161" s="455">
        <v>7.2679999999999998</v>
      </c>
      <c r="D2161" s="637">
        <f t="shared" si="74"/>
        <v>14.6495625</v>
      </c>
      <c r="E2161" s="637">
        <f t="shared" si="75"/>
        <v>28.844875000000005</v>
      </c>
    </row>
    <row r="2162" spans="1:5">
      <c r="A2162">
        <v>33113</v>
      </c>
      <c r="B2162">
        <v>2200</v>
      </c>
      <c r="C2162" s="455">
        <v>7.25</v>
      </c>
      <c r="D2162" s="637">
        <f t="shared" si="74"/>
        <v>14.61328125</v>
      </c>
      <c r="E2162" s="637">
        <f t="shared" si="75"/>
        <v>28.773437500000007</v>
      </c>
    </row>
    <row r="2163" spans="1:5">
      <c r="A2163">
        <v>33113</v>
      </c>
      <c r="B2163">
        <v>2300</v>
      </c>
      <c r="C2163" s="455">
        <v>7.3739999999999997</v>
      </c>
      <c r="D2163" s="637">
        <f t="shared" si="74"/>
        <v>14.86321875</v>
      </c>
      <c r="E2163" s="637">
        <f t="shared" si="75"/>
        <v>29.265562500000005</v>
      </c>
    </row>
    <row r="2164" spans="1:5">
      <c r="A2164" s="647">
        <v>33113</v>
      </c>
      <c r="B2164" s="647">
        <v>2400</v>
      </c>
      <c r="C2164" s="648">
        <v>7.649</v>
      </c>
      <c r="D2164" s="637">
        <f t="shared" si="74"/>
        <v>15.417515625</v>
      </c>
      <c r="E2164" s="645">
        <f t="shared" si="75"/>
        <v>30.356968750000007</v>
      </c>
    </row>
    <row r="2165" spans="1:5">
      <c r="A2165">
        <v>40113</v>
      </c>
      <c r="B2165">
        <v>100</v>
      </c>
      <c r="C2165" s="455">
        <v>7.7919999999999998</v>
      </c>
      <c r="D2165" s="637">
        <f>(C2165/(MAX($C$2165:$C$2884)))*$W$8</f>
        <v>18.354488888888891</v>
      </c>
      <c r="E2165" s="637">
        <f>(C2165/(MAX($C$2165:$C$2884)))*$P$8</f>
        <v>33.592177777777785</v>
      </c>
    </row>
    <row r="2166" spans="1:5">
      <c r="A2166">
        <v>40113</v>
      </c>
      <c r="B2166">
        <v>200</v>
      </c>
      <c r="C2166" s="455">
        <v>7.6660000000000004</v>
      </c>
      <c r="D2166" s="637">
        <f t="shared" ref="D2166:D2229" si="76">(C2166/(MAX($C$2165:$C$2884)))*$W$8</f>
        <v>18.057688888888887</v>
      </c>
      <c r="E2166" s="637">
        <f t="shared" ref="E2166:E2229" si="77">(C2166/(MAX($C$2165:$C$2884)))*$P$8</f>
        <v>33.048977777777786</v>
      </c>
    </row>
    <row r="2167" spans="1:5">
      <c r="A2167">
        <v>40113</v>
      </c>
      <c r="B2167">
        <v>300</v>
      </c>
      <c r="C2167" s="455">
        <v>7.72</v>
      </c>
      <c r="D2167" s="637">
        <f t="shared" si="76"/>
        <v>18.184888888888889</v>
      </c>
      <c r="E2167" s="637">
        <f t="shared" si="77"/>
        <v>33.281777777777783</v>
      </c>
    </row>
    <row r="2168" spans="1:5">
      <c r="A2168">
        <v>40113</v>
      </c>
      <c r="B2168">
        <v>400</v>
      </c>
      <c r="C2168" s="455">
        <v>7.6449999999999996</v>
      </c>
      <c r="D2168" s="637">
        <f t="shared" si="76"/>
        <v>18.008222222222223</v>
      </c>
      <c r="E2168" s="637">
        <f t="shared" si="77"/>
        <v>32.958444444444453</v>
      </c>
    </row>
    <row r="2169" spans="1:5">
      <c r="A2169">
        <v>40113</v>
      </c>
      <c r="B2169">
        <v>500</v>
      </c>
      <c r="C2169" s="455">
        <v>7.5819999999999999</v>
      </c>
      <c r="D2169" s="637">
        <f t="shared" si="76"/>
        <v>17.85982222222222</v>
      </c>
      <c r="E2169" s="637">
        <f t="shared" si="77"/>
        <v>32.686844444444453</v>
      </c>
    </row>
    <row r="2170" spans="1:5">
      <c r="A2170">
        <v>40113</v>
      </c>
      <c r="B2170">
        <v>600</v>
      </c>
      <c r="C2170" s="455">
        <v>8.7170000000000005</v>
      </c>
      <c r="D2170" s="637">
        <f t="shared" si="76"/>
        <v>20.533377777777776</v>
      </c>
      <c r="E2170" s="637">
        <f t="shared" si="77"/>
        <v>37.579955555555564</v>
      </c>
    </row>
    <row r="2171" spans="1:5">
      <c r="A2171">
        <v>40113</v>
      </c>
      <c r="B2171">
        <v>700</v>
      </c>
      <c r="C2171" s="455">
        <v>2.323</v>
      </c>
      <c r="D2171" s="637">
        <f t="shared" si="76"/>
        <v>5.4719555555555557</v>
      </c>
      <c r="E2171" s="637">
        <f t="shared" si="77"/>
        <v>10.014711111111113</v>
      </c>
    </row>
    <row r="2172" spans="1:5">
      <c r="A2172">
        <v>40113</v>
      </c>
      <c r="B2172">
        <v>800</v>
      </c>
      <c r="C2172" s="455">
        <v>0</v>
      </c>
      <c r="D2172" s="637">
        <f t="shared" si="76"/>
        <v>0</v>
      </c>
      <c r="E2172" s="637">
        <f t="shared" si="77"/>
        <v>0</v>
      </c>
    </row>
    <row r="2173" spans="1:5">
      <c r="A2173">
        <v>40113</v>
      </c>
      <c r="B2173">
        <v>900</v>
      </c>
      <c r="C2173" s="455">
        <v>1E-3</v>
      </c>
      <c r="D2173" s="637">
        <f t="shared" si="76"/>
        <v>2.3555555555555556E-3</v>
      </c>
      <c r="E2173" s="637">
        <f t="shared" si="77"/>
        <v>4.3111111111111119E-3</v>
      </c>
    </row>
    <row r="2174" spans="1:5">
      <c r="A2174">
        <v>40113</v>
      </c>
      <c r="B2174">
        <v>1000</v>
      </c>
      <c r="C2174" s="455">
        <v>0</v>
      </c>
      <c r="D2174" s="637">
        <f t="shared" si="76"/>
        <v>0</v>
      </c>
      <c r="E2174" s="637">
        <f t="shared" si="77"/>
        <v>0</v>
      </c>
    </row>
    <row r="2175" spans="1:5">
      <c r="A2175">
        <v>40113</v>
      </c>
      <c r="B2175">
        <v>1100</v>
      </c>
      <c r="C2175" s="455">
        <v>0</v>
      </c>
      <c r="D2175" s="637">
        <f t="shared" si="76"/>
        <v>0</v>
      </c>
      <c r="E2175" s="637">
        <f t="shared" si="77"/>
        <v>0</v>
      </c>
    </row>
    <row r="2176" spans="1:5">
      <c r="A2176">
        <v>40113</v>
      </c>
      <c r="B2176">
        <v>1200</v>
      </c>
      <c r="C2176" s="455">
        <v>0</v>
      </c>
      <c r="D2176" s="637">
        <f t="shared" si="76"/>
        <v>0</v>
      </c>
      <c r="E2176" s="637">
        <f t="shared" si="77"/>
        <v>0</v>
      </c>
    </row>
    <row r="2177" spans="1:5">
      <c r="A2177">
        <v>40113</v>
      </c>
      <c r="B2177">
        <v>1300</v>
      </c>
      <c r="C2177" s="455">
        <v>0</v>
      </c>
      <c r="D2177" s="637">
        <f t="shared" si="76"/>
        <v>0</v>
      </c>
      <c r="E2177" s="637">
        <f t="shared" si="77"/>
        <v>0</v>
      </c>
    </row>
    <row r="2178" spans="1:5">
      <c r="A2178">
        <v>40113</v>
      </c>
      <c r="B2178">
        <v>1400</v>
      </c>
      <c r="C2178" s="455">
        <v>0</v>
      </c>
      <c r="D2178" s="637">
        <f t="shared" si="76"/>
        <v>0</v>
      </c>
      <c r="E2178" s="637">
        <f t="shared" si="77"/>
        <v>0</v>
      </c>
    </row>
    <row r="2179" spans="1:5">
      <c r="A2179">
        <v>40113</v>
      </c>
      <c r="B2179">
        <v>1500</v>
      </c>
      <c r="C2179" s="455">
        <v>0</v>
      </c>
      <c r="D2179" s="637">
        <f t="shared" si="76"/>
        <v>0</v>
      </c>
      <c r="E2179" s="637">
        <f t="shared" si="77"/>
        <v>0</v>
      </c>
    </row>
    <row r="2180" spans="1:5">
      <c r="A2180">
        <v>40113</v>
      </c>
      <c r="B2180">
        <v>1600</v>
      </c>
      <c r="C2180" s="455">
        <v>0</v>
      </c>
      <c r="D2180" s="637">
        <f t="shared" si="76"/>
        <v>0</v>
      </c>
      <c r="E2180" s="637">
        <f t="shared" si="77"/>
        <v>0</v>
      </c>
    </row>
    <row r="2181" spans="1:5">
      <c r="A2181">
        <v>40113</v>
      </c>
      <c r="B2181">
        <v>1700</v>
      </c>
      <c r="C2181" s="455">
        <v>0</v>
      </c>
      <c r="D2181" s="637">
        <f t="shared" si="76"/>
        <v>0</v>
      </c>
      <c r="E2181" s="637">
        <f t="shared" si="77"/>
        <v>0</v>
      </c>
    </row>
    <row r="2182" spans="1:5">
      <c r="A2182">
        <v>40113</v>
      </c>
      <c r="B2182">
        <v>1800</v>
      </c>
      <c r="C2182" s="455">
        <v>0</v>
      </c>
      <c r="D2182" s="637">
        <f t="shared" si="76"/>
        <v>0</v>
      </c>
      <c r="E2182" s="637">
        <f t="shared" si="77"/>
        <v>0</v>
      </c>
    </row>
    <row r="2183" spans="1:5">
      <c r="A2183">
        <v>40113</v>
      </c>
      <c r="B2183">
        <v>1900</v>
      </c>
      <c r="C2183" s="455">
        <v>4.4710000000000001</v>
      </c>
      <c r="D2183" s="637">
        <f t="shared" si="76"/>
        <v>10.531688888888889</v>
      </c>
      <c r="E2183" s="637">
        <f t="shared" si="77"/>
        <v>19.274977777777782</v>
      </c>
    </row>
    <row r="2184" spans="1:5">
      <c r="A2184">
        <v>40113</v>
      </c>
      <c r="B2184">
        <v>2000</v>
      </c>
      <c r="C2184" s="455">
        <v>8.4019999999999992</v>
      </c>
      <c r="D2184" s="637">
        <f t="shared" si="76"/>
        <v>19.791377777777775</v>
      </c>
      <c r="E2184" s="637">
        <f t="shared" si="77"/>
        <v>36.22195555555556</v>
      </c>
    </row>
    <row r="2185" spans="1:5">
      <c r="A2185">
        <v>40113</v>
      </c>
      <c r="B2185">
        <v>2100</v>
      </c>
      <c r="C2185" s="455">
        <v>7.64</v>
      </c>
      <c r="D2185" s="637">
        <f t="shared" si="76"/>
        <v>17.996444444444442</v>
      </c>
      <c r="E2185" s="637">
        <f t="shared" si="77"/>
        <v>32.936888888888895</v>
      </c>
    </row>
    <row r="2186" spans="1:5">
      <c r="A2186">
        <v>40113</v>
      </c>
      <c r="B2186">
        <v>2200</v>
      </c>
      <c r="C2186" s="455">
        <v>7.58</v>
      </c>
      <c r="D2186" s="637">
        <f t="shared" si="76"/>
        <v>17.855111111111114</v>
      </c>
      <c r="E2186" s="637">
        <f t="shared" si="77"/>
        <v>32.678222222222232</v>
      </c>
    </row>
    <row r="2187" spans="1:5">
      <c r="A2187">
        <v>40113</v>
      </c>
      <c r="B2187">
        <v>2300</v>
      </c>
      <c r="C2187" s="455">
        <v>7.78</v>
      </c>
      <c r="D2187" s="637">
        <f t="shared" si="76"/>
        <v>18.326222222222221</v>
      </c>
      <c r="E2187" s="637">
        <f t="shared" si="77"/>
        <v>33.540444444444454</v>
      </c>
    </row>
    <row r="2188" spans="1:5">
      <c r="A2188">
        <v>40113</v>
      </c>
      <c r="B2188">
        <v>2400</v>
      </c>
      <c r="C2188" s="455">
        <v>7.5149999999999997</v>
      </c>
      <c r="D2188" s="637">
        <f t="shared" si="76"/>
        <v>17.701999999999998</v>
      </c>
      <c r="E2188" s="637">
        <f t="shared" si="77"/>
        <v>32.398000000000003</v>
      </c>
    </row>
    <row r="2189" spans="1:5">
      <c r="A2189">
        <v>40213</v>
      </c>
      <c r="B2189">
        <v>100</v>
      </c>
      <c r="C2189" s="455">
        <v>8.3640000000000008</v>
      </c>
      <c r="D2189" s="637">
        <f t="shared" si="76"/>
        <v>19.701866666666668</v>
      </c>
      <c r="E2189" s="637">
        <f t="shared" si="77"/>
        <v>36.058133333333345</v>
      </c>
    </row>
    <row r="2190" spans="1:5">
      <c r="A2190">
        <v>40213</v>
      </c>
      <c r="B2190">
        <v>200</v>
      </c>
      <c r="C2190" s="455">
        <v>8.0739999999999998</v>
      </c>
      <c r="D2190" s="637">
        <f t="shared" si="76"/>
        <v>19.018755555555558</v>
      </c>
      <c r="E2190" s="637">
        <f t="shared" si="77"/>
        <v>34.807911111111125</v>
      </c>
    </row>
    <row r="2191" spans="1:5">
      <c r="A2191">
        <v>40213</v>
      </c>
      <c r="B2191">
        <v>300</v>
      </c>
      <c r="C2191" s="455">
        <v>8.2189999999999994</v>
      </c>
      <c r="D2191" s="637">
        <f t="shared" si="76"/>
        <v>19.360311111111109</v>
      </c>
      <c r="E2191" s="637">
        <f t="shared" si="77"/>
        <v>35.433022222222228</v>
      </c>
    </row>
    <row r="2192" spans="1:5">
      <c r="A2192">
        <v>40213</v>
      </c>
      <c r="B2192">
        <v>400</v>
      </c>
      <c r="C2192" s="455">
        <v>8.5950000000000006</v>
      </c>
      <c r="D2192" s="637">
        <f t="shared" si="76"/>
        <v>20.246000000000002</v>
      </c>
      <c r="E2192" s="637">
        <f t="shared" si="77"/>
        <v>37.054000000000009</v>
      </c>
    </row>
    <row r="2193" spans="1:5">
      <c r="A2193">
        <v>40213</v>
      </c>
      <c r="B2193">
        <v>500</v>
      </c>
      <c r="C2193" s="455">
        <v>8.3569999999999993</v>
      </c>
      <c r="D2193" s="637">
        <f t="shared" si="76"/>
        <v>19.685377777777774</v>
      </c>
      <c r="E2193" s="637">
        <f t="shared" si="77"/>
        <v>36.027955555555558</v>
      </c>
    </row>
    <row r="2194" spans="1:5">
      <c r="A2194">
        <v>40213</v>
      </c>
      <c r="B2194">
        <v>600</v>
      </c>
      <c r="C2194" s="455">
        <v>9.2420000000000009</v>
      </c>
      <c r="D2194" s="637">
        <f t="shared" si="76"/>
        <v>21.770044444444448</v>
      </c>
      <c r="E2194" s="637">
        <f t="shared" si="77"/>
        <v>39.8432888888889</v>
      </c>
    </row>
    <row r="2195" spans="1:5">
      <c r="A2195">
        <v>40213</v>
      </c>
      <c r="B2195">
        <v>700</v>
      </c>
      <c r="C2195" s="455">
        <v>1.714</v>
      </c>
      <c r="D2195" s="637">
        <f t="shared" si="76"/>
        <v>4.0374222222222222</v>
      </c>
      <c r="E2195" s="637">
        <f t="shared" si="77"/>
        <v>7.3892444444444463</v>
      </c>
    </row>
    <row r="2196" spans="1:5">
      <c r="A2196">
        <v>40213</v>
      </c>
      <c r="B2196">
        <v>800</v>
      </c>
      <c r="C2196" s="455">
        <v>0</v>
      </c>
      <c r="D2196" s="637">
        <f t="shared" si="76"/>
        <v>0</v>
      </c>
      <c r="E2196" s="637">
        <f t="shared" si="77"/>
        <v>0</v>
      </c>
    </row>
    <row r="2197" spans="1:5">
      <c r="A2197">
        <v>40213</v>
      </c>
      <c r="B2197">
        <v>900</v>
      </c>
      <c r="C2197" s="455">
        <v>1E-3</v>
      </c>
      <c r="D2197" s="637">
        <f t="shared" si="76"/>
        <v>2.3555555555555556E-3</v>
      </c>
      <c r="E2197" s="637">
        <f t="shared" si="77"/>
        <v>4.3111111111111119E-3</v>
      </c>
    </row>
    <row r="2198" spans="1:5">
      <c r="A2198">
        <v>40213</v>
      </c>
      <c r="B2198">
        <v>1000</v>
      </c>
      <c r="C2198" s="455">
        <v>1.1519999999999999</v>
      </c>
      <c r="D2198" s="637">
        <f t="shared" si="76"/>
        <v>2.7135999999999996</v>
      </c>
      <c r="E2198" s="637">
        <f t="shared" si="77"/>
        <v>4.966400000000001</v>
      </c>
    </row>
    <row r="2199" spans="1:5">
      <c r="A2199">
        <v>40213</v>
      </c>
      <c r="B2199">
        <v>1100</v>
      </c>
      <c r="C2199" s="455">
        <v>1.512</v>
      </c>
      <c r="D2199" s="637">
        <f t="shared" si="76"/>
        <v>3.5615999999999999</v>
      </c>
      <c r="E2199" s="637">
        <f t="shared" si="77"/>
        <v>6.5184000000000015</v>
      </c>
    </row>
    <row r="2200" spans="1:5">
      <c r="A2200">
        <v>40213</v>
      </c>
      <c r="B2200">
        <v>1200</v>
      </c>
      <c r="C2200" s="455">
        <v>1.5840000000000001</v>
      </c>
      <c r="D2200" s="637">
        <f t="shared" si="76"/>
        <v>3.7312000000000003</v>
      </c>
      <c r="E2200" s="637">
        <f t="shared" si="77"/>
        <v>6.828800000000002</v>
      </c>
    </row>
    <row r="2201" spans="1:5">
      <c r="A2201">
        <v>40213</v>
      </c>
      <c r="B2201">
        <v>1300</v>
      </c>
      <c r="C2201" s="455">
        <v>1.512</v>
      </c>
      <c r="D2201" s="637">
        <f t="shared" si="76"/>
        <v>3.5615999999999999</v>
      </c>
      <c r="E2201" s="637">
        <f t="shared" si="77"/>
        <v>6.5184000000000015</v>
      </c>
    </row>
    <row r="2202" spans="1:5">
      <c r="A2202">
        <v>40213</v>
      </c>
      <c r="B2202">
        <v>1400</v>
      </c>
      <c r="C2202" s="455">
        <v>0.504</v>
      </c>
      <c r="D2202" s="637">
        <f t="shared" si="76"/>
        <v>1.1872</v>
      </c>
      <c r="E2202" s="637">
        <f t="shared" si="77"/>
        <v>2.1728000000000005</v>
      </c>
    </row>
    <row r="2203" spans="1:5">
      <c r="A2203">
        <v>40213</v>
      </c>
      <c r="B2203">
        <v>1500</v>
      </c>
      <c r="C2203" s="455">
        <v>0</v>
      </c>
      <c r="D2203" s="637">
        <f t="shared" si="76"/>
        <v>0</v>
      </c>
      <c r="E2203" s="637">
        <f t="shared" si="77"/>
        <v>0</v>
      </c>
    </row>
    <row r="2204" spans="1:5">
      <c r="A2204">
        <v>40213</v>
      </c>
      <c r="B2204">
        <v>1600</v>
      </c>
      <c r="C2204" s="455">
        <v>1E-3</v>
      </c>
      <c r="D2204" s="637">
        <f t="shared" si="76"/>
        <v>2.3555555555555556E-3</v>
      </c>
      <c r="E2204" s="637">
        <f t="shared" si="77"/>
        <v>4.3111111111111119E-3</v>
      </c>
    </row>
    <row r="2205" spans="1:5">
      <c r="A2205">
        <v>40213</v>
      </c>
      <c r="B2205">
        <v>1700</v>
      </c>
      <c r="C2205" s="455">
        <v>0</v>
      </c>
      <c r="D2205" s="637">
        <f t="shared" si="76"/>
        <v>0</v>
      </c>
      <c r="E2205" s="637">
        <f t="shared" si="77"/>
        <v>0</v>
      </c>
    </row>
    <row r="2206" spans="1:5">
      <c r="A2206">
        <v>40213</v>
      </c>
      <c r="B2206">
        <v>1800</v>
      </c>
      <c r="C2206" s="455">
        <v>0</v>
      </c>
      <c r="D2206" s="637">
        <f t="shared" si="76"/>
        <v>0</v>
      </c>
      <c r="E2206" s="637">
        <f t="shared" si="77"/>
        <v>0</v>
      </c>
    </row>
    <row r="2207" spans="1:5">
      <c r="A2207">
        <v>40213</v>
      </c>
      <c r="B2207">
        <v>1900</v>
      </c>
      <c r="C2207" s="455">
        <v>3.8519999999999999</v>
      </c>
      <c r="D2207" s="637">
        <f t="shared" si="76"/>
        <v>9.073599999999999</v>
      </c>
      <c r="E2207" s="637">
        <f t="shared" si="77"/>
        <v>16.606400000000001</v>
      </c>
    </row>
    <row r="2208" spans="1:5">
      <c r="A2208">
        <v>40213</v>
      </c>
      <c r="B2208">
        <v>2000</v>
      </c>
      <c r="C2208" s="455">
        <v>8.3149999999999995</v>
      </c>
      <c r="D2208" s="637">
        <f t="shared" si="76"/>
        <v>19.586444444444442</v>
      </c>
      <c r="E2208" s="637">
        <f t="shared" si="77"/>
        <v>35.846888888888891</v>
      </c>
    </row>
    <row r="2209" spans="1:5">
      <c r="A2209">
        <v>40213</v>
      </c>
      <c r="B2209">
        <v>2100</v>
      </c>
      <c r="C2209" s="455">
        <v>7.6529999999999996</v>
      </c>
      <c r="D2209" s="637">
        <f t="shared" si="76"/>
        <v>18.027066666666666</v>
      </c>
      <c r="E2209" s="637">
        <f t="shared" si="77"/>
        <v>32.99293333333334</v>
      </c>
    </row>
    <row r="2210" spans="1:5">
      <c r="A2210">
        <v>40213</v>
      </c>
      <c r="B2210">
        <v>2200</v>
      </c>
      <c r="C2210" s="455">
        <v>7.649</v>
      </c>
      <c r="D2210" s="637">
        <f t="shared" si="76"/>
        <v>18.017644444444443</v>
      </c>
      <c r="E2210" s="637">
        <f t="shared" si="77"/>
        <v>32.975688888888897</v>
      </c>
    </row>
    <row r="2211" spans="1:5">
      <c r="A2211">
        <v>40213</v>
      </c>
      <c r="B2211">
        <v>2300</v>
      </c>
      <c r="C2211" s="455">
        <v>7.7439999999999998</v>
      </c>
      <c r="D2211" s="637">
        <f t="shared" si="76"/>
        <v>18.241422222222219</v>
      </c>
      <c r="E2211" s="637">
        <f t="shared" si="77"/>
        <v>33.385244444444453</v>
      </c>
    </row>
    <row r="2212" spans="1:5">
      <c r="A2212">
        <v>40213</v>
      </c>
      <c r="B2212">
        <v>2400</v>
      </c>
      <c r="C2212" s="455">
        <v>7.7249999999999996</v>
      </c>
      <c r="D2212" s="637">
        <f t="shared" si="76"/>
        <v>18.196666666666665</v>
      </c>
      <c r="E2212" s="637">
        <f t="shared" si="77"/>
        <v>33.303333333333335</v>
      </c>
    </row>
    <row r="2213" spans="1:5">
      <c r="A2213">
        <v>40313</v>
      </c>
      <c r="B2213">
        <v>100</v>
      </c>
      <c r="C2213" s="455">
        <v>7.7240000000000002</v>
      </c>
      <c r="D2213" s="637">
        <f t="shared" si="76"/>
        <v>18.194311111111112</v>
      </c>
      <c r="E2213" s="637">
        <f t="shared" si="77"/>
        <v>33.299022222222234</v>
      </c>
    </row>
    <row r="2214" spans="1:5">
      <c r="A2214">
        <v>40313</v>
      </c>
      <c r="B2214">
        <v>200</v>
      </c>
      <c r="C2214" s="455">
        <v>7.8209999999999997</v>
      </c>
      <c r="D2214" s="637">
        <f t="shared" si="76"/>
        <v>18.422799999999999</v>
      </c>
      <c r="E2214" s="637">
        <f t="shared" si="77"/>
        <v>33.717200000000005</v>
      </c>
    </row>
    <row r="2215" spans="1:5">
      <c r="A2215">
        <v>40313</v>
      </c>
      <c r="B2215">
        <v>300</v>
      </c>
      <c r="C2215" s="455">
        <v>8.3770000000000007</v>
      </c>
      <c r="D2215" s="637">
        <f t="shared" si="76"/>
        <v>19.732488888888888</v>
      </c>
      <c r="E2215" s="637">
        <f t="shared" si="77"/>
        <v>36.11417777777779</v>
      </c>
    </row>
    <row r="2216" spans="1:5">
      <c r="A2216">
        <v>40313</v>
      </c>
      <c r="B2216">
        <v>400</v>
      </c>
      <c r="C2216" s="455">
        <v>8.3710000000000004</v>
      </c>
      <c r="D2216" s="637">
        <f t="shared" si="76"/>
        <v>19.718355555555554</v>
      </c>
      <c r="E2216" s="637">
        <f t="shared" si="77"/>
        <v>36.088311111111118</v>
      </c>
    </row>
    <row r="2217" spans="1:5">
      <c r="A2217">
        <v>40313</v>
      </c>
      <c r="B2217">
        <v>500</v>
      </c>
      <c r="C2217" s="455">
        <v>8.1649999999999991</v>
      </c>
      <c r="D2217" s="637">
        <f t="shared" si="76"/>
        <v>19.233111111111107</v>
      </c>
      <c r="E2217" s="637">
        <f t="shared" si="77"/>
        <v>35.200222222222223</v>
      </c>
    </row>
    <row r="2218" spans="1:5">
      <c r="A2218">
        <v>40313</v>
      </c>
      <c r="B2218">
        <v>600</v>
      </c>
      <c r="C2218" s="455">
        <v>9.0399999999999991</v>
      </c>
      <c r="D2218" s="637">
        <f t="shared" si="76"/>
        <v>21.294222222222221</v>
      </c>
      <c r="E2218" s="637">
        <f t="shared" si="77"/>
        <v>38.972444444444449</v>
      </c>
    </row>
    <row r="2219" spans="1:5">
      <c r="A2219">
        <v>40313</v>
      </c>
      <c r="B2219">
        <v>700</v>
      </c>
      <c r="C2219" s="455">
        <v>1.248</v>
      </c>
      <c r="D2219" s="637">
        <f t="shared" si="76"/>
        <v>2.9397333333333333</v>
      </c>
      <c r="E2219" s="637">
        <f t="shared" si="77"/>
        <v>5.3802666666666674</v>
      </c>
    </row>
    <row r="2220" spans="1:5">
      <c r="A2220">
        <v>40313</v>
      </c>
      <c r="B2220">
        <v>800</v>
      </c>
      <c r="C2220" s="455">
        <v>0</v>
      </c>
      <c r="D2220" s="637">
        <f t="shared" si="76"/>
        <v>0</v>
      </c>
      <c r="E2220" s="637">
        <f t="shared" si="77"/>
        <v>0</v>
      </c>
    </row>
    <row r="2221" spans="1:5">
      <c r="A2221">
        <v>40313</v>
      </c>
      <c r="B2221">
        <v>900</v>
      </c>
      <c r="C2221" s="455">
        <v>0</v>
      </c>
      <c r="D2221" s="637">
        <f t="shared" si="76"/>
        <v>0</v>
      </c>
      <c r="E2221" s="637">
        <f t="shared" si="77"/>
        <v>0</v>
      </c>
    </row>
    <row r="2222" spans="1:5">
      <c r="A2222">
        <v>40313</v>
      </c>
      <c r="B2222">
        <v>1000</v>
      </c>
      <c r="C2222" s="455">
        <v>0</v>
      </c>
      <c r="D2222" s="637">
        <f t="shared" si="76"/>
        <v>0</v>
      </c>
      <c r="E2222" s="637">
        <f t="shared" si="77"/>
        <v>0</v>
      </c>
    </row>
    <row r="2223" spans="1:5">
      <c r="A2223">
        <v>40313</v>
      </c>
      <c r="B2223">
        <v>1100</v>
      </c>
      <c r="C2223" s="455">
        <v>0</v>
      </c>
      <c r="D2223" s="637">
        <f t="shared" si="76"/>
        <v>0</v>
      </c>
      <c r="E2223" s="637">
        <f t="shared" si="77"/>
        <v>0</v>
      </c>
    </row>
    <row r="2224" spans="1:5">
      <c r="A2224">
        <v>40313</v>
      </c>
      <c r="B2224">
        <v>1200</v>
      </c>
      <c r="C2224" s="455">
        <v>0</v>
      </c>
      <c r="D2224" s="637">
        <f t="shared" si="76"/>
        <v>0</v>
      </c>
      <c r="E2224" s="637">
        <f t="shared" si="77"/>
        <v>0</v>
      </c>
    </row>
    <row r="2225" spans="1:5">
      <c r="A2225">
        <v>40313</v>
      </c>
      <c r="B2225">
        <v>1300</v>
      </c>
      <c r="C2225" s="455">
        <v>0</v>
      </c>
      <c r="D2225" s="637">
        <f t="shared" si="76"/>
        <v>0</v>
      </c>
      <c r="E2225" s="637">
        <f t="shared" si="77"/>
        <v>0</v>
      </c>
    </row>
    <row r="2226" spans="1:5">
      <c r="A2226">
        <v>40313</v>
      </c>
      <c r="B2226">
        <v>1400</v>
      </c>
      <c r="C2226" s="455">
        <v>0</v>
      </c>
      <c r="D2226" s="637">
        <f t="shared" si="76"/>
        <v>0</v>
      </c>
      <c r="E2226" s="637">
        <f t="shared" si="77"/>
        <v>0</v>
      </c>
    </row>
    <row r="2227" spans="1:5">
      <c r="A2227">
        <v>40313</v>
      </c>
      <c r="B2227">
        <v>1500</v>
      </c>
      <c r="C2227" s="455">
        <v>0</v>
      </c>
      <c r="D2227" s="637">
        <f t="shared" si="76"/>
        <v>0</v>
      </c>
      <c r="E2227" s="637">
        <f t="shared" si="77"/>
        <v>0</v>
      </c>
    </row>
    <row r="2228" spans="1:5">
      <c r="A2228">
        <v>40313</v>
      </c>
      <c r="B2228">
        <v>1600</v>
      </c>
      <c r="C2228" s="455">
        <v>0</v>
      </c>
      <c r="D2228" s="637">
        <f t="shared" si="76"/>
        <v>0</v>
      </c>
      <c r="E2228" s="637">
        <f t="shared" si="77"/>
        <v>0</v>
      </c>
    </row>
    <row r="2229" spans="1:5">
      <c r="A2229">
        <v>40313</v>
      </c>
      <c r="B2229">
        <v>1700</v>
      </c>
      <c r="C2229" s="455">
        <v>0</v>
      </c>
      <c r="D2229" s="637">
        <f t="shared" si="76"/>
        <v>0</v>
      </c>
      <c r="E2229" s="637">
        <f t="shared" si="77"/>
        <v>0</v>
      </c>
    </row>
    <row r="2230" spans="1:5">
      <c r="A2230">
        <v>40313</v>
      </c>
      <c r="B2230">
        <v>1800</v>
      </c>
      <c r="C2230" s="455">
        <v>0</v>
      </c>
      <c r="D2230" s="637">
        <f t="shared" ref="D2230:D2293" si="78">(C2230/(MAX($C$2165:$C$2884)))*$W$8</f>
        <v>0</v>
      </c>
      <c r="E2230" s="637">
        <f t="shared" ref="E2230:E2293" si="79">(C2230/(MAX($C$2165:$C$2884)))*$P$8</f>
        <v>0</v>
      </c>
    </row>
    <row r="2231" spans="1:5">
      <c r="A2231">
        <v>40313</v>
      </c>
      <c r="B2231">
        <v>1900</v>
      </c>
      <c r="C2231" s="455">
        <v>3.093</v>
      </c>
      <c r="D2231" s="637">
        <f t="shared" si="78"/>
        <v>7.285733333333333</v>
      </c>
      <c r="E2231" s="637">
        <f t="shared" si="79"/>
        <v>13.33426666666667</v>
      </c>
    </row>
    <row r="2232" spans="1:5">
      <c r="A2232">
        <v>40313</v>
      </c>
      <c r="B2232">
        <v>2000</v>
      </c>
      <c r="C2232" s="455">
        <v>8.7129999999999992</v>
      </c>
      <c r="D2232" s="637">
        <f t="shared" si="78"/>
        <v>20.523955555555553</v>
      </c>
      <c r="E2232" s="637">
        <f t="shared" si="79"/>
        <v>37.562711111111113</v>
      </c>
    </row>
    <row r="2233" spans="1:5">
      <c r="A2233">
        <v>40313</v>
      </c>
      <c r="B2233">
        <v>2100</v>
      </c>
      <c r="C2233" s="455">
        <v>7.6459999999999999</v>
      </c>
      <c r="D2233" s="637">
        <f t="shared" si="78"/>
        <v>18.010577777777776</v>
      </c>
      <c r="E2233" s="637">
        <f t="shared" si="79"/>
        <v>32.96275555555556</v>
      </c>
    </row>
    <row r="2234" spans="1:5">
      <c r="A2234">
        <v>40313</v>
      </c>
      <c r="B2234">
        <v>2200</v>
      </c>
      <c r="C2234" s="455">
        <v>7.7210000000000001</v>
      </c>
      <c r="D2234" s="637">
        <f t="shared" si="78"/>
        <v>18.187244444444445</v>
      </c>
      <c r="E2234" s="637">
        <f t="shared" si="79"/>
        <v>33.286088888888898</v>
      </c>
    </row>
    <row r="2235" spans="1:5">
      <c r="A2235">
        <v>40313</v>
      </c>
      <c r="B2235">
        <v>2300</v>
      </c>
      <c r="C2235" s="455">
        <v>7.6680000000000001</v>
      </c>
      <c r="D2235" s="637">
        <f t="shared" si="78"/>
        <v>18.0624</v>
      </c>
      <c r="E2235" s="637">
        <f t="shared" si="79"/>
        <v>33.057600000000008</v>
      </c>
    </row>
    <row r="2236" spans="1:5">
      <c r="A2236">
        <v>40313</v>
      </c>
      <c r="B2236">
        <v>2400</v>
      </c>
      <c r="C2236" s="455">
        <v>7.6449999999999996</v>
      </c>
      <c r="D2236" s="637">
        <f t="shared" si="78"/>
        <v>18.008222222222223</v>
      </c>
      <c r="E2236" s="637">
        <f t="shared" si="79"/>
        <v>32.958444444444453</v>
      </c>
    </row>
    <row r="2237" spans="1:5">
      <c r="A2237">
        <v>40413</v>
      </c>
      <c r="B2237">
        <v>100</v>
      </c>
      <c r="C2237" s="455">
        <v>7.5739999999999998</v>
      </c>
      <c r="D2237" s="637">
        <f t="shared" si="78"/>
        <v>17.840977777777777</v>
      </c>
      <c r="E2237" s="637">
        <f t="shared" si="79"/>
        <v>32.652355555555566</v>
      </c>
    </row>
    <row r="2238" spans="1:5">
      <c r="A2238">
        <v>40413</v>
      </c>
      <c r="B2238">
        <v>200</v>
      </c>
      <c r="C2238" s="455">
        <v>7.7389999999999999</v>
      </c>
      <c r="D2238" s="637">
        <f t="shared" si="78"/>
        <v>18.229644444444446</v>
      </c>
      <c r="E2238" s="637">
        <f t="shared" si="79"/>
        <v>33.363688888888895</v>
      </c>
    </row>
    <row r="2239" spans="1:5">
      <c r="A2239">
        <v>40413</v>
      </c>
      <c r="B2239">
        <v>300</v>
      </c>
      <c r="C2239" s="455">
        <v>7.5709999999999997</v>
      </c>
      <c r="D2239" s="637">
        <f t="shared" si="78"/>
        <v>17.83391111111111</v>
      </c>
      <c r="E2239" s="637">
        <f t="shared" si="79"/>
        <v>32.63942222222223</v>
      </c>
    </row>
    <row r="2240" spans="1:5">
      <c r="A2240">
        <v>40413</v>
      </c>
      <c r="B2240">
        <v>400</v>
      </c>
      <c r="C2240" s="455">
        <v>7.6360000000000001</v>
      </c>
      <c r="D2240" s="637">
        <f t="shared" si="78"/>
        <v>17.987022222222222</v>
      </c>
      <c r="E2240" s="637">
        <f t="shared" si="79"/>
        <v>32.919644444444451</v>
      </c>
    </row>
    <row r="2241" spans="1:5">
      <c r="A2241">
        <v>40413</v>
      </c>
      <c r="B2241">
        <v>500</v>
      </c>
      <c r="C2241" s="455">
        <v>8.0969999999999995</v>
      </c>
      <c r="D2241" s="637">
        <f t="shared" si="78"/>
        <v>19.072933333333332</v>
      </c>
      <c r="E2241" s="637">
        <f t="shared" si="79"/>
        <v>34.907066666666672</v>
      </c>
    </row>
    <row r="2242" spans="1:5">
      <c r="A2242">
        <v>40413</v>
      </c>
      <c r="B2242">
        <v>600</v>
      </c>
      <c r="C2242" s="455">
        <v>8.6609999999999996</v>
      </c>
      <c r="D2242" s="637">
        <f t="shared" si="78"/>
        <v>20.401466666666664</v>
      </c>
      <c r="E2242" s="637">
        <f t="shared" si="79"/>
        <v>37.338533333333338</v>
      </c>
    </row>
    <row r="2243" spans="1:5">
      <c r="A2243">
        <v>40413</v>
      </c>
      <c r="B2243">
        <v>700</v>
      </c>
      <c r="C2243" s="455">
        <v>0.78900000000000003</v>
      </c>
      <c r="D2243" s="637">
        <f t="shared" si="78"/>
        <v>1.8585333333333336</v>
      </c>
      <c r="E2243" s="637">
        <f t="shared" si="79"/>
        <v>3.4014666666666677</v>
      </c>
    </row>
    <row r="2244" spans="1:5">
      <c r="A2244">
        <v>40413</v>
      </c>
      <c r="B2244">
        <v>800</v>
      </c>
      <c r="C2244" s="455">
        <v>0</v>
      </c>
      <c r="D2244" s="637">
        <f t="shared" si="78"/>
        <v>0</v>
      </c>
      <c r="E2244" s="637">
        <f t="shared" si="79"/>
        <v>0</v>
      </c>
    </row>
    <row r="2245" spans="1:5">
      <c r="A2245">
        <v>40413</v>
      </c>
      <c r="B2245">
        <v>900</v>
      </c>
      <c r="C2245" s="455">
        <v>0</v>
      </c>
      <c r="D2245" s="637">
        <f t="shared" si="78"/>
        <v>0</v>
      </c>
      <c r="E2245" s="637">
        <f t="shared" si="79"/>
        <v>0</v>
      </c>
    </row>
    <row r="2246" spans="1:5">
      <c r="A2246">
        <v>40413</v>
      </c>
      <c r="B2246">
        <v>1000</v>
      </c>
      <c r="C2246" s="455">
        <v>0</v>
      </c>
      <c r="D2246" s="637">
        <f t="shared" si="78"/>
        <v>0</v>
      </c>
      <c r="E2246" s="637">
        <f t="shared" si="79"/>
        <v>0</v>
      </c>
    </row>
    <row r="2247" spans="1:5">
      <c r="A2247">
        <v>40413</v>
      </c>
      <c r="B2247">
        <v>1100</v>
      </c>
      <c r="C2247" s="455">
        <v>0</v>
      </c>
      <c r="D2247" s="637">
        <f t="shared" si="78"/>
        <v>0</v>
      </c>
      <c r="E2247" s="637">
        <f t="shared" si="79"/>
        <v>0</v>
      </c>
    </row>
    <row r="2248" spans="1:5">
      <c r="A2248">
        <v>40413</v>
      </c>
      <c r="B2248">
        <v>1200</v>
      </c>
      <c r="C2248" s="455">
        <v>0</v>
      </c>
      <c r="D2248" s="637">
        <f t="shared" si="78"/>
        <v>0</v>
      </c>
      <c r="E2248" s="637">
        <f t="shared" si="79"/>
        <v>0</v>
      </c>
    </row>
    <row r="2249" spans="1:5">
      <c r="A2249">
        <v>40413</v>
      </c>
      <c r="B2249">
        <v>1300</v>
      </c>
      <c r="C2249" s="455">
        <v>0</v>
      </c>
      <c r="D2249" s="637">
        <f t="shared" si="78"/>
        <v>0</v>
      </c>
      <c r="E2249" s="637">
        <f t="shared" si="79"/>
        <v>0</v>
      </c>
    </row>
    <row r="2250" spans="1:5">
      <c r="A2250">
        <v>40413</v>
      </c>
      <c r="B2250">
        <v>1400</v>
      </c>
      <c r="C2250" s="455">
        <v>0</v>
      </c>
      <c r="D2250" s="637">
        <f t="shared" si="78"/>
        <v>0</v>
      </c>
      <c r="E2250" s="637">
        <f t="shared" si="79"/>
        <v>0</v>
      </c>
    </row>
    <row r="2251" spans="1:5">
      <c r="A2251">
        <v>40413</v>
      </c>
      <c r="B2251">
        <v>1500</v>
      </c>
      <c r="C2251" s="455">
        <v>0</v>
      </c>
      <c r="D2251" s="637">
        <f t="shared" si="78"/>
        <v>0</v>
      </c>
      <c r="E2251" s="637">
        <f t="shared" si="79"/>
        <v>0</v>
      </c>
    </row>
    <row r="2252" spans="1:5">
      <c r="A2252">
        <v>40413</v>
      </c>
      <c r="B2252">
        <v>1600</v>
      </c>
      <c r="C2252" s="455">
        <v>0</v>
      </c>
      <c r="D2252" s="637">
        <f t="shared" si="78"/>
        <v>0</v>
      </c>
      <c r="E2252" s="637">
        <f t="shared" si="79"/>
        <v>0</v>
      </c>
    </row>
    <row r="2253" spans="1:5">
      <c r="A2253">
        <v>40413</v>
      </c>
      <c r="B2253">
        <v>1700</v>
      </c>
      <c r="C2253" s="455">
        <v>0</v>
      </c>
      <c r="D2253" s="637">
        <f t="shared" si="78"/>
        <v>0</v>
      </c>
      <c r="E2253" s="637">
        <f t="shared" si="79"/>
        <v>0</v>
      </c>
    </row>
    <row r="2254" spans="1:5">
      <c r="A2254">
        <v>40413</v>
      </c>
      <c r="B2254">
        <v>1800</v>
      </c>
      <c r="C2254" s="455">
        <v>0</v>
      </c>
      <c r="D2254" s="637">
        <f t="shared" si="78"/>
        <v>0</v>
      </c>
      <c r="E2254" s="637">
        <f t="shared" si="79"/>
        <v>0</v>
      </c>
    </row>
    <row r="2255" spans="1:5">
      <c r="A2255">
        <v>40413</v>
      </c>
      <c r="B2255">
        <v>1900</v>
      </c>
      <c r="C2255" s="455">
        <v>2.484</v>
      </c>
      <c r="D2255" s="637">
        <f t="shared" si="78"/>
        <v>5.8512000000000004</v>
      </c>
      <c r="E2255" s="637">
        <f t="shared" si="79"/>
        <v>10.708800000000002</v>
      </c>
    </row>
    <row r="2256" spans="1:5">
      <c r="A2256">
        <v>40413</v>
      </c>
      <c r="B2256">
        <v>2000</v>
      </c>
      <c r="C2256" s="455">
        <v>7.867</v>
      </c>
      <c r="D2256" s="637">
        <f t="shared" si="78"/>
        <v>18.531155555555557</v>
      </c>
      <c r="E2256" s="637">
        <f t="shared" si="79"/>
        <v>33.915511111111115</v>
      </c>
    </row>
    <row r="2257" spans="1:5">
      <c r="A2257">
        <v>40413</v>
      </c>
      <c r="B2257">
        <v>2100</v>
      </c>
      <c r="C2257" s="455">
        <v>7.07</v>
      </c>
      <c r="D2257" s="637">
        <f t="shared" si="78"/>
        <v>16.65377777777778</v>
      </c>
      <c r="E2257" s="637">
        <f t="shared" si="79"/>
        <v>30.479555555555564</v>
      </c>
    </row>
    <row r="2258" spans="1:5">
      <c r="A2258">
        <v>40413</v>
      </c>
      <c r="B2258">
        <v>2200</v>
      </c>
      <c r="C2258" s="455">
        <v>7.2080000000000002</v>
      </c>
      <c r="D2258" s="637">
        <f t="shared" si="78"/>
        <v>16.978844444444444</v>
      </c>
      <c r="E2258" s="637">
        <f t="shared" si="79"/>
        <v>31.074488888888897</v>
      </c>
    </row>
    <row r="2259" spans="1:5">
      <c r="A2259">
        <v>40413</v>
      </c>
      <c r="B2259">
        <v>2300</v>
      </c>
      <c r="C2259" s="455">
        <v>7.5750000000000002</v>
      </c>
      <c r="D2259" s="637">
        <f t="shared" si="78"/>
        <v>17.843333333333334</v>
      </c>
      <c r="E2259" s="637">
        <f t="shared" si="79"/>
        <v>32.656666666666673</v>
      </c>
    </row>
    <row r="2260" spans="1:5">
      <c r="A2260">
        <v>40413</v>
      </c>
      <c r="B2260">
        <v>2400</v>
      </c>
      <c r="C2260" s="455">
        <v>7.49</v>
      </c>
      <c r="D2260" s="637">
        <f t="shared" si="78"/>
        <v>17.643111111111111</v>
      </c>
      <c r="E2260" s="637">
        <f t="shared" si="79"/>
        <v>32.290222222222233</v>
      </c>
    </row>
    <row r="2261" spans="1:5">
      <c r="A2261">
        <v>40513</v>
      </c>
      <c r="B2261">
        <v>100</v>
      </c>
      <c r="C2261" s="455">
        <v>7.4950000000000001</v>
      </c>
      <c r="D2261" s="637">
        <f t="shared" si="78"/>
        <v>17.654888888888888</v>
      </c>
      <c r="E2261" s="637">
        <f t="shared" si="79"/>
        <v>32.311777777777785</v>
      </c>
    </row>
    <row r="2262" spans="1:5">
      <c r="A2262">
        <v>40513</v>
      </c>
      <c r="B2262">
        <v>200</v>
      </c>
      <c r="C2262" s="455">
        <v>7.59</v>
      </c>
      <c r="D2262" s="637">
        <f t="shared" si="78"/>
        <v>17.878666666666664</v>
      </c>
      <c r="E2262" s="637">
        <f t="shared" si="79"/>
        <v>32.721333333333334</v>
      </c>
    </row>
    <row r="2263" spans="1:5">
      <c r="A2263">
        <v>40513</v>
      </c>
      <c r="B2263">
        <v>300</v>
      </c>
      <c r="C2263" s="455">
        <v>7.5739999999999998</v>
      </c>
      <c r="D2263" s="637">
        <f t="shared" si="78"/>
        <v>17.840977777777777</v>
      </c>
      <c r="E2263" s="637">
        <f t="shared" si="79"/>
        <v>32.652355555555566</v>
      </c>
    </row>
    <row r="2264" spans="1:5">
      <c r="A2264">
        <v>40513</v>
      </c>
      <c r="B2264">
        <v>400</v>
      </c>
      <c r="C2264" s="455">
        <v>7.4980000000000002</v>
      </c>
      <c r="D2264" s="637">
        <f t="shared" si="78"/>
        <v>17.661955555555554</v>
      </c>
      <c r="E2264" s="637">
        <f t="shared" si="79"/>
        <v>32.324711111111121</v>
      </c>
    </row>
    <row r="2265" spans="1:5">
      <c r="A2265">
        <v>40513</v>
      </c>
      <c r="B2265">
        <v>500</v>
      </c>
      <c r="C2265" s="455">
        <v>7.5869999999999997</v>
      </c>
      <c r="D2265" s="637">
        <f t="shared" si="78"/>
        <v>17.871599999999997</v>
      </c>
      <c r="E2265" s="637">
        <f t="shared" si="79"/>
        <v>32.708400000000005</v>
      </c>
    </row>
    <row r="2266" spans="1:5">
      <c r="A2266">
        <v>40513</v>
      </c>
      <c r="B2266">
        <v>600</v>
      </c>
      <c r="C2266" s="455">
        <v>8.3870000000000005</v>
      </c>
      <c r="D2266" s="637">
        <f t="shared" si="78"/>
        <v>19.756044444444445</v>
      </c>
      <c r="E2266" s="637">
        <f t="shared" si="79"/>
        <v>36.1572888888889</v>
      </c>
    </row>
    <row r="2267" spans="1:5">
      <c r="A2267">
        <v>40513</v>
      </c>
      <c r="B2267">
        <v>700</v>
      </c>
      <c r="C2267" s="455">
        <v>0.45100000000000001</v>
      </c>
      <c r="D2267" s="637">
        <f t="shared" si="78"/>
        <v>1.0623555555555555</v>
      </c>
      <c r="E2267" s="637">
        <f t="shared" si="79"/>
        <v>1.9443111111111115</v>
      </c>
    </row>
    <row r="2268" spans="1:5">
      <c r="A2268">
        <v>40513</v>
      </c>
      <c r="B2268">
        <v>800</v>
      </c>
      <c r="C2268" s="455">
        <v>0</v>
      </c>
      <c r="D2268" s="637">
        <f t="shared" si="78"/>
        <v>0</v>
      </c>
      <c r="E2268" s="637">
        <f t="shared" si="79"/>
        <v>0</v>
      </c>
    </row>
    <row r="2269" spans="1:5">
      <c r="A2269">
        <v>40513</v>
      </c>
      <c r="B2269">
        <v>900</v>
      </c>
      <c r="C2269" s="455">
        <v>0</v>
      </c>
      <c r="D2269" s="637">
        <f t="shared" si="78"/>
        <v>0</v>
      </c>
      <c r="E2269" s="637">
        <f t="shared" si="79"/>
        <v>0</v>
      </c>
    </row>
    <row r="2270" spans="1:5">
      <c r="A2270">
        <v>40513</v>
      </c>
      <c r="B2270">
        <v>1000</v>
      </c>
      <c r="C2270" s="455">
        <v>0</v>
      </c>
      <c r="D2270" s="637">
        <f t="shared" si="78"/>
        <v>0</v>
      </c>
      <c r="E2270" s="637">
        <f t="shared" si="79"/>
        <v>0</v>
      </c>
    </row>
    <row r="2271" spans="1:5">
      <c r="A2271">
        <v>40513</v>
      </c>
      <c r="B2271">
        <v>1100</v>
      </c>
      <c r="C2271" s="455">
        <v>0</v>
      </c>
      <c r="D2271" s="637">
        <f t="shared" si="78"/>
        <v>0</v>
      </c>
      <c r="E2271" s="637">
        <f t="shared" si="79"/>
        <v>0</v>
      </c>
    </row>
    <row r="2272" spans="1:5">
      <c r="A2272">
        <v>40513</v>
      </c>
      <c r="B2272">
        <v>1200</v>
      </c>
      <c r="C2272" s="455">
        <v>0</v>
      </c>
      <c r="D2272" s="637">
        <f t="shared" si="78"/>
        <v>0</v>
      </c>
      <c r="E2272" s="637">
        <f t="shared" si="79"/>
        <v>0</v>
      </c>
    </row>
    <row r="2273" spans="1:5">
      <c r="A2273">
        <v>40513</v>
      </c>
      <c r="B2273">
        <v>1300</v>
      </c>
      <c r="C2273" s="455">
        <v>0</v>
      </c>
      <c r="D2273" s="637">
        <f t="shared" si="78"/>
        <v>0</v>
      </c>
      <c r="E2273" s="637">
        <f t="shared" si="79"/>
        <v>0</v>
      </c>
    </row>
    <row r="2274" spans="1:5">
      <c r="A2274">
        <v>40513</v>
      </c>
      <c r="B2274">
        <v>1400</v>
      </c>
      <c r="C2274" s="455">
        <v>0</v>
      </c>
      <c r="D2274" s="637">
        <f t="shared" si="78"/>
        <v>0</v>
      </c>
      <c r="E2274" s="637">
        <f t="shared" si="79"/>
        <v>0</v>
      </c>
    </row>
    <row r="2275" spans="1:5">
      <c r="A2275">
        <v>40513</v>
      </c>
      <c r="B2275">
        <v>1500</v>
      </c>
      <c r="C2275" s="455">
        <v>0</v>
      </c>
      <c r="D2275" s="637">
        <f t="shared" si="78"/>
        <v>0</v>
      </c>
      <c r="E2275" s="637">
        <f t="shared" si="79"/>
        <v>0</v>
      </c>
    </row>
    <row r="2276" spans="1:5">
      <c r="A2276">
        <v>40513</v>
      </c>
      <c r="B2276">
        <v>1600</v>
      </c>
      <c r="C2276" s="455">
        <v>0</v>
      </c>
      <c r="D2276" s="637">
        <f t="shared" si="78"/>
        <v>0</v>
      </c>
      <c r="E2276" s="637">
        <f t="shared" si="79"/>
        <v>0</v>
      </c>
    </row>
    <row r="2277" spans="1:5">
      <c r="A2277">
        <v>40513</v>
      </c>
      <c r="B2277">
        <v>1700</v>
      </c>
      <c r="C2277" s="455">
        <v>0</v>
      </c>
      <c r="D2277" s="637">
        <f t="shared" si="78"/>
        <v>0</v>
      </c>
      <c r="E2277" s="637">
        <f t="shared" si="79"/>
        <v>0</v>
      </c>
    </row>
    <row r="2278" spans="1:5">
      <c r="A2278">
        <v>40513</v>
      </c>
      <c r="B2278">
        <v>1800</v>
      </c>
      <c r="C2278" s="455">
        <v>0</v>
      </c>
      <c r="D2278" s="637">
        <f t="shared" si="78"/>
        <v>0</v>
      </c>
      <c r="E2278" s="637">
        <f t="shared" si="79"/>
        <v>0</v>
      </c>
    </row>
    <row r="2279" spans="1:5">
      <c r="A2279">
        <v>40513</v>
      </c>
      <c r="B2279">
        <v>1900</v>
      </c>
      <c r="C2279" s="455">
        <v>3.09</v>
      </c>
      <c r="D2279" s="637">
        <f t="shared" si="78"/>
        <v>7.2786666666666662</v>
      </c>
      <c r="E2279" s="637">
        <f t="shared" si="79"/>
        <v>13.321333333333335</v>
      </c>
    </row>
    <row r="2280" spans="1:5">
      <c r="A2280">
        <v>40513</v>
      </c>
      <c r="B2280">
        <v>2000</v>
      </c>
      <c r="C2280" s="455">
        <v>8.6530000000000005</v>
      </c>
      <c r="D2280" s="637">
        <f t="shared" si="78"/>
        <v>20.382622222222221</v>
      </c>
      <c r="E2280" s="637">
        <f t="shared" si="79"/>
        <v>37.30404444444445</v>
      </c>
    </row>
    <row r="2281" spans="1:5">
      <c r="A2281">
        <v>40513</v>
      </c>
      <c r="B2281">
        <v>2100</v>
      </c>
      <c r="C2281" s="455">
        <v>7.4960000000000004</v>
      </c>
      <c r="D2281" s="637">
        <f t="shared" si="78"/>
        <v>17.657244444444444</v>
      </c>
      <c r="E2281" s="637">
        <f t="shared" si="79"/>
        <v>32.316088888888899</v>
      </c>
    </row>
    <row r="2282" spans="1:5">
      <c r="A2282">
        <v>40513</v>
      </c>
      <c r="B2282">
        <v>2200</v>
      </c>
      <c r="C2282" s="455">
        <v>7.6369999999999996</v>
      </c>
      <c r="D2282" s="637">
        <f t="shared" si="78"/>
        <v>17.989377777777776</v>
      </c>
      <c r="E2282" s="637">
        <f t="shared" si="79"/>
        <v>32.923955555555558</v>
      </c>
    </row>
    <row r="2283" spans="1:5">
      <c r="A2283">
        <v>40513</v>
      </c>
      <c r="B2283">
        <v>2300</v>
      </c>
      <c r="C2283" s="455">
        <v>7.67</v>
      </c>
      <c r="D2283" s="637">
        <f t="shared" si="78"/>
        <v>18.06711111111111</v>
      </c>
      <c r="E2283" s="637">
        <f t="shared" si="79"/>
        <v>33.06622222222223</v>
      </c>
    </row>
    <row r="2284" spans="1:5">
      <c r="A2284">
        <v>40513</v>
      </c>
      <c r="B2284">
        <v>2400</v>
      </c>
      <c r="C2284" s="455">
        <v>7.5830000000000002</v>
      </c>
      <c r="D2284" s="637">
        <f t="shared" si="78"/>
        <v>17.862177777777781</v>
      </c>
      <c r="E2284" s="637">
        <f t="shared" si="79"/>
        <v>32.691155555555568</v>
      </c>
    </row>
    <row r="2285" spans="1:5">
      <c r="A2285">
        <v>40613</v>
      </c>
      <c r="B2285">
        <v>100</v>
      </c>
      <c r="C2285" s="455">
        <v>7.657</v>
      </c>
      <c r="D2285" s="637">
        <f t="shared" si="78"/>
        <v>18.036488888888886</v>
      </c>
      <c r="E2285" s="637">
        <f t="shared" si="79"/>
        <v>33.010177777777784</v>
      </c>
    </row>
    <row r="2286" spans="1:5">
      <c r="A2286">
        <v>40613</v>
      </c>
      <c r="B2286">
        <v>200</v>
      </c>
      <c r="C2286" s="455">
        <v>7.6790000000000003</v>
      </c>
      <c r="D2286" s="637">
        <f t="shared" si="78"/>
        <v>18.088311111111111</v>
      </c>
      <c r="E2286" s="637">
        <f t="shared" si="79"/>
        <v>33.105022222222232</v>
      </c>
    </row>
    <row r="2287" spans="1:5">
      <c r="A2287">
        <v>40613</v>
      </c>
      <c r="B2287">
        <v>300</v>
      </c>
      <c r="C2287" s="455">
        <v>7.72</v>
      </c>
      <c r="D2287" s="637">
        <f t="shared" si="78"/>
        <v>18.184888888888889</v>
      </c>
      <c r="E2287" s="637">
        <f t="shared" si="79"/>
        <v>33.281777777777783</v>
      </c>
    </row>
    <row r="2288" spans="1:5">
      <c r="A2288">
        <v>40613</v>
      </c>
      <c r="B2288">
        <v>400</v>
      </c>
      <c r="C2288" s="455">
        <v>7.5759999999999996</v>
      </c>
      <c r="D2288" s="637">
        <f t="shared" si="78"/>
        <v>17.845688888888887</v>
      </c>
      <c r="E2288" s="637">
        <f t="shared" si="79"/>
        <v>32.660977777777781</v>
      </c>
    </row>
    <row r="2289" spans="1:5">
      <c r="A2289">
        <v>40613</v>
      </c>
      <c r="B2289">
        <v>500</v>
      </c>
      <c r="C2289" s="455">
        <v>7.7169999999999996</v>
      </c>
      <c r="D2289" s="637">
        <f t="shared" si="78"/>
        <v>18.177822222222222</v>
      </c>
      <c r="E2289" s="637">
        <f t="shared" si="79"/>
        <v>33.268844444444447</v>
      </c>
    </row>
    <row r="2290" spans="1:5">
      <c r="A2290">
        <v>40613</v>
      </c>
      <c r="B2290">
        <v>600</v>
      </c>
      <c r="C2290" s="455">
        <v>8.8360000000000003</v>
      </c>
      <c r="D2290" s="637">
        <f t="shared" si="78"/>
        <v>20.81368888888889</v>
      </c>
      <c r="E2290" s="637">
        <f t="shared" si="79"/>
        <v>38.09297777777779</v>
      </c>
    </row>
    <row r="2291" spans="1:5">
      <c r="A2291">
        <v>40613</v>
      </c>
      <c r="B2291">
        <v>700</v>
      </c>
      <c r="C2291" s="455">
        <v>0.38500000000000001</v>
      </c>
      <c r="D2291" s="637">
        <f t="shared" si="78"/>
        <v>0.90688888888888897</v>
      </c>
      <c r="E2291" s="637">
        <f t="shared" si="79"/>
        <v>1.6597777777777782</v>
      </c>
    </row>
    <row r="2292" spans="1:5">
      <c r="A2292">
        <v>40613</v>
      </c>
      <c r="B2292">
        <v>800</v>
      </c>
      <c r="C2292" s="455">
        <v>0</v>
      </c>
      <c r="D2292" s="637">
        <f t="shared" si="78"/>
        <v>0</v>
      </c>
      <c r="E2292" s="637">
        <f t="shared" si="79"/>
        <v>0</v>
      </c>
    </row>
    <row r="2293" spans="1:5">
      <c r="A2293">
        <v>40613</v>
      </c>
      <c r="B2293">
        <v>900</v>
      </c>
      <c r="C2293" s="455">
        <v>0</v>
      </c>
      <c r="D2293" s="637">
        <f t="shared" si="78"/>
        <v>0</v>
      </c>
      <c r="E2293" s="637">
        <f t="shared" si="79"/>
        <v>0</v>
      </c>
    </row>
    <row r="2294" spans="1:5">
      <c r="A2294">
        <v>40613</v>
      </c>
      <c r="B2294">
        <v>1000</v>
      </c>
      <c r="C2294" s="455">
        <v>0</v>
      </c>
      <c r="D2294" s="637">
        <f t="shared" ref="D2294:D2357" si="80">(C2294/(MAX($C$2165:$C$2884)))*$W$8</f>
        <v>0</v>
      </c>
      <c r="E2294" s="637">
        <f t="shared" ref="E2294:E2357" si="81">(C2294/(MAX($C$2165:$C$2884)))*$P$8</f>
        <v>0</v>
      </c>
    </row>
    <row r="2295" spans="1:5">
      <c r="A2295">
        <v>40613</v>
      </c>
      <c r="B2295">
        <v>1100</v>
      </c>
      <c r="C2295" s="455">
        <v>0</v>
      </c>
      <c r="D2295" s="637">
        <f t="shared" si="80"/>
        <v>0</v>
      </c>
      <c r="E2295" s="637">
        <f t="shared" si="81"/>
        <v>0</v>
      </c>
    </row>
    <row r="2296" spans="1:5">
      <c r="A2296">
        <v>40613</v>
      </c>
      <c r="B2296">
        <v>1200</v>
      </c>
      <c r="C2296" s="455">
        <v>0</v>
      </c>
      <c r="D2296" s="637">
        <f t="shared" si="80"/>
        <v>0</v>
      </c>
      <c r="E2296" s="637">
        <f t="shared" si="81"/>
        <v>0</v>
      </c>
    </row>
    <row r="2297" spans="1:5">
      <c r="A2297">
        <v>40613</v>
      </c>
      <c r="B2297">
        <v>1300</v>
      </c>
      <c r="C2297" s="455">
        <v>0</v>
      </c>
      <c r="D2297" s="637">
        <f t="shared" si="80"/>
        <v>0</v>
      </c>
      <c r="E2297" s="637">
        <f t="shared" si="81"/>
        <v>0</v>
      </c>
    </row>
    <row r="2298" spans="1:5">
      <c r="A2298">
        <v>40613</v>
      </c>
      <c r="B2298">
        <v>1400</v>
      </c>
      <c r="C2298" s="455">
        <v>0</v>
      </c>
      <c r="D2298" s="637">
        <f t="shared" si="80"/>
        <v>0</v>
      </c>
      <c r="E2298" s="637">
        <f t="shared" si="81"/>
        <v>0</v>
      </c>
    </row>
    <row r="2299" spans="1:5">
      <c r="A2299">
        <v>40613</v>
      </c>
      <c r="B2299">
        <v>1500</v>
      </c>
      <c r="C2299" s="455">
        <v>0</v>
      </c>
      <c r="D2299" s="637">
        <f t="shared" si="80"/>
        <v>0</v>
      </c>
      <c r="E2299" s="637">
        <f t="shared" si="81"/>
        <v>0</v>
      </c>
    </row>
    <row r="2300" spans="1:5">
      <c r="A2300">
        <v>40613</v>
      </c>
      <c r="B2300">
        <v>1600</v>
      </c>
      <c r="C2300" s="455">
        <v>0</v>
      </c>
      <c r="D2300" s="637">
        <f t="shared" si="80"/>
        <v>0</v>
      </c>
      <c r="E2300" s="637">
        <f t="shared" si="81"/>
        <v>0</v>
      </c>
    </row>
    <row r="2301" spans="1:5">
      <c r="A2301">
        <v>40613</v>
      </c>
      <c r="B2301">
        <v>1700</v>
      </c>
      <c r="C2301" s="455">
        <v>0</v>
      </c>
      <c r="D2301" s="637">
        <f t="shared" si="80"/>
        <v>0</v>
      </c>
      <c r="E2301" s="637">
        <f t="shared" si="81"/>
        <v>0</v>
      </c>
    </row>
    <row r="2302" spans="1:5">
      <c r="A2302">
        <v>40613</v>
      </c>
      <c r="B2302">
        <v>1800</v>
      </c>
      <c r="C2302" s="455">
        <v>0.14099999999999999</v>
      </c>
      <c r="D2302" s="637">
        <f t="shared" si="80"/>
        <v>0.33213333333333334</v>
      </c>
      <c r="E2302" s="637">
        <f t="shared" si="81"/>
        <v>0.60786666666666678</v>
      </c>
    </row>
    <row r="2303" spans="1:5">
      <c r="A2303">
        <v>40613</v>
      </c>
      <c r="B2303">
        <v>1900</v>
      </c>
      <c r="C2303" s="455">
        <v>7.3710000000000004</v>
      </c>
      <c r="D2303" s="637">
        <f t="shared" si="80"/>
        <v>17.362800000000004</v>
      </c>
      <c r="E2303" s="637">
        <f t="shared" si="81"/>
        <v>31.777200000000011</v>
      </c>
    </row>
    <row r="2304" spans="1:5">
      <c r="A2304">
        <v>40613</v>
      </c>
      <c r="B2304">
        <v>2000</v>
      </c>
      <c r="C2304" s="455">
        <v>7.36</v>
      </c>
      <c r="D2304" s="637">
        <f t="shared" si="80"/>
        <v>17.33688888888889</v>
      </c>
      <c r="E2304" s="637">
        <f t="shared" si="81"/>
        <v>31.729777777777784</v>
      </c>
    </row>
    <row r="2305" spans="1:5">
      <c r="A2305">
        <v>40613</v>
      </c>
      <c r="B2305">
        <v>2100</v>
      </c>
      <c r="C2305" s="455">
        <v>7.7380000000000004</v>
      </c>
      <c r="D2305" s="637">
        <f t="shared" si="80"/>
        <v>18.227288888888889</v>
      </c>
      <c r="E2305" s="637">
        <f t="shared" si="81"/>
        <v>33.359377777777787</v>
      </c>
    </row>
    <row r="2306" spans="1:5">
      <c r="A2306">
        <v>40613</v>
      </c>
      <c r="B2306">
        <v>2200</v>
      </c>
      <c r="C2306" s="455">
        <v>7.6589999999999998</v>
      </c>
      <c r="D2306" s="637">
        <f t="shared" si="80"/>
        <v>18.0412</v>
      </c>
      <c r="E2306" s="637">
        <f t="shared" si="81"/>
        <v>33.018800000000006</v>
      </c>
    </row>
    <row r="2307" spans="1:5">
      <c r="A2307">
        <v>40613</v>
      </c>
      <c r="B2307">
        <v>2300</v>
      </c>
      <c r="C2307" s="455">
        <v>7.6580000000000004</v>
      </c>
      <c r="D2307" s="637">
        <f t="shared" si="80"/>
        <v>18.038844444444447</v>
      </c>
      <c r="E2307" s="637">
        <f t="shared" si="81"/>
        <v>33.014488888888899</v>
      </c>
    </row>
    <row r="2308" spans="1:5">
      <c r="A2308">
        <v>40613</v>
      </c>
      <c r="B2308">
        <v>2400</v>
      </c>
      <c r="C2308" s="455">
        <v>7.7460000000000004</v>
      </c>
      <c r="D2308" s="637">
        <f t="shared" si="80"/>
        <v>18.246133333333333</v>
      </c>
      <c r="E2308" s="637">
        <f t="shared" si="81"/>
        <v>33.393866666666675</v>
      </c>
    </row>
    <row r="2309" spans="1:5">
      <c r="A2309">
        <v>40713</v>
      </c>
      <c r="B2309">
        <v>100</v>
      </c>
      <c r="C2309" s="455">
        <v>7.5830000000000002</v>
      </c>
      <c r="D2309" s="637">
        <f t="shared" si="80"/>
        <v>17.862177777777781</v>
      </c>
      <c r="E2309" s="637">
        <f t="shared" si="81"/>
        <v>32.691155555555568</v>
      </c>
    </row>
    <row r="2310" spans="1:5">
      <c r="A2310">
        <v>40713</v>
      </c>
      <c r="B2310">
        <v>200</v>
      </c>
      <c r="C2310" s="455">
        <v>7.7309999999999999</v>
      </c>
      <c r="D2310" s="637">
        <f t="shared" si="80"/>
        <v>18.210799999999999</v>
      </c>
      <c r="E2310" s="637">
        <f t="shared" si="81"/>
        <v>33.329200000000007</v>
      </c>
    </row>
    <row r="2311" spans="1:5">
      <c r="A2311">
        <v>40713</v>
      </c>
      <c r="B2311">
        <v>300</v>
      </c>
      <c r="C2311" s="455">
        <v>7.8220000000000001</v>
      </c>
      <c r="D2311" s="637">
        <f t="shared" si="80"/>
        <v>18.425155555555556</v>
      </c>
      <c r="E2311" s="637">
        <f t="shared" si="81"/>
        <v>33.72151111111112</v>
      </c>
    </row>
    <row r="2312" spans="1:5">
      <c r="A2312">
        <v>40713</v>
      </c>
      <c r="B2312">
        <v>400</v>
      </c>
      <c r="C2312" s="455">
        <v>7.5149999999999997</v>
      </c>
      <c r="D2312" s="637">
        <f t="shared" si="80"/>
        <v>17.701999999999998</v>
      </c>
      <c r="E2312" s="637">
        <f t="shared" si="81"/>
        <v>32.398000000000003</v>
      </c>
    </row>
    <row r="2313" spans="1:5">
      <c r="A2313">
        <v>40713</v>
      </c>
      <c r="B2313">
        <v>500</v>
      </c>
      <c r="C2313" s="455">
        <v>7.73</v>
      </c>
      <c r="D2313" s="637">
        <f t="shared" si="80"/>
        <v>18.208444444444442</v>
      </c>
      <c r="E2313" s="637">
        <f t="shared" si="81"/>
        <v>33.324888888888893</v>
      </c>
    </row>
    <row r="2314" spans="1:5">
      <c r="A2314">
        <v>40713</v>
      </c>
      <c r="B2314">
        <v>600</v>
      </c>
      <c r="C2314" s="455">
        <v>8.4740000000000002</v>
      </c>
      <c r="D2314" s="637">
        <f t="shared" si="80"/>
        <v>19.960977777777778</v>
      </c>
      <c r="E2314" s="637">
        <f t="shared" si="81"/>
        <v>36.532355555555569</v>
      </c>
    </row>
    <row r="2315" spans="1:5">
      <c r="A2315">
        <v>40713</v>
      </c>
      <c r="B2315">
        <v>700</v>
      </c>
      <c r="C2315" s="455">
        <v>2.2770000000000001</v>
      </c>
      <c r="D2315" s="637">
        <f t="shared" si="80"/>
        <v>5.3636000000000008</v>
      </c>
      <c r="E2315" s="637">
        <f t="shared" si="81"/>
        <v>9.8164000000000033</v>
      </c>
    </row>
    <row r="2316" spans="1:5">
      <c r="A2316">
        <v>40713</v>
      </c>
      <c r="B2316">
        <v>800</v>
      </c>
      <c r="C2316" s="455">
        <v>0.61799999999999999</v>
      </c>
      <c r="D2316" s="637">
        <f t="shared" si="80"/>
        <v>1.4557333333333333</v>
      </c>
      <c r="E2316" s="637">
        <f t="shared" si="81"/>
        <v>2.6642666666666672</v>
      </c>
    </row>
    <row r="2317" spans="1:5">
      <c r="A2317">
        <v>40713</v>
      </c>
      <c r="B2317">
        <v>900</v>
      </c>
      <c r="C2317" s="455">
        <v>0</v>
      </c>
      <c r="D2317" s="637">
        <f t="shared" si="80"/>
        <v>0</v>
      </c>
      <c r="E2317" s="637">
        <f t="shared" si="81"/>
        <v>0</v>
      </c>
    </row>
    <row r="2318" spans="1:5">
      <c r="A2318">
        <v>40713</v>
      </c>
      <c r="B2318">
        <v>1000</v>
      </c>
      <c r="C2318" s="455">
        <v>0</v>
      </c>
      <c r="D2318" s="637">
        <f t="shared" si="80"/>
        <v>0</v>
      </c>
      <c r="E2318" s="637">
        <f t="shared" si="81"/>
        <v>0</v>
      </c>
    </row>
    <row r="2319" spans="1:5">
      <c r="A2319">
        <v>40713</v>
      </c>
      <c r="B2319">
        <v>1100</v>
      </c>
      <c r="C2319" s="455">
        <v>0</v>
      </c>
      <c r="D2319" s="637">
        <f t="shared" si="80"/>
        <v>0</v>
      </c>
      <c r="E2319" s="637">
        <f t="shared" si="81"/>
        <v>0</v>
      </c>
    </row>
    <row r="2320" spans="1:5">
      <c r="A2320">
        <v>40713</v>
      </c>
      <c r="B2320">
        <v>1200</v>
      </c>
      <c r="C2320" s="455">
        <v>0</v>
      </c>
      <c r="D2320" s="637">
        <f t="shared" si="80"/>
        <v>0</v>
      </c>
      <c r="E2320" s="637">
        <f t="shared" si="81"/>
        <v>0</v>
      </c>
    </row>
    <row r="2321" spans="1:5">
      <c r="A2321">
        <v>40713</v>
      </c>
      <c r="B2321">
        <v>1300</v>
      </c>
      <c r="C2321" s="455">
        <v>1E-3</v>
      </c>
      <c r="D2321" s="637">
        <f t="shared" si="80"/>
        <v>2.3555555555555556E-3</v>
      </c>
      <c r="E2321" s="637">
        <f t="shared" si="81"/>
        <v>4.3111111111111119E-3</v>
      </c>
    </row>
    <row r="2322" spans="1:5">
      <c r="A2322">
        <v>40713</v>
      </c>
      <c r="B2322">
        <v>1400</v>
      </c>
      <c r="C2322" s="455">
        <v>0</v>
      </c>
      <c r="D2322" s="637">
        <f t="shared" si="80"/>
        <v>0</v>
      </c>
      <c r="E2322" s="637">
        <f t="shared" si="81"/>
        <v>0</v>
      </c>
    </row>
    <row r="2323" spans="1:5">
      <c r="A2323">
        <v>40713</v>
      </c>
      <c r="B2323">
        <v>1500</v>
      </c>
      <c r="C2323" s="455">
        <v>0</v>
      </c>
      <c r="D2323" s="637">
        <f t="shared" si="80"/>
        <v>0</v>
      </c>
      <c r="E2323" s="637">
        <f t="shared" si="81"/>
        <v>0</v>
      </c>
    </row>
    <row r="2324" spans="1:5">
      <c r="A2324">
        <v>40713</v>
      </c>
      <c r="B2324">
        <v>1600</v>
      </c>
      <c r="C2324" s="455">
        <v>0</v>
      </c>
      <c r="D2324" s="637">
        <f t="shared" si="80"/>
        <v>0</v>
      </c>
      <c r="E2324" s="637">
        <f t="shared" si="81"/>
        <v>0</v>
      </c>
    </row>
    <row r="2325" spans="1:5">
      <c r="A2325">
        <v>40713</v>
      </c>
      <c r="B2325">
        <v>1700</v>
      </c>
      <c r="C2325" s="455">
        <v>0</v>
      </c>
      <c r="D2325" s="637">
        <f t="shared" si="80"/>
        <v>0</v>
      </c>
      <c r="E2325" s="637">
        <f t="shared" si="81"/>
        <v>0</v>
      </c>
    </row>
    <row r="2326" spans="1:5">
      <c r="A2326">
        <v>40713</v>
      </c>
      <c r="B2326">
        <v>1800</v>
      </c>
      <c r="C2326" s="455">
        <v>0</v>
      </c>
      <c r="D2326" s="637">
        <f t="shared" si="80"/>
        <v>0</v>
      </c>
      <c r="E2326" s="637">
        <f t="shared" si="81"/>
        <v>0</v>
      </c>
    </row>
    <row r="2327" spans="1:5">
      <c r="A2327">
        <v>40713</v>
      </c>
      <c r="B2327">
        <v>1900</v>
      </c>
      <c r="C2327" s="455">
        <v>5.6980000000000004</v>
      </c>
      <c r="D2327" s="637">
        <f t="shared" si="80"/>
        <v>13.421955555555556</v>
      </c>
      <c r="E2327" s="637">
        <f t="shared" si="81"/>
        <v>24.564711111111119</v>
      </c>
    </row>
    <row r="2328" spans="1:5">
      <c r="A2328">
        <v>40713</v>
      </c>
      <c r="B2328">
        <v>2000</v>
      </c>
      <c r="C2328" s="455">
        <v>6.915</v>
      </c>
      <c r="D2328" s="637">
        <f t="shared" si="80"/>
        <v>16.288666666666668</v>
      </c>
      <c r="E2328" s="637">
        <f t="shared" si="81"/>
        <v>29.811333333333344</v>
      </c>
    </row>
    <row r="2329" spans="1:5">
      <c r="A2329">
        <v>40713</v>
      </c>
      <c r="B2329">
        <v>2100</v>
      </c>
      <c r="C2329" s="455">
        <v>7.0720000000000001</v>
      </c>
      <c r="D2329" s="637">
        <f t="shared" si="80"/>
        <v>16.658488888888886</v>
      </c>
      <c r="E2329" s="637">
        <f t="shared" si="81"/>
        <v>30.488177777777782</v>
      </c>
    </row>
    <row r="2330" spans="1:5">
      <c r="A2330">
        <v>40713</v>
      </c>
      <c r="B2330">
        <v>2200</v>
      </c>
      <c r="C2330" s="455">
        <v>7.3479999999999999</v>
      </c>
      <c r="D2330" s="637">
        <f t="shared" si="80"/>
        <v>17.308622222222219</v>
      </c>
      <c r="E2330" s="637">
        <f t="shared" si="81"/>
        <v>31.678044444444449</v>
      </c>
    </row>
    <row r="2331" spans="1:5">
      <c r="A2331">
        <v>40713</v>
      </c>
      <c r="B2331">
        <v>2300</v>
      </c>
      <c r="C2331" s="455">
        <v>7.2779999999999996</v>
      </c>
      <c r="D2331" s="637">
        <f t="shared" si="80"/>
        <v>17.14373333333333</v>
      </c>
      <c r="E2331" s="637">
        <f t="shared" si="81"/>
        <v>31.37626666666667</v>
      </c>
    </row>
    <row r="2332" spans="1:5">
      <c r="A2332">
        <v>40713</v>
      </c>
      <c r="B2332">
        <v>2400</v>
      </c>
      <c r="C2332" s="455">
        <v>7.4390000000000001</v>
      </c>
      <c r="D2332" s="637">
        <f t="shared" si="80"/>
        <v>17.522977777777779</v>
      </c>
      <c r="E2332" s="637">
        <f t="shared" si="81"/>
        <v>32.070355555555565</v>
      </c>
    </row>
    <row r="2333" spans="1:5">
      <c r="A2333">
        <v>40813</v>
      </c>
      <c r="B2333">
        <v>100</v>
      </c>
      <c r="C2333" s="455">
        <v>7.2809999999999997</v>
      </c>
      <c r="D2333" s="637">
        <f t="shared" si="80"/>
        <v>17.150799999999997</v>
      </c>
      <c r="E2333" s="637">
        <f t="shared" si="81"/>
        <v>31.389200000000002</v>
      </c>
    </row>
    <row r="2334" spans="1:5">
      <c r="A2334">
        <v>40813</v>
      </c>
      <c r="B2334">
        <v>200</v>
      </c>
      <c r="C2334" s="455">
        <v>7.3529999999999998</v>
      </c>
      <c r="D2334" s="637">
        <f t="shared" si="80"/>
        <v>17.320399999999999</v>
      </c>
      <c r="E2334" s="637">
        <f t="shared" si="81"/>
        <v>31.699600000000007</v>
      </c>
    </row>
    <row r="2335" spans="1:5">
      <c r="A2335">
        <v>40813</v>
      </c>
      <c r="B2335">
        <v>300</v>
      </c>
      <c r="C2335" s="455">
        <v>7.3579999999999997</v>
      </c>
      <c r="D2335" s="637">
        <f t="shared" si="80"/>
        <v>17.332177777777776</v>
      </c>
      <c r="E2335" s="637">
        <f t="shared" si="81"/>
        <v>31.721155555555558</v>
      </c>
    </row>
    <row r="2336" spans="1:5">
      <c r="A2336">
        <v>40813</v>
      </c>
      <c r="B2336">
        <v>400</v>
      </c>
      <c r="C2336" s="455">
        <v>7.2649999999999997</v>
      </c>
      <c r="D2336" s="637">
        <f t="shared" si="80"/>
        <v>17.113111111111113</v>
      </c>
      <c r="E2336" s="637">
        <f t="shared" si="81"/>
        <v>31.320222222222231</v>
      </c>
    </row>
    <row r="2337" spans="1:5">
      <c r="A2337">
        <v>40813</v>
      </c>
      <c r="B2337">
        <v>500</v>
      </c>
      <c r="C2337" s="455">
        <v>7.258</v>
      </c>
      <c r="D2337" s="637">
        <f t="shared" si="80"/>
        <v>17.096622222222223</v>
      </c>
      <c r="E2337" s="637">
        <f t="shared" si="81"/>
        <v>31.290044444444455</v>
      </c>
    </row>
    <row r="2338" spans="1:5">
      <c r="A2338">
        <v>40813</v>
      </c>
      <c r="B2338">
        <v>600</v>
      </c>
      <c r="C2338" s="455">
        <v>7.8010000000000002</v>
      </c>
      <c r="D2338" s="637">
        <f t="shared" si="80"/>
        <v>18.375688888888888</v>
      </c>
      <c r="E2338" s="637">
        <f t="shared" si="81"/>
        <v>33.63097777777778</v>
      </c>
    </row>
    <row r="2339" spans="1:5">
      <c r="A2339">
        <v>40813</v>
      </c>
      <c r="B2339">
        <v>700</v>
      </c>
      <c r="C2339" s="455">
        <v>0.153</v>
      </c>
      <c r="D2339" s="637">
        <f t="shared" si="80"/>
        <v>0.3604</v>
      </c>
      <c r="E2339" s="637">
        <f t="shared" si="81"/>
        <v>0.65960000000000019</v>
      </c>
    </row>
    <row r="2340" spans="1:5">
      <c r="A2340">
        <v>40813</v>
      </c>
      <c r="B2340">
        <v>800</v>
      </c>
      <c r="C2340" s="455">
        <v>1E-3</v>
      </c>
      <c r="D2340" s="637">
        <f t="shared" si="80"/>
        <v>2.3555555555555556E-3</v>
      </c>
      <c r="E2340" s="637">
        <f t="shared" si="81"/>
        <v>4.3111111111111119E-3</v>
      </c>
    </row>
    <row r="2341" spans="1:5">
      <c r="A2341">
        <v>40813</v>
      </c>
      <c r="B2341">
        <v>900</v>
      </c>
      <c r="C2341" s="455">
        <v>0.216</v>
      </c>
      <c r="D2341" s="637">
        <f t="shared" si="80"/>
        <v>0.50880000000000003</v>
      </c>
      <c r="E2341" s="637">
        <f t="shared" si="81"/>
        <v>0.93120000000000025</v>
      </c>
    </row>
    <row r="2342" spans="1:5">
      <c r="A2342">
        <v>40813</v>
      </c>
      <c r="B2342">
        <v>1000</v>
      </c>
      <c r="C2342" s="455">
        <v>0</v>
      </c>
      <c r="D2342" s="637">
        <f t="shared" si="80"/>
        <v>0</v>
      </c>
      <c r="E2342" s="637">
        <f t="shared" si="81"/>
        <v>0</v>
      </c>
    </row>
    <row r="2343" spans="1:5">
      <c r="A2343">
        <v>40813</v>
      </c>
      <c r="B2343">
        <v>1100</v>
      </c>
      <c r="C2343" s="455">
        <v>0</v>
      </c>
      <c r="D2343" s="637">
        <f t="shared" si="80"/>
        <v>0</v>
      </c>
      <c r="E2343" s="637">
        <f t="shared" si="81"/>
        <v>0</v>
      </c>
    </row>
    <row r="2344" spans="1:5">
      <c r="A2344">
        <v>40813</v>
      </c>
      <c r="B2344">
        <v>1200</v>
      </c>
      <c r="C2344" s="455">
        <v>0</v>
      </c>
      <c r="D2344" s="637">
        <f t="shared" si="80"/>
        <v>0</v>
      </c>
      <c r="E2344" s="637">
        <f t="shared" si="81"/>
        <v>0</v>
      </c>
    </row>
    <row r="2345" spans="1:5">
      <c r="A2345">
        <v>40813</v>
      </c>
      <c r="B2345">
        <v>1300</v>
      </c>
      <c r="C2345" s="455">
        <v>3.0000000000000001E-3</v>
      </c>
      <c r="D2345" s="637">
        <f t="shared" si="80"/>
        <v>7.0666666666666664E-3</v>
      </c>
      <c r="E2345" s="637">
        <f t="shared" si="81"/>
        <v>1.2933333333333337E-2</v>
      </c>
    </row>
    <row r="2346" spans="1:5">
      <c r="A2346">
        <v>40813</v>
      </c>
      <c r="B2346">
        <v>1400</v>
      </c>
      <c r="C2346" s="455">
        <v>0</v>
      </c>
      <c r="D2346" s="637">
        <f t="shared" si="80"/>
        <v>0</v>
      </c>
      <c r="E2346" s="637">
        <f t="shared" si="81"/>
        <v>0</v>
      </c>
    </row>
    <row r="2347" spans="1:5">
      <c r="A2347">
        <v>40813</v>
      </c>
      <c r="B2347">
        <v>1500</v>
      </c>
      <c r="C2347" s="455">
        <v>0</v>
      </c>
      <c r="D2347" s="637">
        <f t="shared" si="80"/>
        <v>0</v>
      </c>
      <c r="E2347" s="637">
        <f t="shared" si="81"/>
        <v>0</v>
      </c>
    </row>
    <row r="2348" spans="1:5">
      <c r="A2348">
        <v>40813</v>
      </c>
      <c r="B2348">
        <v>1600</v>
      </c>
      <c r="C2348" s="455">
        <v>2E-3</v>
      </c>
      <c r="D2348" s="637">
        <f t="shared" si="80"/>
        <v>4.7111111111111112E-3</v>
      </c>
      <c r="E2348" s="637">
        <f t="shared" si="81"/>
        <v>8.6222222222222238E-3</v>
      </c>
    </row>
    <row r="2349" spans="1:5">
      <c r="A2349">
        <v>40813</v>
      </c>
      <c r="B2349">
        <v>1700</v>
      </c>
      <c r="C2349" s="455">
        <v>0.38300000000000001</v>
      </c>
      <c r="D2349" s="637">
        <f t="shared" si="80"/>
        <v>0.90217777777777786</v>
      </c>
      <c r="E2349" s="637">
        <f t="shared" si="81"/>
        <v>1.6511555555555559</v>
      </c>
    </row>
    <row r="2350" spans="1:5">
      <c r="A2350">
        <v>40813</v>
      </c>
      <c r="B2350">
        <v>1800</v>
      </c>
      <c r="C2350" s="455">
        <v>2.3140000000000001</v>
      </c>
      <c r="D2350" s="637">
        <f t="shared" si="80"/>
        <v>5.4507555555555562</v>
      </c>
      <c r="E2350" s="637">
        <f t="shared" si="81"/>
        <v>9.9759111111111149</v>
      </c>
    </row>
    <row r="2351" spans="1:5">
      <c r="A2351">
        <v>40813</v>
      </c>
      <c r="B2351">
        <v>1900</v>
      </c>
      <c r="C2351" s="455">
        <v>12.385</v>
      </c>
      <c r="D2351" s="637">
        <f t="shared" si="80"/>
        <v>29.173555555555556</v>
      </c>
      <c r="E2351" s="637">
        <f t="shared" si="81"/>
        <v>53.393111111111125</v>
      </c>
    </row>
    <row r="2352" spans="1:5">
      <c r="A2352">
        <v>40813</v>
      </c>
      <c r="B2352">
        <v>2000</v>
      </c>
      <c r="C2352" s="455">
        <v>7.7290000000000001</v>
      </c>
      <c r="D2352" s="637">
        <f t="shared" si="80"/>
        <v>18.206088888888889</v>
      </c>
      <c r="E2352" s="637">
        <f t="shared" si="81"/>
        <v>33.320577777777785</v>
      </c>
    </row>
    <row r="2353" spans="1:5">
      <c r="A2353">
        <v>40813</v>
      </c>
      <c r="B2353">
        <v>2100</v>
      </c>
      <c r="C2353" s="455">
        <v>7.8070000000000004</v>
      </c>
      <c r="D2353" s="637">
        <f t="shared" si="80"/>
        <v>18.389822222222222</v>
      </c>
      <c r="E2353" s="637">
        <f t="shared" si="81"/>
        <v>33.656844444444452</v>
      </c>
    </row>
    <row r="2354" spans="1:5">
      <c r="A2354">
        <v>40813</v>
      </c>
      <c r="B2354">
        <v>2200</v>
      </c>
      <c r="C2354" s="455">
        <v>7.5019999999999998</v>
      </c>
      <c r="D2354" s="637">
        <f t="shared" si="80"/>
        <v>17.671377777777778</v>
      </c>
      <c r="E2354" s="637">
        <f t="shared" si="81"/>
        <v>32.341955555555558</v>
      </c>
    </row>
    <row r="2355" spans="1:5">
      <c r="A2355">
        <v>40813</v>
      </c>
      <c r="B2355">
        <v>2300</v>
      </c>
      <c r="C2355" s="455">
        <v>7.5679999999999996</v>
      </c>
      <c r="D2355" s="637">
        <f t="shared" si="80"/>
        <v>17.826844444444443</v>
      </c>
      <c r="E2355" s="637">
        <f t="shared" si="81"/>
        <v>32.626488888888893</v>
      </c>
    </row>
    <row r="2356" spans="1:5">
      <c r="A2356">
        <v>40813</v>
      </c>
      <c r="B2356">
        <v>2400</v>
      </c>
      <c r="C2356" s="455">
        <v>7.8129999999999997</v>
      </c>
      <c r="D2356" s="637">
        <f t="shared" si="80"/>
        <v>18.403955555555555</v>
      </c>
      <c r="E2356" s="637">
        <f t="shared" si="81"/>
        <v>33.682711111111118</v>
      </c>
    </row>
    <row r="2357" spans="1:5">
      <c r="A2357">
        <v>40913</v>
      </c>
      <c r="B2357">
        <v>100</v>
      </c>
      <c r="C2357" s="455">
        <v>7.4379999999999997</v>
      </c>
      <c r="D2357" s="637">
        <f t="shared" si="80"/>
        <v>17.520622222222222</v>
      </c>
      <c r="E2357" s="637">
        <f t="shared" si="81"/>
        <v>32.066044444444451</v>
      </c>
    </row>
    <row r="2358" spans="1:5">
      <c r="A2358">
        <v>40913</v>
      </c>
      <c r="B2358">
        <v>200</v>
      </c>
      <c r="C2358" s="455">
        <v>8.0909999999999993</v>
      </c>
      <c r="D2358" s="637">
        <f t="shared" ref="D2358:D2421" si="82">(C2358/(MAX($C$2165:$C$2884)))*$W$8</f>
        <v>19.058799999999998</v>
      </c>
      <c r="E2358" s="637">
        <f t="shared" ref="E2358:E2421" si="83">(C2358/(MAX($C$2165:$C$2884)))*$P$8</f>
        <v>34.881200000000007</v>
      </c>
    </row>
    <row r="2359" spans="1:5">
      <c r="A2359">
        <v>40913</v>
      </c>
      <c r="B2359">
        <v>300</v>
      </c>
      <c r="C2359" s="455">
        <v>7.7320000000000002</v>
      </c>
      <c r="D2359" s="637">
        <f t="shared" si="82"/>
        <v>18.213155555555556</v>
      </c>
      <c r="E2359" s="637">
        <f t="shared" si="83"/>
        <v>33.333511111111122</v>
      </c>
    </row>
    <row r="2360" spans="1:5">
      <c r="A2360">
        <v>40913</v>
      </c>
      <c r="B2360">
        <v>400</v>
      </c>
      <c r="C2360" s="455">
        <v>7.601</v>
      </c>
      <c r="D2360" s="637">
        <f t="shared" si="82"/>
        <v>17.904577777777778</v>
      </c>
      <c r="E2360" s="637">
        <f t="shared" si="83"/>
        <v>32.768755555555565</v>
      </c>
    </row>
    <row r="2361" spans="1:5">
      <c r="A2361">
        <v>40913</v>
      </c>
      <c r="B2361">
        <v>500</v>
      </c>
      <c r="C2361" s="455">
        <v>7.9349999999999996</v>
      </c>
      <c r="D2361" s="637">
        <f t="shared" si="82"/>
        <v>18.691333333333333</v>
      </c>
      <c r="E2361" s="637">
        <f t="shared" si="83"/>
        <v>34.208666666666673</v>
      </c>
    </row>
    <row r="2362" spans="1:5">
      <c r="A2362">
        <v>40913</v>
      </c>
      <c r="B2362">
        <v>600</v>
      </c>
      <c r="C2362" s="455">
        <v>8.8309999999999995</v>
      </c>
      <c r="D2362" s="637">
        <f t="shared" si="82"/>
        <v>20.80191111111111</v>
      </c>
      <c r="E2362" s="637">
        <f t="shared" si="83"/>
        <v>38.071422222222232</v>
      </c>
    </row>
    <row r="2363" spans="1:5">
      <c r="A2363">
        <v>40913</v>
      </c>
      <c r="B2363">
        <v>700</v>
      </c>
      <c r="C2363" s="455">
        <v>0.252</v>
      </c>
      <c r="D2363" s="637">
        <f t="shared" si="82"/>
        <v>0.59360000000000002</v>
      </c>
      <c r="E2363" s="637">
        <f t="shared" si="83"/>
        <v>1.0864000000000003</v>
      </c>
    </row>
    <row r="2364" spans="1:5">
      <c r="A2364">
        <v>40913</v>
      </c>
      <c r="B2364">
        <v>800</v>
      </c>
      <c r="C2364" s="455">
        <v>0</v>
      </c>
      <c r="D2364" s="637">
        <f t="shared" si="82"/>
        <v>0</v>
      </c>
      <c r="E2364" s="637">
        <f t="shared" si="83"/>
        <v>0</v>
      </c>
    </row>
    <row r="2365" spans="1:5">
      <c r="A2365">
        <v>40913</v>
      </c>
      <c r="B2365">
        <v>900</v>
      </c>
      <c r="C2365" s="455">
        <v>0</v>
      </c>
      <c r="D2365" s="637">
        <f t="shared" si="82"/>
        <v>0</v>
      </c>
      <c r="E2365" s="637">
        <f t="shared" si="83"/>
        <v>0</v>
      </c>
    </row>
    <row r="2366" spans="1:5">
      <c r="A2366">
        <v>40913</v>
      </c>
      <c r="B2366">
        <v>1000</v>
      </c>
      <c r="C2366" s="455">
        <v>0</v>
      </c>
      <c r="D2366" s="637">
        <f t="shared" si="82"/>
        <v>0</v>
      </c>
      <c r="E2366" s="637">
        <f t="shared" si="83"/>
        <v>0</v>
      </c>
    </row>
    <row r="2367" spans="1:5">
      <c r="A2367">
        <v>40913</v>
      </c>
      <c r="B2367">
        <v>1100</v>
      </c>
      <c r="C2367" s="455">
        <v>0</v>
      </c>
      <c r="D2367" s="637">
        <f t="shared" si="82"/>
        <v>0</v>
      </c>
      <c r="E2367" s="637">
        <f t="shared" si="83"/>
        <v>0</v>
      </c>
    </row>
    <row r="2368" spans="1:5">
      <c r="A2368">
        <v>40913</v>
      </c>
      <c r="B2368">
        <v>1200</v>
      </c>
      <c r="C2368" s="455">
        <v>0</v>
      </c>
      <c r="D2368" s="637">
        <f t="shared" si="82"/>
        <v>0</v>
      </c>
      <c r="E2368" s="637">
        <f t="shared" si="83"/>
        <v>0</v>
      </c>
    </row>
    <row r="2369" spans="1:5">
      <c r="A2369">
        <v>40913</v>
      </c>
      <c r="B2369">
        <v>1300</v>
      </c>
      <c r="C2369" s="455">
        <v>0</v>
      </c>
      <c r="D2369" s="637">
        <f t="shared" si="82"/>
        <v>0</v>
      </c>
      <c r="E2369" s="637">
        <f t="shared" si="83"/>
        <v>0</v>
      </c>
    </row>
    <row r="2370" spans="1:5">
      <c r="A2370">
        <v>40913</v>
      </c>
      <c r="B2370">
        <v>1400</v>
      </c>
      <c r="C2370" s="455">
        <v>0</v>
      </c>
      <c r="D2370" s="637">
        <f t="shared" si="82"/>
        <v>0</v>
      </c>
      <c r="E2370" s="637">
        <f t="shared" si="83"/>
        <v>0</v>
      </c>
    </row>
    <row r="2371" spans="1:5">
      <c r="A2371">
        <v>40913</v>
      </c>
      <c r="B2371">
        <v>1500</v>
      </c>
      <c r="C2371" s="455">
        <v>0</v>
      </c>
      <c r="D2371" s="637">
        <f t="shared" si="82"/>
        <v>0</v>
      </c>
      <c r="E2371" s="637">
        <f t="shared" si="83"/>
        <v>0</v>
      </c>
    </row>
    <row r="2372" spans="1:5">
      <c r="A2372">
        <v>40913</v>
      </c>
      <c r="B2372">
        <v>1600</v>
      </c>
      <c r="C2372" s="455">
        <v>0</v>
      </c>
      <c r="D2372" s="637">
        <f t="shared" si="82"/>
        <v>0</v>
      </c>
      <c r="E2372" s="637">
        <f t="shared" si="83"/>
        <v>0</v>
      </c>
    </row>
    <row r="2373" spans="1:5">
      <c r="A2373">
        <v>40913</v>
      </c>
      <c r="B2373">
        <v>1700</v>
      </c>
      <c r="C2373" s="455">
        <v>2.9000000000000001E-2</v>
      </c>
      <c r="D2373" s="637">
        <f t="shared" si="82"/>
        <v>6.8311111111111114E-2</v>
      </c>
      <c r="E2373" s="637">
        <f t="shared" si="83"/>
        <v>0.12502222222222226</v>
      </c>
    </row>
    <row r="2374" spans="1:5">
      <c r="A2374">
        <v>40913</v>
      </c>
      <c r="B2374">
        <v>1800</v>
      </c>
      <c r="C2374" s="455">
        <v>2.04</v>
      </c>
      <c r="D2374" s="637">
        <f t="shared" si="82"/>
        <v>4.8053333333333335</v>
      </c>
      <c r="E2374" s="637">
        <f t="shared" si="83"/>
        <v>8.794666666666668</v>
      </c>
    </row>
    <row r="2375" spans="1:5">
      <c r="A2375">
        <v>40913</v>
      </c>
      <c r="B2375">
        <v>1900</v>
      </c>
      <c r="C2375" s="455">
        <v>11.154999999999999</v>
      </c>
      <c r="D2375" s="637">
        <f t="shared" si="82"/>
        <v>26.27622222222222</v>
      </c>
      <c r="E2375" s="637">
        <f t="shared" si="83"/>
        <v>48.090444444444451</v>
      </c>
    </row>
    <row r="2376" spans="1:5">
      <c r="A2376">
        <v>40913</v>
      </c>
      <c r="B2376">
        <v>2000</v>
      </c>
      <c r="C2376" s="455">
        <v>7.0010000000000003</v>
      </c>
      <c r="D2376" s="637">
        <f t="shared" si="82"/>
        <v>16.491244444444444</v>
      </c>
      <c r="E2376" s="637">
        <f t="shared" si="83"/>
        <v>30.182088888888895</v>
      </c>
    </row>
    <row r="2377" spans="1:5">
      <c r="A2377">
        <v>40913</v>
      </c>
      <c r="B2377">
        <v>2100</v>
      </c>
      <c r="C2377" s="455">
        <v>6.9989999999999997</v>
      </c>
      <c r="D2377" s="637">
        <f t="shared" si="82"/>
        <v>16.48653333333333</v>
      </c>
      <c r="E2377" s="637">
        <f t="shared" si="83"/>
        <v>30.17346666666667</v>
      </c>
    </row>
    <row r="2378" spans="1:5">
      <c r="A2378">
        <v>40913</v>
      </c>
      <c r="B2378">
        <v>2200</v>
      </c>
      <c r="C2378" s="455">
        <v>7.444</v>
      </c>
      <c r="D2378" s="637">
        <f t="shared" si="82"/>
        <v>17.534755555555556</v>
      </c>
      <c r="E2378" s="637">
        <f t="shared" si="83"/>
        <v>32.091911111111116</v>
      </c>
    </row>
    <row r="2379" spans="1:5">
      <c r="A2379">
        <v>40913</v>
      </c>
      <c r="B2379">
        <v>2300</v>
      </c>
      <c r="C2379" s="455">
        <v>7.5659999999999998</v>
      </c>
      <c r="D2379" s="637">
        <f t="shared" si="82"/>
        <v>17.822133333333333</v>
      </c>
      <c r="E2379" s="637">
        <f t="shared" si="83"/>
        <v>32.617866666666671</v>
      </c>
    </row>
    <row r="2380" spans="1:5">
      <c r="A2380">
        <v>40913</v>
      </c>
      <c r="B2380">
        <v>2400</v>
      </c>
      <c r="C2380" s="455">
        <v>7.6459999999999999</v>
      </c>
      <c r="D2380" s="637">
        <f t="shared" si="82"/>
        <v>18.010577777777776</v>
      </c>
      <c r="E2380" s="637">
        <f t="shared" si="83"/>
        <v>32.96275555555556</v>
      </c>
    </row>
    <row r="2381" spans="1:5">
      <c r="A2381">
        <v>41013</v>
      </c>
      <c r="B2381">
        <v>100</v>
      </c>
      <c r="C2381" s="455">
        <v>7.5750000000000002</v>
      </c>
      <c r="D2381" s="637">
        <f t="shared" si="82"/>
        <v>17.843333333333334</v>
      </c>
      <c r="E2381" s="637">
        <f t="shared" si="83"/>
        <v>32.656666666666673</v>
      </c>
    </row>
    <row r="2382" spans="1:5">
      <c r="A2382">
        <v>41013</v>
      </c>
      <c r="B2382">
        <v>200</v>
      </c>
      <c r="C2382" s="455">
        <v>7.6539999999999999</v>
      </c>
      <c r="D2382" s="637">
        <f t="shared" si="82"/>
        <v>18.029422222222223</v>
      </c>
      <c r="E2382" s="637">
        <f t="shared" si="83"/>
        <v>32.997244444444455</v>
      </c>
    </row>
    <row r="2383" spans="1:5">
      <c r="A2383">
        <v>41013</v>
      </c>
      <c r="B2383">
        <v>300</v>
      </c>
      <c r="C2383" s="455">
        <v>7.7439999999999998</v>
      </c>
      <c r="D2383" s="637">
        <f t="shared" si="82"/>
        <v>18.241422222222219</v>
      </c>
      <c r="E2383" s="637">
        <f t="shared" si="83"/>
        <v>33.385244444444453</v>
      </c>
    </row>
    <row r="2384" spans="1:5">
      <c r="A2384">
        <v>41013</v>
      </c>
      <c r="B2384">
        <v>400</v>
      </c>
      <c r="C2384" s="455">
        <v>7.6529999999999996</v>
      </c>
      <c r="D2384" s="637">
        <f t="shared" si="82"/>
        <v>18.027066666666666</v>
      </c>
      <c r="E2384" s="637">
        <f t="shared" si="83"/>
        <v>32.99293333333334</v>
      </c>
    </row>
    <row r="2385" spans="1:5">
      <c r="A2385">
        <v>41013</v>
      </c>
      <c r="B2385">
        <v>500</v>
      </c>
      <c r="C2385" s="455">
        <v>8.2230000000000008</v>
      </c>
      <c r="D2385" s="637">
        <f t="shared" si="82"/>
        <v>19.369733333333333</v>
      </c>
      <c r="E2385" s="637">
        <f t="shared" si="83"/>
        <v>35.450266666666678</v>
      </c>
    </row>
    <row r="2386" spans="1:5">
      <c r="A2386">
        <v>41013</v>
      </c>
      <c r="B2386">
        <v>600</v>
      </c>
      <c r="C2386" s="455">
        <v>8.7789999999999999</v>
      </c>
      <c r="D2386" s="637">
        <f t="shared" si="82"/>
        <v>20.679422222222222</v>
      </c>
      <c r="E2386" s="637">
        <f t="shared" si="83"/>
        <v>37.847244444444449</v>
      </c>
    </row>
    <row r="2387" spans="1:5">
      <c r="A2387">
        <v>41013</v>
      </c>
      <c r="B2387">
        <v>700</v>
      </c>
      <c r="C2387" s="455">
        <v>8.8409999999999993</v>
      </c>
      <c r="D2387" s="637">
        <f t="shared" si="82"/>
        <v>20.825466666666664</v>
      </c>
      <c r="E2387" s="637">
        <f t="shared" si="83"/>
        <v>38.114533333333334</v>
      </c>
    </row>
    <row r="2388" spans="1:5">
      <c r="A2388">
        <v>41013</v>
      </c>
      <c r="B2388">
        <v>800</v>
      </c>
      <c r="C2388" s="455">
        <v>0.77500000000000002</v>
      </c>
      <c r="D2388" s="637">
        <f t="shared" si="82"/>
        <v>1.8255555555555556</v>
      </c>
      <c r="E2388" s="637">
        <f t="shared" si="83"/>
        <v>3.341111111111112</v>
      </c>
    </row>
    <row r="2389" spans="1:5">
      <c r="A2389">
        <v>41013</v>
      </c>
      <c r="B2389">
        <v>900</v>
      </c>
      <c r="C2389" s="455">
        <v>4.0000000000000001E-3</v>
      </c>
      <c r="D2389" s="637">
        <f t="shared" si="82"/>
        <v>9.4222222222222225E-3</v>
      </c>
      <c r="E2389" s="637">
        <f t="shared" si="83"/>
        <v>1.7244444444444448E-2</v>
      </c>
    </row>
    <row r="2390" spans="1:5">
      <c r="A2390">
        <v>41013</v>
      </c>
      <c r="B2390">
        <v>1000</v>
      </c>
      <c r="C2390" s="455">
        <v>6.0000000000000001E-3</v>
      </c>
      <c r="D2390" s="637">
        <f t="shared" si="82"/>
        <v>1.4133333333333333E-2</v>
      </c>
      <c r="E2390" s="637">
        <f t="shared" si="83"/>
        <v>2.5866666666666673E-2</v>
      </c>
    </row>
    <row r="2391" spans="1:5">
      <c r="A2391">
        <v>41013</v>
      </c>
      <c r="B2391">
        <v>1100</v>
      </c>
      <c r="C2391" s="455">
        <v>0</v>
      </c>
      <c r="D2391" s="637">
        <f t="shared" si="82"/>
        <v>0</v>
      </c>
      <c r="E2391" s="637">
        <f t="shared" si="83"/>
        <v>0</v>
      </c>
    </row>
    <row r="2392" spans="1:5">
      <c r="A2392">
        <v>41013</v>
      </c>
      <c r="B2392">
        <v>1200</v>
      </c>
      <c r="C2392" s="455">
        <v>0</v>
      </c>
      <c r="D2392" s="637">
        <f t="shared" si="82"/>
        <v>0</v>
      </c>
      <c r="E2392" s="637">
        <f t="shared" si="83"/>
        <v>0</v>
      </c>
    </row>
    <row r="2393" spans="1:5">
      <c r="A2393">
        <v>41013</v>
      </c>
      <c r="B2393">
        <v>1300</v>
      </c>
      <c r="C2393" s="455">
        <v>0.03</v>
      </c>
      <c r="D2393" s="637">
        <f t="shared" si="82"/>
        <v>7.0666666666666655E-2</v>
      </c>
      <c r="E2393" s="637">
        <f t="shared" si="83"/>
        <v>0.12933333333333336</v>
      </c>
    </row>
    <row r="2394" spans="1:5">
      <c r="A2394">
        <v>41013</v>
      </c>
      <c r="B2394">
        <v>1400</v>
      </c>
      <c r="C2394" s="455">
        <v>1.7849999999999999</v>
      </c>
      <c r="D2394" s="637">
        <f t="shared" si="82"/>
        <v>4.2046666666666663</v>
      </c>
      <c r="E2394" s="637">
        <f t="shared" si="83"/>
        <v>7.695333333333334</v>
      </c>
    </row>
    <row r="2395" spans="1:5">
      <c r="A2395">
        <v>41013</v>
      </c>
      <c r="B2395">
        <v>1500</v>
      </c>
      <c r="C2395" s="455">
        <v>1E-3</v>
      </c>
      <c r="D2395" s="637">
        <f t="shared" si="82"/>
        <v>2.3555555555555556E-3</v>
      </c>
      <c r="E2395" s="637">
        <f t="shared" si="83"/>
        <v>4.3111111111111119E-3</v>
      </c>
    </row>
    <row r="2396" spans="1:5">
      <c r="A2396">
        <v>41013</v>
      </c>
      <c r="B2396">
        <v>1600</v>
      </c>
      <c r="C2396" s="455">
        <v>0</v>
      </c>
      <c r="D2396" s="637">
        <f t="shared" si="82"/>
        <v>0</v>
      </c>
      <c r="E2396" s="637">
        <f t="shared" si="83"/>
        <v>0</v>
      </c>
    </row>
    <row r="2397" spans="1:5">
      <c r="A2397">
        <v>41013</v>
      </c>
      <c r="B2397">
        <v>1700</v>
      </c>
      <c r="C2397" s="455">
        <v>4.5999999999999999E-2</v>
      </c>
      <c r="D2397" s="637">
        <f t="shared" si="82"/>
        <v>0.10835555555555557</v>
      </c>
      <c r="E2397" s="637">
        <f t="shared" si="83"/>
        <v>0.19831111111111116</v>
      </c>
    </row>
    <row r="2398" spans="1:5">
      <c r="A2398">
        <v>41013</v>
      </c>
      <c r="B2398">
        <v>1800</v>
      </c>
      <c r="C2398" s="455">
        <v>0.17499999999999999</v>
      </c>
      <c r="D2398" s="637">
        <f t="shared" si="82"/>
        <v>0.41222222222222221</v>
      </c>
      <c r="E2398" s="637">
        <f t="shared" si="83"/>
        <v>0.75444444444444458</v>
      </c>
    </row>
    <row r="2399" spans="1:5">
      <c r="A2399">
        <v>41013</v>
      </c>
      <c r="B2399">
        <v>1900</v>
      </c>
      <c r="C2399" s="455">
        <v>3.5819999999999999</v>
      </c>
      <c r="D2399" s="637">
        <f t="shared" si="82"/>
        <v>8.4375999999999998</v>
      </c>
      <c r="E2399" s="637">
        <f t="shared" si="83"/>
        <v>15.442400000000005</v>
      </c>
    </row>
    <row r="2400" spans="1:5">
      <c r="A2400">
        <v>41013</v>
      </c>
      <c r="B2400">
        <v>2000</v>
      </c>
      <c r="C2400" s="455">
        <v>8.5280000000000005</v>
      </c>
      <c r="D2400" s="637">
        <f t="shared" si="82"/>
        <v>20.08817777777778</v>
      </c>
      <c r="E2400" s="637">
        <f t="shared" si="83"/>
        <v>36.765155555555566</v>
      </c>
    </row>
    <row r="2401" spans="1:5">
      <c r="A2401">
        <v>41013</v>
      </c>
      <c r="B2401">
        <v>2100</v>
      </c>
      <c r="C2401" s="455">
        <v>7.6689999999999996</v>
      </c>
      <c r="D2401" s="637">
        <f t="shared" si="82"/>
        <v>18.064755555555557</v>
      </c>
      <c r="E2401" s="637">
        <f t="shared" si="83"/>
        <v>33.061911111111115</v>
      </c>
    </row>
    <row r="2402" spans="1:5">
      <c r="A2402">
        <v>41013</v>
      </c>
      <c r="B2402">
        <v>2200</v>
      </c>
      <c r="C2402" s="455">
        <v>7.5</v>
      </c>
      <c r="D2402" s="637">
        <f t="shared" si="82"/>
        <v>17.666666666666668</v>
      </c>
      <c r="E2402" s="637">
        <f t="shared" si="83"/>
        <v>32.333333333333343</v>
      </c>
    </row>
    <row r="2403" spans="1:5">
      <c r="A2403">
        <v>41013</v>
      </c>
      <c r="B2403">
        <v>2300</v>
      </c>
      <c r="C2403" s="455">
        <v>7.6390000000000002</v>
      </c>
      <c r="D2403" s="637">
        <f t="shared" si="82"/>
        <v>17.994088888888889</v>
      </c>
      <c r="E2403" s="637">
        <f t="shared" si="83"/>
        <v>32.932577777777787</v>
      </c>
    </row>
    <row r="2404" spans="1:5">
      <c r="A2404">
        <v>41013</v>
      </c>
      <c r="B2404">
        <v>2400</v>
      </c>
      <c r="C2404" s="455">
        <v>7.7359999999999998</v>
      </c>
      <c r="D2404" s="637">
        <f t="shared" si="82"/>
        <v>18.222577777777779</v>
      </c>
      <c r="E2404" s="637">
        <f t="shared" si="83"/>
        <v>33.350755555555565</v>
      </c>
    </row>
    <row r="2405" spans="1:5">
      <c r="A2405">
        <v>41113</v>
      </c>
      <c r="B2405">
        <v>100</v>
      </c>
      <c r="C2405" s="455">
        <v>7.6459999999999999</v>
      </c>
      <c r="D2405" s="637">
        <f t="shared" si="82"/>
        <v>18.010577777777776</v>
      </c>
      <c r="E2405" s="637">
        <f t="shared" si="83"/>
        <v>32.96275555555556</v>
      </c>
    </row>
    <row r="2406" spans="1:5">
      <c r="A2406">
        <v>41113</v>
      </c>
      <c r="B2406">
        <v>200</v>
      </c>
      <c r="C2406" s="455">
        <v>7.6449999999999996</v>
      </c>
      <c r="D2406" s="637">
        <f t="shared" si="82"/>
        <v>18.008222222222223</v>
      </c>
      <c r="E2406" s="637">
        <f t="shared" si="83"/>
        <v>32.958444444444453</v>
      </c>
    </row>
    <row r="2407" spans="1:5">
      <c r="A2407">
        <v>41113</v>
      </c>
      <c r="B2407">
        <v>300</v>
      </c>
      <c r="C2407" s="455">
        <v>7.665</v>
      </c>
      <c r="D2407" s="637">
        <f t="shared" si="82"/>
        <v>18.055333333333333</v>
      </c>
      <c r="E2407" s="637">
        <f t="shared" si="83"/>
        <v>33.044666666666679</v>
      </c>
    </row>
    <row r="2408" spans="1:5">
      <c r="A2408">
        <v>41113</v>
      </c>
      <c r="B2408">
        <v>400</v>
      </c>
      <c r="C2408" s="455">
        <v>7.7869999999999999</v>
      </c>
      <c r="D2408" s="637">
        <f t="shared" si="82"/>
        <v>18.342711111111111</v>
      </c>
      <c r="E2408" s="637">
        <f t="shared" si="83"/>
        <v>33.570622222222227</v>
      </c>
    </row>
    <row r="2409" spans="1:5">
      <c r="A2409">
        <v>41113</v>
      </c>
      <c r="B2409">
        <v>500</v>
      </c>
      <c r="C2409" s="455">
        <v>7.5670000000000002</v>
      </c>
      <c r="D2409" s="637">
        <f t="shared" si="82"/>
        <v>17.82448888888889</v>
      </c>
      <c r="E2409" s="637">
        <f t="shared" si="83"/>
        <v>32.622177777777786</v>
      </c>
    </row>
    <row r="2410" spans="1:5">
      <c r="A2410">
        <v>41113</v>
      </c>
      <c r="B2410">
        <v>600</v>
      </c>
      <c r="C2410" s="455">
        <v>7.8710000000000004</v>
      </c>
      <c r="D2410" s="637">
        <f t="shared" si="82"/>
        <v>18.540577777777777</v>
      </c>
      <c r="E2410" s="637">
        <f t="shared" si="83"/>
        <v>33.932755555555559</v>
      </c>
    </row>
    <row r="2411" spans="1:5">
      <c r="A2411">
        <v>41113</v>
      </c>
      <c r="B2411">
        <v>700</v>
      </c>
      <c r="C2411" s="455">
        <v>7.1</v>
      </c>
      <c r="D2411" s="637">
        <f t="shared" si="82"/>
        <v>16.72444444444444</v>
      </c>
      <c r="E2411" s="637">
        <f t="shared" si="83"/>
        <v>30.608888888888892</v>
      </c>
    </row>
    <row r="2412" spans="1:5">
      <c r="A2412">
        <v>41113</v>
      </c>
      <c r="B2412">
        <v>800</v>
      </c>
      <c r="C2412" s="455">
        <v>0.24199999999999999</v>
      </c>
      <c r="D2412" s="637">
        <f t="shared" si="82"/>
        <v>0.57004444444444435</v>
      </c>
      <c r="E2412" s="637">
        <f t="shared" si="83"/>
        <v>1.0432888888888892</v>
      </c>
    </row>
    <row r="2413" spans="1:5">
      <c r="A2413">
        <v>41113</v>
      </c>
      <c r="B2413">
        <v>900</v>
      </c>
      <c r="C2413" s="455">
        <v>0.48199999999999998</v>
      </c>
      <c r="D2413" s="637">
        <f t="shared" si="82"/>
        <v>1.1353777777777778</v>
      </c>
      <c r="E2413" s="637">
        <f t="shared" si="83"/>
        <v>2.077955555555556</v>
      </c>
    </row>
    <row r="2414" spans="1:5">
      <c r="A2414">
        <v>41113</v>
      </c>
      <c r="B2414">
        <v>1000</v>
      </c>
      <c r="C2414" s="455">
        <v>0.03</v>
      </c>
      <c r="D2414" s="637">
        <f t="shared" si="82"/>
        <v>7.0666666666666655E-2</v>
      </c>
      <c r="E2414" s="637">
        <f t="shared" si="83"/>
        <v>0.12933333333333336</v>
      </c>
    </row>
    <row r="2415" spans="1:5">
      <c r="A2415">
        <v>41113</v>
      </c>
      <c r="B2415">
        <v>1100</v>
      </c>
      <c r="C2415" s="455">
        <v>0</v>
      </c>
      <c r="D2415" s="637">
        <f t="shared" si="82"/>
        <v>0</v>
      </c>
      <c r="E2415" s="637">
        <f t="shared" si="83"/>
        <v>0</v>
      </c>
    </row>
    <row r="2416" spans="1:5">
      <c r="A2416">
        <v>41113</v>
      </c>
      <c r="B2416">
        <v>1200</v>
      </c>
      <c r="C2416" s="455">
        <v>0</v>
      </c>
      <c r="D2416" s="637">
        <f t="shared" si="82"/>
        <v>0</v>
      </c>
      <c r="E2416" s="637">
        <f t="shared" si="83"/>
        <v>0</v>
      </c>
    </row>
    <row r="2417" spans="1:5">
      <c r="A2417">
        <v>41113</v>
      </c>
      <c r="B2417">
        <v>1300</v>
      </c>
      <c r="C2417" s="455">
        <v>3.2000000000000001E-2</v>
      </c>
      <c r="D2417" s="637">
        <f t="shared" si="82"/>
        <v>7.537777777777778E-2</v>
      </c>
      <c r="E2417" s="637">
        <f t="shared" si="83"/>
        <v>0.13795555555555558</v>
      </c>
    </row>
    <row r="2418" spans="1:5">
      <c r="A2418">
        <v>41113</v>
      </c>
      <c r="B2418">
        <v>1400</v>
      </c>
      <c r="C2418" s="455">
        <v>0.221</v>
      </c>
      <c r="D2418" s="637">
        <f t="shared" si="82"/>
        <v>0.52057777777777769</v>
      </c>
      <c r="E2418" s="637">
        <f t="shared" si="83"/>
        <v>0.95275555555555569</v>
      </c>
    </row>
    <row r="2419" spans="1:5">
      <c r="A2419">
        <v>41113</v>
      </c>
      <c r="B2419">
        <v>1500</v>
      </c>
      <c r="C2419" s="455">
        <v>0.123</v>
      </c>
      <c r="D2419" s="637">
        <f t="shared" si="82"/>
        <v>0.28973333333333329</v>
      </c>
      <c r="E2419" s="637">
        <f t="shared" si="83"/>
        <v>0.53026666666666677</v>
      </c>
    </row>
    <row r="2420" spans="1:5">
      <c r="A2420">
        <v>41113</v>
      </c>
      <c r="B2420">
        <v>1600</v>
      </c>
      <c r="C2420" s="455">
        <v>0.46600000000000003</v>
      </c>
      <c r="D2420" s="637">
        <f t="shared" si="82"/>
        <v>1.0976888888888889</v>
      </c>
      <c r="E2420" s="637">
        <f t="shared" si="83"/>
        <v>2.0089777777777784</v>
      </c>
    </row>
    <row r="2421" spans="1:5">
      <c r="A2421">
        <v>41113</v>
      </c>
      <c r="B2421">
        <v>1700</v>
      </c>
      <c r="C2421" s="455">
        <v>1.2989999999999999</v>
      </c>
      <c r="D2421" s="637">
        <f t="shared" si="82"/>
        <v>3.0598666666666663</v>
      </c>
      <c r="E2421" s="637">
        <f t="shared" si="83"/>
        <v>5.6001333333333339</v>
      </c>
    </row>
    <row r="2422" spans="1:5">
      <c r="A2422">
        <v>41113</v>
      </c>
      <c r="B2422">
        <v>1800</v>
      </c>
      <c r="C2422" s="455">
        <v>6.2119999999999997</v>
      </c>
      <c r="D2422" s="637">
        <f t="shared" ref="D2422:D2485" si="84">(C2422/(MAX($C$2165:$C$2884)))*$W$8</f>
        <v>14.63271111111111</v>
      </c>
      <c r="E2422" s="637">
        <f t="shared" ref="E2422:E2485" si="85">(C2422/(MAX($C$2165:$C$2884)))*$P$8</f>
        <v>26.780622222222227</v>
      </c>
    </row>
    <row r="2423" spans="1:5">
      <c r="A2423">
        <v>41113</v>
      </c>
      <c r="B2423">
        <v>1900</v>
      </c>
      <c r="C2423" s="455">
        <v>12.234999999999999</v>
      </c>
      <c r="D2423" s="637">
        <f t="shared" si="84"/>
        <v>28.82022222222222</v>
      </c>
      <c r="E2423" s="637">
        <f t="shared" si="85"/>
        <v>52.746444444444457</v>
      </c>
    </row>
    <row r="2424" spans="1:5">
      <c r="A2424">
        <v>41113</v>
      </c>
      <c r="B2424">
        <v>2000</v>
      </c>
      <c r="C2424" s="455">
        <v>7.8730000000000002</v>
      </c>
      <c r="D2424" s="637">
        <f t="shared" si="84"/>
        <v>18.545288888888891</v>
      </c>
      <c r="E2424" s="637">
        <f t="shared" si="85"/>
        <v>33.941377777777788</v>
      </c>
    </row>
    <row r="2425" spans="1:5">
      <c r="A2425">
        <v>41113</v>
      </c>
      <c r="B2425">
        <v>2100</v>
      </c>
      <c r="C2425" s="455">
        <v>7.7329999999999997</v>
      </c>
      <c r="D2425" s="637">
        <f t="shared" si="84"/>
        <v>18.215511111111109</v>
      </c>
      <c r="E2425" s="637">
        <f t="shared" si="85"/>
        <v>33.337822222222229</v>
      </c>
    </row>
    <row r="2426" spans="1:5">
      <c r="A2426">
        <v>41113</v>
      </c>
      <c r="B2426">
        <v>2200</v>
      </c>
      <c r="C2426" s="455">
        <v>7.5659999999999998</v>
      </c>
      <c r="D2426" s="637">
        <f t="shared" si="84"/>
        <v>17.822133333333333</v>
      </c>
      <c r="E2426" s="637">
        <f t="shared" si="85"/>
        <v>32.617866666666671</v>
      </c>
    </row>
    <row r="2427" spans="1:5">
      <c r="A2427">
        <v>41113</v>
      </c>
      <c r="B2427">
        <v>2300</v>
      </c>
      <c r="C2427" s="455">
        <v>7.7350000000000003</v>
      </c>
      <c r="D2427" s="637">
        <f t="shared" si="84"/>
        <v>18.220222222222223</v>
      </c>
      <c r="E2427" s="637">
        <f t="shared" si="85"/>
        <v>33.346444444444451</v>
      </c>
    </row>
    <row r="2428" spans="1:5">
      <c r="A2428">
        <v>41113</v>
      </c>
      <c r="B2428">
        <v>2400</v>
      </c>
      <c r="C2428" s="455">
        <v>7.8680000000000003</v>
      </c>
      <c r="D2428" s="637">
        <f t="shared" si="84"/>
        <v>18.533511111111114</v>
      </c>
      <c r="E2428" s="637">
        <f t="shared" si="85"/>
        <v>33.919822222222237</v>
      </c>
    </row>
    <row r="2429" spans="1:5">
      <c r="A2429">
        <v>41213</v>
      </c>
      <c r="B2429">
        <v>100</v>
      </c>
      <c r="C2429" s="455">
        <v>7.7279999999999998</v>
      </c>
      <c r="D2429" s="637">
        <f t="shared" si="84"/>
        <v>18.203733333333332</v>
      </c>
      <c r="E2429" s="637">
        <f t="shared" si="85"/>
        <v>33.316266666666671</v>
      </c>
    </row>
    <row r="2430" spans="1:5">
      <c r="A2430">
        <v>41213</v>
      </c>
      <c r="B2430">
        <v>200</v>
      </c>
      <c r="C2430" s="455">
        <v>8.43</v>
      </c>
      <c r="D2430" s="637">
        <f t="shared" si="84"/>
        <v>19.85733333333333</v>
      </c>
      <c r="E2430" s="637">
        <f t="shared" si="85"/>
        <v>36.342666666666673</v>
      </c>
    </row>
    <row r="2431" spans="1:5">
      <c r="A2431">
        <v>41213</v>
      </c>
      <c r="B2431">
        <v>300</v>
      </c>
      <c r="C2431" s="455">
        <v>8.6140000000000008</v>
      </c>
      <c r="D2431" s="637">
        <f t="shared" si="84"/>
        <v>20.290755555555556</v>
      </c>
      <c r="E2431" s="637">
        <f t="shared" si="85"/>
        <v>37.13591111111112</v>
      </c>
    </row>
    <row r="2432" spans="1:5">
      <c r="A2432">
        <v>41213</v>
      </c>
      <c r="B2432">
        <v>400</v>
      </c>
      <c r="C2432" s="455">
        <v>9.1240000000000006</v>
      </c>
      <c r="D2432" s="637">
        <f t="shared" si="84"/>
        <v>21.49208888888889</v>
      </c>
      <c r="E2432" s="637">
        <f t="shared" si="85"/>
        <v>39.334577777777795</v>
      </c>
    </row>
    <row r="2433" spans="1:5">
      <c r="A2433">
        <v>41213</v>
      </c>
      <c r="B2433">
        <v>500</v>
      </c>
      <c r="C2433" s="455">
        <v>9.2919999999999998</v>
      </c>
      <c r="D2433" s="637">
        <f t="shared" si="84"/>
        <v>21.887822222222223</v>
      </c>
      <c r="E2433" s="637">
        <f t="shared" si="85"/>
        <v>40.058844444444453</v>
      </c>
    </row>
    <row r="2434" spans="1:5">
      <c r="A2434">
        <v>41213</v>
      </c>
      <c r="B2434">
        <v>600</v>
      </c>
      <c r="C2434" s="455">
        <v>9.1389999999999993</v>
      </c>
      <c r="D2434" s="637">
        <f t="shared" si="84"/>
        <v>21.527422222222221</v>
      </c>
      <c r="E2434" s="637">
        <f t="shared" si="85"/>
        <v>39.399244444444449</v>
      </c>
    </row>
    <row r="2435" spans="1:5">
      <c r="A2435">
        <v>41213</v>
      </c>
      <c r="B2435">
        <v>700</v>
      </c>
      <c r="C2435" s="455">
        <v>13.558999999999999</v>
      </c>
      <c r="D2435" s="637">
        <f t="shared" si="84"/>
        <v>31.938977777777776</v>
      </c>
      <c r="E2435" s="637">
        <f t="shared" si="85"/>
        <v>58.454355555555566</v>
      </c>
    </row>
    <row r="2436" spans="1:5">
      <c r="A2436">
        <v>41213</v>
      </c>
      <c r="B2436">
        <v>800</v>
      </c>
      <c r="C2436" s="455">
        <v>8.84</v>
      </c>
      <c r="D2436" s="637">
        <f t="shared" si="84"/>
        <v>20.823111111111114</v>
      </c>
      <c r="E2436" s="637">
        <f t="shared" si="85"/>
        <v>38.110222222222234</v>
      </c>
    </row>
    <row r="2437" spans="1:5">
      <c r="A2437">
        <v>41213</v>
      </c>
      <c r="B2437">
        <v>900</v>
      </c>
      <c r="C2437" s="455">
        <v>3.4239999999999999</v>
      </c>
      <c r="D2437" s="637">
        <f t="shared" si="84"/>
        <v>8.0654222222222227</v>
      </c>
      <c r="E2437" s="637">
        <f t="shared" si="85"/>
        <v>14.761244444444449</v>
      </c>
    </row>
    <row r="2438" spans="1:5">
      <c r="A2438">
        <v>41213</v>
      </c>
      <c r="B2438">
        <v>1000</v>
      </c>
      <c r="C2438" s="455">
        <v>0.39100000000000001</v>
      </c>
      <c r="D2438" s="637">
        <f t="shared" si="84"/>
        <v>0.92102222222222219</v>
      </c>
      <c r="E2438" s="637">
        <f t="shared" si="85"/>
        <v>1.6856444444444449</v>
      </c>
    </row>
    <row r="2439" spans="1:5">
      <c r="A2439">
        <v>41213</v>
      </c>
      <c r="B2439">
        <v>1100</v>
      </c>
      <c r="C2439" s="455">
        <v>8.9999999999999993E-3</v>
      </c>
      <c r="D2439" s="637">
        <f t="shared" si="84"/>
        <v>2.1199999999999997E-2</v>
      </c>
      <c r="E2439" s="637">
        <f t="shared" si="85"/>
        <v>3.8800000000000008E-2</v>
      </c>
    </row>
    <row r="2440" spans="1:5">
      <c r="A2440">
        <v>41213</v>
      </c>
      <c r="B2440">
        <v>1200</v>
      </c>
      <c r="C2440" s="455">
        <v>0</v>
      </c>
      <c r="D2440" s="637">
        <f t="shared" si="84"/>
        <v>0</v>
      </c>
      <c r="E2440" s="637">
        <f t="shared" si="85"/>
        <v>0</v>
      </c>
    </row>
    <row r="2441" spans="1:5">
      <c r="A2441">
        <v>41213</v>
      </c>
      <c r="B2441">
        <v>1300</v>
      </c>
      <c r="C2441" s="455">
        <v>1E-3</v>
      </c>
      <c r="D2441" s="637">
        <f t="shared" si="84"/>
        <v>2.3555555555555556E-3</v>
      </c>
      <c r="E2441" s="637">
        <f t="shared" si="85"/>
        <v>4.3111111111111119E-3</v>
      </c>
    </row>
    <row r="2442" spans="1:5">
      <c r="A2442">
        <v>41213</v>
      </c>
      <c r="B2442">
        <v>1400</v>
      </c>
      <c r="C2442" s="455">
        <v>0</v>
      </c>
      <c r="D2442" s="637">
        <f t="shared" si="84"/>
        <v>0</v>
      </c>
      <c r="E2442" s="637">
        <f t="shared" si="85"/>
        <v>0</v>
      </c>
    </row>
    <row r="2443" spans="1:5">
      <c r="A2443">
        <v>41213</v>
      </c>
      <c r="B2443">
        <v>1500</v>
      </c>
      <c r="C2443" s="455">
        <v>0</v>
      </c>
      <c r="D2443" s="637">
        <f t="shared" si="84"/>
        <v>0</v>
      </c>
      <c r="E2443" s="637">
        <f t="shared" si="85"/>
        <v>0</v>
      </c>
    </row>
    <row r="2444" spans="1:5">
      <c r="A2444">
        <v>41213</v>
      </c>
      <c r="B2444">
        <v>1600</v>
      </c>
      <c r="C2444" s="455">
        <v>0</v>
      </c>
      <c r="D2444" s="637">
        <f t="shared" si="84"/>
        <v>0</v>
      </c>
      <c r="E2444" s="637">
        <f t="shared" si="85"/>
        <v>0</v>
      </c>
    </row>
    <row r="2445" spans="1:5">
      <c r="A2445">
        <v>41213</v>
      </c>
      <c r="B2445">
        <v>1700</v>
      </c>
      <c r="C2445" s="455">
        <v>0</v>
      </c>
      <c r="D2445" s="637">
        <f t="shared" si="84"/>
        <v>0</v>
      </c>
      <c r="E2445" s="637">
        <f t="shared" si="85"/>
        <v>0</v>
      </c>
    </row>
    <row r="2446" spans="1:5">
      <c r="A2446">
        <v>41213</v>
      </c>
      <c r="B2446">
        <v>1800</v>
      </c>
      <c r="C2446" s="455">
        <v>4.0000000000000001E-3</v>
      </c>
      <c r="D2446" s="637">
        <f t="shared" si="84"/>
        <v>9.4222222222222225E-3</v>
      </c>
      <c r="E2446" s="637">
        <f t="shared" si="85"/>
        <v>1.7244444444444448E-2</v>
      </c>
    </row>
    <row r="2447" spans="1:5">
      <c r="A2447">
        <v>41213</v>
      </c>
      <c r="B2447">
        <v>1900</v>
      </c>
      <c r="C2447" s="455">
        <v>7.31</v>
      </c>
      <c r="D2447" s="637">
        <f t="shared" si="84"/>
        <v>17.219111111111111</v>
      </c>
      <c r="E2447" s="637">
        <f t="shared" si="85"/>
        <v>31.514222222222227</v>
      </c>
    </row>
    <row r="2448" spans="1:5">
      <c r="A2448">
        <v>41213</v>
      </c>
      <c r="B2448">
        <v>2000</v>
      </c>
      <c r="C2448" s="455">
        <v>8.0609999999999999</v>
      </c>
      <c r="D2448" s="637">
        <f t="shared" si="84"/>
        <v>18.988133333333334</v>
      </c>
      <c r="E2448" s="637">
        <f t="shared" si="85"/>
        <v>34.751866666666679</v>
      </c>
    </row>
    <row r="2449" spans="1:5">
      <c r="A2449">
        <v>41213</v>
      </c>
      <c r="B2449">
        <v>2100</v>
      </c>
      <c r="C2449" s="455">
        <v>7.6349999999999998</v>
      </c>
      <c r="D2449" s="637">
        <f t="shared" si="84"/>
        <v>17.984666666666666</v>
      </c>
      <c r="E2449" s="637">
        <f t="shared" si="85"/>
        <v>32.915333333333344</v>
      </c>
    </row>
    <row r="2450" spans="1:5">
      <c r="A2450">
        <v>41213</v>
      </c>
      <c r="B2450">
        <v>2200</v>
      </c>
      <c r="C2450" s="455">
        <v>7.5179999999999998</v>
      </c>
      <c r="D2450" s="637">
        <f t="shared" si="84"/>
        <v>17.709066666666665</v>
      </c>
      <c r="E2450" s="637">
        <f t="shared" si="85"/>
        <v>32.41093333333334</v>
      </c>
    </row>
    <row r="2451" spans="1:5">
      <c r="A2451">
        <v>41213</v>
      </c>
      <c r="B2451">
        <v>2300</v>
      </c>
      <c r="C2451" s="455">
        <v>7.726</v>
      </c>
      <c r="D2451" s="637">
        <f t="shared" si="84"/>
        <v>18.199022222222222</v>
      </c>
      <c r="E2451" s="637">
        <f t="shared" si="85"/>
        <v>33.307644444444449</v>
      </c>
    </row>
    <row r="2452" spans="1:5">
      <c r="A2452">
        <v>41213</v>
      </c>
      <c r="B2452">
        <v>2400</v>
      </c>
      <c r="C2452" s="455">
        <v>7.7439999999999998</v>
      </c>
      <c r="D2452" s="637">
        <f t="shared" si="84"/>
        <v>18.241422222222219</v>
      </c>
      <c r="E2452" s="637">
        <f t="shared" si="85"/>
        <v>33.385244444444453</v>
      </c>
    </row>
    <row r="2453" spans="1:5">
      <c r="A2453">
        <v>41313</v>
      </c>
      <c r="B2453">
        <v>100</v>
      </c>
      <c r="C2453" s="455">
        <v>7.7350000000000003</v>
      </c>
      <c r="D2453" s="637">
        <f t="shared" si="84"/>
        <v>18.220222222222223</v>
      </c>
      <c r="E2453" s="637">
        <f t="shared" si="85"/>
        <v>33.346444444444451</v>
      </c>
    </row>
    <row r="2454" spans="1:5">
      <c r="A2454">
        <v>41313</v>
      </c>
      <c r="B2454">
        <v>200</v>
      </c>
      <c r="C2454" s="455">
        <v>7.6630000000000003</v>
      </c>
      <c r="D2454" s="637">
        <f t="shared" si="84"/>
        <v>18.05062222222222</v>
      </c>
      <c r="E2454" s="637">
        <f t="shared" si="85"/>
        <v>33.03604444444445</v>
      </c>
    </row>
    <row r="2455" spans="1:5">
      <c r="A2455">
        <v>41313</v>
      </c>
      <c r="B2455">
        <v>300</v>
      </c>
      <c r="C2455" s="455">
        <v>7.4550000000000001</v>
      </c>
      <c r="D2455" s="637">
        <f t="shared" si="84"/>
        <v>17.560666666666666</v>
      </c>
      <c r="E2455" s="637">
        <f t="shared" si="85"/>
        <v>32.13933333333334</v>
      </c>
    </row>
    <row r="2456" spans="1:5">
      <c r="A2456">
        <v>41313</v>
      </c>
      <c r="B2456">
        <v>400</v>
      </c>
      <c r="C2456" s="455">
        <v>7.7229999999999999</v>
      </c>
      <c r="D2456" s="637">
        <f t="shared" si="84"/>
        <v>18.191955555555555</v>
      </c>
      <c r="E2456" s="637">
        <f t="shared" si="85"/>
        <v>33.29471111111112</v>
      </c>
    </row>
    <row r="2457" spans="1:5">
      <c r="A2457">
        <v>41313</v>
      </c>
      <c r="B2457">
        <v>500</v>
      </c>
      <c r="C2457" s="455">
        <v>7.7759999999999998</v>
      </c>
      <c r="D2457" s="637">
        <f t="shared" si="84"/>
        <v>18.316800000000001</v>
      </c>
      <c r="E2457" s="637">
        <f t="shared" si="85"/>
        <v>33.52320000000001</v>
      </c>
    </row>
    <row r="2458" spans="1:5">
      <c r="A2458">
        <v>41313</v>
      </c>
      <c r="B2458">
        <v>600</v>
      </c>
      <c r="C2458" s="455">
        <v>9.157</v>
      </c>
      <c r="D2458" s="637">
        <f t="shared" si="84"/>
        <v>21.569822222222221</v>
      </c>
      <c r="E2458" s="637">
        <f t="shared" si="85"/>
        <v>39.476844444444453</v>
      </c>
    </row>
    <row r="2459" spans="1:5">
      <c r="A2459">
        <v>41313</v>
      </c>
      <c r="B2459">
        <v>700</v>
      </c>
      <c r="C2459" s="455">
        <v>6.71</v>
      </c>
      <c r="D2459" s="637">
        <f t="shared" si="84"/>
        <v>15.805777777777777</v>
      </c>
      <c r="E2459" s="637">
        <f t="shared" si="85"/>
        <v>28.927555555555561</v>
      </c>
    </row>
    <row r="2460" spans="1:5">
      <c r="A2460">
        <v>41313</v>
      </c>
      <c r="B2460">
        <v>800</v>
      </c>
      <c r="C2460" s="455">
        <v>0.16</v>
      </c>
      <c r="D2460" s="637">
        <f t="shared" si="84"/>
        <v>0.37688888888888894</v>
      </c>
      <c r="E2460" s="637">
        <f t="shared" si="85"/>
        <v>0.68977777777777805</v>
      </c>
    </row>
    <row r="2461" spans="1:5">
      <c r="A2461">
        <v>41313</v>
      </c>
      <c r="B2461">
        <v>900</v>
      </c>
      <c r="C2461" s="455">
        <v>1E-3</v>
      </c>
      <c r="D2461" s="637">
        <f t="shared" si="84"/>
        <v>2.3555555555555556E-3</v>
      </c>
      <c r="E2461" s="637">
        <f t="shared" si="85"/>
        <v>4.3111111111111119E-3</v>
      </c>
    </row>
    <row r="2462" spans="1:5">
      <c r="A2462">
        <v>41313</v>
      </c>
      <c r="B2462">
        <v>1000</v>
      </c>
      <c r="C2462" s="455">
        <v>0</v>
      </c>
      <c r="D2462" s="637">
        <f t="shared" si="84"/>
        <v>0</v>
      </c>
      <c r="E2462" s="637">
        <f t="shared" si="85"/>
        <v>0</v>
      </c>
    </row>
    <row r="2463" spans="1:5">
      <c r="A2463">
        <v>41313</v>
      </c>
      <c r="B2463">
        <v>1100</v>
      </c>
      <c r="C2463" s="455">
        <v>0</v>
      </c>
      <c r="D2463" s="637">
        <f t="shared" si="84"/>
        <v>0</v>
      </c>
      <c r="E2463" s="637">
        <f t="shared" si="85"/>
        <v>0</v>
      </c>
    </row>
    <row r="2464" spans="1:5">
      <c r="A2464">
        <v>41313</v>
      </c>
      <c r="B2464">
        <v>1200</v>
      </c>
      <c r="C2464" s="455">
        <v>1E-3</v>
      </c>
      <c r="D2464" s="637">
        <f t="shared" si="84"/>
        <v>2.3555555555555556E-3</v>
      </c>
      <c r="E2464" s="637">
        <f t="shared" si="85"/>
        <v>4.3111111111111119E-3</v>
      </c>
    </row>
    <row r="2465" spans="1:5">
      <c r="A2465">
        <v>41313</v>
      </c>
      <c r="B2465">
        <v>1300</v>
      </c>
      <c r="C2465" s="455">
        <v>0</v>
      </c>
      <c r="D2465" s="637">
        <f t="shared" si="84"/>
        <v>0</v>
      </c>
      <c r="E2465" s="637">
        <f t="shared" si="85"/>
        <v>0</v>
      </c>
    </row>
    <row r="2466" spans="1:5">
      <c r="A2466">
        <v>41313</v>
      </c>
      <c r="B2466">
        <v>1400</v>
      </c>
      <c r="C2466" s="455">
        <v>0</v>
      </c>
      <c r="D2466" s="637">
        <f t="shared" si="84"/>
        <v>0</v>
      </c>
      <c r="E2466" s="637">
        <f t="shared" si="85"/>
        <v>0</v>
      </c>
    </row>
    <row r="2467" spans="1:5">
      <c r="A2467">
        <v>41313</v>
      </c>
      <c r="B2467">
        <v>1500</v>
      </c>
      <c r="C2467" s="455">
        <v>0</v>
      </c>
      <c r="D2467" s="637">
        <f t="shared" si="84"/>
        <v>0</v>
      </c>
      <c r="E2467" s="637">
        <f t="shared" si="85"/>
        <v>0</v>
      </c>
    </row>
    <row r="2468" spans="1:5">
      <c r="A2468">
        <v>41313</v>
      </c>
      <c r="B2468">
        <v>1600</v>
      </c>
      <c r="C2468" s="455">
        <v>0</v>
      </c>
      <c r="D2468" s="637">
        <f t="shared" si="84"/>
        <v>0</v>
      </c>
      <c r="E2468" s="637">
        <f t="shared" si="85"/>
        <v>0</v>
      </c>
    </row>
    <row r="2469" spans="1:5">
      <c r="A2469">
        <v>41313</v>
      </c>
      <c r="B2469">
        <v>1700</v>
      </c>
      <c r="C2469" s="455">
        <v>0</v>
      </c>
      <c r="D2469" s="637">
        <f t="shared" si="84"/>
        <v>0</v>
      </c>
      <c r="E2469" s="637">
        <f t="shared" si="85"/>
        <v>0</v>
      </c>
    </row>
    <row r="2470" spans="1:5">
      <c r="A2470">
        <v>41313</v>
      </c>
      <c r="B2470">
        <v>1800</v>
      </c>
      <c r="C2470" s="455">
        <v>0.122</v>
      </c>
      <c r="D2470" s="637">
        <f t="shared" si="84"/>
        <v>0.28737777777777773</v>
      </c>
      <c r="E2470" s="637">
        <f t="shared" si="85"/>
        <v>0.52595555555555562</v>
      </c>
    </row>
    <row r="2471" spans="1:5">
      <c r="A2471">
        <v>41313</v>
      </c>
      <c r="B2471">
        <v>1900</v>
      </c>
      <c r="C2471" s="455">
        <v>5.226</v>
      </c>
      <c r="D2471" s="637">
        <f t="shared" si="84"/>
        <v>12.310133333333335</v>
      </c>
      <c r="E2471" s="637">
        <f t="shared" si="85"/>
        <v>22.529866666666674</v>
      </c>
    </row>
    <row r="2472" spans="1:5">
      <c r="A2472">
        <v>41313</v>
      </c>
      <c r="B2472">
        <v>2000</v>
      </c>
      <c r="C2472" s="455">
        <v>7.8029999999999999</v>
      </c>
      <c r="D2472" s="637">
        <f t="shared" si="84"/>
        <v>18.380400000000002</v>
      </c>
      <c r="E2472" s="637">
        <f t="shared" si="85"/>
        <v>33.639600000000009</v>
      </c>
    </row>
    <row r="2473" spans="1:5">
      <c r="A2473">
        <v>41313</v>
      </c>
      <c r="B2473">
        <v>2100</v>
      </c>
      <c r="C2473" s="455">
        <v>7.4470000000000001</v>
      </c>
      <c r="D2473" s="637">
        <f t="shared" si="84"/>
        <v>17.541822222222223</v>
      </c>
      <c r="E2473" s="637">
        <f t="shared" si="85"/>
        <v>32.104844444444453</v>
      </c>
    </row>
    <row r="2474" spans="1:5">
      <c r="A2474">
        <v>41313</v>
      </c>
      <c r="B2474">
        <v>2200</v>
      </c>
      <c r="C2474" s="455">
        <v>7.6449999999999996</v>
      </c>
      <c r="D2474" s="637">
        <f t="shared" si="84"/>
        <v>18.008222222222223</v>
      </c>
      <c r="E2474" s="637">
        <f t="shared" si="85"/>
        <v>32.958444444444453</v>
      </c>
    </row>
    <row r="2475" spans="1:5">
      <c r="A2475">
        <v>41313</v>
      </c>
      <c r="B2475">
        <v>2300</v>
      </c>
      <c r="C2475" s="455">
        <v>7.673</v>
      </c>
      <c r="D2475" s="637">
        <f t="shared" si="84"/>
        <v>18.074177777777777</v>
      </c>
      <c r="E2475" s="637">
        <f t="shared" si="85"/>
        <v>33.079155555555559</v>
      </c>
    </row>
    <row r="2476" spans="1:5">
      <c r="A2476">
        <v>41313</v>
      </c>
      <c r="B2476">
        <v>2400</v>
      </c>
      <c r="C2476" s="455">
        <v>7.6609999999999996</v>
      </c>
      <c r="D2476" s="637">
        <f t="shared" si="84"/>
        <v>18.04591111111111</v>
      </c>
      <c r="E2476" s="637">
        <f t="shared" si="85"/>
        <v>33.027422222222228</v>
      </c>
    </row>
    <row r="2477" spans="1:5">
      <c r="A2477">
        <v>41413</v>
      </c>
      <c r="B2477">
        <v>100</v>
      </c>
      <c r="C2477" s="455">
        <v>7.8230000000000004</v>
      </c>
      <c r="D2477" s="637">
        <f t="shared" si="84"/>
        <v>18.427511111111112</v>
      </c>
      <c r="E2477" s="637">
        <f t="shared" si="85"/>
        <v>33.725822222222227</v>
      </c>
    </row>
    <row r="2478" spans="1:5">
      <c r="A2478">
        <v>41413</v>
      </c>
      <c r="B2478">
        <v>200</v>
      </c>
      <c r="C2478" s="455">
        <v>7.5910000000000002</v>
      </c>
      <c r="D2478" s="637">
        <f t="shared" si="84"/>
        <v>17.881022222222224</v>
      </c>
      <c r="E2478" s="637">
        <f t="shared" si="85"/>
        <v>32.725644444444455</v>
      </c>
    </row>
    <row r="2479" spans="1:5">
      <c r="A2479">
        <v>41413</v>
      </c>
      <c r="B2479">
        <v>300</v>
      </c>
      <c r="C2479" s="455">
        <v>7.665</v>
      </c>
      <c r="D2479" s="637">
        <f t="shared" si="84"/>
        <v>18.055333333333333</v>
      </c>
      <c r="E2479" s="637">
        <f t="shared" si="85"/>
        <v>33.044666666666679</v>
      </c>
    </row>
    <row r="2480" spans="1:5">
      <c r="A2480">
        <v>41413</v>
      </c>
      <c r="B2480">
        <v>400</v>
      </c>
      <c r="C2480" s="455">
        <v>7.8259999999999996</v>
      </c>
      <c r="D2480" s="637">
        <f t="shared" si="84"/>
        <v>18.434577777777779</v>
      </c>
      <c r="E2480" s="637">
        <f t="shared" si="85"/>
        <v>33.738755555555564</v>
      </c>
    </row>
    <row r="2481" spans="1:5">
      <c r="A2481">
        <v>41413</v>
      </c>
      <c r="B2481">
        <v>500</v>
      </c>
      <c r="C2481" s="455">
        <v>7.7350000000000003</v>
      </c>
      <c r="D2481" s="637">
        <f t="shared" si="84"/>
        <v>18.220222222222223</v>
      </c>
      <c r="E2481" s="637">
        <f t="shared" si="85"/>
        <v>33.346444444444451</v>
      </c>
    </row>
    <row r="2482" spans="1:5">
      <c r="A2482">
        <v>41413</v>
      </c>
      <c r="B2482">
        <v>600</v>
      </c>
      <c r="C2482" s="455">
        <v>7.2140000000000004</v>
      </c>
      <c r="D2482" s="637">
        <f t="shared" si="84"/>
        <v>16.992977777777778</v>
      </c>
      <c r="E2482" s="637">
        <f t="shared" si="85"/>
        <v>31.100355555555566</v>
      </c>
    </row>
    <row r="2483" spans="1:5">
      <c r="A2483">
        <v>41413</v>
      </c>
      <c r="B2483">
        <v>700</v>
      </c>
      <c r="C2483" s="455">
        <v>1.7999999999999999E-2</v>
      </c>
      <c r="D2483" s="637">
        <f t="shared" si="84"/>
        <v>4.2399999999999993E-2</v>
      </c>
      <c r="E2483" s="637">
        <f t="shared" si="85"/>
        <v>7.7600000000000016E-2</v>
      </c>
    </row>
    <row r="2484" spans="1:5">
      <c r="A2484">
        <v>41413</v>
      </c>
      <c r="B2484">
        <v>800</v>
      </c>
      <c r="C2484" s="455">
        <v>0</v>
      </c>
      <c r="D2484" s="637">
        <f t="shared" si="84"/>
        <v>0</v>
      </c>
      <c r="E2484" s="637">
        <f t="shared" si="85"/>
        <v>0</v>
      </c>
    </row>
    <row r="2485" spans="1:5">
      <c r="A2485">
        <v>41413</v>
      </c>
      <c r="B2485">
        <v>900</v>
      </c>
      <c r="C2485" s="455">
        <v>7.1999999999999995E-2</v>
      </c>
      <c r="D2485" s="637">
        <f t="shared" si="84"/>
        <v>0.16959999999999997</v>
      </c>
      <c r="E2485" s="637">
        <f t="shared" si="85"/>
        <v>0.31040000000000006</v>
      </c>
    </row>
    <row r="2486" spans="1:5">
      <c r="A2486">
        <v>41413</v>
      </c>
      <c r="B2486">
        <v>1000</v>
      </c>
      <c r="C2486" s="455">
        <v>0</v>
      </c>
      <c r="D2486" s="637">
        <f t="shared" ref="D2486:D2549" si="86">(C2486/(MAX($C$2165:$C$2884)))*$W$8</f>
        <v>0</v>
      </c>
      <c r="E2486" s="637">
        <f t="shared" ref="E2486:E2549" si="87">(C2486/(MAX($C$2165:$C$2884)))*$P$8</f>
        <v>0</v>
      </c>
    </row>
    <row r="2487" spans="1:5">
      <c r="A2487">
        <v>41413</v>
      </c>
      <c r="B2487">
        <v>1100</v>
      </c>
      <c r="C2487" s="455">
        <v>1E-3</v>
      </c>
      <c r="D2487" s="637">
        <f t="shared" si="86"/>
        <v>2.3555555555555556E-3</v>
      </c>
      <c r="E2487" s="637">
        <f t="shared" si="87"/>
        <v>4.3111111111111119E-3</v>
      </c>
    </row>
    <row r="2488" spans="1:5">
      <c r="A2488">
        <v>41413</v>
      </c>
      <c r="B2488">
        <v>1200</v>
      </c>
      <c r="C2488" s="455">
        <v>0</v>
      </c>
      <c r="D2488" s="637">
        <f t="shared" si="86"/>
        <v>0</v>
      </c>
      <c r="E2488" s="637">
        <f t="shared" si="87"/>
        <v>0</v>
      </c>
    </row>
    <row r="2489" spans="1:5">
      <c r="A2489">
        <v>41413</v>
      </c>
      <c r="B2489">
        <v>1300</v>
      </c>
      <c r="C2489" s="455">
        <v>0</v>
      </c>
      <c r="D2489" s="637">
        <f t="shared" si="86"/>
        <v>0</v>
      </c>
      <c r="E2489" s="637">
        <f t="shared" si="87"/>
        <v>0</v>
      </c>
    </row>
    <row r="2490" spans="1:5">
      <c r="A2490">
        <v>41413</v>
      </c>
      <c r="B2490">
        <v>1400</v>
      </c>
      <c r="C2490" s="455">
        <v>1E-3</v>
      </c>
      <c r="D2490" s="637">
        <f t="shared" si="86"/>
        <v>2.3555555555555556E-3</v>
      </c>
      <c r="E2490" s="637">
        <f t="shared" si="87"/>
        <v>4.3111111111111119E-3</v>
      </c>
    </row>
    <row r="2491" spans="1:5">
      <c r="A2491">
        <v>41413</v>
      </c>
      <c r="B2491">
        <v>1500</v>
      </c>
      <c r="C2491" s="455">
        <v>0</v>
      </c>
      <c r="D2491" s="637">
        <f t="shared" si="86"/>
        <v>0</v>
      </c>
      <c r="E2491" s="637">
        <f t="shared" si="87"/>
        <v>0</v>
      </c>
    </row>
    <row r="2492" spans="1:5">
      <c r="A2492">
        <v>41413</v>
      </c>
      <c r="B2492">
        <v>1600</v>
      </c>
      <c r="C2492" s="455">
        <v>0</v>
      </c>
      <c r="D2492" s="637">
        <f t="shared" si="86"/>
        <v>0</v>
      </c>
      <c r="E2492" s="637">
        <f t="shared" si="87"/>
        <v>0</v>
      </c>
    </row>
    <row r="2493" spans="1:5">
      <c r="A2493">
        <v>41413</v>
      </c>
      <c r="B2493">
        <v>1700</v>
      </c>
      <c r="C2493" s="455">
        <v>0</v>
      </c>
      <c r="D2493" s="637">
        <f t="shared" si="86"/>
        <v>0</v>
      </c>
      <c r="E2493" s="637">
        <f t="shared" si="87"/>
        <v>0</v>
      </c>
    </row>
    <row r="2494" spans="1:5">
      <c r="A2494">
        <v>41413</v>
      </c>
      <c r="B2494">
        <v>1800</v>
      </c>
      <c r="C2494" s="455">
        <v>0</v>
      </c>
      <c r="D2494" s="637">
        <f t="shared" si="86"/>
        <v>0</v>
      </c>
      <c r="E2494" s="637">
        <f t="shared" si="87"/>
        <v>0</v>
      </c>
    </row>
    <row r="2495" spans="1:5">
      <c r="A2495">
        <v>41413</v>
      </c>
      <c r="B2495">
        <v>1900</v>
      </c>
      <c r="C2495" s="455">
        <v>1.7430000000000001</v>
      </c>
      <c r="D2495" s="637">
        <f t="shared" si="86"/>
        <v>4.1057333333333341</v>
      </c>
      <c r="E2495" s="637">
        <f t="shared" si="87"/>
        <v>7.5142666666666695</v>
      </c>
    </row>
    <row r="2496" spans="1:5">
      <c r="A2496">
        <v>41413</v>
      </c>
      <c r="B2496">
        <v>2000</v>
      </c>
      <c r="C2496" s="455">
        <v>8.593</v>
      </c>
      <c r="D2496" s="637">
        <f t="shared" si="86"/>
        <v>20.241288888888889</v>
      </c>
      <c r="E2496" s="637">
        <f t="shared" si="87"/>
        <v>37.045377777777787</v>
      </c>
    </row>
    <row r="2497" spans="1:5">
      <c r="A2497">
        <v>41413</v>
      </c>
      <c r="B2497">
        <v>2100</v>
      </c>
      <c r="C2497" s="455">
        <v>6.7809999999999997</v>
      </c>
      <c r="D2497" s="637">
        <f t="shared" si="86"/>
        <v>15.97302222222222</v>
      </c>
      <c r="E2497" s="637">
        <f t="shared" si="87"/>
        <v>29.233644444444447</v>
      </c>
    </row>
    <row r="2498" spans="1:5">
      <c r="A2498">
        <v>41413</v>
      </c>
      <c r="B2498">
        <v>2200</v>
      </c>
      <c r="C2498" s="455">
        <v>7.5990000000000002</v>
      </c>
      <c r="D2498" s="637">
        <f t="shared" si="86"/>
        <v>17.899866666666664</v>
      </c>
      <c r="E2498" s="637">
        <f t="shared" si="87"/>
        <v>32.760133333333343</v>
      </c>
    </row>
    <row r="2499" spans="1:5">
      <c r="A2499">
        <v>41413</v>
      </c>
      <c r="B2499">
        <v>2300</v>
      </c>
      <c r="C2499" s="455">
        <v>7.5839999999999996</v>
      </c>
      <c r="D2499" s="637">
        <f t="shared" si="86"/>
        <v>17.86453333333333</v>
      </c>
      <c r="E2499" s="637">
        <f t="shared" si="87"/>
        <v>32.695466666666668</v>
      </c>
    </row>
    <row r="2500" spans="1:5">
      <c r="A2500">
        <v>41413</v>
      </c>
      <c r="B2500">
        <v>2400</v>
      </c>
      <c r="C2500" s="455">
        <v>7.5090000000000003</v>
      </c>
      <c r="D2500" s="637">
        <f t="shared" si="86"/>
        <v>17.687866666666668</v>
      </c>
      <c r="E2500" s="637">
        <f t="shared" si="87"/>
        <v>32.372133333333345</v>
      </c>
    </row>
    <row r="2501" spans="1:5">
      <c r="A2501">
        <v>41513</v>
      </c>
      <c r="B2501">
        <v>100</v>
      </c>
      <c r="C2501" s="455">
        <v>7.891</v>
      </c>
      <c r="D2501" s="637">
        <f t="shared" si="86"/>
        <v>18.587688888888888</v>
      </c>
      <c r="E2501" s="637">
        <f t="shared" si="87"/>
        <v>34.018977777777785</v>
      </c>
    </row>
    <row r="2502" spans="1:5">
      <c r="A2502">
        <v>41513</v>
      </c>
      <c r="B2502">
        <v>200</v>
      </c>
      <c r="C2502" s="455">
        <v>7.5129999999999999</v>
      </c>
      <c r="D2502" s="637">
        <f t="shared" si="86"/>
        <v>17.697288888888892</v>
      </c>
      <c r="E2502" s="637">
        <f t="shared" si="87"/>
        <v>32.389377777777788</v>
      </c>
    </row>
    <row r="2503" spans="1:5">
      <c r="A2503">
        <v>41513</v>
      </c>
      <c r="B2503">
        <v>300</v>
      </c>
      <c r="C2503" s="455">
        <v>7.6589999999999998</v>
      </c>
      <c r="D2503" s="637">
        <f t="shared" si="86"/>
        <v>18.0412</v>
      </c>
      <c r="E2503" s="637">
        <f t="shared" si="87"/>
        <v>33.018800000000006</v>
      </c>
    </row>
    <row r="2504" spans="1:5">
      <c r="A2504">
        <v>41513</v>
      </c>
      <c r="B2504">
        <v>400</v>
      </c>
      <c r="C2504" s="455">
        <v>7.7279999999999998</v>
      </c>
      <c r="D2504" s="637">
        <f t="shared" si="86"/>
        <v>18.203733333333332</v>
      </c>
      <c r="E2504" s="637">
        <f t="shared" si="87"/>
        <v>33.316266666666671</v>
      </c>
    </row>
    <row r="2505" spans="1:5">
      <c r="A2505">
        <v>41513</v>
      </c>
      <c r="B2505">
        <v>500</v>
      </c>
      <c r="C2505" s="455">
        <v>7.4470000000000001</v>
      </c>
      <c r="D2505" s="637">
        <f t="shared" si="86"/>
        <v>17.541822222222223</v>
      </c>
      <c r="E2505" s="637">
        <f t="shared" si="87"/>
        <v>32.104844444444453</v>
      </c>
    </row>
    <row r="2506" spans="1:5">
      <c r="A2506">
        <v>41513</v>
      </c>
      <c r="B2506">
        <v>600</v>
      </c>
      <c r="C2506" s="455">
        <v>6.9749999999999996</v>
      </c>
      <c r="D2506" s="637">
        <f t="shared" si="86"/>
        <v>16.43</v>
      </c>
      <c r="E2506" s="637">
        <f t="shared" si="87"/>
        <v>30.070000000000004</v>
      </c>
    </row>
    <row r="2507" spans="1:5">
      <c r="A2507">
        <v>41513</v>
      </c>
      <c r="B2507">
        <v>700</v>
      </c>
      <c r="C2507" s="455">
        <v>0.12</v>
      </c>
      <c r="D2507" s="637">
        <f t="shared" si="86"/>
        <v>0.28266666666666662</v>
      </c>
      <c r="E2507" s="637">
        <f t="shared" si="87"/>
        <v>0.51733333333333342</v>
      </c>
    </row>
    <row r="2508" spans="1:5">
      <c r="A2508">
        <v>41513</v>
      </c>
      <c r="B2508">
        <v>800</v>
      </c>
      <c r="C2508" s="455">
        <v>0</v>
      </c>
      <c r="D2508" s="637">
        <f t="shared" si="86"/>
        <v>0</v>
      </c>
      <c r="E2508" s="637">
        <f t="shared" si="87"/>
        <v>0</v>
      </c>
    </row>
    <row r="2509" spans="1:5">
      <c r="A2509">
        <v>41513</v>
      </c>
      <c r="B2509">
        <v>900</v>
      </c>
      <c r="C2509" s="455">
        <v>0</v>
      </c>
      <c r="D2509" s="637">
        <f t="shared" si="86"/>
        <v>0</v>
      </c>
      <c r="E2509" s="637">
        <f t="shared" si="87"/>
        <v>0</v>
      </c>
    </row>
    <row r="2510" spans="1:5">
      <c r="A2510">
        <v>41513</v>
      </c>
      <c r="B2510">
        <v>1000</v>
      </c>
      <c r="C2510" s="455">
        <v>0</v>
      </c>
      <c r="D2510" s="637">
        <f t="shared" si="86"/>
        <v>0</v>
      </c>
      <c r="E2510" s="637">
        <f t="shared" si="87"/>
        <v>0</v>
      </c>
    </row>
    <row r="2511" spans="1:5">
      <c r="A2511">
        <v>41513</v>
      </c>
      <c r="B2511">
        <v>1100</v>
      </c>
      <c r="C2511" s="455">
        <v>0</v>
      </c>
      <c r="D2511" s="637">
        <f t="shared" si="86"/>
        <v>0</v>
      </c>
      <c r="E2511" s="637">
        <f t="shared" si="87"/>
        <v>0</v>
      </c>
    </row>
    <row r="2512" spans="1:5">
      <c r="A2512">
        <v>41513</v>
      </c>
      <c r="B2512">
        <v>1200</v>
      </c>
      <c r="C2512" s="455">
        <v>0</v>
      </c>
      <c r="D2512" s="637">
        <f t="shared" si="86"/>
        <v>0</v>
      </c>
      <c r="E2512" s="637">
        <f t="shared" si="87"/>
        <v>0</v>
      </c>
    </row>
    <row r="2513" spans="1:5">
      <c r="A2513">
        <v>41513</v>
      </c>
      <c r="B2513">
        <v>1300</v>
      </c>
      <c r="C2513" s="455">
        <v>0</v>
      </c>
      <c r="D2513" s="637">
        <f t="shared" si="86"/>
        <v>0</v>
      </c>
      <c r="E2513" s="637">
        <f t="shared" si="87"/>
        <v>0</v>
      </c>
    </row>
    <row r="2514" spans="1:5">
      <c r="A2514">
        <v>41513</v>
      </c>
      <c r="B2514">
        <v>1400</v>
      </c>
      <c r="C2514" s="455">
        <v>0</v>
      </c>
      <c r="D2514" s="637">
        <f t="shared" si="86"/>
        <v>0</v>
      </c>
      <c r="E2514" s="637">
        <f t="shared" si="87"/>
        <v>0</v>
      </c>
    </row>
    <row r="2515" spans="1:5">
      <c r="A2515">
        <v>41513</v>
      </c>
      <c r="B2515">
        <v>1500</v>
      </c>
      <c r="C2515" s="455">
        <v>0</v>
      </c>
      <c r="D2515" s="637">
        <f t="shared" si="86"/>
        <v>0</v>
      </c>
      <c r="E2515" s="637">
        <f t="shared" si="87"/>
        <v>0</v>
      </c>
    </row>
    <row r="2516" spans="1:5">
      <c r="A2516">
        <v>41513</v>
      </c>
      <c r="B2516">
        <v>1600</v>
      </c>
      <c r="C2516" s="455">
        <v>0</v>
      </c>
      <c r="D2516" s="637">
        <f t="shared" si="86"/>
        <v>0</v>
      </c>
      <c r="E2516" s="637">
        <f t="shared" si="87"/>
        <v>0</v>
      </c>
    </row>
    <row r="2517" spans="1:5">
      <c r="A2517">
        <v>41513</v>
      </c>
      <c r="B2517">
        <v>1700</v>
      </c>
      <c r="C2517" s="455">
        <v>0</v>
      </c>
      <c r="D2517" s="637">
        <f t="shared" si="86"/>
        <v>0</v>
      </c>
      <c r="E2517" s="637">
        <f t="shared" si="87"/>
        <v>0</v>
      </c>
    </row>
    <row r="2518" spans="1:5">
      <c r="A2518">
        <v>41513</v>
      </c>
      <c r="B2518">
        <v>1800</v>
      </c>
      <c r="C2518" s="455">
        <v>0</v>
      </c>
      <c r="D2518" s="637">
        <f t="shared" si="86"/>
        <v>0</v>
      </c>
      <c r="E2518" s="637">
        <f t="shared" si="87"/>
        <v>0</v>
      </c>
    </row>
    <row r="2519" spans="1:5">
      <c r="A2519">
        <v>41513</v>
      </c>
      <c r="B2519">
        <v>1900</v>
      </c>
      <c r="C2519" s="455">
        <v>2.5659999999999998</v>
      </c>
      <c r="D2519" s="637">
        <f t="shared" si="86"/>
        <v>6.0443555555555548</v>
      </c>
      <c r="E2519" s="637">
        <f t="shared" si="87"/>
        <v>11.062311111111113</v>
      </c>
    </row>
    <row r="2520" spans="1:5">
      <c r="A2520">
        <v>41513</v>
      </c>
      <c r="B2520">
        <v>2000</v>
      </c>
      <c r="C2520" s="455">
        <v>8.5009999999999994</v>
      </c>
      <c r="D2520" s="637">
        <f t="shared" si="86"/>
        <v>20.024577777777775</v>
      </c>
      <c r="E2520" s="637">
        <f t="shared" si="87"/>
        <v>36.64875555555556</v>
      </c>
    </row>
    <row r="2521" spans="1:5">
      <c r="A2521">
        <v>41513</v>
      </c>
      <c r="B2521">
        <v>2100</v>
      </c>
      <c r="C2521" s="455">
        <v>7.2240000000000002</v>
      </c>
      <c r="D2521" s="637">
        <f t="shared" si="86"/>
        <v>17.016533333333335</v>
      </c>
      <c r="E2521" s="637">
        <f t="shared" si="87"/>
        <v>31.143466666666676</v>
      </c>
    </row>
    <row r="2522" spans="1:5">
      <c r="A2522">
        <v>41513</v>
      </c>
      <c r="B2522">
        <v>2200</v>
      </c>
      <c r="C2522" s="455">
        <v>6.8390000000000004</v>
      </c>
      <c r="D2522" s="637">
        <f t="shared" si="86"/>
        <v>16.109644444444445</v>
      </c>
      <c r="E2522" s="637">
        <f t="shared" si="87"/>
        <v>29.483688888888896</v>
      </c>
    </row>
    <row r="2523" spans="1:5">
      <c r="A2523">
        <v>41513</v>
      </c>
      <c r="B2523">
        <v>2300</v>
      </c>
      <c r="C2523" s="455">
        <v>6.8419999999999996</v>
      </c>
      <c r="D2523" s="637">
        <f t="shared" si="86"/>
        <v>16.116711111111112</v>
      </c>
      <c r="E2523" s="637">
        <f t="shared" si="87"/>
        <v>29.496622222222229</v>
      </c>
    </row>
    <row r="2524" spans="1:5">
      <c r="A2524">
        <v>41513</v>
      </c>
      <c r="B2524">
        <v>2400</v>
      </c>
      <c r="C2524" s="455">
        <v>7.0579999999999998</v>
      </c>
      <c r="D2524" s="637">
        <f t="shared" si="86"/>
        <v>16.625511111111109</v>
      </c>
      <c r="E2524" s="637">
        <f t="shared" si="87"/>
        <v>30.427822222222229</v>
      </c>
    </row>
    <row r="2525" spans="1:5">
      <c r="A2525">
        <v>41613</v>
      </c>
      <c r="B2525">
        <v>100</v>
      </c>
      <c r="C2525" s="455">
        <v>7.0110000000000001</v>
      </c>
      <c r="D2525" s="637">
        <f t="shared" si="86"/>
        <v>16.514800000000001</v>
      </c>
      <c r="E2525" s="637">
        <f t="shared" si="87"/>
        <v>30.225200000000005</v>
      </c>
    </row>
    <row r="2526" spans="1:5">
      <c r="A2526">
        <v>41613</v>
      </c>
      <c r="B2526">
        <v>200</v>
      </c>
      <c r="C2526" s="455">
        <v>6.9960000000000004</v>
      </c>
      <c r="D2526" s="637">
        <f t="shared" si="86"/>
        <v>16.479466666666667</v>
      </c>
      <c r="E2526" s="637">
        <f t="shared" si="87"/>
        <v>30.160533333333341</v>
      </c>
    </row>
    <row r="2527" spans="1:5">
      <c r="A2527">
        <v>41613</v>
      </c>
      <c r="B2527">
        <v>300</v>
      </c>
      <c r="C2527" s="455">
        <v>7.069</v>
      </c>
      <c r="D2527" s="637">
        <f t="shared" si="86"/>
        <v>16.651422222222219</v>
      </c>
      <c r="E2527" s="637">
        <f t="shared" si="87"/>
        <v>30.475244444444449</v>
      </c>
    </row>
    <row r="2528" spans="1:5">
      <c r="A2528">
        <v>41613</v>
      </c>
      <c r="B2528">
        <v>400</v>
      </c>
      <c r="C2528" s="455">
        <v>6.9249999999999998</v>
      </c>
      <c r="D2528" s="637">
        <f t="shared" si="86"/>
        <v>16.312222222222221</v>
      </c>
      <c r="E2528" s="637">
        <f t="shared" si="87"/>
        <v>29.854444444444447</v>
      </c>
    </row>
    <row r="2529" spans="1:5">
      <c r="A2529">
        <v>41613</v>
      </c>
      <c r="B2529">
        <v>500</v>
      </c>
      <c r="C2529" s="455">
        <v>6.9160000000000004</v>
      </c>
      <c r="D2529" s="637">
        <f t="shared" si="86"/>
        <v>16.291022222222221</v>
      </c>
      <c r="E2529" s="637">
        <f t="shared" si="87"/>
        <v>29.815644444444452</v>
      </c>
    </row>
    <row r="2530" spans="1:5">
      <c r="A2530">
        <v>41613</v>
      </c>
      <c r="B2530">
        <v>600</v>
      </c>
      <c r="C2530" s="455">
        <v>7.4409999999999998</v>
      </c>
      <c r="D2530" s="637">
        <f t="shared" si="86"/>
        <v>17.527688888888889</v>
      </c>
      <c r="E2530" s="637">
        <f t="shared" si="87"/>
        <v>32.078977777777787</v>
      </c>
    </row>
    <row r="2531" spans="1:5">
      <c r="A2531">
        <v>41613</v>
      </c>
      <c r="B2531">
        <v>700</v>
      </c>
      <c r="C2531" s="455">
        <v>0.11</v>
      </c>
      <c r="D2531" s="637">
        <f t="shared" si="86"/>
        <v>0.25911111111111113</v>
      </c>
      <c r="E2531" s="637">
        <f t="shared" si="87"/>
        <v>0.47422222222222232</v>
      </c>
    </row>
    <row r="2532" spans="1:5">
      <c r="A2532">
        <v>41613</v>
      </c>
      <c r="B2532">
        <v>800</v>
      </c>
      <c r="C2532" s="455">
        <v>4.4999999999999998E-2</v>
      </c>
      <c r="D2532" s="637">
        <f t="shared" si="86"/>
        <v>0.106</v>
      </c>
      <c r="E2532" s="637">
        <f t="shared" si="87"/>
        <v>0.19400000000000003</v>
      </c>
    </row>
    <row r="2533" spans="1:5">
      <c r="A2533">
        <v>41613</v>
      </c>
      <c r="B2533">
        <v>900</v>
      </c>
      <c r="C2533" s="455">
        <v>0.124</v>
      </c>
      <c r="D2533" s="637">
        <f t="shared" si="86"/>
        <v>0.29208888888888884</v>
      </c>
      <c r="E2533" s="637">
        <f t="shared" si="87"/>
        <v>0.53457777777777782</v>
      </c>
    </row>
    <row r="2534" spans="1:5">
      <c r="A2534">
        <v>41613</v>
      </c>
      <c r="B2534">
        <v>1000</v>
      </c>
      <c r="C2534" s="455">
        <v>0</v>
      </c>
      <c r="D2534" s="637">
        <f t="shared" si="86"/>
        <v>0</v>
      </c>
      <c r="E2534" s="637">
        <f t="shared" si="87"/>
        <v>0</v>
      </c>
    </row>
    <row r="2535" spans="1:5">
      <c r="A2535">
        <v>41613</v>
      </c>
      <c r="B2535">
        <v>1100</v>
      </c>
      <c r="C2535" s="455">
        <v>0</v>
      </c>
      <c r="D2535" s="637">
        <f t="shared" si="86"/>
        <v>0</v>
      </c>
      <c r="E2535" s="637">
        <f t="shared" si="87"/>
        <v>0</v>
      </c>
    </row>
    <row r="2536" spans="1:5">
      <c r="A2536">
        <v>41613</v>
      </c>
      <c r="B2536">
        <v>1200</v>
      </c>
      <c r="C2536" s="455">
        <v>0</v>
      </c>
      <c r="D2536" s="637">
        <f t="shared" si="86"/>
        <v>0</v>
      </c>
      <c r="E2536" s="637">
        <f t="shared" si="87"/>
        <v>0</v>
      </c>
    </row>
    <row r="2537" spans="1:5">
      <c r="A2537">
        <v>41613</v>
      </c>
      <c r="B2537">
        <v>1300</v>
      </c>
      <c r="C2537" s="455">
        <v>0</v>
      </c>
      <c r="D2537" s="637">
        <f t="shared" si="86"/>
        <v>0</v>
      </c>
      <c r="E2537" s="637">
        <f t="shared" si="87"/>
        <v>0</v>
      </c>
    </row>
    <row r="2538" spans="1:5">
      <c r="A2538">
        <v>41613</v>
      </c>
      <c r="B2538">
        <v>1400</v>
      </c>
      <c r="C2538" s="455">
        <v>0</v>
      </c>
      <c r="D2538" s="637">
        <f t="shared" si="86"/>
        <v>0</v>
      </c>
      <c r="E2538" s="637">
        <f t="shared" si="87"/>
        <v>0</v>
      </c>
    </row>
    <row r="2539" spans="1:5">
      <c r="A2539">
        <v>41613</v>
      </c>
      <c r="B2539">
        <v>1500</v>
      </c>
      <c r="C2539" s="455">
        <v>1E-3</v>
      </c>
      <c r="D2539" s="637">
        <f t="shared" si="86"/>
        <v>2.3555555555555556E-3</v>
      </c>
      <c r="E2539" s="637">
        <f t="shared" si="87"/>
        <v>4.3111111111111119E-3</v>
      </c>
    </row>
    <row r="2540" spans="1:5">
      <c r="A2540">
        <v>41613</v>
      </c>
      <c r="B2540">
        <v>1600</v>
      </c>
      <c r="C2540" s="455">
        <v>0</v>
      </c>
      <c r="D2540" s="637">
        <f t="shared" si="86"/>
        <v>0</v>
      </c>
      <c r="E2540" s="637">
        <f t="shared" si="87"/>
        <v>0</v>
      </c>
    </row>
    <row r="2541" spans="1:5">
      <c r="A2541">
        <v>41613</v>
      </c>
      <c r="B2541">
        <v>1700</v>
      </c>
      <c r="C2541" s="455">
        <v>0</v>
      </c>
      <c r="D2541" s="637">
        <f t="shared" si="86"/>
        <v>0</v>
      </c>
      <c r="E2541" s="637">
        <f t="shared" si="87"/>
        <v>0</v>
      </c>
    </row>
    <row r="2542" spans="1:5">
      <c r="A2542">
        <v>41613</v>
      </c>
      <c r="B2542">
        <v>1800</v>
      </c>
      <c r="C2542" s="455">
        <v>0</v>
      </c>
      <c r="D2542" s="637">
        <f t="shared" si="86"/>
        <v>0</v>
      </c>
      <c r="E2542" s="637">
        <f t="shared" si="87"/>
        <v>0</v>
      </c>
    </row>
    <row r="2543" spans="1:5">
      <c r="A2543">
        <v>41613</v>
      </c>
      <c r="B2543">
        <v>1900</v>
      </c>
      <c r="C2543" s="455">
        <v>0.40100000000000002</v>
      </c>
      <c r="D2543" s="637">
        <f t="shared" si="86"/>
        <v>0.94457777777777785</v>
      </c>
      <c r="E2543" s="637">
        <f t="shared" si="87"/>
        <v>1.728755555555556</v>
      </c>
    </row>
    <row r="2544" spans="1:5">
      <c r="A2544">
        <v>41613</v>
      </c>
      <c r="B2544">
        <v>2000</v>
      </c>
      <c r="C2544" s="455">
        <v>8.5749999999999993</v>
      </c>
      <c r="D2544" s="637">
        <f t="shared" si="86"/>
        <v>20.198888888888884</v>
      </c>
      <c r="E2544" s="637">
        <f t="shared" si="87"/>
        <v>36.967777777777783</v>
      </c>
    </row>
    <row r="2545" spans="1:5">
      <c r="A2545">
        <v>41613</v>
      </c>
      <c r="B2545">
        <v>2100</v>
      </c>
      <c r="C2545" s="455">
        <v>7.1289999999999996</v>
      </c>
      <c r="D2545" s="637">
        <f t="shared" si="86"/>
        <v>16.792755555555555</v>
      </c>
      <c r="E2545" s="637">
        <f t="shared" si="87"/>
        <v>30.733911111111116</v>
      </c>
    </row>
    <row r="2546" spans="1:5">
      <c r="A2546">
        <v>41613</v>
      </c>
      <c r="B2546">
        <v>2200</v>
      </c>
      <c r="C2546" s="455">
        <v>6.9119999999999999</v>
      </c>
      <c r="D2546" s="637">
        <f t="shared" si="86"/>
        <v>16.281600000000001</v>
      </c>
      <c r="E2546" s="637">
        <f t="shared" si="87"/>
        <v>29.798400000000008</v>
      </c>
    </row>
    <row r="2547" spans="1:5">
      <c r="A2547">
        <v>41613</v>
      </c>
      <c r="B2547">
        <v>2300</v>
      </c>
      <c r="C2547" s="455">
        <v>7.2309999999999999</v>
      </c>
      <c r="D2547" s="637">
        <f t="shared" si="86"/>
        <v>17.033022222222222</v>
      </c>
      <c r="E2547" s="637">
        <f t="shared" si="87"/>
        <v>31.173644444444452</v>
      </c>
    </row>
    <row r="2548" spans="1:5">
      <c r="A2548">
        <v>41613</v>
      </c>
      <c r="B2548">
        <v>2400</v>
      </c>
      <c r="C2548" s="455">
        <v>7.2919999999999998</v>
      </c>
      <c r="D2548" s="637">
        <f t="shared" si="86"/>
        <v>17.176711111111111</v>
      </c>
      <c r="E2548" s="637">
        <f t="shared" si="87"/>
        <v>31.43662222222223</v>
      </c>
    </row>
    <row r="2549" spans="1:5">
      <c r="A2549">
        <v>41713</v>
      </c>
      <c r="B2549">
        <v>100</v>
      </c>
      <c r="C2549" s="455">
        <v>7.649</v>
      </c>
      <c r="D2549" s="637">
        <f t="shared" si="86"/>
        <v>18.017644444444443</v>
      </c>
      <c r="E2549" s="637">
        <f t="shared" si="87"/>
        <v>32.975688888888897</v>
      </c>
    </row>
    <row r="2550" spans="1:5">
      <c r="A2550">
        <v>41713</v>
      </c>
      <c r="B2550">
        <v>200</v>
      </c>
      <c r="C2550" s="455">
        <v>7.726</v>
      </c>
      <c r="D2550" s="637">
        <f t="shared" ref="D2550:D2613" si="88">(C2550/(MAX($C$2165:$C$2884)))*$W$8</f>
        <v>18.199022222222222</v>
      </c>
      <c r="E2550" s="637">
        <f t="shared" ref="E2550:E2613" si="89">(C2550/(MAX($C$2165:$C$2884)))*$P$8</f>
        <v>33.307644444444449</v>
      </c>
    </row>
    <row r="2551" spans="1:5">
      <c r="A2551">
        <v>41713</v>
      </c>
      <c r="B2551">
        <v>300</v>
      </c>
      <c r="C2551" s="455">
        <v>7.6760000000000002</v>
      </c>
      <c r="D2551" s="637">
        <f t="shared" si="88"/>
        <v>18.081244444444444</v>
      </c>
      <c r="E2551" s="637">
        <f t="shared" si="89"/>
        <v>33.092088888888895</v>
      </c>
    </row>
    <row r="2552" spans="1:5">
      <c r="A2552">
        <v>41713</v>
      </c>
      <c r="B2552">
        <v>400</v>
      </c>
      <c r="C2552" s="455">
        <v>7.7290000000000001</v>
      </c>
      <c r="D2552" s="637">
        <f t="shared" si="88"/>
        <v>18.206088888888889</v>
      </c>
      <c r="E2552" s="637">
        <f t="shared" si="89"/>
        <v>33.320577777777785</v>
      </c>
    </row>
    <row r="2553" spans="1:5">
      <c r="A2553">
        <v>41713</v>
      </c>
      <c r="B2553">
        <v>500</v>
      </c>
      <c r="C2553" s="455">
        <v>7.5739999999999998</v>
      </c>
      <c r="D2553" s="637">
        <f t="shared" si="88"/>
        <v>17.840977777777777</v>
      </c>
      <c r="E2553" s="637">
        <f t="shared" si="89"/>
        <v>32.652355555555566</v>
      </c>
    </row>
    <row r="2554" spans="1:5">
      <c r="A2554">
        <v>41713</v>
      </c>
      <c r="B2554">
        <v>600</v>
      </c>
      <c r="C2554" s="455">
        <v>6.4080000000000004</v>
      </c>
      <c r="D2554" s="637">
        <f t="shared" si="88"/>
        <v>15.094400000000002</v>
      </c>
      <c r="E2554" s="637">
        <f t="shared" si="89"/>
        <v>27.625600000000009</v>
      </c>
    </row>
    <row r="2555" spans="1:5">
      <c r="A2555">
        <v>41713</v>
      </c>
      <c r="B2555">
        <v>700</v>
      </c>
      <c r="C2555" s="455">
        <v>2E-3</v>
      </c>
      <c r="D2555" s="637">
        <f t="shared" si="88"/>
        <v>4.7111111111111112E-3</v>
      </c>
      <c r="E2555" s="637">
        <f t="shared" si="89"/>
        <v>8.6222222222222238E-3</v>
      </c>
    </row>
    <row r="2556" spans="1:5">
      <c r="A2556">
        <v>41713</v>
      </c>
      <c r="B2556">
        <v>800</v>
      </c>
      <c r="C2556" s="455">
        <v>0</v>
      </c>
      <c r="D2556" s="637">
        <f t="shared" si="88"/>
        <v>0</v>
      </c>
      <c r="E2556" s="637">
        <f t="shared" si="89"/>
        <v>0</v>
      </c>
    </row>
    <row r="2557" spans="1:5">
      <c r="A2557">
        <v>41713</v>
      </c>
      <c r="B2557">
        <v>900</v>
      </c>
      <c r="C2557" s="455">
        <v>0</v>
      </c>
      <c r="D2557" s="637">
        <f t="shared" si="88"/>
        <v>0</v>
      </c>
      <c r="E2557" s="637">
        <f t="shared" si="89"/>
        <v>0</v>
      </c>
    </row>
    <row r="2558" spans="1:5">
      <c r="A2558">
        <v>41713</v>
      </c>
      <c r="B2558">
        <v>1000</v>
      </c>
      <c r="C2558" s="455">
        <v>0</v>
      </c>
      <c r="D2558" s="637">
        <f t="shared" si="88"/>
        <v>0</v>
      </c>
      <c r="E2558" s="637">
        <f t="shared" si="89"/>
        <v>0</v>
      </c>
    </row>
    <row r="2559" spans="1:5">
      <c r="A2559">
        <v>41713</v>
      </c>
      <c r="B2559">
        <v>1100</v>
      </c>
      <c r="C2559" s="455">
        <v>0</v>
      </c>
      <c r="D2559" s="637">
        <f t="shared" si="88"/>
        <v>0</v>
      </c>
      <c r="E2559" s="637">
        <f t="shared" si="89"/>
        <v>0</v>
      </c>
    </row>
    <row r="2560" spans="1:5">
      <c r="A2560">
        <v>41713</v>
      </c>
      <c r="B2560">
        <v>1200</v>
      </c>
      <c r="C2560" s="455">
        <v>0</v>
      </c>
      <c r="D2560" s="637">
        <f t="shared" si="88"/>
        <v>0</v>
      </c>
      <c r="E2560" s="637">
        <f t="shared" si="89"/>
        <v>0</v>
      </c>
    </row>
    <row r="2561" spans="1:5">
      <c r="A2561">
        <v>41713</v>
      </c>
      <c r="B2561">
        <v>1300</v>
      </c>
      <c r="C2561" s="455">
        <v>0</v>
      </c>
      <c r="D2561" s="637">
        <f t="shared" si="88"/>
        <v>0</v>
      </c>
      <c r="E2561" s="637">
        <f t="shared" si="89"/>
        <v>0</v>
      </c>
    </row>
    <row r="2562" spans="1:5">
      <c r="A2562">
        <v>41713</v>
      </c>
      <c r="B2562">
        <v>1400</v>
      </c>
      <c r="C2562" s="455">
        <v>0</v>
      </c>
      <c r="D2562" s="637">
        <f t="shared" si="88"/>
        <v>0</v>
      </c>
      <c r="E2562" s="637">
        <f t="shared" si="89"/>
        <v>0</v>
      </c>
    </row>
    <row r="2563" spans="1:5">
      <c r="A2563">
        <v>41713</v>
      </c>
      <c r="B2563">
        <v>1500</v>
      </c>
      <c r="C2563" s="455">
        <v>0</v>
      </c>
      <c r="D2563" s="637">
        <f t="shared" si="88"/>
        <v>0</v>
      </c>
      <c r="E2563" s="637">
        <f t="shared" si="89"/>
        <v>0</v>
      </c>
    </row>
    <row r="2564" spans="1:5">
      <c r="A2564">
        <v>41713</v>
      </c>
      <c r="B2564">
        <v>1600</v>
      </c>
      <c r="C2564" s="455">
        <v>0</v>
      </c>
      <c r="D2564" s="637">
        <f t="shared" si="88"/>
        <v>0</v>
      </c>
      <c r="E2564" s="637">
        <f t="shared" si="89"/>
        <v>0</v>
      </c>
    </row>
    <row r="2565" spans="1:5">
      <c r="A2565">
        <v>41713</v>
      </c>
      <c r="B2565">
        <v>1700</v>
      </c>
      <c r="C2565" s="455">
        <v>0</v>
      </c>
      <c r="D2565" s="637">
        <f t="shared" si="88"/>
        <v>0</v>
      </c>
      <c r="E2565" s="637">
        <f t="shared" si="89"/>
        <v>0</v>
      </c>
    </row>
    <row r="2566" spans="1:5">
      <c r="A2566">
        <v>41713</v>
      </c>
      <c r="B2566">
        <v>1800</v>
      </c>
      <c r="C2566" s="455">
        <v>0</v>
      </c>
      <c r="D2566" s="637">
        <f t="shared" si="88"/>
        <v>0</v>
      </c>
      <c r="E2566" s="637">
        <f t="shared" si="89"/>
        <v>0</v>
      </c>
    </row>
    <row r="2567" spans="1:5">
      <c r="A2567">
        <v>41713</v>
      </c>
      <c r="B2567">
        <v>1900</v>
      </c>
      <c r="C2567" s="455">
        <v>1.8959999999999999</v>
      </c>
      <c r="D2567" s="637">
        <f t="shared" si="88"/>
        <v>4.4661333333333326</v>
      </c>
      <c r="E2567" s="637">
        <f t="shared" si="89"/>
        <v>8.1738666666666671</v>
      </c>
    </row>
    <row r="2568" spans="1:5">
      <c r="A2568">
        <v>41713</v>
      </c>
      <c r="B2568">
        <v>2000</v>
      </c>
      <c r="C2568" s="455">
        <v>8.3889999999999993</v>
      </c>
      <c r="D2568" s="637">
        <f t="shared" si="88"/>
        <v>19.760755555555555</v>
      </c>
      <c r="E2568" s="637">
        <f t="shared" si="89"/>
        <v>36.165911111111114</v>
      </c>
    </row>
    <row r="2569" spans="1:5">
      <c r="A2569">
        <v>41713</v>
      </c>
      <c r="B2569">
        <v>2100</v>
      </c>
      <c r="C2569" s="455">
        <v>7.2130000000000001</v>
      </c>
      <c r="D2569" s="637">
        <f t="shared" si="88"/>
        <v>16.990622222222221</v>
      </c>
      <c r="E2569" s="637">
        <f t="shared" si="89"/>
        <v>31.096044444444448</v>
      </c>
    </row>
    <row r="2570" spans="1:5">
      <c r="A2570">
        <v>41713</v>
      </c>
      <c r="B2570">
        <v>2200</v>
      </c>
      <c r="C2570" s="455">
        <v>7.1529999999999996</v>
      </c>
      <c r="D2570" s="637">
        <f t="shared" si="88"/>
        <v>16.849288888888886</v>
      </c>
      <c r="E2570" s="637">
        <f t="shared" si="89"/>
        <v>30.837377777777782</v>
      </c>
    </row>
    <row r="2571" spans="1:5">
      <c r="A2571">
        <v>41713</v>
      </c>
      <c r="B2571">
        <v>2300</v>
      </c>
      <c r="C2571" s="455">
        <v>6.851</v>
      </c>
      <c r="D2571" s="637">
        <f t="shared" si="88"/>
        <v>16.137911111111112</v>
      </c>
      <c r="E2571" s="637">
        <f t="shared" si="89"/>
        <v>29.53542222222223</v>
      </c>
    </row>
    <row r="2572" spans="1:5">
      <c r="A2572">
        <v>41713</v>
      </c>
      <c r="B2572">
        <v>2400</v>
      </c>
      <c r="C2572" s="455">
        <v>7.6630000000000003</v>
      </c>
      <c r="D2572" s="637">
        <f t="shared" si="88"/>
        <v>18.05062222222222</v>
      </c>
      <c r="E2572" s="637">
        <f t="shared" si="89"/>
        <v>33.03604444444445</v>
      </c>
    </row>
    <row r="2573" spans="1:5">
      <c r="A2573">
        <v>41813</v>
      </c>
      <c r="B2573">
        <v>100</v>
      </c>
      <c r="C2573" s="455">
        <v>7.5720000000000001</v>
      </c>
      <c r="D2573" s="637">
        <f t="shared" si="88"/>
        <v>17.836266666666667</v>
      </c>
      <c r="E2573" s="637">
        <f t="shared" si="89"/>
        <v>32.643733333333337</v>
      </c>
    </row>
    <row r="2574" spans="1:5">
      <c r="A2574">
        <v>41813</v>
      </c>
      <c r="B2574">
        <v>200</v>
      </c>
      <c r="C2574" s="455">
        <v>7.5030000000000001</v>
      </c>
      <c r="D2574" s="637">
        <f t="shared" si="88"/>
        <v>17.673733333333335</v>
      </c>
      <c r="E2574" s="637">
        <f t="shared" si="89"/>
        <v>32.346266666666679</v>
      </c>
    </row>
    <row r="2575" spans="1:5">
      <c r="A2575">
        <v>41813</v>
      </c>
      <c r="B2575">
        <v>300</v>
      </c>
      <c r="C2575" s="455">
        <v>7.6509999999999998</v>
      </c>
      <c r="D2575" s="637">
        <f t="shared" si="88"/>
        <v>18.022355555555556</v>
      </c>
      <c r="E2575" s="637">
        <f t="shared" si="89"/>
        <v>32.984311111111118</v>
      </c>
    </row>
    <row r="2576" spans="1:5">
      <c r="A2576">
        <v>41813</v>
      </c>
      <c r="B2576">
        <v>400</v>
      </c>
      <c r="C2576" s="455">
        <v>7.5019999999999998</v>
      </c>
      <c r="D2576" s="637">
        <f t="shared" si="88"/>
        <v>17.671377777777778</v>
      </c>
      <c r="E2576" s="637">
        <f t="shared" si="89"/>
        <v>32.341955555555558</v>
      </c>
    </row>
    <row r="2577" spans="1:5">
      <c r="A2577">
        <v>41813</v>
      </c>
      <c r="B2577">
        <v>500</v>
      </c>
      <c r="C2577" s="455">
        <v>7.6550000000000002</v>
      </c>
      <c r="D2577" s="637">
        <f t="shared" si="88"/>
        <v>18.03177777777778</v>
      </c>
      <c r="E2577" s="637">
        <f t="shared" si="89"/>
        <v>33.001555555555562</v>
      </c>
    </row>
    <row r="2578" spans="1:5">
      <c r="A2578">
        <v>41813</v>
      </c>
      <c r="B2578">
        <v>600</v>
      </c>
      <c r="C2578" s="455">
        <v>9.1370000000000005</v>
      </c>
      <c r="D2578" s="637">
        <f t="shared" si="88"/>
        <v>21.522711111111111</v>
      </c>
      <c r="E2578" s="637">
        <f t="shared" si="89"/>
        <v>39.390622222222234</v>
      </c>
    </row>
    <row r="2579" spans="1:5">
      <c r="A2579">
        <v>41813</v>
      </c>
      <c r="B2579">
        <v>700</v>
      </c>
      <c r="C2579" s="455">
        <v>0.152</v>
      </c>
      <c r="D2579" s="637">
        <f t="shared" si="88"/>
        <v>0.35804444444444444</v>
      </c>
      <c r="E2579" s="637">
        <f t="shared" si="89"/>
        <v>0.65528888888888903</v>
      </c>
    </row>
    <row r="2580" spans="1:5">
      <c r="A2580">
        <v>41813</v>
      </c>
      <c r="B2580">
        <v>800</v>
      </c>
      <c r="C2580" s="455">
        <v>0</v>
      </c>
      <c r="D2580" s="637">
        <f t="shared" si="88"/>
        <v>0</v>
      </c>
      <c r="E2580" s="637">
        <f t="shared" si="89"/>
        <v>0</v>
      </c>
    </row>
    <row r="2581" spans="1:5">
      <c r="A2581">
        <v>41813</v>
      </c>
      <c r="B2581">
        <v>900</v>
      </c>
      <c r="C2581" s="455">
        <v>0</v>
      </c>
      <c r="D2581" s="637">
        <f t="shared" si="88"/>
        <v>0</v>
      </c>
      <c r="E2581" s="637">
        <f t="shared" si="89"/>
        <v>0</v>
      </c>
    </row>
    <row r="2582" spans="1:5">
      <c r="A2582">
        <v>41813</v>
      </c>
      <c r="B2582">
        <v>1000</v>
      </c>
      <c r="C2582" s="455">
        <v>0</v>
      </c>
      <c r="D2582" s="637">
        <f t="shared" si="88"/>
        <v>0</v>
      </c>
      <c r="E2582" s="637">
        <f t="shared" si="89"/>
        <v>0</v>
      </c>
    </row>
    <row r="2583" spans="1:5">
      <c r="A2583">
        <v>41813</v>
      </c>
      <c r="B2583">
        <v>1100</v>
      </c>
      <c r="C2583" s="455">
        <v>0</v>
      </c>
      <c r="D2583" s="637">
        <f t="shared" si="88"/>
        <v>0</v>
      </c>
      <c r="E2583" s="637">
        <f t="shared" si="89"/>
        <v>0</v>
      </c>
    </row>
    <row r="2584" spans="1:5">
      <c r="A2584">
        <v>41813</v>
      </c>
      <c r="B2584">
        <v>1200</v>
      </c>
      <c r="C2584" s="455">
        <v>0</v>
      </c>
      <c r="D2584" s="637">
        <f t="shared" si="88"/>
        <v>0</v>
      </c>
      <c r="E2584" s="637">
        <f t="shared" si="89"/>
        <v>0</v>
      </c>
    </row>
    <row r="2585" spans="1:5">
      <c r="A2585">
        <v>41813</v>
      </c>
      <c r="B2585">
        <v>1300</v>
      </c>
      <c r="C2585" s="455">
        <v>0</v>
      </c>
      <c r="D2585" s="637">
        <f t="shared" si="88"/>
        <v>0</v>
      </c>
      <c r="E2585" s="637">
        <f t="shared" si="89"/>
        <v>0</v>
      </c>
    </row>
    <row r="2586" spans="1:5">
      <c r="A2586">
        <v>41813</v>
      </c>
      <c r="B2586">
        <v>1400</v>
      </c>
      <c r="C2586" s="455">
        <v>0</v>
      </c>
      <c r="D2586" s="637">
        <f t="shared" si="88"/>
        <v>0</v>
      </c>
      <c r="E2586" s="637">
        <f t="shared" si="89"/>
        <v>0</v>
      </c>
    </row>
    <row r="2587" spans="1:5">
      <c r="A2587">
        <v>41813</v>
      </c>
      <c r="B2587">
        <v>1500</v>
      </c>
      <c r="C2587" s="455">
        <v>0</v>
      </c>
      <c r="D2587" s="637">
        <f t="shared" si="88"/>
        <v>0</v>
      </c>
      <c r="E2587" s="637">
        <f t="shared" si="89"/>
        <v>0</v>
      </c>
    </row>
    <row r="2588" spans="1:5">
      <c r="A2588">
        <v>41813</v>
      </c>
      <c r="B2588">
        <v>1600</v>
      </c>
      <c r="C2588" s="455">
        <v>0</v>
      </c>
      <c r="D2588" s="637">
        <f t="shared" si="88"/>
        <v>0</v>
      </c>
      <c r="E2588" s="637">
        <f t="shared" si="89"/>
        <v>0</v>
      </c>
    </row>
    <row r="2589" spans="1:5">
      <c r="A2589">
        <v>41813</v>
      </c>
      <c r="B2589">
        <v>1700</v>
      </c>
      <c r="C2589" s="455">
        <v>0</v>
      </c>
      <c r="D2589" s="637">
        <f t="shared" si="88"/>
        <v>0</v>
      </c>
      <c r="E2589" s="637">
        <f t="shared" si="89"/>
        <v>0</v>
      </c>
    </row>
    <row r="2590" spans="1:5">
      <c r="A2590">
        <v>41813</v>
      </c>
      <c r="B2590">
        <v>1800</v>
      </c>
      <c r="C2590" s="455">
        <v>0</v>
      </c>
      <c r="D2590" s="637">
        <f t="shared" si="88"/>
        <v>0</v>
      </c>
      <c r="E2590" s="637">
        <f t="shared" si="89"/>
        <v>0</v>
      </c>
    </row>
    <row r="2591" spans="1:5">
      <c r="A2591">
        <v>41813</v>
      </c>
      <c r="B2591">
        <v>1900</v>
      </c>
      <c r="C2591" s="455">
        <v>6.8440000000000003</v>
      </c>
      <c r="D2591" s="637">
        <f t="shared" si="88"/>
        <v>16.121422222222225</v>
      </c>
      <c r="E2591" s="637">
        <f t="shared" si="89"/>
        <v>29.505244444444454</v>
      </c>
    </row>
    <row r="2592" spans="1:5">
      <c r="A2592">
        <v>41813</v>
      </c>
      <c r="B2592">
        <v>2000</v>
      </c>
      <c r="C2592" s="455">
        <v>8.5039999999999996</v>
      </c>
      <c r="D2592" s="637">
        <f t="shared" si="88"/>
        <v>20.031644444444442</v>
      </c>
      <c r="E2592" s="637">
        <f t="shared" si="89"/>
        <v>36.661688888888897</v>
      </c>
    </row>
    <row r="2593" spans="1:5">
      <c r="A2593">
        <v>41813</v>
      </c>
      <c r="B2593">
        <v>2100</v>
      </c>
      <c r="C2593" s="455">
        <v>6.9960000000000004</v>
      </c>
      <c r="D2593" s="637">
        <f t="shared" si="88"/>
        <v>16.479466666666667</v>
      </c>
      <c r="E2593" s="637">
        <f t="shared" si="89"/>
        <v>30.160533333333341</v>
      </c>
    </row>
    <row r="2594" spans="1:5">
      <c r="A2594">
        <v>41813</v>
      </c>
      <c r="B2594">
        <v>2200</v>
      </c>
      <c r="C2594" s="455">
        <v>6.9930000000000003</v>
      </c>
      <c r="D2594" s="637">
        <f t="shared" si="88"/>
        <v>16.4724</v>
      </c>
      <c r="E2594" s="637">
        <f t="shared" si="89"/>
        <v>30.147600000000008</v>
      </c>
    </row>
    <row r="2595" spans="1:5">
      <c r="A2595">
        <v>41813</v>
      </c>
      <c r="B2595">
        <v>2300</v>
      </c>
      <c r="C2595" s="455">
        <v>6.9139999999999997</v>
      </c>
      <c r="D2595" s="637">
        <f t="shared" si="88"/>
        <v>16.286311111111111</v>
      </c>
      <c r="E2595" s="637">
        <f t="shared" si="89"/>
        <v>29.807022222222226</v>
      </c>
    </row>
    <row r="2596" spans="1:5">
      <c r="A2596">
        <v>41813</v>
      </c>
      <c r="B2596">
        <v>2400</v>
      </c>
      <c r="C2596" s="455">
        <v>6.992</v>
      </c>
      <c r="D2596" s="637">
        <f t="shared" si="88"/>
        <v>16.470044444444444</v>
      </c>
      <c r="E2596" s="637">
        <f t="shared" si="89"/>
        <v>30.143288888888893</v>
      </c>
    </row>
    <row r="2597" spans="1:5">
      <c r="A2597">
        <v>41913</v>
      </c>
      <c r="B2597">
        <v>100</v>
      </c>
      <c r="C2597" s="455">
        <v>7.069</v>
      </c>
      <c r="D2597" s="637">
        <f t="shared" si="88"/>
        <v>16.651422222222219</v>
      </c>
      <c r="E2597" s="637">
        <f t="shared" si="89"/>
        <v>30.475244444444449</v>
      </c>
    </row>
    <row r="2598" spans="1:5">
      <c r="A2598">
        <v>41913</v>
      </c>
      <c r="B2598">
        <v>200</v>
      </c>
      <c r="C2598" s="455">
        <v>7.1710000000000003</v>
      </c>
      <c r="D2598" s="637">
        <f t="shared" si="88"/>
        <v>16.89168888888889</v>
      </c>
      <c r="E2598" s="637">
        <f t="shared" si="89"/>
        <v>30.914977777777786</v>
      </c>
    </row>
    <row r="2599" spans="1:5">
      <c r="A2599">
        <v>41913</v>
      </c>
      <c r="B2599">
        <v>300</v>
      </c>
      <c r="C2599" s="455">
        <v>7.3010000000000002</v>
      </c>
      <c r="D2599" s="637">
        <f t="shared" si="88"/>
        <v>17.197911111111114</v>
      </c>
      <c r="E2599" s="637">
        <f t="shared" si="89"/>
        <v>31.475422222222232</v>
      </c>
    </row>
    <row r="2600" spans="1:5">
      <c r="A2600">
        <v>41913</v>
      </c>
      <c r="B2600">
        <v>400</v>
      </c>
      <c r="C2600" s="455">
        <v>7.0119999999999996</v>
      </c>
      <c r="D2600" s="637">
        <f t="shared" si="88"/>
        <v>16.517155555555554</v>
      </c>
      <c r="E2600" s="637">
        <f t="shared" si="89"/>
        <v>30.229511111111115</v>
      </c>
    </row>
    <row r="2601" spans="1:5">
      <c r="A2601">
        <v>41913</v>
      </c>
      <c r="B2601">
        <v>500</v>
      </c>
      <c r="C2601" s="455">
        <v>7.2930000000000001</v>
      </c>
      <c r="D2601" s="637">
        <f t="shared" si="88"/>
        <v>17.179066666666667</v>
      </c>
      <c r="E2601" s="637">
        <f t="shared" si="89"/>
        <v>31.440933333333341</v>
      </c>
    </row>
    <row r="2602" spans="1:5">
      <c r="A2602">
        <v>41913</v>
      </c>
      <c r="B2602">
        <v>600</v>
      </c>
      <c r="C2602" s="455">
        <v>7.8970000000000002</v>
      </c>
      <c r="D2602" s="637">
        <f t="shared" si="88"/>
        <v>18.601822222222221</v>
      </c>
      <c r="E2602" s="637">
        <f t="shared" si="89"/>
        <v>34.04484444444445</v>
      </c>
    </row>
    <row r="2603" spans="1:5">
      <c r="A2603">
        <v>41913</v>
      </c>
      <c r="B2603">
        <v>700</v>
      </c>
      <c r="C2603" s="455">
        <v>1.95</v>
      </c>
      <c r="D2603" s="637">
        <f t="shared" si="88"/>
        <v>4.5933333333333337</v>
      </c>
      <c r="E2603" s="637">
        <f t="shared" si="89"/>
        <v>8.4066666666666681</v>
      </c>
    </row>
    <row r="2604" spans="1:5">
      <c r="A2604">
        <v>41913</v>
      </c>
      <c r="B2604">
        <v>800</v>
      </c>
      <c r="C2604" s="455">
        <v>2E-3</v>
      </c>
      <c r="D2604" s="637">
        <f t="shared" si="88"/>
        <v>4.7111111111111112E-3</v>
      </c>
      <c r="E2604" s="637">
        <f t="shared" si="89"/>
        <v>8.6222222222222238E-3</v>
      </c>
    </row>
    <row r="2605" spans="1:5">
      <c r="A2605">
        <v>41913</v>
      </c>
      <c r="B2605">
        <v>900</v>
      </c>
      <c r="C2605" s="455">
        <v>0</v>
      </c>
      <c r="D2605" s="637">
        <f t="shared" si="88"/>
        <v>0</v>
      </c>
      <c r="E2605" s="637">
        <f t="shared" si="89"/>
        <v>0</v>
      </c>
    </row>
    <row r="2606" spans="1:5">
      <c r="A2606">
        <v>41913</v>
      </c>
      <c r="B2606">
        <v>1000</v>
      </c>
      <c r="C2606" s="455">
        <v>0</v>
      </c>
      <c r="D2606" s="637">
        <f t="shared" si="88"/>
        <v>0</v>
      </c>
      <c r="E2606" s="637">
        <f t="shared" si="89"/>
        <v>0</v>
      </c>
    </row>
    <row r="2607" spans="1:5">
      <c r="A2607">
        <v>41913</v>
      </c>
      <c r="B2607">
        <v>1100</v>
      </c>
      <c r="C2607" s="455">
        <v>0</v>
      </c>
      <c r="D2607" s="637">
        <f t="shared" si="88"/>
        <v>0</v>
      </c>
      <c r="E2607" s="637">
        <f t="shared" si="89"/>
        <v>0</v>
      </c>
    </row>
    <row r="2608" spans="1:5">
      <c r="A2608">
        <v>41913</v>
      </c>
      <c r="B2608">
        <v>1200</v>
      </c>
      <c r="C2608" s="455">
        <v>5.0000000000000001E-3</v>
      </c>
      <c r="D2608" s="637">
        <f t="shared" si="88"/>
        <v>1.1777777777777779E-2</v>
      </c>
      <c r="E2608" s="637">
        <f t="shared" si="89"/>
        <v>2.1555555555555564E-2</v>
      </c>
    </row>
    <row r="2609" spans="1:5">
      <c r="A2609">
        <v>41913</v>
      </c>
      <c r="B2609">
        <v>1300</v>
      </c>
      <c r="C2609" s="455">
        <v>1E-3</v>
      </c>
      <c r="D2609" s="637">
        <f t="shared" si="88"/>
        <v>2.3555555555555556E-3</v>
      </c>
      <c r="E2609" s="637">
        <f t="shared" si="89"/>
        <v>4.3111111111111119E-3</v>
      </c>
    </row>
    <row r="2610" spans="1:5">
      <c r="A2610">
        <v>41913</v>
      </c>
      <c r="B2610">
        <v>1400</v>
      </c>
      <c r="C2610" s="455">
        <v>0</v>
      </c>
      <c r="D2610" s="637">
        <f t="shared" si="88"/>
        <v>0</v>
      </c>
      <c r="E2610" s="637">
        <f t="shared" si="89"/>
        <v>0</v>
      </c>
    </row>
    <row r="2611" spans="1:5">
      <c r="A2611">
        <v>41913</v>
      </c>
      <c r="B2611">
        <v>1500</v>
      </c>
      <c r="C2611" s="455">
        <v>0</v>
      </c>
      <c r="D2611" s="637">
        <f t="shared" si="88"/>
        <v>0</v>
      </c>
      <c r="E2611" s="637">
        <f t="shared" si="89"/>
        <v>0</v>
      </c>
    </row>
    <row r="2612" spans="1:5">
      <c r="A2612">
        <v>41913</v>
      </c>
      <c r="B2612">
        <v>1600</v>
      </c>
      <c r="C2612" s="455">
        <v>0</v>
      </c>
      <c r="D2612" s="637">
        <f t="shared" si="88"/>
        <v>0</v>
      </c>
      <c r="E2612" s="637">
        <f t="shared" si="89"/>
        <v>0</v>
      </c>
    </row>
    <row r="2613" spans="1:5">
      <c r="A2613">
        <v>41913</v>
      </c>
      <c r="B2613">
        <v>1700</v>
      </c>
      <c r="C2613" s="455">
        <v>0</v>
      </c>
      <c r="D2613" s="637">
        <f t="shared" si="88"/>
        <v>0</v>
      </c>
      <c r="E2613" s="637">
        <f t="shared" si="89"/>
        <v>0</v>
      </c>
    </row>
    <row r="2614" spans="1:5">
      <c r="A2614">
        <v>41913</v>
      </c>
      <c r="B2614">
        <v>1800</v>
      </c>
      <c r="C2614" s="455">
        <v>0</v>
      </c>
      <c r="D2614" s="637">
        <f t="shared" ref="D2614:D2677" si="90">(C2614/(MAX($C$2165:$C$2884)))*$W$8</f>
        <v>0</v>
      </c>
      <c r="E2614" s="637">
        <f t="shared" ref="E2614:E2677" si="91">(C2614/(MAX($C$2165:$C$2884)))*$P$8</f>
        <v>0</v>
      </c>
    </row>
    <row r="2615" spans="1:5">
      <c r="A2615">
        <v>41913</v>
      </c>
      <c r="B2615">
        <v>1900</v>
      </c>
      <c r="C2615" s="455">
        <v>3.4620000000000002</v>
      </c>
      <c r="D2615" s="637">
        <f t="shared" si="90"/>
        <v>8.154933333333334</v>
      </c>
      <c r="E2615" s="637">
        <f t="shared" si="91"/>
        <v>14.925066666666673</v>
      </c>
    </row>
    <row r="2616" spans="1:5">
      <c r="A2616">
        <v>41913</v>
      </c>
      <c r="B2616">
        <v>2000</v>
      </c>
      <c r="C2616" s="455">
        <v>8.4220000000000006</v>
      </c>
      <c r="D2616" s="637">
        <f t="shared" si="90"/>
        <v>19.838488888888893</v>
      </c>
      <c r="E2616" s="637">
        <f t="shared" si="91"/>
        <v>36.308177777777793</v>
      </c>
    </row>
    <row r="2617" spans="1:5">
      <c r="A2617">
        <v>41913</v>
      </c>
      <c r="B2617">
        <v>2100</v>
      </c>
      <c r="C2617" s="455">
        <v>7.141</v>
      </c>
      <c r="D2617" s="637">
        <f t="shared" si="90"/>
        <v>16.821022222222222</v>
      </c>
      <c r="E2617" s="637">
        <f t="shared" si="91"/>
        <v>30.785644444444451</v>
      </c>
    </row>
    <row r="2618" spans="1:5">
      <c r="A2618">
        <v>41913</v>
      </c>
      <c r="B2618">
        <v>2200</v>
      </c>
      <c r="C2618" s="455">
        <v>6.9219999999999997</v>
      </c>
      <c r="D2618" s="637">
        <f t="shared" si="90"/>
        <v>16.305155555555555</v>
      </c>
      <c r="E2618" s="637">
        <f t="shared" si="91"/>
        <v>29.841511111111114</v>
      </c>
    </row>
    <row r="2619" spans="1:5">
      <c r="A2619">
        <v>41913</v>
      </c>
      <c r="B2619">
        <v>2300</v>
      </c>
      <c r="C2619" s="455">
        <v>7.8179999999999996</v>
      </c>
      <c r="D2619" s="637">
        <f t="shared" si="90"/>
        <v>18.415733333333332</v>
      </c>
      <c r="E2619" s="637">
        <f t="shared" si="91"/>
        <v>33.704266666666669</v>
      </c>
    </row>
    <row r="2620" spans="1:5">
      <c r="A2620">
        <v>41913</v>
      </c>
      <c r="B2620">
        <v>2400</v>
      </c>
      <c r="C2620" s="455">
        <v>7.7229999999999999</v>
      </c>
      <c r="D2620" s="637">
        <f t="shared" si="90"/>
        <v>18.191955555555555</v>
      </c>
      <c r="E2620" s="637">
        <f t="shared" si="91"/>
        <v>33.29471111111112</v>
      </c>
    </row>
    <row r="2621" spans="1:5">
      <c r="A2621">
        <v>42013</v>
      </c>
      <c r="B2621">
        <v>100</v>
      </c>
      <c r="C2621" s="455">
        <v>7.66</v>
      </c>
      <c r="D2621" s="637">
        <f t="shared" si="90"/>
        <v>18.043555555555553</v>
      </c>
      <c r="E2621" s="637">
        <f t="shared" si="91"/>
        <v>33.023111111111113</v>
      </c>
    </row>
    <row r="2622" spans="1:5">
      <c r="A2622">
        <v>42013</v>
      </c>
      <c r="B2622">
        <v>200</v>
      </c>
      <c r="C2622" s="455">
        <v>7.6779999999999999</v>
      </c>
      <c r="D2622" s="637">
        <f t="shared" si="90"/>
        <v>18.085955555555557</v>
      </c>
      <c r="E2622" s="637">
        <f t="shared" si="91"/>
        <v>33.100711111111117</v>
      </c>
    </row>
    <row r="2623" spans="1:5">
      <c r="A2623">
        <v>42013</v>
      </c>
      <c r="B2623">
        <v>300</v>
      </c>
      <c r="C2623" s="455">
        <v>7.8079999999999998</v>
      </c>
      <c r="D2623" s="637">
        <f t="shared" si="90"/>
        <v>18.392177777777775</v>
      </c>
      <c r="E2623" s="637">
        <f t="shared" si="91"/>
        <v>33.66115555555556</v>
      </c>
    </row>
    <row r="2624" spans="1:5">
      <c r="A2624">
        <v>42013</v>
      </c>
      <c r="B2624">
        <v>400</v>
      </c>
      <c r="C2624" s="455">
        <v>7.59</v>
      </c>
      <c r="D2624" s="637">
        <f t="shared" si="90"/>
        <v>17.878666666666664</v>
      </c>
      <c r="E2624" s="637">
        <f t="shared" si="91"/>
        <v>32.721333333333334</v>
      </c>
    </row>
    <row r="2625" spans="1:5">
      <c r="A2625">
        <v>42013</v>
      </c>
      <c r="B2625">
        <v>500</v>
      </c>
      <c r="C2625" s="455">
        <v>7.8929999999999998</v>
      </c>
      <c r="D2625" s="637">
        <f t="shared" si="90"/>
        <v>18.592400000000001</v>
      </c>
      <c r="E2625" s="637">
        <f t="shared" si="91"/>
        <v>34.027600000000007</v>
      </c>
    </row>
    <row r="2626" spans="1:5">
      <c r="A2626">
        <v>42013</v>
      </c>
      <c r="B2626">
        <v>600</v>
      </c>
      <c r="C2626" s="455">
        <v>9.9090000000000007</v>
      </c>
      <c r="D2626" s="637">
        <f t="shared" si="90"/>
        <v>23.341200000000001</v>
      </c>
      <c r="E2626" s="637">
        <f t="shared" si="91"/>
        <v>42.718800000000009</v>
      </c>
    </row>
    <row r="2627" spans="1:5">
      <c r="A2627">
        <v>42013</v>
      </c>
      <c r="B2627">
        <v>700</v>
      </c>
      <c r="C2627" s="455">
        <v>2.2069999999999999</v>
      </c>
      <c r="D2627" s="637">
        <f t="shared" si="90"/>
        <v>5.1987111111111108</v>
      </c>
      <c r="E2627" s="637">
        <f t="shared" si="91"/>
        <v>9.5146222222222239</v>
      </c>
    </row>
    <row r="2628" spans="1:5">
      <c r="A2628">
        <v>42013</v>
      </c>
      <c r="B2628">
        <v>800</v>
      </c>
      <c r="C2628" s="455">
        <v>7.2999999999999995E-2</v>
      </c>
      <c r="D2628" s="637">
        <f t="shared" si="90"/>
        <v>0.17195555555555553</v>
      </c>
      <c r="E2628" s="637">
        <f t="shared" si="91"/>
        <v>0.31471111111111116</v>
      </c>
    </row>
    <row r="2629" spans="1:5">
      <c r="A2629">
        <v>42013</v>
      </c>
      <c r="B2629">
        <v>900</v>
      </c>
      <c r="C2629" s="455">
        <v>0</v>
      </c>
      <c r="D2629" s="637">
        <f t="shared" si="90"/>
        <v>0</v>
      </c>
      <c r="E2629" s="637">
        <f t="shared" si="91"/>
        <v>0</v>
      </c>
    </row>
    <row r="2630" spans="1:5">
      <c r="A2630">
        <v>42013</v>
      </c>
      <c r="B2630">
        <v>1000</v>
      </c>
      <c r="C2630" s="455">
        <v>0</v>
      </c>
      <c r="D2630" s="637">
        <f t="shared" si="90"/>
        <v>0</v>
      </c>
      <c r="E2630" s="637">
        <f t="shared" si="91"/>
        <v>0</v>
      </c>
    </row>
    <row r="2631" spans="1:5">
      <c r="A2631">
        <v>42013</v>
      </c>
      <c r="B2631">
        <v>1100</v>
      </c>
      <c r="C2631" s="455">
        <v>0</v>
      </c>
      <c r="D2631" s="637">
        <f t="shared" si="90"/>
        <v>0</v>
      </c>
      <c r="E2631" s="637">
        <f t="shared" si="91"/>
        <v>0</v>
      </c>
    </row>
    <row r="2632" spans="1:5">
      <c r="A2632">
        <v>42013</v>
      </c>
      <c r="B2632">
        <v>1200</v>
      </c>
      <c r="C2632" s="455">
        <v>0</v>
      </c>
      <c r="D2632" s="637">
        <f t="shared" si="90"/>
        <v>0</v>
      </c>
      <c r="E2632" s="637">
        <f t="shared" si="91"/>
        <v>0</v>
      </c>
    </row>
    <row r="2633" spans="1:5">
      <c r="A2633">
        <v>42013</v>
      </c>
      <c r="B2633">
        <v>1300</v>
      </c>
      <c r="C2633" s="455">
        <v>0</v>
      </c>
      <c r="D2633" s="637">
        <f t="shared" si="90"/>
        <v>0</v>
      </c>
      <c r="E2633" s="637">
        <f t="shared" si="91"/>
        <v>0</v>
      </c>
    </row>
    <row r="2634" spans="1:5">
      <c r="A2634">
        <v>42013</v>
      </c>
      <c r="B2634">
        <v>1400</v>
      </c>
      <c r="C2634" s="455">
        <v>0</v>
      </c>
      <c r="D2634" s="637">
        <f t="shared" si="90"/>
        <v>0</v>
      </c>
      <c r="E2634" s="637">
        <f t="shared" si="91"/>
        <v>0</v>
      </c>
    </row>
    <row r="2635" spans="1:5">
      <c r="A2635">
        <v>42013</v>
      </c>
      <c r="B2635">
        <v>1500</v>
      </c>
      <c r="C2635" s="455">
        <v>0</v>
      </c>
      <c r="D2635" s="637">
        <f t="shared" si="90"/>
        <v>0</v>
      </c>
      <c r="E2635" s="637">
        <f t="shared" si="91"/>
        <v>0</v>
      </c>
    </row>
    <row r="2636" spans="1:5">
      <c r="A2636">
        <v>42013</v>
      </c>
      <c r="B2636">
        <v>1600</v>
      </c>
      <c r="C2636" s="455">
        <v>0</v>
      </c>
      <c r="D2636" s="637">
        <f t="shared" si="90"/>
        <v>0</v>
      </c>
      <c r="E2636" s="637">
        <f t="shared" si="91"/>
        <v>0</v>
      </c>
    </row>
    <row r="2637" spans="1:5">
      <c r="A2637">
        <v>42013</v>
      </c>
      <c r="B2637">
        <v>1700</v>
      </c>
      <c r="C2637" s="455">
        <v>0</v>
      </c>
      <c r="D2637" s="637">
        <f t="shared" si="90"/>
        <v>0</v>
      </c>
      <c r="E2637" s="637">
        <f t="shared" si="91"/>
        <v>0</v>
      </c>
    </row>
    <row r="2638" spans="1:5">
      <c r="A2638">
        <v>42013</v>
      </c>
      <c r="B2638">
        <v>1800</v>
      </c>
      <c r="C2638" s="455">
        <v>0</v>
      </c>
      <c r="D2638" s="637">
        <f t="shared" si="90"/>
        <v>0</v>
      </c>
      <c r="E2638" s="637">
        <f t="shared" si="91"/>
        <v>0</v>
      </c>
    </row>
    <row r="2639" spans="1:5">
      <c r="A2639">
        <v>42013</v>
      </c>
      <c r="B2639">
        <v>1900</v>
      </c>
      <c r="C2639" s="455">
        <v>0.50600000000000001</v>
      </c>
      <c r="D2639" s="637">
        <f t="shared" si="90"/>
        <v>1.1919111111111111</v>
      </c>
      <c r="E2639" s="637">
        <f t="shared" si="91"/>
        <v>2.1814222222222228</v>
      </c>
    </row>
    <row r="2640" spans="1:5">
      <c r="A2640">
        <v>42013</v>
      </c>
      <c r="B2640">
        <v>2000</v>
      </c>
      <c r="C2640" s="455">
        <v>9.5489999999999995</v>
      </c>
      <c r="D2640" s="637">
        <f t="shared" si="90"/>
        <v>22.493199999999998</v>
      </c>
      <c r="E2640" s="637">
        <f t="shared" si="91"/>
        <v>41.166800000000002</v>
      </c>
    </row>
    <row r="2641" spans="1:5">
      <c r="A2641">
        <v>42013</v>
      </c>
      <c r="B2641">
        <v>2100</v>
      </c>
      <c r="C2641" s="455">
        <v>7.8159999999999998</v>
      </c>
      <c r="D2641" s="637">
        <f t="shared" si="90"/>
        <v>18.411022222222222</v>
      </c>
      <c r="E2641" s="637">
        <f t="shared" si="91"/>
        <v>33.695644444444454</v>
      </c>
    </row>
    <row r="2642" spans="1:5">
      <c r="A2642">
        <v>42013</v>
      </c>
      <c r="B2642">
        <v>2200</v>
      </c>
      <c r="C2642" s="455">
        <v>7.726</v>
      </c>
      <c r="D2642" s="637">
        <f t="shared" si="90"/>
        <v>18.199022222222222</v>
      </c>
      <c r="E2642" s="637">
        <f t="shared" si="91"/>
        <v>33.307644444444449</v>
      </c>
    </row>
    <row r="2643" spans="1:5">
      <c r="A2643">
        <v>42013</v>
      </c>
      <c r="B2643">
        <v>2300</v>
      </c>
      <c r="C2643" s="455">
        <v>7.7489999999999997</v>
      </c>
      <c r="D2643" s="637">
        <f t="shared" si="90"/>
        <v>18.2532</v>
      </c>
      <c r="E2643" s="637">
        <f t="shared" si="91"/>
        <v>33.406800000000011</v>
      </c>
    </row>
    <row r="2644" spans="1:5">
      <c r="A2644">
        <v>42013</v>
      </c>
      <c r="B2644">
        <v>2400</v>
      </c>
      <c r="C2644" s="455">
        <v>7.57</v>
      </c>
      <c r="D2644" s="637">
        <f t="shared" si="90"/>
        <v>17.831555555555557</v>
      </c>
      <c r="E2644" s="637">
        <f t="shared" si="91"/>
        <v>32.635111111111122</v>
      </c>
    </row>
    <row r="2645" spans="1:5">
      <c r="A2645">
        <v>42113</v>
      </c>
      <c r="B2645">
        <v>100</v>
      </c>
      <c r="C2645" s="455">
        <v>7.4269999999999996</v>
      </c>
      <c r="D2645" s="637">
        <f t="shared" si="90"/>
        <v>17.494711111111112</v>
      </c>
      <c r="E2645" s="637">
        <f t="shared" si="91"/>
        <v>32.018622222222227</v>
      </c>
    </row>
    <row r="2646" spans="1:5">
      <c r="A2646">
        <v>42113</v>
      </c>
      <c r="B2646">
        <v>200</v>
      </c>
      <c r="C2646" s="455">
        <v>7.5229999999999997</v>
      </c>
      <c r="D2646" s="637">
        <f t="shared" si="90"/>
        <v>17.720844444444442</v>
      </c>
      <c r="E2646" s="637">
        <f t="shared" si="91"/>
        <v>32.432488888888891</v>
      </c>
    </row>
    <row r="2647" spans="1:5">
      <c r="A2647">
        <v>42113</v>
      </c>
      <c r="B2647">
        <v>300</v>
      </c>
      <c r="C2647" s="455">
        <v>7.7939999999999996</v>
      </c>
      <c r="D2647" s="637">
        <f t="shared" si="90"/>
        <v>18.359199999999998</v>
      </c>
      <c r="E2647" s="637">
        <f t="shared" si="91"/>
        <v>33.600800000000007</v>
      </c>
    </row>
    <row r="2648" spans="1:5">
      <c r="A2648">
        <v>42113</v>
      </c>
      <c r="B2648">
        <v>400</v>
      </c>
      <c r="C2648" s="455">
        <v>7.5030000000000001</v>
      </c>
      <c r="D2648" s="637">
        <f t="shared" si="90"/>
        <v>17.673733333333335</v>
      </c>
      <c r="E2648" s="637">
        <f t="shared" si="91"/>
        <v>32.346266666666679</v>
      </c>
    </row>
    <row r="2649" spans="1:5">
      <c r="A2649">
        <v>42113</v>
      </c>
      <c r="B2649">
        <v>500</v>
      </c>
      <c r="C2649" s="455">
        <v>7.5229999999999997</v>
      </c>
      <c r="D2649" s="637">
        <f t="shared" si="90"/>
        <v>17.720844444444442</v>
      </c>
      <c r="E2649" s="637">
        <f t="shared" si="91"/>
        <v>32.432488888888891</v>
      </c>
    </row>
    <row r="2650" spans="1:5">
      <c r="A2650">
        <v>42113</v>
      </c>
      <c r="B2650">
        <v>600</v>
      </c>
      <c r="C2650" s="455">
        <v>5.6920000000000002</v>
      </c>
      <c r="D2650" s="637">
        <f t="shared" si="90"/>
        <v>13.407822222222222</v>
      </c>
      <c r="E2650" s="637">
        <f t="shared" si="91"/>
        <v>24.53884444444445</v>
      </c>
    </row>
    <row r="2651" spans="1:5">
      <c r="A2651">
        <v>42113</v>
      </c>
      <c r="B2651">
        <v>700</v>
      </c>
      <c r="C2651" s="455">
        <v>0</v>
      </c>
      <c r="D2651" s="637">
        <f t="shared" si="90"/>
        <v>0</v>
      </c>
      <c r="E2651" s="637">
        <f t="shared" si="91"/>
        <v>0</v>
      </c>
    </row>
    <row r="2652" spans="1:5">
      <c r="A2652">
        <v>42113</v>
      </c>
      <c r="B2652">
        <v>800</v>
      </c>
      <c r="C2652" s="455">
        <v>0</v>
      </c>
      <c r="D2652" s="637">
        <f t="shared" si="90"/>
        <v>0</v>
      </c>
      <c r="E2652" s="637">
        <f t="shared" si="91"/>
        <v>0</v>
      </c>
    </row>
    <row r="2653" spans="1:5">
      <c r="A2653">
        <v>42113</v>
      </c>
      <c r="B2653">
        <v>900</v>
      </c>
      <c r="C2653" s="455">
        <v>0</v>
      </c>
      <c r="D2653" s="637">
        <f t="shared" si="90"/>
        <v>0</v>
      </c>
      <c r="E2653" s="637">
        <f t="shared" si="91"/>
        <v>0</v>
      </c>
    </row>
    <row r="2654" spans="1:5">
      <c r="A2654">
        <v>42113</v>
      </c>
      <c r="B2654">
        <v>1000</v>
      </c>
      <c r="C2654" s="455">
        <v>7.6999999999999999E-2</v>
      </c>
      <c r="D2654" s="637">
        <f t="shared" si="90"/>
        <v>0.18137777777777778</v>
      </c>
      <c r="E2654" s="637">
        <f t="shared" si="91"/>
        <v>0.33195555555555561</v>
      </c>
    </row>
    <row r="2655" spans="1:5">
      <c r="A2655">
        <v>42113</v>
      </c>
      <c r="B2655">
        <v>1100</v>
      </c>
      <c r="C2655" s="455">
        <v>0</v>
      </c>
      <c r="D2655" s="637">
        <f t="shared" si="90"/>
        <v>0</v>
      </c>
      <c r="E2655" s="637">
        <f t="shared" si="91"/>
        <v>0</v>
      </c>
    </row>
    <row r="2656" spans="1:5">
      <c r="A2656">
        <v>42113</v>
      </c>
      <c r="B2656">
        <v>1200</v>
      </c>
      <c r="C2656" s="455">
        <v>3.6999999999999998E-2</v>
      </c>
      <c r="D2656" s="637">
        <f t="shared" si="90"/>
        <v>8.7155555555555542E-2</v>
      </c>
      <c r="E2656" s="637">
        <f t="shared" si="91"/>
        <v>0.15951111111111113</v>
      </c>
    </row>
    <row r="2657" spans="1:5">
      <c r="A2657">
        <v>42113</v>
      </c>
      <c r="B2657">
        <v>1300</v>
      </c>
      <c r="C2657" s="455">
        <v>4.0000000000000001E-3</v>
      </c>
      <c r="D2657" s="637">
        <f t="shared" si="90"/>
        <v>9.4222222222222225E-3</v>
      </c>
      <c r="E2657" s="637">
        <f t="shared" si="91"/>
        <v>1.7244444444444448E-2</v>
      </c>
    </row>
    <row r="2658" spans="1:5">
      <c r="A2658">
        <v>42113</v>
      </c>
      <c r="B2658">
        <v>1400</v>
      </c>
      <c r="C2658" s="455">
        <v>0</v>
      </c>
      <c r="D2658" s="637">
        <f t="shared" si="90"/>
        <v>0</v>
      </c>
      <c r="E2658" s="637">
        <f t="shared" si="91"/>
        <v>0</v>
      </c>
    </row>
    <row r="2659" spans="1:5">
      <c r="A2659">
        <v>42113</v>
      </c>
      <c r="B2659">
        <v>1500</v>
      </c>
      <c r="C2659" s="455">
        <v>0</v>
      </c>
      <c r="D2659" s="637">
        <f t="shared" si="90"/>
        <v>0</v>
      </c>
      <c r="E2659" s="637">
        <f t="shared" si="91"/>
        <v>0</v>
      </c>
    </row>
    <row r="2660" spans="1:5">
      <c r="A2660">
        <v>42113</v>
      </c>
      <c r="B2660">
        <v>1600</v>
      </c>
      <c r="C2660" s="455">
        <v>0</v>
      </c>
      <c r="D2660" s="637">
        <f t="shared" si="90"/>
        <v>0</v>
      </c>
      <c r="E2660" s="637">
        <f t="shared" si="91"/>
        <v>0</v>
      </c>
    </row>
    <row r="2661" spans="1:5">
      <c r="A2661">
        <v>42113</v>
      </c>
      <c r="B2661">
        <v>1700</v>
      </c>
      <c r="C2661" s="455">
        <v>0</v>
      </c>
      <c r="D2661" s="637">
        <f t="shared" si="90"/>
        <v>0</v>
      </c>
      <c r="E2661" s="637">
        <f t="shared" si="91"/>
        <v>0</v>
      </c>
    </row>
    <row r="2662" spans="1:5">
      <c r="A2662">
        <v>42113</v>
      </c>
      <c r="B2662">
        <v>1800</v>
      </c>
      <c r="C2662" s="455">
        <v>0</v>
      </c>
      <c r="D2662" s="637">
        <f t="shared" si="90"/>
        <v>0</v>
      </c>
      <c r="E2662" s="637">
        <f t="shared" si="91"/>
        <v>0</v>
      </c>
    </row>
    <row r="2663" spans="1:5">
      <c r="A2663">
        <v>42113</v>
      </c>
      <c r="B2663">
        <v>1900</v>
      </c>
      <c r="C2663" s="455">
        <v>0.23699999999999999</v>
      </c>
      <c r="D2663" s="637">
        <f t="shared" si="90"/>
        <v>0.55826666666666658</v>
      </c>
      <c r="E2663" s="637">
        <f t="shared" si="91"/>
        <v>1.0217333333333334</v>
      </c>
    </row>
    <row r="2664" spans="1:5">
      <c r="A2664">
        <v>42113</v>
      </c>
      <c r="B2664">
        <v>2000</v>
      </c>
      <c r="C2664" s="455">
        <v>8.7370000000000001</v>
      </c>
      <c r="D2664" s="637">
        <f t="shared" si="90"/>
        <v>20.58048888888889</v>
      </c>
      <c r="E2664" s="637">
        <f t="shared" si="91"/>
        <v>37.666177777777783</v>
      </c>
    </row>
    <row r="2665" spans="1:5">
      <c r="A2665">
        <v>42113</v>
      </c>
      <c r="B2665">
        <v>2100</v>
      </c>
      <c r="C2665" s="455">
        <v>7.4420000000000002</v>
      </c>
      <c r="D2665" s="637">
        <f t="shared" si="90"/>
        <v>17.530044444444446</v>
      </c>
      <c r="E2665" s="637">
        <f t="shared" si="91"/>
        <v>32.083288888888902</v>
      </c>
    </row>
    <row r="2666" spans="1:5">
      <c r="A2666">
        <v>42113</v>
      </c>
      <c r="B2666">
        <v>2200</v>
      </c>
      <c r="C2666" s="455">
        <v>7.75</v>
      </c>
      <c r="D2666" s="637">
        <f t="shared" si="90"/>
        <v>18.255555555555556</v>
      </c>
      <c r="E2666" s="637">
        <f t="shared" si="91"/>
        <v>33.411111111111119</v>
      </c>
    </row>
    <row r="2667" spans="1:5">
      <c r="A2667">
        <v>42113</v>
      </c>
      <c r="B2667">
        <v>2300</v>
      </c>
      <c r="C2667" s="455">
        <v>7.3620000000000001</v>
      </c>
      <c r="D2667" s="637">
        <f t="shared" si="90"/>
        <v>17.3416</v>
      </c>
      <c r="E2667" s="637">
        <f t="shared" si="91"/>
        <v>31.738400000000009</v>
      </c>
    </row>
    <row r="2668" spans="1:5">
      <c r="A2668">
        <v>42113</v>
      </c>
      <c r="B2668">
        <v>2400</v>
      </c>
      <c r="C2668" s="455">
        <v>7.7240000000000002</v>
      </c>
      <c r="D2668" s="637">
        <f t="shared" si="90"/>
        <v>18.194311111111112</v>
      </c>
      <c r="E2668" s="637">
        <f t="shared" si="91"/>
        <v>33.299022222222234</v>
      </c>
    </row>
    <row r="2669" spans="1:5">
      <c r="A2669">
        <v>42213</v>
      </c>
      <c r="B2669">
        <v>100</v>
      </c>
      <c r="C2669" s="455">
        <v>7.6749999999999998</v>
      </c>
      <c r="D2669" s="637">
        <f t="shared" si="90"/>
        <v>18.078888888888891</v>
      </c>
      <c r="E2669" s="637">
        <f t="shared" si="91"/>
        <v>33.087777777777788</v>
      </c>
    </row>
    <row r="2670" spans="1:5">
      <c r="A2670">
        <v>42213</v>
      </c>
      <c r="B2670">
        <v>200</v>
      </c>
      <c r="C2670" s="455">
        <v>7.5880000000000001</v>
      </c>
      <c r="D2670" s="637">
        <f t="shared" si="90"/>
        <v>17.873955555555554</v>
      </c>
      <c r="E2670" s="637">
        <f t="shared" si="91"/>
        <v>32.712711111111119</v>
      </c>
    </row>
    <row r="2671" spans="1:5">
      <c r="A2671">
        <v>42213</v>
      </c>
      <c r="B2671">
        <v>300</v>
      </c>
      <c r="C2671" s="455">
        <v>7.6740000000000004</v>
      </c>
      <c r="D2671" s="637">
        <f t="shared" si="90"/>
        <v>18.076533333333334</v>
      </c>
      <c r="E2671" s="637">
        <f t="shared" si="91"/>
        <v>33.083466666666681</v>
      </c>
    </row>
    <row r="2672" spans="1:5">
      <c r="A2672">
        <v>42213</v>
      </c>
      <c r="B2672">
        <v>400</v>
      </c>
      <c r="C2672" s="455">
        <v>7.51</v>
      </c>
      <c r="D2672" s="637">
        <f t="shared" si="90"/>
        <v>17.690222222222221</v>
      </c>
      <c r="E2672" s="637">
        <f t="shared" si="91"/>
        <v>32.376444444444452</v>
      </c>
    </row>
    <row r="2673" spans="1:5">
      <c r="A2673">
        <v>42213</v>
      </c>
      <c r="B2673">
        <v>500</v>
      </c>
      <c r="C2673" s="455">
        <v>7.58</v>
      </c>
      <c r="D2673" s="637">
        <f t="shared" si="90"/>
        <v>17.855111111111114</v>
      </c>
      <c r="E2673" s="637">
        <f t="shared" si="91"/>
        <v>32.678222222222232</v>
      </c>
    </row>
    <row r="2674" spans="1:5">
      <c r="A2674">
        <v>42213</v>
      </c>
      <c r="B2674">
        <v>600</v>
      </c>
      <c r="C2674" s="455">
        <v>5.6559999999999997</v>
      </c>
      <c r="D2674" s="637">
        <f t="shared" si="90"/>
        <v>13.323022222222221</v>
      </c>
      <c r="E2674" s="637">
        <f t="shared" si="91"/>
        <v>24.38364444444445</v>
      </c>
    </row>
    <row r="2675" spans="1:5">
      <c r="A2675">
        <v>42213</v>
      </c>
      <c r="B2675">
        <v>700</v>
      </c>
      <c r="C2675" s="455">
        <v>0</v>
      </c>
      <c r="D2675" s="637">
        <f t="shared" si="90"/>
        <v>0</v>
      </c>
      <c r="E2675" s="637">
        <f t="shared" si="91"/>
        <v>0</v>
      </c>
    </row>
    <row r="2676" spans="1:5">
      <c r="A2676">
        <v>42213</v>
      </c>
      <c r="B2676">
        <v>800</v>
      </c>
      <c r="C2676" s="455">
        <v>0</v>
      </c>
      <c r="D2676" s="637">
        <f t="shared" si="90"/>
        <v>0</v>
      </c>
      <c r="E2676" s="637">
        <f t="shared" si="91"/>
        <v>0</v>
      </c>
    </row>
    <row r="2677" spans="1:5">
      <c r="A2677">
        <v>42213</v>
      </c>
      <c r="B2677">
        <v>900</v>
      </c>
      <c r="C2677" s="455">
        <v>0</v>
      </c>
      <c r="D2677" s="637">
        <f t="shared" si="90"/>
        <v>0</v>
      </c>
      <c r="E2677" s="637">
        <f t="shared" si="91"/>
        <v>0</v>
      </c>
    </row>
    <row r="2678" spans="1:5">
      <c r="A2678">
        <v>42213</v>
      </c>
      <c r="B2678">
        <v>1000</v>
      </c>
      <c r="C2678" s="455">
        <v>0</v>
      </c>
      <c r="D2678" s="637">
        <f t="shared" ref="D2678:D2741" si="92">(C2678/(MAX($C$2165:$C$2884)))*$W$8</f>
        <v>0</v>
      </c>
      <c r="E2678" s="637">
        <f t="shared" ref="E2678:E2741" si="93">(C2678/(MAX($C$2165:$C$2884)))*$P$8</f>
        <v>0</v>
      </c>
    </row>
    <row r="2679" spans="1:5">
      <c r="A2679">
        <v>42213</v>
      </c>
      <c r="B2679">
        <v>1100</v>
      </c>
      <c r="C2679" s="455">
        <v>0</v>
      </c>
      <c r="D2679" s="637">
        <f t="shared" si="92"/>
        <v>0</v>
      </c>
      <c r="E2679" s="637">
        <f t="shared" si="93"/>
        <v>0</v>
      </c>
    </row>
    <row r="2680" spans="1:5">
      <c r="A2680">
        <v>42213</v>
      </c>
      <c r="B2680">
        <v>1200</v>
      </c>
      <c r="C2680" s="455">
        <v>0</v>
      </c>
      <c r="D2680" s="637">
        <f t="shared" si="92"/>
        <v>0</v>
      </c>
      <c r="E2680" s="637">
        <f t="shared" si="93"/>
        <v>0</v>
      </c>
    </row>
    <row r="2681" spans="1:5">
      <c r="A2681">
        <v>42213</v>
      </c>
      <c r="B2681">
        <v>1300</v>
      </c>
      <c r="C2681" s="455">
        <v>0</v>
      </c>
      <c r="D2681" s="637">
        <f t="shared" si="92"/>
        <v>0</v>
      </c>
      <c r="E2681" s="637">
        <f t="shared" si="93"/>
        <v>0</v>
      </c>
    </row>
    <row r="2682" spans="1:5">
      <c r="A2682">
        <v>42213</v>
      </c>
      <c r="B2682">
        <v>1400</v>
      </c>
      <c r="C2682" s="455">
        <v>0</v>
      </c>
      <c r="D2682" s="637">
        <f t="shared" si="92"/>
        <v>0</v>
      </c>
      <c r="E2682" s="637">
        <f t="shared" si="93"/>
        <v>0</v>
      </c>
    </row>
    <row r="2683" spans="1:5">
      <c r="A2683">
        <v>42213</v>
      </c>
      <c r="B2683">
        <v>1500</v>
      </c>
      <c r="C2683" s="455">
        <v>0</v>
      </c>
      <c r="D2683" s="637">
        <f t="shared" si="92"/>
        <v>0</v>
      </c>
      <c r="E2683" s="637">
        <f t="shared" si="93"/>
        <v>0</v>
      </c>
    </row>
    <row r="2684" spans="1:5">
      <c r="A2684">
        <v>42213</v>
      </c>
      <c r="B2684">
        <v>1600</v>
      </c>
      <c r="C2684" s="455">
        <v>0</v>
      </c>
      <c r="D2684" s="637">
        <f t="shared" si="92"/>
        <v>0</v>
      </c>
      <c r="E2684" s="637">
        <f t="shared" si="93"/>
        <v>0</v>
      </c>
    </row>
    <row r="2685" spans="1:5">
      <c r="A2685">
        <v>42213</v>
      </c>
      <c r="B2685">
        <v>1700</v>
      </c>
      <c r="C2685" s="455">
        <v>0</v>
      </c>
      <c r="D2685" s="637">
        <f t="shared" si="92"/>
        <v>0</v>
      </c>
      <c r="E2685" s="637">
        <f t="shared" si="93"/>
        <v>0</v>
      </c>
    </row>
    <row r="2686" spans="1:5">
      <c r="A2686">
        <v>42213</v>
      </c>
      <c r="B2686">
        <v>1800</v>
      </c>
      <c r="C2686" s="455">
        <v>0</v>
      </c>
      <c r="D2686" s="637">
        <f t="shared" si="92"/>
        <v>0</v>
      </c>
      <c r="E2686" s="637">
        <f t="shared" si="93"/>
        <v>0</v>
      </c>
    </row>
    <row r="2687" spans="1:5">
      <c r="A2687">
        <v>42213</v>
      </c>
      <c r="B2687">
        <v>1900</v>
      </c>
      <c r="C2687" s="455">
        <v>0.23300000000000001</v>
      </c>
      <c r="D2687" s="637">
        <f t="shared" si="92"/>
        <v>0.54884444444444447</v>
      </c>
      <c r="E2687" s="637">
        <f t="shared" si="93"/>
        <v>1.0044888888888892</v>
      </c>
    </row>
    <row r="2688" spans="1:5">
      <c r="A2688">
        <v>42213</v>
      </c>
      <c r="B2688">
        <v>2000</v>
      </c>
      <c r="C2688" s="455">
        <v>9.4090000000000007</v>
      </c>
      <c r="D2688" s="637">
        <f t="shared" si="92"/>
        <v>22.163422222222223</v>
      </c>
      <c r="E2688" s="637">
        <f t="shared" si="93"/>
        <v>40.56324444444445</v>
      </c>
    </row>
    <row r="2689" spans="1:5">
      <c r="A2689">
        <v>42213</v>
      </c>
      <c r="B2689">
        <v>2100</v>
      </c>
      <c r="C2689" s="455">
        <v>7.133</v>
      </c>
      <c r="D2689" s="637">
        <f t="shared" si="92"/>
        <v>16.802177777777775</v>
      </c>
      <c r="E2689" s="637">
        <f t="shared" si="93"/>
        <v>30.75115555555556</v>
      </c>
    </row>
    <row r="2690" spans="1:5">
      <c r="A2690">
        <v>42213</v>
      </c>
      <c r="B2690">
        <v>2200</v>
      </c>
      <c r="C2690" s="455">
        <v>6.9859999999999998</v>
      </c>
      <c r="D2690" s="637">
        <f t="shared" si="92"/>
        <v>16.455911111111114</v>
      </c>
      <c r="E2690" s="637">
        <f t="shared" si="93"/>
        <v>30.117422222222231</v>
      </c>
    </row>
    <row r="2691" spans="1:5">
      <c r="A2691">
        <v>42213</v>
      </c>
      <c r="B2691">
        <v>2300</v>
      </c>
      <c r="C2691" s="455">
        <v>7.21</v>
      </c>
      <c r="D2691" s="637">
        <f t="shared" si="92"/>
        <v>16.983555555555554</v>
      </c>
      <c r="E2691" s="637">
        <f t="shared" si="93"/>
        <v>31.083111111111116</v>
      </c>
    </row>
    <row r="2692" spans="1:5">
      <c r="A2692">
        <v>42213</v>
      </c>
      <c r="B2692">
        <v>2400</v>
      </c>
      <c r="C2692" s="455">
        <v>7.1379999999999999</v>
      </c>
      <c r="D2692" s="637">
        <f t="shared" si="92"/>
        <v>16.813955555555555</v>
      </c>
      <c r="E2692" s="637">
        <f t="shared" si="93"/>
        <v>30.772711111111118</v>
      </c>
    </row>
    <row r="2693" spans="1:5">
      <c r="A2693">
        <v>42313</v>
      </c>
      <c r="B2693">
        <v>100</v>
      </c>
      <c r="C2693" s="455">
        <v>7.1440000000000001</v>
      </c>
      <c r="D2693" s="637">
        <f t="shared" si="92"/>
        <v>16.828088888888889</v>
      </c>
      <c r="E2693" s="637">
        <f t="shared" si="93"/>
        <v>30.798577777777787</v>
      </c>
    </row>
    <row r="2694" spans="1:5">
      <c r="A2694">
        <v>42313</v>
      </c>
      <c r="B2694">
        <v>200</v>
      </c>
      <c r="C2694" s="455">
        <v>7.8879999999999999</v>
      </c>
      <c r="D2694" s="637">
        <f t="shared" si="92"/>
        <v>18.580622222222221</v>
      </c>
      <c r="E2694" s="637">
        <f t="shared" si="93"/>
        <v>34.006044444444449</v>
      </c>
    </row>
    <row r="2695" spans="1:5">
      <c r="A2695">
        <v>42313</v>
      </c>
      <c r="B2695">
        <v>300</v>
      </c>
      <c r="C2695" s="455">
        <v>7.4379999999999997</v>
      </c>
      <c r="D2695" s="637">
        <f t="shared" si="92"/>
        <v>17.520622222222222</v>
      </c>
      <c r="E2695" s="637">
        <f t="shared" si="93"/>
        <v>32.066044444444451</v>
      </c>
    </row>
    <row r="2696" spans="1:5">
      <c r="A2696">
        <v>42313</v>
      </c>
      <c r="B2696">
        <v>400</v>
      </c>
      <c r="C2696" s="455">
        <v>7.8680000000000003</v>
      </c>
      <c r="D2696" s="637">
        <f t="shared" si="92"/>
        <v>18.533511111111114</v>
      </c>
      <c r="E2696" s="637">
        <f t="shared" si="93"/>
        <v>33.919822222222237</v>
      </c>
    </row>
    <row r="2697" spans="1:5">
      <c r="A2697">
        <v>42313</v>
      </c>
      <c r="B2697">
        <v>500</v>
      </c>
      <c r="C2697" s="455">
        <v>7.4969999999999999</v>
      </c>
      <c r="D2697" s="637">
        <f t="shared" si="92"/>
        <v>17.659600000000001</v>
      </c>
      <c r="E2697" s="637">
        <f t="shared" si="93"/>
        <v>32.320400000000006</v>
      </c>
    </row>
    <row r="2698" spans="1:5">
      <c r="A2698">
        <v>42313</v>
      </c>
      <c r="B2698">
        <v>600</v>
      </c>
      <c r="C2698" s="455">
        <v>5.2060000000000004</v>
      </c>
      <c r="D2698" s="637">
        <f t="shared" si="92"/>
        <v>12.263022222222222</v>
      </c>
      <c r="E2698" s="637">
        <f t="shared" si="93"/>
        <v>22.443644444444452</v>
      </c>
    </row>
    <row r="2699" spans="1:5">
      <c r="A2699">
        <v>42313</v>
      </c>
      <c r="B2699">
        <v>700</v>
      </c>
      <c r="C2699" s="455">
        <v>1E-3</v>
      </c>
      <c r="D2699" s="637">
        <f t="shared" si="92"/>
        <v>2.3555555555555556E-3</v>
      </c>
      <c r="E2699" s="637">
        <f t="shared" si="93"/>
        <v>4.3111111111111119E-3</v>
      </c>
    </row>
    <row r="2700" spans="1:5">
      <c r="A2700">
        <v>42313</v>
      </c>
      <c r="B2700">
        <v>800</v>
      </c>
      <c r="C2700" s="455">
        <v>0</v>
      </c>
      <c r="D2700" s="637">
        <f t="shared" si="92"/>
        <v>0</v>
      </c>
      <c r="E2700" s="637">
        <f t="shared" si="93"/>
        <v>0</v>
      </c>
    </row>
    <row r="2701" spans="1:5">
      <c r="A2701">
        <v>42313</v>
      </c>
      <c r="B2701">
        <v>900</v>
      </c>
      <c r="C2701" s="455">
        <v>0</v>
      </c>
      <c r="D2701" s="637">
        <f t="shared" si="92"/>
        <v>0</v>
      </c>
      <c r="E2701" s="637">
        <f t="shared" si="93"/>
        <v>0</v>
      </c>
    </row>
    <row r="2702" spans="1:5">
      <c r="A2702">
        <v>42313</v>
      </c>
      <c r="B2702">
        <v>1000</v>
      </c>
      <c r="C2702" s="455">
        <v>0</v>
      </c>
      <c r="D2702" s="637">
        <f t="shared" si="92"/>
        <v>0</v>
      </c>
      <c r="E2702" s="637">
        <f t="shared" si="93"/>
        <v>0</v>
      </c>
    </row>
    <row r="2703" spans="1:5">
      <c r="A2703">
        <v>42313</v>
      </c>
      <c r="B2703">
        <v>1100</v>
      </c>
      <c r="C2703" s="455">
        <v>0</v>
      </c>
      <c r="D2703" s="637">
        <f t="shared" si="92"/>
        <v>0</v>
      </c>
      <c r="E2703" s="637">
        <f t="shared" si="93"/>
        <v>0</v>
      </c>
    </row>
    <row r="2704" spans="1:5">
      <c r="A2704">
        <v>42313</v>
      </c>
      <c r="B2704">
        <v>1200</v>
      </c>
      <c r="C2704" s="455">
        <v>0</v>
      </c>
      <c r="D2704" s="637">
        <f t="shared" si="92"/>
        <v>0</v>
      </c>
      <c r="E2704" s="637">
        <f t="shared" si="93"/>
        <v>0</v>
      </c>
    </row>
    <row r="2705" spans="1:5">
      <c r="A2705">
        <v>42313</v>
      </c>
      <c r="B2705">
        <v>1300</v>
      </c>
      <c r="C2705" s="455">
        <v>0</v>
      </c>
      <c r="D2705" s="637">
        <f t="shared" si="92"/>
        <v>0</v>
      </c>
      <c r="E2705" s="637">
        <f t="shared" si="93"/>
        <v>0</v>
      </c>
    </row>
    <row r="2706" spans="1:5">
      <c r="A2706">
        <v>42313</v>
      </c>
      <c r="B2706">
        <v>1400</v>
      </c>
      <c r="C2706" s="455">
        <v>0</v>
      </c>
      <c r="D2706" s="637">
        <f t="shared" si="92"/>
        <v>0</v>
      </c>
      <c r="E2706" s="637">
        <f t="shared" si="93"/>
        <v>0</v>
      </c>
    </row>
    <row r="2707" spans="1:5">
      <c r="A2707">
        <v>42313</v>
      </c>
      <c r="B2707">
        <v>1500</v>
      </c>
      <c r="C2707" s="455">
        <v>0</v>
      </c>
      <c r="D2707" s="637">
        <f t="shared" si="92"/>
        <v>0</v>
      </c>
      <c r="E2707" s="637">
        <f t="shared" si="93"/>
        <v>0</v>
      </c>
    </row>
    <row r="2708" spans="1:5">
      <c r="A2708">
        <v>42313</v>
      </c>
      <c r="B2708">
        <v>1600</v>
      </c>
      <c r="C2708" s="455">
        <v>0</v>
      </c>
      <c r="D2708" s="637">
        <f t="shared" si="92"/>
        <v>0</v>
      </c>
      <c r="E2708" s="637">
        <f t="shared" si="93"/>
        <v>0</v>
      </c>
    </row>
    <row r="2709" spans="1:5">
      <c r="A2709">
        <v>42313</v>
      </c>
      <c r="B2709">
        <v>1700</v>
      </c>
      <c r="C2709" s="455">
        <v>0</v>
      </c>
      <c r="D2709" s="637">
        <f t="shared" si="92"/>
        <v>0</v>
      </c>
      <c r="E2709" s="637">
        <f t="shared" si="93"/>
        <v>0</v>
      </c>
    </row>
    <row r="2710" spans="1:5">
      <c r="A2710">
        <v>42313</v>
      </c>
      <c r="B2710">
        <v>1800</v>
      </c>
      <c r="C2710" s="455">
        <v>0</v>
      </c>
      <c r="D2710" s="637">
        <f t="shared" si="92"/>
        <v>0</v>
      </c>
      <c r="E2710" s="637">
        <f t="shared" si="93"/>
        <v>0</v>
      </c>
    </row>
    <row r="2711" spans="1:5">
      <c r="A2711">
        <v>42313</v>
      </c>
      <c r="B2711">
        <v>1900</v>
      </c>
      <c r="C2711" s="455">
        <v>0.57599999999999996</v>
      </c>
      <c r="D2711" s="637">
        <f t="shared" si="92"/>
        <v>1.3567999999999998</v>
      </c>
      <c r="E2711" s="637">
        <f t="shared" si="93"/>
        <v>2.4832000000000005</v>
      </c>
    </row>
    <row r="2712" spans="1:5">
      <c r="A2712">
        <v>42313</v>
      </c>
      <c r="B2712">
        <v>2000</v>
      </c>
      <c r="C2712" s="455">
        <v>8.9290000000000003</v>
      </c>
      <c r="D2712" s="637">
        <f t="shared" si="92"/>
        <v>21.032755555555553</v>
      </c>
      <c r="E2712" s="637">
        <f t="shared" si="93"/>
        <v>38.493911111111117</v>
      </c>
    </row>
    <row r="2713" spans="1:5">
      <c r="A2713">
        <v>42313</v>
      </c>
      <c r="B2713">
        <v>2100</v>
      </c>
      <c r="C2713" s="455">
        <v>6.984</v>
      </c>
      <c r="D2713" s="637">
        <f t="shared" si="92"/>
        <v>16.4512</v>
      </c>
      <c r="E2713" s="637">
        <f t="shared" si="93"/>
        <v>30.108800000000006</v>
      </c>
    </row>
    <row r="2714" spans="1:5">
      <c r="A2714">
        <v>42313</v>
      </c>
      <c r="B2714">
        <v>2200</v>
      </c>
      <c r="C2714" s="455">
        <v>6.9189999999999996</v>
      </c>
      <c r="D2714" s="637">
        <f t="shared" si="92"/>
        <v>16.298088888888891</v>
      </c>
      <c r="E2714" s="637">
        <f t="shared" si="93"/>
        <v>29.828577777777785</v>
      </c>
    </row>
    <row r="2715" spans="1:5">
      <c r="A2715">
        <v>42313</v>
      </c>
      <c r="B2715">
        <v>2300</v>
      </c>
      <c r="C2715" s="455">
        <v>7.0720000000000001</v>
      </c>
      <c r="D2715" s="637">
        <f t="shared" si="92"/>
        <v>16.658488888888886</v>
      </c>
      <c r="E2715" s="637">
        <f t="shared" si="93"/>
        <v>30.488177777777782</v>
      </c>
    </row>
    <row r="2716" spans="1:5">
      <c r="A2716">
        <v>42313</v>
      </c>
      <c r="B2716">
        <v>2400</v>
      </c>
      <c r="C2716" s="455">
        <v>6.9109999999999996</v>
      </c>
      <c r="D2716" s="637">
        <f t="shared" si="92"/>
        <v>16.279244444444444</v>
      </c>
      <c r="E2716" s="637">
        <f t="shared" si="93"/>
        <v>29.794088888888894</v>
      </c>
    </row>
    <row r="2717" spans="1:5">
      <c r="A2717">
        <v>42413</v>
      </c>
      <c r="B2717">
        <v>100</v>
      </c>
      <c r="C2717" s="455">
        <v>6.9930000000000003</v>
      </c>
      <c r="D2717" s="637">
        <f t="shared" si="92"/>
        <v>16.4724</v>
      </c>
      <c r="E2717" s="637">
        <f t="shared" si="93"/>
        <v>30.147600000000008</v>
      </c>
    </row>
    <row r="2718" spans="1:5">
      <c r="A2718">
        <v>42413</v>
      </c>
      <c r="B2718">
        <v>200</v>
      </c>
      <c r="C2718" s="455">
        <v>6.9290000000000003</v>
      </c>
      <c r="D2718" s="637">
        <f t="shared" si="92"/>
        <v>16.321644444444445</v>
      </c>
      <c r="E2718" s="637">
        <f t="shared" si="93"/>
        <v>29.871688888888897</v>
      </c>
    </row>
    <row r="2719" spans="1:5">
      <c r="A2719">
        <v>42413</v>
      </c>
      <c r="B2719">
        <v>300</v>
      </c>
      <c r="C2719" s="455">
        <v>7.1660000000000004</v>
      </c>
      <c r="D2719" s="637">
        <f t="shared" si="92"/>
        <v>16.879911111111113</v>
      </c>
      <c r="E2719" s="637">
        <f t="shared" si="93"/>
        <v>30.893422222222235</v>
      </c>
    </row>
    <row r="2720" spans="1:5">
      <c r="A2720">
        <v>42413</v>
      </c>
      <c r="B2720">
        <v>400</v>
      </c>
      <c r="C2720" s="455">
        <v>7.0759999999999996</v>
      </c>
      <c r="D2720" s="637">
        <f t="shared" si="92"/>
        <v>16.66791111111111</v>
      </c>
      <c r="E2720" s="637">
        <f t="shared" si="93"/>
        <v>30.505422222222226</v>
      </c>
    </row>
    <row r="2721" spans="1:5">
      <c r="A2721">
        <v>42413</v>
      </c>
      <c r="B2721">
        <v>500</v>
      </c>
      <c r="C2721" s="455">
        <v>6.9880000000000004</v>
      </c>
      <c r="D2721" s="637">
        <f t="shared" si="92"/>
        <v>16.460622222222224</v>
      </c>
      <c r="E2721" s="637">
        <f t="shared" si="93"/>
        <v>30.126044444444457</v>
      </c>
    </row>
    <row r="2722" spans="1:5">
      <c r="A2722">
        <v>42413</v>
      </c>
      <c r="B2722">
        <v>600</v>
      </c>
      <c r="C2722" s="455">
        <v>8.8379999999999992</v>
      </c>
      <c r="D2722" s="637">
        <f t="shared" si="92"/>
        <v>20.8184</v>
      </c>
      <c r="E2722" s="637">
        <f t="shared" si="93"/>
        <v>38.101600000000005</v>
      </c>
    </row>
    <row r="2723" spans="1:5">
      <c r="A2723">
        <v>42413</v>
      </c>
      <c r="B2723">
        <v>700</v>
      </c>
      <c r="C2723" s="455">
        <v>4.202</v>
      </c>
      <c r="D2723" s="637">
        <f t="shared" si="92"/>
        <v>9.8980444444444444</v>
      </c>
      <c r="E2723" s="637">
        <f t="shared" si="93"/>
        <v>18.115288888888895</v>
      </c>
    </row>
    <row r="2724" spans="1:5">
      <c r="A2724">
        <v>42413</v>
      </c>
      <c r="B2724">
        <v>800</v>
      </c>
      <c r="C2724" s="455">
        <v>0.63400000000000001</v>
      </c>
      <c r="D2724" s="637">
        <f t="shared" si="92"/>
        <v>1.4934222222222222</v>
      </c>
      <c r="E2724" s="637">
        <f t="shared" si="93"/>
        <v>2.7332444444444453</v>
      </c>
    </row>
    <row r="2725" spans="1:5">
      <c r="A2725">
        <v>42413</v>
      </c>
      <c r="B2725">
        <v>900</v>
      </c>
      <c r="C2725" s="455">
        <v>0</v>
      </c>
      <c r="D2725" s="637">
        <f t="shared" si="92"/>
        <v>0</v>
      </c>
      <c r="E2725" s="637">
        <f t="shared" si="93"/>
        <v>0</v>
      </c>
    </row>
    <row r="2726" spans="1:5">
      <c r="A2726">
        <v>42413</v>
      </c>
      <c r="B2726">
        <v>1000</v>
      </c>
      <c r="C2726" s="455">
        <v>0</v>
      </c>
      <c r="D2726" s="637">
        <f t="shared" si="92"/>
        <v>0</v>
      </c>
      <c r="E2726" s="637">
        <f t="shared" si="93"/>
        <v>0</v>
      </c>
    </row>
    <row r="2727" spans="1:5">
      <c r="A2727">
        <v>42413</v>
      </c>
      <c r="B2727">
        <v>1100</v>
      </c>
      <c r="C2727" s="455">
        <v>0</v>
      </c>
      <c r="D2727" s="637">
        <f t="shared" si="92"/>
        <v>0</v>
      </c>
      <c r="E2727" s="637">
        <f t="shared" si="93"/>
        <v>0</v>
      </c>
    </row>
    <row r="2728" spans="1:5">
      <c r="A2728">
        <v>42413</v>
      </c>
      <c r="B2728">
        <v>1200</v>
      </c>
      <c r="C2728" s="455">
        <v>0</v>
      </c>
      <c r="D2728" s="637">
        <f t="shared" si="92"/>
        <v>0</v>
      </c>
      <c r="E2728" s="637">
        <f t="shared" si="93"/>
        <v>0</v>
      </c>
    </row>
    <row r="2729" spans="1:5">
      <c r="A2729">
        <v>42413</v>
      </c>
      <c r="B2729">
        <v>1300</v>
      </c>
      <c r="C2729" s="455">
        <v>0</v>
      </c>
      <c r="D2729" s="637">
        <f t="shared" si="92"/>
        <v>0</v>
      </c>
      <c r="E2729" s="637">
        <f t="shared" si="93"/>
        <v>0</v>
      </c>
    </row>
    <row r="2730" spans="1:5">
      <c r="A2730">
        <v>42413</v>
      </c>
      <c r="B2730">
        <v>1400</v>
      </c>
      <c r="C2730" s="455">
        <v>0</v>
      </c>
      <c r="D2730" s="637">
        <f t="shared" si="92"/>
        <v>0</v>
      </c>
      <c r="E2730" s="637">
        <f t="shared" si="93"/>
        <v>0</v>
      </c>
    </row>
    <row r="2731" spans="1:5">
      <c r="A2731">
        <v>42413</v>
      </c>
      <c r="B2731">
        <v>1500</v>
      </c>
      <c r="C2731" s="455">
        <v>0</v>
      </c>
      <c r="D2731" s="637">
        <f t="shared" si="92"/>
        <v>0</v>
      </c>
      <c r="E2731" s="637">
        <f t="shared" si="93"/>
        <v>0</v>
      </c>
    </row>
    <row r="2732" spans="1:5">
      <c r="A2732">
        <v>42413</v>
      </c>
      <c r="B2732">
        <v>1600</v>
      </c>
      <c r="C2732" s="455">
        <v>0</v>
      </c>
      <c r="D2732" s="637">
        <f t="shared" si="92"/>
        <v>0</v>
      </c>
      <c r="E2732" s="637">
        <f t="shared" si="93"/>
        <v>0</v>
      </c>
    </row>
    <row r="2733" spans="1:5">
      <c r="A2733">
        <v>42413</v>
      </c>
      <c r="B2733">
        <v>1700</v>
      </c>
      <c r="C2733" s="455">
        <v>0</v>
      </c>
      <c r="D2733" s="637">
        <f t="shared" si="92"/>
        <v>0</v>
      </c>
      <c r="E2733" s="637">
        <f t="shared" si="93"/>
        <v>0</v>
      </c>
    </row>
    <row r="2734" spans="1:5">
      <c r="A2734">
        <v>42413</v>
      </c>
      <c r="B2734">
        <v>1800</v>
      </c>
      <c r="C2734" s="455">
        <v>1E-3</v>
      </c>
      <c r="D2734" s="637">
        <f t="shared" si="92"/>
        <v>2.3555555555555556E-3</v>
      </c>
      <c r="E2734" s="637">
        <f t="shared" si="93"/>
        <v>4.3111111111111119E-3</v>
      </c>
    </row>
    <row r="2735" spans="1:5">
      <c r="A2735">
        <v>42413</v>
      </c>
      <c r="B2735">
        <v>1900</v>
      </c>
      <c r="C2735" s="455">
        <v>2.4809999999999999</v>
      </c>
      <c r="D2735" s="637">
        <f t="shared" si="92"/>
        <v>5.8441333333333327</v>
      </c>
      <c r="E2735" s="637">
        <f t="shared" si="93"/>
        <v>10.695866666666669</v>
      </c>
    </row>
    <row r="2736" spans="1:5">
      <c r="A2736">
        <v>42413</v>
      </c>
      <c r="B2736">
        <v>2000</v>
      </c>
      <c r="C2736" s="455">
        <v>8.9960000000000004</v>
      </c>
      <c r="D2736" s="637">
        <f t="shared" si="92"/>
        <v>21.190577777777776</v>
      </c>
      <c r="E2736" s="637">
        <f t="shared" si="93"/>
        <v>38.782755555555561</v>
      </c>
    </row>
    <row r="2737" spans="1:5">
      <c r="A2737">
        <v>42413</v>
      </c>
      <c r="B2737">
        <v>2100</v>
      </c>
      <c r="C2737" s="455">
        <v>7.6449999999999996</v>
      </c>
      <c r="D2737" s="637">
        <f t="shared" si="92"/>
        <v>18.008222222222223</v>
      </c>
      <c r="E2737" s="637">
        <f t="shared" si="93"/>
        <v>32.958444444444453</v>
      </c>
    </row>
    <row r="2738" spans="1:5">
      <c r="A2738">
        <v>42413</v>
      </c>
      <c r="B2738">
        <v>2200</v>
      </c>
      <c r="C2738" s="455">
        <v>7.5730000000000004</v>
      </c>
      <c r="D2738" s="637">
        <f t="shared" si="92"/>
        <v>17.838622222222224</v>
      </c>
      <c r="E2738" s="637">
        <f t="shared" si="93"/>
        <v>32.648044444444459</v>
      </c>
    </row>
    <row r="2739" spans="1:5">
      <c r="A2739">
        <v>42413</v>
      </c>
      <c r="B2739">
        <v>2300</v>
      </c>
      <c r="C2739" s="455">
        <v>7.6689999999999996</v>
      </c>
      <c r="D2739" s="637">
        <f t="shared" si="92"/>
        <v>18.064755555555557</v>
      </c>
      <c r="E2739" s="637">
        <f t="shared" si="93"/>
        <v>33.061911111111115</v>
      </c>
    </row>
    <row r="2740" spans="1:5">
      <c r="A2740">
        <v>42413</v>
      </c>
      <c r="B2740">
        <v>2400</v>
      </c>
      <c r="C2740" s="455">
        <v>7.7210000000000001</v>
      </c>
      <c r="D2740" s="637">
        <f t="shared" si="92"/>
        <v>18.187244444444445</v>
      </c>
      <c r="E2740" s="637">
        <f t="shared" si="93"/>
        <v>33.286088888888898</v>
      </c>
    </row>
    <row r="2741" spans="1:5">
      <c r="A2741">
        <v>42513</v>
      </c>
      <c r="B2741">
        <v>100</v>
      </c>
      <c r="C2741" s="455">
        <v>7.6539999999999999</v>
      </c>
      <c r="D2741" s="637">
        <f t="shared" si="92"/>
        <v>18.029422222222223</v>
      </c>
      <c r="E2741" s="637">
        <f t="shared" si="93"/>
        <v>32.997244444444455</v>
      </c>
    </row>
    <row r="2742" spans="1:5">
      <c r="A2742">
        <v>42513</v>
      </c>
      <c r="B2742">
        <v>200</v>
      </c>
      <c r="C2742" s="455">
        <v>7.7329999999999997</v>
      </c>
      <c r="D2742" s="637">
        <f t="shared" ref="D2742:D2805" si="94">(C2742/(MAX($C$2165:$C$2884)))*$W$8</f>
        <v>18.215511111111109</v>
      </c>
      <c r="E2742" s="637">
        <f t="shared" ref="E2742:E2805" si="95">(C2742/(MAX($C$2165:$C$2884)))*$P$8</f>
        <v>33.337822222222229</v>
      </c>
    </row>
    <row r="2743" spans="1:5">
      <c r="A2743">
        <v>42513</v>
      </c>
      <c r="B2743">
        <v>300</v>
      </c>
      <c r="C2743" s="455">
        <v>7.7329999999999997</v>
      </c>
      <c r="D2743" s="637">
        <f t="shared" si="94"/>
        <v>18.215511111111109</v>
      </c>
      <c r="E2743" s="637">
        <f t="shared" si="95"/>
        <v>33.337822222222229</v>
      </c>
    </row>
    <row r="2744" spans="1:5">
      <c r="A2744">
        <v>42513</v>
      </c>
      <c r="B2744">
        <v>400</v>
      </c>
      <c r="C2744" s="455">
        <v>7.6</v>
      </c>
      <c r="D2744" s="637">
        <f t="shared" si="94"/>
        <v>17.902222222222221</v>
      </c>
      <c r="E2744" s="637">
        <f t="shared" si="95"/>
        <v>32.76444444444445</v>
      </c>
    </row>
    <row r="2745" spans="1:5">
      <c r="A2745">
        <v>42513</v>
      </c>
      <c r="B2745">
        <v>500</v>
      </c>
      <c r="C2745" s="455">
        <v>7.508</v>
      </c>
      <c r="D2745" s="637">
        <f t="shared" si="94"/>
        <v>17.685511111111111</v>
      </c>
      <c r="E2745" s="637">
        <f t="shared" si="95"/>
        <v>32.36782222222223</v>
      </c>
    </row>
    <row r="2746" spans="1:5">
      <c r="A2746">
        <v>42513</v>
      </c>
      <c r="B2746">
        <v>600</v>
      </c>
      <c r="C2746" s="455">
        <v>4.8460000000000001</v>
      </c>
      <c r="D2746" s="637">
        <f t="shared" si="94"/>
        <v>11.415022222222222</v>
      </c>
      <c r="E2746" s="637">
        <f t="shared" si="95"/>
        <v>20.891644444444449</v>
      </c>
    </row>
    <row r="2747" spans="1:5">
      <c r="A2747">
        <v>42513</v>
      </c>
      <c r="B2747">
        <v>700</v>
      </c>
      <c r="C2747" s="455">
        <v>0</v>
      </c>
      <c r="D2747" s="637">
        <f t="shared" si="94"/>
        <v>0</v>
      </c>
      <c r="E2747" s="637">
        <f t="shared" si="95"/>
        <v>0</v>
      </c>
    </row>
    <row r="2748" spans="1:5">
      <c r="A2748">
        <v>42513</v>
      </c>
      <c r="B2748">
        <v>800</v>
      </c>
      <c r="C2748" s="455">
        <v>0</v>
      </c>
      <c r="D2748" s="637">
        <f t="shared" si="94"/>
        <v>0</v>
      </c>
      <c r="E2748" s="637">
        <f t="shared" si="95"/>
        <v>0</v>
      </c>
    </row>
    <row r="2749" spans="1:5">
      <c r="A2749">
        <v>42513</v>
      </c>
      <c r="B2749">
        <v>900</v>
      </c>
      <c r="C2749" s="455">
        <v>0</v>
      </c>
      <c r="D2749" s="637">
        <f t="shared" si="94"/>
        <v>0</v>
      </c>
      <c r="E2749" s="637">
        <f t="shared" si="95"/>
        <v>0</v>
      </c>
    </row>
    <row r="2750" spans="1:5">
      <c r="A2750">
        <v>42513</v>
      </c>
      <c r="B2750">
        <v>1000</v>
      </c>
      <c r="C2750" s="455">
        <v>0</v>
      </c>
      <c r="D2750" s="637">
        <f t="shared" si="94"/>
        <v>0</v>
      </c>
      <c r="E2750" s="637">
        <f t="shared" si="95"/>
        <v>0</v>
      </c>
    </row>
    <row r="2751" spans="1:5">
      <c r="A2751">
        <v>42513</v>
      </c>
      <c r="B2751">
        <v>1100</v>
      </c>
      <c r="C2751" s="455">
        <v>0</v>
      </c>
      <c r="D2751" s="637">
        <f t="shared" si="94"/>
        <v>0</v>
      </c>
      <c r="E2751" s="637">
        <f t="shared" si="95"/>
        <v>0</v>
      </c>
    </row>
    <row r="2752" spans="1:5">
      <c r="A2752">
        <v>42513</v>
      </c>
      <c r="B2752">
        <v>1200</v>
      </c>
      <c r="C2752" s="455">
        <v>0</v>
      </c>
      <c r="D2752" s="637">
        <f t="shared" si="94"/>
        <v>0</v>
      </c>
      <c r="E2752" s="637">
        <f t="shared" si="95"/>
        <v>0</v>
      </c>
    </row>
    <row r="2753" spans="1:5">
      <c r="A2753">
        <v>42513</v>
      </c>
      <c r="B2753">
        <v>1300</v>
      </c>
      <c r="C2753" s="455">
        <v>0</v>
      </c>
      <c r="D2753" s="637">
        <f t="shared" si="94"/>
        <v>0</v>
      </c>
      <c r="E2753" s="637">
        <f t="shared" si="95"/>
        <v>0</v>
      </c>
    </row>
    <row r="2754" spans="1:5">
      <c r="A2754">
        <v>42513</v>
      </c>
      <c r="B2754">
        <v>1400</v>
      </c>
      <c r="C2754" s="455">
        <v>0</v>
      </c>
      <c r="D2754" s="637">
        <f t="shared" si="94"/>
        <v>0</v>
      </c>
      <c r="E2754" s="637">
        <f t="shared" si="95"/>
        <v>0</v>
      </c>
    </row>
    <row r="2755" spans="1:5">
      <c r="A2755">
        <v>42513</v>
      </c>
      <c r="B2755">
        <v>1500</v>
      </c>
      <c r="C2755" s="455">
        <v>0</v>
      </c>
      <c r="D2755" s="637">
        <f t="shared" si="94"/>
        <v>0</v>
      </c>
      <c r="E2755" s="637">
        <f t="shared" si="95"/>
        <v>0</v>
      </c>
    </row>
    <row r="2756" spans="1:5">
      <c r="A2756">
        <v>42513</v>
      </c>
      <c r="B2756">
        <v>1600</v>
      </c>
      <c r="C2756" s="455">
        <v>0</v>
      </c>
      <c r="D2756" s="637">
        <f t="shared" si="94"/>
        <v>0</v>
      </c>
      <c r="E2756" s="637">
        <f t="shared" si="95"/>
        <v>0</v>
      </c>
    </row>
    <row r="2757" spans="1:5">
      <c r="A2757">
        <v>42513</v>
      </c>
      <c r="B2757">
        <v>1700</v>
      </c>
      <c r="C2757" s="455">
        <v>0</v>
      </c>
      <c r="D2757" s="637">
        <f t="shared" si="94"/>
        <v>0</v>
      </c>
      <c r="E2757" s="637">
        <f t="shared" si="95"/>
        <v>0</v>
      </c>
    </row>
    <row r="2758" spans="1:5">
      <c r="A2758">
        <v>42513</v>
      </c>
      <c r="B2758">
        <v>1800</v>
      </c>
      <c r="C2758" s="455">
        <v>0</v>
      </c>
      <c r="D2758" s="637">
        <f t="shared" si="94"/>
        <v>0</v>
      </c>
      <c r="E2758" s="637">
        <f t="shared" si="95"/>
        <v>0</v>
      </c>
    </row>
    <row r="2759" spans="1:5">
      <c r="A2759">
        <v>42513</v>
      </c>
      <c r="B2759">
        <v>1900</v>
      </c>
      <c r="C2759" s="455">
        <v>4.0000000000000001E-3</v>
      </c>
      <c r="D2759" s="637">
        <f t="shared" si="94"/>
        <v>9.4222222222222225E-3</v>
      </c>
      <c r="E2759" s="637">
        <f t="shared" si="95"/>
        <v>1.7244444444444448E-2</v>
      </c>
    </row>
    <row r="2760" spans="1:5">
      <c r="A2760">
        <v>42513</v>
      </c>
      <c r="B2760">
        <v>2000</v>
      </c>
      <c r="C2760" s="455">
        <v>8.2089999999999996</v>
      </c>
      <c r="D2760" s="637">
        <f t="shared" si="94"/>
        <v>19.336755555555555</v>
      </c>
      <c r="E2760" s="637">
        <f t="shared" si="95"/>
        <v>35.389911111111118</v>
      </c>
    </row>
    <row r="2761" spans="1:5">
      <c r="A2761">
        <v>42513</v>
      </c>
      <c r="B2761">
        <v>2100</v>
      </c>
      <c r="C2761" s="455">
        <v>6.766</v>
      </c>
      <c r="D2761" s="637">
        <f t="shared" si="94"/>
        <v>15.937688888888887</v>
      </c>
      <c r="E2761" s="637">
        <f t="shared" si="95"/>
        <v>29.168977777777783</v>
      </c>
    </row>
    <row r="2762" spans="1:5">
      <c r="A2762">
        <v>42513</v>
      </c>
      <c r="B2762">
        <v>2200</v>
      </c>
      <c r="C2762" s="455">
        <v>6.7629999999999999</v>
      </c>
      <c r="D2762" s="637">
        <f t="shared" si="94"/>
        <v>15.930622222222222</v>
      </c>
      <c r="E2762" s="637">
        <f t="shared" si="95"/>
        <v>29.156044444444451</v>
      </c>
    </row>
    <row r="2763" spans="1:5">
      <c r="A2763">
        <v>42513</v>
      </c>
      <c r="B2763">
        <v>2300</v>
      </c>
      <c r="C2763" s="455">
        <v>7.4050000000000002</v>
      </c>
      <c r="D2763" s="637">
        <f t="shared" si="94"/>
        <v>17.442888888888891</v>
      </c>
      <c r="E2763" s="637">
        <f t="shared" si="95"/>
        <v>31.92377777777779</v>
      </c>
    </row>
    <row r="2764" spans="1:5">
      <c r="A2764">
        <v>42513</v>
      </c>
      <c r="B2764">
        <v>2400</v>
      </c>
      <c r="C2764" s="455">
        <v>7.2130000000000001</v>
      </c>
      <c r="D2764" s="637">
        <f t="shared" si="94"/>
        <v>16.990622222222221</v>
      </c>
      <c r="E2764" s="637">
        <f t="shared" si="95"/>
        <v>31.096044444444448</v>
      </c>
    </row>
    <row r="2765" spans="1:5">
      <c r="A2765">
        <v>42613</v>
      </c>
      <c r="B2765">
        <v>100</v>
      </c>
      <c r="C2765" s="455">
        <v>7.3440000000000003</v>
      </c>
      <c r="D2765" s="637">
        <f t="shared" si="94"/>
        <v>17.299199999999999</v>
      </c>
      <c r="E2765" s="637">
        <f t="shared" si="95"/>
        <v>31.660800000000005</v>
      </c>
    </row>
    <row r="2766" spans="1:5">
      <c r="A2766">
        <v>42613</v>
      </c>
      <c r="B2766">
        <v>200</v>
      </c>
      <c r="C2766" s="455">
        <v>7.4189999999999996</v>
      </c>
      <c r="D2766" s="637">
        <f t="shared" si="94"/>
        <v>17.475866666666665</v>
      </c>
      <c r="E2766" s="637">
        <f t="shared" si="95"/>
        <v>31.984133333333336</v>
      </c>
    </row>
    <row r="2767" spans="1:5">
      <c r="A2767">
        <v>42613</v>
      </c>
      <c r="B2767">
        <v>300</v>
      </c>
      <c r="C2767" s="455">
        <v>7.2770000000000001</v>
      </c>
      <c r="D2767" s="637">
        <f t="shared" si="94"/>
        <v>17.141377777777777</v>
      </c>
      <c r="E2767" s="637">
        <f t="shared" si="95"/>
        <v>31.371955555555559</v>
      </c>
    </row>
    <row r="2768" spans="1:5">
      <c r="A2768">
        <v>42613</v>
      </c>
      <c r="B2768">
        <v>400</v>
      </c>
      <c r="C2768" s="455">
        <v>7.508</v>
      </c>
      <c r="D2768" s="637">
        <f t="shared" si="94"/>
        <v>17.685511111111111</v>
      </c>
      <c r="E2768" s="637">
        <f t="shared" si="95"/>
        <v>32.36782222222223</v>
      </c>
    </row>
    <row r="2769" spans="1:5">
      <c r="A2769">
        <v>42613</v>
      </c>
      <c r="B2769">
        <v>500</v>
      </c>
      <c r="C2769" s="455">
        <v>7.2720000000000002</v>
      </c>
      <c r="D2769" s="637">
        <f t="shared" si="94"/>
        <v>17.1296</v>
      </c>
      <c r="E2769" s="637">
        <f t="shared" si="95"/>
        <v>31.350400000000008</v>
      </c>
    </row>
    <row r="2770" spans="1:5">
      <c r="A2770">
        <v>42613</v>
      </c>
      <c r="B2770">
        <v>600</v>
      </c>
      <c r="C2770" s="455">
        <v>4.2190000000000003</v>
      </c>
      <c r="D2770" s="637">
        <f t="shared" si="94"/>
        <v>9.9380888888888883</v>
      </c>
      <c r="E2770" s="637">
        <f t="shared" si="95"/>
        <v>18.18857777777778</v>
      </c>
    </row>
    <row r="2771" spans="1:5">
      <c r="A2771">
        <v>42613</v>
      </c>
      <c r="B2771">
        <v>700</v>
      </c>
      <c r="C2771" s="455">
        <v>0</v>
      </c>
      <c r="D2771" s="637">
        <f t="shared" si="94"/>
        <v>0</v>
      </c>
      <c r="E2771" s="637">
        <f t="shared" si="95"/>
        <v>0</v>
      </c>
    </row>
    <row r="2772" spans="1:5">
      <c r="A2772">
        <v>42613</v>
      </c>
      <c r="B2772">
        <v>800</v>
      </c>
      <c r="C2772" s="455">
        <v>0</v>
      </c>
      <c r="D2772" s="637">
        <f t="shared" si="94"/>
        <v>0</v>
      </c>
      <c r="E2772" s="637">
        <f t="shared" si="95"/>
        <v>0</v>
      </c>
    </row>
    <row r="2773" spans="1:5">
      <c r="A2773">
        <v>42613</v>
      </c>
      <c r="B2773">
        <v>900</v>
      </c>
      <c r="C2773" s="455">
        <v>0</v>
      </c>
      <c r="D2773" s="637">
        <f t="shared" si="94"/>
        <v>0</v>
      </c>
      <c r="E2773" s="637">
        <f t="shared" si="95"/>
        <v>0</v>
      </c>
    </row>
    <row r="2774" spans="1:5">
      <c r="A2774">
        <v>42613</v>
      </c>
      <c r="B2774">
        <v>1000</v>
      </c>
      <c r="C2774" s="455">
        <v>0</v>
      </c>
      <c r="D2774" s="637">
        <f t="shared" si="94"/>
        <v>0</v>
      </c>
      <c r="E2774" s="637">
        <f t="shared" si="95"/>
        <v>0</v>
      </c>
    </row>
    <row r="2775" spans="1:5">
      <c r="A2775">
        <v>42613</v>
      </c>
      <c r="B2775">
        <v>1100</v>
      </c>
      <c r="C2775" s="455">
        <v>0</v>
      </c>
      <c r="D2775" s="637">
        <f t="shared" si="94"/>
        <v>0</v>
      </c>
      <c r="E2775" s="637">
        <f t="shared" si="95"/>
        <v>0</v>
      </c>
    </row>
    <row r="2776" spans="1:5">
      <c r="A2776">
        <v>42613</v>
      </c>
      <c r="B2776">
        <v>1200</v>
      </c>
      <c r="C2776" s="455">
        <v>0</v>
      </c>
      <c r="D2776" s="637">
        <f t="shared" si="94"/>
        <v>0</v>
      </c>
      <c r="E2776" s="637">
        <f t="shared" si="95"/>
        <v>0</v>
      </c>
    </row>
    <row r="2777" spans="1:5">
      <c r="A2777">
        <v>42613</v>
      </c>
      <c r="B2777">
        <v>1300</v>
      </c>
      <c r="C2777" s="455">
        <v>0</v>
      </c>
      <c r="D2777" s="637">
        <f t="shared" si="94"/>
        <v>0</v>
      </c>
      <c r="E2777" s="637">
        <f t="shared" si="95"/>
        <v>0</v>
      </c>
    </row>
    <row r="2778" spans="1:5">
      <c r="A2778">
        <v>42613</v>
      </c>
      <c r="B2778">
        <v>1400</v>
      </c>
      <c r="C2778" s="455">
        <v>0</v>
      </c>
      <c r="D2778" s="637">
        <f t="shared" si="94"/>
        <v>0</v>
      </c>
      <c r="E2778" s="637">
        <f t="shared" si="95"/>
        <v>0</v>
      </c>
    </row>
    <row r="2779" spans="1:5">
      <c r="A2779">
        <v>42613</v>
      </c>
      <c r="B2779">
        <v>1500</v>
      </c>
      <c r="C2779" s="455">
        <v>0</v>
      </c>
      <c r="D2779" s="637">
        <f t="shared" si="94"/>
        <v>0</v>
      </c>
      <c r="E2779" s="637">
        <f t="shared" si="95"/>
        <v>0</v>
      </c>
    </row>
    <row r="2780" spans="1:5">
      <c r="A2780">
        <v>42613</v>
      </c>
      <c r="B2780">
        <v>1600</v>
      </c>
      <c r="C2780" s="455">
        <v>0</v>
      </c>
      <c r="D2780" s="637">
        <f t="shared" si="94"/>
        <v>0</v>
      </c>
      <c r="E2780" s="637">
        <f t="shared" si="95"/>
        <v>0</v>
      </c>
    </row>
    <row r="2781" spans="1:5">
      <c r="A2781">
        <v>42613</v>
      </c>
      <c r="B2781">
        <v>1700</v>
      </c>
      <c r="C2781" s="455">
        <v>4.0000000000000001E-3</v>
      </c>
      <c r="D2781" s="637">
        <f t="shared" si="94"/>
        <v>9.4222222222222225E-3</v>
      </c>
      <c r="E2781" s="637">
        <f t="shared" si="95"/>
        <v>1.7244444444444448E-2</v>
      </c>
    </row>
    <row r="2782" spans="1:5">
      <c r="A2782">
        <v>42613</v>
      </c>
      <c r="B2782">
        <v>1800</v>
      </c>
      <c r="C2782" s="455">
        <v>0</v>
      </c>
      <c r="D2782" s="637">
        <f t="shared" si="94"/>
        <v>0</v>
      </c>
      <c r="E2782" s="637">
        <f t="shared" si="95"/>
        <v>0</v>
      </c>
    </row>
    <row r="2783" spans="1:5">
      <c r="A2783">
        <v>42613</v>
      </c>
      <c r="B2783">
        <v>1900</v>
      </c>
      <c r="C2783" s="455">
        <v>0</v>
      </c>
      <c r="D2783" s="637">
        <f t="shared" si="94"/>
        <v>0</v>
      </c>
      <c r="E2783" s="637">
        <f t="shared" si="95"/>
        <v>0</v>
      </c>
    </row>
    <row r="2784" spans="1:5">
      <c r="A2784">
        <v>42613</v>
      </c>
      <c r="B2784">
        <v>2000</v>
      </c>
      <c r="C2784" s="455">
        <v>7.8090000000000002</v>
      </c>
      <c r="D2784" s="637">
        <f t="shared" si="94"/>
        <v>18.394533333333335</v>
      </c>
      <c r="E2784" s="637">
        <f t="shared" si="95"/>
        <v>33.665466666666674</v>
      </c>
    </row>
    <row r="2785" spans="1:5">
      <c r="A2785">
        <v>42613</v>
      </c>
      <c r="B2785">
        <v>2100</v>
      </c>
      <c r="C2785" s="455">
        <v>6.7569999999999997</v>
      </c>
      <c r="D2785" s="637">
        <f t="shared" si="94"/>
        <v>15.916488888888889</v>
      </c>
      <c r="E2785" s="637">
        <f t="shared" si="95"/>
        <v>29.130177777777785</v>
      </c>
    </row>
    <row r="2786" spans="1:5">
      <c r="A2786">
        <v>42613</v>
      </c>
      <c r="B2786">
        <v>2200</v>
      </c>
      <c r="C2786" s="455">
        <v>6.9109999999999996</v>
      </c>
      <c r="D2786" s="637">
        <f t="shared" si="94"/>
        <v>16.279244444444444</v>
      </c>
      <c r="E2786" s="637">
        <f t="shared" si="95"/>
        <v>29.794088888888894</v>
      </c>
    </row>
    <row r="2787" spans="1:5">
      <c r="A2787">
        <v>42613</v>
      </c>
      <c r="B2787">
        <v>2300</v>
      </c>
      <c r="C2787" s="455">
        <v>7.093</v>
      </c>
      <c r="D2787" s="637">
        <f t="shared" si="94"/>
        <v>16.707955555555557</v>
      </c>
      <c r="E2787" s="637">
        <f t="shared" si="95"/>
        <v>30.578711111111122</v>
      </c>
    </row>
    <row r="2788" spans="1:5">
      <c r="A2788">
        <v>42613</v>
      </c>
      <c r="B2788">
        <v>2400</v>
      </c>
      <c r="C2788" s="455">
        <v>7.1470000000000002</v>
      </c>
      <c r="D2788" s="637">
        <f t="shared" si="94"/>
        <v>16.835155555555556</v>
      </c>
      <c r="E2788" s="637">
        <f t="shared" si="95"/>
        <v>30.81151111111112</v>
      </c>
    </row>
    <row r="2789" spans="1:5">
      <c r="A2789">
        <v>42713</v>
      </c>
      <c r="B2789">
        <v>100</v>
      </c>
      <c r="C2789" s="455">
        <v>6.9989999999999997</v>
      </c>
      <c r="D2789" s="637">
        <f t="shared" si="94"/>
        <v>16.48653333333333</v>
      </c>
      <c r="E2789" s="637">
        <f t="shared" si="95"/>
        <v>30.17346666666667</v>
      </c>
    </row>
    <row r="2790" spans="1:5">
      <c r="A2790">
        <v>42713</v>
      </c>
      <c r="B2790">
        <v>200</v>
      </c>
      <c r="C2790" s="455">
        <v>7.1479999999999997</v>
      </c>
      <c r="D2790" s="637">
        <f t="shared" si="94"/>
        <v>16.837511111111112</v>
      </c>
      <c r="E2790" s="637">
        <f t="shared" si="95"/>
        <v>30.815822222222231</v>
      </c>
    </row>
    <row r="2791" spans="1:5">
      <c r="A2791">
        <v>42713</v>
      </c>
      <c r="B2791">
        <v>300</v>
      </c>
      <c r="C2791" s="455">
        <v>7.6040000000000001</v>
      </c>
      <c r="D2791" s="637">
        <f t="shared" si="94"/>
        <v>17.911644444444445</v>
      </c>
      <c r="E2791" s="637">
        <f t="shared" si="95"/>
        <v>32.781688888888901</v>
      </c>
    </row>
    <row r="2792" spans="1:5">
      <c r="A2792">
        <v>42713</v>
      </c>
      <c r="B2792">
        <v>400</v>
      </c>
      <c r="C2792" s="455">
        <v>7.5830000000000002</v>
      </c>
      <c r="D2792" s="637">
        <f t="shared" si="94"/>
        <v>17.862177777777781</v>
      </c>
      <c r="E2792" s="637">
        <f t="shared" si="95"/>
        <v>32.691155555555568</v>
      </c>
    </row>
    <row r="2793" spans="1:5">
      <c r="A2793">
        <v>42713</v>
      </c>
      <c r="B2793">
        <v>500</v>
      </c>
      <c r="C2793" s="455">
        <v>7.73</v>
      </c>
      <c r="D2793" s="637">
        <f t="shared" si="94"/>
        <v>18.208444444444442</v>
      </c>
      <c r="E2793" s="637">
        <f t="shared" si="95"/>
        <v>33.324888888888893</v>
      </c>
    </row>
    <row r="2794" spans="1:5">
      <c r="A2794">
        <v>42713</v>
      </c>
      <c r="B2794">
        <v>600</v>
      </c>
      <c r="C2794" s="455">
        <v>6.1509999999999998</v>
      </c>
      <c r="D2794" s="637">
        <f t="shared" si="94"/>
        <v>14.489022222222221</v>
      </c>
      <c r="E2794" s="637">
        <f t="shared" si="95"/>
        <v>26.51764444444445</v>
      </c>
    </row>
    <row r="2795" spans="1:5">
      <c r="A2795">
        <v>42713</v>
      </c>
      <c r="B2795">
        <v>700</v>
      </c>
      <c r="C2795" s="455">
        <v>1E-3</v>
      </c>
      <c r="D2795" s="637">
        <f t="shared" si="94"/>
        <v>2.3555555555555556E-3</v>
      </c>
      <c r="E2795" s="637">
        <f t="shared" si="95"/>
        <v>4.3111111111111119E-3</v>
      </c>
    </row>
    <row r="2796" spans="1:5">
      <c r="A2796">
        <v>42713</v>
      </c>
      <c r="B2796">
        <v>800</v>
      </c>
      <c r="C2796" s="455">
        <v>0</v>
      </c>
      <c r="D2796" s="637">
        <f t="shared" si="94"/>
        <v>0</v>
      </c>
      <c r="E2796" s="637">
        <f t="shared" si="95"/>
        <v>0</v>
      </c>
    </row>
    <row r="2797" spans="1:5">
      <c r="A2797">
        <v>42713</v>
      </c>
      <c r="B2797">
        <v>900</v>
      </c>
      <c r="C2797" s="455">
        <v>0</v>
      </c>
      <c r="D2797" s="637">
        <f t="shared" si="94"/>
        <v>0</v>
      </c>
      <c r="E2797" s="637">
        <f t="shared" si="95"/>
        <v>0</v>
      </c>
    </row>
    <row r="2798" spans="1:5">
      <c r="A2798">
        <v>42713</v>
      </c>
      <c r="B2798">
        <v>1000</v>
      </c>
      <c r="C2798" s="455">
        <v>0</v>
      </c>
      <c r="D2798" s="637">
        <f t="shared" si="94"/>
        <v>0</v>
      </c>
      <c r="E2798" s="637">
        <f t="shared" si="95"/>
        <v>0</v>
      </c>
    </row>
    <row r="2799" spans="1:5">
      <c r="A2799">
        <v>42713</v>
      </c>
      <c r="B2799">
        <v>1100</v>
      </c>
      <c r="C2799" s="455">
        <v>0</v>
      </c>
      <c r="D2799" s="637">
        <f t="shared" si="94"/>
        <v>0</v>
      </c>
      <c r="E2799" s="637">
        <f t="shared" si="95"/>
        <v>0</v>
      </c>
    </row>
    <row r="2800" spans="1:5">
      <c r="A2800">
        <v>42713</v>
      </c>
      <c r="B2800">
        <v>1200</v>
      </c>
      <c r="C2800" s="455">
        <v>0</v>
      </c>
      <c r="D2800" s="637">
        <f t="shared" si="94"/>
        <v>0</v>
      </c>
      <c r="E2800" s="637">
        <f t="shared" si="95"/>
        <v>0</v>
      </c>
    </row>
    <row r="2801" spans="1:5">
      <c r="A2801">
        <v>42713</v>
      </c>
      <c r="B2801">
        <v>1300</v>
      </c>
      <c r="C2801" s="455">
        <v>0</v>
      </c>
      <c r="D2801" s="637">
        <f t="shared" si="94"/>
        <v>0</v>
      </c>
      <c r="E2801" s="637">
        <f t="shared" si="95"/>
        <v>0</v>
      </c>
    </row>
    <row r="2802" spans="1:5">
      <c r="A2802">
        <v>42713</v>
      </c>
      <c r="B2802">
        <v>1400</v>
      </c>
      <c r="C2802" s="455">
        <v>0</v>
      </c>
      <c r="D2802" s="637">
        <f t="shared" si="94"/>
        <v>0</v>
      </c>
      <c r="E2802" s="637">
        <f t="shared" si="95"/>
        <v>0</v>
      </c>
    </row>
    <row r="2803" spans="1:5">
      <c r="A2803">
        <v>42713</v>
      </c>
      <c r="B2803">
        <v>1500</v>
      </c>
      <c r="C2803" s="455">
        <v>0</v>
      </c>
      <c r="D2803" s="637">
        <f t="shared" si="94"/>
        <v>0</v>
      </c>
      <c r="E2803" s="637">
        <f t="shared" si="95"/>
        <v>0</v>
      </c>
    </row>
    <row r="2804" spans="1:5">
      <c r="A2804">
        <v>42713</v>
      </c>
      <c r="B2804">
        <v>1600</v>
      </c>
      <c r="C2804" s="455">
        <v>0</v>
      </c>
      <c r="D2804" s="637">
        <f t="shared" si="94"/>
        <v>0</v>
      </c>
      <c r="E2804" s="637">
        <f t="shared" si="95"/>
        <v>0</v>
      </c>
    </row>
    <row r="2805" spans="1:5">
      <c r="A2805">
        <v>42713</v>
      </c>
      <c r="B2805">
        <v>1700</v>
      </c>
      <c r="C2805" s="455">
        <v>0</v>
      </c>
      <c r="D2805" s="637">
        <f t="shared" si="94"/>
        <v>0</v>
      </c>
      <c r="E2805" s="637">
        <f t="shared" si="95"/>
        <v>0</v>
      </c>
    </row>
    <row r="2806" spans="1:5">
      <c r="A2806">
        <v>42713</v>
      </c>
      <c r="B2806">
        <v>1800</v>
      </c>
      <c r="C2806" s="455">
        <v>0</v>
      </c>
      <c r="D2806" s="637">
        <f t="shared" ref="D2806:D2869" si="96">(C2806/(MAX($C$2165:$C$2884)))*$W$8</f>
        <v>0</v>
      </c>
      <c r="E2806" s="637">
        <f t="shared" ref="E2806:E2869" si="97">(C2806/(MAX($C$2165:$C$2884)))*$P$8</f>
        <v>0</v>
      </c>
    </row>
    <row r="2807" spans="1:5">
      <c r="A2807">
        <v>42713</v>
      </c>
      <c r="B2807">
        <v>1900</v>
      </c>
      <c r="C2807" s="455">
        <v>1E-3</v>
      </c>
      <c r="D2807" s="637">
        <f t="shared" si="96"/>
        <v>2.3555555555555556E-3</v>
      </c>
      <c r="E2807" s="637">
        <f t="shared" si="97"/>
        <v>4.3111111111111119E-3</v>
      </c>
    </row>
    <row r="2808" spans="1:5">
      <c r="A2808">
        <v>42713</v>
      </c>
      <c r="B2808">
        <v>2000</v>
      </c>
      <c r="C2808" s="455">
        <v>8.048</v>
      </c>
      <c r="D2808" s="637">
        <f t="shared" si="96"/>
        <v>18.95751111111111</v>
      </c>
      <c r="E2808" s="637">
        <f t="shared" si="97"/>
        <v>34.695822222222233</v>
      </c>
    </row>
    <row r="2809" spans="1:5">
      <c r="A2809">
        <v>42713</v>
      </c>
      <c r="B2809">
        <v>2100</v>
      </c>
      <c r="C2809" s="455">
        <v>6.9119999999999999</v>
      </c>
      <c r="D2809" s="637">
        <f t="shared" si="96"/>
        <v>16.281600000000001</v>
      </c>
      <c r="E2809" s="637">
        <f t="shared" si="97"/>
        <v>29.798400000000008</v>
      </c>
    </row>
    <row r="2810" spans="1:5">
      <c r="A2810">
        <v>42713</v>
      </c>
      <c r="B2810">
        <v>2200</v>
      </c>
      <c r="C2810" s="455">
        <v>6.99</v>
      </c>
      <c r="D2810" s="637">
        <f t="shared" si="96"/>
        <v>16.465333333333334</v>
      </c>
      <c r="E2810" s="637">
        <f t="shared" si="97"/>
        <v>30.134666666666675</v>
      </c>
    </row>
    <row r="2811" spans="1:5">
      <c r="A2811">
        <v>42713</v>
      </c>
      <c r="B2811">
        <v>2300</v>
      </c>
      <c r="C2811" s="455">
        <v>7.0019999999999998</v>
      </c>
      <c r="D2811" s="637">
        <f t="shared" si="96"/>
        <v>16.493599999999997</v>
      </c>
      <c r="E2811" s="637">
        <f t="shared" si="97"/>
        <v>30.186400000000003</v>
      </c>
    </row>
    <row r="2812" spans="1:5">
      <c r="A2812">
        <v>42713</v>
      </c>
      <c r="B2812">
        <v>2400</v>
      </c>
      <c r="C2812" s="455">
        <v>7.1660000000000004</v>
      </c>
      <c r="D2812" s="637">
        <f t="shared" si="96"/>
        <v>16.879911111111113</v>
      </c>
      <c r="E2812" s="637">
        <f t="shared" si="97"/>
        <v>30.893422222222235</v>
      </c>
    </row>
    <row r="2813" spans="1:5">
      <c r="A2813">
        <v>42813</v>
      </c>
      <c r="B2813">
        <v>100</v>
      </c>
      <c r="C2813" s="455">
        <v>7.0090000000000003</v>
      </c>
      <c r="D2813" s="637">
        <f t="shared" si="96"/>
        <v>16.510088888888891</v>
      </c>
      <c r="E2813" s="637">
        <f t="shared" si="97"/>
        <v>30.216577777777786</v>
      </c>
    </row>
    <row r="2814" spans="1:5">
      <c r="A2814">
        <v>42813</v>
      </c>
      <c r="B2814">
        <v>200</v>
      </c>
      <c r="C2814" s="455">
        <v>7.1529999999999996</v>
      </c>
      <c r="D2814" s="637">
        <f t="shared" si="96"/>
        <v>16.849288888888886</v>
      </c>
      <c r="E2814" s="637">
        <f t="shared" si="97"/>
        <v>30.837377777777782</v>
      </c>
    </row>
    <row r="2815" spans="1:5">
      <c r="A2815">
        <v>42813</v>
      </c>
      <c r="B2815">
        <v>300</v>
      </c>
      <c r="C2815" s="455">
        <v>7.0830000000000002</v>
      </c>
      <c r="D2815" s="637">
        <f t="shared" si="96"/>
        <v>16.6844</v>
      </c>
      <c r="E2815" s="637">
        <f t="shared" si="97"/>
        <v>30.535600000000009</v>
      </c>
    </row>
    <row r="2816" spans="1:5">
      <c r="A2816">
        <v>42813</v>
      </c>
      <c r="B2816">
        <v>400</v>
      </c>
      <c r="C2816" s="455">
        <v>7.7469999999999999</v>
      </c>
      <c r="D2816" s="637">
        <f t="shared" si="96"/>
        <v>18.248488888888886</v>
      </c>
      <c r="E2816" s="637">
        <f t="shared" si="97"/>
        <v>33.398177777777782</v>
      </c>
    </row>
    <row r="2817" spans="1:5">
      <c r="A2817">
        <v>42813</v>
      </c>
      <c r="B2817">
        <v>500</v>
      </c>
      <c r="C2817" s="455">
        <v>7.665</v>
      </c>
      <c r="D2817" s="637">
        <f t="shared" si="96"/>
        <v>18.055333333333333</v>
      </c>
      <c r="E2817" s="637">
        <f t="shared" si="97"/>
        <v>33.044666666666679</v>
      </c>
    </row>
    <row r="2818" spans="1:5">
      <c r="A2818">
        <v>42813</v>
      </c>
      <c r="B2818">
        <v>600</v>
      </c>
      <c r="C2818" s="455">
        <v>3.8740000000000001</v>
      </c>
      <c r="D2818" s="637">
        <f t="shared" si="96"/>
        <v>9.1254222222222232</v>
      </c>
      <c r="E2818" s="637">
        <f t="shared" si="97"/>
        <v>16.701244444444448</v>
      </c>
    </row>
    <row r="2819" spans="1:5">
      <c r="A2819">
        <v>42813</v>
      </c>
      <c r="B2819">
        <v>700</v>
      </c>
      <c r="C2819" s="455">
        <v>0</v>
      </c>
      <c r="D2819" s="637">
        <f t="shared" si="96"/>
        <v>0</v>
      </c>
      <c r="E2819" s="637">
        <f t="shared" si="97"/>
        <v>0</v>
      </c>
    </row>
    <row r="2820" spans="1:5">
      <c r="A2820">
        <v>42813</v>
      </c>
      <c r="B2820">
        <v>800</v>
      </c>
      <c r="C2820" s="455">
        <v>0</v>
      </c>
      <c r="D2820" s="637">
        <f t="shared" si="96"/>
        <v>0</v>
      </c>
      <c r="E2820" s="637">
        <f t="shared" si="97"/>
        <v>0</v>
      </c>
    </row>
    <row r="2821" spans="1:5">
      <c r="A2821">
        <v>42813</v>
      </c>
      <c r="B2821">
        <v>900</v>
      </c>
      <c r="C2821" s="455">
        <v>0</v>
      </c>
      <c r="D2821" s="637">
        <f t="shared" si="96"/>
        <v>0</v>
      </c>
      <c r="E2821" s="637">
        <f t="shared" si="97"/>
        <v>0</v>
      </c>
    </row>
    <row r="2822" spans="1:5">
      <c r="A2822">
        <v>42813</v>
      </c>
      <c r="B2822">
        <v>1000</v>
      </c>
      <c r="C2822" s="455">
        <v>0</v>
      </c>
      <c r="D2822" s="637">
        <f t="shared" si="96"/>
        <v>0</v>
      </c>
      <c r="E2822" s="637">
        <f t="shared" si="97"/>
        <v>0</v>
      </c>
    </row>
    <row r="2823" spans="1:5">
      <c r="A2823">
        <v>42813</v>
      </c>
      <c r="B2823">
        <v>1100</v>
      </c>
      <c r="C2823" s="455">
        <v>0</v>
      </c>
      <c r="D2823" s="637">
        <f t="shared" si="96"/>
        <v>0</v>
      </c>
      <c r="E2823" s="637">
        <f t="shared" si="97"/>
        <v>0</v>
      </c>
    </row>
    <row r="2824" spans="1:5">
      <c r="A2824">
        <v>42813</v>
      </c>
      <c r="B2824">
        <v>1200</v>
      </c>
      <c r="C2824" s="455">
        <v>0</v>
      </c>
      <c r="D2824" s="637">
        <f t="shared" si="96"/>
        <v>0</v>
      </c>
      <c r="E2824" s="637">
        <f t="shared" si="97"/>
        <v>0</v>
      </c>
    </row>
    <row r="2825" spans="1:5">
      <c r="A2825">
        <v>42813</v>
      </c>
      <c r="B2825">
        <v>1300</v>
      </c>
      <c r="C2825" s="455">
        <v>0</v>
      </c>
      <c r="D2825" s="637">
        <f t="shared" si="96"/>
        <v>0</v>
      </c>
      <c r="E2825" s="637">
        <f t="shared" si="97"/>
        <v>0</v>
      </c>
    </row>
    <row r="2826" spans="1:5">
      <c r="A2826">
        <v>42813</v>
      </c>
      <c r="B2826">
        <v>1400</v>
      </c>
      <c r="C2826" s="455">
        <v>0</v>
      </c>
      <c r="D2826" s="637">
        <f t="shared" si="96"/>
        <v>0</v>
      </c>
      <c r="E2826" s="637">
        <f t="shared" si="97"/>
        <v>0</v>
      </c>
    </row>
    <row r="2827" spans="1:5">
      <c r="A2827">
        <v>42813</v>
      </c>
      <c r="B2827">
        <v>1500</v>
      </c>
      <c r="C2827" s="455">
        <v>0</v>
      </c>
      <c r="D2827" s="637">
        <f t="shared" si="96"/>
        <v>0</v>
      </c>
      <c r="E2827" s="637">
        <f t="shared" si="97"/>
        <v>0</v>
      </c>
    </row>
    <row r="2828" spans="1:5">
      <c r="A2828">
        <v>42813</v>
      </c>
      <c r="B2828">
        <v>1600</v>
      </c>
      <c r="C2828" s="455">
        <v>0</v>
      </c>
      <c r="D2828" s="637">
        <f t="shared" si="96"/>
        <v>0</v>
      </c>
      <c r="E2828" s="637">
        <f t="shared" si="97"/>
        <v>0</v>
      </c>
    </row>
    <row r="2829" spans="1:5">
      <c r="A2829">
        <v>42813</v>
      </c>
      <c r="B2829">
        <v>1700</v>
      </c>
      <c r="C2829" s="455">
        <v>0</v>
      </c>
      <c r="D2829" s="637">
        <f t="shared" si="96"/>
        <v>0</v>
      </c>
      <c r="E2829" s="637">
        <f t="shared" si="97"/>
        <v>0</v>
      </c>
    </row>
    <row r="2830" spans="1:5">
      <c r="A2830">
        <v>42813</v>
      </c>
      <c r="B2830">
        <v>1800</v>
      </c>
      <c r="C2830" s="455">
        <v>0</v>
      </c>
      <c r="D2830" s="637">
        <f t="shared" si="96"/>
        <v>0</v>
      </c>
      <c r="E2830" s="637">
        <f t="shared" si="97"/>
        <v>0</v>
      </c>
    </row>
    <row r="2831" spans="1:5">
      <c r="A2831">
        <v>42813</v>
      </c>
      <c r="B2831">
        <v>1900</v>
      </c>
      <c r="C2831" s="455">
        <v>1.893</v>
      </c>
      <c r="D2831" s="637">
        <f t="shared" si="96"/>
        <v>4.4590666666666667</v>
      </c>
      <c r="E2831" s="637">
        <f t="shared" si="97"/>
        <v>8.1609333333333343</v>
      </c>
    </row>
    <row r="2832" spans="1:5">
      <c r="A2832">
        <v>42813</v>
      </c>
      <c r="B2832">
        <v>2000</v>
      </c>
      <c r="C2832" s="455">
        <v>8.5299999999999994</v>
      </c>
      <c r="D2832" s="637">
        <f t="shared" si="96"/>
        <v>20.092888888888886</v>
      </c>
      <c r="E2832" s="637">
        <f t="shared" si="97"/>
        <v>36.773777777777781</v>
      </c>
    </row>
    <row r="2833" spans="1:5">
      <c r="A2833">
        <v>42813</v>
      </c>
      <c r="B2833">
        <v>2100</v>
      </c>
      <c r="C2833" s="455">
        <v>7.1429999999999998</v>
      </c>
      <c r="D2833" s="637">
        <f t="shared" si="96"/>
        <v>16.825733333333332</v>
      </c>
      <c r="E2833" s="637">
        <f t="shared" si="97"/>
        <v>30.794266666666669</v>
      </c>
    </row>
    <row r="2834" spans="1:5">
      <c r="A2834">
        <v>42813</v>
      </c>
      <c r="B2834">
        <v>2200</v>
      </c>
      <c r="C2834" s="455">
        <v>6.8570000000000002</v>
      </c>
      <c r="D2834" s="637">
        <f t="shared" si="96"/>
        <v>16.152044444444442</v>
      </c>
      <c r="E2834" s="637">
        <f t="shared" si="97"/>
        <v>29.561288888888893</v>
      </c>
    </row>
    <row r="2835" spans="1:5">
      <c r="A2835">
        <v>42813</v>
      </c>
      <c r="B2835">
        <v>2300</v>
      </c>
      <c r="C2835" s="455">
        <v>7.2370000000000001</v>
      </c>
      <c r="D2835" s="637">
        <f t="shared" si="96"/>
        <v>17.047155555555559</v>
      </c>
      <c r="E2835" s="637">
        <f t="shared" si="97"/>
        <v>31.199511111111121</v>
      </c>
    </row>
    <row r="2836" spans="1:5">
      <c r="A2836">
        <v>42813</v>
      </c>
      <c r="B2836">
        <v>2400</v>
      </c>
      <c r="C2836" s="455">
        <v>7.008</v>
      </c>
      <c r="D2836" s="637">
        <f t="shared" si="96"/>
        <v>16.507733333333331</v>
      </c>
      <c r="E2836" s="637">
        <f t="shared" si="97"/>
        <v>30.212266666666672</v>
      </c>
    </row>
    <row r="2837" spans="1:5">
      <c r="A2837">
        <v>42913</v>
      </c>
      <c r="B2837">
        <v>100</v>
      </c>
      <c r="C2837" s="455">
        <v>7.226</v>
      </c>
      <c r="D2837" s="637">
        <f t="shared" si="96"/>
        <v>17.021244444444445</v>
      </c>
      <c r="E2837" s="637">
        <f t="shared" si="97"/>
        <v>31.152088888888894</v>
      </c>
    </row>
    <row r="2838" spans="1:5">
      <c r="A2838">
        <v>42913</v>
      </c>
      <c r="B2838">
        <v>200</v>
      </c>
      <c r="C2838" s="455">
        <v>7.0750000000000002</v>
      </c>
      <c r="D2838" s="637">
        <f t="shared" si="96"/>
        <v>16.665555555555553</v>
      </c>
      <c r="E2838" s="637">
        <f t="shared" si="97"/>
        <v>30.501111111111118</v>
      </c>
    </row>
    <row r="2839" spans="1:5">
      <c r="A2839">
        <v>42913</v>
      </c>
      <c r="B2839">
        <v>300</v>
      </c>
      <c r="C2839" s="455">
        <v>7.1459999999999999</v>
      </c>
      <c r="D2839" s="637">
        <f t="shared" si="96"/>
        <v>16.832799999999999</v>
      </c>
      <c r="E2839" s="637">
        <f t="shared" si="97"/>
        <v>30.807200000000005</v>
      </c>
    </row>
    <row r="2840" spans="1:5">
      <c r="A2840">
        <v>42913</v>
      </c>
      <c r="B2840">
        <v>400</v>
      </c>
      <c r="C2840" s="455">
        <v>7.3959999999999999</v>
      </c>
      <c r="D2840" s="637">
        <f t="shared" si="96"/>
        <v>17.421688888888891</v>
      </c>
      <c r="E2840" s="637">
        <f t="shared" si="97"/>
        <v>31.884977777777788</v>
      </c>
    </row>
    <row r="2841" spans="1:5">
      <c r="A2841">
        <v>42913</v>
      </c>
      <c r="B2841">
        <v>500</v>
      </c>
      <c r="C2841" s="455">
        <v>7.2329999999999997</v>
      </c>
      <c r="D2841" s="637">
        <f t="shared" si="96"/>
        <v>17.037733333333332</v>
      </c>
      <c r="E2841" s="637">
        <f t="shared" si="97"/>
        <v>31.182266666666671</v>
      </c>
    </row>
    <row r="2842" spans="1:5">
      <c r="A2842">
        <v>42913</v>
      </c>
      <c r="B2842">
        <v>600</v>
      </c>
      <c r="C2842" s="455">
        <v>8.9269999999999996</v>
      </c>
      <c r="D2842" s="637">
        <f t="shared" si="96"/>
        <v>21.028044444444443</v>
      </c>
      <c r="E2842" s="637">
        <f t="shared" si="97"/>
        <v>38.485288888888896</v>
      </c>
    </row>
    <row r="2843" spans="1:5">
      <c r="A2843">
        <v>42913</v>
      </c>
      <c r="B2843">
        <v>700</v>
      </c>
      <c r="C2843" s="455">
        <v>0.26900000000000002</v>
      </c>
      <c r="D2843" s="637">
        <f t="shared" si="96"/>
        <v>0.63364444444444445</v>
      </c>
      <c r="E2843" s="637">
        <f t="shared" si="97"/>
        <v>1.1596888888888892</v>
      </c>
    </row>
    <row r="2844" spans="1:5">
      <c r="A2844">
        <v>42913</v>
      </c>
      <c r="B2844">
        <v>800</v>
      </c>
      <c r="C2844" s="455">
        <v>0</v>
      </c>
      <c r="D2844" s="637">
        <f t="shared" si="96"/>
        <v>0</v>
      </c>
      <c r="E2844" s="637">
        <f t="shared" si="97"/>
        <v>0</v>
      </c>
    </row>
    <row r="2845" spans="1:5">
      <c r="A2845">
        <v>42913</v>
      </c>
      <c r="B2845">
        <v>900</v>
      </c>
      <c r="C2845" s="455">
        <v>0</v>
      </c>
      <c r="D2845" s="637">
        <f t="shared" si="96"/>
        <v>0</v>
      </c>
      <c r="E2845" s="637">
        <f t="shared" si="97"/>
        <v>0</v>
      </c>
    </row>
    <row r="2846" spans="1:5">
      <c r="A2846">
        <v>42913</v>
      </c>
      <c r="B2846">
        <v>1000</v>
      </c>
      <c r="C2846" s="455">
        <v>0</v>
      </c>
      <c r="D2846" s="637">
        <f t="shared" si="96"/>
        <v>0</v>
      </c>
      <c r="E2846" s="637">
        <f t="shared" si="97"/>
        <v>0</v>
      </c>
    </row>
    <row r="2847" spans="1:5">
      <c r="A2847">
        <v>42913</v>
      </c>
      <c r="B2847">
        <v>1100</v>
      </c>
      <c r="C2847" s="455">
        <v>0</v>
      </c>
      <c r="D2847" s="637">
        <f t="shared" si="96"/>
        <v>0</v>
      </c>
      <c r="E2847" s="637">
        <f t="shared" si="97"/>
        <v>0</v>
      </c>
    </row>
    <row r="2848" spans="1:5">
      <c r="A2848">
        <v>42913</v>
      </c>
      <c r="B2848">
        <v>1200</v>
      </c>
      <c r="C2848" s="455">
        <v>0</v>
      </c>
      <c r="D2848" s="637">
        <f t="shared" si="96"/>
        <v>0</v>
      </c>
      <c r="E2848" s="637">
        <f t="shared" si="97"/>
        <v>0</v>
      </c>
    </row>
    <row r="2849" spans="1:5">
      <c r="A2849">
        <v>42913</v>
      </c>
      <c r="B2849">
        <v>1300</v>
      </c>
      <c r="C2849" s="455">
        <v>0</v>
      </c>
      <c r="D2849" s="637">
        <f t="shared" si="96"/>
        <v>0</v>
      </c>
      <c r="E2849" s="637">
        <f t="shared" si="97"/>
        <v>0</v>
      </c>
    </row>
    <row r="2850" spans="1:5">
      <c r="A2850">
        <v>42913</v>
      </c>
      <c r="B2850">
        <v>1400</v>
      </c>
      <c r="C2850" s="455">
        <v>0</v>
      </c>
      <c r="D2850" s="637">
        <f t="shared" si="96"/>
        <v>0</v>
      </c>
      <c r="E2850" s="637">
        <f t="shared" si="97"/>
        <v>0</v>
      </c>
    </row>
    <row r="2851" spans="1:5">
      <c r="A2851">
        <v>42913</v>
      </c>
      <c r="B2851">
        <v>1500</v>
      </c>
      <c r="C2851" s="455">
        <v>0</v>
      </c>
      <c r="D2851" s="637">
        <f t="shared" si="96"/>
        <v>0</v>
      </c>
      <c r="E2851" s="637">
        <f t="shared" si="97"/>
        <v>0</v>
      </c>
    </row>
    <row r="2852" spans="1:5">
      <c r="A2852">
        <v>42913</v>
      </c>
      <c r="B2852">
        <v>1600</v>
      </c>
      <c r="C2852" s="455">
        <v>0</v>
      </c>
      <c r="D2852" s="637">
        <f t="shared" si="96"/>
        <v>0</v>
      </c>
      <c r="E2852" s="637">
        <f t="shared" si="97"/>
        <v>0</v>
      </c>
    </row>
    <row r="2853" spans="1:5">
      <c r="A2853">
        <v>42913</v>
      </c>
      <c r="B2853">
        <v>1700</v>
      </c>
      <c r="C2853" s="455">
        <v>0</v>
      </c>
      <c r="D2853" s="637">
        <f t="shared" si="96"/>
        <v>0</v>
      </c>
      <c r="E2853" s="637">
        <f t="shared" si="97"/>
        <v>0</v>
      </c>
    </row>
    <row r="2854" spans="1:5">
      <c r="A2854">
        <v>42913</v>
      </c>
      <c r="B2854">
        <v>1800</v>
      </c>
      <c r="C2854" s="455">
        <v>0.01</v>
      </c>
      <c r="D2854" s="637">
        <f t="shared" si="96"/>
        <v>2.3555555555555559E-2</v>
      </c>
      <c r="E2854" s="637">
        <f t="shared" si="97"/>
        <v>4.3111111111111128E-2</v>
      </c>
    </row>
    <row r="2855" spans="1:5">
      <c r="A2855">
        <v>42913</v>
      </c>
      <c r="B2855">
        <v>1900</v>
      </c>
      <c r="C2855" s="455">
        <v>4.6909999999999998</v>
      </c>
      <c r="D2855" s="637">
        <f t="shared" si="96"/>
        <v>11.049911111111111</v>
      </c>
      <c r="E2855" s="637">
        <f t="shared" si="97"/>
        <v>20.223422222222226</v>
      </c>
    </row>
    <row r="2856" spans="1:5">
      <c r="A2856">
        <v>42913</v>
      </c>
      <c r="B2856">
        <v>2000</v>
      </c>
      <c r="C2856" s="455">
        <v>9.0229999999999997</v>
      </c>
      <c r="D2856" s="637">
        <f t="shared" si="96"/>
        <v>21.254177777777777</v>
      </c>
      <c r="E2856" s="637">
        <f t="shared" si="97"/>
        <v>38.899155555555566</v>
      </c>
    </row>
    <row r="2857" spans="1:5">
      <c r="A2857">
        <v>42913</v>
      </c>
      <c r="B2857">
        <v>2100</v>
      </c>
      <c r="C2857" s="455">
        <v>7.1340000000000003</v>
      </c>
      <c r="D2857" s="637">
        <f t="shared" si="96"/>
        <v>16.804533333333335</v>
      </c>
      <c r="E2857" s="637">
        <f t="shared" si="97"/>
        <v>30.755466666666674</v>
      </c>
    </row>
    <row r="2858" spans="1:5">
      <c r="A2858">
        <v>42913</v>
      </c>
      <c r="B2858">
        <v>2200</v>
      </c>
      <c r="C2858" s="455">
        <v>7.1420000000000003</v>
      </c>
      <c r="D2858" s="637">
        <f t="shared" si="96"/>
        <v>16.823377777777779</v>
      </c>
      <c r="E2858" s="637">
        <f t="shared" si="97"/>
        <v>30.789955555555562</v>
      </c>
    </row>
    <row r="2859" spans="1:5">
      <c r="A2859">
        <v>42913</v>
      </c>
      <c r="B2859">
        <v>2300</v>
      </c>
      <c r="C2859" s="455">
        <v>6.6989999999999998</v>
      </c>
      <c r="D2859" s="637">
        <f t="shared" si="96"/>
        <v>15.779866666666665</v>
      </c>
      <c r="E2859" s="637">
        <f t="shared" si="97"/>
        <v>28.880133333333337</v>
      </c>
    </row>
    <row r="2860" spans="1:5">
      <c r="A2860">
        <v>42913</v>
      </c>
      <c r="B2860">
        <v>2400</v>
      </c>
      <c r="C2860" s="455">
        <v>7.06</v>
      </c>
      <c r="D2860" s="637">
        <f t="shared" si="96"/>
        <v>16.630222222222219</v>
      </c>
      <c r="E2860" s="637">
        <f t="shared" si="97"/>
        <v>30.436444444444447</v>
      </c>
    </row>
    <row r="2861" spans="1:5">
      <c r="A2861">
        <v>43013</v>
      </c>
      <c r="B2861">
        <v>100</v>
      </c>
      <c r="C2861" s="455">
        <v>7.0670000000000002</v>
      </c>
      <c r="D2861" s="637">
        <f t="shared" si="96"/>
        <v>16.646711111111113</v>
      </c>
      <c r="E2861" s="637">
        <f t="shared" si="97"/>
        <v>30.466622222222231</v>
      </c>
    </row>
    <row r="2862" spans="1:5">
      <c r="A2862">
        <v>43013</v>
      </c>
      <c r="B2862">
        <v>200</v>
      </c>
      <c r="C2862" s="455">
        <v>7.0119999999999996</v>
      </c>
      <c r="D2862" s="637">
        <f t="shared" si="96"/>
        <v>16.517155555555554</v>
      </c>
      <c r="E2862" s="637">
        <f t="shared" si="97"/>
        <v>30.229511111111115</v>
      </c>
    </row>
    <row r="2863" spans="1:5">
      <c r="A2863">
        <v>43013</v>
      </c>
      <c r="B2863">
        <v>300</v>
      </c>
      <c r="C2863" s="455">
        <v>7.1379999999999999</v>
      </c>
      <c r="D2863" s="637">
        <f t="shared" si="96"/>
        <v>16.813955555555555</v>
      </c>
      <c r="E2863" s="637">
        <f t="shared" si="97"/>
        <v>30.772711111111118</v>
      </c>
    </row>
    <row r="2864" spans="1:5">
      <c r="A2864">
        <v>43013</v>
      </c>
      <c r="B2864">
        <v>400</v>
      </c>
      <c r="C2864" s="455">
        <v>6.7039999999999997</v>
      </c>
      <c r="D2864" s="637">
        <f t="shared" si="96"/>
        <v>15.791644444444444</v>
      </c>
      <c r="E2864" s="637">
        <f t="shared" si="97"/>
        <v>28.901688888888895</v>
      </c>
    </row>
    <row r="2865" spans="1:5">
      <c r="A2865">
        <v>43013</v>
      </c>
      <c r="B2865">
        <v>500</v>
      </c>
      <c r="C2865" s="455">
        <v>7.3979999999999997</v>
      </c>
      <c r="D2865" s="637">
        <f t="shared" si="96"/>
        <v>17.426399999999997</v>
      </c>
      <c r="E2865" s="637">
        <f t="shared" si="97"/>
        <v>31.893600000000006</v>
      </c>
    </row>
    <row r="2866" spans="1:5">
      <c r="A2866">
        <v>43013</v>
      </c>
      <c r="B2866">
        <v>600</v>
      </c>
      <c r="C2866" s="455">
        <v>7.57</v>
      </c>
      <c r="D2866" s="637">
        <f t="shared" si="96"/>
        <v>17.831555555555557</v>
      </c>
      <c r="E2866" s="637">
        <f t="shared" si="97"/>
        <v>32.635111111111122</v>
      </c>
    </row>
    <row r="2867" spans="1:5">
      <c r="A2867">
        <v>43013</v>
      </c>
      <c r="B2867">
        <v>700</v>
      </c>
      <c r="C2867" s="455">
        <v>0.16600000000000001</v>
      </c>
      <c r="D2867" s="637">
        <f t="shared" si="96"/>
        <v>0.39102222222222222</v>
      </c>
      <c r="E2867" s="637">
        <f t="shared" si="97"/>
        <v>0.71564444444444464</v>
      </c>
    </row>
    <row r="2868" spans="1:5">
      <c r="A2868">
        <v>43013</v>
      </c>
      <c r="B2868">
        <v>800</v>
      </c>
      <c r="C2868" s="455">
        <v>0</v>
      </c>
      <c r="D2868" s="637">
        <f t="shared" si="96"/>
        <v>0</v>
      </c>
      <c r="E2868" s="637">
        <f t="shared" si="97"/>
        <v>0</v>
      </c>
    </row>
    <row r="2869" spans="1:5">
      <c r="A2869">
        <v>43013</v>
      </c>
      <c r="B2869">
        <v>900</v>
      </c>
      <c r="C2869" s="455">
        <v>0.28799999999999998</v>
      </c>
      <c r="D2869" s="637">
        <f t="shared" si="96"/>
        <v>0.67839999999999989</v>
      </c>
      <c r="E2869" s="637">
        <f t="shared" si="97"/>
        <v>1.2416000000000003</v>
      </c>
    </row>
    <row r="2870" spans="1:5">
      <c r="A2870">
        <v>43013</v>
      </c>
      <c r="B2870">
        <v>1000</v>
      </c>
      <c r="C2870" s="455">
        <v>0</v>
      </c>
      <c r="D2870" s="637">
        <f t="shared" ref="D2870:D2884" si="98">(C2870/(MAX($C$2165:$C$2884)))*$W$8</f>
        <v>0</v>
      </c>
      <c r="E2870" s="637">
        <f t="shared" ref="E2870:E2884" si="99">(C2870/(MAX($C$2165:$C$2884)))*$P$8</f>
        <v>0</v>
      </c>
    </row>
    <row r="2871" spans="1:5">
      <c r="A2871">
        <v>43013</v>
      </c>
      <c r="B2871">
        <v>1100</v>
      </c>
      <c r="C2871" s="455">
        <v>0</v>
      </c>
      <c r="D2871" s="637">
        <f t="shared" si="98"/>
        <v>0</v>
      </c>
      <c r="E2871" s="637">
        <f t="shared" si="99"/>
        <v>0</v>
      </c>
    </row>
    <row r="2872" spans="1:5">
      <c r="A2872">
        <v>43013</v>
      </c>
      <c r="B2872">
        <v>1200</v>
      </c>
      <c r="C2872" s="455">
        <v>0</v>
      </c>
      <c r="D2872" s="637">
        <f t="shared" si="98"/>
        <v>0</v>
      </c>
      <c r="E2872" s="637">
        <f t="shared" si="99"/>
        <v>0</v>
      </c>
    </row>
    <row r="2873" spans="1:5">
      <c r="A2873">
        <v>43013</v>
      </c>
      <c r="B2873">
        <v>1300</v>
      </c>
      <c r="C2873" s="455">
        <v>0</v>
      </c>
      <c r="D2873" s="637">
        <f t="shared" si="98"/>
        <v>0</v>
      </c>
      <c r="E2873" s="637">
        <f t="shared" si="99"/>
        <v>0</v>
      </c>
    </row>
    <row r="2874" spans="1:5">
      <c r="A2874">
        <v>43013</v>
      </c>
      <c r="B2874">
        <v>1400</v>
      </c>
      <c r="C2874" s="455">
        <v>0</v>
      </c>
      <c r="D2874" s="637">
        <f t="shared" si="98"/>
        <v>0</v>
      </c>
      <c r="E2874" s="637">
        <f t="shared" si="99"/>
        <v>0</v>
      </c>
    </row>
    <row r="2875" spans="1:5">
      <c r="A2875">
        <v>43013</v>
      </c>
      <c r="B2875">
        <v>1500</v>
      </c>
      <c r="C2875" s="455">
        <v>0</v>
      </c>
      <c r="D2875" s="637">
        <f t="shared" si="98"/>
        <v>0</v>
      </c>
      <c r="E2875" s="637">
        <f t="shared" si="99"/>
        <v>0</v>
      </c>
    </row>
    <row r="2876" spans="1:5">
      <c r="A2876">
        <v>43013</v>
      </c>
      <c r="B2876">
        <v>1600</v>
      </c>
      <c r="C2876" s="455">
        <v>0</v>
      </c>
      <c r="D2876" s="637">
        <f t="shared" si="98"/>
        <v>0</v>
      </c>
      <c r="E2876" s="637">
        <f t="shared" si="99"/>
        <v>0</v>
      </c>
    </row>
    <row r="2877" spans="1:5">
      <c r="A2877">
        <v>43013</v>
      </c>
      <c r="B2877">
        <v>1700</v>
      </c>
      <c r="C2877" s="455">
        <v>0</v>
      </c>
      <c r="D2877" s="637">
        <f t="shared" si="98"/>
        <v>0</v>
      </c>
      <c r="E2877" s="637">
        <f t="shared" si="99"/>
        <v>0</v>
      </c>
    </row>
    <row r="2878" spans="1:5">
      <c r="A2878">
        <v>43013</v>
      </c>
      <c r="B2878">
        <v>1800</v>
      </c>
      <c r="C2878" s="455">
        <v>0</v>
      </c>
      <c r="D2878" s="637">
        <f t="shared" si="98"/>
        <v>0</v>
      </c>
      <c r="E2878" s="637">
        <f t="shared" si="99"/>
        <v>0</v>
      </c>
    </row>
    <row r="2879" spans="1:5">
      <c r="A2879">
        <v>43013</v>
      </c>
      <c r="B2879">
        <v>1900</v>
      </c>
      <c r="C2879" s="455">
        <v>4.2000000000000003E-2</v>
      </c>
      <c r="D2879" s="637">
        <f t="shared" si="98"/>
        <v>9.8933333333333331E-2</v>
      </c>
      <c r="E2879" s="637">
        <f t="shared" si="99"/>
        <v>0.18106666666666671</v>
      </c>
    </row>
    <row r="2880" spans="1:5">
      <c r="A2880">
        <v>43013</v>
      </c>
      <c r="B2880">
        <v>2000</v>
      </c>
      <c r="C2880" s="455">
        <v>8.1980000000000004</v>
      </c>
      <c r="D2880" s="637">
        <f t="shared" si="98"/>
        <v>19.310844444444445</v>
      </c>
      <c r="E2880" s="637">
        <f t="shared" si="99"/>
        <v>35.342488888888901</v>
      </c>
    </row>
    <row r="2881" spans="1:5">
      <c r="A2881">
        <v>43013</v>
      </c>
      <c r="B2881">
        <v>2100</v>
      </c>
      <c r="C2881" s="455">
        <v>7.0869999999999997</v>
      </c>
      <c r="D2881" s="637">
        <f t="shared" si="98"/>
        <v>16.693822222222224</v>
      </c>
      <c r="E2881" s="637">
        <f t="shared" si="99"/>
        <v>30.552844444444453</v>
      </c>
    </row>
    <row r="2882" spans="1:5">
      <c r="A2882">
        <v>43013</v>
      </c>
      <c r="B2882">
        <v>2200</v>
      </c>
      <c r="C2882" s="455">
        <v>6.915</v>
      </c>
      <c r="D2882" s="637">
        <f t="shared" si="98"/>
        <v>16.288666666666668</v>
      </c>
      <c r="E2882" s="637">
        <f t="shared" si="99"/>
        <v>29.811333333333344</v>
      </c>
    </row>
    <row r="2883" spans="1:5">
      <c r="A2883">
        <v>43013</v>
      </c>
      <c r="B2883">
        <v>2300</v>
      </c>
      <c r="C2883" s="455">
        <v>7.0640000000000001</v>
      </c>
      <c r="D2883" s="637">
        <f t="shared" si="98"/>
        <v>16.639644444444446</v>
      </c>
      <c r="E2883" s="637">
        <f t="shared" si="99"/>
        <v>30.453688888888895</v>
      </c>
    </row>
    <row r="2884" spans="1:5">
      <c r="A2884" s="647">
        <v>43013</v>
      </c>
      <c r="B2884" s="647">
        <v>2400</v>
      </c>
      <c r="C2884" s="648">
        <v>6.9969999999999999</v>
      </c>
      <c r="D2884" s="637">
        <f t="shared" si="98"/>
        <v>16.481822222222224</v>
      </c>
      <c r="E2884" s="645">
        <f t="shared" si="99"/>
        <v>30.164844444444451</v>
      </c>
    </row>
    <row r="2885" spans="1:5">
      <c r="A2885">
        <v>50113</v>
      </c>
      <c r="B2885">
        <v>100</v>
      </c>
      <c r="C2885" s="455">
        <v>7.2009999999999996</v>
      </c>
      <c r="D2885" s="637">
        <f>(C2885/(MAX($C$2885:$C$3628)))*$W$9</f>
        <v>16.272848039215688</v>
      </c>
      <c r="E2885" s="637">
        <f>(C2885/(MAX($C$2885:$C$3628)))*$P$9</f>
        <v>27.886225490196086</v>
      </c>
    </row>
    <row r="2886" spans="1:5">
      <c r="A2886">
        <v>50113</v>
      </c>
      <c r="B2886">
        <v>200</v>
      </c>
      <c r="C2886" s="455">
        <v>7.2679999999999998</v>
      </c>
      <c r="D2886" s="637">
        <f t="shared" ref="D2886:D2949" si="100">(C2886/(MAX($C$2885:$C$3628)))*$W$9</f>
        <v>16.424254901960786</v>
      </c>
      <c r="E2886" s="637">
        <f t="shared" ref="E2886:E2949" si="101">(C2886/(MAX($C$2885:$C$3628)))*$P$9</f>
        <v>28.14568627450981</v>
      </c>
    </row>
    <row r="2887" spans="1:5">
      <c r="A2887">
        <v>50113</v>
      </c>
      <c r="B2887">
        <v>300</v>
      </c>
      <c r="C2887" s="455">
        <v>7.12</v>
      </c>
      <c r="D2887" s="637">
        <f t="shared" si="100"/>
        <v>16.089803921568627</v>
      </c>
      <c r="E2887" s="637">
        <f t="shared" si="101"/>
        <v>27.572549019607852</v>
      </c>
    </row>
    <row r="2888" spans="1:5">
      <c r="A2888">
        <v>50113</v>
      </c>
      <c r="B2888">
        <v>400</v>
      </c>
      <c r="C2888" s="455">
        <v>7.04</v>
      </c>
      <c r="D2888" s="637">
        <f t="shared" si="100"/>
        <v>15.90901960784314</v>
      </c>
      <c r="E2888" s="637">
        <f t="shared" si="101"/>
        <v>27.262745098039225</v>
      </c>
    </row>
    <row r="2889" spans="1:5">
      <c r="A2889">
        <v>50113</v>
      </c>
      <c r="B2889">
        <v>500</v>
      </c>
      <c r="C2889" s="455">
        <v>7.0510000000000002</v>
      </c>
      <c r="D2889" s="637">
        <f t="shared" si="100"/>
        <v>15.933877450980393</v>
      </c>
      <c r="E2889" s="637">
        <f t="shared" si="101"/>
        <v>27.305343137254908</v>
      </c>
    </row>
    <row r="2890" spans="1:5">
      <c r="A2890">
        <v>50113</v>
      </c>
      <c r="B2890">
        <v>600</v>
      </c>
      <c r="C2890" s="455">
        <v>4.8239999999999998</v>
      </c>
      <c r="D2890" s="637">
        <f t="shared" si="100"/>
        <v>10.90129411764706</v>
      </c>
      <c r="E2890" s="637">
        <f t="shared" si="101"/>
        <v>18.681176470588241</v>
      </c>
    </row>
    <row r="2891" spans="1:5">
      <c r="A2891">
        <v>50113</v>
      </c>
      <c r="B2891">
        <v>700</v>
      </c>
      <c r="C2891" s="455">
        <v>0</v>
      </c>
      <c r="D2891" s="637">
        <f t="shared" si="100"/>
        <v>0</v>
      </c>
      <c r="E2891" s="637">
        <f t="shared" si="101"/>
        <v>0</v>
      </c>
    </row>
    <row r="2892" spans="1:5">
      <c r="A2892">
        <v>50113</v>
      </c>
      <c r="B2892">
        <v>800</v>
      </c>
      <c r="C2892" s="455">
        <v>0</v>
      </c>
      <c r="D2892" s="637">
        <f t="shared" si="100"/>
        <v>0</v>
      </c>
      <c r="E2892" s="637">
        <f t="shared" si="101"/>
        <v>0</v>
      </c>
    </row>
    <row r="2893" spans="1:5">
      <c r="A2893">
        <v>50113</v>
      </c>
      <c r="B2893">
        <v>900</v>
      </c>
      <c r="C2893" s="455">
        <v>0</v>
      </c>
      <c r="D2893" s="637">
        <f t="shared" si="100"/>
        <v>0</v>
      </c>
      <c r="E2893" s="637">
        <f t="shared" si="101"/>
        <v>0</v>
      </c>
    </row>
    <row r="2894" spans="1:5">
      <c r="A2894">
        <v>50113</v>
      </c>
      <c r="B2894">
        <v>1000</v>
      </c>
      <c r="C2894" s="455">
        <v>0</v>
      </c>
      <c r="D2894" s="637">
        <f t="shared" si="100"/>
        <v>0</v>
      </c>
      <c r="E2894" s="637">
        <f t="shared" si="101"/>
        <v>0</v>
      </c>
    </row>
    <row r="2895" spans="1:5">
      <c r="A2895">
        <v>50113</v>
      </c>
      <c r="B2895">
        <v>1100</v>
      </c>
      <c r="C2895" s="455">
        <v>5.0000000000000001E-3</v>
      </c>
      <c r="D2895" s="637">
        <f t="shared" si="100"/>
        <v>1.1299019607843139E-2</v>
      </c>
      <c r="E2895" s="637">
        <f t="shared" si="101"/>
        <v>1.936274509803922E-2</v>
      </c>
    </row>
    <row r="2896" spans="1:5">
      <c r="A2896">
        <v>50113</v>
      </c>
      <c r="B2896">
        <v>1200</v>
      </c>
      <c r="C2896" s="455">
        <v>1.2999999999999999E-2</v>
      </c>
      <c r="D2896" s="637">
        <f t="shared" si="100"/>
        <v>2.9377450980392156E-2</v>
      </c>
      <c r="E2896" s="637">
        <f t="shared" si="101"/>
        <v>5.0343137254901971E-2</v>
      </c>
    </row>
    <row r="2897" spans="1:5">
      <c r="A2897">
        <v>50113</v>
      </c>
      <c r="B2897">
        <v>1300</v>
      </c>
      <c r="C2897" s="455">
        <v>0</v>
      </c>
      <c r="D2897" s="637">
        <f t="shared" si="100"/>
        <v>0</v>
      </c>
      <c r="E2897" s="637">
        <f t="shared" si="101"/>
        <v>0</v>
      </c>
    </row>
    <row r="2898" spans="1:5">
      <c r="A2898">
        <v>50113</v>
      </c>
      <c r="B2898">
        <v>1400</v>
      </c>
      <c r="C2898" s="455">
        <v>1.4E-2</v>
      </c>
      <c r="D2898" s="637">
        <f t="shared" si="100"/>
        <v>3.1637254901960794E-2</v>
      </c>
      <c r="E2898" s="637">
        <f t="shared" si="101"/>
        <v>5.4215686274509824E-2</v>
      </c>
    </row>
    <row r="2899" spans="1:5">
      <c r="A2899">
        <v>50113</v>
      </c>
      <c r="B2899">
        <v>1500</v>
      </c>
      <c r="C2899" s="455">
        <v>2.5000000000000001E-2</v>
      </c>
      <c r="D2899" s="637">
        <f t="shared" si="100"/>
        <v>5.6495098039215694E-2</v>
      </c>
      <c r="E2899" s="637">
        <f t="shared" si="101"/>
        <v>9.6813725490196109E-2</v>
      </c>
    </row>
    <row r="2900" spans="1:5">
      <c r="A2900">
        <v>50113</v>
      </c>
      <c r="B2900">
        <v>1600</v>
      </c>
      <c r="C2900" s="455">
        <v>0</v>
      </c>
      <c r="D2900" s="637">
        <f t="shared" si="100"/>
        <v>0</v>
      </c>
      <c r="E2900" s="637">
        <f t="shared" si="101"/>
        <v>0</v>
      </c>
    </row>
    <row r="2901" spans="1:5">
      <c r="A2901">
        <v>50113</v>
      </c>
      <c r="B2901">
        <v>1700</v>
      </c>
      <c r="C2901" s="455">
        <v>0</v>
      </c>
      <c r="D2901" s="637">
        <f t="shared" si="100"/>
        <v>0</v>
      </c>
      <c r="E2901" s="637">
        <f t="shared" si="101"/>
        <v>0</v>
      </c>
    </row>
    <row r="2902" spans="1:5">
      <c r="A2902">
        <v>50113</v>
      </c>
      <c r="B2902">
        <v>1800</v>
      </c>
      <c r="C2902" s="455">
        <v>0</v>
      </c>
      <c r="D2902" s="637">
        <f t="shared" si="100"/>
        <v>0</v>
      </c>
      <c r="E2902" s="637">
        <f t="shared" si="101"/>
        <v>0</v>
      </c>
    </row>
    <row r="2903" spans="1:5">
      <c r="A2903">
        <v>50113</v>
      </c>
      <c r="B2903">
        <v>1900</v>
      </c>
      <c r="C2903" s="455">
        <v>7.0000000000000001E-3</v>
      </c>
      <c r="D2903" s="637">
        <f t="shared" si="100"/>
        <v>1.5818627450980397E-2</v>
      </c>
      <c r="E2903" s="637">
        <f t="shared" si="101"/>
        <v>2.7107843137254912E-2</v>
      </c>
    </row>
    <row r="2904" spans="1:5">
      <c r="A2904">
        <v>50113</v>
      </c>
      <c r="B2904">
        <v>2000</v>
      </c>
      <c r="C2904" s="455">
        <v>7.9219999999999997</v>
      </c>
      <c r="D2904" s="637">
        <f t="shared" si="100"/>
        <v>17.90216666666667</v>
      </c>
      <c r="E2904" s="637">
        <f t="shared" si="101"/>
        <v>30.678333333333342</v>
      </c>
    </row>
    <row r="2905" spans="1:5">
      <c r="A2905">
        <v>50113</v>
      </c>
      <c r="B2905">
        <v>2100</v>
      </c>
      <c r="C2905" s="455">
        <v>7.1139999999999999</v>
      </c>
      <c r="D2905" s="637">
        <f t="shared" si="100"/>
        <v>16.076245098039216</v>
      </c>
      <c r="E2905" s="637">
        <f t="shared" si="101"/>
        <v>27.549313725490205</v>
      </c>
    </row>
    <row r="2906" spans="1:5">
      <c r="A2906">
        <v>50113</v>
      </c>
      <c r="B2906">
        <v>2200</v>
      </c>
      <c r="C2906" s="455">
        <v>6.8979999999999997</v>
      </c>
      <c r="D2906" s="637">
        <f t="shared" si="100"/>
        <v>15.588127450980393</v>
      </c>
      <c r="E2906" s="637">
        <f t="shared" si="101"/>
        <v>26.712843137254907</v>
      </c>
    </row>
    <row r="2907" spans="1:5">
      <c r="A2907">
        <v>50113</v>
      </c>
      <c r="B2907">
        <v>2300</v>
      </c>
      <c r="C2907" s="455">
        <v>7.0380000000000003</v>
      </c>
      <c r="D2907" s="637">
        <f t="shared" si="100"/>
        <v>15.904500000000001</v>
      </c>
      <c r="E2907" s="637">
        <f t="shared" si="101"/>
        <v>27.255000000000006</v>
      </c>
    </row>
    <row r="2908" spans="1:5">
      <c r="A2908">
        <v>50113</v>
      </c>
      <c r="B2908">
        <v>2400</v>
      </c>
      <c r="C2908" s="455">
        <v>7.12</v>
      </c>
      <c r="D2908" s="637">
        <f t="shared" si="100"/>
        <v>16.089803921568627</v>
      </c>
      <c r="E2908" s="637">
        <f t="shared" si="101"/>
        <v>27.572549019607852</v>
      </c>
    </row>
    <row r="2909" spans="1:5">
      <c r="A2909">
        <v>50213</v>
      </c>
      <c r="B2909">
        <v>100</v>
      </c>
      <c r="C2909" s="455">
        <v>6.9720000000000004</v>
      </c>
      <c r="D2909" s="637">
        <f t="shared" si="100"/>
        <v>15.755352941176474</v>
      </c>
      <c r="E2909" s="637">
        <f t="shared" si="101"/>
        <v>26.999411764705894</v>
      </c>
    </row>
    <row r="2910" spans="1:5">
      <c r="A2910">
        <v>50213</v>
      </c>
      <c r="B2910">
        <v>200</v>
      </c>
      <c r="C2910" s="455">
        <v>7.1980000000000004</v>
      </c>
      <c r="D2910" s="637">
        <f t="shared" si="100"/>
        <v>16.266068627450984</v>
      </c>
      <c r="E2910" s="637">
        <f t="shared" si="101"/>
        <v>27.874607843137266</v>
      </c>
    </row>
    <row r="2911" spans="1:5">
      <c r="A2911">
        <v>50213</v>
      </c>
      <c r="B2911">
        <v>300</v>
      </c>
      <c r="C2911" s="455">
        <v>7.1950000000000003</v>
      </c>
      <c r="D2911" s="637">
        <f t="shared" si="100"/>
        <v>16.259289215686277</v>
      </c>
      <c r="E2911" s="637">
        <f t="shared" si="101"/>
        <v>27.862990196078442</v>
      </c>
    </row>
    <row r="2912" spans="1:5">
      <c r="A2912">
        <v>50213</v>
      </c>
      <c r="B2912">
        <v>400</v>
      </c>
      <c r="C2912" s="455">
        <v>7.1959999999999997</v>
      </c>
      <c r="D2912" s="637">
        <f t="shared" si="100"/>
        <v>16.261549019607845</v>
      </c>
      <c r="E2912" s="637">
        <f t="shared" si="101"/>
        <v>27.866862745098047</v>
      </c>
    </row>
    <row r="2913" spans="1:5">
      <c r="A2913">
        <v>50213</v>
      </c>
      <c r="B2913">
        <v>500</v>
      </c>
      <c r="C2913" s="455">
        <v>7.1420000000000003</v>
      </c>
      <c r="D2913" s="637">
        <f t="shared" si="100"/>
        <v>16.139519607843141</v>
      </c>
      <c r="E2913" s="637">
        <f t="shared" si="101"/>
        <v>27.657745098039225</v>
      </c>
    </row>
    <row r="2914" spans="1:5">
      <c r="A2914">
        <v>50213</v>
      </c>
      <c r="B2914">
        <v>600</v>
      </c>
      <c r="C2914" s="455">
        <v>3.7029999999999998</v>
      </c>
      <c r="D2914" s="637">
        <f t="shared" si="100"/>
        <v>8.3680539215686274</v>
      </c>
      <c r="E2914" s="637">
        <f t="shared" si="101"/>
        <v>14.340049019607847</v>
      </c>
    </row>
    <row r="2915" spans="1:5">
      <c r="A2915">
        <v>50213</v>
      </c>
      <c r="B2915">
        <v>700</v>
      </c>
      <c r="C2915" s="455">
        <v>0</v>
      </c>
      <c r="D2915" s="637">
        <f t="shared" si="100"/>
        <v>0</v>
      </c>
      <c r="E2915" s="637">
        <f t="shared" si="101"/>
        <v>0</v>
      </c>
    </row>
    <row r="2916" spans="1:5">
      <c r="A2916">
        <v>50213</v>
      </c>
      <c r="B2916">
        <v>800</v>
      </c>
      <c r="C2916" s="455">
        <v>0</v>
      </c>
      <c r="D2916" s="637">
        <f t="shared" si="100"/>
        <v>0</v>
      </c>
      <c r="E2916" s="637">
        <f t="shared" si="101"/>
        <v>0</v>
      </c>
    </row>
    <row r="2917" spans="1:5">
      <c r="A2917">
        <v>50213</v>
      </c>
      <c r="B2917">
        <v>900</v>
      </c>
      <c r="C2917" s="455">
        <v>0</v>
      </c>
      <c r="D2917" s="637">
        <f t="shared" si="100"/>
        <v>0</v>
      </c>
      <c r="E2917" s="637">
        <f t="shared" si="101"/>
        <v>0</v>
      </c>
    </row>
    <row r="2918" spans="1:5">
      <c r="A2918">
        <v>50213</v>
      </c>
      <c r="B2918">
        <v>1000</v>
      </c>
      <c r="C2918" s="455">
        <v>2.8000000000000001E-2</v>
      </c>
      <c r="D2918" s="637">
        <f t="shared" si="100"/>
        <v>6.3274509803921589E-2</v>
      </c>
      <c r="E2918" s="637">
        <f t="shared" si="101"/>
        <v>0.10843137254901965</v>
      </c>
    </row>
    <row r="2919" spans="1:5">
      <c r="A2919">
        <v>50213</v>
      </c>
      <c r="B2919">
        <v>1100</v>
      </c>
      <c r="C2919" s="455">
        <v>0</v>
      </c>
      <c r="D2919" s="637">
        <f t="shared" si="100"/>
        <v>0</v>
      </c>
      <c r="E2919" s="637">
        <f t="shared" si="101"/>
        <v>0</v>
      </c>
    </row>
    <row r="2920" spans="1:5">
      <c r="A2920">
        <v>50213</v>
      </c>
      <c r="B2920">
        <v>1200</v>
      </c>
      <c r="C2920" s="455">
        <v>0</v>
      </c>
      <c r="D2920" s="637">
        <f t="shared" si="100"/>
        <v>0</v>
      </c>
      <c r="E2920" s="637">
        <f t="shared" si="101"/>
        <v>0</v>
      </c>
    </row>
    <row r="2921" spans="1:5">
      <c r="A2921">
        <v>50213</v>
      </c>
      <c r="B2921">
        <v>1300</v>
      </c>
      <c r="C2921" s="455">
        <v>0</v>
      </c>
      <c r="D2921" s="637">
        <f t="shared" si="100"/>
        <v>0</v>
      </c>
      <c r="E2921" s="637">
        <f t="shared" si="101"/>
        <v>0</v>
      </c>
    </row>
    <row r="2922" spans="1:5">
      <c r="A2922">
        <v>50213</v>
      </c>
      <c r="B2922">
        <v>1400</v>
      </c>
      <c r="C2922" s="455">
        <v>0</v>
      </c>
      <c r="D2922" s="637">
        <f t="shared" si="100"/>
        <v>0</v>
      </c>
      <c r="E2922" s="637">
        <f t="shared" si="101"/>
        <v>0</v>
      </c>
    </row>
    <row r="2923" spans="1:5">
      <c r="A2923">
        <v>50213</v>
      </c>
      <c r="B2923">
        <v>1500</v>
      </c>
      <c r="C2923" s="455">
        <v>0</v>
      </c>
      <c r="D2923" s="637">
        <f t="shared" si="100"/>
        <v>0</v>
      </c>
      <c r="E2923" s="637">
        <f t="shared" si="101"/>
        <v>0</v>
      </c>
    </row>
    <row r="2924" spans="1:5">
      <c r="A2924">
        <v>50213</v>
      </c>
      <c r="B2924">
        <v>1600</v>
      </c>
      <c r="C2924" s="455">
        <v>0</v>
      </c>
      <c r="D2924" s="637">
        <f t="shared" si="100"/>
        <v>0</v>
      </c>
      <c r="E2924" s="637">
        <f t="shared" si="101"/>
        <v>0</v>
      </c>
    </row>
    <row r="2925" spans="1:5">
      <c r="A2925">
        <v>50213</v>
      </c>
      <c r="B2925">
        <v>1700</v>
      </c>
      <c r="C2925" s="455">
        <v>0</v>
      </c>
      <c r="D2925" s="637">
        <f t="shared" si="100"/>
        <v>0</v>
      </c>
      <c r="E2925" s="637">
        <f t="shared" si="101"/>
        <v>0</v>
      </c>
    </row>
    <row r="2926" spans="1:5">
      <c r="A2926">
        <v>50213</v>
      </c>
      <c r="B2926">
        <v>1800</v>
      </c>
      <c r="C2926" s="455">
        <v>0</v>
      </c>
      <c r="D2926" s="637">
        <f t="shared" si="100"/>
        <v>0</v>
      </c>
      <c r="E2926" s="637">
        <f t="shared" si="101"/>
        <v>0</v>
      </c>
    </row>
    <row r="2927" spans="1:5">
      <c r="A2927">
        <v>50213</v>
      </c>
      <c r="B2927">
        <v>1900</v>
      </c>
      <c r="C2927" s="455">
        <v>3.2000000000000001E-2</v>
      </c>
      <c r="D2927" s="637">
        <f t="shared" si="100"/>
        <v>7.2313725490196087E-2</v>
      </c>
      <c r="E2927" s="637">
        <f t="shared" si="101"/>
        <v>0.12392156862745102</v>
      </c>
    </row>
    <row r="2928" spans="1:5">
      <c r="A2928">
        <v>50213</v>
      </c>
      <c r="B2928">
        <v>2000</v>
      </c>
      <c r="C2928" s="455">
        <v>7.8040000000000003</v>
      </c>
      <c r="D2928" s="637">
        <f t="shared" si="100"/>
        <v>17.635509803921572</v>
      </c>
      <c r="E2928" s="637">
        <f t="shared" si="101"/>
        <v>30.221372549019616</v>
      </c>
    </row>
    <row r="2929" spans="1:5">
      <c r="A2929">
        <v>50213</v>
      </c>
      <c r="B2929">
        <v>2100</v>
      </c>
      <c r="C2929" s="455">
        <v>7.1150000000000002</v>
      </c>
      <c r="D2929" s="637">
        <f t="shared" si="100"/>
        <v>16.078504901960784</v>
      </c>
      <c r="E2929" s="637">
        <f t="shared" si="101"/>
        <v>27.553186274509809</v>
      </c>
    </row>
    <row r="2930" spans="1:5">
      <c r="A2930">
        <v>50213</v>
      </c>
      <c r="B2930">
        <v>2200</v>
      </c>
      <c r="C2930" s="455">
        <v>7.11</v>
      </c>
      <c r="D2930" s="637">
        <f t="shared" si="100"/>
        <v>16.067205882352944</v>
      </c>
      <c r="E2930" s="637">
        <f t="shared" si="101"/>
        <v>27.533823529411777</v>
      </c>
    </row>
    <row r="2931" spans="1:5">
      <c r="A2931">
        <v>50213</v>
      </c>
      <c r="B2931">
        <v>2300</v>
      </c>
      <c r="C2931" s="455">
        <v>6.8259999999999996</v>
      </c>
      <c r="D2931" s="637">
        <f t="shared" si="100"/>
        <v>15.425421568627453</v>
      </c>
      <c r="E2931" s="637">
        <f t="shared" si="101"/>
        <v>26.434019607843144</v>
      </c>
    </row>
    <row r="2932" spans="1:5">
      <c r="A2932">
        <v>50213</v>
      </c>
      <c r="B2932">
        <v>2400</v>
      </c>
      <c r="C2932" s="455">
        <v>7.1849999999999996</v>
      </c>
      <c r="D2932" s="637">
        <f t="shared" si="100"/>
        <v>16.23669117647059</v>
      </c>
      <c r="E2932" s="637">
        <f t="shared" si="101"/>
        <v>27.824264705882356</v>
      </c>
    </row>
    <row r="2933" spans="1:5">
      <c r="A2933">
        <v>50313</v>
      </c>
      <c r="B2933">
        <v>100</v>
      </c>
      <c r="C2933" s="455">
        <v>7.0540000000000003</v>
      </c>
      <c r="D2933" s="637">
        <f t="shared" si="100"/>
        <v>15.940656862745099</v>
      </c>
      <c r="E2933" s="637">
        <f t="shared" si="101"/>
        <v>27.316960784313732</v>
      </c>
    </row>
    <row r="2934" spans="1:5">
      <c r="A2934">
        <v>50313</v>
      </c>
      <c r="B2934">
        <v>200</v>
      </c>
      <c r="C2934" s="455">
        <v>7.1989999999999998</v>
      </c>
      <c r="D2934" s="637">
        <f t="shared" si="100"/>
        <v>16.268328431372552</v>
      </c>
      <c r="E2934" s="637">
        <f t="shared" si="101"/>
        <v>27.87848039215687</v>
      </c>
    </row>
    <row r="2935" spans="1:5">
      <c r="A2935">
        <v>50313</v>
      </c>
      <c r="B2935">
        <v>300</v>
      </c>
      <c r="C2935" s="455">
        <v>7.15</v>
      </c>
      <c r="D2935" s="637">
        <f t="shared" si="100"/>
        <v>16.157598039215689</v>
      </c>
      <c r="E2935" s="637">
        <f t="shared" si="101"/>
        <v>27.688725490196088</v>
      </c>
    </row>
    <row r="2936" spans="1:5">
      <c r="A2936">
        <v>50313</v>
      </c>
      <c r="B2936">
        <v>400</v>
      </c>
      <c r="C2936" s="455">
        <v>7.2770000000000001</v>
      </c>
      <c r="D2936" s="637">
        <f t="shared" si="100"/>
        <v>16.444593137254905</v>
      </c>
      <c r="E2936" s="637">
        <f t="shared" si="101"/>
        <v>28.180539215686284</v>
      </c>
    </row>
    <row r="2937" spans="1:5">
      <c r="A2937">
        <v>50313</v>
      </c>
      <c r="B2937">
        <v>500</v>
      </c>
      <c r="C2937" s="455">
        <v>7.149</v>
      </c>
      <c r="D2937" s="637">
        <f t="shared" si="100"/>
        <v>16.155338235294121</v>
      </c>
      <c r="E2937" s="637">
        <f t="shared" si="101"/>
        <v>27.684852941176477</v>
      </c>
    </row>
    <row r="2938" spans="1:5">
      <c r="A2938">
        <v>50313</v>
      </c>
      <c r="B2938">
        <v>600</v>
      </c>
      <c r="C2938" s="455">
        <v>3.8940000000000001</v>
      </c>
      <c r="D2938" s="637">
        <f t="shared" si="100"/>
        <v>8.7996764705882367</v>
      </c>
      <c r="E2938" s="637">
        <f t="shared" si="101"/>
        <v>15.079705882352945</v>
      </c>
    </row>
    <row r="2939" spans="1:5">
      <c r="A2939">
        <v>50313</v>
      </c>
      <c r="B2939">
        <v>700</v>
      </c>
      <c r="C2939" s="455">
        <v>0</v>
      </c>
      <c r="D2939" s="637">
        <f t="shared" si="100"/>
        <v>0</v>
      </c>
      <c r="E2939" s="637">
        <f t="shared" si="101"/>
        <v>0</v>
      </c>
    </row>
    <row r="2940" spans="1:5">
      <c r="A2940">
        <v>50313</v>
      </c>
      <c r="B2940">
        <v>800</v>
      </c>
      <c r="C2940" s="455">
        <v>0</v>
      </c>
      <c r="D2940" s="637">
        <f t="shared" si="100"/>
        <v>0</v>
      </c>
      <c r="E2940" s="637">
        <f t="shared" si="101"/>
        <v>0</v>
      </c>
    </row>
    <row r="2941" spans="1:5">
      <c r="A2941">
        <v>50313</v>
      </c>
      <c r="B2941">
        <v>900</v>
      </c>
      <c r="C2941" s="455">
        <v>0</v>
      </c>
      <c r="D2941" s="637">
        <f t="shared" si="100"/>
        <v>0</v>
      </c>
      <c r="E2941" s="637">
        <f t="shared" si="101"/>
        <v>0</v>
      </c>
    </row>
    <row r="2942" spans="1:5">
      <c r="A2942">
        <v>50313</v>
      </c>
      <c r="B2942">
        <v>1000</v>
      </c>
      <c r="C2942" s="455">
        <v>0</v>
      </c>
      <c r="D2942" s="637">
        <f t="shared" si="100"/>
        <v>0</v>
      </c>
      <c r="E2942" s="637">
        <f t="shared" si="101"/>
        <v>0</v>
      </c>
    </row>
    <row r="2943" spans="1:5">
      <c r="A2943">
        <v>50313</v>
      </c>
      <c r="B2943">
        <v>1100</v>
      </c>
      <c r="C2943" s="455">
        <v>0</v>
      </c>
      <c r="D2943" s="637">
        <f t="shared" si="100"/>
        <v>0</v>
      </c>
      <c r="E2943" s="637">
        <f t="shared" si="101"/>
        <v>0</v>
      </c>
    </row>
    <row r="2944" spans="1:5">
      <c r="A2944">
        <v>50313</v>
      </c>
      <c r="B2944">
        <v>1200</v>
      </c>
      <c r="C2944" s="455">
        <v>0</v>
      </c>
      <c r="D2944" s="637">
        <f t="shared" si="100"/>
        <v>0</v>
      </c>
      <c r="E2944" s="637">
        <f t="shared" si="101"/>
        <v>0</v>
      </c>
    </row>
    <row r="2945" spans="1:5">
      <c r="A2945">
        <v>50313</v>
      </c>
      <c r="B2945">
        <v>1300</v>
      </c>
      <c r="C2945" s="455">
        <v>0</v>
      </c>
      <c r="D2945" s="637">
        <f t="shared" si="100"/>
        <v>0</v>
      </c>
      <c r="E2945" s="637">
        <f t="shared" si="101"/>
        <v>0</v>
      </c>
    </row>
    <row r="2946" spans="1:5">
      <c r="A2946">
        <v>50313</v>
      </c>
      <c r="B2946">
        <v>1400</v>
      </c>
      <c r="C2946" s="455">
        <v>0</v>
      </c>
      <c r="D2946" s="637">
        <f t="shared" si="100"/>
        <v>0</v>
      </c>
      <c r="E2946" s="637">
        <f t="shared" si="101"/>
        <v>0</v>
      </c>
    </row>
    <row r="2947" spans="1:5">
      <c r="A2947">
        <v>50313</v>
      </c>
      <c r="B2947">
        <v>1500</v>
      </c>
      <c r="C2947" s="455">
        <v>0</v>
      </c>
      <c r="D2947" s="637">
        <f t="shared" si="100"/>
        <v>0</v>
      </c>
      <c r="E2947" s="637">
        <f t="shared" si="101"/>
        <v>0</v>
      </c>
    </row>
    <row r="2948" spans="1:5">
      <c r="A2948">
        <v>50313</v>
      </c>
      <c r="B2948">
        <v>1600</v>
      </c>
      <c r="C2948" s="455">
        <v>0</v>
      </c>
      <c r="D2948" s="637">
        <f t="shared" si="100"/>
        <v>0</v>
      </c>
      <c r="E2948" s="637">
        <f t="shared" si="101"/>
        <v>0</v>
      </c>
    </row>
    <row r="2949" spans="1:5">
      <c r="A2949">
        <v>50313</v>
      </c>
      <c r="B2949">
        <v>1700</v>
      </c>
      <c r="C2949" s="455">
        <v>0</v>
      </c>
      <c r="D2949" s="637">
        <f t="shared" si="100"/>
        <v>0</v>
      </c>
      <c r="E2949" s="637">
        <f t="shared" si="101"/>
        <v>0</v>
      </c>
    </row>
    <row r="2950" spans="1:5">
      <c r="A2950">
        <v>50313</v>
      </c>
      <c r="B2950">
        <v>1800</v>
      </c>
      <c r="C2950" s="455">
        <v>0</v>
      </c>
      <c r="D2950" s="637">
        <f t="shared" ref="D2950:D3013" si="102">(C2950/(MAX($C$2885:$C$3628)))*$W$9</f>
        <v>0</v>
      </c>
      <c r="E2950" s="637">
        <f t="shared" ref="E2950:E3013" si="103">(C2950/(MAX($C$2885:$C$3628)))*$P$9</f>
        <v>0</v>
      </c>
    </row>
    <row r="2951" spans="1:5">
      <c r="A2951">
        <v>50313</v>
      </c>
      <c r="B2951">
        <v>1900</v>
      </c>
      <c r="C2951" s="455">
        <v>0</v>
      </c>
      <c r="D2951" s="637">
        <f t="shared" si="102"/>
        <v>0</v>
      </c>
      <c r="E2951" s="637">
        <f t="shared" si="103"/>
        <v>0</v>
      </c>
    </row>
    <row r="2952" spans="1:5">
      <c r="A2952">
        <v>50313</v>
      </c>
      <c r="B2952">
        <v>2000</v>
      </c>
      <c r="C2952" s="455">
        <v>7.2130000000000001</v>
      </c>
      <c r="D2952" s="637">
        <f t="shared" si="102"/>
        <v>16.299965686274511</v>
      </c>
      <c r="E2952" s="637">
        <f t="shared" si="103"/>
        <v>27.93269607843138</v>
      </c>
    </row>
    <row r="2953" spans="1:5">
      <c r="A2953">
        <v>50313</v>
      </c>
      <c r="B2953">
        <v>2100</v>
      </c>
      <c r="C2953" s="455">
        <v>7.1120000000000001</v>
      </c>
      <c r="D2953" s="637">
        <f t="shared" si="102"/>
        <v>16.07172549019608</v>
      </c>
      <c r="E2953" s="637">
        <f t="shared" si="103"/>
        <v>27.541568627450989</v>
      </c>
    </row>
    <row r="2954" spans="1:5">
      <c r="A2954">
        <v>50313</v>
      </c>
      <c r="B2954">
        <v>2200</v>
      </c>
      <c r="C2954" s="455">
        <v>6.8920000000000003</v>
      </c>
      <c r="D2954" s="637">
        <f t="shared" si="102"/>
        <v>15.574568627450983</v>
      </c>
      <c r="E2954" s="637">
        <f t="shared" si="103"/>
        <v>26.689607843137264</v>
      </c>
    </row>
    <row r="2955" spans="1:5">
      <c r="A2955">
        <v>50313</v>
      </c>
      <c r="B2955">
        <v>2300</v>
      </c>
      <c r="C2955" s="455">
        <v>7.1849999999999996</v>
      </c>
      <c r="D2955" s="637">
        <f t="shared" si="102"/>
        <v>16.23669117647059</v>
      </c>
      <c r="E2955" s="637">
        <f t="shared" si="103"/>
        <v>27.824264705882356</v>
      </c>
    </row>
    <row r="2956" spans="1:5">
      <c r="A2956">
        <v>50313</v>
      </c>
      <c r="B2956">
        <v>2400</v>
      </c>
      <c r="C2956" s="455">
        <v>7.0529999999999999</v>
      </c>
      <c r="D2956" s="637">
        <f t="shared" si="102"/>
        <v>15.938397058823531</v>
      </c>
      <c r="E2956" s="637">
        <f t="shared" si="103"/>
        <v>27.313088235294128</v>
      </c>
    </row>
    <row r="2957" spans="1:5">
      <c r="A2957">
        <v>50413</v>
      </c>
      <c r="B2957">
        <v>100</v>
      </c>
      <c r="C2957" s="455">
        <v>7.1950000000000003</v>
      </c>
      <c r="D2957" s="637">
        <f t="shared" si="102"/>
        <v>16.259289215686277</v>
      </c>
      <c r="E2957" s="637">
        <f t="shared" si="103"/>
        <v>27.862990196078442</v>
      </c>
    </row>
    <row r="2958" spans="1:5">
      <c r="A2958">
        <v>50413</v>
      </c>
      <c r="B2958">
        <v>200</v>
      </c>
      <c r="C2958" s="455">
        <v>7.1970000000000001</v>
      </c>
      <c r="D2958" s="637">
        <f t="shared" si="102"/>
        <v>16.263808823529413</v>
      </c>
      <c r="E2958" s="637">
        <f t="shared" si="103"/>
        <v>27.870735294117654</v>
      </c>
    </row>
    <row r="2959" spans="1:5">
      <c r="A2959">
        <v>50413</v>
      </c>
      <c r="B2959">
        <v>300</v>
      </c>
      <c r="C2959" s="455">
        <v>7.1950000000000003</v>
      </c>
      <c r="D2959" s="637">
        <f t="shared" si="102"/>
        <v>16.259289215686277</v>
      </c>
      <c r="E2959" s="637">
        <f t="shared" si="103"/>
        <v>27.862990196078442</v>
      </c>
    </row>
    <row r="2960" spans="1:5">
      <c r="A2960">
        <v>50413</v>
      </c>
      <c r="B2960">
        <v>400</v>
      </c>
      <c r="C2960" s="455">
        <v>7.1230000000000002</v>
      </c>
      <c r="D2960" s="637">
        <f t="shared" si="102"/>
        <v>16.096583333333339</v>
      </c>
      <c r="E2960" s="637">
        <f t="shared" si="103"/>
        <v>27.584166666666679</v>
      </c>
    </row>
    <row r="2961" spans="1:5">
      <c r="A2961">
        <v>50413</v>
      </c>
      <c r="B2961">
        <v>500</v>
      </c>
      <c r="C2961" s="455">
        <v>7.2939999999999996</v>
      </c>
      <c r="D2961" s="637">
        <f t="shared" si="102"/>
        <v>16.483009803921572</v>
      </c>
      <c r="E2961" s="637">
        <f t="shared" si="103"/>
        <v>28.246372549019615</v>
      </c>
    </row>
    <row r="2962" spans="1:5">
      <c r="A2962">
        <v>50413</v>
      </c>
      <c r="B2962">
        <v>600</v>
      </c>
      <c r="C2962" s="455">
        <v>3.2519999999999998</v>
      </c>
      <c r="D2962" s="637">
        <f t="shared" si="102"/>
        <v>7.3488823529411773</v>
      </c>
      <c r="E2962" s="637">
        <f t="shared" si="103"/>
        <v>12.59352941176471</v>
      </c>
    </row>
    <row r="2963" spans="1:5">
      <c r="A2963">
        <v>50413</v>
      </c>
      <c r="B2963">
        <v>700</v>
      </c>
      <c r="C2963" s="455">
        <v>0</v>
      </c>
      <c r="D2963" s="637">
        <f t="shared" si="102"/>
        <v>0</v>
      </c>
      <c r="E2963" s="637">
        <f t="shared" si="103"/>
        <v>0</v>
      </c>
    </row>
    <row r="2964" spans="1:5">
      <c r="A2964">
        <v>50413</v>
      </c>
      <c r="B2964">
        <v>800</v>
      </c>
      <c r="C2964" s="455">
        <v>0</v>
      </c>
      <c r="D2964" s="637">
        <f t="shared" si="102"/>
        <v>0</v>
      </c>
      <c r="E2964" s="637">
        <f t="shared" si="103"/>
        <v>0</v>
      </c>
    </row>
    <row r="2965" spans="1:5">
      <c r="A2965">
        <v>50413</v>
      </c>
      <c r="B2965">
        <v>900</v>
      </c>
      <c r="C2965" s="455">
        <v>2.1000000000000001E-2</v>
      </c>
      <c r="D2965" s="637">
        <f t="shared" si="102"/>
        <v>4.7455882352941181E-2</v>
      </c>
      <c r="E2965" s="637">
        <f t="shared" si="103"/>
        <v>8.1323529411764725E-2</v>
      </c>
    </row>
    <row r="2966" spans="1:5">
      <c r="A2966">
        <v>50413</v>
      </c>
      <c r="B2966">
        <v>1000</v>
      </c>
      <c r="C2966" s="455">
        <v>0</v>
      </c>
      <c r="D2966" s="637">
        <f t="shared" si="102"/>
        <v>0</v>
      </c>
      <c r="E2966" s="637">
        <f t="shared" si="103"/>
        <v>0</v>
      </c>
    </row>
    <row r="2967" spans="1:5">
      <c r="A2967">
        <v>50413</v>
      </c>
      <c r="B2967">
        <v>1100</v>
      </c>
      <c r="C2967" s="455">
        <v>0</v>
      </c>
      <c r="D2967" s="637">
        <f t="shared" si="102"/>
        <v>0</v>
      </c>
      <c r="E2967" s="637">
        <f t="shared" si="103"/>
        <v>0</v>
      </c>
    </row>
    <row r="2968" spans="1:5">
      <c r="A2968">
        <v>50413</v>
      </c>
      <c r="B2968">
        <v>1200</v>
      </c>
      <c r="C2968" s="455">
        <v>0</v>
      </c>
      <c r="D2968" s="637">
        <f t="shared" si="102"/>
        <v>0</v>
      </c>
      <c r="E2968" s="637">
        <f t="shared" si="103"/>
        <v>0</v>
      </c>
    </row>
    <row r="2969" spans="1:5">
      <c r="A2969">
        <v>50413</v>
      </c>
      <c r="B2969">
        <v>1300</v>
      </c>
      <c r="C2969" s="455">
        <v>0</v>
      </c>
      <c r="D2969" s="637">
        <f t="shared" si="102"/>
        <v>0</v>
      </c>
      <c r="E2969" s="637">
        <f t="shared" si="103"/>
        <v>0</v>
      </c>
    </row>
    <row r="2970" spans="1:5">
      <c r="A2970">
        <v>50413</v>
      </c>
      <c r="B2970">
        <v>1400</v>
      </c>
      <c r="C2970" s="455">
        <v>0</v>
      </c>
      <c r="D2970" s="637">
        <f t="shared" si="102"/>
        <v>0</v>
      </c>
      <c r="E2970" s="637">
        <f t="shared" si="103"/>
        <v>0</v>
      </c>
    </row>
    <row r="2971" spans="1:5">
      <c r="A2971">
        <v>50413</v>
      </c>
      <c r="B2971">
        <v>1500</v>
      </c>
      <c r="C2971" s="455">
        <v>0</v>
      </c>
      <c r="D2971" s="637">
        <f t="shared" si="102"/>
        <v>0</v>
      </c>
      <c r="E2971" s="637">
        <f t="shared" si="103"/>
        <v>0</v>
      </c>
    </row>
    <row r="2972" spans="1:5">
      <c r="A2972">
        <v>50413</v>
      </c>
      <c r="B2972">
        <v>1600</v>
      </c>
      <c r="C2972" s="455">
        <v>0</v>
      </c>
      <c r="D2972" s="637">
        <f t="shared" si="102"/>
        <v>0</v>
      </c>
      <c r="E2972" s="637">
        <f t="shared" si="103"/>
        <v>0</v>
      </c>
    </row>
    <row r="2973" spans="1:5">
      <c r="A2973">
        <v>50413</v>
      </c>
      <c r="B2973">
        <v>1700</v>
      </c>
      <c r="C2973" s="455">
        <v>0</v>
      </c>
      <c r="D2973" s="637">
        <f t="shared" si="102"/>
        <v>0</v>
      </c>
      <c r="E2973" s="637">
        <f t="shared" si="103"/>
        <v>0</v>
      </c>
    </row>
    <row r="2974" spans="1:5">
      <c r="A2974">
        <v>50413</v>
      </c>
      <c r="B2974">
        <v>1800</v>
      </c>
      <c r="C2974" s="455">
        <v>0</v>
      </c>
      <c r="D2974" s="637">
        <f t="shared" si="102"/>
        <v>0</v>
      </c>
      <c r="E2974" s="637">
        <f t="shared" si="103"/>
        <v>0</v>
      </c>
    </row>
    <row r="2975" spans="1:5">
      <c r="A2975">
        <v>50413</v>
      </c>
      <c r="B2975">
        <v>1900</v>
      </c>
      <c r="C2975" s="455">
        <v>4.0000000000000001E-3</v>
      </c>
      <c r="D2975" s="637">
        <f t="shared" si="102"/>
        <v>9.0392156862745109E-3</v>
      </c>
      <c r="E2975" s="637">
        <f t="shared" si="103"/>
        <v>1.5490196078431377E-2</v>
      </c>
    </row>
    <row r="2976" spans="1:5">
      <c r="A2976">
        <v>50413</v>
      </c>
      <c r="B2976">
        <v>2000</v>
      </c>
      <c r="C2976" s="455">
        <v>7.8479999999999999</v>
      </c>
      <c r="D2976" s="637">
        <f t="shared" si="102"/>
        <v>17.734941176470592</v>
      </c>
      <c r="E2976" s="637">
        <f t="shared" si="103"/>
        <v>30.391764705882363</v>
      </c>
    </row>
    <row r="2977" spans="1:5">
      <c r="A2977">
        <v>50413</v>
      </c>
      <c r="B2977">
        <v>2100</v>
      </c>
      <c r="C2977" s="455">
        <v>7.0570000000000004</v>
      </c>
      <c r="D2977" s="637">
        <f t="shared" si="102"/>
        <v>15.947436274509808</v>
      </c>
      <c r="E2977" s="637">
        <f t="shared" si="103"/>
        <v>27.328578431372559</v>
      </c>
    </row>
    <row r="2978" spans="1:5">
      <c r="A2978">
        <v>50413</v>
      </c>
      <c r="B2978">
        <v>2200</v>
      </c>
      <c r="C2978" s="455">
        <v>7.2750000000000004</v>
      </c>
      <c r="D2978" s="637">
        <f t="shared" si="102"/>
        <v>16.440073529411766</v>
      </c>
      <c r="E2978" s="637">
        <f t="shared" si="103"/>
        <v>28.172794117647069</v>
      </c>
    </row>
    <row r="2979" spans="1:5">
      <c r="A2979">
        <v>50413</v>
      </c>
      <c r="B2979">
        <v>2300</v>
      </c>
      <c r="C2979" s="455">
        <v>7.1289999999999996</v>
      </c>
      <c r="D2979" s="637">
        <f t="shared" si="102"/>
        <v>16.110142156862747</v>
      </c>
      <c r="E2979" s="637">
        <f t="shared" si="103"/>
        <v>27.607401960784319</v>
      </c>
    </row>
    <row r="2980" spans="1:5">
      <c r="A2980">
        <v>50413</v>
      </c>
      <c r="B2980">
        <v>2400</v>
      </c>
      <c r="C2980" s="455">
        <v>7.1319999999999997</v>
      </c>
      <c r="D2980" s="637">
        <f t="shared" si="102"/>
        <v>16.116921568627451</v>
      </c>
      <c r="E2980" s="637">
        <f t="shared" si="103"/>
        <v>27.619019607843143</v>
      </c>
    </row>
    <row r="2981" spans="1:5">
      <c r="A2981">
        <v>50513</v>
      </c>
      <c r="B2981">
        <v>100</v>
      </c>
      <c r="C2981" s="455">
        <v>7.3449999999999998</v>
      </c>
      <c r="D2981" s="637">
        <f t="shared" si="102"/>
        <v>16.598259803921568</v>
      </c>
      <c r="E2981" s="637">
        <f t="shared" si="103"/>
        <v>28.443872549019613</v>
      </c>
    </row>
    <row r="2982" spans="1:5">
      <c r="A2982">
        <v>50513</v>
      </c>
      <c r="B2982">
        <v>200</v>
      </c>
      <c r="C2982" s="455">
        <v>6.9859999999999998</v>
      </c>
      <c r="D2982" s="637">
        <f t="shared" si="102"/>
        <v>15.786990196078431</v>
      </c>
      <c r="E2982" s="637">
        <f t="shared" si="103"/>
        <v>27.053627450980397</v>
      </c>
    </row>
    <row r="2983" spans="1:5">
      <c r="A2983">
        <v>50513</v>
      </c>
      <c r="B2983">
        <v>300</v>
      </c>
      <c r="C2983" s="455">
        <v>7.3680000000000003</v>
      </c>
      <c r="D2983" s="637">
        <f t="shared" si="102"/>
        <v>16.65023529411765</v>
      </c>
      <c r="E2983" s="637">
        <f t="shared" si="103"/>
        <v>28.532941176470597</v>
      </c>
    </row>
    <row r="2984" spans="1:5">
      <c r="A2984">
        <v>50513</v>
      </c>
      <c r="B2984">
        <v>400</v>
      </c>
      <c r="C2984" s="455">
        <v>6.99</v>
      </c>
      <c r="D2984" s="637">
        <f t="shared" si="102"/>
        <v>15.796029411764708</v>
      </c>
      <c r="E2984" s="637">
        <f t="shared" si="103"/>
        <v>27.069117647058832</v>
      </c>
    </row>
    <row r="2985" spans="1:5">
      <c r="A2985">
        <v>50513</v>
      </c>
      <c r="B2985">
        <v>500</v>
      </c>
      <c r="C2985" s="455">
        <v>7.673</v>
      </c>
      <c r="D2985" s="637">
        <f t="shared" si="102"/>
        <v>17.339475490196083</v>
      </c>
      <c r="E2985" s="637">
        <f t="shared" si="103"/>
        <v>29.714068627450992</v>
      </c>
    </row>
    <row r="2986" spans="1:5">
      <c r="A2986">
        <v>50513</v>
      </c>
      <c r="B2986">
        <v>600</v>
      </c>
      <c r="C2986" s="455">
        <v>2.915</v>
      </c>
      <c r="D2986" s="637">
        <f t="shared" si="102"/>
        <v>6.5873284313725495</v>
      </c>
      <c r="E2986" s="637">
        <f t="shared" si="103"/>
        <v>11.288480392156867</v>
      </c>
    </row>
    <row r="2987" spans="1:5">
      <c r="A2987">
        <v>50513</v>
      </c>
      <c r="B2987">
        <v>700</v>
      </c>
      <c r="C2987" s="455">
        <v>0</v>
      </c>
      <c r="D2987" s="637">
        <f t="shared" si="102"/>
        <v>0</v>
      </c>
      <c r="E2987" s="637">
        <f t="shared" si="103"/>
        <v>0</v>
      </c>
    </row>
    <row r="2988" spans="1:5">
      <c r="A2988">
        <v>50513</v>
      </c>
      <c r="B2988">
        <v>800</v>
      </c>
      <c r="C2988" s="455">
        <v>0</v>
      </c>
      <c r="D2988" s="637">
        <f t="shared" si="102"/>
        <v>0</v>
      </c>
      <c r="E2988" s="637">
        <f t="shared" si="103"/>
        <v>0</v>
      </c>
    </row>
    <row r="2989" spans="1:5">
      <c r="A2989">
        <v>50513</v>
      </c>
      <c r="B2989">
        <v>900</v>
      </c>
      <c r="C2989" s="455">
        <v>0</v>
      </c>
      <c r="D2989" s="637">
        <f t="shared" si="102"/>
        <v>0</v>
      </c>
      <c r="E2989" s="637">
        <f t="shared" si="103"/>
        <v>0</v>
      </c>
    </row>
    <row r="2990" spans="1:5">
      <c r="A2990">
        <v>50513</v>
      </c>
      <c r="B2990">
        <v>1000</v>
      </c>
      <c r="C2990" s="455">
        <v>0</v>
      </c>
      <c r="D2990" s="637">
        <f t="shared" si="102"/>
        <v>0</v>
      </c>
      <c r="E2990" s="637">
        <f t="shared" si="103"/>
        <v>0</v>
      </c>
    </row>
    <row r="2991" spans="1:5">
      <c r="A2991">
        <v>50513</v>
      </c>
      <c r="B2991">
        <v>1100</v>
      </c>
      <c r="C2991" s="455">
        <v>0</v>
      </c>
      <c r="D2991" s="637">
        <f t="shared" si="102"/>
        <v>0</v>
      </c>
      <c r="E2991" s="637">
        <f t="shared" si="103"/>
        <v>0</v>
      </c>
    </row>
    <row r="2992" spans="1:5">
      <c r="A2992">
        <v>50513</v>
      </c>
      <c r="B2992">
        <v>1200</v>
      </c>
      <c r="C2992" s="455">
        <v>0</v>
      </c>
      <c r="D2992" s="637">
        <f t="shared" si="102"/>
        <v>0</v>
      </c>
      <c r="E2992" s="637">
        <f t="shared" si="103"/>
        <v>0</v>
      </c>
    </row>
    <row r="2993" spans="1:5">
      <c r="A2993">
        <v>50513</v>
      </c>
      <c r="B2993">
        <v>1300</v>
      </c>
      <c r="C2993" s="455">
        <v>0</v>
      </c>
      <c r="D2993" s="637">
        <f t="shared" si="102"/>
        <v>0</v>
      </c>
      <c r="E2993" s="637">
        <f t="shared" si="103"/>
        <v>0</v>
      </c>
    </row>
    <row r="2994" spans="1:5">
      <c r="A2994">
        <v>50513</v>
      </c>
      <c r="B2994">
        <v>1400</v>
      </c>
      <c r="C2994" s="455">
        <v>0</v>
      </c>
      <c r="D2994" s="637">
        <f t="shared" si="102"/>
        <v>0</v>
      </c>
      <c r="E2994" s="637">
        <f t="shared" si="103"/>
        <v>0</v>
      </c>
    </row>
    <row r="2995" spans="1:5">
      <c r="A2995">
        <v>50513</v>
      </c>
      <c r="B2995">
        <v>1500</v>
      </c>
      <c r="C2995" s="455">
        <v>0</v>
      </c>
      <c r="D2995" s="637">
        <f t="shared" si="102"/>
        <v>0</v>
      </c>
      <c r="E2995" s="637">
        <f t="shared" si="103"/>
        <v>0</v>
      </c>
    </row>
    <row r="2996" spans="1:5">
      <c r="A2996">
        <v>50513</v>
      </c>
      <c r="B2996">
        <v>1600</v>
      </c>
      <c r="C2996" s="455">
        <v>0</v>
      </c>
      <c r="D2996" s="637">
        <f t="shared" si="102"/>
        <v>0</v>
      </c>
      <c r="E2996" s="637">
        <f t="shared" si="103"/>
        <v>0</v>
      </c>
    </row>
    <row r="2997" spans="1:5">
      <c r="A2997">
        <v>50513</v>
      </c>
      <c r="B2997">
        <v>1700</v>
      </c>
      <c r="C2997" s="455">
        <v>0</v>
      </c>
      <c r="D2997" s="637">
        <f t="shared" si="102"/>
        <v>0</v>
      </c>
      <c r="E2997" s="637">
        <f t="shared" si="103"/>
        <v>0</v>
      </c>
    </row>
    <row r="2998" spans="1:5">
      <c r="A2998">
        <v>50513</v>
      </c>
      <c r="B2998">
        <v>1800</v>
      </c>
      <c r="C2998" s="455">
        <v>0</v>
      </c>
      <c r="D2998" s="637">
        <f t="shared" si="102"/>
        <v>0</v>
      </c>
      <c r="E2998" s="637">
        <f t="shared" si="103"/>
        <v>0</v>
      </c>
    </row>
    <row r="2999" spans="1:5">
      <c r="A2999">
        <v>50513</v>
      </c>
      <c r="B2999">
        <v>1900</v>
      </c>
      <c r="C2999" s="455">
        <v>0</v>
      </c>
      <c r="D2999" s="637">
        <f t="shared" si="102"/>
        <v>0</v>
      </c>
      <c r="E2999" s="637">
        <f t="shared" si="103"/>
        <v>0</v>
      </c>
    </row>
    <row r="3000" spans="1:5">
      <c r="A3000">
        <v>50513</v>
      </c>
      <c r="B3000">
        <v>2000</v>
      </c>
      <c r="C3000" s="455">
        <v>7.5439999999999996</v>
      </c>
      <c r="D3000" s="637">
        <f t="shared" si="102"/>
        <v>17.047960784313727</v>
      </c>
      <c r="E3000" s="637">
        <f t="shared" si="103"/>
        <v>29.214509803921572</v>
      </c>
    </row>
    <row r="3001" spans="1:5">
      <c r="A3001">
        <v>50513</v>
      </c>
      <c r="B3001">
        <v>2100</v>
      </c>
      <c r="C3001" s="455">
        <v>6.976</v>
      </c>
      <c r="D3001" s="637">
        <f t="shared" si="102"/>
        <v>15.764392156862748</v>
      </c>
      <c r="E3001" s="637">
        <f t="shared" si="103"/>
        <v>27.014901960784321</v>
      </c>
    </row>
    <row r="3002" spans="1:5">
      <c r="A3002">
        <v>50513</v>
      </c>
      <c r="B3002">
        <v>2200</v>
      </c>
      <c r="C3002" s="455">
        <v>7.1280000000000001</v>
      </c>
      <c r="D3002" s="637">
        <f t="shared" si="102"/>
        <v>16.107882352941179</v>
      </c>
      <c r="E3002" s="637">
        <f t="shared" si="103"/>
        <v>27.603529411764711</v>
      </c>
    </row>
    <row r="3003" spans="1:5">
      <c r="A3003">
        <v>50513</v>
      </c>
      <c r="B3003">
        <v>2300</v>
      </c>
      <c r="C3003" s="455">
        <v>7.1260000000000003</v>
      </c>
      <c r="D3003" s="637">
        <f t="shared" si="102"/>
        <v>16.103362745098043</v>
      </c>
      <c r="E3003" s="637">
        <f t="shared" si="103"/>
        <v>27.595784313725499</v>
      </c>
    </row>
    <row r="3004" spans="1:5">
      <c r="A3004">
        <v>50513</v>
      </c>
      <c r="B3004">
        <v>2400</v>
      </c>
      <c r="C3004" s="455">
        <v>7.274</v>
      </c>
      <c r="D3004" s="637">
        <f t="shared" si="102"/>
        <v>16.437813725490198</v>
      </c>
      <c r="E3004" s="637">
        <f t="shared" si="103"/>
        <v>28.168921568627461</v>
      </c>
    </row>
    <row r="3005" spans="1:5">
      <c r="A3005">
        <v>50613</v>
      </c>
      <c r="B3005">
        <v>100</v>
      </c>
      <c r="C3005" s="455">
        <v>7.0579999999999998</v>
      </c>
      <c r="D3005" s="637">
        <f t="shared" si="102"/>
        <v>15.949696078431375</v>
      </c>
      <c r="E3005" s="637">
        <f t="shared" si="103"/>
        <v>27.332450980392167</v>
      </c>
    </row>
    <row r="3006" spans="1:5">
      <c r="A3006">
        <v>50613</v>
      </c>
      <c r="B3006">
        <v>200</v>
      </c>
      <c r="C3006" s="455">
        <v>7.1230000000000002</v>
      </c>
      <c r="D3006" s="637">
        <f t="shared" si="102"/>
        <v>16.096583333333339</v>
      </c>
      <c r="E3006" s="637">
        <f t="shared" si="103"/>
        <v>27.584166666666679</v>
      </c>
    </row>
    <row r="3007" spans="1:5">
      <c r="A3007">
        <v>50613</v>
      </c>
      <c r="B3007">
        <v>300</v>
      </c>
      <c r="C3007" s="455">
        <v>7.1980000000000004</v>
      </c>
      <c r="D3007" s="637">
        <f t="shared" si="102"/>
        <v>16.266068627450984</v>
      </c>
      <c r="E3007" s="637">
        <f t="shared" si="103"/>
        <v>27.874607843137266</v>
      </c>
    </row>
    <row r="3008" spans="1:5">
      <c r="A3008">
        <v>50613</v>
      </c>
      <c r="B3008">
        <v>400</v>
      </c>
      <c r="C3008" s="455">
        <v>7.0540000000000003</v>
      </c>
      <c r="D3008" s="637">
        <f t="shared" si="102"/>
        <v>15.940656862745099</v>
      </c>
      <c r="E3008" s="637">
        <f t="shared" si="103"/>
        <v>27.316960784313732</v>
      </c>
    </row>
    <row r="3009" spans="1:5">
      <c r="A3009">
        <v>50613</v>
      </c>
      <c r="B3009">
        <v>500</v>
      </c>
      <c r="C3009" s="455">
        <v>7.657</v>
      </c>
      <c r="D3009" s="637">
        <f t="shared" si="102"/>
        <v>17.303318627450984</v>
      </c>
      <c r="E3009" s="637">
        <f t="shared" si="103"/>
        <v>29.652107843137266</v>
      </c>
    </row>
    <row r="3010" spans="1:5">
      <c r="A3010">
        <v>50613</v>
      </c>
      <c r="B3010">
        <v>600</v>
      </c>
      <c r="C3010" s="455">
        <v>2.4420000000000002</v>
      </c>
      <c r="D3010" s="637">
        <f t="shared" si="102"/>
        <v>5.5184411764705894</v>
      </c>
      <c r="E3010" s="637">
        <f t="shared" si="103"/>
        <v>9.4567647058823567</v>
      </c>
    </row>
    <row r="3011" spans="1:5">
      <c r="A3011">
        <v>50613</v>
      </c>
      <c r="B3011">
        <v>700</v>
      </c>
      <c r="C3011" s="455">
        <v>0</v>
      </c>
      <c r="D3011" s="637">
        <f t="shared" si="102"/>
        <v>0</v>
      </c>
      <c r="E3011" s="637">
        <f t="shared" si="103"/>
        <v>0</v>
      </c>
    </row>
    <row r="3012" spans="1:5">
      <c r="A3012">
        <v>50613</v>
      </c>
      <c r="B3012">
        <v>800</v>
      </c>
      <c r="C3012" s="455">
        <v>0.28799999999999998</v>
      </c>
      <c r="D3012" s="637">
        <f t="shared" si="102"/>
        <v>0.65082352941176469</v>
      </c>
      <c r="E3012" s="637">
        <f t="shared" si="103"/>
        <v>1.115294117647059</v>
      </c>
    </row>
    <row r="3013" spans="1:5">
      <c r="A3013">
        <v>50613</v>
      </c>
      <c r="B3013">
        <v>900</v>
      </c>
      <c r="C3013" s="455">
        <v>0.28799999999999998</v>
      </c>
      <c r="D3013" s="637">
        <f t="shared" si="102"/>
        <v>0.65082352941176469</v>
      </c>
      <c r="E3013" s="637">
        <f t="shared" si="103"/>
        <v>1.115294117647059</v>
      </c>
    </row>
    <row r="3014" spans="1:5">
      <c r="A3014">
        <v>50613</v>
      </c>
      <c r="B3014">
        <v>1000</v>
      </c>
      <c r="C3014" s="455">
        <v>0</v>
      </c>
      <c r="D3014" s="637">
        <f t="shared" ref="D3014:D3077" si="104">(C3014/(MAX($C$2885:$C$3628)))*$W$9</f>
        <v>0</v>
      </c>
      <c r="E3014" s="637">
        <f t="shared" ref="E3014:E3077" si="105">(C3014/(MAX($C$2885:$C$3628)))*$P$9</f>
        <v>0</v>
      </c>
    </row>
    <row r="3015" spans="1:5">
      <c r="A3015">
        <v>50613</v>
      </c>
      <c r="B3015">
        <v>1100</v>
      </c>
      <c r="C3015" s="455">
        <v>0</v>
      </c>
      <c r="D3015" s="637">
        <f t="shared" si="104"/>
        <v>0</v>
      </c>
      <c r="E3015" s="637">
        <f t="shared" si="105"/>
        <v>0</v>
      </c>
    </row>
    <row r="3016" spans="1:5">
      <c r="A3016">
        <v>50613</v>
      </c>
      <c r="B3016">
        <v>1200</v>
      </c>
      <c r="C3016" s="455">
        <v>0</v>
      </c>
      <c r="D3016" s="637">
        <f t="shared" si="104"/>
        <v>0</v>
      </c>
      <c r="E3016" s="637">
        <f t="shared" si="105"/>
        <v>0</v>
      </c>
    </row>
    <row r="3017" spans="1:5">
      <c r="A3017">
        <v>50613</v>
      </c>
      <c r="B3017">
        <v>1300</v>
      </c>
      <c r="C3017" s="455">
        <v>0</v>
      </c>
      <c r="D3017" s="637">
        <f t="shared" si="104"/>
        <v>0</v>
      </c>
      <c r="E3017" s="637">
        <f t="shared" si="105"/>
        <v>0</v>
      </c>
    </row>
    <row r="3018" spans="1:5">
      <c r="A3018">
        <v>50613</v>
      </c>
      <c r="B3018">
        <v>1400</v>
      </c>
      <c r="C3018" s="455">
        <v>0</v>
      </c>
      <c r="D3018" s="637">
        <f t="shared" si="104"/>
        <v>0</v>
      </c>
      <c r="E3018" s="637">
        <f t="shared" si="105"/>
        <v>0</v>
      </c>
    </row>
    <row r="3019" spans="1:5">
      <c r="A3019">
        <v>50613</v>
      </c>
      <c r="B3019">
        <v>1500</v>
      </c>
      <c r="C3019" s="455">
        <v>0</v>
      </c>
      <c r="D3019" s="637">
        <f t="shared" si="104"/>
        <v>0</v>
      </c>
      <c r="E3019" s="637">
        <f t="shared" si="105"/>
        <v>0</v>
      </c>
    </row>
    <row r="3020" spans="1:5">
      <c r="A3020">
        <v>50613</v>
      </c>
      <c r="B3020">
        <v>1600</v>
      </c>
      <c r="C3020" s="455">
        <v>0</v>
      </c>
      <c r="D3020" s="637">
        <f t="shared" si="104"/>
        <v>0</v>
      </c>
      <c r="E3020" s="637">
        <f t="shared" si="105"/>
        <v>0</v>
      </c>
    </row>
    <row r="3021" spans="1:5">
      <c r="A3021">
        <v>50613</v>
      </c>
      <c r="B3021">
        <v>1700</v>
      </c>
      <c r="C3021" s="455">
        <v>0</v>
      </c>
      <c r="D3021" s="637">
        <f t="shared" si="104"/>
        <v>0</v>
      </c>
      <c r="E3021" s="637">
        <f t="shared" si="105"/>
        <v>0</v>
      </c>
    </row>
    <row r="3022" spans="1:5">
      <c r="A3022">
        <v>50613</v>
      </c>
      <c r="B3022">
        <v>1800</v>
      </c>
      <c r="C3022" s="455">
        <v>0</v>
      </c>
      <c r="D3022" s="637">
        <f t="shared" si="104"/>
        <v>0</v>
      </c>
      <c r="E3022" s="637">
        <f t="shared" si="105"/>
        <v>0</v>
      </c>
    </row>
    <row r="3023" spans="1:5">
      <c r="A3023">
        <v>50613</v>
      </c>
      <c r="B3023">
        <v>1900</v>
      </c>
      <c r="C3023" s="455">
        <v>1.4E-2</v>
      </c>
      <c r="D3023" s="637">
        <f t="shared" si="104"/>
        <v>3.1637254901960794E-2</v>
      </c>
      <c r="E3023" s="637">
        <f t="shared" si="105"/>
        <v>5.4215686274509824E-2</v>
      </c>
    </row>
    <row r="3024" spans="1:5">
      <c r="A3024">
        <v>50613</v>
      </c>
      <c r="B3024">
        <v>2000</v>
      </c>
      <c r="C3024" s="455">
        <v>7.6769999999999996</v>
      </c>
      <c r="D3024" s="637">
        <f t="shared" si="104"/>
        <v>17.348514705882355</v>
      </c>
      <c r="E3024" s="637">
        <f t="shared" si="105"/>
        <v>29.72955882352942</v>
      </c>
    </row>
    <row r="3025" spans="1:5">
      <c r="A3025">
        <v>50613</v>
      </c>
      <c r="B3025">
        <v>2100</v>
      </c>
      <c r="C3025" s="455">
        <v>7.327</v>
      </c>
      <c r="D3025" s="637">
        <f t="shared" si="104"/>
        <v>16.557583333333337</v>
      </c>
      <c r="E3025" s="637">
        <f t="shared" si="105"/>
        <v>28.374166666666678</v>
      </c>
    </row>
    <row r="3026" spans="1:5">
      <c r="A3026">
        <v>50613</v>
      </c>
      <c r="B3026">
        <v>2200</v>
      </c>
      <c r="C3026" s="455">
        <v>7.0330000000000004</v>
      </c>
      <c r="D3026" s="637">
        <f t="shared" si="104"/>
        <v>15.893200980392161</v>
      </c>
      <c r="E3026" s="637">
        <f t="shared" si="105"/>
        <v>27.235637254901974</v>
      </c>
    </row>
    <row r="3027" spans="1:5">
      <c r="A3027">
        <v>50613</v>
      </c>
      <c r="B3027">
        <v>2300</v>
      </c>
      <c r="C3027" s="455">
        <v>6.8979999999999997</v>
      </c>
      <c r="D3027" s="637">
        <f t="shared" si="104"/>
        <v>15.588127450980393</v>
      </c>
      <c r="E3027" s="637">
        <f t="shared" si="105"/>
        <v>26.712843137254907</v>
      </c>
    </row>
    <row r="3028" spans="1:5">
      <c r="A3028">
        <v>50613</v>
      </c>
      <c r="B3028">
        <v>2400</v>
      </c>
      <c r="C3028" s="455">
        <v>7.117</v>
      </c>
      <c r="D3028" s="637">
        <f t="shared" si="104"/>
        <v>16.083024509803924</v>
      </c>
      <c r="E3028" s="637">
        <f t="shared" si="105"/>
        <v>27.560931372549028</v>
      </c>
    </row>
    <row r="3029" spans="1:5">
      <c r="A3029">
        <v>50713</v>
      </c>
      <c r="B3029">
        <v>100</v>
      </c>
      <c r="C3029" s="455">
        <v>7.33</v>
      </c>
      <c r="D3029" s="637">
        <f t="shared" si="104"/>
        <v>16.564362745098041</v>
      </c>
      <c r="E3029" s="637">
        <f t="shared" si="105"/>
        <v>28.385784313725498</v>
      </c>
    </row>
    <row r="3030" spans="1:5">
      <c r="A3030">
        <v>50713</v>
      </c>
      <c r="B3030">
        <v>200</v>
      </c>
      <c r="C3030" s="455">
        <v>7.05</v>
      </c>
      <c r="D3030" s="637">
        <f t="shared" si="104"/>
        <v>15.931617647058825</v>
      </c>
      <c r="E3030" s="637">
        <f t="shared" si="105"/>
        <v>27.301470588235304</v>
      </c>
    </row>
    <row r="3031" spans="1:5">
      <c r="A3031">
        <v>50713</v>
      </c>
      <c r="B3031">
        <v>300</v>
      </c>
      <c r="C3031" s="455">
        <v>7.2720000000000002</v>
      </c>
      <c r="D3031" s="637">
        <f t="shared" si="104"/>
        <v>16.433294117647062</v>
      </c>
      <c r="E3031" s="637">
        <f t="shared" si="105"/>
        <v>28.161176470588245</v>
      </c>
    </row>
    <row r="3032" spans="1:5">
      <c r="A3032">
        <v>50713</v>
      </c>
      <c r="B3032">
        <v>400</v>
      </c>
      <c r="C3032" s="455">
        <v>7.0570000000000004</v>
      </c>
      <c r="D3032" s="637">
        <f t="shared" si="104"/>
        <v>15.947436274509808</v>
      </c>
      <c r="E3032" s="637">
        <f t="shared" si="105"/>
        <v>27.328578431372559</v>
      </c>
    </row>
    <row r="3033" spans="1:5">
      <c r="A3033">
        <v>50713</v>
      </c>
      <c r="B3033">
        <v>500</v>
      </c>
      <c r="C3033" s="455">
        <v>7.859</v>
      </c>
      <c r="D3033" s="637">
        <f t="shared" si="104"/>
        <v>17.759799019607847</v>
      </c>
      <c r="E3033" s="637">
        <f t="shared" si="105"/>
        <v>30.434362745098049</v>
      </c>
    </row>
    <row r="3034" spans="1:5">
      <c r="A3034">
        <v>50713</v>
      </c>
      <c r="B3034">
        <v>600</v>
      </c>
      <c r="C3034" s="455">
        <v>2.234</v>
      </c>
      <c r="D3034" s="637">
        <f t="shared" si="104"/>
        <v>5.0484019607843145</v>
      </c>
      <c r="E3034" s="637">
        <f t="shared" si="105"/>
        <v>8.6512745098039243</v>
      </c>
    </row>
    <row r="3035" spans="1:5">
      <c r="A3035">
        <v>50713</v>
      </c>
      <c r="B3035">
        <v>700</v>
      </c>
      <c r="C3035" s="455">
        <v>0</v>
      </c>
      <c r="D3035" s="637">
        <f t="shared" si="104"/>
        <v>0</v>
      </c>
      <c r="E3035" s="637">
        <f t="shared" si="105"/>
        <v>0</v>
      </c>
    </row>
    <row r="3036" spans="1:5">
      <c r="A3036">
        <v>50713</v>
      </c>
      <c r="B3036">
        <v>800</v>
      </c>
      <c r="C3036" s="455">
        <v>0</v>
      </c>
      <c r="D3036" s="637">
        <f t="shared" si="104"/>
        <v>0</v>
      </c>
      <c r="E3036" s="637">
        <f t="shared" si="105"/>
        <v>0</v>
      </c>
    </row>
    <row r="3037" spans="1:5">
      <c r="A3037">
        <v>50713</v>
      </c>
      <c r="B3037">
        <v>900</v>
      </c>
      <c r="C3037" s="455">
        <v>0</v>
      </c>
      <c r="D3037" s="637">
        <f t="shared" si="104"/>
        <v>0</v>
      </c>
      <c r="E3037" s="637">
        <f t="shared" si="105"/>
        <v>0</v>
      </c>
    </row>
    <row r="3038" spans="1:5">
      <c r="A3038">
        <v>50713</v>
      </c>
      <c r="B3038">
        <v>1000</v>
      </c>
      <c r="C3038" s="455">
        <v>0</v>
      </c>
      <c r="D3038" s="637">
        <f t="shared" si="104"/>
        <v>0</v>
      </c>
      <c r="E3038" s="637">
        <f t="shared" si="105"/>
        <v>0</v>
      </c>
    </row>
    <row r="3039" spans="1:5">
      <c r="A3039">
        <v>50713</v>
      </c>
      <c r="B3039">
        <v>1100</v>
      </c>
      <c r="C3039" s="455">
        <v>0</v>
      </c>
      <c r="D3039" s="637">
        <f t="shared" si="104"/>
        <v>0</v>
      </c>
      <c r="E3039" s="637">
        <f t="shared" si="105"/>
        <v>0</v>
      </c>
    </row>
    <row r="3040" spans="1:5">
      <c r="A3040">
        <v>50713</v>
      </c>
      <c r="B3040">
        <v>1200</v>
      </c>
      <c r="C3040" s="455">
        <v>0</v>
      </c>
      <c r="D3040" s="637">
        <f t="shared" si="104"/>
        <v>0</v>
      </c>
      <c r="E3040" s="637">
        <f t="shared" si="105"/>
        <v>0</v>
      </c>
    </row>
    <row r="3041" spans="1:5">
      <c r="A3041">
        <v>50713</v>
      </c>
      <c r="B3041">
        <v>1300</v>
      </c>
      <c r="C3041" s="455">
        <v>0</v>
      </c>
      <c r="D3041" s="637">
        <f t="shared" si="104"/>
        <v>0</v>
      </c>
      <c r="E3041" s="637">
        <f t="shared" si="105"/>
        <v>0</v>
      </c>
    </row>
    <row r="3042" spans="1:5">
      <c r="A3042">
        <v>50713</v>
      </c>
      <c r="B3042">
        <v>1400</v>
      </c>
      <c r="C3042" s="455">
        <v>0</v>
      </c>
      <c r="D3042" s="637">
        <f t="shared" si="104"/>
        <v>0</v>
      </c>
      <c r="E3042" s="637">
        <f t="shared" si="105"/>
        <v>0</v>
      </c>
    </row>
    <row r="3043" spans="1:5">
      <c r="A3043">
        <v>50713</v>
      </c>
      <c r="B3043">
        <v>1500</v>
      </c>
      <c r="C3043" s="455">
        <v>0</v>
      </c>
      <c r="D3043" s="637">
        <f t="shared" si="104"/>
        <v>0</v>
      </c>
      <c r="E3043" s="637">
        <f t="shared" si="105"/>
        <v>0</v>
      </c>
    </row>
    <row r="3044" spans="1:5">
      <c r="A3044">
        <v>50713</v>
      </c>
      <c r="B3044">
        <v>1600</v>
      </c>
      <c r="C3044" s="455">
        <v>0</v>
      </c>
      <c r="D3044" s="637">
        <f t="shared" si="104"/>
        <v>0</v>
      </c>
      <c r="E3044" s="637">
        <f t="shared" si="105"/>
        <v>0</v>
      </c>
    </row>
    <row r="3045" spans="1:5">
      <c r="A3045">
        <v>50713</v>
      </c>
      <c r="B3045">
        <v>1700</v>
      </c>
      <c r="C3045" s="455">
        <v>0</v>
      </c>
      <c r="D3045" s="637">
        <f t="shared" si="104"/>
        <v>0</v>
      </c>
      <c r="E3045" s="637">
        <f t="shared" si="105"/>
        <v>0</v>
      </c>
    </row>
    <row r="3046" spans="1:5">
      <c r="A3046">
        <v>50713</v>
      </c>
      <c r="B3046">
        <v>1800</v>
      </c>
      <c r="C3046" s="455">
        <v>0</v>
      </c>
      <c r="D3046" s="637">
        <f t="shared" si="104"/>
        <v>0</v>
      </c>
      <c r="E3046" s="637">
        <f t="shared" si="105"/>
        <v>0</v>
      </c>
    </row>
    <row r="3047" spans="1:5">
      <c r="A3047">
        <v>50713</v>
      </c>
      <c r="B3047">
        <v>1900</v>
      </c>
      <c r="C3047" s="455">
        <v>0</v>
      </c>
      <c r="D3047" s="637">
        <f t="shared" si="104"/>
        <v>0</v>
      </c>
      <c r="E3047" s="637">
        <f t="shared" si="105"/>
        <v>0</v>
      </c>
    </row>
    <row r="3048" spans="1:5">
      <c r="A3048">
        <v>50713</v>
      </c>
      <c r="B3048">
        <v>2000</v>
      </c>
      <c r="C3048" s="455">
        <v>7.508</v>
      </c>
      <c r="D3048" s="637">
        <f t="shared" si="104"/>
        <v>16.966607843137258</v>
      </c>
      <c r="E3048" s="637">
        <f t="shared" si="105"/>
        <v>29.075098039215696</v>
      </c>
    </row>
    <row r="3049" spans="1:5">
      <c r="A3049">
        <v>50713</v>
      </c>
      <c r="B3049">
        <v>2100</v>
      </c>
      <c r="C3049" s="455">
        <v>6.8929999999999998</v>
      </c>
      <c r="D3049" s="637">
        <f t="shared" si="104"/>
        <v>15.576828431372551</v>
      </c>
      <c r="E3049" s="637">
        <f t="shared" si="105"/>
        <v>26.693480392156868</v>
      </c>
    </row>
    <row r="3050" spans="1:5">
      <c r="A3050">
        <v>50713</v>
      </c>
      <c r="B3050">
        <v>2200</v>
      </c>
      <c r="C3050" s="455">
        <v>7.2569999999999997</v>
      </c>
      <c r="D3050" s="637">
        <f t="shared" si="104"/>
        <v>16.399397058823531</v>
      </c>
      <c r="E3050" s="637">
        <f t="shared" si="105"/>
        <v>28.103088235294127</v>
      </c>
    </row>
    <row r="3051" spans="1:5">
      <c r="A3051">
        <v>50713</v>
      </c>
      <c r="B3051">
        <v>2300</v>
      </c>
      <c r="C3051" s="455">
        <v>7.0350000000000001</v>
      </c>
      <c r="D3051" s="637">
        <f t="shared" si="104"/>
        <v>15.897720588235297</v>
      </c>
      <c r="E3051" s="637">
        <f t="shared" si="105"/>
        <v>27.243382352941186</v>
      </c>
    </row>
    <row r="3052" spans="1:5">
      <c r="A3052">
        <v>50713</v>
      </c>
      <c r="B3052">
        <v>2400</v>
      </c>
      <c r="C3052" s="455">
        <v>7.0439999999999996</v>
      </c>
      <c r="D3052" s="637">
        <f t="shared" si="104"/>
        <v>15.918058823529412</v>
      </c>
      <c r="E3052" s="637">
        <f t="shared" si="105"/>
        <v>27.278235294117653</v>
      </c>
    </row>
    <row r="3053" spans="1:5">
      <c r="A3053">
        <v>50813</v>
      </c>
      <c r="B3053">
        <v>100</v>
      </c>
      <c r="C3053" s="455">
        <v>7.1280000000000001</v>
      </c>
      <c r="D3053" s="637">
        <f t="shared" si="104"/>
        <v>16.107882352941179</v>
      </c>
      <c r="E3053" s="637">
        <f t="shared" si="105"/>
        <v>27.603529411764711</v>
      </c>
    </row>
    <row r="3054" spans="1:5">
      <c r="A3054">
        <v>50813</v>
      </c>
      <c r="B3054">
        <v>200</v>
      </c>
      <c r="C3054" s="455">
        <v>7.1870000000000003</v>
      </c>
      <c r="D3054" s="637">
        <f t="shared" si="104"/>
        <v>16.241210784313729</v>
      </c>
      <c r="E3054" s="637">
        <f t="shared" si="105"/>
        <v>27.832009803921579</v>
      </c>
    </row>
    <row r="3055" spans="1:5">
      <c r="A3055">
        <v>50813</v>
      </c>
      <c r="B3055">
        <v>300</v>
      </c>
      <c r="C3055" s="455">
        <v>7.0449999999999999</v>
      </c>
      <c r="D3055" s="637">
        <f t="shared" si="104"/>
        <v>15.920318627450984</v>
      </c>
      <c r="E3055" s="637">
        <f t="shared" si="105"/>
        <v>27.282107843137265</v>
      </c>
    </row>
    <row r="3056" spans="1:5">
      <c r="A3056">
        <v>50813</v>
      </c>
      <c r="B3056">
        <v>400</v>
      </c>
      <c r="C3056" s="455">
        <v>7.1180000000000003</v>
      </c>
      <c r="D3056" s="637">
        <f t="shared" si="104"/>
        <v>16.085284313725495</v>
      </c>
      <c r="E3056" s="637">
        <f t="shared" si="105"/>
        <v>27.56480392156864</v>
      </c>
    </row>
    <row r="3057" spans="1:5">
      <c r="A3057">
        <v>50813</v>
      </c>
      <c r="B3057">
        <v>500</v>
      </c>
      <c r="C3057" s="455">
        <v>7.4329999999999998</v>
      </c>
      <c r="D3057" s="637">
        <f t="shared" si="104"/>
        <v>16.797122549019612</v>
      </c>
      <c r="E3057" s="637">
        <f t="shared" si="105"/>
        <v>28.784656862745109</v>
      </c>
    </row>
    <row r="3058" spans="1:5">
      <c r="A3058">
        <v>50813</v>
      </c>
      <c r="B3058">
        <v>600</v>
      </c>
      <c r="C3058" s="455">
        <v>3.3820000000000001</v>
      </c>
      <c r="D3058" s="637">
        <f t="shared" si="104"/>
        <v>7.6426568627450999</v>
      </c>
      <c r="E3058" s="637">
        <f t="shared" si="105"/>
        <v>13.096960784313731</v>
      </c>
    </row>
    <row r="3059" spans="1:5">
      <c r="A3059">
        <v>50813</v>
      </c>
      <c r="B3059">
        <v>700</v>
      </c>
      <c r="C3059" s="455">
        <v>1E-3</v>
      </c>
      <c r="D3059" s="637">
        <f t="shared" si="104"/>
        <v>2.2598039215686277E-3</v>
      </c>
      <c r="E3059" s="637">
        <f t="shared" si="105"/>
        <v>3.8725490196078443E-3</v>
      </c>
    </row>
    <row r="3060" spans="1:5">
      <c r="A3060">
        <v>50813</v>
      </c>
      <c r="B3060">
        <v>800</v>
      </c>
      <c r="C3060" s="455">
        <v>0</v>
      </c>
      <c r="D3060" s="637">
        <f t="shared" si="104"/>
        <v>0</v>
      </c>
      <c r="E3060" s="637">
        <f t="shared" si="105"/>
        <v>0</v>
      </c>
    </row>
    <row r="3061" spans="1:5">
      <c r="A3061">
        <v>50813</v>
      </c>
      <c r="B3061">
        <v>900</v>
      </c>
      <c r="C3061" s="455">
        <v>0</v>
      </c>
      <c r="D3061" s="637">
        <f t="shared" si="104"/>
        <v>0</v>
      </c>
      <c r="E3061" s="637">
        <f t="shared" si="105"/>
        <v>0</v>
      </c>
    </row>
    <row r="3062" spans="1:5">
      <c r="A3062">
        <v>50813</v>
      </c>
      <c r="B3062">
        <v>1000</v>
      </c>
      <c r="C3062" s="455">
        <v>0</v>
      </c>
      <c r="D3062" s="637">
        <f t="shared" si="104"/>
        <v>0</v>
      </c>
      <c r="E3062" s="637">
        <f t="shared" si="105"/>
        <v>0</v>
      </c>
    </row>
    <row r="3063" spans="1:5">
      <c r="A3063">
        <v>50813</v>
      </c>
      <c r="B3063">
        <v>1100</v>
      </c>
      <c r="C3063" s="455">
        <v>0</v>
      </c>
      <c r="D3063" s="637">
        <f t="shared" si="104"/>
        <v>0</v>
      </c>
      <c r="E3063" s="637">
        <f t="shared" si="105"/>
        <v>0</v>
      </c>
    </row>
    <row r="3064" spans="1:5">
      <c r="A3064">
        <v>50813</v>
      </c>
      <c r="B3064">
        <v>1200</v>
      </c>
      <c r="C3064" s="455">
        <v>0</v>
      </c>
      <c r="D3064" s="637">
        <f t="shared" si="104"/>
        <v>0</v>
      </c>
      <c r="E3064" s="637">
        <f t="shared" si="105"/>
        <v>0</v>
      </c>
    </row>
    <row r="3065" spans="1:5">
      <c r="A3065">
        <v>50813</v>
      </c>
      <c r="B3065">
        <v>1300</v>
      </c>
      <c r="C3065" s="455">
        <v>0</v>
      </c>
      <c r="D3065" s="637">
        <f t="shared" si="104"/>
        <v>0</v>
      </c>
      <c r="E3065" s="637">
        <f t="shared" si="105"/>
        <v>0</v>
      </c>
    </row>
    <row r="3066" spans="1:5">
      <c r="A3066">
        <v>50813</v>
      </c>
      <c r="B3066">
        <v>1400</v>
      </c>
      <c r="C3066" s="455">
        <v>0</v>
      </c>
      <c r="D3066" s="637">
        <f t="shared" si="104"/>
        <v>0</v>
      </c>
      <c r="E3066" s="637">
        <f t="shared" si="105"/>
        <v>0</v>
      </c>
    </row>
    <row r="3067" spans="1:5">
      <c r="A3067">
        <v>50813</v>
      </c>
      <c r="B3067">
        <v>1500</v>
      </c>
      <c r="C3067" s="455">
        <v>0</v>
      </c>
      <c r="D3067" s="637">
        <f t="shared" si="104"/>
        <v>0</v>
      </c>
      <c r="E3067" s="637">
        <f t="shared" si="105"/>
        <v>0</v>
      </c>
    </row>
    <row r="3068" spans="1:5">
      <c r="A3068">
        <v>50813</v>
      </c>
      <c r="B3068">
        <v>1600</v>
      </c>
      <c r="C3068" s="455">
        <v>0</v>
      </c>
      <c r="D3068" s="637">
        <f t="shared" si="104"/>
        <v>0</v>
      </c>
      <c r="E3068" s="637">
        <f t="shared" si="105"/>
        <v>0</v>
      </c>
    </row>
    <row r="3069" spans="1:5">
      <c r="A3069">
        <v>50813</v>
      </c>
      <c r="B3069">
        <v>1700</v>
      </c>
      <c r="C3069" s="455">
        <v>0</v>
      </c>
      <c r="D3069" s="637">
        <f t="shared" si="104"/>
        <v>0</v>
      </c>
      <c r="E3069" s="637">
        <f t="shared" si="105"/>
        <v>0</v>
      </c>
    </row>
    <row r="3070" spans="1:5">
      <c r="A3070">
        <v>50813</v>
      </c>
      <c r="B3070">
        <v>1800</v>
      </c>
      <c r="C3070" s="455">
        <v>0</v>
      </c>
      <c r="D3070" s="637">
        <f t="shared" si="104"/>
        <v>0</v>
      </c>
      <c r="E3070" s="637">
        <f t="shared" si="105"/>
        <v>0</v>
      </c>
    </row>
    <row r="3071" spans="1:5">
      <c r="A3071">
        <v>50813</v>
      </c>
      <c r="B3071">
        <v>1900</v>
      </c>
      <c r="C3071" s="455">
        <v>0.03</v>
      </c>
      <c r="D3071" s="637">
        <f t="shared" si="104"/>
        <v>6.7794117647058824E-2</v>
      </c>
      <c r="E3071" s="637">
        <f t="shared" si="105"/>
        <v>0.11617647058823533</v>
      </c>
    </row>
    <row r="3072" spans="1:5">
      <c r="A3072">
        <v>50813</v>
      </c>
      <c r="B3072">
        <v>2000</v>
      </c>
      <c r="C3072" s="455">
        <v>8.1769999999999996</v>
      </c>
      <c r="D3072" s="637">
        <f t="shared" si="104"/>
        <v>18.478416666666668</v>
      </c>
      <c r="E3072" s="637">
        <f t="shared" si="105"/>
        <v>31.665833333333342</v>
      </c>
    </row>
    <row r="3073" spans="1:5">
      <c r="A3073">
        <v>50813</v>
      </c>
      <c r="B3073">
        <v>2100</v>
      </c>
      <c r="C3073" s="455">
        <v>6.883</v>
      </c>
      <c r="D3073" s="637">
        <f t="shared" si="104"/>
        <v>15.554230392156866</v>
      </c>
      <c r="E3073" s="637">
        <f t="shared" si="105"/>
        <v>26.654754901960793</v>
      </c>
    </row>
    <row r="3074" spans="1:5">
      <c r="A3074">
        <v>50813</v>
      </c>
      <c r="B3074">
        <v>2200</v>
      </c>
      <c r="C3074" s="455">
        <v>7.109</v>
      </c>
      <c r="D3074" s="637">
        <f t="shared" si="104"/>
        <v>16.064946078431376</v>
      </c>
      <c r="E3074" s="637">
        <f t="shared" si="105"/>
        <v>27.529950980392165</v>
      </c>
    </row>
    <row r="3075" spans="1:5">
      <c r="A3075">
        <v>50813</v>
      </c>
      <c r="B3075">
        <v>2300</v>
      </c>
      <c r="C3075" s="455">
        <v>6.968</v>
      </c>
      <c r="D3075" s="637">
        <f t="shared" si="104"/>
        <v>15.746313725490198</v>
      </c>
      <c r="E3075" s="637">
        <f t="shared" si="105"/>
        <v>26.983921568627462</v>
      </c>
    </row>
    <row r="3076" spans="1:5">
      <c r="A3076">
        <v>50813</v>
      </c>
      <c r="B3076">
        <v>2400</v>
      </c>
      <c r="C3076" s="455">
        <v>7.0449999999999999</v>
      </c>
      <c r="D3076" s="637">
        <f t="shared" si="104"/>
        <v>15.920318627450984</v>
      </c>
      <c r="E3076" s="637">
        <f t="shared" si="105"/>
        <v>27.282107843137265</v>
      </c>
    </row>
    <row r="3077" spans="1:5">
      <c r="A3077">
        <v>50913</v>
      </c>
      <c r="B3077">
        <v>100</v>
      </c>
      <c r="C3077" s="455">
        <v>7.1840000000000002</v>
      </c>
      <c r="D3077" s="637">
        <f t="shared" si="104"/>
        <v>16.234431372549022</v>
      </c>
      <c r="E3077" s="637">
        <f t="shared" si="105"/>
        <v>27.820392156862756</v>
      </c>
    </row>
    <row r="3078" spans="1:5">
      <c r="A3078">
        <v>50913</v>
      </c>
      <c r="B3078">
        <v>200</v>
      </c>
      <c r="C3078" s="455">
        <v>6.9749999999999996</v>
      </c>
      <c r="D3078" s="637">
        <f t="shared" ref="D3078:D3141" si="106">(C3078/(MAX($C$2885:$C$3628)))*$W$9</f>
        <v>15.762132352941178</v>
      </c>
      <c r="E3078" s="637">
        <f t="shared" ref="E3078:E3141" si="107">(C3078/(MAX($C$2885:$C$3628)))*$P$9</f>
        <v>27.011029411764714</v>
      </c>
    </row>
    <row r="3079" spans="1:5">
      <c r="A3079">
        <v>50913</v>
      </c>
      <c r="B3079">
        <v>300</v>
      </c>
      <c r="C3079" s="455">
        <v>7.0540000000000003</v>
      </c>
      <c r="D3079" s="637">
        <f t="shared" si="106"/>
        <v>15.940656862745099</v>
      </c>
      <c r="E3079" s="637">
        <f t="shared" si="107"/>
        <v>27.316960784313732</v>
      </c>
    </row>
    <row r="3080" spans="1:5">
      <c r="A3080">
        <v>50913</v>
      </c>
      <c r="B3080">
        <v>400</v>
      </c>
      <c r="C3080" s="455">
        <v>7.125</v>
      </c>
      <c r="D3080" s="637">
        <f t="shared" si="106"/>
        <v>16.101102941176471</v>
      </c>
      <c r="E3080" s="637">
        <f t="shared" si="107"/>
        <v>27.591911764705891</v>
      </c>
    </row>
    <row r="3081" spans="1:5">
      <c r="A3081">
        <v>50913</v>
      </c>
      <c r="B3081">
        <v>500</v>
      </c>
      <c r="C3081" s="455">
        <v>7.1429999999999998</v>
      </c>
      <c r="D3081" s="637">
        <f t="shared" si="106"/>
        <v>16.141779411764709</v>
      </c>
      <c r="E3081" s="637">
        <f t="shared" si="107"/>
        <v>27.661617647058833</v>
      </c>
    </row>
    <row r="3082" spans="1:5">
      <c r="A3082">
        <v>50913</v>
      </c>
      <c r="B3082">
        <v>600</v>
      </c>
      <c r="C3082" s="455">
        <v>4.2969999999999997</v>
      </c>
      <c r="D3082" s="637">
        <f t="shared" si="106"/>
        <v>9.7103774509803937</v>
      </c>
      <c r="E3082" s="637">
        <f t="shared" si="107"/>
        <v>16.640343137254906</v>
      </c>
    </row>
    <row r="3083" spans="1:5">
      <c r="A3083">
        <v>50913</v>
      </c>
      <c r="B3083">
        <v>700</v>
      </c>
      <c r="C3083" s="455">
        <v>0</v>
      </c>
      <c r="D3083" s="637">
        <f t="shared" si="106"/>
        <v>0</v>
      </c>
      <c r="E3083" s="637">
        <f t="shared" si="107"/>
        <v>0</v>
      </c>
    </row>
    <row r="3084" spans="1:5">
      <c r="A3084">
        <v>50913</v>
      </c>
      <c r="B3084">
        <v>800</v>
      </c>
      <c r="C3084" s="455">
        <v>0</v>
      </c>
      <c r="D3084" s="637">
        <f t="shared" si="106"/>
        <v>0</v>
      </c>
      <c r="E3084" s="637">
        <f t="shared" si="107"/>
        <v>0</v>
      </c>
    </row>
    <row r="3085" spans="1:5">
      <c r="A3085">
        <v>50913</v>
      </c>
      <c r="B3085">
        <v>900</v>
      </c>
      <c r="C3085" s="455">
        <v>0.01</v>
      </c>
      <c r="D3085" s="637">
        <f t="shared" si="106"/>
        <v>2.2598039215686278E-2</v>
      </c>
      <c r="E3085" s="637">
        <f t="shared" si="107"/>
        <v>3.872549019607844E-2</v>
      </c>
    </row>
    <row r="3086" spans="1:5">
      <c r="A3086">
        <v>50913</v>
      </c>
      <c r="B3086">
        <v>1000</v>
      </c>
      <c r="C3086" s="455">
        <v>0</v>
      </c>
      <c r="D3086" s="637">
        <f t="shared" si="106"/>
        <v>0</v>
      </c>
      <c r="E3086" s="637">
        <f t="shared" si="107"/>
        <v>0</v>
      </c>
    </row>
    <row r="3087" spans="1:5">
      <c r="A3087">
        <v>50913</v>
      </c>
      <c r="B3087">
        <v>1100</v>
      </c>
      <c r="C3087" s="455">
        <v>0</v>
      </c>
      <c r="D3087" s="637">
        <f t="shared" si="106"/>
        <v>0</v>
      </c>
      <c r="E3087" s="637">
        <f t="shared" si="107"/>
        <v>0</v>
      </c>
    </row>
    <row r="3088" spans="1:5">
      <c r="A3088">
        <v>50913</v>
      </c>
      <c r="B3088">
        <v>1200</v>
      </c>
      <c r="C3088" s="455">
        <v>0</v>
      </c>
      <c r="D3088" s="637">
        <f t="shared" si="106"/>
        <v>0</v>
      </c>
      <c r="E3088" s="637">
        <f t="shared" si="107"/>
        <v>0</v>
      </c>
    </row>
    <row r="3089" spans="1:5">
      <c r="A3089">
        <v>50913</v>
      </c>
      <c r="B3089">
        <v>1300</v>
      </c>
      <c r="C3089" s="455">
        <v>0</v>
      </c>
      <c r="D3089" s="637">
        <f t="shared" si="106"/>
        <v>0</v>
      </c>
      <c r="E3089" s="637">
        <f t="shared" si="107"/>
        <v>0</v>
      </c>
    </row>
    <row r="3090" spans="1:5">
      <c r="A3090">
        <v>50913</v>
      </c>
      <c r="B3090">
        <v>1400</v>
      </c>
      <c r="C3090" s="455">
        <v>0</v>
      </c>
      <c r="D3090" s="637">
        <f t="shared" si="106"/>
        <v>0</v>
      </c>
      <c r="E3090" s="637">
        <f t="shared" si="107"/>
        <v>0</v>
      </c>
    </row>
    <row r="3091" spans="1:5">
      <c r="A3091">
        <v>50913</v>
      </c>
      <c r="B3091">
        <v>1500</v>
      </c>
      <c r="C3091" s="455">
        <v>0</v>
      </c>
      <c r="D3091" s="637">
        <f t="shared" si="106"/>
        <v>0</v>
      </c>
      <c r="E3091" s="637">
        <f t="shared" si="107"/>
        <v>0</v>
      </c>
    </row>
    <row r="3092" spans="1:5">
      <c r="A3092">
        <v>50913</v>
      </c>
      <c r="B3092">
        <v>1600</v>
      </c>
      <c r="C3092" s="455">
        <v>0</v>
      </c>
      <c r="D3092" s="637">
        <f t="shared" si="106"/>
        <v>0</v>
      </c>
      <c r="E3092" s="637">
        <f t="shared" si="107"/>
        <v>0</v>
      </c>
    </row>
    <row r="3093" spans="1:5">
      <c r="A3093">
        <v>50913</v>
      </c>
      <c r="B3093">
        <v>1700</v>
      </c>
      <c r="C3093" s="455">
        <v>0</v>
      </c>
      <c r="D3093" s="637">
        <f t="shared" si="106"/>
        <v>0</v>
      </c>
      <c r="E3093" s="637">
        <f t="shared" si="107"/>
        <v>0</v>
      </c>
    </row>
    <row r="3094" spans="1:5">
      <c r="A3094">
        <v>50913</v>
      </c>
      <c r="B3094">
        <v>1800</v>
      </c>
      <c r="C3094" s="455">
        <v>0</v>
      </c>
      <c r="D3094" s="637">
        <f t="shared" si="106"/>
        <v>0</v>
      </c>
      <c r="E3094" s="637">
        <f t="shared" si="107"/>
        <v>0</v>
      </c>
    </row>
    <row r="3095" spans="1:5">
      <c r="A3095">
        <v>50913</v>
      </c>
      <c r="B3095">
        <v>1900</v>
      </c>
      <c r="C3095" s="455">
        <v>0</v>
      </c>
      <c r="D3095" s="637">
        <f t="shared" si="106"/>
        <v>0</v>
      </c>
      <c r="E3095" s="637">
        <f t="shared" si="107"/>
        <v>0</v>
      </c>
    </row>
    <row r="3096" spans="1:5">
      <c r="A3096">
        <v>50913</v>
      </c>
      <c r="B3096">
        <v>2000</v>
      </c>
      <c r="C3096" s="455">
        <v>6.9320000000000004</v>
      </c>
      <c r="D3096" s="637">
        <f t="shared" si="106"/>
        <v>15.664960784313728</v>
      </c>
      <c r="E3096" s="637">
        <f t="shared" si="107"/>
        <v>26.844509803921575</v>
      </c>
    </row>
    <row r="3097" spans="1:5">
      <c r="A3097">
        <v>50913</v>
      </c>
      <c r="B3097">
        <v>2100</v>
      </c>
      <c r="C3097" s="455">
        <v>7.048</v>
      </c>
      <c r="D3097" s="637">
        <f t="shared" si="106"/>
        <v>15.927098039215688</v>
      </c>
      <c r="E3097" s="637">
        <f t="shared" si="107"/>
        <v>27.293725490196088</v>
      </c>
    </row>
    <row r="3098" spans="1:5">
      <c r="A3098">
        <v>50913</v>
      </c>
      <c r="B3098">
        <v>2200</v>
      </c>
      <c r="C3098" s="455">
        <v>7.1180000000000003</v>
      </c>
      <c r="D3098" s="637">
        <f t="shared" si="106"/>
        <v>16.085284313725495</v>
      </c>
      <c r="E3098" s="637">
        <f t="shared" si="107"/>
        <v>27.56480392156864</v>
      </c>
    </row>
    <row r="3099" spans="1:5">
      <c r="A3099">
        <v>50913</v>
      </c>
      <c r="B3099">
        <v>2300</v>
      </c>
      <c r="C3099" s="455">
        <v>6.8890000000000002</v>
      </c>
      <c r="D3099" s="637">
        <f t="shared" si="106"/>
        <v>15.567789215686277</v>
      </c>
      <c r="E3099" s="637">
        <f t="shared" si="107"/>
        <v>26.67799019607844</v>
      </c>
    </row>
    <row r="3100" spans="1:5">
      <c r="A3100">
        <v>50913</v>
      </c>
      <c r="B3100">
        <v>2400</v>
      </c>
      <c r="C3100" s="455">
        <v>7.2690000000000001</v>
      </c>
      <c r="D3100" s="637">
        <f t="shared" si="106"/>
        <v>16.426514705882354</v>
      </c>
      <c r="E3100" s="637">
        <f t="shared" si="107"/>
        <v>28.149558823529421</v>
      </c>
    </row>
    <row r="3101" spans="1:5">
      <c r="A3101">
        <v>51013</v>
      </c>
      <c r="B3101">
        <v>100</v>
      </c>
      <c r="C3101" s="455">
        <v>6.9749999999999996</v>
      </c>
      <c r="D3101" s="637">
        <f t="shared" si="106"/>
        <v>15.762132352941178</v>
      </c>
      <c r="E3101" s="637">
        <f t="shared" si="107"/>
        <v>27.011029411764714</v>
      </c>
    </row>
    <row r="3102" spans="1:5">
      <c r="A3102">
        <v>51013</v>
      </c>
      <c r="B3102">
        <v>200</v>
      </c>
      <c r="C3102" s="455">
        <v>7.2619999999999996</v>
      </c>
      <c r="D3102" s="637">
        <f t="shared" si="106"/>
        <v>16.410696078431375</v>
      </c>
      <c r="E3102" s="637">
        <f t="shared" si="107"/>
        <v>28.122450980392166</v>
      </c>
    </row>
    <row r="3103" spans="1:5">
      <c r="A3103">
        <v>51013</v>
      </c>
      <c r="B3103">
        <v>300</v>
      </c>
      <c r="C3103" s="455">
        <v>7.05</v>
      </c>
      <c r="D3103" s="637">
        <f t="shared" si="106"/>
        <v>15.931617647058825</v>
      </c>
      <c r="E3103" s="637">
        <f t="shared" si="107"/>
        <v>27.301470588235304</v>
      </c>
    </row>
    <row r="3104" spans="1:5">
      <c r="A3104">
        <v>51013</v>
      </c>
      <c r="B3104">
        <v>400</v>
      </c>
      <c r="C3104" s="455">
        <v>7.1909999999999998</v>
      </c>
      <c r="D3104" s="637">
        <f t="shared" si="106"/>
        <v>16.250250000000001</v>
      </c>
      <c r="E3104" s="637">
        <f t="shared" si="107"/>
        <v>27.847500000000007</v>
      </c>
    </row>
    <row r="3105" spans="1:5">
      <c r="A3105">
        <v>51013</v>
      </c>
      <c r="B3105">
        <v>500</v>
      </c>
      <c r="C3105" s="455">
        <v>7.72</v>
      </c>
      <c r="D3105" s="637">
        <f t="shared" si="106"/>
        <v>17.445686274509804</v>
      </c>
      <c r="E3105" s="637">
        <f t="shared" si="107"/>
        <v>29.896078431372555</v>
      </c>
    </row>
    <row r="3106" spans="1:5">
      <c r="A3106">
        <v>51013</v>
      </c>
      <c r="B3106">
        <v>600</v>
      </c>
      <c r="C3106" s="455">
        <v>0.88100000000000001</v>
      </c>
      <c r="D3106" s="637">
        <f t="shared" si="106"/>
        <v>1.9908872549019609</v>
      </c>
      <c r="E3106" s="637">
        <f t="shared" si="107"/>
        <v>3.4117156862745111</v>
      </c>
    </row>
    <row r="3107" spans="1:5">
      <c r="A3107">
        <v>51013</v>
      </c>
      <c r="B3107">
        <v>700</v>
      </c>
      <c r="C3107" s="455">
        <v>4.5999999999999999E-2</v>
      </c>
      <c r="D3107" s="637">
        <f t="shared" si="106"/>
        <v>0.10395098039215687</v>
      </c>
      <c r="E3107" s="637">
        <f t="shared" si="107"/>
        <v>0.17813725490196083</v>
      </c>
    </row>
    <row r="3108" spans="1:5">
      <c r="A3108">
        <v>51013</v>
      </c>
      <c r="B3108">
        <v>800</v>
      </c>
      <c r="C3108" s="455">
        <v>0</v>
      </c>
      <c r="D3108" s="637">
        <f t="shared" si="106"/>
        <v>0</v>
      </c>
      <c r="E3108" s="637">
        <f t="shared" si="107"/>
        <v>0</v>
      </c>
    </row>
    <row r="3109" spans="1:5">
      <c r="A3109">
        <v>51013</v>
      </c>
      <c r="B3109">
        <v>900</v>
      </c>
      <c r="C3109" s="455">
        <v>1E-3</v>
      </c>
      <c r="D3109" s="637">
        <f t="shared" si="106"/>
        <v>2.2598039215686277E-3</v>
      </c>
      <c r="E3109" s="637">
        <f t="shared" si="107"/>
        <v>3.8725490196078443E-3</v>
      </c>
    </row>
    <row r="3110" spans="1:5">
      <c r="A3110">
        <v>51013</v>
      </c>
      <c r="B3110">
        <v>1000</v>
      </c>
      <c r="C3110" s="455">
        <v>6.0000000000000001E-3</v>
      </c>
      <c r="D3110" s="637">
        <f t="shared" si="106"/>
        <v>1.3558823529411767E-2</v>
      </c>
      <c r="E3110" s="637">
        <f t="shared" si="107"/>
        <v>2.3235294117647066E-2</v>
      </c>
    </row>
    <row r="3111" spans="1:5">
      <c r="A3111">
        <v>51013</v>
      </c>
      <c r="B3111">
        <v>1100</v>
      </c>
      <c r="C3111" s="455">
        <v>0</v>
      </c>
      <c r="D3111" s="637">
        <f t="shared" si="106"/>
        <v>0</v>
      </c>
      <c r="E3111" s="637">
        <f t="shared" si="107"/>
        <v>0</v>
      </c>
    </row>
    <row r="3112" spans="1:5">
      <c r="A3112">
        <v>51013</v>
      </c>
      <c r="B3112">
        <v>1200</v>
      </c>
      <c r="C3112" s="455">
        <v>0</v>
      </c>
      <c r="D3112" s="637">
        <f t="shared" si="106"/>
        <v>0</v>
      </c>
      <c r="E3112" s="637">
        <f t="shared" si="107"/>
        <v>0</v>
      </c>
    </row>
    <row r="3113" spans="1:5">
      <c r="A3113">
        <v>51013</v>
      </c>
      <c r="B3113">
        <v>1300</v>
      </c>
      <c r="C3113" s="455">
        <v>0</v>
      </c>
      <c r="D3113" s="637">
        <f t="shared" si="106"/>
        <v>0</v>
      </c>
      <c r="E3113" s="637">
        <f t="shared" si="107"/>
        <v>0</v>
      </c>
    </row>
    <row r="3114" spans="1:5">
      <c r="A3114">
        <v>51013</v>
      </c>
      <c r="B3114">
        <v>1400</v>
      </c>
      <c r="C3114" s="455">
        <v>0</v>
      </c>
      <c r="D3114" s="637">
        <f t="shared" si="106"/>
        <v>0</v>
      </c>
      <c r="E3114" s="637">
        <f t="shared" si="107"/>
        <v>0</v>
      </c>
    </row>
    <row r="3115" spans="1:5">
      <c r="A3115">
        <v>51013</v>
      </c>
      <c r="B3115">
        <v>1500</v>
      </c>
      <c r="C3115" s="455">
        <v>0</v>
      </c>
      <c r="D3115" s="637">
        <f t="shared" si="106"/>
        <v>0</v>
      </c>
      <c r="E3115" s="637">
        <f t="shared" si="107"/>
        <v>0</v>
      </c>
    </row>
    <row r="3116" spans="1:5">
      <c r="A3116">
        <v>51013</v>
      </c>
      <c r="B3116">
        <v>1600</v>
      </c>
      <c r="C3116" s="455">
        <v>0</v>
      </c>
      <c r="D3116" s="637">
        <f t="shared" si="106"/>
        <v>0</v>
      </c>
      <c r="E3116" s="637">
        <f t="shared" si="107"/>
        <v>0</v>
      </c>
    </row>
    <row r="3117" spans="1:5">
      <c r="A3117">
        <v>51013</v>
      </c>
      <c r="B3117">
        <v>1700</v>
      </c>
      <c r="C3117" s="455">
        <v>8.0000000000000002E-3</v>
      </c>
      <c r="D3117" s="637">
        <f t="shared" si="106"/>
        <v>1.8078431372549022E-2</v>
      </c>
      <c r="E3117" s="637">
        <f t="shared" si="107"/>
        <v>3.0980392156862754E-2</v>
      </c>
    </row>
    <row r="3118" spans="1:5">
      <c r="A3118">
        <v>51013</v>
      </c>
      <c r="B3118">
        <v>1800</v>
      </c>
      <c r="C3118" s="455">
        <v>0</v>
      </c>
      <c r="D3118" s="637">
        <f t="shared" si="106"/>
        <v>0</v>
      </c>
      <c r="E3118" s="637">
        <f t="shared" si="107"/>
        <v>0</v>
      </c>
    </row>
    <row r="3119" spans="1:5">
      <c r="A3119">
        <v>51013</v>
      </c>
      <c r="B3119">
        <v>1900</v>
      </c>
      <c r="C3119" s="455">
        <v>0.88600000000000001</v>
      </c>
      <c r="D3119" s="637">
        <f t="shared" si="106"/>
        <v>2.0021862745098042</v>
      </c>
      <c r="E3119" s="637">
        <f t="shared" si="107"/>
        <v>3.43107843137255</v>
      </c>
    </row>
    <row r="3120" spans="1:5">
      <c r="A3120">
        <v>51013</v>
      </c>
      <c r="B3120">
        <v>2000</v>
      </c>
      <c r="C3120" s="455">
        <v>5.8250000000000002</v>
      </c>
      <c r="D3120" s="637">
        <f t="shared" si="106"/>
        <v>13.163357843137257</v>
      </c>
      <c r="E3120" s="637">
        <f t="shared" si="107"/>
        <v>22.557598039215694</v>
      </c>
    </row>
    <row r="3121" spans="1:5">
      <c r="A3121">
        <v>51013</v>
      </c>
      <c r="B3121">
        <v>2100</v>
      </c>
      <c r="C3121" s="455">
        <v>6.97</v>
      </c>
      <c r="D3121" s="637">
        <f t="shared" si="106"/>
        <v>15.750833333333334</v>
      </c>
      <c r="E3121" s="637">
        <f t="shared" si="107"/>
        <v>26.991666666666674</v>
      </c>
    </row>
    <row r="3122" spans="1:5">
      <c r="A3122">
        <v>51013</v>
      </c>
      <c r="B3122">
        <v>2200</v>
      </c>
      <c r="C3122" s="455">
        <v>7.125</v>
      </c>
      <c r="D3122" s="637">
        <f t="shared" si="106"/>
        <v>16.101102941176471</v>
      </c>
      <c r="E3122" s="637">
        <f t="shared" si="107"/>
        <v>27.591911764705891</v>
      </c>
    </row>
    <row r="3123" spans="1:5">
      <c r="A3123">
        <v>51013</v>
      </c>
      <c r="B3123">
        <v>2300</v>
      </c>
      <c r="C3123" s="455">
        <v>7.1950000000000003</v>
      </c>
      <c r="D3123" s="637">
        <f t="shared" si="106"/>
        <v>16.259289215686277</v>
      </c>
      <c r="E3123" s="637">
        <f t="shared" si="107"/>
        <v>27.862990196078442</v>
      </c>
    </row>
    <row r="3124" spans="1:5">
      <c r="A3124">
        <v>51013</v>
      </c>
      <c r="B3124">
        <v>2400</v>
      </c>
      <c r="C3124" s="455">
        <v>7.2640000000000002</v>
      </c>
      <c r="D3124" s="637">
        <f t="shared" si="106"/>
        <v>16.415215686274511</v>
      </c>
      <c r="E3124" s="637">
        <f t="shared" si="107"/>
        <v>28.130196078431382</v>
      </c>
    </row>
    <row r="3125" spans="1:5">
      <c r="A3125">
        <v>51113</v>
      </c>
      <c r="B3125">
        <v>100</v>
      </c>
      <c r="C3125" s="455">
        <v>7.2119999999999997</v>
      </c>
      <c r="D3125" s="637">
        <f t="shared" si="106"/>
        <v>16.297705882352943</v>
      </c>
      <c r="E3125" s="637">
        <f t="shared" si="107"/>
        <v>27.928823529411773</v>
      </c>
    </row>
    <row r="3126" spans="1:5">
      <c r="A3126">
        <v>51113</v>
      </c>
      <c r="B3126">
        <v>200</v>
      </c>
      <c r="C3126" s="455">
        <v>7.1989999999999998</v>
      </c>
      <c r="D3126" s="637">
        <f t="shared" si="106"/>
        <v>16.268328431372552</v>
      </c>
      <c r="E3126" s="637">
        <f t="shared" si="107"/>
        <v>27.87848039215687</v>
      </c>
    </row>
    <row r="3127" spans="1:5">
      <c r="A3127">
        <v>51113</v>
      </c>
      <c r="B3127">
        <v>300</v>
      </c>
      <c r="C3127" s="455">
        <v>7.1269999999999998</v>
      </c>
      <c r="D3127" s="637">
        <f t="shared" si="106"/>
        <v>16.105622549019611</v>
      </c>
      <c r="E3127" s="637">
        <f t="shared" si="107"/>
        <v>27.599656862745107</v>
      </c>
    </row>
    <row r="3128" spans="1:5">
      <c r="A3128">
        <v>51113</v>
      </c>
      <c r="B3128">
        <v>400</v>
      </c>
      <c r="C3128" s="455">
        <v>7.8440000000000003</v>
      </c>
      <c r="D3128" s="637">
        <f t="shared" si="106"/>
        <v>17.725901960784316</v>
      </c>
      <c r="E3128" s="637">
        <f t="shared" si="107"/>
        <v>30.376274509803935</v>
      </c>
    </row>
    <row r="3129" spans="1:5">
      <c r="A3129">
        <v>51113</v>
      </c>
      <c r="B3129">
        <v>500</v>
      </c>
      <c r="C3129" s="455">
        <v>8.0190000000000001</v>
      </c>
      <c r="D3129" s="637">
        <f t="shared" si="106"/>
        <v>18.121367647058825</v>
      </c>
      <c r="E3129" s="637">
        <f t="shared" si="107"/>
        <v>31.053970588235305</v>
      </c>
    </row>
    <row r="3130" spans="1:5">
      <c r="A3130">
        <v>51113</v>
      </c>
      <c r="B3130">
        <v>600</v>
      </c>
      <c r="C3130" s="455">
        <v>3.3279999999999998</v>
      </c>
      <c r="D3130" s="637">
        <f t="shared" si="106"/>
        <v>7.5206274509803919</v>
      </c>
      <c r="E3130" s="637">
        <f t="shared" si="107"/>
        <v>12.887843137254904</v>
      </c>
    </row>
    <row r="3131" spans="1:5">
      <c r="A3131">
        <v>51113</v>
      </c>
      <c r="B3131">
        <v>700</v>
      </c>
      <c r="C3131" s="455">
        <v>0</v>
      </c>
      <c r="D3131" s="637">
        <f t="shared" si="106"/>
        <v>0</v>
      </c>
      <c r="E3131" s="637">
        <f t="shared" si="107"/>
        <v>0</v>
      </c>
    </row>
    <row r="3132" spans="1:5">
      <c r="A3132">
        <v>51113</v>
      </c>
      <c r="B3132">
        <v>800</v>
      </c>
      <c r="C3132" s="455">
        <v>0</v>
      </c>
      <c r="D3132" s="637">
        <f t="shared" si="106"/>
        <v>0</v>
      </c>
      <c r="E3132" s="637">
        <f t="shared" si="107"/>
        <v>0</v>
      </c>
    </row>
    <row r="3133" spans="1:5">
      <c r="A3133">
        <v>51113</v>
      </c>
      <c r="B3133">
        <v>900</v>
      </c>
      <c r="C3133" s="455">
        <v>1E-3</v>
      </c>
      <c r="D3133" s="637">
        <f t="shared" si="106"/>
        <v>2.2598039215686277E-3</v>
      </c>
      <c r="E3133" s="637">
        <f t="shared" si="107"/>
        <v>3.8725490196078443E-3</v>
      </c>
    </row>
    <row r="3134" spans="1:5">
      <c r="A3134">
        <v>51113</v>
      </c>
      <c r="B3134">
        <v>1000</v>
      </c>
      <c r="C3134" s="455">
        <v>0</v>
      </c>
      <c r="D3134" s="637">
        <f t="shared" si="106"/>
        <v>0</v>
      </c>
      <c r="E3134" s="637">
        <f t="shared" si="107"/>
        <v>0</v>
      </c>
    </row>
    <row r="3135" spans="1:5">
      <c r="A3135">
        <v>51113</v>
      </c>
      <c r="B3135">
        <v>1100</v>
      </c>
      <c r="C3135" s="455">
        <v>0</v>
      </c>
      <c r="D3135" s="637">
        <f t="shared" si="106"/>
        <v>0</v>
      </c>
      <c r="E3135" s="637">
        <f t="shared" si="107"/>
        <v>0</v>
      </c>
    </row>
    <row r="3136" spans="1:5">
      <c r="A3136">
        <v>51113</v>
      </c>
      <c r="B3136">
        <v>1200</v>
      </c>
      <c r="C3136" s="455">
        <v>0</v>
      </c>
      <c r="D3136" s="637">
        <f t="shared" si="106"/>
        <v>0</v>
      </c>
      <c r="E3136" s="637">
        <f t="shared" si="107"/>
        <v>0</v>
      </c>
    </row>
    <row r="3137" spans="1:5">
      <c r="A3137">
        <v>51113</v>
      </c>
      <c r="B3137">
        <v>1300</v>
      </c>
      <c r="C3137" s="455">
        <v>0</v>
      </c>
      <c r="D3137" s="637">
        <f t="shared" si="106"/>
        <v>0</v>
      </c>
      <c r="E3137" s="637">
        <f t="shared" si="107"/>
        <v>0</v>
      </c>
    </row>
    <row r="3138" spans="1:5">
      <c r="A3138">
        <v>51113</v>
      </c>
      <c r="B3138">
        <v>1400</v>
      </c>
      <c r="C3138" s="455">
        <v>0</v>
      </c>
      <c r="D3138" s="637">
        <f t="shared" si="106"/>
        <v>0</v>
      </c>
      <c r="E3138" s="637">
        <f t="shared" si="107"/>
        <v>0</v>
      </c>
    </row>
    <row r="3139" spans="1:5">
      <c r="A3139">
        <v>51113</v>
      </c>
      <c r="B3139">
        <v>1500</v>
      </c>
      <c r="C3139" s="455">
        <v>0</v>
      </c>
      <c r="D3139" s="637">
        <f t="shared" si="106"/>
        <v>0</v>
      </c>
      <c r="E3139" s="637">
        <f t="shared" si="107"/>
        <v>0</v>
      </c>
    </row>
    <row r="3140" spans="1:5">
      <c r="A3140">
        <v>51113</v>
      </c>
      <c r="B3140">
        <v>1600</v>
      </c>
      <c r="C3140" s="455">
        <v>0</v>
      </c>
      <c r="D3140" s="637">
        <f t="shared" si="106"/>
        <v>0</v>
      </c>
      <c r="E3140" s="637">
        <f t="shared" si="107"/>
        <v>0</v>
      </c>
    </row>
    <row r="3141" spans="1:5">
      <c r="A3141">
        <v>51113</v>
      </c>
      <c r="B3141">
        <v>1700</v>
      </c>
      <c r="C3141" s="455">
        <v>0</v>
      </c>
      <c r="D3141" s="637">
        <f t="shared" si="106"/>
        <v>0</v>
      </c>
      <c r="E3141" s="637">
        <f t="shared" si="107"/>
        <v>0</v>
      </c>
    </row>
    <row r="3142" spans="1:5">
      <c r="A3142">
        <v>51113</v>
      </c>
      <c r="B3142">
        <v>1800</v>
      </c>
      <c r="C3142" s="455">
        <v>0</v>
      </c>
      <c r="D3142" s="637">
        <f t="shared" ref="D3142:D3205" si="108">(C3142/(MAX($C$2885:$C$3628)))*$W$9</f>
        <v>0</v>
      </c>
      <c r="E3142" s="637">
        <f t="shared" ref="E3142:E3205" si="109">(C3142/(MAX($C$2885:$C$3628)))*$P$9</f>
        <v>0</v>
      </c>
    </row>
    <row r="3143" spans="1:5">
      <c r="A3143">
        <v>51113</v>
      </c>
      <c r="B3143">
        <v>1900</v>
      </c>
      <c r="C3143" s="455">
        <v>3.2000000000000001E-2</v>
      </c>
      <c r="D3143" s="637">
        <f t="shared" si="108"/>
        <v>7.2313725490196087E-2</v>
      </c>
      <c r="E3143" s="637">
        <f t="shared" si="109"/>
        <v>0.12392156862745102</v>
      </c>
    </row>
    <row r="3144" spans="1:5">
      <c r="A3144">
        <v>51113</v>
      </c>
      <c r="B3144">
        <v>2000</v>
      </c>
      <c r="C3144" s="455">
        <v>7.5190000000000001</v>
      </c>
      <c r="D3144" s="637">
        <f t="shared" si="108"/>
        <v>16.991465686274513</v>
      </c>
      <c r="E3144" s="637">
        <f t="shared" si="109"/>
        <v>29.117696078431379</v>
      </c>
    </row>
    <row r="3145" spans="1:5">
      <c r="A3145">
        <v>51113</v>
      </c>
      <c r="B3145">
        <v>2100</v>
      </c>
      <c r="C3145" s="455">
        <v>7.0720000000000001</v>
      </c>
      <c r="D3145" s="637">
        <f t="shared" si="108"/>
        <v>15.981333333333335</v>
      </c>
      <c r="E3145" s="637">
        <f t="shared" si="109"/>
        <v>27.386666666666674</v>
      </c>
    </row>
    <row r="3146" spans="1:5">
      <c r="A3146">
        <v>51113</v>
      </c>
      <c r="B3146">
        <v>2200</v>
      </c>
      <c r="C3146" s="455">
        <v>7.3440000000000003</v>
      </c>
      <c r="D3146" s="637">
        <f t="shared" si="108"/>
        <v>16.596000000000004</v>
      </c>
      <c r="E3146" s="637">
        <f t="shared" si="109"/>
        <v>28.440000000000008</v>
      </c>
    </row>
    <row r="3147" spans="1:5">
      <c r="A3147">
        <v>51113</v>
      </c>
      <c r="B3147">
        <v>2300</v>
      </c>
      <c r="C3147" s="455">
        <v>7.1239999999999997</v>
      </c>
      <c r="D3147" s="637">
        <f t="shared" si="108"/>
        <v>16.098843137254903</v>
      </c>
      <c r="E3147" s="637">
        <f t="shared" si="109"/>
        <v>27.58803921568628</v>
      </c>
    </row>
    <row r="3148" spans="1:5">
      <c r="A3148">
        <v>51113</v>
      </c>
      <c r="B3148">
        <v>2400</v>
      </c>
      <c r="C3148" s="455">
        <v>7.133</v>
      </c>
      <c r="D3148" s="637">
        <f t="shared" si="108"/>
        <v>16.119181372549022</v>
      </c>
      <c r="E3148" s="637">
        <f t="shared" si="109"/>
        <v>27.622892156862754</v>
      </c>
    </row>
    <row r="3149" spans="1:5">
      <c r="A3149">
        <v>51213</v>
      </c>
      <c r="B3149">
        <v>100</v>
      </c>
      <c r="C3149" s="455">
        <v>7.5810000000000004</v>
      </c>
      <c r="D3149" s="637">
        <f t="shared" si="108"/>
        <v>17.131573529411767</v>
      </c>
      <c r="E3149" s="637">
        <f t="shared" si="109"/>
        <v>29.357794117647067</v>
      </c>
    </row>
    <row r="3150" spans="1:5">
      <c r="A3150">
        <v>51213</v>
      </c>
      <c r="B3150">
        <v>200</v>
      </c>
      <c r="C3150" s="455">
        <v>7.7089999999999996</v>
      </c>
      <c r="D3150" s="637">
        <f t="shared" si="108"/>
        <v>17.420828431372552</v>
      </c>
      <c r="E3150" s="637">
        <f t="shared" si="109"/>
        <v>29.853480392156872</v>
      </c>
    </row>
    <row r="3151" spans="1:5">
      <c r="A3151">
        <v>51213</v>
      </c>
      <c r="B3151">
        <v>300</v>
      </c>
      <c r="C3151" s="455">
        <v>7.8540000000000001</v>
      </c>
      <c r="D3151" s="637">
        <f t="shared" si="108"/>
        <v>17.748500000000003</v>
      </c>
      <c r="E3151" s="637">
        <f t="shared" si="109"/>
        <v>30.41500000000001</v>
      </c>
    </row>
    <row r="3152" spans="1:5">
      <c r="A3152">
        <v>51213</v>
      </c>
      <c r="B3152">
        <v>400</v>
      </c>
      <c r="C3152" s="455">
        <v>7.7110000000000003</v>
      </c>
      <c r="D3152" s="637">
        <f t="shared" si="108"/>
        <v>17.425348039215688</v>
      </c>
      <c r="E3152" s="637">
        <f t="shared" si="109"/>
        <v>29.861225490196087</v>
      </c>
    </row>
    <row r="3153" spans="1:5">
      <c r="A3153">
        <v>51213</v>
      </c>
      <c r="B3153">
        <v>500</v>
      </c>
      <c r="C3153" s="455">
        <v>8.7040000000000006</v>
      </c>
      <c r="D3153" s="637">
        <f t="shared" si="108"/>
        <v>19.669333333333338</v>
      </c>
      <c r="E3153" s="637">
        <f t="shared" si="109"/>
        <v>33.706666666666678</v>
      </c>
    </row>
    <row r="3154" spans="1:5">
      <c r="A3154">
        <v>51213</v>
      </c>
      <c r="B3154">
        <v>600</v>
      </c>
      <c r="C3154" s="455">
        <v>1.167</v>
      </c>
      <c r="D3154" s="637">
        <f t="shared" si="108"/>
        <v>2.6371911764705884</v>
      </c>
      <c r="E3154" s="637">
        <f t="shared" si="109"/>
        <v>4.5192647058823541</v>
      </c>
    </row>
    <row r="3155" spans="1:5">
      <c r="A3155">
        <v>51213</v>
      </c>
      <c r="B3155">
        <v>700</v>
      </c>
      <c r="C3155" s="455">
        <v>1E-3</v>
      </c>
      <c r="D3155" s="637">
        <f t="shared" si="108"/>
        <v>2.2598039215686277E-3</v>
      </c>
      <c r="E3155" s="637">
        <f t="shared" si="109"/>
        <v>3.8725490196078443E-3</v>
      </c>
    </row>
    <row r="3156" spans="1:5">
      <c r="A3156">
        <v>51213</v>
      </c>
      <c r="B3156">
        <v>800</v>
      </c>
      <c r="C3156" s="455">
        <v>0</v>
      </c>
      <c r="D3156" s="637">
        <f t="shared" si="108"/>
        <v>0</v>
      </c>
      <c r="E3156" s="637">
        <f t="shared" si="109"/>
        <v>0</v>
      </c>
    </row>
    <row r="3157" spans="1:5">
      <c r="A3157">
        <v>51213</v>
      </c>
      <c r="B3157">
        <v>900</v>
      </c>
      <c r="C3157" s="455">
        <v>0</v>
      </c>
      <c r="D3157" s="637">
        <f t="shared" si="108"/>
        <v>0</v>
      </c>
      <c r="E3157" s="637">
        <f t="shared" si="109"/>
        <v>0</v>
      </c>
    </row>
    <row r="3158" spans="1:5">
      <c r="A3158">
        <v>51213</v>
      </c>
      <c r="B3158">
        <v>1000</v>
      </c>
      <c r="C3158" s="455">
        <v>0</v>
      </c>
      <c r="D3158" s="637">
        <f t="shared" si="108"/>
        <v>0</v>
      </c>
      <c r="E3158" s="637">
        <f t="shared" si="109"/>
        <v>0</v>
      </c>
    </row>
    <row r="3159" spans="1:5">
      <c r="A3159">
        <v>51213</v>
      </c>
      <c r="B3159">
        <v>1100</v>
      </c>
      <c r="C3159" s="455">
        <v>4.0000000000000001E-3</v>
      </c>
      <c r="D3159" s="637">
        <f t="shared" si="108"/>
        <v>9.0392156862745109E-3</v>
      </c>
      <c r="E3159" s="637">
        <f t="shared" si="109"/>
        <v>1.5490196078431377E-2</v>
      </c>
    </row>
    <row r="3160" spans="1:5">
      <c r="A3160">
        <v>51213</v>
      </c>
      <c r="B3160">
        <v>1200</v>
      </c>
      <c r="C3160" s="455">
        <v>2E-3</v>
      </c>
      <c r="D3160" s="637">
        <f t="shared" si="108"/>
        <v>4.5196078431372555E-3</v>
      </c>
      <c r="E3160" s="637">
        <f t="shared" si="109"/>
        <v>7.7450980392156886E-3</v>
      </c>
    </row>
    <row r="3161" spans="1:5">
      <c r="A3161">
        <v>51213</v>
      </c>
      <c r="B3161">
        <v>1300</v>
      </c>
      <c r="C3161" s="455">
        <v>1E-3</v>
      </c>
      <c r="D3161" s="637">
        <f t="shared" si="108"/>
        <v>2.2598039215686277E-3</v>
      </c>
      <c r="E3161" s="637">
        <f t="shared" si="109"/>
        <v>3.8725490196078443E-3</v>
      </c>
    </row>
    <row r="3162" spans="1:5">
      <c r="A3162">
        <v>51213</v>
      </c>
      <c r="B3162">
        <v>1400</v>
      </c>
      <c r="C3162" s="455">
        <v>0</v>
      </c>
      <c r="D3162" s="637">
        <f t="shared" si="108"/>
        <v>0</v>
      </c>
      <c r="E3162" s="637">
        <f t="shared" si="109"/>
        <v>0</v>
      </c>
    </row>
    <row r="3163" spans="1:5">
      <c r="A3163">
        <v>51213</v>
      </c>
      <c r="B3163">
        <v>1500</v>
      </c>
      <c r="C3163" s="455">
        <v>0</v>
      </c>
      <c r="D3163" s="637">
        <f t="shared" si="108"/>
        <v>0</v>
      </c>
      <c r="E3163" s="637">
        <f t="shared" si="109"/>
        <v>0</v>
      </c>
    </row>
    <row r="3164" spans="1:5">
      <c r="A3164">
        <v>51213</v>
      </c>
      <c r="B3164">
        <v>1600</v>
      </c>
      <c r="C3164" s="455">
        <v>0</v>
      </c>
      <c r="D3164" s="637">
        <f t="shared" si="108"/>
        <v>0</v>
      </c>
      <c r="E3164" s="637">
        <f t="shared" si="109"/>
        <v>0</v>
      </c>
    </row>
    <row r="3165" spans="1:5">
      <c r="A3165">
        <v>51213</v>
      </c>
      <c r="B3165">
        <v>1700</v>
      </c>
      <c r="C3165" s="455">
        <v>0.01</v>
      </c>
      <c r="D3165" s="637">
        <f t="shared" si="108"/>
        <v>2.2598039215686278E-2</v>
      </c>
      <c r="E3165" s="637">
        <f t="shared" si="109"/>
        <v>3.872549019607844E-2</v>
      </c>
    </row>
    <row r="3166" spans="1:5">
      <c r="A3166">
        <v>51213</v>
      </c>
      <c r="B3166">
        <v>1800</v>
      </c>
      <c r="C3166" s="455">
        <v>0</v>
      </c>
      <c r="D3166" s="637">
        <f t="shared" si="108"/>
        <v>0</v>
      </c>
      <c r="E3166" s="637">
        <f t="shared" si="109"/>
        <v>0</v>
      </c>
    </row>
    <row r="3167" spans="1:5">
      <c r="A3167">
        <v>51213</v>
      </c>
      <c r="B3167">
        <v>1900</v>
      </c>
      <c r="C3167" s="455">
        <v>0</v>
      </c>
      <c r="D3167" s="637">
        <f t="shared" si="108"/>
        <v>0</v>
      </c>
      <c r="E3167" s="637">
        <f t="shared" si="109"/>
        <v>0</v>
      </c>
    </row>
    <row r="3168" spans="1:5">
      <c r="A3168">
        <v>51213</v>
      </c>
      <c r="B3168">
        <v>2000</v>
      </c>
      <c r="C3168" s="455">
        <v>7.5910000000000002</v>
      </c>
      <c r="D3168" s="637">
        <f t="shared" si="108"/>
        <v>17.154171568627454</v>
      </c>
      <c r="E3168" s="637">
        <f t="shared" si="109"/>
        <v>29.39651960784315</v>
      </c>
    </row>
    <row r="3169" spans="1:5">
      <c r="A3169">
        <v>51213</v>
      </c>
      <c r="B3169">
        <v>2100</v>
      </c>
      <c r="C3169" s="455">
        <v>7.4829999999999997</v>
      </c>
      <c r="D3169" s="637">
        <f t="shared" si="108"/>
        <v>16.91011274509804</v>
      </c>
      <c r="E3169" s="637">
        <f t="shared" si="109"/>
        <v>28.978284313725496</v>
      </c>
    </row>
    <row r="3170" spans="1:5">
      <c r="A3170">
        <v>51213</v>
      </c>
      <c r="B3170">
        <v>2200</v>
      </c>
      <c r="C3170" s="455">
        <v>7.399</v>
      </c>
      <c r="D3170" s="637">
        <f t="shared" si="108"/>
        <v>16.720289215686275</v>
      </c>
      <c r="E3170" s="637">
        <f t="shared" si="109"/>
        <v>28.652990196078441</v>
      </c>
    </row>
    <row r="3171" spans="1:5">
      <c r="A3171">
        <v>51213</v>
      </c>
      <c r="B3171">
        <v>2300</v>
      </c>
      <c r="C3171" s="455">
        <v>7.4</v>
      </c>
      <c r="D3171" s="637">
        <f t="shared" si="108"/>
        <v>16.722549019607847</v>
      </c>
      <c r="E3171" s="637">
        <f t="shared" si="109"/>
        <v>28.656862745098053</v>
      </c>
    </row>
    <row r="3172" spans="1:5">
      <c r="A3172">
        <v>51213</v>
      </c>
      <c r="B3172">
        <v>2400</v>
      </c>
      <c r="C3172" s="455">
        <v>7.4050000000000002</v>
      </c>
      <c r="D3172" s="637">
        <f t="shared" si="108"/>
        <v>16.733848039215687</v>
      </c>
      <c r="E3172" s="637">
        <f t="shared" si="109"/>
        <v>28.676225490196085</v>
      </c>
    </row>
    <row r="3173" spans="1:5">
      <c r="A3173">
        <v>51313</v>
      </c>
      <c r="B3173">
        <v>100</v>
      </c>
      <c r="C3173" s="455">
        <v>7.2469999999999999</v>
      </c>
      <c r="D3173" s="637">
        <f t="shared" si="108"/>
        <v>16.376799019607844</v>
      </c>
      <c r="E3173" s="637">
        <f t="shared" si="109"/>
        <v>28.064362745098045</v>
      </c>
    </row>
    <row r="3174" spans="1:5">
      <c r="A3174">
        <v>51313</v>
      </c>
      <c r="B3174">
        <v>200</v>
      </c>
      <c r="C3174" s="455">
        <v>7.6269999999999998</v>
      </c>
      <c r="D3174" s="637">
        <f t="shared" si="108"/>
        <v>17.235524509803923</v>
      </c>
      <c r="E3174" s="637">
        <f t="shared" si="109"/>
        <v>29.535931372549026</v>
      </c>
    </row>
    <row r="3175" spans="1:5">
      <c r="A3175">
        <v>51313</v>
      </c>
      <c r="B3175">
        <v>300</v>
      </c>
      <c r="C3175" s="455">
        <v>7.3220000000000001</v>
      </c>
      <c r="D3175" s="637">
        <f t="shared" si="108"/>
        <v>16.546284313725494</v>
      </c>
      <c r="E3175" s="637">
        <f t="shared" si="109"/>
        <v>28.354803921568639</v>
      </c>
    </row>
    <row r="3176" spans="1:5">
      <c r="A3176">
        <v>51313</v>
      </c>
      <c r="B3176">
        <v>400</v>
      </c>
      <c r="C3176" s="455">
        <v>7.2489999999999997</v>
      </c>
      <c r="D3176" s="637">
        <f t="shared" si="108"/>
        <v>16.381318627450984</v>
      </c>
      <c r="E3176" s="637">
        <f t="shared" si="109"/>
        <v>28.072107843137264</v>
      </c>
    </row>
    <row r="3177" spans="1:5">
      <c r="A3177">
        <v>51313</v>
      </c>
      <c r="B3177">
        <v>500</v>
      </c>
      <c r="C3177" s="455">
        <v>8.3789999999999996</v>
      </c>
      <c r="D3177" s="637">
        <f t="shared" si="108"/>
        <v>18.93489705882353</v>
      </c>
      <c r="E3177" s="637">
        <f t="shared" si="109"/>
        <v>32.448088235294122</v>
      </c>
    </row>
    <row r="3178" spans="1:5">
      <c r="A3178">
        <v>51313</v>
      </c>
      <c r="B3178">
        <v>600</v>
      </c>
      <c r="C3178" s="455">
        <v>1.0289999999999999</v>
      </c>
      <c r="D3178" s="637">
        <f t="shared" si="108"/>
        <v>2.3253382352941179</v>
      </c>
      <c r="E3178" s="637">
        <f t="shared" si="109"/>
        <v>3.9848529411764715</v>
      </c>
    </row>
    <row r="3179" spans="1:5">
      <c r="A3179">
        <v>51313</v>
      </c>
      <c r="B3179">
        <v>700</v>
      </c>
      <c r="C3179" s="455">
        <v>0</v>
      </c>
      <c r="D3179" s="637">
        <f t="shared" si="108"/>
        <v>0</v>
      </c>
      <c r="E3179" s="637">
        <f t="shared" si="109"/>
        <v>0</v>
      </c>
    </row>
    <row r="3180" spans="1:5">
      <c r="A3180">
        <v>51313</v>
      </c>
      <c r="B3180">
        <v>800</v>
      </c>
      <c r="C3180" s="455">
        <v>0</v>
      </c>
      <c r="D3180" s="637">
        <f t="shared" si="108"/>
        <v>0</v>
      </c>
      <c r="E3180" s="637">
        <f t="shared" si="109"/>
        <v>0</v>
      </c>
    </row>
    <row r="3181" spans="1:5">
      <c r="A3181">
        <v>51313</v>
      </c>
      <c r="B3181">
        <v>900</v>
      </c>
      <c r="C3181" s="455">
        <v>0</v>
      </c>
      <c r="D3181" s="637">
        <f t="shared" si="108"/>
        <v>0</v>
      </c>
      <c r="E3181" s="637">
        <f t="shared" si="109"/>
        <v>0</v>
      </c>
    </row>
    <row r="3182" spans="1:5">
      <c r="A3182">
        <v>51313</v>
      </c>
      <c r="B3182">
        <v>1000</v>
      </c>
      <c r="C3182" s="455">
        <v>1E-3</v>
      </c>
      <c r="D3182" s="637">
        <f t="shared" si="108"/>
        <v>2.2598039215686277E-3</v>
      </c>
      <c r="E3182" s="637">
        <f t="shared" si="109"/>
        <v>3.8725490196078443E-3</v>
      </c>
    </row>
    <row r="3183" spans="1:5">
      <c r="A3183">
        <v>51313</v>
      </c>
      <c r="B3183">
        <v>1100</v>
      </c>
      <c r="C3183" s="455">
        <v>0</v>
      </c>
      <c r="D3183" s="637">
        <f t="shared" si="108"/>
        <v>0</v>
      </c>
      <c r="E3183" s="637">
        <f t="shared" si="109"/>
        <v>0</v>
      </c>
    </row>
    <row r="3184" spans="1:5">
      <c r="A3184">
        <v>51313</v>
      </c>
      <c r="B3184">
        <v>1200</v>
      </c>
      <c r="C3184" s="455">
        <v>0</v>
      </c>
      <c r="D3184" s="637">
        <f t="shared" si="108"/>
        <v>0</v>
      </c>
      <c r="E3184" s="637">
        <f t="shared" si="109"/>
        <v>0</v>
      </c>
    </row>
    <row r="3185" spans="1:5">
      <c r="A3185">
        <v>51313</v>
      </c>
      <c r="B3185">
        <v>1300</v>
      </c>
      <c r="C3185" s="455">
        <v>8.9999999999999993E-3</v>
      </c>
      <c r="D3185" s="637">
        <f t="shared" si="108"/>
        <v>2.0338235294117647E-2</v>
      </c>
      <c r="E3185" s="637">
        <f t="shared" si="109"/>
        <v>3.4852941176470593E-2</v>
      </c>
    </row>
    <row r="3186" spans="1:5">
      <c r="A3186">
        <v>51313</v>
      </c>
      <c r="B3186">
        <v>1400</v>
      </c>
      <c r="C3186" s="455">
        <v>2E-3</v>
      </c>
      <c r="D3186" s="637">
        <f t="shared" si="108"/>
        <v>4.5196078431372555E-3</v>
      </c>
      <c r="E3186" s="637">
        <f t="shared" si="109"/>
        <v>7.7450980392156886E-3</v>
      </c>
    </row>
    <row r="3187" spans="1:5">
      <c r="A3187">
        <v>51313</v>
      </c>
      <c r="B3187">
        <v>1500</v>
      </c>
      <c r="C3187" s="455">
        <v>2E-3</v>
      </c>
      <c r="D3187" s="637">
        <f t="shared" si="108"/>
        <v>4.5196078431372555E-3</v>
      </c>
      <c r="E3187" s="637">
        <f t="shared" si="109"/>
        <v>7.7450980392156886E-3</v>
      </c>
    </row>
    <row r="3188" spans="1:5">
      <c r="A3188">
        <v>51313</v>
      </c>
      <c r="B3188">
        <v>1600</v>
      </c>
      <c r="C3188" s="455">
        <v>0</v>
      </c>
      <c r="D3188" s="637">
        <f t="shared" si="108"/>
        <v>0</v>
      </c>
      <c r="E3188" s="637">
        <f t="shared" si="109"/>
        <v>0</v>
      </c>
    </row>
    <row r="3189" spans="1:5">
      <c r="A3189">
        <v>51313</v>
      </c>
      <c r="B3189">
        <v>1700</v>
      </c>
      <c r="C3189" s="455">
        <v>0</v>
      </c>
      <c r="D3189" s="637">
        <f t="shared" si="108"/>
        <v>0</v>
      </c>
      <c r="E3189" s="637">
        <f t="shared" si="109"/>
        <v>0</v>
      </c>
    </row>
    <row r="3190" spans="1:5">
      <c r="A3190">
        <v>51313</v>
      </c>
      <c r="B3190">
        <v>1800</v>
      </c>
      <c r="C3190" s="455">
        <v>0</v>
      </c>
      <c r="D3190" s="637">
        <f t="shared" si="108"/>
        <v>0</v>
      </c>
      <c r="E3190" s="637">
        <f t="shared" si="109"/>
        <v>0</v>
      </c>
    </row>
    <row r="3191" spans="1:5">
      <c r="A3191">
        <v>51313</v>
      </c>
      <c r="B3191">
        <v>1900</v>
      </c>
      <c r="C3191" s="455">
        <v>0</v>
      </c>
      <c r="D3191" s="637">
        <f t="shared" si="108"/>
        <v>0</v>
      </c>
      <c r="E3191" s="637">
        <f t="shared" si="109"/>
        <v>0</v>
      </c>
    </row>
    <row r="3192" spans="1:5">
      <c r="A3192">
        <v>51313</v>
      </c>
      <c r="B3192">
        <v>2000</v>
      </c>
      <c r="C3192" s="455">
        <v>7.1749999999999998</v>
      </c>
      <c r="D3192" s="637">
        <f t="shared" si="108"/>
        <v>16.214093137254903</v>
      </c>
      <c r="E3192" s="637">
        <f t="shared" si="109"/>
        <v>27.785539215686281</v>
      </c>
    </row>
    <row r="3193" spans="1:5">
      <c r="A3193">
        <v>51313</v>
      </c>
      <c r="B3193">
        <v>2100</v>
      </c>
      <c r="C3193" s="455">
        <v>6.97</v>
      </c>
      <c r="D3193" s="637">
        <f t="shared" si="108"/>
        <v>15.750833333333334</v>
      </c>
      <c r="E3193" s="637">
        <f t="shared" si="109"/>
        <v>26.991666666666674</v>
      </c>
    </row>
    <row r="3194" spans="1:5">
      <c r="A3194">
        <v>51313</v>
      </c>
      <c r="B3194">
        <v>2200</v>
      </c>
      <c r="C3194" s="455">
        <v>7.0510000000000002</v>
      </c>
      <c r="D3194" s="637">
        <f t="shared" si="108"/>
        <v>15.933877450980393</v>
      </c>
      <c r="E3194" s="637">
        <f t="shared" si="109"/>
        <v>27.305343137254908</v>
      </c>
    </row>
    <row r="3195" spans="1:5">
      <c r="A3195">
        <v>51313</v>
      </c>
      <c r="B3195">
        <v>2300</v>
      </c>
      <c r="C3195" s="455">
        <v>7.5960000000000001</v>
      </c>
      <c r="D3195" s="637">
        <f t="shared" si="108"/>
        <v>17.165470588235294</v>
      </c>
      <c r="E3195" s="637">
        <f t="shared" si="109"/>
        <v>29.415882352941182</v>
      </c>
    </row>
    <row r="3196" spans="1:5">
      <c r="A3196">
        <v>51313</v>
      </c>
      <c r="B3196">
        <v>2400</v>
      </c>
      <c r="C3196" s="455">
        <v>7.6689999999999996</v>
      </c>
      <c r="D3196" s="637">
        <f t="shared" si="108"/>
        <v>17.330436274509808</v>
      </c>
      <c r="E3196" s="637">
        <f t="shared" si="109"/>
        <v>29.698578431372557</v>
      </c>
    </row>
    <row r="3197" spans="1:5">
      <c r="A3197">
        <v>51413</v>
      </c>
      <c r="B3197">
        <v>100</v>
      </c>
      <c r="C3197" s="455">
        <v>7.798</v>
      </c>
      <c r="D3197" s="637">
        <f t="shared" si="108"/>
        <v>17.62195098039216</v>
      </c>
      <c r="E3197" s="637">
        <f t="shared" si="109"/>
        <v>30.198137254901969</v>
      </c>
    </row>
    <row r="3198" spans="1:5">
      <c r="A3198">
        <v>51413</v>
      </c>
      <c r="B3198">
        <v>200</v>
      </c>
      <c r="C3198" s="455">
        <v>7.617</v>
      </c>
      <c r="D3198" s="637">
        <f t="shared" si="108"/>
        <v>17.212926470588236</v>
      </c>
      <c r="E3198" s="637">
        <f t="shared" si="109"/>
        <v>29.497205882352947</v>
      </c>
    </row>
    <row r="3199" spans="1:5">
      <c r="A3199">
        <v>51413</v>
      </c>
      <c r="B3199">
        <v>300</v>
      </c>
      <c r="C3199" s="455">
        <v>7.6219999999999999</v>
      </c>
      <c r="D3199" s="637">
        <f t="shared" si="108"/>
        <v>17.22422549019608</v>
      </c>
      <c r="E3199" s="637">
        <f t="shared" si="109"/>
        <v>29.516568627450987</v>
      </c>
    </row>
    <row r="3200" spans="1:5">
      <c r="A3200">
        <v>51413</v>
      </c>
      <c r="B3200">
        <v>400</v>
      </c>
      <c r="C3200" s="455">
        <v>7.8570000000000002</v>
      </c>
      <c r="D3200" s="637">
        <f t="shared" si="108"/>
        <v>17.755279411764707</v>
      </c>
      <c r="E3200" s="637">
        <f t="shared" si="109"/>
        <v>30.42661764705883</v>
      </c>
    </row>
    <row r="3201" spans="1:5">
      <c r="A3201">
        <v>51413</v>
      </c>
      <c r="B3201">
        <v>500</v>
      </c>
      <c r="C3201" s="455">
        <v>8.5830000000000002</v>
      </c>
      <c r="D3201" s="637">
        <f t="shared" si="108"/>
        <v>19.395897058823532</v>
      </c>
      <c r="E3201" s="637">
        <f t="shared" si="109"/>
        <v>33.238088235294128</v>
      </c>
    </row>
    <row r="3202" spans="1:5">
      <c r="A3202">
        <v>51413</v>
      </c>
      <c r="B3202">
        <v>600</v>
      </c>
      <c r="C3202" s="455">
        <v>1.9850000000000001</v>
      </c>
      <c r="D3202" s="637">
        <f t="shared" si="108"/>
        <v>4.4857107843137261</v>
      </c>
      <c r="E3202" s="637">
        <f t="shared" si="109"/>
        <v>7.6870098039215717</v>
      </c>
    </row>
    <row r="3203" spans="1:5">
      <c r="A3203">
        <v>51413</v>
      </c>
      <c r="B3203">
        <v>700</v>
      </c>
      <c r="C3203" s="455">
        <v>1E-3</v>
      </c>
      <c r="D3203" s="637">
        <f t="shared" si="108"/>
        <v>2.2598039215686277E-3</v>
      </c>
      <c r="E3203" s="637">
        <f t="shared" si="109"/>
        <v>3.8725490196078443E-3</v>
      </c>
    </row>
    <row r="3204" spans="1:5">
      <c r="A3204">
        <v>51413</v>
      </c>
      <c r="B3204">
        <v>800</v>
      </c>
      <c r="C3204" s="455">
        <v>8.0000000000000002E-3</v>
      </c>
      <c r="D3204" s="637">
        <f t="shared" si="108"/>
        <v>1.8078431372549022E-2</v>
      </c>
      <c r="E3204" s="637">
        <f t="shared" si="109"/>
        <v>3.0980392156862754E-2</v>
      </c>
    </row>
    <row r="3205" spans="1:5">
      <c r="A3205">
        <v>51413</v>
      </c>
      <c r="B3205">
        <v>900</v>
      </c>
      <c r="C3205" s="455">
        <v>0</v>
      </c>
      <c r="D3205" s="637">
        <f t="shared" si="108"/>
        <v>0</v>
      </c>
      <c r="E3205" s="637">
        <f t="shared" si="109"/>
        <v>0</v>
      </c>
    </row>
    <row r="3206" spans="1:5">
      <c r="A3206">
        <v>51413</v>
      </c>
      <c r="B3206">
        <v>1000</v>
      </c>
      <c r="C3206" s="455">
        <v>0</v>
      </c>
      <c r="D3206" s="637">
        <f t="shared" ref="D3206:D3269" si="110">(C3206/(MAX($C$2885:$C$3628)))*$W$9</f>
        <v>0</v>
      </c>
      <c r="E3206" s="637">
        <f t="shared" ref="E3206:E3269" si="111">(C3206/(MAX($C$2885:$C$3628)))*$P$9</f>
        <v>0</v>
      </c>
    </row>
    <row r="3207" spans="1:5">
      <c r="A3207">
        <v>51413</v>
      </c>
      <c r="B3207">
        <v>1100</v>
      </c>
      <c r="C3207" s="455">
        <v>0</v>
      </c>
      <c r="D3207" s="637">
        <f t="shared" si="110"/>
        <v>0</v>
      </c>
      <c r="E3207" s="637">
        <f t="shared" si="111"/>
        <v>0</v>
      </c>
    </row>
    <row r="3208" spans="1:5">
      <c r="A3208">
        <v>51413</v>
      </c>
      <c r="B3208">
        <v>1200</v>
      </c>
      <c r="C3208" s="455">
        <v>0</v>
      </c>
      <c r="D3208" s="637">
        <f t="shared" si="110"/>
        <v>0</v>
      </c>
      <c r="E3208" s="637">
        <f t="shared" si="111"/>
        <v>0</v>
      </c>
    </row>
    <row r="3209" spans="1:5">
      <c r="A3209">
        <v>51413</v>
      </c>
      <c r="B3209">
        <v>1300</v>
      </c>
      <c r="C3209" s="455">
        <v>0</v>
      </c>
      <c r="D3209" s="637">
        <f t="shared" si="110"/>
        <v>0</v>
      </c>
      <c r="E3209" s="637">
        <f t="shared" si="111"/>
        <v>0</v>
      </c>
    </row>
    <row r="3210" spans="1:5">
      <c r="A3210">
        <v>51413</v>
      </c>
      <c r="B3210">
        <v>1400</v>
      </c>
      <c r="C3210" s="455">
        <v>0</v>
      </c>
      <c r="D3210" s="637">
        <f t="shared" si="110"/>
        <v>0</v>
      </c>
      <c r="E3210" s="637">
        <f t="shared" si="111"/>
        <v>0</v>
      </c>
    </row>
    <row r="3211" spans="1:5">
      <c r="A3211">
        <v>51413</v>
      </c>
      <c r="B3211">
        <v>1500</v>
      </c>
      <c r="C3211" s="455">
        <v>0</v>
      </c>
      <c r="D3211" s="637">
        <f t="shared" si="110"/>
        <v>0</v>
      </c>
      <c r="E3211" s="637">
        <f t="shared" si="111"/>
        <v>0</v>
      </c>
    </row>
    <row r="3212" spans="1:5">
      <c r="A3212">
        <v>51413</v>
      </c>
      <c r="B3212">
        <v>1600</v>
      </c>
      <c r="C3212" s="455">
        <v>0</v>
      </c>
      <c r="D3212" s="637">
        <f t="shared" si="110"/>
        <v>0</v>
      </c>
      <c r="E3212" s="637">
        <f t="shared" si="111"/>
        <v>0</v>
      </c>
    </row>
    <row r="3213" spans="1:5">
      <c r="A3213">
        <v>51413</v>
      </c>
      <c r="B3213">
        <v>1700</v>
      </c>
      <c r="C3213" s="455">
        <v>0</v>
      </c>
      <c r="D3213" s="637">
        <f t="shared" si="110"/>
        <v>0</v>
      </c>
      <c r="E3213" s="637">
        <f t="shared" si="111"/>
        <v>0</v>
      </c>
    </row>
    <row r="3214" spans="1:5">
      <c r="A3214">
        <v>51413</v>
      </c>
      <c r="B3214">
        <v>1800</v>
      </c>
      <c r="C3214" s="455">
        <v>0</v>
      </c>
      <c r="D3214" s="637">
        <f t="shared" si="110"/>
        <v>0</v>
      </c>
      <c r="E3214" s="637">
        <f t="shared" si="111"/>
        <v>0</v>
      </c>
    </row>
    <row r="3215" spans="1:5">
      <c r="A3215">
        <v>51413</v>
      </c>
      <c r="B3215">
        <v>1900</v>
      </c>
      <c r="C3215" s="455">
        <v>0.126</v>
      </c>
      <c r="D3215" s="637">
        <f t="shared" si="110"/>
        <v>0.28473529411764709</v>
      </c>
      <c r="E3215" s="637">
        <f t="shared" si="111"/>
        <v>0.48794117647058843</v>
      </c>
    </row>
    <row r="3216" spans="1:5">
      <c r="A3216">
        <v>51413</v>
      </c>
      <c r="B3216">
        <v>2000</v>
      </c>
      <c r="C3216" s="455">
        <v>8.7420000000000009</v>
      </c>
      <c r="D3216" s="637">
        <f t="shared" si="110"/>
        <v>19.755205882352946</v>
      </c>
      <c r="E3216" s="637">
        <f t="shared" si="111"/>
        <v>33.853823529411777</v>
      </c>
    </row>
    <row r="3217" spans="1:5">
      <c r="A3217">
        <v>51413</v>
      </c>
      <c r="B3217">
        <v>2100</v>
      </c>
      <c r="C3217" s="455">
        <v>7.1959999999999997</v>
      </c>
      <c r="D3217" s="637">
        <f t="shared" si="110"/>
        <v>16.261549019607845</v>
      </c>
      <c r="E3217" s="637">
        <f t="shared" si="111"/>
        <v>27.866862745098047</v>
      </c>
    </row>
    <row r="3218" spans="1:5">
      <c r="A3218">
        <v>51413</v>
      </c>
      <c r="B3218">
        <v>2200</v>
      </c>
      <c r="C3218" s="455">
        <v>7.1180000000000003</v>
      </c>
      <c r="D3218" s="637">
        <f t="shared" si="110"/>
        <v>16.085284313725495</v>
      </c>
      <c r="E3218" s="637">
        <f t="shared" si="111"/>
        <v>27.56480392156864</v>
      </c>
    </row>
    <row r="3219" spans="1:5">
      <c r="A3219">
        <v>51413</v>
      </c>
      <c r="B3219">
        <v>2300</v>
      </c>
      <c r="C3219" s="455">
        <v>7.0460000000000003</v>
      </c>
      <c r="D3219" s="637">
        <f t="shared" si="110"/>
        <v>15.92257843137255</v>
      </c>
      <c r="E3219" s="637">
        <f t="shared" si="111"/>
        <v>27.285980392156869</v>
      </c>
    </row>
    <row r="3220" spans="1:5">
      <c r="A3220">
        <v>51413</v>
      </c>
      <c r="B3220">
        <v>2400</v>
      </c>
      <c r="C3220" s="455">
        <v>7.1260000000000003</v>
      </c>
      <c r="D3220" s="637">
        <f t="shared" si="110"/>
        <v>16.103362745098043</v>
      </c>
      <c r="E3220" s="637">
        <f t="shared" si="111"/>
        <v>27.595784313725499</v>
      </c>
    </row>
    <row r="3221" spans="1:5">
      <c r="A3221">
        <v>51513</v>
      </c>
      <c r="B3221">
        <v>100</v>
      </c>
      <c r="C3221" s="455">
        <v>7.12</v>
      </c>
      <c r="D3221" s="637">
        <f t="shared" si="110"/>
        <v>16.089803921568627</v>
      </c>
      <c r="E3221" s="637">
        <f t="shared" si="111"/>
        <v>27.572549019607852</v>
      </c>
    </row>
    <row r="3222" spans="1:5">
      <c r="A3222">
        <v>51513</v>
      </c>
      <c r="B3222">
        <v>200</v>
      </c>
      <c r="C3222" s="455">
        <v>7.2190000000000003</v>
      </c>
      <c r="D3222" s="637">
        <f t="shared" si="110"/>
        <v>16.313524509803923</v>
      </c>
      <c r="E3222" s="637">
        <f t="shared" si="111"/>
        <v>27.955931372549028</v>
      </c>
    </row>
    <row r="3223" spans="1:5">
      <c r="A3223">
        <v>51513</v>
      </c>
      <c r="B3223">
        <v>300</v>
      </c>
      <c r="C3223" s="455">
        <v>6.9059999999999997</v>
      </c>
      <c r="D3223" s="637">
        <f t="shared" si="110"/>
        <v>15.606205882352942</v>
      </c>
      <c r="E3223" s="637">
        <f t="shared" si="111"/>
        <v>26.74382352941177</v>
      </c>
    </row>
    <row r="3224" spans="1:5">
      <c r="A3224">
        <v>51513</v>
      </c>
      <c r="B3224">
        <v>400</v>
      </c>
      <c r="C3224" s="455">
        <v>7.9059999999999997</v>
      </c>
      <c r="D3224" s="637">
        <f t="shared" si="110"/>
        <v>17.866009803921568</v>
      </c>
      <c r="E3224" s="637">
        <f t="shared" si="111"/>
        <v>30.616372549019612</v>
      </c>
    </row>
    <row r="3225" spans="1:5">
      <c r="A3225">
        <v>51513</v>
      </c>
      <c r="B3225">
        <v>500</v>
      </c>
      <c r="C3225" s="455">
        <v>8.0879999999999992</v>
      </c>
      <c r="D3225" s="637">
        <f t="shared" si="110"/>
        <v>18.27729411764706</v>
      </c>
      <c r="E3225" s="637">
        <f t="shared" si="111"/>
        <v>31.321176470588242</v>
      </c>
    </row>
    <row r="3226" spans="1:5">
      <c r="A3226">
        <v>51513</v>
      </c>
      <c r="B3226">
        <v>600</v>
      </c>
      <c r="C3226" s="455">
        <v>10.747999999999999</v>
      </c>
      <c r="D3226" s="637">
        <f t="shared" si="110"/>
        <v>24.288372549019609</v>
      </c>
      <c r="E3226" s="637">
        <f t="shared" si="111"/>
        <v>41.622156862745108</v>
      </c>
    </row>
    <row r="3227" spans="1:5">
      <c r="A3227">
        <v>51513</v>
      </c>
      <c r="B3227">
        <v>700</v>
      </c>
      <c r="C3227" s="455">
        <v>1.1200000000000001</v>
      </c>
      <c r="D3227" s="637">
        <f t="shared" si="110"/>
        <v>2.530980392156863</v>
      </c>
      <c r="E3227" s="637">
        <f t="shared" si="111"/>
        <v>4.3372549019607858</v>
      </c>
    </row>
    <row r="3228" spans="1:5">
      <c r="A3228">
        <v>51513</v>
      </c>
      <c r="B3228">
        <v>800</v>
      </c>
      <c r="C3228" s="455">
        <v>0</v>
      </c>
      <c r="D3228" s="637">
        <f t="shared" si="110"/>
        <v>0</v>
      </c>
      <c r="E3228" s="637">
        <f t="shared" si="111"/>
        <v>0</v>
      </c>
    </row>
    <row r="3229" spans="1:5">
      <c r="A3229">
        <v>51513</v>
      </c>
      <c r="B3229">
        <v>900</v>
      </c>
      <c r="C3229" s="455">
        <v>0</v>
      </c>
      <c r="D3229" s="637">
        <f t="shared" si="110"/>
        <v>0</v>
      </c>
      <c r="E3229" s="637">
        <f t="shared" si="111"/>
        <v>0</v>
      </c>
    </row>
    <row r="3230" spans="1:5">
      <c r="A3230">
        <v>51513</v>
      </c>
      <c r="B3230">
        <v>1000</v>
      </c>
      <c r="C3230" s="455">
        <v>7.1999999999999995E-2</v>
      </c>
      <c r="D3230" s="637">
        <f t="shared" si="110"/>
        <v>0.16270588235294117</v>
      </c>
      <c r="E3230" s="637">
        <f t="shared" si="111"/>
        <v>0.27882352941176475</v>
      </c>
    </row>
    <row r="3231" spans="1:5">
      <c r="A3231">
        <v>51513</v>
      </c>
      <c r="B3231">
        <v>1100</v>
      </c>
      <c r="C3231" s="455">
        <v>0</v>
      </c>
      <c r="D3231" s="637">
        <f t="shared" si="110"/>
        <v>0</v>
      </c>
      <c r="E3231" s="637">
        <f t="shared" si="111"/>
        <v>0</v>
      </c>
    </row>
    <row r="3232" spans="1:5">
      <c r="A3232">
        <v>51513</v>
      </c>
      <c r="B3232">
        <v>1200</v>
      </c>
      <c r="C3232" s="455">
        <v>0</v>
      </c>
      <c r="D3232" s="637">
        <f t="shared" si="110"/>
        <v>0</v>
      </c>
      <c r="E3232" s="637">
        <f t="shared" si="111"/>
        <v>0</v>
      </c>
    </row>
    <row r="3233" spans="1:5">
      <c r="A3233">
        <v>51513</v>
      </c>
      <c r="B3233">
        <v>1300</v>
      </c>
      <c r="C3233" s="455">
        <v>0</v>
      </c>
      <c r="D3233" s="637">
        <f t="shared" si="110"/>
        <v>0</v>
      </c>
      <c r="E3233" s="637">
        <f t="shared" si="111"/>
        <v>0</v>
      </c>
    </row>
    <row r="3234" spans="1:5">
      <c r="A3234">
        <v>51513</v>
      </c>
      <c r="B3234">
        <v>1400</v>
      </c>
      <c r="C3234" s="455">
        <v>0</v>
      </c>
      <c r="D3234" s="637">
        <f t="shared" si="110"/>
        <v>0</v>
      </c>
      <c r="E3234" s="637">
        <f t="shared" si="111"/>
        <v>0</v>
      </c>
    </row>
    <row r="3235" spans="1:5">
      <c r="A3235">
        <v>51513</v>
      </c>
      <c r="B3235">
        <v>1500</v>
      </c>
      <c r="C3235" s="455">
        <v>0</v>
      </c>
      <c r="D3235" s="637">
        <f t="shared" si="110"/>
        <v>0</v>
      </c>
      <c r="E3235" s="637">
        <f t="shared" si="111"/>
        <v>0</v>
      </c>
    </row>
    <row r="3236" spans="1:5">
      <c r="A3236">
        <v>51513</v>
      </c>
      <c r="B3236">
        <v>1600</v>
      </c>
      <c r="C3236" s="455">
        <v>0</v>
      </c>
      <c r="D3236" s="637">
        <f t="shared" si="110"/>
        <v>0</v>
      </c>
      <c r="E3236" s="637">
        <f t="shared" si="111"/>
        <v>0</v>
      </c>
    </row>
    <row r="3237" spans="1:5">
      <c r="A3237">
        <v>51513</v>
      </c>
      <c r="B3237">
        <v>1700</v>
      </c>
      <c r="C3237" s="455">
        <v>0</v>
      </c>
      <c r="D3237" s="637">
        <f t="shared" si="110"/>
        <v>0</v>
      </c>
      <c r="E3237" s="637">
        <f t="shared" si="111"/>
        <v>0</v>
      </c>
    </row>
    <row r="3238" spans="1:5">
      <c r="A3238">
        <v>51513</v>
      </c>
      <c r="B3238">
        <v>1800</v>
      </c>
      <c r="C3238" s="455">
        <v>0</v>
      </c>
      <c r="D3238" s="637">
        <f t="shared" si="110"/>
        <v>0</v>
      </c>
      <c r="E3238" s="637">
        <f t="shared" si="111"/>
        <v>0</v>
      </c>
    </row>
    <row r="3239" spans="1:5">
      <c r="A3239">
        <v>51513</v>
      </c>
      <c r="B3239">
        <v>1900</v>
      </c>
      <c r="C3239" s="455">
        <v>3.0000000000000001E-3</v>
      </c>
      <c r="D3239" s="637">
        <f t="shared" si="110"/>
        <v>6.7794117647058836E-3</v>
      </c>
      <c r="E3239" s="637">
        <f t="shared" si="111"/>
        <v>1.1617647058823533E-2</v>
      </c>
    </row>
    <row r="3240" spans="1:5">
      <c r="A3240">
        <v>51513</v>
      </c>
      <c r="B3240">
        <v>2000</v>
      </c>
      <c r="C3240" s="455">
        <v>6.72</v>
      </c>
      <c r="D3240" s="637">
        <f t="shared" si="110"/>
        <v>15.185882352941178</v>
      </c>
      <c r="E3240" s="637">
        <f t="shared" si="111"/>
        <v>26.023529411764713</v>
      </c>
    </row>
    <row r="3241" spans="1:5">
      <c r="A3241">
        <v>51513</v>
      </c>
      <c r="B3241">
        <v>2100</v>
      </c>
      <c r="C3241" s="455">
        <v>6.9790000000000001</v>
      </c>
      <c r="D3241" s="637">
        <f t="shared" si="110"/>
        <v>15.771171568627453</v>
      </c>
      <c r="E3241" s="637">
        <f t="shared" si="111"/>
        <v>27.026519607843145</v>
      </c>
    </row>
    <row r="3242" spans="1:5">
      <c r="A3242">
        <v>51513</v>
      </c>
      <c r="B3242">
        <v>2200</v>
      </c>
      <c r="C3242" s="455">
        <v>6.8890000000000002</v>
      </c>
      <c r="D3242" s="637">
        <f t="shared" si="110"/>
        <v>15.567789215686277</v>
      </c>
      <c r="E3242" s="637">
        <f t="shared" si="111"/>
        <v>26.67799019607844</v>
      </c>
    </row>
    <row r="3243" spans="1:5">
      <c r="A3243">
        <v>51513</v>
      </c>
      <c r="B3243">
        <v>2300</v>
      </c>
      <c r="C3243" s="455">
        <v>7.258</v>
      </c>
      <c r="D3243" s="637">
        <f t="shared" si="110"/>
        <v>16.401656862745099</v>
      </c>
      <c r="E3243" s="637">
        <f t="shared" si="111"/>
        <v>28.106960784313731</v>
      </c>
    </row>
    <row r="3244" spans="1:5">
      <c r="A3244">
        <v>51513</v>
      </c>
      <c r="B3244">
        <v>2400</v>
      </c>
      <c r="C3244" s="455">
        <v>6.8170000000000002</v>
      </c>
      <c r="D3244" s="637">
        <f t="shared" si="110"/>
        <v>15.405083333333337</v>
      </c>
      <c r="E3244" s="637">
        <f t="shared" si="111"/>
        <v>26.399166666666677</v>
      </c>
    </row>
    <row r="3245" spans="1:5">
      <c r="A3245">
        <v>51613</v>
      </c>
      <c r="B3245">
        <v>100</v>
      </c>
      <c r="C3245" s="455">
        <v>7.0350000000000001</v>
      </c>
      <c r="D3245" s="637">
        <f t="shared" si="110"/>
        <v>15.897720588235297</v>
      </c>
      <c r="E3245" s="637">
        <f t="shared" si="111"/>
        <v>27.243382352941186</v>
      </c>
    </row>
    <row r="3246" spans="1:5">
      <c r="A3246">
        <v>51613</v>
      </c>
      <c r="B3246">
        <v>200</v>
      </c>
      <c r="C3246" s="455">
        <v>7.1109999999999998</v>
      </c>
      <c r="D3246" s="637">
        <f t="shared" si="110"/>
        <v>16.069465686274512</v>
      </c>
      <c r="E3246" s="637">
        <f t="shared" si="111"/>
        <v>27.537696078431381</v>
      </c>
    </row>
    <row r="3247" spans="1:5">
      <c r="A3247">
        <v>51613</v>
      </c>
      <c r="B3247">
        <v>300</v>
      </c>
      <c r="C3247" s="455">
        <v>7.0380000000000003</v>
      </c>
      <c r="D3247" s="637">
        <f t="shared" si="110"/>
        <v>15.904500000000001</v>
      </c>
      <c r="E3247" s="637">
        <f t="shared" si="111"/>
        <v>27.255000000000006</v>
      </c>
    </row>
    <row r="3248" spans="1:5">
      <c r="A3248">
        <v>51613</v>
      </c>
      <c r="B3248">
        <v>400</v>
      </c>
      <c r="C3248" s="455">
        <v>6.9669999999999996</v>
      </c>
      <c r="D3248" s="637">
        <f t="shared" si="110"/>
        <v>15.744053921568629</v>
      </c>
      <c r="E3248" s="637">
        <f t="shared" si="111"/>
        <v>26.980049019607851</v>
      </c>
    </row>
    <row r="3249" spans="1:5">
      <c r="A3249">
        <v>51613</v>
      </c>
      <c r="B3249">
        <v>500</v>
      </c>
      <c r="C3249" s="455">
        <v>8.266</v>
      </c>
      <c r="D3249" s="637">
        <f t="shared" si="110"/>
        <v>18.679539215686276</v>
      </c>
      <c r="E3249" s="637">
        <f t="shared" si="111"/>
        <v>32.010490196078443</v>
      </c>
    </row>
    <row r="3250" spans="1:5">
      <c r="A3250">
        <v>51613</v>
      </c>
      <c r="B3250">
        <v>600</v>
      </c>
      <c r="C3250" s="455">
        <v>0.68200000000000005</v>
      </c>
      <c r="D3250" s="637">
        <f t="shared" si="110"/>
        <v>1.5411862745098044</v>
      </c>
      <c r="E3250" s="637">
        <f t="shared" si="111"/>
        <v>2.6410784313725504</v>
      </c>
    </row>
    <row r="3251" spans="1:5">
      <c r="A3251">
        <v>51613</v>
      </c>
      <c r="B3251">
        <v>700</v>
      </c>
      <c r="C3251" s="455">
        <v>0</v>
      </c>
      <c r="D3251" s="637">
        <f t="shared" si="110"/>
        <v>0</v>
      </c>
      <c r="E3251" s="637">
        <f t="shared" si="111"/>
        <v>0</v>
      </c>
    </row>
    <row r="3252" spans="1:5">
      <c r="A3252">
        <v>51613</v>
      </c>
      <c r="B3252">
        <v>800</v>
      </c>
      <c r="C3252" s="455">
        <v>0</v>
      </c>
      <c r="D3252" s="637">
        <f t="shared" si="110"/>
        <v>0</v>
      </c>
      <c r="E3252" s="637">
        <f t="shared" si="111"/>
        <v>0</v>
      </c>
    </row>
    <row r="3253" spans="1:5">
      <c r="A3253">
        <v>51613</v>
      </c>
      <c r="B3253">
        <v>900</v>
      </c>
      <c r="C3253" s="455">
        <v>0.28799999999999998</v>
      </c>
      <c r="D3253" s="637">
        <f t="shared" si="110"/>
        <v>0.65082352941176469</v>
      </c>
      <c r="E3253" s="637">
        <f t="shared" si="111"/>
        <v>1.115294117647059</v>
      </c>
    </row>
    <row r="3254" spans="1:5">
      <c r="A3254">
        <v>51613</v>
      </c>
      <c r="B3254">
        <v>1000</v>
      </c>
      <c r="C3254" s="455">
        <v>0</v>
      </c>
      <c r="D3254" s="637">
        <f t="shared" si="110"/>
        <v>0</v>
      </c>
      <c r="E3254" s="637">
        <f t="shared" si="111"/>
        <v>0</v>
      </c>
    </row>
    <row r="3255" spans="1:5">
      <c r="A3255">
        <v>51613</v>
      </c>
      <c r="B3255">
        <v>1100</v>
      </c>
      <c r="C3255" s="455">
        <v>0</v>
      </c>
      <c r="D3255" s="637">
        <f t="shared" si="110"/>
        <v>0</v>
      </c>
      <c r="E3255" s="637">
        <f t="shared" si="111"/>
        <v>0</v>
      </c>
    </row>
    <row r="3256" spans="1:5">
      <c r="A3256">
        <v>51613</v>
      </c>
      <c r="B3256">
        <v>1200</v>
      </c>
      <c r="C3256" s="455">
        <v>1E-3</v>
      </c>
      <c r="D3256" s="637">
        <f t="shared" si="110"/>
        <v>2.2598039215686277E-3</v>
      </c>
      <c r="E3256" s="637">
        <f t="shared" si="111"/>
        <v>3.8725490196078443E-3</v>
      </c>
    </row>
    <row r="3257" spans="1:5">
      <c r="A3257">
        <v>51613</v>
      </c>
      <c r="B3257">
        <v>1300</v>
      </c>
      <c r="C3257" s="455">
        <v>0</v>
      </c>
      <c r="D3257" s="637">
        <f t="shared" si="110"/>
        <v>0</v>
      </c>
      <c r="E3257" s="637">
        <f t="shared" si="111"/>
        <v>0</v>
      </c>
    </row>
    <row r="3258" spans="1:5">
      <c r="A3258">
        <v>51613</v>
      </c>
      <c r="B3258">
        <v>1400</v>
      </c>
      <c r="C3258" s="455">
        <v>0</v>
      </c>
      <c r="D3258" s="637">
        <f t="shared" si="110"/>
        <v>0</v>
      </c>
      <c r="E3258" s="637">
        <f t="shared" si="111"/>
        <v>0</v>
      </c>
    </row>
    <row r="3259" spans="1:5">
      <c r="A3259">
        <v>51613</v>
      </c>
      <c r="B3259">
        <v>1500</v>
      </c>
      <c r="C3259" s="455">
        <v>0</v>
      </c>
      <c r="D3259" s="637">
        <f t="shared" si="110"/>
        <v>0</v>
      </c>
      <c r="E3259" s="637">
        <f t="shared" si="111"/>
        <v>0</v>
      </c>
    </row>
    <row r="3260" spans="1:5">
      <c r="A3260">
        <v>51613</v>
      </c>
      <c r="B3260">
        <v>1600</v>
      </c>
      <c r="C3260" s="455">
        <v>0</v>
      </c>
      <c r="D3260" s="637">
        <f t="shared" si="110"/>
        <v>0</v>
      </c>
      <c r="E3260" s="637">
        <f t="shared" si="111"/>
        <v>0</v>
      </c>
    </row>
    <row r="3261" spans="1:5">
      <c r="A3261">
        <v>51613</v>
      </c>
      <c r="B3261">
        <v>1700</v>
      </c>
      <c r="C3261" s="455">
        <v>0</v>
      </c>
      <c r="D3261" s="637">
        <f t="shared" si="110"/>
        <v>0</v>
      </c>
      <c r="E3261" s="637">
        <f t="shared" si="111"/>
        <v>0</v>
      </c>
    </row>
    <row r="3262" spans="1:5">
      <c r="A3262">
        <v>51613</v>
      </c>
      <c r="B3262">
        <v>1800</v>
      </c>
      <c r="C3262" s="455">
        <v>0</v>
      </c>
      <c r="D3262" s="637">
        <f t="shared" si="110"/>
        <v>0</v>
      </c>
      <c r="E3262" s="637">
        <f t="shared" si="111"/>
        <v>0</v>
      </c>
    </row>
    <row r="3263" spans="1:5">
      <c r="A3263">
        <v>51613</v>
      </c>
      <c r="B3263">
        <v>1900</v>
      </c>
      <c r="C3263" s="455">
        <v>0</v>
      </c>
      <c r="D3263" s="637">
        <f t="shared" si="110"/>
        <v>0</v>
      </c>
      <c r="E3263" s="637">
        <f t="shared" si="111"/>
        <v>0</v>
      </c>
    </row>
    <row r="3264" spans="1:5">
      <c r="A3264">
        <v>51613</v>
      </c>
      <c r="B3264">
        <v>2000</v>
      </c>
      <c r="C3264" s="455">
        <v>6.1619999999999999</v>
      </c>
      <c r="D3264" s="637">
        <f t="shared" si="110"/>
        <v>13.924911764705886</v>
      </c>
      <c r="E3264" s="637">
        <f t="shared" si="111"/>
        <v>23.862647058823537</v>
      </c>
    </row>
    <row r="3265" spans="1:5">
      <c r="A3265">
        <v>51613</v>
      </c>
      <c r="B3265">
        <v>2100</v>
      </c>
      <c r="C3265" s="455">
        <v>6.9029999999999996</v>
      </c>
      <c r="D3265" s="637">
        <f t="shared" si="110"/>
        <v>15.599426470588236</v>
      </c>
      <c r="E3265" s="637">
        <f t="shared" si="111"/>
        <v>26.73220588235295</v>
      </c>
    </row>
    <row r="3266" spans="1:5">
      <c r="A3266">
        <v>51613</v>
      </c>
      <c r="B3266">
        <v>2200</v>
      </c>
      <c r="C3266" s="455">
        <v>7.1790000000000003</v>
      </c>
      <c r="D3266" s="637">
        <f t="shared" si="110"/>
        <v>16.223132352941178</v>
      </c>
      <c r="E3266" s="637">
        <f t="shared" si="111"/>
        <v>27.801029411764716</v>
      </c>
    </row>
    <row r="3267" spans="1:5">
      <c r="A3267">
        <v>51613</v>
      </c>
      <c r="B3267">
        <v>2300</v>
      </c>
      <c r="C3267" s="455">
        <v>6.8929999999999998</v>
      </c>
      <c r="D3267" s="637">
        <f t="shared" si="110"/>
        <v>15.576828431372551</v>
      </c>
      <c r="E3267" s="637">
        <f t="shared" si="111"/>
        <v>26.693480392156868</v>
      </c>
    </row>
    <row r="3268" spans="1:5">
      <c r="A3268">
        <v>51613</v>
      </c>
      <c r="B3268">
        <v>2400</v>
      </c>
      <c r="C3268" s="455">
        <v>7.048</v>
      </c>
      <c r="D3268" s="637">
        <f t="shared" si="110"/>
        <v>15.927098039215688</v>
      </c>
      <c r="E3268" s="637">
        <f t="shared" si="111"/>
        <v>27.293725490196088</v>
      </c>
    </row>
    <row r="3269" spans="1:5">
      <c r="A3269">
        <v>51713</v>
      </c>
      <c r="B3269">
        <v>100</v>
      </c>
      <c r="C3269" s="455">
        <v>7.2610000000000001</v>
      </c>
      <c r="D3269" s="637">
        <f t="shared" si="110"/>
        <v>16.408436274509807</v>
      </c>
      <c r="E3269" s="637">
        <f t="shared" si="111"/>
        <v>28.118578431372558</v>
      </c>
    </row>
    <row r="3270" spans="1:5">
      <c r="A3270">
        <v>51713</v>
      </c>
      <c r="B3270">
        <v>200</v>
      </c>
      <c r="C3270" s="455">
        <v>7.0529999999999999</v>
      </c>
      <c r="D3270" s="637">
        <f t="shared" ref="D3270:D3333" si="112">(C3270/(MAX($C$2885:$C$3628)))*$W$9</f>
        <v>15.938397058823531</v>
      </c>
      <c r="E3270" s="637">
        <f t="shared" ref="E3270:E3333" si="113">(C3270/(MAX($C$2885:$C$3628)))*$P$9</f>
        <v>27.313088235294128</v>
      </c>
    </row>
    <row r="3271" spans="1:5">
      <c r="A3271">
        <v>51713</v>
      </c>
      <c r="B3271">
        <v>300</v>
      </c>
      <c r="C3271" s="455">
        <v>7.274</v>
      </c>
      <c r="D3271" s="637">
        <f t="shared" si="112"/>
        <v>16.437813725490198</v>
      </c>
      <c r="E3271" s="637">
        <f t="shared" si="113"/>
        <v>28.168921568627461</v>
      </c>
    </row>
    <row r="3272" spans="1:5">
      <c r="A3272">
        <v>51713</v>
      </c>
      <c r="B3272">
        <v>400</v>
      </c>
      <c r="C3272" s="455">
        <v>7.1310000000000002</v>
      </c>
      <c r="D3272" s="637">
        <f t="shared" si="112"/>
        <v>16.114661764705886</v>
      </c>
      <c r="E3272" s="637">
        <f t="shared" si="113"/>
        <v>27.615147058823542</v>
      </c>
    </row>
    <row r="3273" spans="1:5">
      <c r="A3273">
        <v>51713</v>
      </c>
      <c r="B3273">
        <v>500</v>
      </c>
      <c r="C3273" s="455">
        <v>8.1609999999999996</v>
      </c>
      <c r="D3273" s="637">
        <f t="shared" si="112"/>
        <v>18.442259803921569</v>
      </c>
      <c r="E3273" s="637">
        <f t="shared" si="113"/>
        <v>31.603872549019616</v>
      </c>
    </row>
    <row r="3274" spans="1:5">
      <c r="A3274">
        <v>51713</v>
      </c>
      <c r="B3274">
        <v>600</v>
      </c>
      <c r="C3274" s="455">
        <v>0.222</v>
      </c>
      <c r="D3274" s="637">
        <f t="shared" si="112"/>
        <v>0.50167647058823539</v>
      </c>
      <c r="E3274" s="637">
        <f t="shared" si="113"/>
        <v>0.85970588235294143</v>
      </c>
    </row>
    <row r="3275" spans="1:5">
      <c r="A3275">
        <v>51713</v>
      </c>
      <c r="B3275">
        <v>700</v>
      </c>
      <c r="C3275" s="455">
        <v>0</v>
      </c>
      <c r="D3275" s="637">
        <f t="shared" si="112"/>
        <v>0</v>
      </c>
      <c r="E3275" s="637">
        <f t="shared" si="113"/>
        <v>0</v>
      </c>
    </row>
    <row r="3276" spans="1:5">
      <c r="A3276">
        <v>51713</v>
      </c>
      <c r="B3276">
        <v>800</v>
      </c>
      <c r="C3276" s="455">
        <v>0</v>
      </c>
      <c r="D3276" s="637">
        <f t="shared" si="112"/>
        <v>0</v>
      </c>
      <c r="E3276" s="637">
        <f t="shared" si="113"/>
        <v>0</v>
      </c>
    </row>
    <row r="3277" spans="1:5">
      <c r="A3277">
        <v>51713</v>
      </c>
      <c r="B3277">
        <v>900</v>
      </c>
      <c r="C3277" s="455">
        <v>0</v>
      </c>
      <c r="D3277" s="637">
        <f t="shared" si="112"/>
        <v>0</v>
      </c>
      <c r="E3277" s="637">
        <f t="shared" si="113"/>
        <v>0</v>
      </c>
    </row>
    <row r="3278" spans="1:5">
      <c r="A3278">
        <v>51713</v>
      </c>
      <c r="B3278">
        <v>1000</v>
      </c>
      <c r="C3278" s="455">
        <v>0</v>
      </c>
      <c r="D3278" s="637">
        <f t="shared" si="112"/>
        <v>0</v>
      </c>
      <c r="E3278" s="637">
        <f t="shared" si="113"/>
        <v>0</v>
      </c>
    </row>
    <row r="3279" spans="1:5">
      <c r="A3279">
        <v>51713</v>
      </c>
      <c r="B3279">
        <v>1100</v>
      </c>
      <c r="C3279" s="455">
        <v>0</v>
      </c>
      <c r="D3279" s="637">
        <f t="shared" si="112"/>
        <v>0</v>
      </c>
      <c r="E3279" s="637">
        <f t="shared" si="113"/>
        <v>0</v>
      </c>
    </row>
    <row r="3280" spans="1:5">
      <c r="A3280">
        <v>51713</v>
      </c>
      <c r="B3280">
        <v>1200</v>
      </c>
      <c r="C3280" s="455">
        <v>0</v>
      </c>
      <c r="D3280" s="637">
        <f t="shared" si="112"/>
        <v>0</v>
      </c>
      <c r="E3280" s="637">
        <f t="shared" si="113"/>
        <v>0</v>
      </c>
    </row>
    <row r="3281" spans="1:5">
      <c r="A3281">
        <v>51713</v>
      </c>
      <c r="B3281">
        <v>1300</v>
      </c>
      <c r="C3281" s="455">
        <v>0</v>
      </c>
      <c r="D3281" s="637">
        <f t="shared" si="112"/>
        <v>0</v>
      </c>
      <c r="E3281" s="637">
        <f t="shared" si="113"/>
        <v>0</v>
      </c>
    </row>
    <row r="3282" spans="1:5">
      <c r="A3282">
        <v>51713</v>
      </c>
      <c r="B3282">
        <v>1400</v>
      </c>
      <c r="C3282" s="455">
        <v>0</v>
      </c>
      <c r="D3282" s="637">
        <f t="shared" si="112"/>
        <v>0</v>
      </c>
      <c r="E3282" s="637">
        <f t="shared" si="113"/>
        <v>0</v>
      </c>
    </row>
    <row r="3283" spans="1:5">
      <c r="A3283">
        <v>51713</v>
      </c>
      <c r="B3283">
        <v>1500</v>
      </c>
      <c r="C3283" s="455">
        <v>0</v>
      </c>
      <c r="D3283" s="637">
        <f t="shared" si="112"/>
        <v>0</v>
      </c>
      <c r="E3283" s="637">
        <f t="shared" si="113"/>
        <v>0</v>
      </c>
    </row>
    <row r="3284" spans="1:5">
      <c r="A3284">
        <v>51713</v>
      </c>
      <c r="B3284">
        <v>1600</v>
      </c>
      <c r="C3284" s="455">
        <v>0</v>
      </c>
      <c r="D3284" s="637">
        <f t="shared" si="112"/>
        <v>0</v>
      </c>
      <c r="E3284" s="637">
        <f t="shared" si="113"/>
        <v>0</v>
      </c>
    </row>
    <row r="3285" spans="1:5">
      <c r="A3285">
        <v>51713</v>
      </c>
      <c r="B3285">
        <v>1700</v>
      </c>
      <c r="C3285" s="455">
        <v>8.3000000000000004E-2</v>
      </c>
      <c r="D3285" s="637">
        <f t="shared" si="112"/>
        <v>0.18756372549019612</v>
      </c>
      <c r="E3285" s="637">
        <f t="shared" si="113"/>
        <v>0.32142156862745108</v>
      </c>
    </row>
    <row r="3286" spans="1:5">
      <c r="A3286">
        <v>51713</v>
      </c>
      <c r="B3286">
        <v>1800</v>
      </c>
      <c r="C3286" s="455">
        <v>0</v>
      </c>
      <c r="D3286" s="637">
        <f t="shared" si="112"/>
        <v>0</v>
      </c>
      <c r="E3286" s="637">
        <f t="shared" si="113"/>
        <v>0</v>
      </c>
    </row>
    <row r="3287" spans="1:5">
      <c r="A3287">
        <v>51713</v>
      </c>
      <c r="B3287">
        <v>1900</v>
      </c>
      <c r="C3287" s="455">
        <v>0</v>
      </c>
      <c r="D3287" s="637">
        <f t="shared" si="112"/>
        <v>0</v>
      </c>
      <c r="E3287" s="637">
        <f t="shared" si="113"/>
        <v>0</v>
      </c>
    </row>
    <row r="3288" spans="1:5">
      <c r="A3288">
        <v>51713</v>
      </c>
      <c r="B3288">
        <v>2000</v>
      </c>
      <c r="C3288" s="455">
        <v>6.0049999999999999</v>
      </c>
      <c r="D3288" s="637">
        <f t="shared" si="112"/>
        <v>13.57012254901961</v>
      </c>
      <c r="E3288" s="637">
        <f t="shared" si="113"/>
        <v>23.254656862745104</v>
      </c>
    </row>
    <row r="3289" spans="1:5">
      <c r="A3289">
        <v>51713</v>
      </c>
      <c r="B3289">
        <v>2100</v>
      </c>
      <c r="C3289" s="455">
        <v>6.9740000000000002</v>
      </c>
      <c r="D3289" s="637">
        <f t="shared" si="112"/>
        <v>15.75987254901961</v>
      </c>
      <c r="E3289" s="637">
        <f t="shared" si="113"/>
        <v>27.007156862745106</v>
      </c>
    </row>
    <row r="3290" spans="1:5">
      <c r="A3290">
        <v>51713</v>
      </c>
      <c r="B3290">
        <v>2200</v>
      </c>
      <c r="C3290" s="455">
        <v>7.048</v>
      </c>
      <c r="D3290" s="637">
        <f t="shared" si="112"/>
        <v>15.927098039215688</v>
      </c>
      <c r="E3290" s="637">
        <f t="shared" si="113"/>
        <v>27.293725490196088</v>
      </c>
    </row>
    <row r="3291" spans="1:5">
      <c r="A3291">
        <v>51713</v>
      </c>
      <c r="B3291">
        <v>2300</v>
      </c>
      <c r="C3291" s="455">
        <v>7.2670000000000003</v>
      </c>
      <c r="D3291" s="637">
        <f t="shared" si="112"/>
        <v>16.421995098039218</v>
      </c>
      <c r="E3291" s="637">
        <f t="shared" si="113"/>
        <v>28.141813725490206</v>
      </c>
    </row>
    <row r="3292" spans="1:5">
      <c r="A3292">
        <v>51713</v>
      </c>
      <c r="B3292">
        <v>2400</v>
      </c>
      <c r="C3292" s="455">
        <v>6.9779999999999998</v>
      </c>
      <c r="D3292" s="637">
        <f t="shared" si="112"/>
        <v>15.768911764705884</v>
      </c>
      <c r="E3292" s="637">
        <f t="shared" si="113"/>
        <v>27.022647058823534</v>
      </c>
    </row>
    <row r="3293" spans="1:5">
      <c r="A3293">
        <v>51813</v>
      </c>
      <c r="B3293">
        <v>100</v>
      </c>
      <c r="C3293" s="455">
        <v>7.1950000000000003</v>
      </c>
      <c r="D3293" s="637">
        <f t="shared" si="112"/>
        <v>16.259289215686277</v>
      </c>
      <c r="E3293" s="637">
        <f t="shared" si="113"/>
        <v>27.862990196078442</v>
      </c>
    </row>
    <row r="3294" spans="1:5">
      <c r="A3294">
        <v>51813</v>
      </c>
      <c r="B3294">
        <v>200</v>
      </c>
      <c r="C3294" s="455">
        <v>7.0579999999999998</v>
      </c>
      <c r="D3294" s="637">
        <f t="shared" si="112"/>
        <v>15.949696078431375</v>
      </c>
      <c r="E3294" s="637">
        <f t="shared" si="113"/>
        <v>27.332450980392167</v>
      </c>
    </row>
    <row r="3295" spans="1:5">
      <c r="A3295">
        <v>51813</v>
      </c>
      <c r="B3295">
        <v>300</v>
      </c>
      <c r="C3295" s="455">
        <v>7.1219999999999999</v>
      </c>
      <c r="D3295" s="637">
        <f t="shared" si="112"/>
        <v>16.094323529411767</v>
      </c>
      <c r="E3295" s="637">
        <f t="shared" si="113"/>
        <v>27.580294117647068</v>
      </c>
    </row>
    <row r="3296" spans="1:5">
      <c r="A3296">
        <v>51813</v>
      </c>
      <c r="B3296">
        <v>400</v>
      </c>
      <c r="C3296" s="455">
        <v>7.1929999999999996</v>
      </c>
      <c r="D3296" s="637">
        <f t="shared" si="112"/>
        <v>16.254769607843141</v>
      </c>
      <c r="E3296" s="637">
        <f t="shared" si="113"/>
        <v>27.855245098039223</v>
      </c>
    </row>
    <row r="3297" spans="1:5">
      <c r="A3297">
        <v>51813</v>
      </c>
      <c r="B3297">
        <v>500</v>
      </c>
      <c r="C3297" s="455">
        <v>8.1289999999999996</v>
      </c>
      <c r="D3297" s="637">
        <f t="shared" si="112"/>
        <v>18.369946078431376</v>
      </c>
      <c r="E3297" s="637">
        <f t="shared" si="113"/>
        <v>31.479950980392164</v>
      </c>
    </row>
    <row r="3298" spans="1:5">
      <c r="A3298">
        <v>51813</v>
      </c>
      <c r="B3298">
        <v>600</v>
      </c>
      <c r="C3298" s="455">
        <v>0.90300000000000002</v>
      </c>
      <c r="D3298" s="637">
        <f t="shared" si="112"/>
        <v>2.0406029411764708</v>
      </c>
      <c r="E3298" s="637">
        <f t="shared" si="113"/>
        <v>3.4969117647058838</v>
      </c>
    </row>
    <row r="3299" spans="1:5">
      <c r="A3299">
        <v>51813</v>
      </c>
      <c r="B3299">
        <v>700</v>
      </c>
      <c r="C3299" s="455">
        <v>1E-3</v>
      </c>
      <c r="D3299" s="637">
        <f t="shared" si="112"/>
        <v>2.2598039215686277E-3</v>
      </c>
      <c r="E3299" s="637">
        <f t="shared" si="113"/>
        <v>3.8725490196078443E-3</v>
      </c>
    </row>
    <row r="3300" spans="1:5">
      <c r="A3300">
        <v>51813</v>
      </c>
      <c r="B3300">
        <v>800</v>
      </c>
      <c r="C3300" s="455">
        <v>0</v>
      </c>
      <c r="D3300" s="637">
        <f t="shared" si="112"/>
        <v>0</v>
      </c>
      <c r="E3300" s="637">
        <f t="shared" si="113"/>
        <v>0</v>
      </c>
    </row>
    <row r="3301" spans="1:5">
      <c r="A3301">
        <v>51813</v>
      </c>
      <c r="B3301">
        <v>900</v>
      </c>
      <c r="C3301" s="455">
        <v>0</v>
      </c>
      <c r="D3301" s="637">
        <f t="shared" si="112"/>
        <v>0</v>
      </c>
      <c r="E3301" s="637">
        <f t="shared" si="113"/>
        <v>0</v>
      </c>
    </row>
    <row r="3302" spans="1:5">
      <c r="A3302">
        <v>51813</v>
      </c>
      <c r="B3302">
        <v>1000</v>
      </c>
      <c r="C3302" s="455">
        <v>0</v>
      </c>
      <c r="D3302" s="637">
        <f t="shared" si="112"/>
        <v>0</v>
      </c>
      <c r="E3302" s="637">
        <f t="shared" si="113"/>
        <v>0</v>
      </c>
    </row>
    <row r="3303" spans="1:5">
      <c r="A3303">
        <v>51813</v>
      </c>
      <c r="B3303">
        <v>1100</v>
      </c>
      <c r="C3303" s="455">
        <v>0</v>
      </c>
      <c r="D3303" s="637">
        <f t="shared" si="112"/>
        <v>0</v>
      </c>
      <c r="E3303" s="637">
        <f t="shared" si="113"/>
        <v>0</v>
      </c>
    </row>
    <row r="3304" spans="1:5">
      <c r="A3304">
        <v>51813</v>
      </c>
      <c r="B3304">
        <v>1200</v>
      </c>
      <c r="C3304" s="455">
        <v>0</v>
      </c>
      <c r="D3304" s="637">
        <f t="shared" si="112"/>
        <v>0</v>
      </c>
      <c r="E3304" s="637">
        <f t="shared" si="113"/>
        <v>0</v>
      </c>
    </row>
    <row r="3305" spans="1:5">
      <c r="A3305">
        <v>51813</v>
      </c>
      <c r="B3305">
        <v>1300</v>
      </c>
      <c r="C3305" s="455">
        <v>0</v>
      </c>
      <c r="D3305" s="637">
        <f t="shared" si="112"/>
        <v>0</v>
      </c>
      <c r="E3305" s="637">
        <f t="shared" si="113"/>
        <v>0</v>
      </c>
    </row>
    <row r="3306" spans="1:5">
      <c r="A3306">
        <v>51813</v>
      </c>
      <c r="B3306">
        <v>1400</v>
      </c>
      <c r="C3306" s="455">
        <v>0</v>
      </c>
      <c r="D3306" s="637">
        <f t="shared" si="112"/>
        <v>0</v>
      </c>
      <c r="E3306" s="637">
        <f t="shared" si="113"/>
        <v>0</v>
      </c>
    </row>
    <row r="3307" spans="1:5">
      <c r="A3307">
        <v>51813</v>
      </c>
      <c r="B3307">
        <v>1500</v>
      </c>
      <c r="C3307" s="455">
        <v>0</v>
      </c>
      <c r="D3307" s="637">
        <f t="shared" si="112"/>
        <v>0</v>
      </c>
      <c r="E3307" s="637">
        <f t="shared" si="113"/>
        <v>0</v>
      </c>
    </row>
    <row r="3308" spans="1:5">
      <c r="A3308">
        <v>51813</v>
      </c>
      <c r="B3308">
        <v>1600</v>
      </c>
      <c r="C3308" s="455">
        <v>0</v>
      </c>
      <c r="D3308" s="637">
        <f t="shared" si="112"/>
        <v>0</v>
      </c>
      <c r="E3308" s="637">
        <f t="shared" si="113"/>
        <v>0</v>
      </c>
    </row>
    <row r="3309" spans="1:5">
      <c r="A3309">
        <v>51813</v>
      </c>
      <c r="B3309">
        <v>1700</v>
      </c>
      <c r="C3309" s="455">
        <v>0</v>
      </c>
      <c r="D3309" s="637">
        <f t="shared" si="112"/>
        <v>0</v>
      </c>
      <c r="E3309" s="637">
        <f t="shared" si="113"/>
        <v>0</v>
      </c>
    </row>
    <row r="3310" spans="1:5">
      <c r="A3310">
        <v>51813</v>
      </c>
      <c r="B3310">
        <v>1800</v>
      </c>
      <c r="C3310" s="455">
        <v>0</v>
      </c>
      <c r="D3310" s="637">
        <f t="shared" si="112"/>
        <v>0</v>
      </c>
      <c r="E3310" s="637">
        <f t="shared" si="113"/>
        <v>0</v>
      </c>
    </row>
    <row r="3311" spans="1:5">
      <c r="A3311">
        <v>51813</v>
      </c>
      <c r="B3311">
        <v>1900</v>
      </c>
      <c r="C3311" s="455">
        <v>0.13</v>
      </c>
      <c r="D3311" s="637">
        <f t="shared" si="112"/>
        <v>0.29377450980392161</v>
      </c>
      <c r="E3311" s="637">
        <f t="shared" si="113"/>
        <v>0.50343137254901982</v>
      </c>
    </row>
    <row r="3312" spans="1:5">
      <c r="A3312">
        <v>51813</v>
      </c>
      <c r="B3312">
        <v>2000</v>
      </c>
      <c r="C3312" s="455">
        <v>8.2710000000000008</v>
      </c>
      <c r="D3312" s="637">
        <f t="shared" si="112"/>
        <v>18.690838235294123</v>
      </c>
      <c r="E3312" s="637">
        <f t="shared" si="113"/>
        <v>32.029852941176486</v>
      </c>
    </row>
    <row r="3313" spans="1:5">
      <c r="A3313">
        <v>51813</v>
      </c>
      <c r="B3313">
        <v>2100</v>
      </c>
      <c r="C3313" s="455">
        <v>7.0519999999999996</v>
      </c>
      <c r="D3313" s="637">
        <f t="shared" si="112"/>
        <v>15.936137254901961</v>
      </c>
      <c r="E3313" s="637">
        <f t="shared" si="113"/>
        <v>27.309215686274516</v>
      </c>
    </row>
    <row r="3314" spans="1:5">
      <c r="A3314">
        <v>51813</v>
      </c>
      <c r="B3314">
        <v>2200</v>
      </c>
      <c r="C3314" s="455">
        <v>7.2</v>
      </c>
      <c r="D3314" s="637">
        <f t="shared" si="112"/>
        <v>16.27058823529412</v>
      </c>
      <c r="E3314" s="637">
        <f t="shared" si="113"/>
        <v>27.882352941176482</v>
      </c>
    </row>
    <row r="3315" spans="1:5">
      <c r="A3315">
        <v>51813</v>
      </c>
      <c r="B3315">
        <v>2300</v>
      </c>
      <c r="C3315" s="455">
        <v>7.2039999999999997</v>
      </c>
      <c r="D3315" s="637">
        <f t="shared" si="112"/>
        <v>16.279627450980396</v>
      </c>
      <c r="E3315" s="637">
        <f t="shared" si="113"/>
        <v>27.89784313725491</v>
      </c>
    </row>
    <row r="3316" spans="1:5">
      <c r="A3316">
        <v>51813</v>
      </c>
      <c r="B3316">
        <v>2400</v>
      </c>
      <c r="C3316" s="455">
        <v>7.1449999999999996</v>
      </c>
      <c r="D3316" s="637">
        <f t="shared" si="112"/>
        <v>16.146299019607842</v>
      </c>
      <c r="E3316" s="637">
        <f t="shared" si="113"/>
        <v>27.669362745098045</v>
      </c>
    </row>
    <row r="3317" spans="1:5">
      <c r="A3317">
        <v>51913</v>
      </c>
      <c r="B3317">
        <v>100</v>
      </c>
      <c r="C3317" s="455">
        <v>7.35</v>
      </c>
      <c r="D3317" s="637">
        <f t="shared" si="112"/>
        <v>16.609558823529412</v>
      </c>
      <c r="E3317" s="637">
        <f t="shared" si="113"/>
        <v>28.463235294117656</v>
      </c>
    </row>
    <row r="3318" spans="1:5">
      <c r="A3318">
        <v>51913</v>
      </c>
      <c r="B3318">
        <v>200</v>
      </c>
      <c r="C3318" s="455">
        <v>7.21</v>
      </c>
      <c r="D3318" s="637">
        <f t="shared" si="112"/>
        <v>16.293186274509804</v>
      </c>
      <c r="E3318" s="637">
        <f t="shared" si="113"/>
        <v>27.921078431372557</v>
      </c>
    </row>
    <row r="3319" spans="1:5">
      <c r="A3319">
        <v>51913</v>
      </c>
      <c r="B3319">
        <v>300</v>
      </c>
      <c r="C3319" s="455">
        <v>7.2779999999999996</v>
      </c>
      <c r="D3319" s="637">
        <f t="shared" si="112"/>
        <v>16.446852941176473</v>
      </c>
      <c r="E3319" s="637">
        <f t="shared" si="113"/>
        <v>28.184411764705892</v>
      </c>
    </row>
    <row r="3320" spans="1:5">
      <c r="A3320">
        <v>51913</v>
      </c>
      <c r="B3320">
        <v>400</v>
      </c>
      <c r="C3320" s="455">
        <v>7.1340000000000003</v>
      </c>
      <c r="D3320" s="637">
        <f t="shared" si="112"/>
        <v>16.12144117647059</v>
      </c>
      <c r="E3320" s="637">
        <f t="shared" si="113"/>
        <v>27.626764705882362</v>
      </c>
    </row>
    <row r="3321" spans="1:5">
      <c r="A3321">
        <v>51913</v>
      </c>
      <c r="B3321">
        <v>500</v>
      </c>
      <c r="C3321" s="455">
        <v>8.2829999999999995</v>
      </c>
      <c r="D3321" s="637">
        <f t="shared" si="112"/>
        <v>18.717955882352943</v>
      </c>
      <c r="E3321" s="637">
        <f t="shared" si="113"/>
        <v>32.076323529411773</v>
      </c>
    </row>
    <row r="3322" spans="1:5">
      <c r="A3322">
        <v>51913</v>
      </c>
      <c r="B3322">
        <v>600</v>
      </c>
      <c r="C3322" s="455">
        <v>0.27</v>
      </c>
      <c r="D3322" s="637">
        <f t="shared" si="112"/>
        <v>0.61014705882352949</v>
      </c>
      <c r="E3322" s="637">
        <f t="shared" si="113"/>
        <v>1.0455882352941179</v>
      </c>
    </row>
    <row r="3323" spans="1:5">
      <c r="A3323">
        <v>51913</v>
      </c>
      <c r="B3323">
        <v>700</v>
      </c>
      <c r="C3323" s="455">
        <v>2E-3</v>
      </c>
      <c r="D3323" s="637">
        <f t="shared" si="112"/>
        <v>4.5196078431372555E-3</v>
      </c>
      <c r="E3323" s="637">
        <f t="shared" si="113"/>
        <v>7.7450980392156886E-3</v>
      </c>
    </row>
    <row r="3324" spans="1:5">
      <c r="A3324">
        <v>51913</v>
      </c>
      <c r="B3324">
        <v>800</v>
      </c>
      <c r="C3324" s="455">
        <v>0</v>
      </c>
      <c r="D3324" s="637">
        <f t="shared" si="112"/>
        <v>0</v>
      </c>
      <c r="E3324" s="637">
        <f t="shared" si="113"/>
        <v>0</v>
      </c>
    </row>
    <row r="3325" spans="1:5">
      <c r="A3325">
        <v>51913</v>
      </c>
      <c r="B3325">
        <v>900</v>
      </c>
      <c r="C3325" s="455">
        <v>1E-3</v>
      </c>
      <c r="D3325" s="637">
        <f t="shared" si="112"/>
        <v>2.2598039215686277E-3</v>
      </c>
      <c r="E3325" s="637">
        <f t="shared" si="113"/>
        <v>3.8725490196078443E-3</v>
      </c>
    </row>
    <row r="3326" spans="1:5">
      <c r="A3326">
        <v>51913</v>
      </c>
      <c r="B3326">
        <v>1000</v>
      </c>
      <c r="C3326" s="455">
        <v>0</v>
      </c>
      <c r="D3326" s="637">
        <f t="shared" si="112"/>
        <v>0</v>
      </c>
      <c r="E3326" s="637">
        <f t="shared" si="113"/>
        <v>0</v>
      </c>
    </row>
    <row r="3327" spans="1:5">
      <c r="A3327">
        <v>51913</v>
      </c>
      <c r="B3327">
        <v>1100</v>
      </c>
      <c r="C3327" s="455">
        <v>0</v>
      </c>
      <c r="D3327" s="637">
        <f t="shared" si="112"/>
        <v>0</v>
      </c>
      <c r="E3327" s="637">
        <f t="shared" si="113"/>
        <v>0</v>
      </c>
    </row>
    <row r="3328" spans="1:5">
      <c r="A3328">
        <v>51913</v>
      </c>
      <c r="B3328">
        <v>1200</v>
      </c>
      <c r="C3328" s="455">
        <v>0</v>
      </c>
      <c r="D3328" s="637">
        <f t="shared" si="112"/>
        <v>0</v>
      </c>
      <c r="E3328" s="637">
        <f t="shared" si="113"/>
        <v>0</v>
      </c>
    </row>
    <row r="3329" spans="1:5">
      <c r="A3329">
        <v>51913</v>
      </c>
      <c r="B3329">
        <v>1300</v>
      </c>
      <c r="C3329" s="455">
        <v>0</v>
      </c>
      <c r="D3329" s="637">
        <f t="shared" si="112"/>
        <v>0</v>
      </c>
      <c r="E3329" s="637">
        <f t="shared" si="113"/>
        <v>0</v>
      </c>
    </row>
    <row r="3330" spans="1:5">
      <c r="A3330">
        <v>51913</v>
      </c>
      <c r="B3330">
        <v>1400</v>
      </c>
      <c r="C3330" s="455">
        <v>0</v>
      </c>
      <c r="D3330" s="637">
        <f t="shared" si="112"/>
        <v>0</v>
      </c>
      <c r="E3330" s="637">
        <f t="shared" si="113"/>
        <v>0</v>
      </c>
    </row>
    <row r="3331" spans="1:5">
      <c r="A3331">
        <v>51913</v>
      </c>
      <c r="B3331">
        <v>1500</v>
      </c>
      <c r="C3331" s="455">
        <v>0</v>
      </c>
      <c r="D3331" s="637">
        <f t="shared" si="112"/>
        <v>0</v>
      </c>
      <c r="E3331" s="637">
        <f t="shared" si="113"/>
        <v>0</v>
      </c>
    </row>
    <row r="3332" spans="1:5">
      <c r="A3332">
        <v>51913</v>
      </c>
      <c r="B3332">
        <v>1600</v>
      </c>
      <c r="C3332" s="455">
        <v>0</v>
      </c>
      <c r="D3332" s="637">
        <f t="shared" si="112"/>
        <v>0</v>
      </c>
      <c r="E3332" s="637">
        <f t="shared" si="113"/>
        <v>0</v>
      </c>
    </row>
    <row r="3333" spans="1:5">
      <c r="A3333">
        <v>51913</v>
      </c>
      <c r="B3333">
        <v>1700</v>
      </c>
      <c r="C3333" s="455">
        <v>0</v>
      </c>
      <c r="D3333" s="637">
        <f t="shared" si="112"/>
        <v>0</v>
      </c>
      <c r="E3333" s="637">
        <f t="shared" si="113"/>
        <v>0</v>
      </c>
    </row>
    <row r="3334" spans="1:5">
      <c r="A3334">
        <v>51913</v>
      </c>
      <c r="B3334">
        <v>1800</v>
      </c>
      <c r="C3334" s="455">
        <v>0</v>
      </c>
      <c r="D3334" s="637">
        <f t="shared" ref="D3334:D3397" si="114">(C3334/(MAX($C$2885:$C$3628)))*$W$9</f>
        <v>0</v>
      </c>
      <c r="E3334" s="637">
        <f t="shared" ref="E3334:E3397" si="115">(C3334/(MAX($C$2885:$C$3628)))*$P$9</f>
        <v>0</v>
      </c>
    </row>
    <row r="3335" spans="1:5">
      <c r="A3335">
        <v>51913</v>
      </c>
      <c r="B3335">
        <v>1900</v>
      </c>
      <c r="C3335" s="455">
        <v>3.0000000000000001E-3</v>
      </c>
      <c r="D3335" s="637">
        <f t="shared" si="114"/>
        <v>6.7794117647058836E-3</v>
      </c>
      <c r="E3335" s="637">
        <f t="shared" si="115"/>
        <v>1.1617647058823533E-2</v>
      </c>
    </row>
    <row r="3336" spans="1:5">
      <c r="A3336">
        <v>51913</v>
      </c>
      <c r="B3336">
        <v>2000</v>
      </c>
      <c r="C3336" s="455">
        <v>5.3239999999999998</v>
      </c>
      <c r="D3336" s="637">
        <f t="shared" si="114"/>
        <v>12.031196078431373</v>
      </c>
      <c r="E3336" s="637">
        <f t="shared" si="115"/>
        <v>20.61745098039216</v>
      </c>
    </row>
    <row r="3337" spans="1:5">
      <c r="A3337">
        <v>51913</v>
      </c>
      <c r="B3337">
        <v>2100</v>
      </c>
      <c r="C3337" s="455">
        <v>7.51</v>
      </c>
      <c r="D3337" s="637">
        <f t="shared" si="114"/>
        <v>16.971127450980394</v>
      </c>
      <c r="E3337" s="637">
        <f t="shared" si="115"/>
        <v>29.082843137254912</v>
      </c>
    </row>
    <row r="3338" spans="1:5">
      <c r="A3338">
        <v>51913</v>
      </c>
      <c r="B3338">
        <v>2200</v>
      </c>
      <c r="C3338" s="455">
        <v>7.3490000000000002</v>
      </c>
      <c r="D3338" s="637">
        <f t="shared" si="114"/>
        <v>16.607299019607844</v>
      </c>
      <c r="E3338" s="637">
        <f t="shared" si="115"/>
        <v>28.459362745098048</v>
      </c>
    </row>
    <row r="3339" spans="1:5">
      <c r="A3339">
        <v>51913</v>
      </c>
      <c r="B3339">
        <v>2300</v>
      </c>
      <c r="C3339" s="455">
        <v>7.3760000000000003</v>
      </c>
      <c r="D3339" s="637">
        <f t="shared" si="114"/>
        <v>16.668313725490197</v>
      </c>
      <c r="E3339" s="637">
        <f t="shared" si="115"/>
        <v>28.56392156862746</v>
      </c>
    </row>
    <row r="3340" spans="1:5">
      <c r="A3340">
        <v>51913</v>
      </c>
      <c r="B3340">
        <v>2400</v>
      </c>
      <c r="C3340" s="455">
        <v>7.3970000000000002</v>
      </c>
      <c r="D3340" s="637">
        <f t="shared" si="114"/>
        <v>16.715769607843139</v>
      </c>
      <c r="E3340" s="637">
        <f t="shared" si="115"/>
        <v>28.645245098039222</v>
      </c>
    </row>
    <row r="3341" spans="1:5">
      <c r="A3341">
        <v>52013</v>
      </c>
      <c r="B3341">
        <v>100</v>
      </c>
      <c r="C3341" s="455">
        <v>7.46</v>
      </c>
      <c r="D3341" s="637">
        <f t="shared" si="114"/>
        <v>16.858137254901962</v>
      </c>
      <c r="E3341" s="637">
        <f t="shared" si="115"/>
        <v>28.889215686274518</v>
      </c>
    </row>
    <row r="3342" spans="1:5">
      <c r="A3342">
        <v>52013</v>
      </c>
      <c r="B3342">
        <v>200</v>
      </c>
      <c r="C3342" s="455">
        <v>7.1</v>
      </c>
      <c r="D3342" s="637">
        <f t="shared" si="114"/>
        <v>16.044607843137253</v>
      </c>
      <c r="E3342" s="637">
        <f t="shared" si="115"/>
        <v>27.495098039215691</v>
      </c>
    </row>
    <row r="3343" spans="1:5">
      <c r="A3343">
        <v>52013</v>
      </c>
      <c r="B3343">
        <v>300</v>
      </c>
      <c r="C3343" s="455">
        <v>7.2590000000000003</v>
      </c>
      <c r="D3343" s="637">
        <f t="shared" si="114"/>
        <v>16.403916666666667</v>
      </c>
      <c r="E3343" s="637">
        <f t="shared" si="115"/>
        <v>28.110833333333343</v>
      </c>
    </row>
    <row r="3344" spans="1:5">
      <c r="A3344">
        <v>52013</v>
      </c>
      <c r="B3344">
        <v>400</v>
      </c>
      <c r="C3344" s="455">
        <v>7.1859999999999999</v>
      </c>
      <c r="D3344" s="637">
        <f t="shared" si="114"/>
        <v>16.238950980392158</v>
      </c>
      <c r="E3344" s="637">
        <f t="shared" si="115"/>
        <v>27.828137254901968</v>
      </c>
    </row>
    <row r="3345" spans="1:5">
      <c r="A3345">
        <v>52013</v>
      </c>
      <c r="B3345">
        <v>500</v>
      </c>
      <c r="C3345" s="455">
        <v>8.5570000000000004</v>
      </c>
      <c r="D3345" s="637">
        <f t="shared" si="114"/>
        <v>19.337142156862747</v>
      </c>
      <c r="E3345" s="637">
        <f t="shared" si="115"/>
        <v>33.137401960784324</v>
      </c>
    </row>
    <row r="3346" spans="1:5">
      <c r="A3346">
        <v>52013</v>
      </c>
      <c r="B3346">
        <v>600</v>
      </c>
      <c r="C3346" s="455">
        <v>0.51400000000000001</v>
      </c>
      <c r="D3346" s="637">
        <f t="shared" si="114"/>
        <v>1.1615392156862747</v>
      </c>
      <c r="E3346" s="637">
        <f t="shared" si="115"/>
        <v>1.990490196078432</v>
      </c>
    </row>
    <row r="3347" spans="1:5">
      <c r="A3347">
        <v>52013</v>
      </c>
      <c r="B3347">
        <v>700</v>
      </c>
      <c r="C3347" s="455">
        <v>0</v>
      </c>
      <c r="D3347" s="637">
        <f t="shared" si="114"/>
        <v>0</v>
      </c>
      <c r="E3347" s="637">
        <f t="shared" si="115"/>
        <v>0</v>
      </c>
    </row>
    <row r="3348" spans="1:5">
      <c r="A3348">
        <v>52013</v>
      </c>
      <c r="B3348">
        <v>800</v>
      </c>
      <c r="C3348" s="455">
        <v>0</v>
      </c>
      <c r="D3348" s="637">
        <f t="shared" si="114"/>
        <v>0</v>
      </c>
      <c r="E3348" s="637">
        <f t="shared" si="115"/>
        <v>0</v>
      </c>
    </row>
    <row r="3349" spans="1:5">
      <c r="A3349">
        <v>52013</v>
      </c>
      <c r="B3349">
        <v>900</v>
      </c>
      <c r="C3349" s="455">
        <v>0</v>
      </c>
      <c r="D3349" s="637">
        <f t="shared" si="114"/>
        <v>0</v>
      </c>
      <c r="E3349" s="637">
        <f t="shared" si="115"/>
        <v>0</v>
      </c>
    </row>
    <row r="3350" spans="1:5">
      <c r="A3350">
        <v>52013</v>
      </c>
      <c r="B3350">
        <v>1000</v>
      </c>
      <c r="C3350" s="455">
        <v>0</v>
      </c>
      <c r="D3350" s="637">
        <f t="shared" si="114"/>
        <v>0</v>
      </c>
      <c r="E3350" s="637">
        <f t="shared" si="115"/>
        <v>0</v>
      </c>
    </row>
    <row r="3351" spans="1:5">
      <c r="A3351">
        <v>52013</v>
      </c>
      <c r="B3351">
        <v>1100</v>
      </c>
      <c r="C3351" s="455">
        <v>0</v>
      </c>
      <c r="D3351" s="637">
        <f t="shared" si="114"/>
        <v>0</v>
      </c>
      <c r="E3351" s="637">
        <f t="shared" si="115"/>
        <v>0</v>
      </c>
    </row>
    <row r="3352" spans="1:5">
      <c r="A3352">
        <v>52013</v>
      </c>
      <c r="B3352">
        <v>1200</v>
      </c>
      <c r="C3352" s="455">
        <v>0</v>
      </c>
      <c r="D3352" s="637">
        <f t="shared" si="114"/>
        <v>0</v>
      </c>
      <c r="E3352" s="637">
        <f t="shared" si="115"/>
        <v>0</v>
      </c>
    </row>
    <row r="3353" spans="1:5">
      <c r="A3353">
        <v>52013</v>
      </c>
      <c r="B3353">
        <v>1300</v>
      </c>
      <c r="C3353" s="455">
        <v>0</v>
      </c>
      <c r="D3353" s="637">
        <f t="shared" si="114"/>
        <v>0</v>
      </c>
      <c r="E3353" s="637">
        <f t="shared" si="115"/>
        <v>0</v>
      </c>
    </row>
    <row r="3354" spans="1:5">
      <c r="A3354">
        <v>52013</v>
      </c>
      <c r="B3354">
        <v>1400</v>
      </c>
      <c r="C3354" s="455">
        <v>0</v>
      </c>
      <c r="D3354" s="637">
        <f t="shared" si="114"/>
        <v>0</v>
      </c>
      <c r="E3354" s="637">
        <f t="shared" si="115"/>
        <v>0</v>
      </c>
    </row>
    <row r="3355" spans="1:5">
      <c r="A3355">
        <v>52013</v>
      </c>
      <c r="B3355">
        <v>1500</v>
      </c>
      <c r="C3355" s="455">
        <v>0</v>
      </c>
      <c r="D3355" s="637">
        <f t="shared" si="114"/>
        <v>0</v>
      </c>
      <c r="E3355" s="637">
        <f t="shared" si="115"/>
        <v>0</v>
      </c>
    </row>
    <row r="3356" spans="1:5">
      <c r="A3356">
        <v>52013</v>
      </c>
      <c r="B3356">
        <v>1600</v>
      </c>
      <c r="C3356" s="455">
        <v>0</v>
      </c>
      <c r="D3356" s="637">
        <f t="shared" si="114"/>
        <v>0</v>
      </c>
      <c r="E3356" s="637">
        <f t="shared" si="115"/>
        <v>0</v>
      </c>
    </row>
    <row r="3357" spans="1:5">
      <c r="A3357">
        <v>52013</v>
      </c>
      <c r="B3357">
        <v>1700</v>
      </c>
      <c r="C3357" s="455">
        <v>0</v>
      </c>
      <c r="D3357" s="637">
        <f t="shared" si="114"/>
        <v>0</v>
      </c>
      <c r="E3357" s="637">
        <f t="shared" si="115"/>
        <v>0</v>
      </c>
    </row>
    <row r="3358" spans="1:5">
      <c r="A3358">
        <v>52013</v>
      </c>
      <c r="B3358">
        <v>1800</v>
      </c>
      <c r="C3358" s="455">
        <v>0</v>
      </c>
      <c r="D3358" s="637">
        <f t="shared" si="114"/>
        <v>0</v>
      </c>
      <c r="E3358" s="637">
        <f t="shared" si="115"/>
        <v>0</v>
      </c>
    </row>
    <row r="3359" spans="1:5">
      <c r="A3359">
        <v>52013</v>
      </c>
      <c r="B3359">
        <v>1900</v>
      </c>
      <c r="C3359" s="455">
        <v>3.0000000000000001E-3</v>
      </c>
      <c r="D3359" s="637">
        <f t="shared" si="114"/>
        <v>6.7794117647058836E-3</v>
      </c>
      <c r="E3359" s="637">
        <f t="shared" si="115"/>
        <v>1.1617647058823533E-2</v>
      </c>
    </row>
    <row r="3360" spans="1:5">
      <c r="A3360">
        <v>52013</v>
      </c>
      <c r="B3360">
        <v>2000</v>
      </c>
      <c r="C3360" s="455">
        <v>6.52</v>
      </c>
      <c r="D3360" s="637">
        <f t="shared" si="114"/>
        <v>14.733921568627453</v>
      </c>
      <c r="E3360" s="637">
        <f t="shared" si="115"/>
        <v>25.249019607843145</v>
      </c>
    </row>
    <row r="3361" spans="1:5">
      <c r="A3361">
        <v>52013</v>
      </c>
      <c r="B3361">
        <v>2100</v>
      </c>
      <c r="C3361" s="455">
        <v>7.06</v>
      </c>
      <c r="D3361" s="637">
        <f t="shared" si="114"/>
        <v>15.954215686274511</v>
      </c>
      <c r="E3361" s="637">
        <f t="shared" si="115"/>
        <v>27.340196078431379</v>
      </c>
    </row>
    <row r="3362" spans="1:5">
      <c r="A3362">
        <v>52013</v>
      </c>
      <c r="B3362">
        <v>2200</v>
      </c>
      <c r="C3362" s="455">
        <v>7.1189999999999998</v>
      </c>
      <c r="D3362" s="637">
        <f t="shared" si="114"/>
        <v>16.087544117647059</v>
      </c>
      <c r="E3362" s="637">
        <f t="shared" si="115"/>
        <v>27.568676470588244</v>
      </c>
    </row>
    <row r="3363" spans="1:5">
      <c r="A3363">
        <v>52013</v>
      </c>
      <c r="B3363">
        <v>2300</v>
      </c>
      <c r="C3363" s="455">
        <v>6.9</v>
      </c>
      <c r="D3363" s="637">
        <f t="shared" si="114"/>
        <v>15.592647058823532</v>
      </c>
      <c r="E3363" s="637">
        <f t="shared" si="115"/>
        <v>26.720588235294127</v>
      </c>
    </row>
    <row r="3364" spans="1:5">
      <c r="A3364">
        <v>52013</v>
      </c>
      <c r="B3364">
        <v>2400</v>
      </c>
      <c r="C3364" s="455">
        <v>7.0419999999999998</v>
      </c>
      <c r="D3364" s="637">
        <f t="shared" si="114"/>
        <v>15.913539215686278</v>
      </c>
      <c r="E3364" s="637">
        <f t="shared" si="115"/>
        <v>27.270490196078441</v>
      </c>
    </row>
    <row r="3365" spans="1:5">
      <c r="A3365">
        <v>52113</v>
      </c>
      <c r="B3365">
        <v>100</v>
      </c>
      <c r="C3365" s="455">
        <v>7.0510000000000002</v>
      </c>
      <c r="D3365" s="637">
        <f t="shared" si="114"/>
        <v>15.933877450980393</v>
      </c>
      <c r="E3365" s="637">
        <f t="shared" si="115"/>
        <v>27.305343137254908</v>
      </c>
    </row>
    <row r="3366" spans="1:5">
      <c r="A3366">
        <v>52113</v>
      </c>
      <c r="B3366">
        <v>200</v>
      </c>
      <c r="C3366" s="455">
        <v>7.0540000000000003</v>
      </c>
      <c r="D3366" s="637">
        <f t="shared" si="114"/>
        <v>15.940656862745099</v>
      </c>
      <c r="E3366" s="637">
        <f t="shared" si="115"/>
        <v>27.316960784313732</v>
      </c>
    </row>
    <row r="3367" spans="1:5">
      <c r="A3367">
        <v>52113</v>
      </c>
      <c r="B3367">
        <v>300</v>
      </c>
      <c r="C3367" s="455">
        <v>6.9770000000000003</v>
      </c>
      <c r="D3367" s="637">
        <f t="shared" si="114"/>
        <v>15.766651960784316</v>
      </c>
      <c r="E3367" s="637">
        <f t="shared" si="115"/>
        <v>27.018774509803929</v>
      </c>
    </row>
    <row r="3368" spans="1:5">
      <c r="A3368">
        <v>52113</v>
      </c>
      <c r="B3368">
        <v>400</v>
      </c>
      <c r="C3368" s="455">
        <v>7.1849999999999996</v>
      </c>
      <c r="D3368" s="637">
        <f t="shared" si="114"/>
        <v>16.23669117647059</v>
      </c>
      <c r="E3368" s="637">
        <f t="shared" si="115"/>
        <v>27.824264705882356</v>
      </c>
    </row>
    <row r="3369" spans="1:5">
      <c r="A3369">
        <v>52113</v>
      </c>
      <c r="B3369">
        <v>500</v>
      </c>
      <c r="C3369" s="455">
        <v>8.4149999999999991</v>
      </c>
      <c r="D3369" s="637">
        <f t="shared" si="114"/>
        <v>19.016249999999999</v>
      </c>
      <c r="E3369" s="637">
        <f t="shared" si="115"/>
        <v>32.587500000000006</v>
      </c>
    </row>
    <row r="3370" spans="1:5">
      <c r="A3370">
        <v>52113</v>
      </c>
      <c r="B3370">
        <v>600</v>
      </c>
      <c r="C3370" s="455">
        <v>0.877</v>
      </c>
      <c r="D3370" s="637">
        <f t="shared" si="114"/>
        <v>1.9818480392156865</v>
      </c>
      <c r="E3370" s="637">
        <f t="shared" si="115"/>
        <v>3.3962254901960796</v>
      </c>
    </row>
    <row r="3371" spans="1:5">
      <c r="A3371">
        <v>52113</v>
      </c>
      <c r="B3371">
        <v>700</v>
      </c>
      <c r="C3371" s="455">
        <v>0</v>
      </c>
      <c r="D3371" s="637">
        <f t="shared" si="114"/>
        <v>0</v>
      </c>
      <c r="E3371" s="637">
        <f t="shared" si="115"/>
        <v>0</v>
      </c>
    </row>
    <row r="3372" spans="1:5">
      <c r="A3372">
        <v>52113</v>
      </c>
      <c r="B3372">
        <v>800</v>
      </c>
      <c r="C3372" s="455">
        <v>0</v>
      </c>
      <c r="D3372" s="637">
        <f t="shared" si="114"/>
        <v>0</v>
      </c>
      <c r="E3372" s="637">
        <f t="shared" si="115"/>
        <v>0</v>
      </c>
    </row>
    <row r="3373" spans="1:5">
      <c r="A3373">
        <v>52113</v>
      </c>
      <c r="B3373">
        <v>900</v>
      </c>
      <c r="C3373" s="455">
        <v>0</v>
      </c>
      <c r="D3373" s="637">
        <f t="shared" si="114"/>
        <v>0</v>
      </c>
      <c r="E3373" s="637">
        <f t="shared" si="115"/>
        <v>0</v>
      </c>
    </row>
    <row r="3374" spans="1:5">
      <c r="A3374">
        <v>52113</v>
      </c>
      <c r="B3374">
        <v>1000</v>
      </c>
      <c r="C3374" s="455">
        <v>0</v>
      </c>
      <c r="D3374" s="637">
        <f t="shared" si="114"/>
        <v>0</v>
      </c>
      <c r="E3374" s="637">
        <f t="shared" si="115"/>
        <v>0</v>
      </c>
    </row>
    <row r="3375" spans="1:5">
      <c r="A3375">
        <v>52113</v>
      </c>
      <c r="B3375">
        <v>1100</v>
      </c>
      <c r="C3375" s="455">
        <v>1E-3</v>
      </c>
      <c r="D3375" s="637">
        <f t="shared" si="114"/>
        <v>2.2598039215686277E-3</v>
      </c>
      <c r="E3375" s="637">
        <f t="shared" si="115"/>
        <v>3.8725490196078443E-3</v>
      </c>
    </row>
    <row r="3376" spans="1:5">
      <c r="A3376">
        <v>52113</v>
      </c>
      <c r="B3376">
        <v>1200</v>
      </c>
      <c r="C3376" s="455">
        <v>0</v>
      </c>
      <c r="D3376" s="637">
        <f t="shared" si="114"/>
        <v>0</v>
      </c>
      <c r="E3376" s="637">
        <f t="shared" si="115"/>
        <v>0</v>
      </c>
    </row>
    <row r="3377" spans="1:5">
      <c r="A3377">
        <v>52113</v>
      </c>
      <c r="B3377">
        <v>1300</v>
      </c>
      <c r="C3377" s="455">
        <v>0</v>
      </c>
      <c r="D3377" s="637">
        <f t="shared" si="114"/>
        <v>0</v>
      </c>
      <c r="E3377" s="637">
        <f t="shared" si="115"/>
        <v>0</v>
      </c>
    </row>
    <row r="3378" spans="1:5">
      <c r="A3378">
        <v>52113</v>
      </c>
      <c r="B3378">
        <v>1400</v>
      </c>
      <c r="C3378" s="455">
        <v>0</v>
      </c>
      <c r="D3378" s="637">
        <f t="shared" si="114"/>
        <v>0</v>
      </c>
      <c r="E3378" s="637">
        <f t="shared" si="115"/>
        <v>0</v>
      </c>
    </row>
    <row r="3379" spans="1:5">
      <c r="A3379">
        <v>52113</v>
      </c>
      <c r="B3379">
        <v>1500</v>
      </c>
      <c r="C3379" s="455">
        <v>0</v>
      </c>
      <c r="D3379" s="637">
        <f t="shared" si="114"/>
        <v>0</v>
      </c>
      <c r="E3379" s="637">
        <f t="shared" si="115"/>
        <v>0</v>
      </c>
    </row>
    <row r="3380" spans="1:5">
      <c r="A3380">
        <v>52113</v>
      </c>
      <c r="B3380">
        <v>1600</v>
      </c>
      <c r="C3380" s="455">
        <v>0</v>
      </c>
      <c r="D3380" s="637">
        <f t="shared" si="114"/>
        <v>0</v>
      </c>
      <c r="E3380" s="637">
        <f t="shared" si="115"/>
        <v>0</v>
      </c>
    </row>
    <row r="3381" spans="1:5">
      <c r="A3381">
        <v>52113</v>
      </c>
      <c r="B3381">
        <v>1700</v>
      </c>
      <c r="C3381" s="455">
        <v>2.2330000000000001</v>
      </c>
      <c r="D3381" s="637">
        <f t="shared" si="114"/>
        <v>5.0461421568627456</v>
      </c>
      <c r="E3381" s="637">
        <f t="shared" si="115"/>
        <v>8.6474019607843164</v>
      </c>
    </row>
    <row r="3382" spans="1:5">
      <c r="A3382">
        <v>52113</v>
      </c>
      <c r="B3382">
        <v>1800</v>
      </c>
      <c r="C3382" s="455">
        <v>1.381</v>
      </c>
      <c r="D3382" s="637">
        <f t="shared" si="114"/>
        <v>3.1207892156862749</v>
      </c>
      <c r="E3382" s="637">
        <f t="shared" si="115"/>
        <v>5.3479901960784328</v>
      </c>
    </row>
    <row r="3383" spans="1:5">
      <c r="A3383">
        <v>52113</v>
      </c>
      <c r="B3383">
        <v>1900</v>
      </c>
      <c r="C3383" s="455">
        <v>1.4810000000000001</v>
      </c>
      <c r="D3383" s="637">
        <f t="shared" si="114"/>
        <v>3.3467696078431382</v>
      </c>
      <c r="E3383" s="637">
        <f t="shared" si="115"/>
        <v>5.7352450980392176</v>
      </c>
    </row>
    <row r="3384" spans="1:5">
      <c r="A3384">
        <v>52113</v>
      </c>
      <c r="B3384">
        <v>2000</v>
      </c>
      <c r="C3384" s="455">
        <v>4.819</v>
      </c>
      <c r="D3384" s="637">
        <f t="shared" si="114"/>
        <v>10.889995098039217</v>
      </c>
      <c r="E3384" s="637">
        <f t="shared" si="115"/>
        <v>18.661813725490202</v>
      </c>
    </row>
    <row r="3385" spans="1:5">
      <c r="A3385">
        <v>52113</v>
      </c>
      <c r="B3385">
        <v>2100</v>
      </c>
      <c r="C3385" s="455">
        <v>7.4189999999999996</v>
      </c>
      <c r="D3385" s="637">
        <f t="shared" si="114"/>
        <v>16.765485294117649</v>
      </c>
      <c r="E3385" s="637">
        <f t="shared" si="115"/>
        <v>28.730441176470595</v>
      </c>
    </row>
    <row r="3386" spans="1:5">
      <c r="A3386">
        <v>52113</v>
      </c>
      <c r="B3386">
        <v>2200</v>
      </c>
      <c r="C3386" s="455">
        <v>6.96</v>
      </c>
      <c r="D3386" s="637">
        <f t="shared" si="114"/>
        <v>15.728235294117649</v>
      </c>
      <c r="E3386" s="637">
        <f t="shared" si="115"/>
        <v>26.952941176470599</v>
      </c>
    </row>
    <row r="3387" spans="1:5">
      <c r="A3387">
        <v>52113</v>
      </c>
      <c r="B3387">
        <v>2300</v>
      </c>
      <c r="C3387" s="455">
        <v>6.9619999999999997</v>
      </c>
      <c r="D3387" s="637">
        <f t="shared" si="114"/>
        <v>15.732754901960785</v>
      </c>
      <c r="E3387" s="637">
        <f t="shared" si="115"/>
        <v>26.960686274509811</v>
      </c>
    </row>
    <row r="3388" spans="1:5">
      <c r="A3388">
        <v>52113</v>
      </c>
      <c r="B3388">
        <v>2400</v>
      </c>
      <c r="C3388" s="455">
        <v>6.9790000000000001</v>
      </c>
      <c r="D3388" s="637">
        <f t="shared" si="114"/>
        <v>15.771171568627453</v>
      </c>
      <c r="E3388" s="637">
        <f t="shared" si="115"/>
        <v>27.026519607843145</v>
      </c>
    </row>
    <row r="3389" spans="1:5">
      <c r="A3389">
        <v>52213</v>
      </c>
      <c r="B3389">
        <v>100</v>
      </c>
      <c r="C3389" s="455">
        <v>7.3339999999999996</v>
      </c>
      <c r="D3389" s="637">
        <f t="shared" si="114"/>
        <v>16.573401960784317</v>
      </c>
      <c r="E3389" s="637">
        <f t="shared" si="115"/>
        <v>28.40127450980393</v>
      </c>
    </row>
    <row r="3390" spans="1:5">
      <c r="A3390">
        <v>52213</v>
      </c>
      <c r="B3390">
        <v>200</v>
      </c>
      <c r="C3390" s="455">
        <v>7.202</v>
      </c>
      <c r="D3390" s="637">
        <f t="shared" si="114"/>
        <v>16.275107843137256</v>
      </c>
      <c r="E3390" s="637">
        <f t="shared" si="115"/>
        <v>27.890098039215694</v>
      </c>
    </row>
    <row r="3391" spans="1:5">
      <c r="A3391">
        <v>52213</v>
      </c>
      <c r="B3391">
        <v>300</v>
      </c>
      <c r="C3391" s="455">
        <v>7.1319999999999997</v>
      </c>
      <c r="D3391" s="637">
        <f t="shared" si="114"/>
        <v>16.116921568627451</v>
      </c>
      <c r="E3391" s="637">
        <f t="shared" si="115"/>
        <v>27.619019607843143</v>
      </c>
    </row>
    <row r="3392" spans="1:5">
      <c r="A3392">
        <v>52213</v>
      </c>
      <c r="B3392">
        <v>400</v>
      </c>
      <c r="C3392" s="455">
        <v>7.2750000000000004</v>
      </c>
      <c r="D3392" s="637">
        <f t="shared" si="114"/>
        <v>16.440073529411766</v>
      </c>
      <c r="E3392" s="637">
        <f t="shared" si="115"/>
        <v>28.172794117647069</v>
      </c>
    </row>
    <row r="3393" spans="1:5">
      <c r="A3393">
        <v>52213</v>
      </c>
      <c r="B3393">
        <v>500</v>
      </c>
      <c r="C3393" s="455">
        <v>8.0239999999999991</v>
      </c>
      <c r="D3393" s="637">
        <f t="shared" si="114"/>
        <v>18.132666666666669</v>
      </c>
      <c r="E3393" s="637">
        <f t="shared" si="115"/>
        <v>31.073333333333341</v>
      </c>
    </row>
    <row r="3394" spans="1:5">
      <c r="A3394">
        <v>52213</v>
      </c>
      <c r="B3394">
        <v>600</v>
      </c>
      <c r="C3394" s="455">
        <v>1.895</v>
      </c>
      <c r="D3394" s="637">
        <f t="shared" si="114"/>
        <v>4.2823284313725489</v>
      </c>
      <c r="E3394" s="637">
        <f t="shared" si="115"/>
        <v>7.3384803921568649</v>
      </c>
    </row>
    <row r="3395" spans="1:5">
      <c r="A3395">
        <v>52213</v>
      </c>
      <c r="B3395">
        <v>700</v>
      </c>
      <c r="C3395" s="455">
        <v>1E-3</v>
      </c>
      <c r="D3395" s="637">
        <f t="shared" si="114"/>
        <v>2.2598039215686277E-3</v>
      </c>
      <c r="E3395" s="637">
        <f t="shared" si="115"/>
        <v>3.8725490196078443E-3</v>
      </c>
    </row>
    <row r="3396" spans="1:5">
      <c r="A3396">
        <v>52213</v>
      </c>
      <c r="B3396">
        <v>800</v>
      </c>
      <c r="C3396" s="455">
        <v>0</v>
      </c>
      <c r="D3396" s="637">
        <f t="shared" si="114"/>
        <v>0</v>
      </c>
      <c r="E3396" s="637">
        <f t="shared" si="115"/>
        <v>0</v>
      </c>
    </row>
    <row r="3397" spans="1:5">
      <c r="A3397">
        <v>52213</v>
      </c>
      <c r="B3397">
        <v>900</v>
      </c>
      <c r="C3397" s="455">
        <v>0</v>
      </c>
      <c r="D3397" s="637">
        <f t="shared" si="114"/>
        <v>0</v>
      </c>
      <c r="E3397" s="637">
        <f t="shared" si="115"/>
        <v>0</v>
      </c>
    </row>
    <row r="3398" spans="1:5">
      <c r="A3398">
        <v>52213</v>
      </c>
      <c r="B3398">
        <v>1000</v>
      </c>
      <c r="C3398" s="455">
        <v>0</v>
      </c>
      <c r="D3398" s="637">
        <f t="shared" ref="D3398:D3461" si="116">(C3398/(MAX($C$2885:$C$3628)))*$W$9</f>
        <v>0</v>
      </c>
      <c r="E3398" s="637">
        <f t="shared" ref="E3398:E3461" si="117">(C3398/(MAX($C$2885:$C$3628)))*$P$9</f>
        <v>0</v>
      </c>
    </row>
    <row r="3399" spans="1:5">
      <c r="A3399">
        <v>52213</v>
      </c>
      <c r="B3399">
        <v>1100</v>
      </c>
      <c r="C3399" s="455">
        <v>0</v>
      </c>
      <c r="D3399" s="637">
        <f t="shared" si="116"/>
        <v>0</v>
      </c>
      <c r="E3399" s="637">
        <f t="shared" si="117"/>
        <v>0</v>
      </c>
    </row>
    <row r="3400" spans="1:5">
      <c r="A3400">
        <v>52213</v>
      </c>
      <c r="B3400">
        <v>1200</v>
      </c>
      <c r="C3400" s="455">
        <v>0</v>
      </c>
      <c r="D3400" s="637">
        <f t="shared" si="116"/>
        <v>0</v>
      </c>
      <c r="E3400" s="637">
        <f t="shared" si="117"/>
        <v>0</v>
      </c>
    </row>
    <row r="3401" spans="1:5">
      <c r="A3401">
        <v>52213</v>
      </c>
      <c r="B3401">
        <v>1300</v>
      </c>
      <c r="C3401" s="455">
        <v>0</v>
      </c>
      <c r="D3401" s="637">
        <f t="shared" si="116"/>
        <v>0</v>
      </c>
      <c r="E3401" s="637">
        <f t="shared" si="117"/>
        <v>0</v>
      </c>
    </row>
    <row r="3402" spans="1:5">
      <c r="A3402">
        <v>52213</v>
      </c>
      <c r="B3402">
        <v>1400</v>
      </c>
      <c r="C3402" s="455">
        <v>0</v>
      </c>
      <c r="D3402" s="637">
        <f t="shared" si="116"/>
        <v>0</v>
      </c>
      <c r="E3402" s="637">
        <f t="shared" si="117"/>
        <v>0</v>
      </c>
    </row>
    <row r="3403" spans="1:5">
      <c r="A3403">
        <v>52213</v>
      </c>
      <c r="B3403">
        <v>1500</v>
      </c>
      <c r="C3403" s="455">
        <v>0</v>
      </c>
      <c r="D3403" s="637">
        <f t="shared" si="116"/>
        <v>0</v>
      </c>
      <c r="E3403" s="637">
        <f t="shared" si="117"/>
        <v>0</v>
      </c>
    </row>
    <row r="3404" spans="1:5">
      <c r="A3404">
        <v>52213</v>
      </c>
      <c r="B3404">
        <v>1600</v>
      </c>
      <c r="C3404" s="455">
        <v>0</v>
      </c>
      <c r="D3404" s="637">
        <f t="shared" si="116"/>
        <v>0</v>
      </c>
      <c r="E3404" s="637">
        <f t="shared" si="117"/>
        <v>0</v>
      </c>
    </row>
    <row r="3405" spans="1:5">
      <c r="A3405">
        <v>52213</v>
      </c>
      <c r="B3405">
        <v>1700</v>
      </c>
      <c r="C3405" s="455">
        <v>0.71399999999999997</v>
      </c>
      <c r="D3405" s="637">
        <f t="shared" si="116"/>
        <v>1.6135000000000002</v>
      </c>
      <c r="E3405" s="637">
        <f t="shared" si="117"/>
        <v>2.7650000000000006</v>
      </c>
    </row>
    <row r="3406" spans="1:5">
      <c r="A3406">
        <v>52213</v>
      </c>
      <c r="B3406">
        <v>1800</v>
      </c>
      <c r="C3406" s="455">
        <v>0</v>
      </c>
      <c r="D3406" s="637">
        <f t="shared" si="116"/>
        <v>0</v>
      </c>
      <c r="E3406" s="637">
        <f t="shared" si="117"/>
        <v>0</v>
      </c>
    </row>
    <row r="3407" spans="1:5">
      <c r="A3407">
        <v>52213</v>
      </c>
      <c r="B3407">
        <v>1900</v>
      </c>
      <c r="C3407" s="455">
        <v>0</v>
      </c>
      <c r="D3407" s="637">
        <f t="shared" si="116"/>
        <v>0</v>
      </c>
      <c r="E3407" s="637">
        <f t="shared" si="117"/>
        <v>0</v>
      </c>
    </row>
    <row r="3408" spans="1:5">
      <c r="A3408">
        <v>52213</v>
      </c>
      <c r="B3408">
        <v>2000</v>
      </c>
      <c r="C3408" s="455">
        <v>5.5359999999999996</v>
      </c>
      <c r="D3408" s="637">
        <f t="shared" si="116"/>
        <v>12.510274509803921</v>
      </c>
      <c r="E3408" s="637">
        <f t="shared" si="117"/>
        <v>21.438431372549022</v>
      </c>
    </row>
    <row r="3409" spans="1:5">
      <c r="A3409">
        <v>52213</v>
      </c>
      <c r="B3409">
        <v>2100</v>
      </c>
      <c r="C3409" s="455">
        <v>7.2160000000000002</v>
      </c>
      <c r="D3409" s="637">
        <f t="shared" si="116"/>
        <v>16.306745098039219</v>
      </c>
      <c r="E3409" s="637">
        <f t="shared" si="117"/>
        <v>27.944313725490208</v>
      </c>
    </row>
    <row r="3410" spans="1:5">
      <c r="A3410">
        <v>52213</v>
      </c>
      <c r="B3410">
        <v>2200</v>
      </c>
      <c r="C3410" s="455">
        <v>6.9640000000000004</v>
      </c>
      <c r="D3410" s="637">
        <f t="shared" si="116"/>
        <v>15.737274509803926</v>
      </c>
      <c r="E3410" s="637">
        <f t="shared" si="117"/>
        <v>26.968431372549031</v>
      </c>
    </row>
    <row r="3411" spans="1:5">
      <c r="A3411">
        <v>52213</v>
      </c>
      <c r="B3411">
        <v>2300</v>
      </c>
      <c r="C3411" s="455">
        <v>7.0410000000000004</v>
      </c>
      <c r="D3411" s="637">
        <f t="shared" si="116"/>
        <v>15.91127941176471</v>
      </c>
      <c r="E3411" s="637">
        <f t="shared" si="117"/>
        <v>27.266617647058833</v>
      </c>
    </row>
    <row r="3412" spans="1:5">
      <c r="A3412">
        <v>52213</v>
      </c>
      <c r="B3412">
        <v>2400</v>
      </c>
      <c r="C3412" s="455">
        <v>7.0419999999999998</v>
      </c>
      <c r="D3412" s="637">
        <f t="shared" si="116"/>
        <v>15.913539215686278</v>
      </c>
      <c r="E3412" s="637">
        <f t="shared" si="117"/>
        <v>27.270490196078441</v>
      </c>
    </row>
    <row r="3413" spans="1:5">
      <c r="A3413">
        <v>52313</v>
      </c>
      <c r="B3413">
        <v>100</v>
      </c>
      <c r="C3413" s="455">
        <v>6.8780000000000001</v>
      </c>
      <c r="D3413" s="637">
        <f t="shared" si="116"/>
        <v>15.542931372549022</v>
      </c>
      <c r="E3413" s="637">
        <f t="shared" si="117"/>
        <v>26.635392156862753</v>
      </c>
    </row>
    <row r="3414" spans="1:5">
      <c r="A3414">
        <v>52313</v>
      </c>
      <c r="B3414">
        <v>200</v>
      </c>
      <c r="C3414" s="455">
        <v>7.1959999999999997</v>
      </c>
      <c r="D3414" s="637">
        <f t="shared" si="116"/>
        <v>16.261549019607845</v>
      </c>
      <c r="E3414" s="637">
        <f t="shared" si="117"/>
        <v>27.866862745098047</v>
      </c>
    </row>
    <row r="3415" spans="1:5">
      <c r="A3415">
        <v>52313</v>
      </c>
      <c r="B3415">
        <v>300</v>
      </c>
      <c r="C3415" s="455">
        <v>7.1219999999999999</v>
      </c>
      <c r="D3415" s="637">
        <f t="shared" si="116"/>
        <v>16.094323529411767</v>
      </c>
      <c r="E3415" s="637">
        <f t="shared" si="117"/>
        <v>27.580294117647068</v>
      </c>
    </row>
    <row r="3416" spans="1:5">
      <c r="A3416">
        <v>52313</v>
      </c>
      <c r="B3416">
        <v>400</v>
      </c>
      <c r="C3416" s="455">
        <v>7.05</v>
      </c>
      <c r="D3416" s="637">
        <f t="shared" si="116"/>
        <v>15.931617647058825</v>
      </c>
      <c r="E3416" s="637">
        <f t="shared" si="117"/>
        <v>27.301470588235304</v>
      </c>
    </row>
    <row r="3417" spans="1:5">
      <c r="A3417">
        <v>52313</v>
      </c>
      <c r="B3417">
        <v>500</v>
      </c>
      <c r="C3417" s="455">
        <v>8.2560000000000002</v>
      </c>
      <c r="D3417" s="637">
        <f t="shared" si="116"/>
        <v>18.656941176470589</v>
      </c>
      <c r="E3417" s="637">
        <f t="shared" si="117"/>
        <v>31.971764705882361</v>
      </c>
    </row>
    <row r="3418" spans="1:5">
      <c r="A3418">
        <v>52313</v>
      </c>
      <c r="B3418">
        <v>600</v>
      </c>
      <c r="C3418" s="455">
        <v>2.5</v>
      </c>
      <c r="D3418" s="637">
        <f t="shared" si="116"/>
        <v>5.6495098039215694</v>
      </c>
      <c r="E3418" s="637">
        <f t="shared" si="117"/>
        <v>9.6813725490196099</v>
      </c>
    </row>
    <row r="3419" spans="1:5">
      <c r="A3419">
        <v>52313</v>
      </c>
      <c r="B3419">
        <v>700</v>
      </c>
      <c r="C3419" s="455">
        <v>8.0000000000000002E-3</v>
      </c>
      <c r="D3419" s="637">
        <f t="shared" si="116"/>
        <v>1.8078431372549022E-2</v>
      </c>
      <c r="E3419" s="637">
        <f t="shared" si="117"/>
        <v>3.0980392156862754E-2</v>
      </c>
    </row>
    <row r="3420" spans="1:5">
      <c r="A3420">
        <v>52313</v>
      </c>
      <c r="B3420">
        <v>800</v>
      </c>
      <c r="C3420" s="455">
        <v>1E-3</v>
      </c>
      <c r="D3420" s="637">
        <f t="shared" si="116"/>
        <v>2.2598039215686277E-3</v>
      </c>
      <c r="E3420" s="637">
        <f t="shared" si="117"/>
        <v>3.8725490196078443E-3</v>
      </c>
    </row>
    <row r="3421" spans="1:5">
      <c r="A3421">
        <v>52313</v>
      </c>
      <c r="B3421">
        <v>900</v>
      </c>
      <c r="C3421" s="455">
        <v>0</v>
      </c>
      <c r="D3421" s="637">
        <f t="shared" si="116"/>
        <v>0</v>
      </c>
      <c r="E3421" s="637">
        <f t="shared" si="117"/>
        <v>0</v>
      </c>
    </row>
    <row r="3422" spans="1:5">
      <c r="A3422">
        <v>52313</v>
      </c>
      <c r="B3422">
        <v>1000</v>
      </c>
      <c r="C3422" s="455">
        <v>0</v>
      </c>
      <c r="D3422" s="637">
        <f t="shared" si="116"/>
        <v>0</v>
      </c>
      <c r="E3422" s="637">
        <f t="shared" si="117"/>
        <v>0</v>
      </c>
    </row>
    <row r="3423" spans="1:5">
      <c r="A3423">
        <v>52313</v>
      </c>
      <c r="B3423">
        <v>1100</v>
      </c>
      <c r="C3423" s="455">
        <v>0</v>
      </c>
      <c r="D3423" s="637">
        <f t="shared" si="116"/>
        <v>0</v>
      </c>
      <c r="E3423" s="637">
        <f t="shared" si="117"/>
        <v>0</v>
      </c>
    </row>
    <row r="3424" spans="1:5">
      <c r="A3424">
        <v>52313</v>
      </c>
      <c r="B3424">
        <v>1200</v>
      </c>
      <c r="C3424" s="455">
        <v>1E-3</v>
      </c>
      <c r="D3424" s="637">
        <f t="shared" si="116"/>
        <v>2.2598039215686277E-3</v>
      </c>
      <c r="E3424" s="637">
        <f t="shared" si="117"/>
        <v>3.8725490196078443E-3</v>
      </c>
    </row>
    <row r="3425" spans="1:5">
      <c r="A3425">
        <v>52313</v>
      </c>
      <c r="B3425">
        <v>1300</v>
      </c>
      <c r="C3425" s="455">
        <v>0</v>
      </c>
      <c r="D3425" s="637">
        <f t="shared" si="116"/>
        <v>0</v>
      </c>
      <c r="E3425" s="637">
        <f t="shared" si="117"/>
        <v>0</v>
      </c>
    </row>
    <row r="3426" spans="1:5">
      <c r="A3426">
        <v>52313</v>
      </c>
      <c r="B3426">
        <v>1400</v>
      </c>
      <c r="C3426" s="455">
        <v>0</v>
      </c>
      <c r="D3426" s="637">
        <f t="shared" si="116"/>
        <v>0</v>
      </c>
      <c r="E3426" s="637">
        <f t="shared" si="117"/>
        <v>0</v>
      </c>
    </row>
    <row r="3427" spans="1:5">
      <c r="A3427">
        <v>52313</v>
      </c>
      <c r="B3427">
        <v>1500</v>
      </c>
      <c r="C3427" s="455">
        <v>0</v>
      </c>
      <c r="D3427" s="637">
        <f t="shared" si="116"/>
        <v>0</v>
      </c>
      <c r="E3427" s="637">
        <f t="shared" si="117"/>
        <v>0</v>
      </c>
    </row>
    <row r="3428" spans="1:5">
      <c r="A3428">
        <v>52313</v>
      </c>
      <c r="B3428">
        <v>1600</v>
      </c>
      <c r="C3428" s="455">
        <v>0</v>
      </c>
      <c r="D3428" s="637">
        <f t="shared" si="116"/>
        <v>0</v>
      </c>
      <c r="E3428" s="637">
        <f t="shared" si="117"/>
        <v>0</v>
      </c>
    </row>
    <row r="3429" spans="1:5">
      <c r="A3429">
        <v>52313</v>
      </c>
      <c r="B3429">
        <v>1700</v>
      </c>
      <c r="C3429" s="455">
        <v>0</v>
      </c>
      <c r="D3429" s="637">
        <f t="shared" si="116"/>
        <v>0</v>
      </c>
      <c r="E3429" s="637">
        <f t="shared" si="117"/>
        <v>0</v>
      </c>
    </row>
    <row r="3430" spans="1:5">
      <c r="A3430">
        <v>52313</v>
      </c>
      <c r="B3430">
        <v>1800</v>
      </c>
      <c r="C3430" s="455">
        <v>0</v>
      </c>
      <c r="D3430" s="637">
        <f t="shared" si="116"/>
        <v>0</v>
      </c>
      <c r="E3430" s="637">
        <f t="shared" si="117"/>
        <v>0</v>
      </c>
    </row>
    <row r="3431" spans="1:5">
      <c r="A3431">
        <v>52313</v>
      </c>
      <c r="B3431">
        <v>1900</v>
      </c>
      <c r="C3431" s="455">
        <v>1.302</v>
      </c>
      <c r="D3431" s="637">
        <f t="shared" si="116"/>
        <v>2.9422647058823532</v>
      </c>
      <c r="E3431" s="637">
        <f t="shared" si="117"/>
        <v>5.0420588235294135</v>
      </c>
    </row>
    <row r="3432" spans="1:5">
      <c r="A3432">
        <v>52313</v>
      </c>
      <c r="B3432">
        <v>2000</v>
      </c>
      <c r="C3432" s="455">
        <v>10.291</v>
      </c>
      <c r="D3432" s="637">
        <f t="shared" si="116"/>
        <v>23.255642156862748</v>
      </c>
      <c r="E3432" s="637">
        <f t="shared" si="117"/>
        <v>39.852401960784327</v>
      </c>
    </row>
    <row r="3433" spans="1:5">
      <c r="A3433">
        <v>52313</v>
      </c>
      <c r="B3433">
        <v>2100</v>
      </c>
      <c r="C3433" s="455">
        <v>7.46</v>
      </c>
      <c r="D3433" s="637">
        <f t="shared" si="116"/>
        <v>16.858137254901962</v>
      </c>
      <c r="E3433" s="637">
        <f t="shared" si="117"/>
        <v>28.889215686274518</v>
      </c>
    </row>
    <row r="3434" spans="1:5">
      <c r="A3434">
        <v>52313</v>
      </c>
      <c r="B3434">
        <v>2200</v>
      </c>
      <c r="C3434" s="455">
        <v>8.0139999999999993</v>
      </c>
      <c r="D3434" s="637">
        <f t="shared" si="116"/>
        <v>18.110068627450982</v>
      </c>
      <c r="E3434" s="637">
        <f t="shared" si="117"/>
        <v>31.034607843137263</v>
      </c>
    </row>
    <row r="3435" spans="1:5">
      <c r="A3435">
        <v>52313</v>
      </c>
      <c r="B3435">
        <v>2300</v>
      </c>
      <c r="C3435" s="455">
        <v>7.6189999999999998</v>
      </c>
      <c r="D3435" s="637">
        <f t="shared" si="116"/>
        <v>17.217446078431376</v>
      </c>
      <c r="E3435" s="637">
        <f t="shared" si="117"/>
        <v>29.504950980392167</v>
      </c>
    </row>
    <row r="3436" spans="1:5">
      <c r="A3436">
        <v>52313</v>
      </c>
      <c r="B3436">
        <v>2400</v>
      </c>
      <c r="C3436" s="455">
        <v>8.0679999999999996</v>
      </c>
      <c r="D3436" s="637">
        <f t="shared" si="116"/>
        <v>18.232098039215689</v>
      </c>
      <c r="E3436" s="637">
        <f t="shared" si="117"/>
        <v>31.243725490196088</v>
      </c>
    </row>
    <row r="3437" spans="1:5">
      <c r="A3437">
        <v>52413</v>
      </c>
      <c r="B3437">
        <v>100</v>
      </c>
      <c r="C3437" s="455">
        <v>8.1310000000000002</v>
      </c>
      <c r="D3437" s="637">
        <f t="shared" si="116"/>
        <v>18.374465686274512</v>
      </c>
      <c r="E3437" s="637">
        <f t="shared" si="117"/>
        <v>31.487696078431384</v>
      </c>
    </row>
    <row r="3438" spans="1:5">
      <c r="A3438">
        <v>52413</v>
      </c>
      <c r="B3438">
        <v>200</v>
      </c>
      <c r="C3438" s="455">
        <v>7.8079999999999998</v>
      </c>
      <c r="D3438" s="637">
        <f t="shared" si="116"/>
        <v>17.644549019607847</v>
      </c>
      <c r="E3438" s="637">
        <f t="shared" si="117"/>
        <v>30.236862745098051</v>
      </c>
    </row>
    <row r="3439" spans="1:5">
      <c r="A3439">
        <v>52413</v>
      </c>
      <c r="B3439">
        <v>300</v>
      </c>
      <c r="C3439" s="455">
        <v>7.86</v>
      </c>
      <c r="D3439" s="637">
        <f t="shared" si="116"/>
        <v>17.762058823529415</v>
      </c>
      <c r="E3439" s="637">
        <f t="shared" si="117"/>
        <v>30.438235294117661</v>
      </c>
    </row>
    <row r="3440" spans="1:5">
      <c r="A3440">
        <v>52413</v>
      </c>
      <c r="B3440">
        <v>400</v>
      </c>
      <c r="C3440" s="455">
        <v>7.7110000000000003</v>
      </c>
      <c r="D3440" s="637">
        <f t="shared" si="116"/>
        <v>17.425348039215688</v>
      </c>
      <c r="E3440" s="637">
        <f t="shared" si="117"/>
        <v>29.861225490196087</v>
      </c>
    </row>
    <row r="3441" spans="1:5">
      <c r="A3441">
        <v>52413</v>
      </c>
      <c r="B3441">
        <v>500</v>
      </c>
      <c r="C3441" s="455">
        <v>8.6359999999999992</v>
      </c>
      <c r="D3441" s="637">
        <f t="shared" si="116"/>
        <v>19.515666666666664</v>
      </c>
      <c r="E3441" s="637">
        <f t="shared" si="117"/>
        <v>33.443333333333335</v>
      </c>
    </row>
    <row r="3442" spans="1:5">
      <c r="A3442">
        <v>52413</v>
      </c>
      <c r="B3442">
        <v>600</v>
      </c>
      <c r="C3442" s="455">
        <v>0.27800000000000002</v>
      </c>
      <c r="D3442" s="637">
        <f t="shared" si="116"/>
        <v>0.62822549019607854</v>
      </c>
      <c r="E3442" s="637">
        <f t="shared" si="117"/>
        <v>1.0765686274509807</v>
      </c>
    </row>
    <row r="3443" spans="1:5">
      <c r="A3443">
        <v>52413</v>
      </c>
      <c r="B3443">
        <v>700</v>
      </c>
      <c r="C3443" s="455">
        <v>2E-3</v>
      </c>
      <c r="D3443" s="637">
        <f t="shared" si="116"/>
        <v>4.5196078431372555E-3</v>
      </c>
      <c r="E3443" s="637">
        <f t="shared" si="117"/>
        <v>7.7450980392156886E-3</v>
      </c>
    </row>
    <row r="3444" spans="1:5">
      <c r="A3444">
        <v>52413</v>
      </c>
      <c r="B3444">
        <v>800</v>
      </c>
      <c r="C3444" s="455">
        <v>0</v>
      </c>
      <c r="D3444" s="637">
        <f t="shared" si="116"/>
        <v>0</v>
      </c>
      <c r="E3444" s="637">
        <f t="shared" si="117"/>
        <v>0</v>
      </c>
    </row>
    <row r="3445" spans="1:5">
      <c r="A3445">
        <v>52413</v>
      </c>
      <c r="B3445">
        <v>900</v>
      </c>
      <c r="C3445" s="455">
        <v>1E-3</v>
      </c>
      <c r="D3445" s="637">
        <f t="shared" si="116"/>
        <v>2.2598039215686277E-3</v>
      </c>
      <c r="E3445" s="637">
        <f t="shared" si="117"/>
        <v>3.8725490196078443E-3</v>
      </c>
    </row>
    <row r="3446" spans="1:5">
      <c r="A3446">
        <v>52413</v>
      </c>
      <c r="B3446">
        <v>1000</v>
      </c>
      <c r="C3446" s="455">
        <v>1E-3</v>
      </c>
      <c r="D3446" s="637">
        <f t="shared" si="116"/>
        <v>2.2598039215686277E-3</v>
      </c>
      <c r="E3446" s="637">
        <f t="shared" si="117"/>
        <v>3.8725490196078443E-3</v>
      </c>
    </row>
    <row r="3447" spans="1:5">
      <c r="A3447">
        <v>52413</v>
      </c>
      <c r="B3447">
        <v>1100</v>
      </c>
      <c r="C3447" s="455">
        <v>2.5000000000000001E-2</v>
      </c>
      <c r="D3447" s="637">
        <f t="shared" si="116"/>
        <v>5.6495098039215694E-2</v>
      </c>
      <c r="E3447" s="637">
        <f t="shared" si="117"/>
        <v>9.6813725490196109E-2</v>
      </c>
    </row>
    <row r="3448" spans="1:5">
      <c r="A3448">
        <v>52413</v>
      </c>
      <c r="B3448">
        <v>1200</v>
      </c>
      <c r="C3448" s="455">
        <v>0</v>
      </c>
      <c r="D3448" s="637">
        <f t="shared" si="116"/>
        <v>0</v>
      </c>
      <c r="E3448" s="637">
        <f t="shared" si="117"/>
        <v>0</v>
      </c>
    </row>
    <row r="3449" spans="1:5">
      <c r="A3449">
        <v>52413</v>
      </c>
      <c r="B3449">
        <v>1300</v>
      </c>
      <c r="C3449" s="455">
        <v>0</v>
      </c>
      <c r="D3449" s="637">
        <f t="shared" si="116"/>
        <v>0</v>
      </c>
      <c r="E3449" s="637">
        <f t="shared" si="117"/>
        <v>0</v>
      </c>
    </row>
    <row r="3450" spans="1:5">
      <c r="A3450">
        <v>52413</v>
      </c>
      <c r="B3450">
        <v>1400</v>
      </c>
      <c r="C3450" s="455">
        <v>0</v>
      </c>
      <c r="D3450" s="637">
        <f t="shared" si="116"/>
        <v>0</v>
      </c>
      <c r="E3450" s="637">
        <f t="shared" si="117"/>
        <v>0</v>
      </c>
    </row>
    <row r="3451" spans="1:5">
      <c r="A3451">
        <v>52413</v>
      </c>
      <c r="B3451">
        <v>1500</v>
      </c>
      <c r="C3451" s="455">
        <v>0</v>
      </c>
      <c r="D3451" s="637">
        <f t="shared" si="116"/>
        <v>0</v>
      </c>
      <c r="E3451" s="637">
        <f t="shared" si="117"/>
        <v>0</v>
      </c>
    </row>
    <row r="3452" spans="1:5">
      <c r="A3452">
        <v>52413</v>
      </c>
      <c r="B3452">
        <v>1600</v>
      </c>
      <c r="C3452" s="455">
        <v>0</v>
      </c>
      <c r="D3452" s="637">
        <f t="shared" si="116"/>
        <v>0</v>
      </c>
      <c r="E3452" s="637">
        <f t="shared" si="117"/>
        <v>0</v>
      </c>
    </row>
    <row r="3453" spans="1:5">
      <c r="A3453">
        <v>52413</v>
      </c>
      <c r="B3453">
        <v>1700</v>
      </c>
      <c r="C3453" s="455">
        <v>0</v>
      </c>
      <c r="D3453" s="637">
        <f t="shared" si="116"/>
        <v>0</v>
      </c>
      <c r="E3453" s="637">
        <f t="shared" si="117"/>
        <v>0</v>
      </c>
    </row>
    <row r="3454" spans="1:5">
      <c r="A3454">
        <v>52413</v>
      </c>
      <c r="B3454">
        <v>1800</v>
      </c>
      <c r="C3454" s="455">
        <v>0</v>
      </c>
      <c r="D3454" s="637">
        <f t="shared" si="116"/>
        <v>0</v>
      </c>
      <c r="E3454" s="637">
        <f t="shared" si="117"/>
        <v>0</v>
      </c>
    </row>
    <row r="3455" spans="1:5">
      <c r="A3455">
        <v>52413</v>
      </c>
      <c r="B3455">
        <v>1900</v>
      </c>
      <c r="C3455" s="455">
        <v>0</v>
      </c>
      <c r="D3455" s="637">
        <f t="shared" si="116"/>
        <v>0</v>
      </c>
      <c r="E3455" s="637">
        <f t="shared" si="117"/>
        <v>0</v>
      </c>
    </row>
    <row r="3456" spans="1:5">
      <c r="A3456">
        <v>52413</v>
      </c>
      <c r="B3456">
        <v>2000</v>
      </c>
      <c r="C3456" s="455">
        <v>4.5279999999999996</v>
      </c>
      <c r="D3456" s="637">
        <f t="shared" si="116"/>
        <v>10.232392156862744</v>
      </c>
      <c r="E3456" s="637">
        <f t="shared" si="117"/>
        <v>17.534901960784318</v>
      </c>
    </row>
    <row r="3457" spans="1:5">
      <c r="A3457">
        <v>52413</v>
      </c>
      <c r="B3457">
        <v>2100</v>
      </c>
      <c r="C3457" s="455">
        <v>7.4249999999999998</v>
      </c>
      <c r="D3457" s="637">
        <f t="shared" si="116"/>
        <v>16.779044117647061</v>
      </c>
      <c r="E3457" s="637">
        <f t="shared" si="117"/>
        <v>28.753676470588246</v>
      </c>
    </row>
    <row r="3458" spans="1:5">
      <c r="A3458">
        <v>52413</v>
      </c>
      <c r="B3458">
        <v>2200</v>
      </c>
      <c r="C3458" s="455">
        <v>7.2119999999999997</v>
      </c>
      <c r="D3458" s="637">
        <f t="shared" si="116"/>
        <v>16.297705882352943</v>
      </c>
      <c r="E3458" s="637">
        <f t="shared" si="117"/>
        <v>27.928823529411773</v>
      </c>
    </row>
    <row r="3459" spans="1:5">
      <c r="A3459">
        <v>52413</v>
      </c>
      <c r="B3459">
        <v>2300</v>
      </c>
      <c r="C3459" s="455">
        <v>7.0419999999999998</v>
      </c>
      <c r="D3459" s="637">
        <f t="shared" si="116"/>
        <v>15.913539215686278</v>
      </c>
      <c r="E3459" s="637">
        <f t="shared" si="117"/>
        <v>27.270490196078441</v>
      </c>
    </row>
    <row r="3460" spans="1:5">
      <c r="A3460">
        <v>52413</v>
      </c>
      <c r="B3460">
        <v>2400</v>
      </c>
      <c r="C3460" s="455">
        <v>7.556</v>
      </c>
      <c r="D3460" s="637">
        <f t="shared" si="116"/>
        <v>17.07507843137255</v>
      </c>
      <c r="E3460" s="637">
        <f t="shared" si="117"/>
        <v>29.260980392156871</v>
      </c>
    </row>
    <row r="3461" spans="1:5">
      <c r="A3461">
        <v>52513</v>
      </c>
      <c r="B3461">
        <v>100</v>
      </c>
      <c r="C3461" s="455">
        <v>7.7770000000000001</v>
      </c>
      <c r="D3461" s="637">
        <f t="shared" si="116"/>
        <v>17.574495098039218</v>
      </c>
      <c r="E3461" s="637">
        <f t="shared" si="117"/>
        <v>30.116813725490207</v>
      </c>
    </row>
    <row r="3462" spans="1:5">
      <c r="A3462">
        <v>52513</v>
      </c>
      <c r="B3462">
        <v>200</v>
      </c>
      <c r="C3462" s="455">
        <v>7.6340000000000003</v>
      </c>
      <c r="D3462" s="637">
        <f t="shared" ref="D3462:D3525" si="118">(C3462/(MAX($C$2885:$C$3628)))*$W$9</f>
        <v>17.251343137254903</v>
      </c>
      <c r="E3462" s="637">
        <f t="shared" ref="E3462:E3525" si="119">(C3462/(MAX($C$2885:$C$3628)))*$P$9</f>
        <v>29.563039215686285</v>
      </c>
    </row>
    <row r="3463" spans="1:5">
      <c r="A3463">
        <v>52513</v>
      </c>
      <c r="B3463">
        <v>300</v>
      </c>
      <c r="C3463" s="455">
        <v>7.8520000000000003</v>
      </c>
      <c r="D3463" s="637">
        <f t="shared" si="118"/>
        <v>17.743980392156868</v>
      </c>
      <c r="E3463" s="637">
        <f t="shared" si="119"/>
        <v>30.407254901960798</v>
      </c>
    </row>
    <row r="3464" spans="1:5">
      <c r="A3464">
        <v>52513</v>
      </c>
      <c r="B3464">
        <v>400</v>
      </c>
      <c r="C3464" s="455">
        <v>7.7990000000000004</v>
      </c>
      <c r="D3464" s="637">
        <f t="shared" si="118"/>
        <v>17.624210784313728</v>
      </c>
      <c r="E3464" s="637">
        <f t="shared" si="119"/>
        <v>30.20200980392158</v>
      </c>
    </row>
    <row r="3465" spans="1:5">
      <c r="A3465">
        <v>52513</v>
      </c>
      <c r="B3465">
        <v>500</v>
      </c>
      <c r="C3465" s="455">
        <v>8.6880000000000006</v>
      </c>
      <c r="D3465" s="637">
        <f t="shared" si="118"/>
        <v>19.633176470588239</v>
      </c>
      <c r="E3465" s="637">
        <f t="shared" si="119"/>
        <v>33.644705882352952</v>
      </c>
    </row>
    <row r="3466" spans="1:5">
      <c r="A3466">
        <v>52513</v>
      </c>
      <c r="B3466">
        <v>600</v>
      </c>
      <c r="C3466" s="455">
        <v>0.30299999999999999</v>
      </c>
      <c r="D3466" s="637">
        <f t="shared" si="118"/>
        <v>0.68472058823529414</v>
      </c>
      <c r="E3466" s="637">
        <f t="shared" si="119"/>
        <v>1.1733823529411769</v>
      </c>
    </row>
    <row r="3467" spans="1:5">
      <c r="A3467">
        <v>52513</v>
      </c>
      <c r="B3467">
        <v>700</v>
      </c>
      <c r="C3467" s="455">
        <v>0</v>
      </c>
      <c r="D3467" s="637">
        <f t="shared" si="118"/>
        <v>0</v>
      </c>
      <c r="E3467" s="637">
        <f t="shared" si="119"/>
        <v>0</v>
      </c>
    </row>
    <row r="3468" spans="1:5">
      <c r="A3468">
        <v>52513</v>
      </c>
      <c r="B3468">
        <v>800</v>
      </c>
      <c r="C3468" s="455">
        <v>0</v>
      </c>
      <c r="D3468" s="637">
        <f t="shared" si="118"/>
        <v>0</v>
      </c>
      <c r="E3468" s="637">
        <f t="shared" si="119"/>
        <v>0</v>
      </c>
    </row>
    <row r="3469" spans="1:5">
      <c r="A3469">
        <v>52513</v>
      </c>
      <c r="B3469">
        <v>900</v>
      </c>
      <c r="C3469" s="455">
        <v>0</v>
      </c>
      <c r="D3469" s="637">
        <f t="shared" si="118"/>
        <v>0</v>
      </c>
      <c r="E3469" s="637">
        <f t="shared" si="119"/>
        <v>0</v>
      </c>
    </row>
    <row r="3470" spans="1:5">
      <c r="A3470">
        <v>52513</v>
      </c>
      <c r="B3470">
        <v>1000</v>
      </c>
      <c r="C3470" s="455">
        <v>0</v>
      </c>
      <c r="D3470" s="637">
        <f t="shared" si="118"/>
        <v>0</v>
      </c>
      <c r="E3470" s="637">
        <f t="shared" si="119"/>
        <v>0</v>
      </c>
    </row>
    <row r="3471" spans="1:5">
      <c r="A3471">
        <v>52513</v>
      </c>
      <c r="B3471">
        <v>1100</v>
      </c>
      <c r="C3471" s="455">
        <v>0</v>
      </c>
      <c r="D3471" s="637">
        <f t="shared" si="118"/>
        <v>0</v>
      </c>
      <c r="E3471" s="637">
        <f t="shared" si="119"/>
        <v>0</v>
      </c>
    </row>
    <row r="3472" spans="1:5">
      <c r="A3472">
        <v>52513</v>
      </c>
      <c r="B3472">
        <v>1200</v>
      </c>
      <c r="C3472" s="455">
        <v>0</v>
      </c>
      <c r="D3472" s="637">
        <f t="shared" si="118"/>
        <v>0</v>
      </c>
      <c r="E3472" s="637">
        <f t="shared" si="119"/>
        <v>0</v>
      </c>
    </row>
    <row r="3473" spans="1:5">
      <c r="A3473">
        <v>52513</v>
      </c>
      <c r="B3473">
        <v>1300</v>
      </c>
      <c r="C3473" s="455">
        <v>0</v>
      </c>
      <c r="D3473" s="637">
        <f t="shared" si="118"/>
        <v>0</v>
      </c>
      <c r="E3473" s="637">
        <f t="shared" si="119"/>
        <v>0</v>
      </c>
    </row>
    <row r="3474" spans="1:5">
      <c r="A3474">
        <v>52513</v>
      </c>
      <c r="B3474">
        <v>1400</v>
      </c>
      <c r="C3474" s="455">
        <v>0</v>
      </c>
      <c r="D3474" s="637">
        <f t="shared" si="118"/>
        <v>0</v>
      </c>
      <c r="E3474" s="637">
        <f t="shared" si="119"/>
        <v>0</v>
      </c>
    </row>
    <row r="3475" spans="1:5">
      <c r="A3475">
        <v>52513</v>
      </c>
      <c r="B3475">
        <v>1500</v>
      </c>
      <c r="C3475" s="455">
        <v>0</v>
      </c>
      <c r="D3475" s="637">
        <f t="shared" si="118"/>
        <v>0</v>
      </c>
      <c r="E3475" s="637">
        <f t="shared" si="119"/>
        <v>0</v>
      </c>
    </row>
    <row r="3476" spans="1:5">
      <c r="A3476">
        <v>52513</v>
      </c>
      <c r="B3476">
        <v>1600</v>
      </c>
      <c r="C3476" s="455">
        <v>0</v>
      </c>
      <c r="D3476" s="637">
        <f t="shared" si="118"/>
        <v>0</v>
      </c>
      <c r="E3476" s="637">
        <f t="shared" si="119"/>
        <v>0</v>
      </c>
    </row>
    <row r="3477" spans="1:5">
      <c r="A3477">
        <v>52513</v>
      </c>
      <c r="B3477">
        <v>1700</v>
      </c>
      <c r="C3477" s="455">
        <v>0</v>
      </c>
      <c r="D3477" s="637">
        <f t="shared" si="118"/>
        <v>0</v>
      </c>
      <c r="E3477" s="637">
        <f t="shared" si="119"/>
        <v>0</v>
      </c>
    </row>
    <row r="3478" spans="1:5">
      <c r="A3478">
        <v>52513</v>
      </c>
      <c r="B3478">
        <v>1800</v>
      </c>
      <c r="C3478" s="455">
        <v>0</v>
      </c>
      <c r="D3478" s="637">
        <f t="shared" si="118"/>
        <v>0</v>
      </c>
      <c r="E3478" s="637">
        <f t="shared" si="119"/>
        <v>0</v>
      </c>
    </row>
    <row r="3479" spans="1:5">
      <c r="A3479">
        <v>52513</v>
      </c>
      <c r="B3479">
        <v>1900</v>
      </c>
      <c r="C3479" s="455">
        <v>0</v>
      </c>
      <c r="D3479" s="637">
        <f t="shared" si="118"/>
        <v>0</v>
      </c>
      <c r="E3479" s="637">
        <f t="shared" si="119"/>
        <v>0</v>
      </c>
    </row>
    <row r="3480" spans="1:5">
      <c r="A3480">
        <v>52513</v>
      </c>
      <c r="B3480">
        <v>2000</v>
      </c>
      <c r="C3480" s="455">
        <v>4.4800000000000004</v>
      </c>
      <c r="D3480" s="637">
        <f t="shared" si="118"/>
        <v>10.123921568627452</v>
      </c>
      <c r="E3480" s="637">
        <f t="shared" si="119"/>
        <v>17.349019607843143</v>
      </c>
    </row>
    <row r="3481" spans="1:5">
      <c r="A3481">
        <v>52513</v>
      </c>
      <c r="B3481">
        <v>2100</v>
      </c>
      <c r="C3481" s="455">
        <v>7.7430000000000003</v>
      </c>
      <c r="D3481" s="637">
        <f t="shared" si="118"/>
        <v>17.497661764705885</v>
      </c>
      <c r="E3481" s="637">
        <f t="shared" si="119"/>
        <v>29.985147058823539</v>
      </c>
    </row>
    <row r="3482" spans="1:5">
      <c r="A3482">
        <v>52513</v>
      </c>
      <c r="B3482">
        <v>2200</v>
      </c>
      <c r="C3482" s="455">
        <v>7.1920000000000002</v>
      </c>
      <c r="D3482" s="637">
        <f t="shared" si="118"/>
        <v>16.252509803921573</v>
      </c>
      <c r="E3482" s="637">
        <f t="shared" si="119"/>
        <v>27.851372549019619</v>
      </c>
    </row>
    <row r="3483" spans="1:5">
      <c r="A3483">
        <v>52513</v>
      </c>
      <c r="B3483">
        <v>2300</v>
      </c>
      <c r="C3483" s="455">
        <v>7.0629999999999997</v>
      </c>
      <c r="D3483" s="637">
        <f t="shared" si="118"/>
        <v>15.960995098039216</v>
      </c>
      <c r="E3483" s="637">
        <f t="shared" si="119"/>
        <v>27.351813725490203</v>
      </c>
    </row>
    <row r="3484" spans="1:5">
      <c r="A3484">
        <v>52513</v>
      </c>
      <c r="B3484">
        <v>2400</v>
      </c>
      <c r="C3484" s="455">
        <v>7.3419999999999996</v>
      </c>
      <c r="D3484" s="637">
        <f t="shared" si="118"/>
        <v>16.591480392156864</v>
      </c>
      <c r="E3484" s="637">
        <f t="shared" si="119"/>
        <v>28.432254901960793</v>
      </c>
    </row>
    <row r="3485" spans="1:5">
      <c r="A3485">
        <v>52613</v>
      </c>
      <c r="B3485">
        <v>100</v>
      </c>
      <c r="C3485" s="455">
        <v>7.1459999999999999</v>
      </c>
      <c r="D3485" s="637">
        <f t="shared" si="118"/>
        <v>16.148558823529413</v>
      </c>
      <c r="E3485" s="637">
        <f t="shared" si="119"/>
        <v>27.673235294117656</v>
      </c>
    </row>
    <row r="3486" spans="1:5">
      <c r="A3486">
        <v>52613</v>
      </c>
      <c r="B3486">
        <v>200</v>
      </c>
      <c r="C3486" s="455">
        <v>7.4950000000000001</v>
      </c>
      <c r="D3486" s="637">
        <f t="shared" si="118"/>
        <v>16.937230392156863</v>
      </c>
      <c r="E3486" s="637">
        <f t="shared" si="119"/>
        <v>29.024754901960794</v>
      </c>
    </row>
    <row r="3487" spans="1:5">
      <c r="A3487">
        <v>52613</v>
      </c>
      <c r="B3487">
        <v>300</v>
      </c>
      <c r="C3487" s="455">
        <v>7.7850000000000001</v>
      </c>
      <c r="D3487" s="637">
        <f t="shared" si="118"/>
        <v>17.592573529411766</v>
      </c>
      <c r="E3487" s="637">
        <f t="shared" si="119"/>
        <v>30.147794117647067</v>
      </c>
    </row>
    <row r="3488" spans="1:5">
      <c r="A3488">
        <v>52613</v>
      </c>
      <c r="B3488">
        <v>400</v>
      </c>
      <c r="C3488" s="455">
        <v>7.7110000000000003</v>
      </c>
      <c r="D3488" s="637">
        <f t="shared" si="118"/>
        <v>17.425348039215688</v>
      </c>
      <c r="E3488" s="637">
        <f t="shared" si="119"/>
        <v>29.861225490196087</v>
      </c>
    </row>
    <row r="3489" spans="1:5">
      <c r="A3489">
        <v>52613</v>
      </c>
      <c r="B3489">
        <v>500</v>
      </c>
      <c r="C3489" s="455">
        <v>8.4920000000000009</v>
      </c>
      <c r="D3489" s="637">
        <f t="shared" si="118"/>
        <v>19.190254901960788</v>
      </c>
      <c r="E3489" s="637">
        <f t="shared" si="119"/>
        <v>32.885686274509816</v>
      </c>
    </row>
    <row r="3490" spans="1:5">
      <c r="A3490">
        <v>52613</v>
      </c>
      <c r="B3490">
        <v>600</v>
      </c>
      <c r="C3490" s="455">
        <v>0.28999999999999998</v>
      </c>
      <c r="D3490" s="637">
        <f t="shared" si="118"/>
        <v>0.65534313725490201</v>
      </c>
      <c r="E3490" s="637">
        <f t="shared" si="119"/>
        <v>1.1230392156862747</v>
      </c>
    </row>
    <row r="3491" spans="1:5">
      <c r="A3491">
        <v>52613</v>
      </c>
      <c r="B3491">
        <v>700</v>
      </c>
      <c r="C3491" s="455">
        <v>0</v>
      </c>
      <c r="D3491" s="637">
        <f t="shared" si="118"/>
        <v>0</v>
      </c>
      <c r="E3491" s="637">
        <f t="shared" si="119"/>
        <v>0</v>
      </c>
    </row>
    <row r="3492" spans="1:5">
      <c r="A3492">
        <v>52613</v>
      </c>
      <c r="B3492">
        <v>800</v>
      </c>
      <c r="C3492" s="455">
        <v>0</v>
      </c>
      <c r="D3492" s="637">
        <f t="shared" si="118"/>
        <v>0</v>
      </c>
      <c r="E3492" s="637">
        <f t="shared" si="119"/>
        <v>0</v>
      </c>
    </row>
    <row r="3493" spans="1:5">
      <c r="A3493">
        <v>52613</v>
      </c>
      <c r="B3493">
        <v>900</v>
      </c>
      <c r="C3493" s="455">
        <v>0</v>
      </c>
      <c r="D3493" s="637">
        <f t="shared" si="118"/>
        <v>0</v>
      </c>
      <c r="E3493" s="637">
        <f t="shared" si="119"/>
        <v>0</v>
      </c>
    </row>
    <row r="3494" spans="1:5">
      <c r="A3494">
        <v>52613</v>
      </c>
      <c r="B3494">
        <v>1000</v>
      </c>
      <c r="C3494" s="455">
        <v>0</v>
      </c>
      <c r="D3494" s="637">
        <f t="shared" si="118"/>
        <v>0</v>
      </c>
      <c r="E3494" s="637">
        <f t="shared" si="119"/>
        <v>0</v>
      </c>
    </row>
    <row r="3495" spans="1:5">
      <c r="A3495">
        <v>52613</v>
      </c>
      <c r="B3495">
        <v>1100</v>
      </c>
      <c r="C3495" s="455">
        <v>0</v>
      </c>
      <c r="D3495" s="637">
        <f t="shared" si="118"/>
        <v>0</v>
      </c>
      <c r="E3495" s="637">
        <f t="shared" si="119"/>
        <v>0</v>
      </c>
    </row>
    <row r="3496" spans="1:5">
      <c r="A3496">
        <v>52613</v>
      </c>
      <c r="B3496">
        <v>1200</v>
      </c>
      <c r="C3496" s="455">
        <v>1E-3</v>
      </c>
      <c r="D3496" s="637">
        <f t="shared" si="118"/>
        <v>2.2598039215686277E-3</v>
      </c>
      <c r="E3496" s="637">
        <f t="shared" si="119"/>
        <v>3.8725490196078443E-3</v>
      </c>
    </row>
    <row r="3497" spans="1:5">
      <c r="A3497">
        <v>52613</v>
      </c>
      <c r="B3497">
        <v>1300</v>
      </c>
      <c r="C3497" s="455">
        <v>0</v>
      </c>
      <c r="D3497" s="637">
        <f t="shared" si="118"/>
        <v>0</v>
      </c>
      <c r="E3497" s="637">
        <f t="shared" si="119"/>
        <v>0</v>
      </c>
    </row>
    <row r="3498" spans="1:5">
      <c r="A3498">
        <v>52613</v>
      </c>
      <c r="B3498">
        <v>1400</v>
      </c>
      <c r="C3498" s="455">
        <v>0</v>
      </c>
      <c r="D3498" s="637">
        <f t="shared" si="118"/>
        <v>0</v>
      </c>
      <c r="E3498" s="637">
        <f t="shared" si="119"/>
        <v>0</v>
      </c>
    </row>
    <row r="3499" spans="1:5">
      <c r="A3499">
        <v>52613</v>
      </c>
      <c r="B3499">
        <v>1500</v>
      </c>
      <c r="C3499" s="455">
        <v>0</v>
      </c>
      <c r="D3499" s="637">
        <f t="shared" si="118"/>
        <v>0</v>
      </c>
      <c r="E3499" s="637">
        <f t="shared" si="119"/>
        <v>0</v>
      </c>
    </row>
    <row r="3500" spans="1:5">
      <c r="A3500">
        <v>52613</v>
      </c>
      <c r="B3500">
        <v>1600</v>
      </c>
      <c r="C3500" s="455">
        <v>1E-3</v>
      </c>
      <c r="D3500" s="637">
        <f t="shared" si="118"/>
        <v>2.2598039215686277E-3</v>
      </c>
      <c r="E3500" s="637">
        <f t="shared" si="119"/>
        <v>3.8725490196078443E-3</v>
      </c>
    </row>
    <row r="3501" spans="1:5">
      <c r="A3501">
        <v>52613</v>
      </c>
      <c r="B3501">
        <v>1700</v>
      </c>
      <c r="C3501" s="455">
        <v>0</v>
      </c>
      <c r="D3501" s="637">
        <f t="shared" si="118"/>
        <v>0</v>
      </c>
      <c r="E3501" s="637">
        <f t="shared" si="119"/>
        <v>0</v>
      </c>
    </row>
    <row r="3502" spans="1:5">
      <c r="A3502">
        <v>52613</v>
      </c>
      <c r="B3502">
        <v>1800</v>
      </c>
      <c r="C3502" s="455">
        <v>0</v>
      </c>
      <c r="D3502" s="637">
        <f t="shared" si="118"/>
        <v>0</v>
      </c>
      <c r="E3502" s="637">
        <f t="shared" si="119"/>
        <v>0</v>
      </c>
    </row>
    <row r="3503" spans="1:5">
      <c r="A3503">
        <v>52613</v>
      </c>
      <c r="B3503">
        <v>1900</v>
      </c>
      <c r="C3503" s="455">
        <v>0</v>
      </c>
      <c r="D3503" s="637">
        <f t="shared" si="118"/>
        <v>0</v>
      </c>
      <c r="E3503" s="637">
        <f t="shared" si="119"/>
        <v>0</v>
      </c>
    </row>
    <row r="3504" spans="1:5">
      <c r="A3504">
        <v>52613</v>
      </c>
      <c r="B3504">
        <v>2000</v>
      </c>
      <c r="C3504" s="455">
        <v>4.165</v>
      </c>
      <c r="D3504" s="637">
        <f t="shared" si="118"/>
        <v>9.4120833333333334</v>
      </c>
      <c r="E3504" s="637">
        <f t="shared" si="119"/>
        <v>16.12916666666667</v>
      </c>
    </row>
    <row r="3505" spans="1:5">
      <c r="A3505">
        <v>52613</v>
      </c>
      <c r="B3505">
        <v>2100</v>
      </c>
      <c r="C3505" s="455">
        <v>7.9009999999999998</v>
      </c>
      <c r="D3505" s="637">
        <f t="shared" si="118"/>
        <v>17.854710784313728</v>
      </c>
      <c r="E3505" s="637">
        <f t="shared" si="119"/>
        <v>30.59700980392158</v>
      </c>
    </row>
    <row r="3506" spans="1:5">
      <c r="A3506">
        <v>52613</v>
      </c>
      <c r="B3506">
        <v>2200</v>
      </c>
      <c r="C3506" s="455">
        <v>7.1219999999999999</v>
      </c>
      <c r="D3506" s="637">
        <f t="shared" si="118"/>
        <v>16.094323529411767</v>
      </c>
      <c r="E3506" s="637">
        <f t="shared" si="119"/>
        <v>27.580294117647068</v>
      </c>
    </row>
    <row r="3507" spans="1:5">
      <c r="A3507">
        <v>52613</v>
      </c>
      <c r="B3507">
        <v>2300</v>
      </c>
      <c r="C3507" s="455">
        <v>7.048</v>
      </c>
      <c r="D3507" s="637">
        <f t="shared" si="118"/>
        <v>15.927098039215688</v>
      </c>
      <c r="E3507" s="637">
        <f t="shared" si="119"/>
        <v>27.293725490196088</v>
      </c>
    </row>
    <row r="3508" spans="1:5">
      <c r="A3508">
        <v>52613</v>
      </c>
      <c r="B3508">
        <v>2400</v>
      </c>
      <c r="C3508" s="455">
        <v>7.1989999999999998</v>
      </c>
      <c r="D3508" s="637">
        <f t="shared" si="118"/>
        <v>16.268328431372552</v>
      </c>
      <c r="E3508" s="637">
        <f t="shared" si="119"/>
        <v>27.87848039215687</v>
      </c>
    </row>
    <row r="3509" spans="1:5">
      <c r="A3509">
        <v>52713</v>
      </c>
      <c r="B3509">
        <v>100</v>
      </c>
      <c r="C3509" s="455">
        <v>7.1310000000000002</v>
      </c>
      <c r="D3509" s="637">
        <f t="shared" si="118"/>
        <v>16.114661764705886</v>
      </c>
      <c r="E3509" s="637">
        <f t="shared" si="119"/>
        <v>27.615147058823542</v>
      </c>
    </row>
    <row r="3510" spans="1:5">
      <c r="A3510">
        <v>52713</v>
      </c>
      <c r="B3510">
        <v>200</v>
      </c>
      <c r="C3510" s="455">
        <v>7.2850000000000001</v>
      </c>
      <c r="D3510" s="637">
        <f t="shared" si="118"/>
        <v>16.462671568627453</v>
      </c>
      <c r="E3510" s="637">
        <f t="shared" si="119"/>
        <v>28.211519607843147</v>
      </c>
    </row>
    <row r="3511" spans="1:5">
      <c r="A3511">
        <v>52713</v>
      </c>
      <c r="B3511">
        <v>300</v>
      </c>
      <c r="C3511" s="455">
        <v>7.1980000000000004</v>
      </c>
      <c r="D3511" s="637">
        <f t="shared" si="118"/>
        <v>16.266068627450984</v>
      </c>
      <c r="E3511" s="637">
        <f t="shared" si="119"/>
        <v>27.874607843137266</v>
      </c>
    </row>
    <row r="3512" spans="1:5">
      <c r="A3512">
        <v>52713</v>
      </c>
      <c r="B3512">
        <v>400</v>
      </c>
      <c r="C3512" s="455">
        <v>7.4829999999999997</v>
      </c>
      <c r="D3512" s="637">
        <f t="shared" si="118"/>
        <v>16.91011274509804</v>
      </c>
      <c r="E3512" s="637">
        <f t="shared" si="119"/>
        <v>28.978284313725496</v>
      </c>
    </row>
    <row r="3513" spans="1:5">
      <c r="A3513">
        <v>52713</v>
      </c>
      <c r="B3513">
        <v>500</v>
      </c>
      <c r="C3513" s="455">
        <v>8.3659999999999997</v>
      </c>
      <c r="D3513" s="637">
        <f t="shared" si="118"/>
        <v>18.905519607843139</v>
      </c>
      <c r="E3513" s="637">
        <f t="shared" si="119"/>
        <v>32.397745098039223</v>
      </c>
    </row>
    <row r="3514" spans="1:5">
      <c r="A3514">
        <v>52713</v>
      </c>
      <c r="B3514">
        <v>600</v>
      </c>
      <c r="C3514" s="455">
        <v>0.14199999999999999</v>
      </c>
      <c r="D3514" s="637">
        <f t="shared" si="118"/>
        <v>0.32089215686274514</v>
      </c>
      <c r="E3514" s="637">
        <f t="shared" si="119"/>
        <v>0.54990196078431386</v>
      </c>
    </row>
    <row r="3515" spans="1:5">
      <c r="A3515">
        <v>52713</v>
      </c>
      <c r="B3515">
        <v>700</v>
      </c>
      <c r="C3515" s="455">
        <v>0</v>
      </c>
      <c r="D3515" s="637">
        <f t="shared" si="118"/>
        <v>0</v>
      </c>
      <c r="E3515" s="637">
        <f t="shared" si="119"/>
        <v>0</v>
      </c>
    </row>
    <row r="3516" spans="1:5">
      <c r="A3516">
        <v>52713</v>
      </c>
      <c r="B3516">
        <v>800</v>
      </c>
      <c r="C3516" s="455">
        <v>0</v>
      </c>
      <c r="D3516" s="637">
        <f t="shared" si="118"/>
        <v>0</v>
      </c>
      <c r="E3516" s="637">
        <f t="shared" si="119"/>
        <v>0</v>
      </c>
    </row>
    <row r="3517" spans="1:5">
      <c r="A3517">
        <v>52713</v>
      </c>
      <c r="B3517">
        <v>900</v>
      </c>
      <c r="C3517" s="455">
        <v>0</v>
      </c>
      <c r="D3517" s="637">
        <f t="shared" si="118"/>
        <v>0</v>
      </c>
      <c r="E3517" s="637">
        <f t="shared" si="119"/>
        <v>0</v>
      </c>
    </row>
    <row r="3518" spans="1:5">
      <c r="A3518">
        <v>52713</v>
      </c>
      <c r="B3518">
        <v>1000</v>
      </c>
      <c r="C3518" s="455">
        <v>0</v>
      </c>
      <c r="D3518" s="637">
        <f t="shared" si="118"/>
        <v>0</v>
      </c>
      <c r="E3518" s="637">
        <f t="shared" si="119"/>
        <v>0</v>
      </c>
    </row>
    <row r="3519" spans="1:5">
      <c r="A3519">
        <v>52713</v>
      </c>
      <c r="B3519">
        <v>1100</v>
      </c>
      <c r="C3519" s="455">
        <v>0</v>
      </c>
      <c r="D3519" s="637">
        <f t="shared" si="118"/>
        <v>0</v>
      </c>
      <c r="E3519" s="637">
        <f t="shared" si="119"/>
        <v>0</v>
      </c>
    </row>
    <row r="3520" spans="1:5">
      <c r="A3520">
        <v>52713</v>
      </c>
      <c r="B3520">
        <v>1200</v>
      </c>
      <c r="C3520" s="455">
        <v>0</v>
      </c>
      <c r="D3520" s="637">
        <f t="shared" si="118"/>
        <v>0</v>
      </c>
      <c r="E3520" s="637">
        <f t="shared" si="119"/>
        <v>0</v>
      </c>
    </row>
    <row r="3521" spans="1:5">
      <c r="A3521">
        <v>52713</v>
      </c>
      <c r="B3521">
        <v>1300</v>
      </c>
      <c r="C3521" s="455">
        <v>0</v>
      </c>
      <c r="D3521" s="637">
        <f t="shared" si="118"/>
        <v>0</v>
      </c>
      <c r="E3521" s="637">
        <f t="shared" si="119"/>
        <v>0</v>
      </c>
    </row>
    <row r="3522" spans="1:5">
      <c r="A3522">
        <v>52713</v>
      </c>
      <c r="B3522">
        <v>1400</v>
      </c>
      <c r="C3522" s="455">
        <v>1.2999999999999999E-2</v>
      </c>
      <c r="D3522" s="637">
        <f t="shared" si="118"/>
        <v>2.9377450980392156E-2</v>
      </c>
      <c r="E3522" s="637">
        <f t="shared" si="119"/>
        <v>5.0343137254901971E-2</v>
      </c>
    </row>
    <row r="3523" spans="1:5">
      <c r="A3523">
        <v>52713</v>
      </c>
      <c r="B3523">
        <v>1500</v>
      </c>
      <c r="C3523" s="455">
        <v>0</v>
      </c>
      <c r="D3523" s="637">
        <f t="shared" si="118"/>
        <v>0</v>
      </c>
      <c r="E3523" s="637">
        <f t="shared" si="119"/>
        <v>0</v>
      </c>
    </row>
    <row r="3524" spans="1:5">
      <c r="A3524">
        <v>52713</v>
      </c>
      <c r="B3524">
        <v>1600</v>
      </c>
      <c r="C3524" s="455">
        <v>0</v>
      </c>
      <c r="D3524" s="637">
        <f t="shared" si="118"/>
        <v>0</v>
      </c>
      <c r="E3524" s="637">
        <f t="shared" si="119"/>
        <v>0</v>
      </c>
    </row>
    <row r="3525" spans="1:5">
      <c r="A3525">
        <v>52713</v>
      </c>
      <c r="B3525">
        <v>1700</v>
      </c>
      <c r="C3525" s="455">
        <v>0</v>
      </c>
      <c r="D3525" s="637">
        <f t="shared" si="118"/>
        <v>0</v>
      </c>
      <c r="E3525" s="637">
        <f t="shared" si="119"/>
        <v>0</v>
      </c>
    </row>
    <row r="3526" spans="1:5">
      <c r="A3526">
        <v>52713</v>
      </c>
      <c r="B3526">
        <v>1800</v>
      </c>
      <c r="C3526" s="455">
        <v>0</v>
      </c>
      <c r="D3526" s="637">
        <f t="shared" ref="D3526:D3589" si="120">(C3526/(MAX($C$2885:$C$3628)))*$W$9</f>
        <v>0</v>
      </c>
      <c r="E3526" s="637">
        <f t="shared" ref="E3526:E3589" si="121">(C3526/(MAX($C$2885:$C$3628)))*$P$9</f>
        <v>0</v>
      </c>
    </row>
    <row r="3527" spans="1:5">
      <c r="A3527">
        <v>52713</v>
      </c>
      <c r="B3527">
        <v>1900</v>
      </c>
      <c r="C3527" s="455">
        <v>0</v>
      </c>
      <c r="D3527" s="637">
        <f t="shared" si="120"/>
        <v>0</v>
      </c>
      <c r="E3527" s="637">
        <f t="shared" si="121"/>
        <v>0</v>
      </c>
    </row>
    <row r="3528" spans="1:5">
      <c r="A3528">
        <v>52713</v>
      </c>
      <c r="B3528">
        <v>2000</v>
      </c>
      <c r="C3528" s="455">
        <v>4.4320000000000004</v>
      </c>
      <c r="D3528" s="637">
        <f t="shared" si="120"/>
        <v>10.015450980392158</v>
      </c>
      <c r="E3528" s="637">
        <f t="shared" si="121"/>
        <v>17.163137254901969</v>
      </c>
    </row>
    <row r="3529" spans="1:5">
      <c r="A3529">
        <v>52713</v>
      </c>
      <c r="B3529">
        <v>2100</v>
      </c>
      <c r="C3529" s="455">
        <v>7.5</v>
      </c>
      <c r="D3529" s="637">
        <f t="shared" si="120"/>
        <v>16.948529411764707</v>
      </c>
      <c r="E3529" s="637">
        <f t="shared" si="121"/>
        <v>29.044117647058833</v>
      </c>
    </row>
    <row r="3530" spans="1:5">
      <c r="A3530">
        <v>52713</v>
      </c>
      <c r="B3530">
        <v>2200</v>
      </c>
      <c r="C3530" s="455">
        <v>7.1139999999999999</v>
      </c>
      <c r="D3530" s="637">
        <f t="shared" si="120"/>
        <v>16.076245098039216</v>
      </c>
      <c r="E3530" s="637">
        <f t="shared" si="121"/>
        <v>27.549313725490205</v>
      </c>
    </row>
    <row r="3531" spans="1:5">
      <c r="A3531">
        <v>52713</v>
      </c>
      <c r="B3531">
        <v>2300</v>
      </c>
      <c r="C3531" s="455">
        <v>7.0439999999999996</v>
      </c>
      <c r="D3531" s="637">
        <f t="shared" si="120"/>
        <v>15.918058823529412</v>
      </c>
      <c r="E3531" s="637">
        <f t="shared" si="121"/>
        <v>27.278235294117653</v>
      </c>
    </row>
    <row r="3532" spans="1:5">
      <c r="A3532">
        <v>52713</v>
      </c>
      <c r="B3532">
        <v>2400</v>
      </c>
      <c r="C3532" s="455">
        <v>7.1879999999999997</v>
      </c>
      <c r="D3532" s="637">
        <f t="shared" si="120"/>
        <v>16.243470588235297</v>
      </c>
      <c r="E3532" s="637">
        <f t="shared" si="121"/>
        <v>27.835882352941184</v>
      </c>
    </row>
    <row r="3533" spans="1:5">
      <c r="A3533">
        <v>52813</v>
      </c>
      <c r="B3533">
        <v>100</v>
      </c>
      <c r="C3533" s="455">
        <v>7.117</v>
      </c>
      <c r="D3533" s="637">
        <f t="shared" si="120"/>
        <v>16.083024509803924</v>
      </c>
      <c r="E3533" s="637">
        <f t="shared" si="121"/>
        <v>27.560931372549028</v>
      </c>
    </row>
    <row r="3534" spans="1:5">
      <c r="A3534">
        <v>52813</v>
      </c>
      <c r="B3534">
        <v>200</v>
      </c>
      <c r="C3534" s="455">
        <v>7.194</v>
      </c>
      <c r="D3534" s="637">
        <f t="shared" si="120"/>
        <v>16.257029411764709</v>
      </c>
      <c r="E3534" s="637">
        <f t="shared" si="121"/>
        <v>27.859117647058831</v>
      </c>
    </row>
    <row r="3535" spans="1:5">
      <c r="A3535">
        <v>52813</v>
      </c>
      <c r="B3535">
        <v>300</v>
      </c>
      <c r="C3535" s="455">
        <v>7.141</v>
      </c>
      <c r="D3535" s="637">
        <f t="shared" si="120"/>
        <v>16.13725980392157</v>
      </c>
      <c r="E3535" s="637">
        <f t="shared" si="121"/>
        <v>27.653872549019614</v>
      </c>
    </row>
    <row r="3536" spans="1:5">
      <c r="A3536">
        <v>52813</v>
      </c>
      <c r="B3536">
        <v>400</v>
      </c>
      <c r="C3536" s="455">
        <v>7.05</v>
      </c>
      <c r="D3536" s="637">
        <f t="shared" si="120"/>
        <v>15.931617647058825</v>
      </c>
      <c r="E3536" s="637">
        <f t="shared" si="121"/>
        <v>27.301470588235304</v>
      </c>
    </row>
    <row r="3537" spans="1:5">
      <c r="A3537">
        <v>52813</v>
      </c>
      <c r="B3537">
        <v>500</v>
      </c>
      <c r="C3537" s="455">
        <v>8.5559999999999992</v>
      </c>
      <c r="D3537" s="637">
        <f t="shared" si="120"/>
        <v>19.334882352941175</v>
      </c>
      <c r="E3537" s="637">
        <f t="shared" si="121"/>
        <v>33.133529411764712</v>
      </c>
    </row>
    <row r="3538" spans="1:5">
      <c r="A3538">
        <v>52813</v>
      </c>
      <c r="B3538">
        <v>600</v>
      </c>
      <c r="C3538" s="455">
        <v>4.9340000000000002</v>
      </c>
      <c r="D3538" s="637">
        <f t="shared" si="120"/>
        <v>11.14987254901961</v>
      </c>
      <c r="E3538" s="637">
        <f t="shared" si="121"/>
        <v>19.107156862745104</v>
      </c>
    </row>
    <row r="3539" spans="1:5">
      <c r="A3539">
        <v>52813</v>
      </c>
      <c r="B3539">
        <v>700</v>
      </c>
      <c r="C3539" s="455">
        <v>0.115</v>
      </c>
      <c r="D3539" s="637">
        <f t="shared" si="120"/>
        <v>0.25987745098039217</v>
      </c>
      <c r="E3539" s="637">
        <f t="shared" si="121"/>
        <v>0.4453431372549021</v>
      </c>
    </row>
    <row r="3540" spans="1:5">
      <c r="A3540">
        <v>52813</v>
      </c>
      <c r="B3540">
        <v>800</v>
      </c>
      <c r="C3540" s="455">
        <v>1E-3</v>
      </c>
      <c r="D3540" s="637">
        <f t="shared" si="120"/>
        <v>2.2598039215686277E-3</v>
      </c>
      <c r="E3540" s="637">
        <f t="shared" si="121"/>
        <v>3.8725490196078443E-3</v>
      </c>
    </row>
    <row r="3541" spans="1:5">
      <c r="A3541">
        <v>52813</v>
      </c>
      <c r="B3541">
        <v>900</v>
      </c>
      <c r="C3541" s="455">
        <v>0</v>
      </c>
      <c r="D3541" s="637">
        <f t="shared" si="120"/>
        <v>0</v>
      </c>
      <c r="E3541" s="637">
        <f t="shared" si="121"/>
        <v>0</v>
      </c>
    </row>
    <row r="3542" spans="1:5">
      <c r="A3542">
        <v>52813</v>
      </c>
      <c r="B3542">
        <v>1000</v>
      </c>
      <c r="C3542" s="455">
        <v>0</v>
      </c>
      <c r="D3542" s="637">
        <f t="shared" si="120"/>
        <v>0</v>
      </c>
      <c r="E3542" s="637">
        <f t="shared" si="121"/>
        <v>0</v>
      </c>
    </row>
    <row r="3543" spans="1:5">
      <c r="A3543">
        <v>52813</v>
      </c>
      <c r="B3543">
        <v>1100</v>
      </c>
      <c r="C3543" s="455">
        <v>0</v>
      </c>
      <c r="D3543" s="637">
        <f t="shared" si="120"/>
        <v>0</v>
      </c>
      <c r="E3543" s="637">
        <f t="shared" si="121"/>
        <v>0</v>
      </c>
    </row>
    <row r="3544" spans="1:5">
      <c r="A3544">
        <v>52813</v>
      </c>
      <c r="B3544">
        <v>1200</v>
      </c>
      <c r="C3544" s="455">
        <v>0</v>
      </c>
      <c r="D3544" s="637">
        <f t="shared" si="120"/>
        <v>0</v>
      </c>
      <c r="E3544" s="637">
        <f t="shared" si="121"/>
        <v>0</v>
      </c>
    </row>
    <row r="3545" spans="1:5">
      <c r="A3545">
        <v>52813</v>
      </c>
      <c r="B3545">
        <v>1300</v>
      </c>
      <c r="C3545" s="455">
        <v>0</v>
      </c>
      <c r="D3545" s="637">
        <f t="shared" si="120"/>
        <v>0</v>
      </c>
      <c r="E3545" s="637">
        <f t="shared" si="121"/>
        <v>0</v>
      </c>
    </row>
    <row r="3546" spans="1:5">
      <c r="A3546">
        <v>52813</v>
      </c>
      <c r="B3546">
        <v>1400</v>
      </c>
      <c r="C3546" s="455">
        <v>0</v>
      </c>
      <c r="D3546" s="637">
        <f t="shared" si="120"/>
        <v>0</v>
      </c>
      <c r="E3546" s="637">
        <f t="shared" si="121"/>
        <v>0</v>
      </c>
    </row>
    <row r="3547" spans="1:5">
      <c r="A3547">
        <v>52813</v>
      </c>
      <c r="B3547">
        <v>1500</v>
      </c>
      <c r="C3547" s="455">
        <v>0</v>
      </c>
      <c r="D3547" s="637">
        <f t="shared" si="120"/>
        <v>0</v>
      </c>
      <c r="E3547" s="637">
        <f t="shared" si="121"/>
        <v>0</v>
      </c>
    </row>
    <row r="3548" spans="1:5">
      <c r="A3548">
        <v>52813</v>
      </c>
      <c r="B3548">
        <v>1600</v>
      </c>
      <c r="C3548" s="455">
        <v>1E-3</v>
      </c>
      <c r="D3548" s="637">
        <f t="shared" si="120"/>
        <v>2.2598039215686277E-3</v>
      </c>
      <c r="E3548" s="637">
        <f t="shared" si="121"/>
        <v>3.8725490196078443E-3</v>
      </c>
    </row>
    <row r="3549" spans="1:5">
      <c r="A3549">
        <v>52813</v>
      </c>
      <c r="B3549">
        <v>1700</v>
      </c>
      <c r="C3549" s="455">
        <v>0.182</v>
      </c>
      <c r="D3549" s="637">
        <f t="shared" si="120"/>
        <v>0.41128431372549018</v>
      </c>
      <c r="E3549" s="637">
        <f t="shared" si="121"/>
        <v>0.70480392156862759</v>
      </c>
    </row>
    <row r="3550" spans="1:5">
      <c r="A3550">
        <v>52813</v>
      </c>
      <c r="B3550">
        <v>1800</v>
      </c>
      <c r="C3550" s="455">
        <v>4.5270000000000001</v>
      </c>
      <c r="D3550" s="637">
        <f t="shared" si="120"/>
        <v>10.230132352941178</v>
      </c>
      <c r="E3550" s="637">
        <f t="shared" si="121"/>
        <v>17.531029411764713</v>
      </c>
    </row>
    <row r="3551" spans="1:5">
      <c r="A3551">
        <v>52813</v>
      </c>
      <c r="B3551">
        <v>1900</v>
      </c>
      <c r="C3551" s="455">
        <v>0</v>
      </c>
      <c r="D3551" s="637">
        <f t="shared" si="120"/>
        <v>0</v>
      </c>
      <c r="E3551" s="637">
        <f t="shared" si="121"/>
        <v>0</v>
      </c>
    </row>
    <row r="3552" spans="1:5">
      <c r="A3552">
        <v>52813</v>
      </c>
      <c r="B3552">
        <v>2000</v>
      </c>
      <c r="C3552" s="455">
        <v>8.3379999999999992</v>
      </c>
      <c r="D3552" s="637">
        <f t="shared" si="120"/>
        <v>18.842245098039218</v>
      </c>
      <c r="E3552" s="637">
        <f t="shared" si="121"/>
        <v>32.289313725490203</v>
      </c>
    </row>
    <row r="3553" spans="1:5">
      <c r="A3553">
        <v>52813</v>
      </c>
      <c r="B3553">
        <v>2100</v>
      </c>
      <c r="C3553" s="455">
        <v>7.2670000000000003</v>
      </c>
      <c r="D3553" s="637">
        <f t="shared" si="120"/>
        <v>16.421995098039218</v>
      </c>
      <c r="E3553" s="637">
        <f t="shared" si="121"/>
        <v>28.141813725490206</v>
      </c>
    </row>
    <row r="3554" spans="1:5">
      <c r="A3554">
        <v>52813</v>
      </c>
      <c r="B3554">
        <v>2200</v>
      </c>
      <c r="C3554" s="455">
        <v>7.0439999999999996</v>
      </c>
      <c r="D3554" s="637">
        <f t="shared" si="120"/>
        <v>15.918058823529412</v>
      </c>
      <c r="E3554" s="637">
        <f t="shared" si="121"/>
        <v>27.278235294117653</v>
      </c>
    </row>
    <row r="3555" spans="1:5">
      <c r="A3555">
        <v>52813</v>
      </c>
      <c r="B3555">
        <v>2300</v>
      </c>
      <c r="C3555" s="455">
        <v>7.0430000000000001</v>
      </c>
      <c r="D3555" s="637">
        <f t="shared" si="120"/>
        <v>15.915799019607844</v>
      </c>
      <c r="E3555" s="637">
        <f t="shared" si="121"/>
        <v>27.274362745098045</v>
      </c>
    </row>
    <row r="3556" spans="1:5">
      <c r="A3556">
        <v>52813</v>
      </c>
      <c r="B3556">
        <v>2400</v>
      </c>
      <c r="C3556" s="455">
        <v>6.968</v>
      </c>
      <c r="D3556" s="637">
        <f t="shared" si="120"/>
        <v>15.746313725490198</v>
      </c>
      <c r="E3556" s="637">
        <f t="shared" si="121"/>
        <v>26.983921568627462</v>
      </c>
    </row>
    <row r="3557" spans="1:5">
      <c r="A3557">
        <v>52913</v>
      </c>
      <c r="B3557">
        <v>100</v>
      </c>
      <c r="C3557" s="455">
        <v>7.2619999999999996</v>
      </c>
      <c r="D3557" s="637">
        <f t="shared" si="120"/>
        <v>16.410696078431375</v>
      </c>
      <c r="E3557" s="637">
        <f t="shared" si="121"/>
        <v>28.122450980392166</v>
      </c>
    </row>
    <row r="3558" spans="1:5">
      <c r="A3558">
        <v>52913</v>
      </c>
      <c r="B3558">
        <v>200</v>
      </c>
      <c r="C3558" s="455">
        <v>7.6260000000000003</v>
      </c>
      <c r="D3558" s="637">
        <f t="shared" si="120"/>
        <v>17.233264705882355</v>
      </c>
      <c r="E3558" s="637">
        <f t="shared" si="121"/>
        <v>29.532058823529422</v>
      </c>
    </row>
    <row r="3559" spans="1:5">
      <c r="A3559">
        <v>52913</v>
      </c>
      <c r="B3559">
        <v>300</v>
      </c>
      <c r="C3559" s="455">
        <v>7.6890000000000001</v>
      </c>
      <c r="D3559" s="637">
        <f t="shared" si="120"/>
        <v>17.375632352941178</v>
      </c>
      <c r="E3559" s="637">
        <f t="shared" si="121"/>
        <v>29.776029411764718</v>
      </c>
    </row>
    <row r="3560" spans="1:5">
      <c r="A3560">
        <v>52913</v>
      </c>
      <c r="B3560">
        <v>400</v>
      </c>
      <c r="C3560" s="455">
        <v>7.694</v>
      </c>
      <c r="D3560" s="637">
        <f t="shared" si="120"/>
        <v>17.386931372549022</v>
      </c>
      <c r="E3560" s="637">
        <f t="shared" si="121"/>
        <v>29.79539215686275</v>
      </c>
    </row>
    <row r="3561" spans="1:5">
      <c r="A3561">
        <v>52913</v>
      </c>
      <c r="B3561">
        <v>500</v>
      </c>
      <c r="C3561" s="455">
        <v>8.3019999999999996</v>
      </c>
      <c r="D3561" s="637">
        <f t="shared" si="120"/>
        <v>18.760892156862745</v>
      </c>
      <c r="E3561" s="637">
        <f t="shared" si="121"/>
        <v>32.149901960784319</v>
      </c>
    </row>
    <row r="3562" spans="1:5">
      <c r="A3562">
        <v>52913</v>
      </c>
      <c r="B3562">
        <v>600</v>
      </c>
      <c r="C3562" s="455">
        <v>2.3199999999999998</v>
      </c>
      <c r="D3562" s="637">
        <f t="shared" si="120"/>
        <v>5.2427450980392161</v>
      </c>
      <c r="E3562" s="637">
        <f t="shared" si="121"/>
        <v>8.9843137254901979</v>
      </c>
    </row>
    <row r="3563" spans="1:5">
      <c r="A3563">
        <v>52913</v>
      </c>
      <c r="B3563">
        <v>700</v>
      </c>
      <c r="C3563" s="455">
        <v>2E-3</v>
      </c>
      <c r="D3563" s="637">
        <f t="shared" si="120"/>
        <v>4.5196078431372555E-3</v>
      </c>
      <c r="E3563" s="637">
        <f t="shared" si="121"/>
        <v>7.7450980392156886E-3</v>
      </c>
    </row>
    <row r="3564" spans="1:5">
      <c r="A3564">
        <v>52913</v>
      </c>
      <c r="B3564">
        <v>800</v>
      </c>
      <c r="C3564" s="455">
        <v>0</v>
      </c>
      <c r="D3564" s="637">
        <f t="shared" si="120"/>
        <v>0</v>
      </c>
      <c r="E3564" s="637">
        <f t="shared" si="121"/>
        <v>0</v>
      </c>
    </row>
    <row r="3565" spans="1:5">
      <c r="A3565">
        <v>52913</v>
      </c>
      <c r="B3565">
        <v>900</v>
      </c>
      <c r="C3565" s="455">
        <v>0</v>
      </c>
      <c r="D3565" s="637">
        <f t="shared" si="120"/>
        <v>0</v>
      </c>
      <c r="E3565" s="637">
        <f t="shared" si="121"/>
        <v>0</v>
      </c>
    </row>
    <row r="3566" spans="1:5">
      <c r="A3566">
        <v>52913</v>
      </c>
      <c r="B3566">
        <v>1000</v>
      </c>
      <c r="C3566" s="455">
        <v>0</v>
      </c>
      <c r="D3566" s="637">
        <f t="shared" si="120"/>
        <v>0</v>
      </c>
      <c r="E3566" s="637">
        <f t="shared" si="121"/>
        <v>0</v>
      </c>
    </row>
    <row r="3567" spans="1:5">
      <c r="A3567">
        <v>52913</v>
      </c>
      <c r="B3567">
        <v>1100</v>
      </c>
      <c r="C3567" s="455">
        <v>0</v>
      </c>
      <c r="D3567" s="637">
        <f t="shared" si="120"/>
        <v>0</v>
      </c>
      <c r="E3567" s="637">
        <f t="shared" si="121"/>
        <v>0</v>
      </c>
    </row>
    <row r="3568" spans="1:5">
      <c r="A3568">
        <v>52913</v>
      </c>
      <c r="B3568">
        <v>1200</v>
      </c>
      <c r="C3568" s="455">
        <v>0</v>
      </c>
      <c r="D3568" s="637">
        <f t="shared" si="120"/>
        <v>0</v>
      </c>
      <c r="E3568" s="637">
        <f t="shared" si="121"/>
        <v>0</v>
      </c>
    </row>
    <row r="3569" spans="1:5">
      <c r="A3569">
        <v>52913</v>
      </c>
      <c r="B3569">
        <v>1300</v>
      </c>
      <c r="C3569" s="455">
        <v>7.0000000000000001E-3</v>
      </c>
      <c r="D3569" s="637">
        <f t="shared" si="120"/>
        <v>1.5818627450980397E-2</v>
      </c>
      <c r="E3569" s="637">
        <f t="shared" si="121"/>
        <v>2.7107843137254912E-2</v>
      </c>
    </row>
    <row r="3570" spans="1:5">
      <c r="A3570">
        <v>52913</v>
      </c>
      <c r="B3570">
        <v>1400</v>
      </c>
      <c r="C3570" s="455">
        <v>0.21199999999999999</v>
      </c>
      <c r="D3570" s="637">
        <f t="shared" si="120"/>
        <v>0.47907843137254907</v>
      </c>
      <c r="E3570" s="637">
        <f t="shared" si="121"/>
        <v>0.82098039215686303</v>
      </c>
    </row>
    <row r="3571" spans="1:5">
      <c r="A3571">
        <v>52913</v>
      </c>
      <c r="B3571">
        <v>1500</v>
      </c>
      <c r="C3571" s="455">
        <v>3.5000000000000003E-2</v>
      </c>
      <c r="D3571" s="637">
        <f t="shared" si="120"/>
        <v>7.9093137254901968E-2</v>
      </c>
      <c r="E3571" s="637">
        <f t="shared" si="121"/>
        <v>0.13553921568627456</v>
      </c>
    </row>
    <row r="3572" spans="1:5">
      <c r="A3572">
        <v>52913</v>
      </c>
      <c r="B3572">
        <v>1600</v>
      </c>
      <c r="C3572" s="455">
        <v>0</v>
      </c>
      <c r="D3572" s="637">
        <f t="shared" si="120"/>
        <v>0</v>
      </c>
      <c r="E3572" s="637">
        <f t="shared" si="121"/>
        <v>0</v>
      </c>
    </row>
    <row r="3573" spans="1:5">
      <c r="A3573">
        <v>52913</v>
      </c>
      <c r="B3573">
        <v>1700</v>
      </c>
      <c r="C3573" s="455">
        <v>0</v>
      </c>
      <c r="D3573" s="637">
        <f t="shared" si="120"/>
        <v>0</v>
      </c>
      <c r="E3573" s="637">
        <f t="shared" si="121"/>
        <v>0</v>
      </c>
    </row>
    <row r="3574" spans="1:5">
      <c r="A3574">
        <v>52913</v>
      </c>
      <c r="B3574">
        <v>1800</v>
      </c>
      <c r="C3574" s="455">
        <v>0</v>
      </c>
      <c r="D3574" s="637">
        <f t="shared" si="120"/>
        <v>0</v>
      </c>
      <c r="E3574" s="637">
        <f t="shared" si="121"/>
        <v>0</v>
      </c>
    </row>
    <row r="3575" spans="1:5">
      <c r="A3575">
        <v>52913</v>
      </c>
      <c r="B3575">
        <v>1900</v>
      </c>
      <c r="C3575" s="455">
        <v>0</v>
      </c>
      <c r="D3575" s="637">
        <f t="shared" si="120"/>
        <v>0</v>
      </c>
      <c r="E3575" s="637">
        <f t="shared" si="121"/>
        <v>0</v>
      </c>
    </row>
    <row r="3576" spans="1:5">
      <c r="A3576">
        <v>52913</v>
      </c>
      <c r="B3576">
        <v>2000</v>
      </c>
      <c r="C3576" s="455">
        <v>4.3559999999999999</v>
      </c>
      <c r="D3576" s="637">
        <f t="shared" si="120"/>
        <v>9.8437058823529426</v>
      </c>
      <c r="E3576" s="637">
        <f t="shared" si="121"/>
        <v>16.86882352941177</v>
      </c>
    </row>
    <row r="3577" spans="1:5">
      <c r="A3577">
        <v>52913</v>
      </c>
      <c r="B3577">
        <v>2100</v>
      </c>
      <c r="C3577" s="455">
        <v>8.1639999999999997</v>
      </c>
      <c r="D3577" s="637">
        <f t="shared" si="120"/>
        <v>18.449039215686277</v>
      </c>
      <c r="E3577" s="637">
        <f t="shared" si="121"/>
        <v>31.61549019607844</v>
      </c>
    </row>
    <row r="3578" spans="1:5">
      <c r="A3578">
        <v>52913</v>
      </c>
      <c r="B3578">
        <v>2200</v>
      </c>
      <c r="C3578" s="455">
        <v>7.0620000000000003</v>
      </c>
      <c r="D3578" s="637">
        <f t="shared" si="120"/>
        <v>15.958735294117648</v>
      </c>
      <c r="E3578" s="637">
        <f t="shared" si="121"/>
        <v>27.347941176470595</v>
      </c>
    </row>
    <row r="3579" spans="1:5">
      <c r="A3579">
        <v>52913</v>
      </c>
      <c r="B3579">
        <v>2300</v>
      </c>
      <c r="C3579" s="455">
        <v>7.32</v>
      </c>
      <c r="D3579" s="637">
        <f t="shared" si="120"/>
        <v>16.541764705882354</v>
      </c>
      <c r="E3579" s="637">
        <f t="shared" si="121"/>
        <v>28.347058823529419</v>
      </c>
    </row>
    <row r="3580" spans="1:5">
      <c r="A3580">
        <v>52913</v>
      </c>
      <c r="B3580">
        <v>2400</v>
      </c>
      <c r="C3580" s="455">
        <v>7.4640000000000004</v>
      </c>
      <c r="D3580" s="637">
        <f t="shared" si="120"/>
        <v>16.867176470588237</v>
      </c>
      <c r="E3580" s="637">
        <f t="shared" si="121"/>
        <v>28.904705882352953</v>
      </c>
    </row>
    <row r="3581" spans="1:5">
      <c r="A3581">
        <v>53013</v>
      </c>
      <c r="B3581">
        <v>100</v>
      </c>
      <c r="C3581" s="455">
        <v>7.4109999999999996</v>
      </c>
      <c r="D3581" s="637">
        <f t="shared" si="120"/>
        <v>16.747406862745098</v>
      </c>
      <c r="E3581" s="637">
        <f t="shared" si="121"/>
        <v>28.699460784313732</v>
      </c>
    </row>
    <row r="3582" spans="1:5">
      <c r="A3582">
        <v>53013</v>
      </c>
      <c r="B3582">
        <v>200</v>
      </c>
      <c r="C3582" s="455">
        <v>7.4359999999999999</v>
      </c>
      <c r="D3582" s="637">
        <f t="shared" si="120"/>
        <v>16.803901960784316</v>
      </c>
      <c r="E3582" s="637">
        <f t="shared" si="121"/>
        <v>28.796274509803929</v>
      </c>
    </row>
    <row r="3583" spans="1:5">
      <c r="A3583">
        <v>53013</v>
      </c>
      <c r="B3583">
        <v>300</v>
      </c>
      <c r="C3583" s="455">
        <v>7.4379999999999997</v>
      </c>
      <c r="D3583" s="637">
        <f t="shared" si="120"/>
        <v>16.808421568627452</v>
      </c>
      <c r="E3583" s="637">
        <f t="shared" si="121"/>
        <v>28.804019607843141</v>
      </c>
    </row>
    <row r="3584" spans="1:5">
      <c r="A3584">
        <v>53013</v>
      </c>
      <c r="B3584">
        <v>400</v>
      </c>
      <c r="C3584" s="455">
        <v>7.3490000000000002</v>
      </c>
      <c r="D3584" s="637">
        <f t="shared" si="120"/>
        <v>16.607299019607844</v>
      </c>
      <c r="E3584" s="637">
        <f t="shared" si="121"/>
        <v>28.459362745098048</v>
      </c>
    </row>
    <row r="3585" spans="1:5">
      <c r="A3585">
        <v>53013</v>
      </c>
      <c r="B3585">
        <v>500</v>
      </c>
      <c r="C3585" s="455">
        <v>8.2129999999999992</v>
      </c>
      <c r="D3585" s="637">
        <f t="shared" si="120"/>
        <v>18.559769607843137</v>
      </c>
      <c r="E3585" s="637">
        <f t="shared" si="121"/>
        <v>31.805245098039222</v>
      </c>
    </row>
    <row r="3586" spans="1:5">
      <c r="A3586">
        <v>53013</v>
      </c>
      <c r="B3586">
        <v>600</v>
      </c>
      <c r="C3586" s="455">
        <v>0.38300000000000001</v>
      </c>
      <c r="D3586" s="637">
        <f t="shared" si="120"/>
        <v>0.86550490196078445</v>
      </c>
      <c r="E3586" s="637">
        <f t="shared" si="121"/>
        <v>1.4831862745098043</v>
      </c>
    </row>
    <row r="3587" spans="1:5">
      <c r="A3587">
        <v>53013</v>
      </c>
      <c r="B3587">
        <v>700</v>
      </c>
      <c r="C3587" s="455">
        <v>8.9999999999999993E-3</v>
      </c>
      <c r="D3587" s="637">
        <f t="shared" si="120"/>
        <v>2.0338235294117647E-2</v>
      </c>
      <c r="E3587" s="637">
        <f t="shared" si="121"/>
        <v>3.4852941176470593E-2</v>
      </c>
    </row>
    <row r="3588" spans="1:5">
      <c r="A3588">
        <v>53013</v>
      </c>
      <c r="B3588">
        <v>800</v>
      </c>
      <c r="C3588" s="455">
        <v>1E-3</v>
      </c>
      <c r="D3588" s="637">
        <f t="shared" si="120"/>
        <v>2.2598039215686277E-3</v>
      </c>
      <c r="E3588" s="637">
        <f t="shared" si="121"/>
        <v>3.8725490196078443E-3</v>
      </c>
    </row>
    <row r="3589" spans="1:5">
      <c r="A3589">
        <v>53013</v>
      </c>
      <c r="B3589">
        <v>900</v>
      </c>
      <c r="C3589" s="455">
        <v>0</v>
      </c>
      <c r="D3589" s="637">
        <f t="shared" si="120"/>
        <v>0</v>
      </c>
      <c r="E3589" s="637">
        <f t="shared" si="121"/>
        <v>0</v>
      </c>
    </row>
    <row r="3590" spans="1:5">
      <c r="A3590">
        <v>53013</v>
      </c>
      <c r="B3590">
        <v>1000</v>
      </c>
      <c r="C3590" s="455">
        <v>0</v>
      </c>
      <c r="D3590" s="637">
        <f t="shared" ref="D3590:D3628" si="122">(C3590/(MAX($C$2885:$C$3628)))*$W$9</f>
        <v>0</v>
      </c>
      <c r="E3590" s="637">
        <f t="shared" ref="E3590:E3628" si="123">(C3590/(MAX($C$2885:$C$3628)))*$P$9</f>
        <v>0</v>
      </c>
    </row>
    <row r="3591" spans="1:5">
      <c r="A3591">
        <v>53013</v>
      </c>
      <c r="B3591">
        <v>1100</v>
      </c>
      <c r="C3591" s="455">
        <v>0</v>
      </c>
      <c r="D3591" s="637">
        <f t="shared" si="122"/>
        <v>0</v>
      </c>
      <c r="E3591" s="637">
        <f t="shared" si="123"/>
        <v>0</v>
      </c>
    </row>
    <row r="3592" spans="1:5">
      <c r="A3592">
        <v>53013</v>
      </c>
      <c r="B3592">
        <v>1200</v>
      </c>
      <c r="C3592" s="455">
        <v>0</v>
      </c>
      <c r="D3592" s="637">
        <f t="shared" si="122"/>
        <v>0</v>
      </c>
      <c r="E3592" s="637">
        <f t="shared" si="123"/>
        <v>0</v>
      </c>
    </row>
    <row r="3593" spans="1:5">
      <c r="A3593">
        <v>53013</v>
      </c>
      <c r="B3593">
        <v>1300</v>
      </c>
      <c r="C3593" s="455">
        <v>0</v>
      </c>
      <c r="D3593" s="637">
        <f t="shared" si="122"/>
        <v>0</v>
      </c>
      <c r="E3593" s="637">
        <f t="shared" si="123"/>
        <v>0</v>
      </c>
    </row>
    <row r="3594" spans="1:5">
      <c r="A3594">
        <v>53013</v>
      </c>
      <c r="B3594">
        <v>1400</v>
      </c>
      <c r="C3594" s="455">
        <v>0</v>
      </c>
      <c r="D3594" s="637">
        <f t="shared" si="122"/>
        <v>0</v>
      </c>
      <c r="E3594" s="637">
        <f t="shared" si="123"/>
        <v>0</v>
      </c>
    </row>
    <row r="3595" spans="1:5">
      <c r="A3595">
        <v>53013</v>
      </c>
      <c r="B3595">
        <v>1500</v>
      </c>
      <c r="C3595" s="455">
        <v>0</v>
      </c>
      <c r="D3595" s="637">
        <f t="shared" si="122"/>
        <v>0</v>
      </c>
      <c r="E3595" s="637">
        <f t="shared" si="123"/>
        <v>0</v>
      </c>
    </row>
    <row r="3596" spans="1:5">
      <c r="A3596">
        <v>53013</v>
      </c>
      <c r="B3596">
        <v>1600</v>
      </c>
      <c r="C3596" s="455">
        <v>0</v>
      </c>
      <c r="D3596" s="637">
        <f t="shared" si="122"/>
        <v>0</v>
      </c>
      <c r="E3596" s="637">
        <f t="shared" si="123"/>
        <v>0</v>
      </c>
    </row>
    <row r="3597" spans="1:5">
      <c r="A3597">
        <v>53013</v>
      </c>
      <c r="B3597">
        <v>1700</v>
      </c>
      <c r="C3597" s="455">
        <v>0</v>
      </c>
      <c r="D3597" s="637">
        <f t="shared" si="122"/>
        <v>0</v>
      </c>
      <c r="E3597" s="637">
        <f t="shared" si="123"/>
        <v>0</v>
      </c>
    </row>
    <row r="3598" spans="1:5">
      <c r="A3598">
        <v>53013</v>
      </c>
      <c r="B3598">
        <v>1800</v>
      </c>
      <c r="C3598" s="455">
        <v>0</v>
      </c>
      <c r="D3598" s="637">
        <f t="shared" si="122"/>
        <v>0</v>
      </c>
      <c r="E3598" s="637">
        <f t="shared" si="123"/>
        <v>0</v>
      </c>
    </row>
    <row r="3599" spans="1:5">
      <c r="A3599">
        <v>53013</v>
      </c>
      <c r="B3599">
        <v>1900</v>
      </c>
      <c r="C3599" s="455">
        <v>0</v>
      </c>
      <c r="D3599" s="637">
        <f t="shared" si="122"/>
        <v>0</v>
      </c>
      <c r="E3599" s="637">
        <f t="shared" si="123"/>
        <v>0</v>
      </c>
    </row>
    <row r="3600" spans="1:5">
      <c r="A3600">
        <v>53013</v>
      </c>
      <c r="B3600">
        <v>2000</v>
      </c>
      <c r="C3600" s="455">
        <v>4.4809999999999999</v>
      </c>
      <c r="D3600" s="637">
        <f t="shared" si="122"/>
        <v>10.12618137254902</v>
      </c>
      <c r="E3600" s="637">
        <f t="shared" si="123"/>
        <v>17.352892156862747</v>
      </c>
    </row>
    <row r="3601" spans="1:5">
      <c r="A3601">
        <v>53013</v>
      </c>
      <c r="B3601">
        <v>2100</v>
      </c>
      <c r="C3601" s="455">
        <v>7.7389999999999999</v>
      </c>
      <c r="D3601" s="637">
        <f t="shared" si="122"/>
        <v>17.48862254901961</v>
      </c>
      <c r="E3601" s="637">
        <f t="shared" si="123"/>
        <v>29.969656862745104</v>
      </c>
    </row>
    <row r="3602" spans="1:5">
      <c r="A3602">
        <v>53013</v>
      </c>
      <c r="B3602">
        <v>2200</v>
      </c>
      <c r="C3602" s="455">
        <v>7.1769999999999996</v>
      </c>
      <c r="D3602" s="637">
        <f t="shared" si="122"/>
        <v>16.218612745098039</v>
      </c>
      <c r="E3602" s="637">
        <f t="shared" si="123"/>
        <v>27.793284313725493</v>
      </c>
    </row>
    <row r="3603" spans="1:5">
      <c r="A3603">
        <v>53013</v>
      </c>
      <c r="B3603">
        <v>2300</v>
      </c>
      <c r="C3603" s="455">
        <v>7.0330000000000004</v>
      </c>
      <c r="D3603" s="637">
        <f t="shared" si="122"/>
        <v>15.893200980392161</v>
      </c>
      <c r="E3603" s="637">
        <f t="shared" si="123"/>
        <v>27.235637254901974</v>
      </c>
    </row>
    <row r="3604" spans="1:5">
      <c r="A3604">
        <v>53013</v>
      </c>
      <c r="B3604">
        <v>2400</v>
      </c>
      <c r="C3604" s="455">
        <v>7.2530000000000001</v>
      </c>
      <c r="D3604" s="637">
        <f t="shared" si="122"/>
        <v>16.390357843137259</v>
      </c>
      <c r="E3604" s="637">
        <f t="shared" si="123"/>
        <v>28.087598039215695</v>
      </c>
    </row>
    <row r="3605" spans="1:5">
      <c r="A3605">
        <v>53113</v>
      </c>
      <c r="B3605">
        <v>100</v>
      </c>
      <c r="C3605" s="455">
        <v>7.0060000000000002</v>
      </c>
      <c r="D3605" s="637">
        <f t="shared" si="122"/>
        <v>15.832186274509805</v>
      </c>
      <c r="E3605" s="637">
        <f t="shared" si="123"/>
        <v>27.131078431372558</v>
      </c>
    </row>
    <row r="3606" spans="1:5">
      <c r="A3606">
        <v>53113</v>
      </c>
      <c r="B3606">
        <v>200</v>
      </c>
      <c r="C3606" s="455">
        <v>7.1769999999999996</v>
      </c>
      <c r="D3606" s="637">
        <f t="shared" si="122"/>
        <v>16.218612745098039</v>
      </c>
      <c r="E3606" s="637">
        <f t="shared" si="123"/>
        <v>27.793284313725493</v>
      </c>
    </row>
    <row r="3607" spans="1:5">
      <c r="A3607">
        <v>53113</v>
      </c>
      <c r="B3607">
        <v>300</v>
      </c>
      <c r="C3607" s="455">
        <v>7.2569999999999997</v>
      </c>
      <c r="D3607" s="637">
        <f t="shared" si="122"/>
        <v>16.399397058823531</v>
      </c>
      <c r="E3607" s="637">
        <f t="shared" si="123"/>
        <v>28.103088235294127</v>
      </c>
    </row>
    <row r="3608" spans="1:5">
      <c r="A3608">
        <v>53113</v>
      </c>
      <c r="B3608">
        <v>400</v>
      </c>
      <c r="C3608" s="455">
        <v>7.2590000000000003</v>
      </c>
      <c r="D3608" s="637">
        <f t="shared" si="122"/>
        <v>16.403916666666667</v>
      </c>
      <c r="E3608" s="637">
        <f t="shared" si="123"/>
        <v>28.110833333333343</v>
      </c>
    </row>
    <row r="3609" spans="1:5">
      <c r="A3609">
        <v>53113</v>
      </c>
      <c r="B3609">
        <v>500</v>
      </c>
      <c r="C3609" s="455">
        <v>7.6790000000000003</v>
      </c>
      <c r="D3609" s="637">
        <f t="shared" si="122"/>
        <v>17.353034313725491</v>
      </c>
      <c r="E3609" s="637">
        <f t="shared" si="123"/>
        <v>29.737303921568635</v>
      </c>
    </row>
    <row r="3610" spans="1:5">
      <c r="A3610">
        <v>53113</v>
      </c>
      <c r="B3610">
        <v>600</v>
      </c>
      <c r="C3610" s="455">
        <v>0.221</v>
      </c>
      <c r="D3610" s="637">
        <f t="shared" si="122"/>
        <v>0.49941666666666673</v>
      </c>
      <c r="E3610" s="637">
        <f t="shared" si="123"/>
        <v>0.85583333333333356</v>
      </c>
    </row>
    <row r="3611" spans="1:5">
      <c r="A3611">
        <v>53113</v>
      </c>
      <c r="B3611">
        <v>700</v>
      </c>
      <c r="C3611" s="455">
        <v>0</v>
      </c>
      <c r="D3611" s="637">
        <f t="shared" si="122"/>
        <v>0</v>
      </c>
      <c r="E3611" s="637">
        <f t="shared" si="123"/>
        <v>0</v>
      </c>
    </row>
    <row r="3612" spans="1:5">
      <c r="A3612">
        <v>53113</v>
      </c>
      <c r="B3612">
        <v>800</v>
      </c>
      <c r="C3612" s="455">
        <v>0</v>
      </c>
      <c r="D3612" s="637">
        <f t="shared" si="122"/>
        <v>0</v>
      </c>
      <c r="E3612" s="637">
        <f t="shared" si="123"/>
        <v>0</v>
      </c>
    </row>
    <row r="3613" spans="1:5">
      <c r="A3613">
        <v>53113</v>
      </c>
      <c r="B3613">
        <v>900</v>
      </c>
      <c r="C3613" s="455">
        <v>0</v>
      </c>
      <c r="D3613" s="637">
        <f t="shared" si="122"/>
        <v>0</v>
      </c>
      <c r="E3613" s="637">
        <f t="shared" si="123"/>
        <v>0</v>
      </c>
    </row>
    <row r="3614" spans="1:5">
      <c r="A3614">
        <v>53113</v>
      </c>
      <c r="B3614">
        <v>1000</v>
      </c>
      <c r="C3614" s="455">
        <v>0</v>
      </c>
      <c r="D3614" s="637">
        <f t="shared" si="122"/>
        <v>0</v>
      </c>
      <c r="E3614" s="637">
        <f t="shared" si="123"/>
        <v>0</v>
      </c>
    </row>
    <row r="3615" spans="1:5">
      <c r="A3615">
        <v>53113</v>
      </c>
      <c r="B3615">
        <v>1100</v>
      </c>
      <c r="C3615" s="455">
        <v>0</v>
      </c>
      <c r="D3615" s="637">
        <f t="shared" si="122"/>
        <v>0</v>
      </c>
      <c r="E3615" s="637">
        <f t="shared" si="123"/>
        <v>0</v>
      </c>
    </row>
    <row r="3616" spans="1:5">
      <c r="A3616">
        <v>53113</v>
      </c>
      <c r="B3616">
        <v>1200</v>
      </c>
      <c r="C3616" s="455">
        <v>0</v>
      </c>
      <c r="D3616" s="637">
        <f t="shared" si="122"/>
        <v>0</v>
      </c>
      <c r="E3616" s="637">
        <f t="shared" si="123"/>
        <v>0</v>
      </c>
    </row>
    <row r="3617" spans="1:5">
      <c r="A3617">
        <v>53113</v>
      </c>
      <c r="B3617">
        <v>1300</v>
      </c>
      <c r="C3617" s="455">
        <v>1E-3</v>
      </c>
      <c r="D3617" s="637">
        <f t="shared" si="122"/>
        <v>2.2598039215686277E-3</v>
      </c>
      <c r="E3617" s="637">
        <f t="shared" si="123"/>
        <v>3.8725490196078443E-3</v>
      </c>
    </row>
    <row r="3618" spans="1:5">
      <c r="A3618">
        <v>53113</v>
      </c>
      <c r="B3618">
        <v>1400</v>
      </c>
      <c r="C3618" s="455">
        <v>0</v>
      </c>
      <c r="D3618" s="637">
        <f t="shared" si="122"/>
        <v>0</v>
      </c>
      <c r="E3618" s="637">
        <f t="shared" si="123"/>
        <v>0</v>
      </c>
    </row>
    <row r="3619" spans="1:5">
      <c r="A3619">
        <v>53113</v>
      </c>
      <c r="B3619">
        <v>1500</v>
      </c>
      <c r="C3619" s="455">
        <v>0</v>
      </c>
      <c r="D3619" s="637">
        <f t="shared" si="122"/>
        <v>0</v>
      </c>
      <c r="E3619" s="637">
        <f t="shared" si="123"/>
        <v>0</v>
      </c>
    </row>
    <row r="3620" spans="1:5">
      <c r="A3620">
        <v>53113</v>
      </c>
      <c r="B3620">
        <v>1600</v>
      </c>
      <c r="C3620" s="455">
        <v>0</v>
      </c>
      <c r="D3620" s="637">
        <f t="shared" si="122"/>
        <v>0</v>
      </c>
      <c r="E3620" s="637">
        <f t="shared" si="123"/>
        <v>0</v>
      </c>
    </row>
    <row r="3621" spans="1:5">
      <c r="A3621">
        <v>53113</v>
      </c>
      <c r="B3621">
        <v>1700</v>
      </c>
      <c r="C3621" s="455">
        <v>0</v>
      </c>
      <c r="D3621" s="637">
        <f t="shared" si="122"/>
        <v>0</v>
      </c>
      <c r="E3621" s="637">
        <f t="shared" si="123"/>
        <v>0</v>
      </c>
    </row>
    <row r="3622" spans="1:5">
      <c r="A3622">
        <v>53113</v>
      </c>
      <c r="B3622">
        <v>1800</v>
      </c>
      <c r="C3622" s="455">
        <v>0.33</v>
      </c>
      <c r="D3622" s="637">
        <f t="shared" si="122"/>
        <v>0.74573529411764716</v>
      </c>
      <c r="E3622" s="637">
        <f t="shared" si="123"/>
        <v>1.2779411764705888</v>
      </c>
    </row>
    <row r="3623" spans="1:5">
      <c r="A3623">
        <v>53113</v>
      </c>
      <c r="B3623">
        <v>1900</v>
      </c>
      <c r="C3623" s="455">
        <v>0.105</v>
      </c>
      <c r="D3623" s="637">
        <f t="shared" si="122"/>
        <v>0.23727941176470591</v>
      </c>
      <c r="E3623" s="637">
        <f t="shared" si="123"/>
        <v>0.40661764705882364</v>
      </c>
    </row>
    <row r="3624" spans="1:5">
      <c r="A3624">
        <v>53113</v>
      </c>
      <c r="B3624">
        <v>2000</v>
      </c>
      <c r="C3624" s="455">
        <v>3.28</v>
      </c>
      <c r="D3624" s="637">
        <f t="shared" si="122"/>
        <v>7.4121568627450989</v>
      </c>
      <c r="E3624" s="637">
        <f t="shared" si="123"/>
        <v>12.701960784313728</v>
      </c>
    </row>
    <row r="3625" spans="1:5">
      <c r="A3625">
        <v>53113</v>
      </c>
      <c r="B3625">
        <v>2100</v>
      </c>
      <c r="C3625" s="455">
        <v>7.5709999999999997</v>
      </c>
      <c r="D3625" s="637">
        <f t="shared" si="122"/>
        <v>17.10897549019608</v>
      </c>
      <c r="E3625" s="637">
        <f t="shared" si="123"/>
        <v>29.319068627450989</v>
      </c>
    </row>
    <row r="3626" spans="1:5">
      <c r="A3626">
        <v>53113</v>
      </c>
      <c r="B3626">
        <v>2200</v>
      </c>
      <c r="C3626" s="455">
        <v>7.0209999999999999</v>
      </c>
      <c r="D3626" s="637">
        <f t="shared" si="122"/>
        <v>15.866083333333336</v>
      </c>
      <c r="E3626" s="637">
        <f t="shared" si="123"/>
        <v>27.189166666666676</v>
      </c>
    </row>
    <row r="3627" spans="1:5">
      <c r="A3627">
        <v>53113</v>
      </c>
      <c r="B3627">
        <v>2300</v>
      </c>
      <c r="C3627" s="455">
        <v>7.3239999999999998</v>
      </c>
      <c r="D3627" s="637">
        <f t="shared" si="122"/>
        <v>16.55080392156863</v>
      </c>
      <c r="E3627" s="637">
        <f t="shared" si="123"/>
        <v>28.362549019607851</v>
      </c>
    </row>
    <row r="3628" spans="1:5">
      <c r="A3628" s="647">
        <v>53113</v>
      </c>
      <c r="B3628" s="647">
        <v>2400</v>
      </c>
      <c r="C3628" s="648">
        <v>7.173</v>
      </c>
      <c r="D3628" s="637">
        <f t="shared" si="122"/>
        <v>16.209573529411767</v>
      </c>
      <c r="E3628" s="645">
        <f t="shared" si="123"/>
        <v>27.777794117647066</v>
      </c>
    </row>
    <row r="3629" spans="1:5">
      <c r="A3629">
        <v>60113</v>
      </c>
      <c r="B3629">
        <v>100</v>
      </c>
      <c r="C3629" s="455">
        <v>7.024</v>
      </c>
      <c r="D3629" s="637">
        <f>(C3629/(MAX($C$3629:$C$4348)))*$W$10</f>
        <v>14.574800000000002</v>
      </c>
      <c r="E3629" s="637">
        <f>(C3629/(MAX($C$3629:$C$4348)))*$P$10</f>
        <v>23.530400000000007</v>
      </c>
    </row>
    <row r="3630" spans="1:5">
      <c r="A3630">
        <v>60113</v>
      </c>
      <c r="B3630">
        <v>200</v>
      </c>
      <c r="C3630" s="455">
        <v>7.18</v>
      </c>
      <c r="D3630" s="637">
        <f t="shared" ref="D3630:D3693" si="124">(C3630/(MAX($C$3629:$C$4348)))*$W$10</f>
        <v>14.898500000000002</v>
      </c>
      <c r="E3630" s="637">
        <f t="shared" ref="E3630:E3693" si="125">(C3630/(MAX($C$3629:$C$4348)))*$P$10</f>
        <v>24.053000000000008</v>
      </c>
    </row>
    <row r="3631" spans="1:5">
      <c r="A3631">
        <v>60113</v>
      </c>
      <c r="B3631">
        <v>300</v>
      </c>
      <c r="C3631" s="455">
        <v>7.173</v>
      </c>
      <c r="D3631" s="637">
        <f t="shared" si="124"/>
        <v>14.883975000000003</v>
      </c>
      <c r="E3631" s="637">
        <f t="shared" si="125"/>
        <v>24.029550000000011</v>
      </c>
    </row>
    <row r="3632" spans="1:5">
      <c r="A3632">
        <v>60113</v>
      </c>
      <c r="B3632">
        <v>400</v>
      </c>
      <c r="C3632" s="455">
        <v>7.1079999999999997</v>
      </c>
      <c r="D3632" s="637">
        <f t="shared" si="124"/>
        <v>14.7491</v>
      </c>
      <c r="E3632" s="637">
        <f t="shared" si="125"/>
        <v>23.811800000000005</v>
      </c>
    </row>
    <row r="3633" spans="1:5">
      <c r="A3633">
        <v>60113</v>
      </c>
      <c r="B3633">
        <v>500</v>
      </c>
      <c r="C3633" s="455">
        <v>8.2210000000000001</v>
      </c>
      <c r="D3633" s="637">
        <f t="shared" si="124"/>
        <v>17.058575000000001</v>
      </c>
      <c r="E3633" s="637">
        <f t="shared" si="125"/>
        <v>27.540350000000011</v>
      </c>
    </row>
    <row r="3634" spans="1:5">
      <c r="A3634">
        <v>60113</v>
      </c>
      <c r="B3634">
        <v>600</v>
      </c>
      <c r="C3634" s="455">
        <v>1.298</v>
      </c>
      <c r="D3634" s="637">
        <f t="shared" si="124"/>
        <v>2.6933500000000006</v>
      </c>
      <c r="E3634" s="637">
        <f t="shared" si="125"/>
        <v>4.3483000000000018</v>
      </c>
    </row>
    <row r="3635" spans="1:5">
      <c r="A3635">
        <v>60113</v>
      </c>
      <c r="B3635">
        <v>700</v>
      </c>
      <c r="C3635" s="455">
        <v>2.1000000000000001E-2</v>
      </c>
      <c r="D3635" s="637">
        <f t="shared" si="124"/>
        <v>4.357500000000001E-2</v>
      </c>
      <c r="E3635" s="637">
        <f t="shared" si="125"/>
        <v>7.0350000000000024E-2</v>
      </c>
    </row>
    <row r="3636" spans="1:5">
      <c r="A3636">
        <v>60113</v>
      </c>
      <c r="B3636">
        <v>800</v>
      </c>
      <c r="C3636" s="455">
        <v>0</v>
      </c>
      <c r="D3636" s="637">
        <f t="shared" si="124"/>
        <v>0</v>
      </c>
      <c r="E3636" s="637">
        <f t="shared" si="125"/>
        <v>0</v>
      </c>
    </row>
    <row r="3637" spans="1:5">
      <c r="A3637">
        <v>60113</v>
      </c>
      <c r="B3637">
        <v>900</v>
      </c>
      <c r="C3637" s="455">
        <v>2E-3</v>
      </c>
      <c r="D3637" s="637">
        <f t="shared" si="124"/>
        <v>4.1500000000000009E-3</v>
      </c>
      <c r="E3637" s="637">
        <f t="shared" si="125"/>
        <v>6.7000000000000028E-3</v>
      </c>
    </row>
    <row r="3638" spans="1:5">
      <c r="A3638">
        <v>60113</v>
      </c>
      <c r="B3638">
        <v>1000</v>
      </c>
      <c r="C3638" s="455">
        <v>0</v>
      </c>
      <c r="D3638" s="637">
        <f t="shared" si="124"/>
        <v>0</v>
      </c>
      <c r="E3638" s="637">
        <f t="shared" si="125"/>
        <v>0</v>
      </c>
    </row>
    <row r="3639" spans="1:5">
      <c r="A3639">
        <v>60113</v>
      </c>
      <c r="B3639">
        <v>1100</v>
      </c>
      <c r="C3639" s="455">
        <v>0</v>
      </c>
      <c r="D3639" s="637">
        <f t="shared" si="124"/>
        <v>0</v>
      </c>
      <c r="E3639" s="637">
        <f t="shared" si="125"/>
        <v>0</v>
      </c>
    </row>
    <row r="3640" spans="1:5">
      <c r="A3640">
        <v>60113</v>
      </c>
      <c r="B3640">
        <v>1200</v>
      </c>
      <c r="C3640" s="455">
        <v>7.1999999999999995E-2</v>
      </c>
      <c r="D3640" s="637">
        <f t="shared" si="124"/>
        <v>0.14940000000000001</v>
      </c>
      <c r="E3640" s="637">
        <f t="shared" si="125"/>
        <v>0.24120000000000005</v>
      </c>
    </row>
    <row r="3641" spans="1:5">
      <c r="A3641">
        <v>60113</v>
      </c>
      <c r="B3641">
        <v>1300</v>
      </c>
      <c r="C3641" s="455">
        <v>0</v>
      </c>
      <c r="D3641" s="637">
        <f t="shared" si="124"/>
        <v>0</v>
      </c>
      <c r="E3641" s="637">
        <f t="shared" si="125"/>
        <v>0</v>
      </c>
    </row>
    <row r="3642" spans="1:5">
      <c r="A3642">
        <v>60113</v>
      </c>
      <c r="B3642">
        <v>1400</v>
      </c>
      <c r="C3642" s="455">
        <v>0</v>
      </c>
      <c r="D3642" s="637">
        <f t="shared" si="124"/>
        <v>0</v>
      </c>
      <c r="E3642" s="637">
        <f t="shared" si="125"/>
        <v>0</v>
      </c>
    </row>
    <row r="3643" spans="1:5">
      <c r="A3643">
        <v>60113</v>
      </c>
      <c r="B3643">
        <v>1500</v>
      </c>
      <c r="C3643" s="455">
        <v>0</v>
      </c>
      <c r="D3643" s="637">
        <f t="shared" si="124"/>
        <v>0</v>
      </c>
      <c r="E3643" s="637">
        <f t="shared" si="125"/>
        <v>0</v>
      </c>
    </row>
    <row r="3644" spans="1:5">
      <c r="A3644">
        <v>60113</v>
      </c>
      <c r="B3644">
        <v>1600</v>
      </c>
      <c r="C3644" s="455">
        <v>0</v>
      </c>
      <c r="D3644" s="637">
        <f t="shared" si="124"/>
        <v>0</v>
      </c>
      <c r="E3644" s="637">
        <f t="shared" si="125"/>
        <v>0</v>
      </c>
    </row>
    <row r="3645" spans="1:5">
      <c r="A3645">
        <v>60113</v>
      </c>
      <c r="B3645">
        <v>1700</v>
      </c>
      <c r="C3645" s="455">
        <v>0</v>
      </c>
      <c r="D3645" s="637">
        <f t="shared" si="124"/>
        <v>0</v>
      </c>
      <c r="E3645" s="637">
        <f t="shared" si="125"/>
        <v>0</v>
      </c>
    </row>
    <row r="3646" spans="1:5">
      <c r="A3646">
        <v>60113</v>
      </c>
      <c r="B3646">
        <v>1800</v>
      </c>
      <c r="C3646" s="455">
        <v>0</v>
      </c>
      <c r="D3646" s="637">
        <f t="shared" si="124"/>
        <v>0</v>
      </c>
      <c r="E3646" s="637">
        <f t="shared" si="125"/>
        <v>0</v>
      </c>
    </row>
    <row r="3647" spans="1:5">
      <c r="A3647">
        <v>60113</v>
      </c>
      <c r="B3647">
        <v>1900</v>
      </c>
      <c r="C3647" s="455">
        <v>1.4E-2</v>
      </c>
      <c r="D3647" s="637">
        <f t="shared" si="124"/>
        <v>2.9050000000000003E-2</v>
      </c>
      <c r="E3647" s="637">
        <f t="shared" si="125"/>
        <v>4.6900000000000018E-2</v>
      </c>
    </row>
    <row r="3648" spans="1:5">
      <c r="A3648">
        <v>60113</v>
      </c>
      <c r="B3648">
        <v>2000</v>
      </c>
      <c r="C3648" s="455">
        <v>3.68</v>
      </c>
      <c r="D3648" s="637">
        <f t="shared" si="124"/>
        <v>7.636000000000001</v>
      </c>
      <c r="E3648" s="637">
        <f t="shared" si="125"/>
        <v>12.328000000000005</v>
      </c>
    </row>
    <row r="3649" spans="1:5">
      <c r="A3649">
        <v>60113</v>
      </c>
      <c r="B3649">
        <v>2100</v>
      </c>
      <c r="C3649" s="455">
        <v>7.9980000000000002</v>
      </c>
      <c r="D3649" s="637">
        <f t="shared" si="124"/>
        <v>16.595850000000002</v>
      </c>
      <c r="E3649" s="637">
        <f t="shared" si="125"/>
        <v>26.793300000000009</v>
      </c>
    </row>
    <row r="3650" spans="1:5">
      <c r="A3650">
        <v>60113</v>
      </c>
      <c r="B3650">
        <v>2200</v>
      </c>
      <c r="C3650" s="455">
        <v>7.1790000000000003</v>
      </c>
      <c r="D3650" s="637">
        <f t="shared" si="124"/>
        <v>14.896425000000002</v>
      </c>
      <c r="E3650" s="637">
        <f t="shared" si="125"/>
        <v>24.049650000000007</v>
      </c>
    </row>
    <row r="3651" spans="1:5">
      <c r="A3651">
        <v>60113</v>
      </c>
      <c r="B3651">
        <v>2300</v>
      </c>
      <c r="C3651" s="455">
        <v>7.1879999999999997</v>
      </c>
      <c r="D3651" s="637">
        <f t="shared" si="124"/>
        <v>14.915100000000002</v>
      </c>
      <c r="E3651" s="637">
        <f t="shared" si="125"/>
        <v>24.079800000000009</v>
      </c>
    </row>
    <row r="3652" spans="1:5">
      <c r="A3652">
        <v>60113</v>
      </c>
      <c r="B3652">
        <v>2400</v>
      </c>
      <c r="C3652" s="455">
        <v>7.2569999999999997</v>
      </c>
      <c r="D3652" s="637">
        <f t="shared" si="124"/>
        <v>15.058275000000002</v>
      </c>
      <c r="E3652" s="637">
        <f t="shared" si="125"/>
        <v>24.310950000000009</v>
      </c>
    </row>
    <row r="3653" spans="1:5">
      <c r="A3653">
        <v>60213</v>
      </c>
      <c r="B3653">
        <v>100</v>
      </c>
      <c r="C3653" s="455">
        <v>7.1849999999999996</v>
      </c>
      <c r="D3653" s="637">
        <f t="shared" si="124"/>
        <v>14.908875</v>
      </c>
      <c r="E3653" s="637">
        <f t="shared" si="125"/>
        <v>24.069750000000006</v>
      </c>
    </row>
    <row r="3654" spans="1:5">
      <c r="A3654">
        <v>60213</v>
      </c>
      <c r="B3654">
        <v>200</v>
      </c>
      <c r="C3654" s="455">
        <v>7.1959999999999997</v>
      </c>
      <c r="D3654" s="637">
        <f t="shared" si="124"/>
        <v>14.931700000000001</v>
      </c>
      <c r="E3654" s="637">
        <f t="shared" si="125"/>
        <v>24.106600000000007</v>
      </c>
    </row>
    <row r="3655" spans="1:5">
      <c r="A3655">
        <v>60213</v>
      </c>
      <c r="B3655">
        <v>300</v>
      </c>
      <c r="C3655" s="455">
        <v>7.2649999999999997</v>
      </c>
      <c r="D3655" s="637">
        <f t="shared" si="124"/>
        <v>15.074875000000002</v>
      </c>
      <c r="E3655" s="637">
        <f t="shared" si="125"/>
        <v>24.337750000000007</v>
      </c>
    </row>
    <row r="3656" spans="1:5">
      <c r="A3656">
        <v>60213</v>
      </c>
      <c r="B3656">
        <v>400</v>
      </c>
      <c r="C3656" s="455">
        <v>7.3369999999999997</v>
      </c>
      <c r="D3656" s="637">
        <f t="shared" si="124"/>
        <v>15.224275</v>
      </c>
      <c r="E3656" s="637">
        <f t="shared" si="125"/>
        <v>24.578950000000006</v>
      </c>
    </row>
    <row r="3657" spans="1:5">
      <c r="A3657">
        <v>60213</v>
      </c>
      <c r="B3657">
        <v>500</v>
      </c>
      <c r="C3657" s="455">
        <v>8.18</v>
      </c>
      <c r="D3657" s="637">
        <f t="shared" si="124"/>
        <v>16.973500000000001</v>
      </c>
      <c r="E3657" s="637">
        <f t="shared" si="125"/>
        <v>27.403000000000009</v>
      </c>
    </row>
    <row r="3658" spans="1:5">
      <c r="A3658">
        <v>60213</v>
      </c>
      <c r="B3658">
        <v>600</v>
      </c>
      <c r="C3658" s="455">
        <v>9.1219999999999999</v>
      </c>
      <c r="D3658" s="637">
        <f t="shared" si="124"/>
        <v>18.928150000000002</v>
      </c>
      <c r="E3658" s="637">
        <f t="shared" si="125"/>
        <v>30.558700000000012</v>
      </c>
    </row>
    <row r="3659" spans="1:5">
      <c r="A3659">
        <v>60213</v>
      </c>
      <c r="B3659">
        <v>700</v>
      </c>
      <c r="C3659" s="455">
        <v>0.31</v>
      </c>
      <c r="D3659" s="637">
        <f t="shared" si="124"/>
        <v>0.6432500000000001</v>
      </c>
      <c r="E3659" s="637">
        <f t="shared" si="125"/>
        <v>1.0385000000000004</v>
      </c>
    </row>
    <row r="3660" spans="1:5">
      <c r="A3660">
        <v>60213</v>
      </c>
      <c r="B3660">
        <v>800</v>
      </c>
      <c r="C3660" s="455">
        <v>0</v>
      </c>
      <c r="D3660" s="637">
        <f t="shared" si="124"/>
        <v>0</v>
      </c>
      <c r="E3660" s="637">
        <f t="shared" si="125"/>
        <v>0</v>
      </c>
    </row>
    <row r="3661" spans="1:5">
      <c r="A3661">
        <v>60213</v>
      </c>
      <c r="B3661">
        <v>900</v>
      </c>
      <c r="C3661" s="455">
        <v>1E-3</v>
      </c>
      <c r="D3661" s="637">
        <f t="shared" si="124"/>
        <v>2.0750000000000005E-3</v>
      </c>
      <c r="E3661" s="637">
        <f t="shared" si="125"/>
        <v>3.3500000000000014E-3</v>
      </c>
    </row>
    <row r="3662" spans="1:5">
      <c r="A3662">
        <v>60213</v>
      </c>
      <c r="B3662">
        <v>1000</v>
      </c>
      <c r="C3662" s="455">
        <v>0</v>
      </c>
      <c r="D3662" s="637">
        <f t="shared" si="124"/>
        <v>0</v>
      </c>
      <c r="E3662" s="637">
        <f t="shared" si="125"/>
        <v>0</v>
      </c>
    </row>
    <row r="3663" spans="1:5">
      <c r="A3663">
        <v>60213</v>
      </c>
      <c r="B3663">
        <v>1100</v>
      </c>
      <c r="C3663" s="455">
        <v>0</v>
      </c>
      <c r="D3663" s="637">
        <f t="shared" si="124"/>
        <v>0</v>
      </c>
      <c r="E3663" s="637">
        <f t="shared" si="125"/>
        <v>0</v>
      </c>
    </row>
    <row r="3664" spans="1:5">
      <c r="A3664">
        <v>60213</v>
      </c>
      <c r="B3664">
        <v>1200</v>
      </c>
      <c r="C3664" s="455">
        <v>0</v>
      </c>
      <c r="D3664" s="637">
        <f t="shared" si="124"/>
        <v>0</v>
      </c>
      <c r="E3664" s="637">
        <f t="shared" si="125"/>
        <v>0</v>
      </c>
    </row>
    <row r="3665" spans="1:5">
      <c r="A3665">
        <v>60213</v>
      </c>
      <c r="B3665">
        <v>1300</v>
      </c>
      <c r="C3665" s="455">
        <v>0</v>
      </c>
      <c r="D3665" s="637">
        <f t="shared" si="124"/>
        <v>0</v>
      </c>
      <c r="E3665" s="637">
        <f t="shared" si="125"/>
        <v>0</v>
      </c>
    </row>
    <row r="3666" spans="1:5">
      <c r="A3666">
        <v>60213</v>
      </c>
      <c r="B3666">
        <v>1400</v>
      </c>
      <c r="C3666" s="455">
        <v>1E-3</v>
      </c>
      <c r="D3666" s="637">
        <f t="shared" si="124"/>
        <v>2.0750000000000005E-3</v>
      </c>
      <c r="E3666" s="637">
        <f t="shared" si="125"/>
        <v>3.3500000000000014E-3</v>
      </c>
    </row>
    <row r="3667" spans="1:5">
      <c r="A3667">
        <v>60213</v>
      </c>
      <c r="B3667">
        <v>1500</v>
      </c>
      <c r="C3667" s="455">
        <v>0</v>
      </c>
      <c r="D3667" s="637">
        <f t="shared" si="124"/>
        <v>0</v>
      </c>
      <c r="E3667" s="637">
        <f t="shared" si="125"/>
        <v>0</v>
      </c>
    </row>
    <row r="3668" spans="1:5">
      <c r="A3668">
        <v>60213</v>
      </c>
      <c r="B3668">
        <v>1600</v>
      </c>
      <c r="C3668" s="455">
        <v>0</v>
      </c>
      <c r="D3668" s="637">
        <f t="shared" si="124"/>
        <v>0</v>
      </c>
      <c r="E3668" s="637">
        <f t="shared" si="125"/>
        <v>0</v>
      </c>
    </row>
    <row r="3669" spans="1:5">
      <c r="A3669">
        <v>60213</v>
      </c>
      <c r="B3669">
        <v>1700</v>
      </c>
      <c r="C3669" s="455">
        <v>0.28799999999999998</v>
      </c>
      <c r="D3669" s="637">
        <f t="shared" si="124"/>
        <v>0.59760000000000002</v>
      </c>
      <c r="E3669" s="637">
        <f t="shared" si="125"/>
        <v>0.96480000000000021</v>
      </c>
    </row>
    <row r="3670" spans="1:5">
      <c r="A3670">
        <v>60213</v>
      </c>
      <c r="B3670">
        <v>1800</v>
      </c>
      <c r="C3670" s="455">
        <v>7.1999999999999995E-2</v>
      </c>
      <c r="D3670" s="637">
        <f t="shared" si="124"/>
        <v>0.14940000000000001</v>
      </c>
      <c r="E3670" s="637">
        <f t="shared" si="125"/>
        <v>0.24120000000000005</v>
      </c>
    </row>
    <row r="3671" spans="1:5">
      <c r="A3671">
        <v>60213</v>
      </c>
      <c r="B3671">
        <v>1900</v>
      </c>
      <c r="C3671" s="455">
        <v>0.216</v>
      </c>
      <c r="D3671" s="637">
        <f t="shared" si="124"/>
        <v>0.44820000000000004</v>
      </c>
      <c r="E3671" s="637">
        <f t="shared" si="125"/>
        <v>0.72360000000000024</v>
      </c>
    </row>
    <row r="3672" spans="1:5">
      <c r="A3672">
        <v>60213</v>
      </c>
      <c r="B3672">
        <v>2000</v>
      </c>
      <c r="C3672" s="455">
        <v>3.28</v>
      </c>
      <c r="D3672" s="637">
        <f t="shared" si="124"/>
        <v>6.8060000000000009</v>
      </c>
      <c r="E3672" s="637">
        <f t="shared" si="125"/>
        <v>10.988000000000005</v>
      </c>
    </row>
    <row r="3673" spans="1:5">
      <c r="A3673">
        <v>60213</v>
      </c>
      <c r="B3673">
        <v>2100</v>
      </c>
      <c r="C3673" s="455">
        <v>8.1829999999999998</v>
      </c>
      <c r="D3673" s="637">
        <f t="shared" si="124"/>
        <v>16.979725000000002</v>
      </c>
      <c r="E3673" s="637">
        <f t="shared" si="125"/>
        <v>27.413050000000009</v>
      </c>
    </row>
    <row r="3674" spans="1:5">
      <c r="A3674">
        <v>60213</v>
      </c>
      <c r="B3674">
        <v>2200</v>
      </c>
      <c r="C3674" s="455">
        <v>7.181</v>
      </c>
      <c r="D3674" s="637">
        <f t="shared" si="124"/>
        <v>14.900575000000002</v>
      </c>
      <c r="E3674" s="637">
        <f t="shared" si="125"/>
        <v>24.056350000000009</v>
      </c>
    </row>
    <row r="3675" spans="1:5">
      <c r="A3675">
        <v>60213</v>
      </c>
      <c r="B3675">
        <v>2300</v>
      </c>
      <c r="C3675" s="455">
        <v>7.2060000000000004</v>
      </c>
      <c r="D3675" s="637">
        <f t="shared" si="124"/>
        <v>14.952450000000004</v>
      </c>
      <c r="E3675" s="637">
        <f t="shared" si="125"/>
        <v>24.140100000000011</v>
      </c>
    </row>
    <row r="3676" spans="1:5">
      <c r="A3676">
        <v>60213</v>
      </c>
      <c r="B3676">
        <v>2400</v>
      </c>
      <c r="C3676" s="455">
        <v>7.3339999999999996</v>
      </c>
      <c r="D3676" s="637">
        <f t="shared" si="124"/>
        <v>15.218050000000003</v>
      </c>
      <c r="E3676" s="637">
        <f t="shared" si="125"/>
        <v>24.56890000000001</v>
      </c>
    </row>
    <row r="3677" spans="1:5">
      <c r="A3677">
        <v>60313</v>
      </c>
      <c r="B3677">
        <v>100</v>
      </c>
      <c r="C3677" s="455">
        <v>7.1859999999999999</v>
      </c>
      <c r="D3677" s="637">
        <f t="shared" si="124"/>
        <v>14.910950000000001</v>
      </c>
      <c r="E3677" s="637">
        <f t="shared" si="125"/>
        <v>24.073100000000007</v>
      </c>
    </row>
    <row r="3678" spans="1:5">
      <c r="A3678">
        <v>60313</v>
      </c>
      <c r="B3678">
        <v>200</v>
      </c>
      <c r="C3678" s="455">
        <v>7.1870000000000003</v>
      </c>
      <c r="D3678" s="637">
        <f t="shared" si="124"/>
        <v>14.913025000000001</v>
      </c>
      <c r="E3678" s="637">
        <f t="shared" si="125"/>
        <v>24.076450000000008</v>
      </c>
    </row>
    <row r="3679" spans="1:5">
      <c r="A3679">
        <v>60313</v>
      </c>
      <c r="B3679">
        <v>300</v>
      </c>
      <c r="C3679" s="455">
        <v>7.3369999999999997</v>
      </c>
      <c r="D3679" s="637">
        <f t="shared" si="124"/>
        <v>15.224275</v>
      </c>
      <c r="E3679" s="637">
        <f t="shared" si="125"/>
        <v>24.578950000000006</v>
      </c>
    </row>
    <row r="3680" spans="1:5">
      <c r="A3680">
        <v>60313</v>
      </c>
      <c r="B3680">
        <v>400</v>
      </c>
      <c r="C3680" s="455">
        <v>7.6210000000000004</v>
      </c>
      <c r="D3680" s="637">
        <f t="shared" si="124"/>
        <v>15.813575000000002</v>
      </c>
      <c r="E3680" s="637">
        <f t="shared" si="125"/>
        <v>25.530350000000009</v>
      </c>
    </row>
    <row r="3681" spans="1:5">
      <c r="A3681">
        <v>60313</v>
      </c>
      <c r="B3681">
        <v>500</v>
      </c>
      <c r="C3681" s="455">
        <v>7.9050000000000002</v>
      </c>
      <c r="D3681" s="637">
        <f t="shared" si="124"/>
        <v>16.402875000000002</v>
      </c>
      <c r="E3681" s="637">
        <f t="shared" si="125"/>
        <v>26.481750000000009</v>
      </c>
    </row>
    <row r="3682" spans="1:5">
      <c r="A3682">
        <v>60313</v>
      </c>
      <c r="B3682">
        <v>600</v>
      </c>
      <c r="C3682" s="455">
        <v>0.122</v>
      </c>
      <c r="D3682" s="637">
        <f t="shared" si="124"/>
        <v>0.25315000000000004</v>
      </c>
      <c r="E3682" s="637">
        <f t="shared" si="125"/>
        <v>0.40870000000000012</v>
      </c>
    </row>
    <row r="3683" spans="1:5">
      <c r="A3683">
        <v>60313</v>
      </c>
      <c r="B3683">
        <v>700</v>
      </c>
      <c r="C3683" s="455">
        <v>1E-3</v>
      </c>
      <c r="D3683" s="637">
        <f t="shared" si="124"/>
        <v>2.0750000000000005E-3</v>
      </c>
      <c r="E3683" s="637">
        <f t="shared" si="125"/>
        <v>3.3500000000000014E-3</v>
      </c>
    </row>
    <row r="3684" spans="1:5">
      <c r="A3684">
        <v>60313</v>
      </c>
      <c r="B3684">
        <v>800</v>
      </c>
      <c r="C3684" s="455">
        <v>0</v>
      </c>
      <c r="D3684" s="637">
        <f t="shared" si="124"/>
        <v>0</v>
      </c>
      <c r="E3684" s="637">
        <f t="shared" si="125"/>
        <v>0</v>
      </c>
    </row>
    <row r="3685" spans="1:5">
      <c r="A3685">
        <v>60313</v>
      </c>
      <c r="B3685">
        <v>900</v>
      </c>
      <c r="C3685" s="455">
        <v>0</v>
      </c>
      <c r="D3685" s="637">
        <f t="shared" si="124"/>
        <v>0</v>
      </c>
      <c r="E3685" s="637">
        <f t="shared" si="125"/>
        <v>0</v>
      </c>
    </row>
    <row r="3686" spans="1:5">
      <c r="A3686">
        <v>60313</v>
      </c>
      <c r="B3686">
        <v>1000</v>
      </c>
      <c r="C3686" s="455">
        <v>0</v>
      </c>
      <c r="D3686" s="637">
        <f t="shared" si="124"/>
        <v>0</v>
      </c>
      <c r="E3686" s="637">
        <f t="shared" si="125"/>
        <v>0</v>
      </c>
    </row>
    <row r="3687" spans="1:5">
      <c r="A3687">
        <v>60313</v>
      </c>
      <c r="B3687">
        <v>1100</v>
      </c>
      <c r="C3687" s="455">
        <v>0</v>
      </c>
      <c r="D3687" s="637">
        <f t="shared" si="124"/>
        <v>0</v>
      </c>
      <c r="E3687" s="637">
        <f t="shared" si="125"/>
        <v>0</v>
      </c>
    </row>
    <row r="3688" spans="1:5">
      <c r="A3688">
        <v>60313</v>
      </c>
      <c r="B3688">
        <v>1200</v>
      </c>
      <c r="C3688" s="455">
        <v>0</v>
      </c>
      <c r="D3688" s="637">
        <f t="shared" si="124"/>
        <v>0</v>
      </c>
      <c r="E3688" s="637">
        <f t="shared" si="125"/>
        <v>0</v>
      </c>
    </row>
    <row r="3689" spans="1:5">
      <c r="A3689">
        <v>60313</v>
      </c>
      <c r="B3689">
        <v>1300</v>
      </c>
      <c r="C3689" s="455">
        <v>2.1000000000000001E-2</v>
      </c>
      <c r="D3689" s="637">
        <f t="shared" si="124"/>
        <v>4.357500000000001E-2</v>
      </c>
      <c r="E3689" s="637">
        <f t="shared" si="125"/>
        <v>7.0350000000000024E-2</v>
      </c>
    </row>
    <row r="3690" spans="1:5">
      <c r="A3690">
        <v>60313</v>
      </c>
      <c r="B3690">
        <v>1400</v>
      </c>
      <c r="C3690" s="455">
        <v>2.5999999999999999E-2</v>
      </c>
      <c r="D3690" s="637">
        <f t="shared" si="124"/>
        <v>5.3950000000000012E-2</v>
      </c>
      <c r="E3690" s="637">
        <f t="shared" si="125"/>
        <v>8.7100000000000039E-2</v>
      </c>
    </row>
    <row r="3691" spans="1:5">
      <c r="A3691">
        <v>60313</v>
      </c>
      <c r="B3691">
        <v>1500</v>
      </c>
      <c r="C3691" s="455">
        <v>4.0000000000000001E-3</v>
      </c>
      <c r="D3691" s="637">
        <f t="shared" si="124"/>
        <v>8.3000000000000018E-3</v>
      </c>
      <c r="E3691" s="637">
        <f t="shared" si="125"/>
        <v>1.3400000000000006E-2</v>
      </c>
    </row>
    <row r="3692" spans="1:5">
      <c r="A3692">
        <v>60313</v>
      </c>
      <c r="B3692">
        <v>1600</v>
      </c>
      <c r="C3692" s="455">
        <v>0</v>
      </c>
      <c r="D3692" s="637">
        <f t="shared" si="124"/>
        <v>0</v>
      </c>
      <c r="E3692" s="637">
        <f t="shared" si="125"/>
        <v>0</v>
      </c>
    </row>
    <row r="3693" spans="1:5">
      <c r="A3693">
        <v>60313</v>
      </c>
      <c r="B3693">
        <v>1700</v>
      </c>
      <c r="C3693" s="455">
        <v>0</v>
      </c>
      <c r="D3693" s="637">
        <f t="shared" si="124"/>
        <v>0</v>
      </c>
      <c r="E3693" s="637">
        <f t="shared" si="125"/>
        <v>0</v>
      </c>
    </row>
    <row r="3694" spans="1:5">
      <c r="A3694">
        <v>60313</v>
      </c>
      <c r="B3694">
        <v>1800</v>
      </c>
      <c r="C3694" s="455">
        <v>0</v>
      </c>
      <c r="D3694" s="637">
        <f t="shared" ref="D3694:D3757" si="126">(C3694/(MAX($C$3629:$C$4348)))*$W$10</f>
        <v>0</v>
      </c>
      <c r="E3694" s="637">
        <f t="shared" ref="E3694:E3757" si="127">(C3694/(MAX($C$3629:$C$4348)))*$P$10</f>
        <v>0</v>
      </c>
    </row>
    <row r="3695" spans="1:5">
      <c r="A3695">
        <v>60313</v>
      </c>
      <c r="B3695">
        <v>1900</v>
      </c>
      <c r="C3695" s="455">
        <v>0</v>
      </c>
      <c r="D3695" s="637">
        <f t="shared" si="126"/>
        <v>0</v>
      </c>
      <c r="E3695" s="637">
        <f t="shared" si="127"/>
        <v>0</v>
      </c>
    </row>
    <row r="3696" spans="1:5">
      <c r="A3696">
        <v>60313</v>
      </c>
      <c r="B3696">
        <v>2000</v>
      </c>
      <c r="C3696" s="455">
        <v>2.5049999999999999</v>
      </c>
      <c r="D3696" s="637">
        <f t="shared" si="126"/>
        <v>5.1978750000000007</v>
      </c>
      <c r="E3696" s="637">
        <f t="shared" si="127"/>
        <v>8.3917500000000018</v>
      </c>
    </row>
    <row r="3697" spans="1:5">
      <c r="A3697">
        <v>60313</v>
      </c>
      <c r="B3697">
        <v>2100</v>
      </c>
      <c r="C3697" s="455">
        <v>8.7409999999999997</v>
      </c>
      <c r="D3697" s="637">
        <f t="shared" si="126"/>
        <v>18.137575000000002</v>
      </c>
      <c r="E3697" s="637">
        <f t="shared" si="127"/>
        <v>29.282350000000008</v>
      </c>
    </row>
    <row r="3698" spans="1:5">
      <c r="A3698">
        <v>60313</v>
      </c>
      <c r="B3698">
        <v>2200</v>
      </c>
      <c r="C3698" s="455">
        <v>7.1029999999999998</v>
      </c>
      <c r="D3698" s="637">
        <f t="shared" si="126"/>
        <v>14.738725000000002</v>
      </c>
      <c r="E3698" s="637">
        <f t="shared" si="127"/>
        <v>23.795050000000007</v>
      </c>
    </row>
    <row r="3699" spans="1:5">
      <c r="A3699">
        <v>60313</v>
      </c>
      <c r="B3699">
        <v>2300</v>
      </c>
      <c r="C3699" s="455">
        <v>7.0220000000000002</v>
      </c>
      <c r="D3699" s="637">
        <f t="shared" si="126"/>
        <v>14.570650000000004</v>
      </c>
      <c r="E3699" s="637">
        <f t="shared" si="127"/>
        <v>23.523700000000009</v>
      </c>
    </row>
    <row r="3700" spans="1:5">
      <c r="A3700">
        <v>60313</v>
      </c>
      <c r="B3700">
        <v>2400</v>
      </c>
      <c r="C3700" s="455">
        <v>7.1669999999999998</v>
      </c>
      <c r="D3700" s="637">
        <f t="shared" si="126"/>
        <v>14.871525000000002</v>
      </c>
      <c r="E3700" s="637">
        <f t="shared" si="127"/>
        <v>24.009450000000008</v>
      </c>
    </row>
    <row r="3701" spans="1:5">
      <c r="A3701">
        <v>60413</v>
      </c>
      <c r="B3701">
        <v>100</v>
      </c>
      <c r="C3701" s="455">
        <v>7.2530000000000001</v>
      </c>
      <c r="D3701" s="637">
        <f t="shared" si="126"/>
        <v>15.049975000000002</v>
      </c>
      <c r="E3701" s="637">
        <f t="shared" si="127"/>
        <v>24.297550000000008</v>
      </c>
    </row>
    <row r="3702" spans="1:5">
      <c r="A3702">
        <v>60413</v>
      </c>
      <c r="B3702">
        <v>200</v>
      </c>
      <c r="C3702" s="455">
        <v>7.1050000000000004</v>
      </c>
      <c r="D3702" s="637">
        <f t="shared" si="126"/>
        <v>14.742875000000003</v>
      </c>
      <c r="E3702" s="637">
        <f t="shared" si="127"/>
        <v>23.801750000000009</v>
      </c>
    </row>
    <row r="3703" spans="1:5">
      <c r="A3703">
        <v>60413</v>
      </c>
      <c r="B3703">
        <v>300</v>
      </c>
      <c r="C3703" s="455">
        <v>7.2690000000000001</v>
      </c>
      <c r="D3703" s="637">
        <f t="shared" si="126"/>
        <v>15.083175000000002</v>
      </c>
      <c r="E3703" s="637">
        <f t="shared" si="127"/>
        <v>24.351150000000011</v>
      </c>
    </row>
    <row r="3704" spans="1:5">
      <c r="A3704">
        <v>60413</v>
      </c>
      <c r="B3704">
        <v>400</v>
      </c>
      <c r="C3704" s="455">
        <v>7.3230000000000004</v>
      </c>
      <c r="D3704" s="637">
        <f t="shared" si="126"/>
        <v>15.195225000000002</v>
      </c>
      <c r="E3704" s="637">
        <f t="shared" si="127"/>
        <v>24.532050000000009</v>
      </c>
    </row>
    <row r="3705" spans="1:5">
      <c r="A3705">
        <v>60413</v>
      </c>
      <c r="B3705">
        <v>500</v>
      </c>
      <c r="C3705" s="455">
        <v>8.0489999999999995</v>
      </c>
      <c r="D3705" s="637">
        <f t="shared" si="126"/>
        <v>16.701675000000002</v>
      </c>
      <c r="E3705" s="637">
        <f t="shared" si="127"/>
        <v>26.964150000000011</v>
      </c>
    </row>
    <row r="3706" spans="1:5">
      <c r="A3706">
        <v>60413</v>
      </c>
      <c r="B3706">
        <v>600</v>
      </c>
      <c r="C3706" s="455">
        <v>0.121</v>
      </c>
      <c r="D3706" s="637">
        <f t="shared" si="126"/>
        <v>0.25107500000000005</v>
      </c>
      <c r="E3706" s="637">
        <f t="shared" si="127"/>
        <v>0.40535000000000015</v>
      </c>
    </row>
    <row r="3707" spans="1:5">
      <c r="A3707">
        <v>60413</v>
      </c>
      <c r="B3707">
        <v>700</v>
      </c>
      <c r="C3707" s="455">
        <v>0</v>
      </c>
      <c r="D3707" s="637">
        <f t="shared" si="126"/>
        <v>0</v>
      </c>
      <c r="E3707" s="637">
        <f t="shared" si="127"/>
        <v>0</v>
      </c>
    </row>
    <row r="3708" spans="1:5">
      <c r="A3708">
        <v>60413</v>
      </c>
      <c r="B3708">
        <v>800</v>
      </c>
      <c r="C3708" s="455">
        <v>0</v>
      </c>
      <c r="D3708" s="637">
        <f t="shared" si="126"/>
        <v>0</v>
      </c>
      <c r="E3708" s="637">
        <f t="shared" si="127"/>
        <v>0</v>
      </c>
    </row>
    <row r="3709" spans="1:5">
      <c r="A3709">
        <v>60413</v>
      </c>
      <c r="B3709">
        <v>900</v>
      </c>
      <c r="C3709" s="455">
        <v>1.0999999999999999E-2</v>
      </c>
      <c r="D3709" s="637">
        <f t="shared" si="126"/>
        <v>2.2825000000000002E-2</v>
      </c>
      <c r="E3709" s="637">
        <f t="shared" si="127"/>
        <v>3.6850000000000015E-2</v>
      </c>
    </row>
    <row r="3710" spans="1:5">
      <c r="A3710">
        <v>60413</v>
      </c>
      <c r="B3710">
        <v>1000</v>
      </c>
      <c r="C3710" s="455">
        <v>0</v>
      </c>
      <c r="D3710" s="637">
        <f t="shared" si="126"/>
        <v>0</v>
      </c>
      <c r="E3710" s="637">
        <f t="shared" si="127"/>
        <v>0</v>
      </c>
    </row>
    <row r="3711" spans="1:5">
      <c r="A3711">
        <v>60413</v>
      </c>
      <c r="B3711">
        <v>1100</v>
      </c>
      <c r="C3711" s="455">
        <v>0</v>
      </c>
      <c r="D3711" s="637">
        <f t="shared" si="126"/>
        <v>0</v>
      </c>
      <c r="E3711" s="637">
        <f t="shared" si="127"/>
        <v>0</v>
      </c>
    </row>
    <row r="3712" spans="1:5">
      <c r="A3712">
        <v>60413</v>
      </c>
      <c r="B3712">
        <v>1200</v>
      </c>
      <c r="C3712" s="455">
        <v>0</v>
      </c>
      <c r="D3712" s="637">
        <f t="shared" si="126"/>
        <v>0</v>
      </c>
      <c r="E3712" s="637">
        <f t="shared" si="127"/>
        <v>0</v>
      </c>
    </row>
    <row r="3713" spans="1:5">
      <c r="A3713">
        <v>60413</v>
      </c>
      <c r="B3713">
        <v>1300</v>
      </c>
      <c r="C3713" s="455">
        <v>0</v>
      </c>
      <c r="D3713" s="637">
        <f t="shared" si="126"/>
        <v>0</v>
      </c>
      <c r="E3713" s="637">
        <f t="shared" si="127"/>
        <v>0</v>
      </c>
    </row>
    <row r="3714" spans="1:5">
      <c r="A3714">
        <v>60413</v>
      </c>
      <c r="B3714">
        <v>1400</v>
      </c>
      <c r="C3714" s="455">
        <v>0</v>
      </c>
      <c r="D3714" s="637">
        <f t="shared" si="126"/>
        <v>0</v>
      </c>
      <c r="E3714" s="637">
        <f t="shared" si="127"/>
        <v>0</v>
      </c>
    </row>
    <row r="3715" spans="1:5">
      <c r="A3715">
        <v>60413</v>
      </c>
      <c r="B3715">
        <v>1500</v>
      </c>
      <c r="C3715" s="455">
        <v>0</v>
      </c>
      <c r="D3715" s="637">
        <f t="shared" si="126"/>
        <v>0</v>
      </c>
      <c r="E3715" s="637">
        <f t="shared" si="127"/>
        <v>0</v>
      </c>
    </row>
    <row r="3716" spans="1:5">
      <c r="A3716">
        <v>60413</v>
      </c>
      <c r="B3716">
        <v>1600</v>
      </c>
      <c r="C3716" s="455">
        <v>0</v>
      </c>
      <c r="D3716" s="637">
        <f t="shared" si="126"/>
        <v>0</v>
      </c>
      <c r="E3716" s="637">
        <f t="shared" si="127"/>
        <v>0</v>
      </c>
    </row>
    <row r="3717" spans="1:5">
      <c r="A3717">
        <v>60413</v>
      </c>
      <c r="B3717">
        <v>1700</v>
      </c>
      <c r="C3717" s="455">
        <v>0</v>
      </c>
      <c r="D3717" s="637">
        <f t="shared" si="126"/>
        <v>0</v>
      </c>
      <c r="E3717" s="637">
        <f t="shared" si="127"/>
        <v>0</v>
      </c>
    </row>
    <row r="3718" spans="1:5">
      <c r="A3718">
        <v>60413</v>
      </c>
      <c r="B3718">
        <v>1800</v>
      </c>
      <c r="C3718" s="455">
        <v>0</v>
      </c>
      <c r="D3718" s="637">
        <f t="shared" si="126"/>
        <v>0</v>
      </c>
      <c r="E3718" s="637">
        <f t="shared" si="127"/>
        <v>0</v>
      </c>
    </row>
    <row r="3719" spans="1:5">
      <c r="A3719">
        <v>60413</v>
      </c>
      <c r="B3719">
        <v>1900</v>
      </c>
      <c r="C3719" s="455">
        <v>0</v>
      </c>
      <c r="D3719" s="637">
        <f t="shared" si="126"/>
        <v>0</v>
      </c>
      <c r="E3719" s="637">
        <f t="shared" si="127"/>
        <v>0</v>
      </c>
    </row>
    <row r="3720" spans="1:5">
      <c r="A3720">
        <v>60413</v>
      </c>
      <c r="B3720">
        <v>2000</v>
      </c>
      <c r="C3720" s="455">
        <v>4.5860000000000003</v>
      </c>
      <c r="D3720" s="637">
        <f t="shared" si="126"/>
        <v>9.5159500000000019</v>
      </c>
      <c r="E3720" s="637">
        <f t="shared" si="127"/>
        <v>15.363100000000006</v>
      </c>
    </row>
    <row r="3721" spans="1:5">
      <c r="A3721">
        <v>60413</v>
      </c>
      <c r="B3721">
        <v>2100</v>
      </c>
      <c r="C3721" s="455">
        <v>7.7889999999999997</v>
      </c>
      <c r="D3721" s="637">
        <f t="shared" si="126"/>
        <v>16.162175000000001</v>
      </c>
      <c r="E3721" s="637">
        <f t="shared" si="127"/>
        <v>26.093150000000009</v>
      </c>
    </row>
    <row r="3722" spans="1:5">
      <c r="A3722">
        <v>60413</v>
      </c>
      <c r="B3722">
        <v>2200</v>
      </c>
      <c r="C3722" s="455">
        <v>7.3120000000000003</v>
      </c>
      <c r="D3722" s="637">
        <f t="shared" si="126"/>
        <v>15.172400000000001</v>
      </c>
      <c r="E3722" s="637">
        <f t="shared" si="127"/>
        <v>24.495200000000008</v>
      </c>
    </row>
    <row r="3723" spans="1:5">
      <c r="A3723">
        <v>60413</v>
      </c>
      <c r="B3723">
        <v>2300</v>
      </c>
      <c r="C3723" s="455">
        <v>6.96</v>
      </c>
      <c r="D3723" s="637">
        <f t="shared" si="126"/>
        <v>14.442000000000002</v>
      </c>
      <c r="E3723" s="637">
        <f t="shared" si="127"/>
        <v>23.31600000000001</v>
      </c>
    </row>
    <row r="3724" spans="1:5">
      <c r="A3724">
        <v>60413</v>
      </c>
      <c r="B3724">
        <v>2400</v>
      </c>
      <c r="C3724" s="455">
        <v>7.3179999999999996</v>
      </c>
      <c r="D3724" s="637">
        <f t="shared" si="126"/>
        <v>15.184850000000001</v>
      </c>
      <c r="E3724" s="637">
        <f t="shared" si="127"/>
        <v>24.515300000000007</v>
      </c>
    </row>
    <row r="3725" spans="1:5">
      <c r="A3725">
        <v>60513</v>
      </c>
      <c r="B3725">
        <v>100</v>
      </c>
      <c r="C3725" s="455">
        <v>7.2549999999999999</v>
      </c>
      <c r="D3725" s="637">
        <f t="shared" si="126"/>
        <v>15.054125000000003</v>
      </c>
      <c r="E3725" s="637">
        <f t="shared" si="127"/>
        <v>24.304250000000007</v>
      </c>
    </row>
    <row r="3726" spans="1:5">
      <c r="A3726">
        <v>60513</v>
      </c>
      <c r="B3726">
        <v>200</v>
      </c>
      <c r="C3726" s="455">
        <v>7.1760000000000002</v>
      </c>
      <c r="D3726" s="637">
        <f t="shared" si="126"/>
        <v>14.890200000000004</v>
      </c>
      <c r="E3726" s="637">
        <f t="shared" si="127"/>
        <v>24.039600000000011</v>
      </c>
    </row>
    <row r="3727" spans="1:5">
      <c r="A3727">
        <v>60513</v>
      </c>
      <c r="B3727">
        <v>300</v>
      </c>
      <c r="C3727" s="455">
        <v>7.2489999999999997</v>
      </c>
      <c r="D3727" s="637">
        <f t="shared" si="126"/>
        <v>15.041675000000003</v>
      </c>
      <c r="E3727" s="637">
        <f t="shared" si="127"/>
        <v>24.284150000000011</v>
      </c>
    </row>
    <row r="3728" spans="1:5">
      <c r="A3728">
        <v>60513</v>
      </c>
      <c r="B3728">
        <v>400</v>
      </c>
      <c r="C3728" s="455">
        <v>7.1070000000000002</v>
      </c>
      <c r="D3728" s="637">
        <f t="shared" si="126"/>
        <v>14.747025000000002</v>
      </c>
      <c r="E3728" s="637">
        <f t="shared" si="127"/>
        <v>23.808450000000011</v>
      </c>
    </row>
    <row r="3729" spans="1:5">
      <c r="A3729">
        <v>60513</v>
      </c>
      <c r="B3729">
        <v>500</v>
      </c>
      <c r="C3729" s="455">
        <v>8.8689999999999998</v>
      </c>
      <c r="D3729" s="637">
        <f t="shared" si="126"/>
        <v>18.403175000000001</v>
      </c>
      <c r="E3729" s="637">
        <f t="shared" si="127"/>
        <v>29.711150000000011</v>
      </c>
    </row>
    <row r="3730" spans="1:5">
      <c r="A3730">
        <v>60513</v>
      </c>
      <c r="B3730">
        <v>600</v>
      </c>
      <c r="C3730" s="455">
        <v>0.66800000000000004</v>
      </c>
      <c r="D3730" s="637">
        <f t="shared" si="126"/>
        <v>1.3861000000000003</v>
      </c>
      <c r="E3730" s="637">
        <f t="shared" si="127"/>
        <v>2.2378000000000009</v>
      </c>
    </row>
    <row r="3731" spans="1:5">
      <c r="A3731">
        <v>60513</v>
      </c>
      <c r="B3731">
        <v>700</v>
      </c>
      <c r="C3731" s="455">
        <v>0</v>
      </c>
      <c r="D3731" s="637">
        <f t="shared" si="126"/>
        <v>0</v>
      </c>
      <c r="E3731" s="637">
        <f t="shared" si="127"/>
        <v>0</v>
      </c>
    </row>
    <row r="3732" spans="1:5">
      <c r="A3732">
        <v>60513</v>
      </c>
      <c r="B3732">
        <v>800</v>
      </c>
      <c r="C3732" s="455">
        <v>0</v>
      </c>
      <c r="D3732" s="637">
        <f t="shared" si="126"/>
        <v>0</v>
      </c>
      <c r="E3732" s="637">
        <f t="shared" si="127"/>
        <v>0</v>
      </c>
    </row>
    <row r="3733" spans="1:5">
      <c r="A3733">
        <v>60513</v>
      </c>
      <c r="B3733">
        <v>900</v>
      </c>
      <c r="C3733" s="455">
        <v>0</v>
      </c>
      <c r="D3733" s="637">
        <f t="shared" si="126"/>
        <v>0</v>
      </c>
      <c r="E3733" s="637">
        <f t="shared" si="127"/>
        <v>0</v>
      </c>
    </row>
    <row r="3734" spans="1:5">
      <c r="A3734">
        <v>60513</v>
      </c>
      <c r="B3734">
        <v>1000</v>
      </c>
      <c r="C3734" s="455">
        <v>0</v>
      </c>
      <c r="D3734" s="637">
        <f t="shared" si="126"/>
        <v>0</v>
      </c>
      <c r="E3734" s="637">
        <f t="shared" si="127"/>
        <v>0</v>
      </c>
    </row>
    <row r="3735" spans="1:5">
      <c r="A3735">
        <v>60513</v>
      </c>
      <c r="B3735">
        <v>1100</v>
      </c>
      <c r="C3735" s="455">
        <v>0</v>
      </c>
      <c r="D3735" s="637">
        <f t="shared" si="126"/>
        <v>0</v>
      </c>
      <c r="E3735" s="637">
        <f t="shared" si="127"/>
        <v>0</v>
      </c>
    </row>
    <row r="3736" spans="1:5">
      <c r="A3736">
        <v>60513</v>
      </c>
      <c r="B3736">
        <v>1200</v>
      </c>
      <c r="C3736" s="455">
        <v>0</v>
      </c>
      <c r="D3736" s="637">
        <f t="shared" si="126"/>
        <v>0</v>
      </c>
      <c r="E3736" s="637">
        <f t="shared" si="127"/>
        <v>0</v>
      </c>
    </row>
    <row r="3737" spans="1:5">
      <c r="A3737">
        <v>60513</v>
      </c>
      <c r="B3737">
        <v>1300</v>
      </c>
      <c r="C3737" s="455">
        <v>0</v>
      </c>
      <c r="D3737" s="637">
        <f t="shared" si="126"/>
        <v>0</v>
      </c>
      <c r="E3737" s="637">
        <f t="shared" si="127"/>
        <v>0</v>
      </c>
    </row>
    <row r="3738" spans="1:5">
      <c r="A3738">
        <v>60513</v>
      </c>
      <c r="B3738">
        <v>1400</v>
      </c>
      <c r="C3738" s="455">
        <v>0</v>
      </c>
      <c r="D3738" s="637">
        <f t="shared" si="126"/>
        <v>0</v>
      </c>
      <c r="E3738" s="637">
        <f t="shared" si="127"/>
        <v>0</v>
      </c>
    </row>
    <row r="3739" spans="1:5">
      <c r="A3739">
        <v>60513</v>
      </c>
      <c r="B3739">
        <v>1500</v>
      </c>
      <c r="C3739" s="455">
        <v>0</v>
      </c>
      <c r="D3739" s="637">
        <f t="shared" si="126"/>
        <v>0</v>
      </c>
      <c r="E3739" s="637">
        <f t="shared" si="127"/>
        <v>0</v>
      </c>
    </row>
    <row r="3740" spans="1:5">
      <c r="A3740">
        <v>60513</v>
      </c>
      <c r="B3740">
        <v>1600</v>
      </c>
      <c r="C3740" s="455">
        <v>1E-3</v>
      </c>
      <c r="D3740" s="637">
        <f t="shared" si="126"/>
        <v>2.0750000000000005E-3</v>
      </c>
      <c r="E3740" s="637">
        <f t="shared" si="127"/>
        <v>3.3500000000000014E-3</v>
      </c>
    </row>
    <row r="3741" spans="1:5">
      <c r="A3741">
        <v>60513</v>
      </c>
      <c r="B3741">
        <v>1700</v>
      </c>
      <c r="C3741" s="455">
        <v>0</v>
      </c>
      <c r="D3741" s="637">
        <f t="shared" si="126"/>
        <v>0</v>
      </c>
      <c r="E3741" s="637">
        <f t="shared" si="127"/>
        <v>0</v>
      </c>
    </row>
    <row r="3742" spans="1:5">
      <c r="A3742">
        <v>60513</v>
      </c>
      <c r="B3742">
        <v>1800</v>
      </c>
      <c r="C3742" s="455">
        <v>0</v>
      </c>
      <c r="D3742" s="637">
        <f t="shared" si="126"/>
        <v>0</v>
      </c>
      <c r="E3742" s="637">
        <f t="shared" si="127"/>
        <v>0</v>
      </c>
    </row>
    <row r="3743" spans="1:5">
      <c r="A3743">
        <v>60513</v>
      </c>
      <c r="B3743">
        <v>1900</v>
      </c>
      <c r="C3743" s="455">
        <v>0</v>
      </c>
      <c r="D3743" s="637">
        <f t="shared" si="126"/>
        <v>0</v>
      </c>
      <c r="E3743" s="637">
        <f t="shared" si="127"/>
        <v>0</v>
      </c>
    </row>
    <row r="3744" spans="1:5">
      <c r="A3744">
        <v>60513</v>
      </c>
      <c r="B3744">
        <v>2000</v>
      </c>
      <c r="C3744" s="455">
        <v>6.7089999999999996</v>
      </c>
      <c r="D3744" s="637">
        <f t="shared" si="126"/>
        <v>13.921175000000002</v>
      </c>
      <c r="E3744" s="637">
        <f t="shared" si="127"/>
        <v>22.475150000000006</v>
      </c>
    </row>
    <row r="3745" spans="1:5">
      <c r="A3745">
        <v>60513</v>
      </c>
      <c r="B3745">
        <v>2100</v>
      </c>
      <c r="C3745" s="455">
        <v>7.141</v>
      </c>
      <c r="D3745" s="637">
        <f t="shared" si="126"/>
        <v>14.817575000000001</v>
      </c>
      <c r="E3745" s="637">
        <f t="shared" si="127"/>
        <v>23.922350000000009</v>
      </c>
    </row>
    <row r="3746" spans="1:5">
      <c r="A3746">
        <v>60513</v>
      </c>
      <c r="B3746">
        <v>2200</v>
      </c>
      <c r="C3746" s="455">
        <v>7.165</v>
      </c>
      <c r="D3746" s="637">
        <f t="shared" si="126"/>
        <v>14.867375000000003</v>
      </c>
      <c r="E3746" s="637">
        <f t="shared" si="127"/>
        <v>24.00275000000001</v>
      </c>
    </row>
    <row r="3747" spans="1:5">
      <c r="A3747">
        <v>60513</v>
      </c>
      <c r="B3747">
        <v>2300</v>
      </c>
      <c r="C3747" s="455">
        <v>7.2370000000000001</v>
      </c>
      <c r="D3747" s="637">
        <f t="shared" si="126"/>
        <v>15.016775000000003</v>
      </c>
      <c r="E3747" s="637">
        <f t="shared" si="127"/>
        <v>24.243950000000009</v>
      </c>
    </row>
    <row r="3748" spans="1:5">
      <c r="A3748">
        <v>60513</v>
      </c>
      <c r="B3748">
        <v>2400</v>
      </c>
      <c r="C3748" s="455">
        <v>7.1050000000000004</v>
      </c>
      <c r="D3748" s="637">
        <f t="shared" si="126"/>
        <v>14.742875000000003</v>
      </c>
      <c r="E3748" s="637">
        <f t="shared" si="127"/>
        <v>23.801750000000009</v>
      </c>
    </row>
    <row r="3749" spans="1:5">
      <c r="A3749">
        <v>60613</v>
      </c>
      <c r="B3749">
        <v>100</v>
      </c>
      <c r="C3749" s="455">
        <v>7.25</v>
      </c>
      <c r="D3749" s="637">
        <f t="shared" si="126"/>
        <v>15.043750000000003</v>
      </c>
      <c r="E3749" s="637">
        <f t="shared" si="127"/>
        <v>24.287500000000009</v>
      </c>
    </row>
    <row r="3750" spans="1:5">
      <c r="A3750">
        <v>60613</v>
      </c>
      <c r="B3750">
        <v>200</v>
      </c>
      <c r="C3750" s="455">
        <v>7.2549999999999999</v>
      </c>
      <c r="D3750" s="637">
        <f t="shared" si="126"/>
        <v>15.054125000000003</v>
      </c>
      <c r="E3750" s="637">
        <f t="shared" si="127"/>
        <v>24.304250000000007</v>
      </c>
    </row>
    <row r="3751" spans="1:5">
      <c r="A3751">
        <v>60613</v>
      </c>
      <c r="B3751">
        <v>300</v>
      </c>
      <c r="C3751" s="455">
        <v>7.1769999999999996</v>
      </c>
      <c r="D3751" s="637">
        <f t="shared" si="126"/>
        <v>14.892275000000001</v>
      </c>
      <c r="E3751" s="637">
        <f t="shared" si="127"/>
        <v>24.042950000000008</v>
      </c>
    </row>
    <row r="3752" spans="1:5">
      <c r="A3752">
        <v>60613</v>
      </c>
      <c r="B3752">
        <v>400</v>
      </c>
      <c r="C3752" s="455">
        <v>7.1749999999999998</v>
      </c>
      <c r="D3752" s="637">
        <f t="shared" si="126"/>
        <v>14.888125</v>
      </c>
      <c r="E3752" s="637">
        <f t="shared" si="127"/>
        <v>24.036250000000006</v>
      </c>
    </row>
    <row r="3753" spans="1:5">
      <c r="A3753">
        <v>60613</v>
      </c>
      <c r="B3753">
        <v>500</v>
      </c>
      <c r="C3753" s="455">
        <v>8.6549999999999994</v>
      </c>
      <c r="D3753" s="637">
        <f t="shared" si="126"/>
        <v>17.959125</v>
      </c>
      <c r="E3753" s="637">
        <f t="shared" si="127"/>
        <v>28.994250000000008</v>
      </c>
    </row>
    <row r="3754" spans="1:5">
      <c r="A3754">
        <v>60613</v>
      </c>
      <c r="B3754">
        <v>600</v>
      </c>
      <c r="C3754" s="455">
        <v>3.7309999999999999</v>
      </c>
      <c r="D3754" s="637">
        <f t="shared" si="126"/>
        <v>7.7418250000000004</v>
      </c>
      <c r="E3754" s="637">
        <f t="shared" si="127"/>
        <v>12.498850000000003</v>
      </c>
    </row>
    <row r="3755" spans="1:5">
      <c r="A3755">
        <v>60613</v>
      </c>
      <c r="B3755">
        <v>700</v>
      </c>
      <c r="C3755" s="455">
        <v>0</v>
      </c>
      <c r="D3755" s="637">
        <f t="shared" si="126"/>
        <v>0</v>
      </c>
      <c r="E3755" s="637">
        <f t="shared" si="127"/>
        <v>0</v>
      </c>
    </row>
    <row r="3756" spans="1:5">
      <c r="A3756">
        <v>60613</v>
      </c>
      <c r="B3756">
        <v>800</v>
      </c>
      <c r="C3756" s="455">
        <v>0</v>
      </c>
      <c r="D3756" s="637">
        <f t="shared" si="126"/>
        <v>0</v>
      </c>
      <c r="E3756" s="637">
        <f t="shared" si="127"/>
        <v>0</v>
      </c>
    </row>
    <row r="3757" spans="1:5">
      <c r="A3757">
        <v>60613</v>
      </c>
      <c r="B3757">
        <v>900</v>
      </c>
      <c r="C3757" s="455">
        <v>0</v>
      </c>
      <c r="D3757" s="637">
        <f t="shared" si="126"/>
        <v>0</v>
      </c>
      <c r="E3757" s="637">
        <f t="shared" si="127"/>
        <v>0</v>
      </c>
    </row>
    <row r="3758" spans="1:5">
      <c r="A3758">
        <v>60613</v>
      </c>
      <c r="B3758">
        <v>1000</v>
      </c>
      <c r="C3758" s="455">
        <v>0</v>
      </c>
      <c r="D3758" s="637">
        <f t="shared" ref="D3758:D3821" si="128">(C3758/(MAX($C$3629:$C$4348)))*$W$10</f>
        <v>0</v>
      </c>
      <c r="E3758" s="637">
        <f t="shared" ref="E3758:E3821" si="129">(C3758/(MAX($C$3629:$C$4348)))*$P$10</f>
        <v>0</v>
      </c>
    </row>
    <row r="3759" spans="1:5">
      <c r="A3759">
        <v>60613</v>
      </c>
      <c r="B3759">
        <v>1100</v>
      </c>
      <c r="C3759" s="455">
        <v>0</v>
      </c>
      <c r="D3759" s="637">
        <f t="shared" si="128"/>
        <v>0</v>
      </c>
      <c r="E3759" s="637">
        <f t="shared" si="129"/>
        <v>0</v>
      </c>
    </row>
    <row r="3760" spans="1:5">
      <c r="A3760">
        <v>60613</v>
      </c>
      <c r="B3760">
        <v>1200</v>
      </c>
      <c r="C3760" s="455">
        <v>0</v>
      </c>
      <c r="D3760" s="637">
        <f t="shared" si="128"/>
        <v>0</v>
      </c>
      <c r="E3760" s="637">
        <f t="shared" si="129"/>
        <v>0</v>
      </c>
    </row>
    <row r="3761" spans="1:5">
      <c r="A3761">
        <v>60613</v>
      </c>
      <c r="B3761">
        <v>1300</v>
      </c>
      <c r="C3761" s="455">
        <v>0</v>
      </c>
      <c r="D3761" s="637">
        <f t="shared" si="128"/>
        <v>0</v>
      </c>
      <c r="E3761" s="637">
        <f t="shared" si="129"/>
        <v>0</v>
      </c>
    </row>
    <row r="3762" spans="1:5">
      <c r="A3762">
        <v>60613</v>
      </c>
      <c r="B3762">
        <v>1400</v>
      </c>
      <c r="C3762" s="455">
        <v>0</v>
      </c>
      <c r="D3762" s="637">
        <f t="shared" si="128"/>
        <v>0</v>
      </c>
      <c r="E3762" s="637">
        <f t="shared" si="129"/>
        <v>0</v>
      </c>
    </row>
    <row r="3763" spans="1:5">
      <c r="A3763">
        <v>60613</v>
      </c>
      <c r="B3763">
        <v>1500</v>
      </c>
      <c r="C3763" s="455">
        <v>0</v>
      </c>
      <c r="D3763" s="637">
        <f t="shared" si="128"/>
        <v>0</v>
      </c>
      <c r="E3763" s="637">
        <f t="shared" si="129"/>
        <v>0</v>
      </c>
    </row>
    <row r="3764" spans="1:5">
      <c r="A3764">
        <v>60613</v>
      </c>
      <c r="B3764">
        <v>1600</v>
      </c>
      <c r="C3764" s="455">
        <v>0</v>
      </c>
      <c r="D3764" s="637">
        <f t="shared" si="128"/>
        <v>0</v>
      </c>
      <c r="E3764" s="637">
        <f t="shared" si="129"/>
        <v>0</v>
      </c>
    </row>
    <row r="3765" spans="1:5">
      <c r="A3765">
        <v>60613</v>
      </c>
      <c r="B3765">
        <v>1700</v>
      </c>
      <c r="C3765" s="455">
        <v>0</v>
      </c>
      <c r="D3765" s="637">
        <f t="shared" si="128"/>
        <v>0</v>
      </c>
      <c r="E3765" s="637">
        <f t="shared" si="129"/>
        <v>0</v>
      </c>
    </row>
    <row r="3766" spans="1:5">
      <c r="A3766">
        <v>60613</v>
      </c>
      <c r="B3766">
        <v>1800</v>
      </c>
      <c r="C3766" s="455">
        <v>2.5000000000000001E-2</v>
      </c>
      <c r="D3766" s="637">
        <f t="shared" si="128"/>
        <v>5.1875000000000011E-2</v>
      </c>
      <c r="E3766" s="637">
        <f t="shared" si="129"/>
        <v>8.3750000000000033E-2</v>
      </c>
    </row>
    <row r="3767" spans="1:5">
      <c r="A3767">
        <v>60613</v>
      </c>
      <c r="B3767">
        <v>1900</v>
      </c>
      <c r="C3767" s="455">
        <v>1.1859999999999999</v>
      </c>
      <c r="D3767" s="637">
        <f t="shared" si="128"/>
        <v>2.4609500000000004</v>
      </c>
      <c r="E3767" s="637">
        <f t="shared" si="129"/>
        <v>3.9731000000000014</v>
      </c>
    </row>
    <row r="3768" spans="1:5">
      <c r="A3768">
        <v>60613</v>
      </c>
      <c r="B3768">
        <v>2000</v>
      </c>
      <c r="C3768" s="455">
        <v>11.257</v>
      </c>
      <c r="D3768" s="637">
        <f t="shared" si="128"/>
        <v>23.358275000000003</v>
      </c>
      <c r="E3768" s="637">
        <f t="shared" si="129"/>
        <v>37.710950000000011</v>
      </c>
    </row>
    <row r="3769" spans="1:5">
      <c r="A3769">
        <v>60613</v>
      </c>
      <c r="B3769">
        <v>2100</v>
      </c>
      <c r="C3769" s="455">
        <v>7.2089999999999996</v>
      </c>
      <c r="D3769" s="637">
        <f t="shared" si="128"/>
        <v>14.958675000000003</v>
      </c>
      <c r="E3769" s="637">
        <f t="shared" si="129"/>
        <v>24.150150000000007</v>
      </c>
    </row>
    <row r="3770" spans="1:5">
      <c r="A3770">
        <v>60613</v>
      </c>
      <c r="B3770">
        <v>2200</v>
      </c>
      <c r="C3770" s="455">
        <v>7.024</v>
      </c>
      <c r="D3770" s="637">
        <f t="shared" si="128"/>
        <v>14.574800000000002</v>
      </c>
      <c r="E3770" s="637">
        <f t="shared" si="129"/>
        <v>23.530400000000007</v>
      </c>
    </row>
    <row r="3771" spans="1:5">
      <c r="A3771">
        <v>60613</v>
      </c>
      <c r="B3771">
        <v>2300</v>
      </c>
      <c r="C3771" s="455">
        <v>7.0890000000000004</v>
      </c>
      <c r="D3771" s="637">
        <f t="shared" si="128"/>
        <v>14.709675000000004</v>
      </c>
      <c r="E3771" s="637">
        <f t="shared" si="129"/>
        <v>23.74815000000001</v>
      </c>
    </row>
    <row r="3772" spans="1:5">
      <c r="A3772">
        <v>60613</v>
      </c>
      <c r="B3772">
        <v>2400</v>
      </c>
      <c r="C3772" s="455">
        <v>7.2489999999999997</v>
      </c>
      <c r="D3772" s="637">
        <f t="shared" si="128"/>
        <v>15.041675000000003</v>
      </c>
      <c r="E3772" s="637">
        <f t="shared" si="129"/>
        <v>24.284150000000011</v>
      </c>
    </row>
    <row r="3773" spans="1:5">
      <c r="A3773">
        <v>60713</v>
      </c>
      <c r="B3773">
        <v>100</v>
      </c>
      <c r="C3773" s="455">
        <v>7.2720000000000002</v>
      </c>
      <c r="D3773" s="637">
        <f t="shared" si="128"/>
        <v>15.089400000000003</v>
      </c>
      <c r="E3773" s="637">
        <f t="shared" si="129"/>
        <v>24.361200000000011</v>
      </c>
    </row>
    <row r="3774" spans="1:5">
      <c r="A3774">
        <v>60713</v>
      </c>
      <c r="B3774">
        <v>200</v>
      </c>
      <c r="C3774" s="455">
        <v>7.1769999999999996</v>
      </c>
      <c r="D3774" s="637">
        <f t="shared" si="128"/>
        <v>14.892275000000001</v>
      </c>
      <c r="E3774" s="637">
        <f t="shared" si="129"/>
        <v>24.042950000000008</v>
      </c>
    </row>
    <row r="3775" spans="1:5">
      <c r="A3775">
        <v>60713</v>
      </c>
      <c r="B3775">
        <v>300</v>
      </c>
      <c r="C3775" s="455">
        <v>7.2539999999999996</v>
      </c>
      <c r="D3775" s="637">
        <f t="shared" si="128"/>
        <v>15.052050000000001</v>
      </c>
      <c r="E3775" s="637">
        <f t="shared" si="129"/>
        <v>24.300900000000009</v>
      </c>
    </row>
    <row r="3776" spans="1:5">
      <c r="A3776">
        <v>60713</v>
      </c>
      <c r="B3776">
        <v>400</v>
      </c>
      <c r="C3776" s="455">
        <v>7.569</v>
      </c>
      <c r="D3776" s="637">
        <f t="shared" si="128"/>
        <v>15.705675000000001</v>
      </c>
      <c r="E3776" s="637">
        <f t="shared" si="129"/>
        <v>25.356150000000007</v>
      </c>
    </row>
    <row r="3777" spans="1:5">
      <c r="A3777">
        <v>60713</v>
      </c>
      <c r="B3777">
        <v>500</v>
      </c>
      <c r="C3777" s="455">
        <v>9.2970000000000006</v>
      </c>
      <c r="D3777" s="637">
        <f t="shared" si="128"/>
        <v>19.291275000000006</v>
      </c>
      <c r="E3777" s="637">
        <f t="shared" si="129"/>
        <v>31.144950000000016</v>
      </c>
    </row>
    <row r="3778" spans="1:5">
      <c r="A3778">
        <v>60713</v>
      </c>
      <c r="B3778">
        <v>600</v>
      </c>
      <c r="C3778" s="455">
        <v>0.77100000000000002</v>
      </c>
      <c r="D3778" s="637">
        <f t="shared" si="128"/>
        <v>1.5998250000000003</v>
      </c>
      <c r="E3778" s="637">
        <f t="shared" si="129"/>
        <v>2.582850000000001</v>
      </c>
    </row>
    <row r="3779" spans="1:5">
      <c r="A3779">
        <v>60713</v>
      </c>
      <c r="B3779">
        <v>700</v>
      </c>
      <c r="C3779" s="455">
        <v>5.0000000000000001E-3</v>
      </c>
      <c r="D3779" s="637">
        <f t="shared" si="128"/>
        <v>1.0375000000000002E-2</v>
      </c>
      <c r="E3779" s="637">
        <f t="shared" si="129"/>
        <v>1.6750000000000008E-2</v>
      </c>
    </row>
    <row r="3780" spans="1:5">
      <c r="A3780">
        <v>60713</v>
      </c>
      <c r="B3780">
        <v>800</v>
      </c>
      <c r="C3780" s="455">
        <v>0</v>
      </c>
      <c r="D3780" s="637">
        <f t="shared" si="128"/>
        <v>0</v>
      </c>
      <c r="E3780" s="637">
        <f t="shared" si="129"/>
        <v>0</v>
      </c>
    </row>
    <row r="3781" spans="1:5">
      <c r="A3781">
        <v>60713</v>
      </c>
      <c r="B3781">
        <v>900</v>
      </c>
      <c r="C3781" s="455">
        <v>1E-3</v>
      </c>
      <c r="D3781" s="637">
        <f t="shared" si="128"/>
        <v>2.0750000000000005E-3</v>
      </c>
      <c r="E3781" s="637">
        <f t="shared" si="129"/>
        <v>3.3500000000000014E-3</v>
      </c>
    </row>
    <row r="3782" spans="1:5">
      <c r="A3782">
        <v>60713</v>
      </c>
      <c r="B3782">
        <v>1000</v>
      </c>
      <c r="C3782" s="455">
        <v>0</v>
      </c>
      <c r="D3782" s="637">
        <f t="shared" si="128"/>
        <v>0</v>
      </c>
      <c r="E3782" s="637">
        <f t="shared" si="129"/>
        <v>0</v>
      </c>
    </row>
    <row r="3783" spans="1:5">
      <c r="A3783">
        <v>60713</v>
      </c>
      <c r="B3783">
        <v>1100</v>
      </c>
      <c r="C3783" s="455">
        <v>0</v>
      </c>
      <c r="D3783" s="637">
        <f t="shared" si="128"/>
        <v>0</v>
      </c>
      <c r="E3783" s="637">
        <f t="shared" si="129"/>
        <v>0</v>
      </c>
    </row>
    <row r="3784" spans="1:5">
      <c r="A3784">
        <v>60713</v>
      </c>
      <c r="B3784">
        <v>1200</v>
      </c>
      <c r="C3784" s="455">
        <v>0</v>
      </c>
      <c r="D3784" s="637">
        <f t="shared" si="128"/>
        <v>0</v>
      </c>
      <c r="E3784" s="637">
        <f t="shared" si="129"/>
        <v>0</v>
      </c>
    </row>
    <row r="3785" spans="1:5">
      <c r="A3785">
        <v>60713</v>
      </c>
      <c r="B3785">
        <v>1300</v>
      </c>
      <c r="C3785" s="455">
        <v>0</v>
      </c>
      <c r="D3785" s="637">
        <f t="shared" si="128"/>
        <v>0</v>
      </c>
      <c r="E3785" s="637">
        <f t="shared" si="129"/>
        <v>0</v>
      </c>
    </row>
    <row r="3786" spans="1:5">
      <c r="A3786">
        <v>60713</v>
      </c>
      <c r="B3786">
        <v>1400</v>
      </c>
      <c r="C3786" s="455">
        <v>0</v>
      </c>
      <c r="D3786" s="637">
        <f t="shared" si="128"/>
        <v>0</v>
      </c>
      <c r="E3786" s="637">
        <f t="shared" si="129"/>
        <v>0</v>
      </c>
    </row>
    <row r="3787" spans="1:5">
      <c r="A3787">
        <v>60713</v>
      </c>
      <c r="B3787">
        <v>1500</v>
      </c>
      <c r="C3787" s="455">
        <v>0</v>
      </c>
      <c r="D3787" s="637">
        <f t="shared" si="128"/>
        <v>0</v>
      </c>
      <c r="E3787" s="637">
        <f t="shared" si="129"/>
        <v>0</v>
      </c>
    </row>
    <row r="3788" spans="1:5">
      <c r="A3788">
        <v>60713</v>
      </c>
      <c r="B3788">
        <v>1600</v>
      </c>
      <c r="C3788" s="455">
        <v>0</v>
      </c>
      <c r="D3788" s="637">
        <f t="shared" si="128"/>
        <v>0</v>
      </c>
      <c r="E3788" s="637">
        <f t="shared" si="129"/>
        <v>0</v>
      </c>
    </row>
    <row r="3789" spans="1:5">
      <c r="A3789">
        <v>60713</v>
      </c>
      <c r="B3789">
        <v>1700</v>
      </c>
      <c r="C3789" s="455">
        <v>0</v>
      </c>
      <c r="D3789" s="637">
        <f t="shared" si="128"/>
        <v>0</v>
      </c>
      <c r="E3789" s="637">
        <f t="shared" si="129"/>
        <v>0</v>
      </c>
    </row>
    <row r="3790" spans="1:5">
      <c r="A3790">
        <v>60713</v>
      </c>
      <c r="B3790">
        <v>1800</v>
      </c>
      <c r="C3790" s="455">
        <v>0</v>
      </c>
      <c r="D3790" s="637">
        <f t="shared" si="128"/>
        <v>0</v>
      </c>
      <c r="E3790" s="637">
        <f t="shared" si="129"/>
        <v>0</v>
      </c>
    </row>
    <row r="3791" spans="1:5">
      <c r="A3791">
        <v>60713</v>
      </c>
      <c r="B3791">
        <v>1900</v>
      </c>
      <c r="C3791" s="455">
        <v>7.6999999999999999E-2</v>
      </c>
      <c r="D3791" s="637">
        <f t="shared" si="128"/>
        <v>0.15977500000000003</v>
      </c>
      <c r="E3791" s="637">
        <f t="shared" si="129"/>
        <v>0.25795000000000012</v>
      </c>
    </row>
    <row r="3792" spans="1:5">
      <c r="A3792">
        <v>60713</v>
      </c>
      <c r="B3792">
        <v>2000</v>
      </c>
      <c r="C3792" s="455">
        <v>8.26</v>
      </c>
      <c r="D3792" s="637">
        <f t="shared" si="128"/>
        <v>17.139500000000002</v>
      </c>
      <c r="E3792" s="637">
        <f t="shared" si="129"/>
        <v>27.67100000000001</v>
      </c>
    </row>
    <row r="3793" spans="1:5">
      <c r="A3793">
        <v>60713</v>
      </c>
      <c r="B3793">
        <v>2100</v>
      </c>
      <c r="C3793" s="455">
        <v>7.2709999999999999</v>
      </c>
      <c r="D3793" s="637">
        <f t="shared" si="128"/>
        <v>15.087325000000002</v>
      </c>
      <c r="E3793" s="637">
        <f t="shared" si="129"/>
        <v>24.357850000000006</v>
      </c>
    </row>
    <row r="3794" spans="1:5">
      <c r="A3794">
        <v>60713</v>
      </c>
      <c r="B3794">
        <v>2200</v>
      </c>
      <c r="C3794" s="455">
        <v>7.1760000000000002</v>
      </c>
      <c r="D3794" s="637">
        <f t="shared" si="128"/>
        <v>14.890200000000004</v>
      </c>
      <c r="E3794" s="637">
        <f t="shared" si="129"/>
        <v>24.039600000000011</v>
      </c>
    </row>
    <row r="3795" spans="1:5">
      <c r="A3795">
        <v>60713</v>
      </c>
      <c r="B3795">
        <v>2300</v>
      </c>
      <c r="C3795" s="455">
        <v>7.1689999999999996</v>
      </c>
      <c r="D3795" s="637">
        <f t="shared" si="128"/>
        <v>14.875675000000001</v>
      </c>
      <c r="E3795" s="637">
        <f t="shared" si="129"/>
        <v>24.016150000000007</v>
      </c>
    </row>
    <row r="3796" spans="1:5">
      <c r="A3796">
        <v>60713</v>
      </c>
      <c r="B3796">
        <v>2400</v>
      </c>
      <c r="C3796" s="455">
        <v>7.1109999999999998</v>
      </c>
      <c r="D3796" s="637">
        <f t="shared" si="128"/>
        <v>14.755325000000001</v>
      </c>
      <c r="E3796" s="637">
        <f t="shared" si="129"/>
        <v>23.821850000000008</v>
      </c>
    </row>
    <row r="3797" spans="1:5">
      <c r="A3797">
        <v>60813</v>
      </c>
      <c r="B3797">
        <v>100</v>
      </c>
      <c r="C3797" s="455">
        <v>7.3419999999999996</v>
      </c>
      <c r="D3797" s="637">
        <f t="shared" si="128"/>
        <v>15.234650000000002</v>
      </c>
      <c r="E3797" s="637">
        <f t="shared" si="129"/>
        <v>24.595700000000008</v>
      </c>
    </row>
    <row r="3798" spans="1:5">
      <c r="A3798">
        <v>60813</v>
      </c>
      <c r="B3798">
        <v>200</v>
      </c>
      <c r="C3798" s="455">
        <v>7.33</v>
      </c>
      <c r="D3798" s="637">
        <f t="shared" si="128"/>
        <v>15.209750000000001</v>
      </c>
      <c r="E3798" s="637">
        <f t="shared" si="129"/>
        <v>24.555500000000009</v>
      </c>
    </row>
    <row r="3799" spans="1:5">
      <c r="A3799">
        <v>60813</v>
      </c>
      <c r="B3799">
        <v>300</v>
      </c>
      <c r="C3799" s="455">
        <v>7.19</v>
      </c>
      <c r="D3799" s="637">
        <f t="shared" si="128"/>
        <v>14.919250000000002</v>
      </c>
      <c r="E3799" s="637">
        <f t="shared" si="129"/>
        <v>24.086500000000008</v>
      </c>
    </row>
    <row r="3800" spans="1:5">
      <c r="A3800">
        <v>60813</v>
      </c>
      <c r="B3800">
        <v>400</v>
      </c>
      <c r="C3800" s="455">
        <v>7.2629999999999999</v>
      </c>
      <c r="D3800" s="637">
        <f t="shared" si="128"/>
        <v>15.070725000000001</v>
      </c>
      <c r="E3800" s="637">
        <f t="shared" si="129"/>
        <v>24.331050000000008</v>
      </c>
    </row>
    <row r="3801" spans="1:5">
      <c r="A3801">
        <v>60813</v>
      </c>
      <c r="B3801">
        <v>500</v>
      </c>
      <c r="C3801" s="455">
        <v>8.82</v>
      </c>
      <c r="D3801" s="637">
        <f t="shared" si="128"/>
        <v>18.301500000000001</v>
      </c>
      <c r="E3801" s="637">
        <f t="shared" si="129"/>
        <v>29.547000000000011</v>
      </c>
    </row>
    <row r="3802" spans="1:5">
      <c r="A3802">
        <v>60813</v>
      </c>
      <c r="B3802">
        <v>600</v>
      </c>
      <c r="C3802" s="455">
        <v>3.3290000000000002</v>
      </c>
      <c r="D3802" s="637">
        <f t="shared" si="128"/>
        <v>6.9076750000000011</v>
      </c>
      <c r="E3802" s="637">
        <f t="shared" si="129"/>
        <v>11.152150000000004</v>
      </c>
    </row>
    <row r="3803" spans="1:5">
      <c r="A3803">
        <v>60813</v>
      </c>
      <c r="B3803">
        <v>700</v>
      </c>
      <c r="C3803" s="455">
        <v>0</v>
      </c>
      <c r="D3803" s="637">
        <f t="shared" si="128"/>
        <v>0</v>
      </c>
      <c r="E3803" s="637">
        <f t="shared" si="129"/>
        <v>0</v>
      </c>
    </row>
    <row r="3804" spans="1:5">
      <c r="A3804">
        <v>60813</v>
      </c>
      <c r="B3804">
        <v>800</v>
      </c>
      <c r="C3804" s="455">
        <v>0</v>
      </c>
      <c r="D3804" s="637">
        <f t="shared" si="128"/>
        <v>0</v>
      </c>
      <c r="E3804" s="637">
        <f t="shared" si="129"/>
        <v>0</v>
      </c>
    </row>
    <row r="3805" spans="1:5">
      <c r="A3805">
        <v>60813</v>
      </c>
      <c r="B3805">
        <v>900</v>
      </c>
      <c r="C3805" s="455">
        <v>0</v>
      </c>
      <c r="D3805" s="637">
        <f t="shared" si="128"/>
        <v>0</v>
      </c>
      <c r="E3805" s="637">
        <f t="shared" si="129"/>
        <v>0</v>
      </c>
    </row>
    <row r="3806" spans="1:5">
      <c r="A3806">
        <v>60813</v>
      </c>
      <c r="B3806">
        <v>1000</v>
      </c>
      <c r="C3806" s="455">
        <v>0</v>
      </c>
      <c r="D3806" s="637">
        <f t="shared" si="128"/>
        <v>0</v>
      </c>
      <c r="E3806" s="637">
        <f t="shared" si="129"/>
        <v>0</v>
      </c>
    </row>
    <row r="3807" spans="1:5">
      <c r="A3807">
        <v>60813</v>
      </c>
      <c r="B3807">
        <v>1100</v>
      </c>
      <c r="C3807" s="455">
        <v>0</v>
      </c>
      <c r="D3807" s="637">
        <f t="shared" si="128"/>
        <v>0</v>
      </c>
      <c r="E3807" s="637">
        <f t="shared" si="129"/>
        <v>0</v>
      </c>
    </row>
    <row r="3808" spans="1:5">
      <c r="A3808">
        <v>60813</v>
      </c>
      <c r="B3808">
        <v>1200</v>
      </c>
      <c r="C3808" s="455">
        <v>1E-3</v>
      </c>
      <c r="D3808" s="637">
        <f t="shared" si="128"/>
        <v>2.0750000000000005E-3</v>
      </c>
      <c r="E3808" s="637">
        <f t="shared" si="129"/>
        <v>3.3500000000000014E-3</v>
      </c>
    </row>
    <row r="3809" spans="1:5">
      <c r="A3809">
        <v>60813</v>
      </c>
      <c r="B3809">
        <v>1300</v>
      </c>
      <c r="C3809" s="455">
        <v>7.1999999999999995E-2</v>
      </c>
      <c r="D3809" s="637">
        <f t="shared" si="128"/>
        <v>0.14940000000000001</v>
      </c>
      <c r="E3809" s="637">
        <f t="shared" si="129"/>
        <v>0.24120000000000005</v>
      </c>
    </row>
    <row r="3810" spans="1:5">
      <c r="A3810">
        <v>60813</v>
      </c>
      <c r="B3810">
        <v>1400</v>
      </c>
      <c r="C3810" s="455">
        <v>0</v>
      </c>
      <c r="D3810" s="637">
        <f t="shared" si="128"/>
        <v>0</v>
      </c>
      <c r="E3810" s="637">
        <f t="shared" si="129"/>
        <v>0</v>
      </c>
    </row>
    <row r="3811" spans="1:5">
      <c r="A3811">
        <v>60813</v>
      </c>
      <c r="B3811">
        <v>1500</v>
      </c>
      <c r="C3811" s="455">
        <v>0</v>
      </c>
      <c r="D3811" s="637">
        <f t="shared" si="128"/>
        <v>0</v>
      </c>
      <c r="E3811" s="637">
        <f t="shared" si="129"/>
        <v>0</v>
      </c>
    </row>
    <row r="3812" spans="1:5">
      <c r="A3812">
        <v>60813</v>
      </c>
      <c r="B3812">
        <v>1600</v>
      </c>
      <c r="C3812" s="455">
        <v>0</v>
      </c>
      <c r="D3812" s="637">
        <f t="shared" si="128"/>
        <v>0</v>
      </c>
      <c r="E3812" s="637">
        <f t="shared" si="129"/>
        <v>0</v>
      </c>
    </row>
    <row r="3813" spans="1:5">
      <c r="A3813">
        <v>60813</v>
      </c>
      <c r="B3813">
        <v>1700</v>
      </c>
      <c r="C3813" s="455">
        <v>0</v>
      </c>
      <c r="D3813" s="637">
        <f t="shared" si="128"/>
        <v>0</v>
      </c>
      <c r="E3813" s="637">
        <f t="shared" si="129"/>
        <v>0</v>
      </c>
    </row>
    <row r="3814" spans="1:5">
      <c r="A3814">
        <v>60813</v>
      </c>
      <c r="B3814">
        <v>1800</v>
      </c>
      <c r="C3814" s="455">
        <v>0</v>
      </c>
      <c r="D3814" s="637">
        <f t="shared" si="128"/>
        <v>0</v>
      </c>
      <c r="E3814" s="637">
        <f t="shared" si="129"/>
        <v>0</v>
      </c>
    </row>
    <row r="3815" spans="1:5">
      <c r="A3815">
        <v>60813</v>
      </c>
      <c r="B3815">
        <v>1900</v>
      </c>
      <c r="C3815" s="455">
        <v>1.61</v>
      </c>
      <c r="D3815" s="637">
        <f t="shared" si="128"/>
        <v>3.3407500000000008</v>
      </c>
      <c r="E3815" s="637">
        <f t="shared" si="129"/>
        <v>5.3935000000000022</v>
      </c>
    </row>
    <row r="3816" spans="1:5">
      <c r="A3816">
        <v>60813</v>
      </c>
      <c r="B3816">
        <v>2000</v>
      </c>
      <c r="C3816" s="455">
        <v>4.4349999999999996</v>
      </c>
      <c r="D3816" s="637">
        <f t="shared" si="128"/>
        <v>9.2026249999999994</v>
      </c>
      <c r="E3816" s="637">
        <f t="shared" si="129"/>
        <v>14.857250000000002</v>
      </c>
    </row>
    <row r="3817" spans="1:5">
      <c r="A3817">
        <v>60813</v>
      </c>
      <c r="B3817">
        <v>2100</v>
      </c>
      <c r="C3817" s="455">
        <v>8.3740000000000006</v>
      </c>
      <c r="D3817" s="637">
        <f t="shared" si="128"/>
        <v>17.376050000000003</v>
      </c>
      <c r="E3817" s="637">
        <f t="shared" si="129"/>
        <v>28.052900000000012</v>
      </c>
    </row>
    <row r="3818" spans="1:5">
      <c r="A3818">
        <v>60813</v>
      </c>
      <c r="B3818">
        <v>2200</v>
      </c>
      <c r="C3818" s="455">
        <v>7.2590000000000003</v>
      </c>
      <c r="D3818" s="637">
        <f t="shared" si="128"/>
        <v>15.062425000000003</v>
      </c>
      <c r="E3818" s="637">
        <f t="shared" si="129"/>
        <v>24.317650000000011</v>
      </c>
    </row>
    <row r="3819" spans="1:5">
      <c r="A3819">
        <v>60813</v>
      </c>
      <c r="B3819">
        <v>2300</v>
      </c>
      <c r="C3819" s="455">
        <v>7.181</v>
      </c>
      <c r="D3819" s="637">
        <f t="shared" si="128"/>
        <v>14.900575000000002</v>
      </c>
      <c r="E3819" s="637">
        <f t="shared" si="129"/>
        <v>24.056350000000009</v>
      </c>
    </row>
    <row r="3820" spans="1:5">
      <c r="A3820">
        <v>60813</v>
      </c>
      <c r="B3820">
        <v>2400</v>
      </c>
      <c r="C3820" s="455">
        <v>7.1950000000000003</v>
      </c>
      <c r="D3820" s="637">
        <f t="shared" si="128"/>
        <v>14.929625000000003</v>
      </c>
      <c r="E3820" s="637">
        <f t="shared" si="129"/>
        <v>24.10325000000001</v>
      </c>
    </row>
    <row r="3821" spans="1:5">
      <c r="A3821">
        <v>60913</v>
      </c>
      <c r="B3821">
        <v>100</v>
      </c>
      <c r="C3821" s="455">
        <v>7.12</v>
      </c>
      <c r="D3821" s="637">
        <f t="shared" si="128"/>
        <v>14.774000000000001</v>
      </c>
      <c r="E3821" s="637">
        <f t="shared" si="129"/>
        <v>23.852000000000007</v>
      </c>
    </row>
    <row r="3822" spans="1:5">
      <c r="A3822">
        <v>60913</v>
      </c>
      <c r="B3822">
        <v>200</v>
      </c>
      <c r="C3822" s="455">
        <v>7.4260000000000002</v>
      </c>
      <c r="D3822" s="637">
        <f t="shared" ref="D3822:D3885" si="130">(C3822/(MAX($C$3629:$C$4348)))*$W$10</f>
        <v>15.408950000000001</v>
      </c>
      <c r="E3822" s="637">
        <f t="shared" ref="E3822:E3885" si="131">(C3822/(MAX($C$3629:$C$4348)))*$P$10</f>
        <v>24.877100000000009</v>
      </c>
    </row>
    <row r="3823" spans="1:5">
      <c r="A3823">
        <v>60913</v>
      </c>
      <c r="B3823">
        <v>300</v>
      </c>
      <c r="C3823" s="455">
        <v>7.1840000000000002</v>
      </c>
      <c r="D3823" s="637">
        <f t="shared" si="130"/>
        <v>14.906800000000004</v>
      </c>
      <c r="E3823" s="637">
        <f t="shared" si="131"/>
        <v>24.066400000000012</v>
      </c>
    </row>
    <row r="3824" spans="1:5">
      <c r="A3824">
        <v>60913</v>
      </c>
      <c r="B3824">
        <v>400</v>
      </c>
      <c r="C3824" s="455">
        <v>7.1109999999999998</v>
      </c>
      <c r="D3824" s="637">
        <f t="shared" si="130"/>
        <v>14.755325000000001</v>
      </c>
      <c r="E3824" s="637">
        <f t="shared" si="131"/>
        <v>23.821850000000008</v>
      </c>
    </row>
    <row r="3825" spans="1:5">
      <c r="A3825">
        <v>60913</v>
      </c>
      <c r="B3825">
        <v>500</v>
      </c>
      <c r="C3825" s="455">
        <v>6.6120000000000001</v>
      </c>
      <c r="D3825" s="637">
        <f t="shared" si="130"/>
        <v>13.719900000000003</v>
      </c>
      <c r="E3825" s="637">
        <f t="shared" si="131"/>
        <v>22.150200000000009</v>
      </c>
    </row>
    <row r="3826" spans="1:5">
      <c r="A3826">
        <v>60913</v>
      </c>
      <c r="B3826">
        <v>600</v>
      </c>
      <c r="C3826" s="455">
        <v>8.9999999999999993E-3</v>
      </c>
      <c r="D3826" s="637">
        <f t="shared" si="130"/>
        <v>1.8675000000000001E-2</v>
      </c>
      <c r="E3826" s="637">
        <f t="shared" si="131"/>
        <v>3.0150000000000007E-2</v>
      </c>
    </row>
    <row r="3827" spans="1:5">
      <c r="A3827">
        <v>60913</v>
      </c>
      <c r="B3827">
        <v>700</v>
      </c>
      <c r="C3827" s="455">
        <v>0</v>
      </c>
      <c r="D3827" s="637">
        <f t="shared" si="130"/>
        <v>0</v>
      </c>
      <c r="E3827" s="637">
        <f t="shared" si="131"/>
        <v>0</v>
      </c>
    </row>
    <row r="3828" spans="1:5">
      <c r="A3828">
        <v>60913</v>
      </c>
      <c r="B3828">
        <v>800</v>
      </c>
      <c r="C3828" s="455">
        <v>0</v>
      </c>
      <c r="D3828" s="637">
        <f t="shared" si="130"/>
        <v>0</v>
      </c>
      <c r="E3828" s="637">
        <f t="shared" si="131"/>
        <v>0</v>
      </c>
    </row>
    <row r="3829" spans="1:5">
      <c r="A3829">
        <v>60913</v>
      </c>
      <c r="B3829">
        <v>900</v>
      </c>
      <c r="C3829" s="455">
        <v>0</v>
      </c>
      <c r="D3829" s="637">
        <f t="shared" si="130"/>
        <v>0</v>
      </c>
      <c r="E3829" s="637">
        <f t="shared" si="131"/>
        <v>0</v>
      </c>
    </row>
    <row r="3830" spans="1:5">
      <c r="A3830">
        <v>60913</v>
      </c>
      <c r="B3830">
        <v>1000</v>
      </c>
      <c r="C3830" s="455">
        <v>0</v>
      </c>
      <c r="D3830" s="637">
        <f t="shared" si="130"/>
        <v>0</v>
      </c>
      <c r="E3830" s="637">
        <f t="shared" si="131"/>
        <v>0</v>
      </c>
    </row>
    <row r="3831" spans="1:5">
      <c r="A3831">
        <v>60913</v>
      </c>
      <c r="B3831">
        <v>1100</v>
      </c>
      <c r="C3831" s="455">
        <v>0</v>
      </c>
      <c r="D3831" s="637">
        <f t="shared" si="130"/>
        <v>0</v>
      </c>
      <c r="E3831" s="637">
        <f t="shared" si="131"/>
        <v>0</v>
      </c>
    </row>
    <row r="3832" spans="1:5">
      <c r="A3832">
        <v>60913</v>
      </c>
      <c r="B3832">
        <v>1200</v>
      </c>
      <c r="C3832" s="455">
        <v>0</v>
      </c>
      <c r="D3832" s="637">
        <f t="shared" si="130"/>
        <v>0</v>
      </c>
      <c r="E3832" s="637">
        <f t="shared" si="131"/>
        <v>0</v>
      </c>
    </row>
    <row r="3833" spans="1:5">
      <c r="A3833">
        <v>60913</v>
      </c>
      <c r="B3833">
        <v>1300</v>
      </c>
      <c r="C3833" s="455">
        <v>0</v>
      </c>
      <c r="D3833" s="637">
        <f t="shared" si="130"/>
        <v>0</v>
      </c>
      <c r="E3833" s="637">
        <f t="shared" si="131"/>
        <v>0</v>
      </c>
    </row>
    <row r="3834" spans="1:5">
      <c r="A3834">
        <v>60913</v>
      </c>
      <c r="B3834">
        <v>1400</v>
      </c>
      <c r="C3834" s="455">
        <v>0</v>
      </c>
      <c r="D3834" s="637">
        <f t="shared" si="130"/>
        <v>0</v>
      </c>
      <c r="E3834" s="637">
        <f t="shared" si="131"/>
        <v>0</v>
      </c>
    </row>
    <row r="3835" spans="1:5">
      <c r="A3835">
        <v>60913</v>
      </c>
      <c r="B3835">
        <v>1500</v>
      </c>
      <c r="C3835" s="455">
        <v>0</v>
      </c>
      <c r="D3835" s="637">
        <f t="shared" si="130"/>
        <v>0</v>
      </c>
      <c r="E3835" s="637">
        <f t="shared" si="131"/>
        <v>0</v>
      </c>
    </row>
    <row r="3836" spans="1:5">
      <c r="A3836">
        <v>60913</v>
      </c>
      <c r="B3836">
        <v>1600</v>
      </c>
      <c r="C3836" s="455">
        <v>0</v>
      </c>
      <c r="D3836" s="637">
        <f t="shared" si="130"/>
        <v>0</v>
      </c>
      <c r="E3836" s="637">
        <f t="shared" si="131"/>
        <v>0</v>
      </c>
    </row>
    <row r="3837" spans="1:5">
      <c r="A3837">
        <v>60913</v>
      </c>
      <c r="B3837">
        <v>1700</v>
      </c>
      <c r="C3837" s="455">
        <v>0</v>
      </c>
      <c r="D3837" s="637">
        <f t="shared" si="130"/>
        <v>0</v>
      </c>
      <c r="E3837" s="637">
        <f t="shared" si="131"/>
        <v>0</v>
      </c>
    </row>
    <row r="3838" spans="1:5">
      <c r="A3838">
        <v>60913</v>
      </c>
      <c r="B3838">
        <v>1800</v>
      </c>
      <c r="C3838" s="455">
        <v>0</v>
      </c>
      <c r="D3838" s="637">
        <f t="shared" si="130"/>
        <v>0</v>
      </c>
      <c r="E3838" s="637">
        <f t="shared" si="131"/>
        <v>0</v>
      </c>
    </row>
    <row r="3839" spans="1:5">
      <c r="A3839">
        <v>60913</v>
      </c>
      <c r="B3839">
        <v>1900</v>
      </c>
      <c r="C3839" s="455">
        <v>0</v>
      </c>
      <c r="D3839" s="637">
        <f t="shared" si="130"/>
        <v>0</v>
      </c>
      <c r="E3839" s="637">
        <f t="shared" si="131"/>
        <v>0</v>
      </c>
    </row>
    <row r="3840" spans="1:5">
      <c r="A3840">
        <v>60913</v>
      </c>
      <c r="B3840">
        <v>2000</v>
      </c>
      <c r="C3840" s="455">
        <v>3.0659999999999998</v>
      </c>
      <c r="D3840" s="637">
        <f t="shared" si="130"/>
        <v>6.3619500000000011</v>
      </c>
      <c r="E3840" s="637">
        <f t="shared" si="131"/>
        <v>10.271100000000004</v>
      </c>
    </row>
    <row r="3841" spans="1:5">
      <c r="A3841">
        <v>60913</v>
      </c>
      <c r="B3841">
        <v>2100</v>
      </c>
      <c r="C3841" s="455">
        <v>8.4120000000000008</v>
      </c>
      <c r="D3841" s="637">
        <f t="shared" si="130"/>
        <v>17.454900000000006</v>
      </c>
      <c r="E3841" s="637">
        <f t="shared" si="131"/>
        <v>28.180200000000013</v>
      </c>
    </row>
    <row r="3842" spans="1:5">
      <c r="A3842">
        <v>60913</v>
      </c>
      <c r="B3842">
        <v>2200</v>
      </c>
      <c r="C3842" s="455">
        <v>7.1230000000000002</v>
      </c>
      <c r="D3842" s="637">
        <f t="shared" si="130"/>
        <v>14.780225000000002</v>
      </c>
      <c r="E3842" s="637">
        <f t="shared" si="131"/>
        <v>23.862050000000007</v>
      </c>
    </row>
    <row r="3843" spans="1:5">
      <c r="A3843">
        <v>60913</v>
      </c>
      <c r="B3843">
        <v>2300</v>
      </c>
      <c r="C3843" s="455">
        <v>7.1769999999999996</v>
      </c>
      <c r="D3843" s="637">
        <f t="shared" si="130"/>
        <v>14.892275000000001</v>
      </c>
      <c r="E3843" s="637">
        <f t="shared" si="131"/>
        <v>24.042950000000008</v>
      </c>
    </row>
    <row r="3844" spans="1:5">
      <c r="A3844">
        <v>60913</v>
      </c>
      <c r="B3844">
        <v>2400</v>
      </c>
      <c r="C3844" s="455">
        <v>7.0350000000000001</v>
      </c>
      <c r="D3844" s="637">
        <f t="shared" si="130"/>
        <v>14.597625000000001</v>
      </c>
      <c r="E3844" s="637">
        <f t="shared" si="131"/>
        <v>23.567250000000008</v>
      </c>
    </row>
    <row r="3845" spans="1:5">
      <c r="A3845">
        <v>61013</v>
      </c>
      <c r="B3845">
        <v>100</v>
      </c>
      <c r="C3845" s="455">
        <v>7.25</v>
      </c>
      <c r="D3845" s="637">
        <f t="shared" si="130"/>
        <v>15.043750000000003</v>
      </c>
      <c r="E3845" s="637">
        <f t="shared" si="131"/>
        <v>24.287500000000009</v>
      </c>
    </row>
    <row r="3846" spans="1:5">
      <c r="A3846">
        <v>61013</v>
      </c>
      <c r="B3846">
        <v>200</v>
      </c>
      <c r="C3846" s="455">
        <v>6.8929999999999998</v>
      </c>
      <c r="D3846" s="637">
        <f t="shared" si="130"/>
        <v>14.302975000000002</v>
      </c>
      <c r="E3846" s="637">
        <f t="shared" si="131"/>
        <v>23.091550000000009</v>
      </c>
    </row>
    <row r="3847" spans="1:5">
      <c r="A3847">
        <v>61013</v>
      </c>
      <c r="B3847">
        <v>300</v>
      </c>
      <c r="C3847" s="455">
        <v>7.2539999999999996</v>
      </c>
      <c r="D3847" s="637">
        <f t="shared" si="130"/>
        <v>15.052050000000001</v>
      </c>
      <c r="E3847" s="637">
        <f t="shared" si="131"/>
        <v>24.300900000000009</v>
      </c>
    </row>
    <row r="3848" spans="1:5">
      <c r="A3848">
        <v>61013</v>
      </c>
      <c r="B3848">
        <v>400</v>
      </c>
      <c r="C3848" s="455">
        <v>7.2549999999999999</v>
      </c>
      <c r="D3848" s="637">
        <f t="shared" si="130"/>
        <v>15.054125000000003</v>
      </c>
      <c r="E3848" s="637">
        <f t="shared" si="131"/>
        <v>24.304250000000007</v>
      </c>
    </row>
    <row r="3849" spans="1:5">
      <c r="A3849">
        <v>61013</v>
      </c>
      <c r="B3849">
        <v>500</v>
      </c>
      <c r="C3849" s="455">
        <v>8.1319999999999997</v>
      </c>
      <c r="D3849" s="637">
        <f t="shared" si="130"/>
        <v>16.873900000000003</v>
      </c>
      <c r="E3849" s="637">
        <f t="shared" si="131"/>
        <v>27.242200000000008</v>
      </c>
    </row>
    <row r="3850" spans="1:5">
      <c r="A3850">
        <v>61013</v>
      </c>
      <c r="B3850">
        <v>600</v>
      </c>
      <c r="C3850" s="455">
        <v>0.69599999999999995</v>
      </c>
      <c r="D3850" s="637">
        <f t="shared" si="130"/>
        <v>1.4442000000000002</v>
      </c>
      <c r="E3850" s="637">
        <f t="shared" si="131"/>
        <v>2.3316000000000008</v>
      </c>
    </row>
    <row r="3851" spans="1:5">
      <c r="A3851">
        <v>61013</v>
      </c>
      <c r="B3851">
        <v>700</v>
      </c>
      <c r="C3851" s="455">
        <v>5.0000000000000001E-3</v>
      </c>
      <c r="D3851" s="637">
        <f t="shared" si="130"/>
        <v>1.0375000000000002E-2</v>
      </c>
      <c r="E3851" s="637">
        <f t="shared" si="131"/>
        <v>1.6750000000000008E-2</v>
      </c>
    </row>
    <row r="3852" spans="1:5">
      <c r="A3852">
        <v>61013</v>
      </c>
      <c r="B3852">
        <v>800</v>
      </c>
      <c r="C3852" s="455">
        <v>1E-3</v>
      </c>
      <c r="D3852" s="637">
        <f t="shared" si="130"/>
        <v>2.0750000000000005E-3</v>
      </c>
      <c r="E3852" s="637">
        <f t="shared" si="131"/>
        <v>3.3500000000000014E-3</v>
      </c>
    </row>
    <row r="3853" spans="1:5">
      <c r="A3853">
        <v>61013</v>
      </c>
      <c r="B3853">
        <v>900</v>
      </c>
      <c r="C3853" s="455">
        <v>1.2E-2</v>
      </c>
      <c r="D3853" s="637">
        <f t="shared" si="130"/>
        <v>2.4900000000000005E-2</v>
      </c>
      <c r="E3853" s="637">
        <f t="shared" si="131"/>
        <v>4.020000000000002E-2</v>
      </c>
    </row>
    <row r="3854" spans="1:5">
      <c r="A3854">
        <v>61013</v>
      </c>
      <c r="B3854">
        <v>1000</v>
      </c>
      <c r="C3854" s="455">
        <v>0</v>
      </c>
      <c r="D3854" s="637">
        <f t="shared" si="130"/>
        <v>0</v>
      </c>
      <c r="E3854" s="637">
        <f t="shared" si="131"/>
        <v>0</v>
      </c>
    </row>
    <row r="3855" spans="1:5">
      <c r="A3855">
        <v>61013</v>
      </c>
      <c r="B3855">
        <v>1100</v>
      </c>
      <c r="C3855" s="455">
        <v>0</v>
      </c>
      <c r="D3855" s="637">
        <f t="shared" si="130"/>
        <v>0</v>
      </c>
      <c r="E3855" s="637">
        <f t="shared" si="131"/>
        <v>0</v>
      </c>
    </row>
    <row r="3856" spans="1:5">
      <c r="A3856">
        <v>61013</v>
      </c>
      <c r="B3856">
        <v>1200</v>
      </c>
      <c r="C3856" s="455">
        <v>0</v>
      </c>
      <c r="D3856" s="637">
        <f t="shared" si="130"/>
        <v>0</v>
      </c>
      <c r="E3856" s="637">
        <f t="shared" si="131"/>
        <v>0</v>
      </c>
    </row>
    <row r="3857" spans="1:5">
      <c r="A3857">
        <v>61013</v>
      </c>
      <c r="B3857">
        <v>1300</v>
      </c>
      <c r="C3857" s="455">
        <v>0</v>
      </c>
      <c r="D3857" s="637">
        <f t="shared" si="130"/>
        <v>0</v>
      </c>
      <c r="E3857" s="637">
        <f t="shared" si="131"/>
        <v>0</v>
      </c>
    </row>
    <row r="3858" spans="1:5">
      <c r="A3858">
        <v>61013</v>
      </c>
      <c r="B3858">
        <v>1400</v>
      </c>
      <c r="C3858" s="455">
        <v>0</v>
      </c>
      <c r="D3858" s="637">
        <f t="shared" si="130"/>
        <v>0</v>
      </c>
      <c r="E3858" s="637">
        <f t="shared" si="131"/>
        <v>0</v>
      </c>
    </row>
    <row r="3859" spans="1:5">
      <c r="A3859">
        <v>61013</v>
      </c>
      <c r="B3859">
        <v>1500</v>
      </c>
      <c r="C3859" s="455">
        <v>0</v>
      </c>
      <c r="D3859" s="637">
        <f t="shared" si="130"/>
        <v>0</v>
      </c>
      <c r="E3859" s="637">
        <f t="shared" si="131"/>
        <v>0</v>
      </c>
    </row>
    <row r="3860" spans="1:5">
      <c r="A3860">
        <v>61013</v>
      </c>
      <c r="B3860">
        <v>1600</v>
      </c>
      <c r="C3860" s="455">
        <v>0</v>
      </c>
      <c r="D3860" s="637">
        <f t="shared" si="130"/>
        <v>0</v>
      </c>
      <c r="E3860" s="637">
        <f t="shared" si="131"/>
        <v>0</v>
      </c>
    </row>
    <row r="3861" spans="1:5">
      <c r="A3861">
        <v>61013</v>
      </c>
      <c r="B3861">
        <v>1700</v>
      </c>
      <c r="C3861" s="455">
        <v>0</v>
      </c>
      <c r="D3861" s="637">
        <f t="shared" si="130"/>
        <v>0</v>
      </c>
      <c r="E3861" s="637">
        <f t="shared" si="131"/>
        <v>0</v>
      </c>
    </row>
    <row r="3862" spans="1:5">
      <c r="A3862">
        <v>61013</v>
      </c>
      <c r="B3862">
        <v>1800</v>
      </c>
      <c r="C3862" s="455">
        <v>2.5999999999999999E-2</v>
      </c>
      <c r="D3862" s="637">
        <f t="shared" si="130"/>
        <v>5.3950000000000012E-2</v>
      </c>
      <c r="E3862" s="637">
        <f t="shared" si="131"/>
        <v>8.7100000000000039E-2</v>
      </c>
    </row>
    <row r="3863" spans="1:5">
      <c r="A3863">
        <v>61013</v>
      </c>
      <c r="B3863">
        <v>1900</v>
      </c>
      <c r="C3863" s="455">
        <v>5.5940000000000003</v>
      </c>
      <c r="D3863" s="637">
        <f t="shared" si="130"/>
        <v>11.607550000000003</v>
      </c>
      <c r="E3863" s="637">
        <f t="shared" si="131"/>
        <v>18.739900000000009</v>
      </c>
    </row>
    <row r="3864" spans="1:5">
      <c r="A3864">
        <v>61013</v>
      </c>
      <c r="B3864">
        <v>2000</v>
      </c>
      <c r="C3864" s="455">
        <v>10.351000000000001</v>
      </c>
      <c r="D3864" s="637">
        <f t="shared" si="130"/>
        <v>21.478325000000005</v>
      </c>
      <c r="E3864" s="637">
        <f t="shared" si="131"/>
        <v>34.675850000000018</v>
      </c>
    </row>
    <row r="3865" spans="1:5">
      <c r="A3865">
        <v>61013</v>
      </c>
      <c r="B3865">
        <v>2100</v>
      </c>
      <c r="C3865" s="455">
        <v>7.3470000000000004</v>
      </c>
      <c r="D3865" s="637">
        <f t="shared" si="130"/>
        <v>15.245025000000004</v>
      </c>
      <c r="E3865" s="637">
        <f t="shared" si="131"/>
        <v>24.61245000000001</v>
      </c>
    </row>
    <row r="3866" spans="1:5">
      <c r="A3866">
        <v>61013</v>
      </c>
      <c r="B3866">
        <v>2200</v>
      </c>
      <c r="C3866" s="455">
        <v>7.0330000000000004</v>
      </c>
      <c r="D3866" s="637">
        <f t="shared" si="130"/>
        <v>14.593475000000003</v>
      </c>
      <c r="E3866" s="637">
        <f t="shared" si="131"/>
        <v>23.56055000000001</v>
      </c>
    </row>
    <row r="3867" spans="1:5">
      <c r="A3867">
        <v>61013</v>
      </c>
      <c r="B3867">
        <v>2300</v>
      </c>
      <c r="C3867" s="455">
        <v>7.016</v>
      </c>
      <c r="D3867" s="637">
        <f t="shared" si="130"/>
        <v>14.558200000000001</v>
      </c>
      <c r="E3867" s="637">
        <f t="shared" si="131"/>
        <v>23.503600000000009</v>
      </c>
    </row>
    <row r="3868" spans="1:5">
      <c r="A3868">
        <v>61013</v>
      </c>
      <c r="B3868">
        <v>2400</v>
      </c>
      <c r="C3868" s="455">
        <v>7.17</v>
      </c>
      <c r="D3868" s="637">
        <f t="shared" si="130"/>
        <v>14.877750000000002</v>
      </c>
      <c r="E3868" s="637">
        <f t="shared" si="131"/>
        <v>24.019500000000008</v>
      </c>
    </row>
    <row r="3869" spans="1:5">
      <c r="A3869">
        <v>61113</v>
      </c>
      <c r="B3869">
        <v>100</v>
      </c>
      <c r="C3869" s="455">
        <v>6.9569999999999999</v>
      </c>
      <c r="D3869" s="637">
        <f t="shared" si="130"/>
        <v>14.435775000000001</v>
      </c>
      <c r="E3869" s="637">
        <f t="shared" si="131"/>
        <v>23.305950000000006</v>
      </c>
    </row>
    <row r="3870" spans="1:5">
      <c r="A3870">
        <v>61113</v>
      </c>
      <c r="B3870">
        <v>200</v>
      </c>
      <c r="C3870" s="455">
        <v>7.5259999999999998</v>
      </c>
      <c r="D3870" s="637">
        <f t="shared" si="130"/>
        <v>15.616450000000002</v>
      </c>
      <c r="E3870" s="637">
        <f t="shared" si="131"/>
        <v>25.21210000000001</v>
      </c>
    </row>
    <row r="3871" spans="1:5">
      <c r="A3871">
        <v>61113</v>
      </c>
      <c r="B3871">
        <v>300</v>
      </c>
      <c r="C3871" s="455">
        <v>7.8129999999999997</v>
      </c>
      <c r="D3871" s="637">
        <f t="shared" si="130"/>
        <v>16.211974999999999</v>
      </c>
      <c r="E3871" s="637">
        <f t="shared" si="131"/>
        <v>26.173550000000006</v>
      </c>
    </row>
    <row r="3872" spans="1:5">
      <c r="A3872">
        <v>61113</v>
      </c>
      <c r="B3872">
        <v>400</v>
      </c>
      <c r="C3872" s="455">
        <v>7.61</v>
      </c>
      <c r="D3872" s="637">
        <f t="shared" si="130"/>
        <v>15.790750000000003</v>
      </c>
      <c r="E3872" s="637">
        <f t="shared" si="131"/>
        <v>25.493500000000008</v>
      </c>
    </row>
    <row r="3873" spans="1:5">
      <c r="A3873">
        <v>61113</v>
      </c>
      <c r="B3873">
        <v>500</v>
      </c>
      <c r="C3873" s="455">
        <v>9.1170000000000009</v>
      </c>
      <c r="D3873" s="637">
        <f t="shared" si="130"/>
        <v>18.917775000000006</v>
      </c>
      <c r="E3873" s="637">
        <f t="shared" si="131"/>
        <v>30.541950000000014</v>
      </c>
    </row>
    <row r="3874" spans="1:5">
      <c r="A3874">
        <v>61113</v>
      </c>
      <c r="B3874">
        <v>600</v>
      </c>
      <c r="C3874" s="455">
        <v>2.0550000000000002</v>
      </c>
      <c r="D3874" s="637">
        <f t="shared" si="130"/>
        <v>4.2641250000000008</v>
      </c>
      <c r="E3874" s="637">
        <f t="shared" si="131"/>
        <v>6.8842500000000033</v>
      </c>
    </row>
    <row r="3875" spans="1:5">
      <c r="A3875">
        <v>61113</v>
      </c>
      <c r="B3875">
        <v>700</v>
      </c>
      <c r="C3875" s="455">
        <v>0</v>
      </c>
      <c r="D3875" s="637">
        <f t="shared" si="130"/>
        <v>0</v>
      </c>
      <c r="E3875" s="637">
        <f t="shared" si="131"/>
        <v>0</v>
      </c>
    </row>
    <row r="3876" spans="1:5">
      <c r="A3876">
        <v>61113</v>
      </c>
      <c r="B3876">
        <v>800</v>
      </c>
      <c r="C3876" s="455">
        <v>1E-3</v>
      </c>
      <c r="D3876" s="637">
        <f t="shared" si="130"/>
        <v>2.0750000000000005E-3</v>
      </c>
      <c r="E3876" s="637">
        <f t="shared" si="131"/>
        <v>3.3500000000000014E-3</v>
      </c>
    </row>
    <row r="3877" spans="1:5">
      <c r="A3877">
        <v>61113</v>
      </c>
      <c r="B3877">
        <v>900</v>
      </c>
      <c r="C3877" s="455">
        <v>0</v>
      </c>
      <c r="D3877" s="637">
        <f t="shared" si="130"/>
        <v>0</v>
      </c>
      <c r="E3877" s="637">
        <f t="shared" si="131"/>
        <v>0</v>
      </c>
    </row>
    <row r="3878" spans="1:5">
      <c r="A3878">
        <v>61113</v>
      </c>
      <c r="B3878">
        <v>1000</v>
      </c>
      <c r="C3878" s="455">
        <v>0</v>
      </c>
      <c r="D3878" s="637">
        <f t="shared" si="130"/>
        <v>0</v>
      </c>
      <c r="E3878" s="637">
        <f t="shared" si="131"/>
        <v>0</v>
      </c>
    </row>
    <row r="3879" spans="1:5">
      <c r="A3879">
        <v>61113</v>
      </c>
      <c r="B3879">
        <v>1100</v>
      </c>
      <c r="C3879" s="455">
        <v>2E-3</v>
      </c>
      <c r="D3879" s="637">
        <f t="shared" si="130"/>
        <v>4.1500000000000009E-3</v>
      </c>
      <c r="E3879" s="637">
        <f t="shared" si="131"/>
        <v>6.7000000000000028E-3</v>
      </c>
    </row>
    <row r="3880" spans="1:5">
      <c r="A3880">
        <v>61113</v>
      </c>
      <c r="B3880">
        <v>1200</v>
      </c>
      <c r="C3880" s="455">
        <v>0</v>
      </c>
      <c r="D3880" s="637">
        <f t="shared" si="130"/>
        <v>0</v>
      </c>
      <c r="E3880" s="637">
        <f t="shared" si="131"/>
        <v>0</v>
      </c>
    </row>
    <row r="3881" spans="1:5">
      <c r="A3881">
        <v>61113</v>
      </c>
      <c r="B3881">
        <v>1300</v>
      </c>
      <c r="C3881" s="455">
        <v>0</v>
      </c>
      <c r="D3881" s="637">
        <f t="shared" si="130"/>
        <v>0</v>
      </c>
      <c r="E3881" s="637">
        <f t="shared" si="131"/>
        <v>0</v>
      </c>
    </row>
    <row r="3882" spans="1:5">
      <c r="A3882">
        <v>61113</v>
      </c>
      <c r="B3882">
        <v>1400</v>
      </c>
      <c r="C3882" s="455">
        <v>0</v>
      </c>
      <c r="D3882" s="637">
        <f t="shared" si="130"/>
        <v>0</v>
      </c>
      <c r="E3882" s="637">
        <f t="shared" si="131"/>
        <v>0</v>
      </c>
    </row>
    <row r="3883" spans="1:5">
      <c r="A3883">
        <v>61113</v>
      </c>
      <c r="B3883">
        <v>1500</v>
      </c>
      <c r="C3883" s="455">
        <v>0</v>
      </c>
      <c r="D3883" s="637">
        <f t="shared" si="130"/>
        <v>0</v>
      </c>
      <c r="E3883" s="637">
        <f t="shared" si="131"/>
        <v>0</v>
      </c>
    </row>
    <row r="3884" spans="1:5">
      <c r="A3884">
        <v>61113</v>
      </c>
      <c r="B3884">
        <v>1600</v>
      </c>
      <c r="C3884" s="455">
        <v>0</v>
      </c>
      <c r="D3884" s="637">
        <f t="shared" si="130"/>
        <v>0</v>
      </c>
      <c r="E3884" s="637">
        <f t="shared" si="131"/>
        <v>0</v>
      </c>
    </row>
    <row r="3885" spans="1:5">
      <c r="A3885">
        <v>61113</v>
      </c>
      <c r="B3885">
        <v>1700</v>
      </c>
      <c r="C3885" s="455">
        <v>0</v>
      </c>
      <c r="D3885" s="637">
        <f t="shared" si="130"/>
        <v>0</v>
      </c>
      <c r="E3885" s="637">
        <f t="shared" si="131"/>
        <v>0</v>
      </c>
    </row>
    <row r="3886" spans="1:5">
      <c r="A3886">
        <v>61113</v>
      </c>
      <c r="B3886">
        <v>1800</v>
      </c>
      <c r="C3886" s="455">
        <v>0</v>
      </c>
      <c r="D3886" s="637">
        <f t="shared" ref="D3886:D3949" si="132">(C3886/(MAX($C$3629:$C$4348)))*$W$10</f>
        <v>0</v>
      </c>
      <c r="E3886" s="637">
        <f t="shared" ref="E3886:E3949" si="133">(C3886/(MAX($C$3629:$C$4348)))*$P$10</f>
        <v>0</v>
      </c>
    </row>
    <row r="3887" spans="1:5">
      <c r="A3887">
        <v>61113</v>
      </c>
      <c r="B3887">
        <v>1900</v>
      </c>
      <c r="C3887" s="455">
        <v>0</v>
      </c>
      <c r="D3887" s="637">
        <f t="shared" si="132"/>
        <v>0</v>
      </c>
      <c r="E3887" s="637">
        <f t="shared" si="133"/>
        <v>0</v>
      </c>
    </row>
    <row r="3888" spans="1:5">
      <c r="A3888">
        <v>61113</v>
      </c>
      <c r="B3888">
        <v>2000</v>
      </c>
      <c r="C3888" s="455">
        <v>2.42</v>
      </c>
      <c r="D3888" s="637">
        <f t="shared" si="132"/>
        <v>5.0215000000000005</v>
      </c>
      <c r="E3888" s="637">
        <f t="shared" si="133"/>
        <v>8.1070000000000029</v>
      </c>
    </row>
    <row r="3889" spans="1:5">
      <c r="A3889">
        <v>61113</v>
      </c>
      <c r="B3889">
        <v>2100</v>
      </c>
      <c r="C3889" s="455">
        <v>8.7469999999999999</v>
      </c>
      <c r="D3889" s="637">
        <f t="shared" si="132"/>
        <v>18.150025000000003</v>
      </c>
      <c r="E3889" s="637">
        <f t="shared" si="133"/>
        <v>29.302450000000011</v>
      </c>
    </row>
    <row r="3890" spans="1:5">
      <c r="A3890">
        <v>61113</v>
      </c>
      <c r="B3890">
        <v>2200</v>
      </c>
      <c r="C3890" s="455">
        <v>7.1769999999999996</v>
      </c>
      <c r="D3890" s="637">
        <f t="shared" si="132"/>
        <v>14.892275000000001</v>
      </c>
      <c r="E3890" s="637">
        <f t="shared" si="133"/>
        <v>24.042950000000008</v>
      </c>
    </row>
    <row r="3891" spans="1:5">
      <c r="A3891">
        <v>61113</v>
      </c>
      <c r="B3891">
        <v>2300</v>
      </c>
      <c r="C3891" s="455">
        <v>7.1950000000000003</v>
      </c>
      <c r="D3891" s="637">
        <f t="shared" si="132"/>
        <v>14.929625000000003</v>
      </c>
      <c r="E3891" s="637">
        <f t="shared" si="133"/>
        <v>24.10325000000001</v>
      </c>
    </row>
    <row r="3892" spans="1:5">
      <c r="A3892">
        <v>61113</v>
      </c>
      <c r="B3892">
        <v>2400</v>
      </c>
      <c r="C3892" s="455">
        <v>7.2489999999999997</v>
      </c>
      <c r="D3892" s="637">
        <f t="shared" si="132"/>
        <v>15.041675000000003</v>
      </c>
      <c r="E3892" s="637">
        <f t="shared" si="133"/>
        <v>24.284150000000011</v>
      </c>
    </row>
    <row r="3893" spans="1:5">
      <c r="A3893">
        <v>61213</v>
      </c>
      <c r="B3893">
        <v>100</v>
      </c>
      <c r="C3893" s="455">
        <v>7.18</v>
      </c>
      <c r="D3893" s="637">
        <f t="shared" si="132"/>
        <v>14.898500000000002</v>
      </c>
      <c r="E3893" s="637">
        <f t="shared" si="133"/>
        <v>24.053000000000008</v>
      </c>
    </row>
    <row r="3894" spans="1:5">
      <c r="A3894">
        <v>61213</v>
      </c>
      <c r="B3894">
        <v>200</v>
      </c>
      <c r="C3894" s="455">
        <v>7.1849999999999996</v>
      </c>
      <c r="D3894" s="637">
        <f t="shared" si="132"/>
        <v>14.908875</v>
      </c>
      <c r="E3894" s="637">
        <f t="shared" si="133"/>
        <v>24.069750000000006</v>
      </c>
    </row>
    <row r="3895" spans="1:5">
      <c r="A3895">
        <v>61213</v>
      </c>
      <c r="B3895">
        <v>300</v>
      </c>
      <c r="C3895" s="455">
        <v>7.1859999999999999</v>
      </c>
      <c r="D3895" s="637">
        <f t="shared" si="132"/>
        <v>14.910950000000001</v>
      </c>
      <c r="E3895" s="637">
        <f t="shared" si="133"/>
        <v>24.073100000000007</v>
      </c>
    </row>
    <row r="3896" spans="1:5">
      <c r="A3896">
        <v>61213</v>
      </c>
      <c r="B3896">
        <v>400</v>
      </c>
      <c r="C3896" s="455">
        <v>7.3319999999999999</v>
      </c>
      <c r="D3896" s="637">
        <f t="shared" si="132"/>
        <v>15.213900000000002</v>
      </c>
      <c r="E3896" s="637">
        <f t="shared" si="133"/>
        <v>24.562200000000008</v>
      </c>
    </row>
    <row r="3897" spans="1:5">
      <c r="A3897">
        <v>61213</v>
      </c>
      <c r="B3897">
        <v>500</v>
      </c>
      <c r="C3897" s="455">
        <v>7.08</v>
      </c>
      <c r="D3897" s="637">
        <f t="shared" si="132"/>
        <v>14.691000000000004</v>
      </c>
      <c r="E3897" s="637">
        <f t="shared" si="133"/>
        <v>23.718000000000011</v>
      </c>
    </row>
    <row r="3898" spans="1:5">
      <c r="A3898">
        <v>61213</v>
      </c>
      <c r="B3898">
        <v>600</v>
      </c>
      <c r="C3898" s="455">
        <v>3.5999999999999997E-2</v>
      </c>
      <c r="D3898" s="637">
        <f t="shared" si="132"/>
        <v>7.4700000000000003E-2</v>
      </c>
      <c r="E3898" s="637">
        <f t="shared" si="133"/>
        <v>0.12060000000000003</v>
      </c>
    </row>
    <row r="3899" spans="1:5">
      <c r="A3899">
        <v>61213</v>
      </c>
      <c r="B3899">
        <v>700</v>
      </c>
      <c r="C3899" s="455">
        <v>0</v>
      </c>
      <c r="D3899" s="637">
        <f t="shared" si="132"/>
        <v>0</v>
      </c>
      <c r="E3899" s="637">
        <f t="shared" si="133"/>
        <v>0</v>
      </c>
    </row>
    <row r="3900" spans="1:5">
      <c r="A3900">
        <v>61213</v>
      </c>
      <c r="B3900">
        <v>800</v>
      </c>
      <c r="C3900" s="455">
        <v>0</v>
      </c>
      <c r="D3900" s="637">
        <f t="shared" si="132"/>
        <v>0</v>
      </c>
      <c r="E3900" s="637">
        <f t="shared" si="133"/>
        <v>0</v>
      </c>
    </row>
    <row r="3901" spans="1:5">
      <c r="A3901">
        <v>61213</v>
      </c>
      <c r="B3901">
        <v>900</v>
      </c>
      <c r="C3901" s="455">
        <v>0</v>
      </c>
      <c r="D3901" s="637">
        <f t="shared" si="132"/>
        <v>0</v>
      </c>
      <c r="E3901" s="637">
        <f t="shared" si="133"/>
        <v>0</v>
      </c>
    </row>
    <row r="3902" spans="1:5">
      <c r="A3902">
        <v>61213</v>
      </c>
      <c r="B3902">
        <v>1000</v>
      </c>
      <c r="C3902" s="455">
        <v>0</v>
      </c>
      <c r="D3902" s="637">
        <f t="shared" si="132"/>
        <v>0</v>
      </c>
      <c r="E3902" s="637">
        <f t="shared" si="133"/>
        <v>0</v>
      </c>
    </row>
    <row r="3903" spans="1:5">
      <c r="A3903">
        <v>61213</v>
      </c>
      <c r="B3903">
        <v>1100</v>
      </c>
      <c r="C3903" s="455">
        <v>0</v>
      </c>
      <c r="D3903" s="637">
        <f t="shared" si="132"/>
        <v>0</v>
      </c>
      <c r="E3903" s="637">
        <f t="shared" si="133"/>
        <v>0</v>
      </c>
    </row>
    <row r="3904" spans="1:5">
      <c r="A3904">
        <v>61213</v>
      </c>
      <c r="B3904">
        <v>1200</v>
      </c>
      <c r="C3904" s="455">
        <v>0</v>
      </c>
      <c r="D3904" s="637">
        <f t="shared" si="132"/>
        <v>0</v>
      </c>
      <c r="E3904" s="637">
        <f t="shared" si="133"/>
        <v>0</v>
      </c>
    </row>
    <row r="3905" spans="1:5">
      <c r="A3905">
        <v>61213</v>
      </c>
      <c r="B3905">
        <v>1300</v>
      </c>
      <c r="C3905" s="455">
        <v>0.28799999999999998</v>
      </c>
      <c r="D3905" s="637">
        <f t="shared" si="132"/>
        <v>0.59760000000000002</v>
      </c>
      <c r="E3905" s="637">
        <f t="shared" si="133"/>
        <v>0.96480000000000021</v>
      </c>
    </row>
    <row r="3906" spans="1:5">
      <c r="A3906">
        <v>61213</v>
      </c>
      <c r="B3906">
        <v>1400</v>
      </c>
      <c r="C3906" s="455">
        <v>0</v>
      </c>
      <c r="D3906" s="637">
        <f t="shared" si="132"/>
        <v>0</v>
      </c>
      <c r="E3906" s="637">
        <f t="shared" si="133"/>
        <v>0</v>
      </c>
    </row>
    <row r="3907" spans="1:5">
      <c r="A3907">
        <v>61213</v>
      </c>
      <c r="B3907">
        <v>1500</v>
      </c>
      <c r="C3907" s="455">
        <v>0</v>
      </c>
      <c r="D3907" s="637">
        <f t="shared" si="132"/>
        <v>0</v>
      </c>
      <c r="E3907" s="637">
        <f t="shared" si="133"/>
        <v>0</v>
      </c>
    </row>
    <row r="3908" spans="1:5">
      <c r="A3908">
        <v>61213</v>
      </c>
      <c r="B3908">
        <v>1600</v>
      </c>
      <c r="C3908" s="455">
        <v>0</v>
      </c>
      <c r="D3908" s="637">
        <f t="shared" si="132"/>
        <v>0</v>
      </c>
      <c r="E3908" s="637">
        <f t="shared" si="133"/>
        <v>0</v>
      </c>
    </row>
    <row r="3909" spans="1:5">
      <c r="A3909">
        <v>61213</v>
      </c>
      <c r="B3909">
        <v>1700</v>
      </c>
      <c r="C3909" s="455">
        <v>0</v>
      </c>
      <c r="D3909" s="637">
        <f t="shared" si="132"/>
        <v>0</v>
      </c>
      <c r="E3909" s="637">
        <f t="shared" si="133"/>
        <v>0</v>
      </c>
    </row>
    <row r="3910" spans="1:5">
      <c r="A3910">
        <v>61213</v>
      </c>
      <c r="B3910">
        <v>1800</v>
      </c>
      <c r="C3910" s="455">
        <v>0</v>
      </c>
      <c r="D3910" s="637">
        <f t="shared" si="132"/>
        <v>0</v>
      </c>
      <c r="E3910" s="637">
        <f t="shared" si="133"/>
        <v>0</v>
      </c>
    </row>
    <row r="3911" spans="1:5">
      <c r="A3911">
        <v>61213</v>
      </c>
      <c r="B3911">
        <v>1900</v>
      </c>
      <c r="C3911" s="455">
        <v>1.7569999999999999</v>
      </c>
      <c r="D3911" s="637">
        <f t="shared" si="132"/>
        <v>3.6457750000000004</v>
      </c>
      <c r="E3911" s="637">
        <f t="shared" si="133"/>
        <v>5.885950000000002</v>
      </c>
    </row>
    <row r="3912" spans="1:5">
      <c r="A3912">
        <v>61213</v>
      </c>
      <c r="B3912">
        <v>2000</v>
      </c>
      <c r="C3912" s="455">
        <v>3.58</v>
      </c>
      <c r="D3912" s="637">
        <f t="shared" si="132"/>
        <v>7.4285000000000005</v>
      </c>
      <c r="E3912" s="637">
        <f t="shared" si="133"/>
        <v>11.993000000000004</v>
      </c>
    </row>
    <row r="3913" spans="1:5">
      <c r="A3913">
        <v>61213</v>
      </c>
      <c r="B3913">
        <v>2100</v>
      </c>
      <c r="C3913" s="455">
        <v>8.8140000000000001</v>
      </c>
      <c r="D3913" s="637">
        <f t="shared" si="132"/>
        <v>18.289050000000003</v>
      </c>
      <c r="E3913" s="637">
        <f t="shared" si="133"/>
        <v>29.526900000000012</v>
      </c>
    </row>
    <row r="3914" spans="1:5">
      <c r="A3914">
        <v>61213</v>
      </c>
      <c r="B3914">
        <v>2200</v>
      </c>
      <c r="C3914" s="455">
        <v>7.03</v>
      </c>
      <c r="D3914" s="637">
        <f t="shared" si="132"/>
        <v>14.587250000000003</v>
      </c>
      <c r="E3914" s="637">
        <f t="shared" si="133"/>
        <v>23.55050000000001</v>
      </c>
    </row>
    <row r="3915" spans="1:5">
      <c r="A3915">
        <v>61213</v>
      </c>
      <c r="B3915">
        <v>2300</v>
      </c>
      <c r="C3915" s="455">
        <v>7.1669999999999998</v>
      </c>
      <c r="D3915" s="637">
        <f t="shared" si="132"/>
        <v>14.871525000000002</v>
      </c>
      <c r="E3915" s="637">
        <f t="shared" si="133"/>
        <v>24.009450000000008</v>
      </c>
    </row>
    <row r="3916" spans="1:5">
      <c r="A3916">
        <v>61213</v>
      </c>
      <c r="B3916">
        <v>2400</v>
      </c>
      <c r="C3916" s="455">
        <v>7.1790000000000003</v>
      </c>
      <c r="D3916" s="637">
        <f t="shared" si="132"/>
        <v>14.896425000000002</v>
      </c>
      <c r="E3916" s="637">
        <f t="shared" si="133"/>
        <v>24.049650000000007</v>
      </c>
    </row>
    <row r="3917" spans="1:5">
      <c r="A3917">
        <v>61313</v>
      </c>
      <c r="B3917">
        <v>100</v>
      </c>
      <c r="C3917" s="455">
        <v>7.1749999999999998</v>
      </c>
      <c r="D3917" s="637">
        <f t="shared" si="132"/>
        <v>14.888125</v>
      </c>
      <c r="E3917" s="637">
        <f t="shared" si="133"/>
        <v>24.036250000000006</v>
      </c>
    </row>
    <row r="3918" spans="1:5">
      <c r="A3918">
        <v>61313</v>
      </c>
      <c r="B3918">
        <v>200</v>
      </c>
      <c r="C3918" s="455">
        <v>7.1829999999999998</v>
      </c>
      <c r="D3918" s="637">
        <f t="shared" si="132"/>
        <v>14.904725000000003</v>
      </c>
      <c r="E3918" s="637">
        <f t="shared" si="133"/>
        <v>24.063050000000011</v>
      </c>
    </row>
    <row r="3919" spans="1:5">
      <c r="A3919">
        <v>61313</v>
      </c>
      <c r="B3919">
        <v>300</v>
      </c>
      <c r="C3919" s="455">
        <v>7.3280000000000003</v>
      </c>
      <c r="D3919" s="637">
        <f t="shared" si="132"/>
        <v>15.205600000000004</v>
      </c>
      <c r="E3919" s="637">
        <f t="shared" si="133"/>
        <v>24.548800000000011</v>
      </c>
    </row>
    <row r="3920" spans="1:5">
      <c r="A3920">
        <v>61313</v>
      </c>
      <c r="B3920">
        <v>400</v>
      </c>
      <c r="C3920" s="455">
        <v>7.2549999999999999</v>
      </c>
      <c r="D3920" s="637">
        <f t="shared" si="132"/>
        <v>15.054125000000003</v>
      </c>
      <c r="E3920" s="637">
        <f t="shared" si="133"/>
        <v>24.304250000000007</v>
      </c>
    </row>
    <row r="3921" spans="1:5">
      <c r="A3921">
        <v>61313</v>
      </c>
      <c r="B3921">
        <v>500</v>
      </c>
      <c r="C3921" s="455">
        <v>7.38</v>
      </c>
      <c r="D3921" s="637">
        <f t="shared" si="132"/>
        <v>15.313500000000001</v>
      </c>
      <c r="E3921" s="637">
        <f t="shared" si="133"/>
        <v>24.72300000000001</v>
      </c>
    </row>
    <row r="3922" spans="1:5">
      <c r="A3922">
        <v>61313</v>
      </c>
      <c r="B3922">
        <v>600</v>
      </c>
      <c r="C3922" s="455">
        <v>9.4499999999999993</v>
      </c>
      <c r="D3922" s="637">
        <f t="shared" si="132"/>
        <v>19.608750000000001</v>
      </c>
      <c r="E3922" s="637">
        <f t="shared" si="133"/>
        <v>31.65750000000001</v>
      </c>
    </row>
    <row r="3923" spans="1:5">
      <c r="A3923">
        <v>61313</v>
      </c>
      <c r="B3923">
        <v>700</v>
      </c>
      <c r="C3923" s="455">
        <v>0.878</v>
      </c>
      <c r="D3923" s="637">
        <f t="shared" si="132"/>
        <v>1.8218500000000002</v>
      </c>
      <c r="E3923" s="637">
        <f t="shared" si="133"/>
        <v>2.9413000000000009</v>
      </c>
    </row>
    <row r="3924" spans="1:5">
      <c r="A3924">
        <v>61313</v>
      </c>
      <c r="B3924">
        <v>800</v>
      </c>
      <c r="C3924" s="455">
        <v>2E-3</v>
      </c>
      <c r="D3924" s="637">
        <f t="shared" si="132"/>
        <v>4.1500000000000009E-3</v>
      </c>
      <c r="E3924" s="637">
        <f t="shared" si="133"/>
        <v>6.7000000000000028E-3</v>
      </c>
    </row>
    <row r="3925" spans="1:5">
      <c r="A3925">
        <v>61313</v>
      </c>
      <c r="B3925">
        <v>900</v>
      </c>
      <c r="C3925" s="455">
        <v>0</v>
      </c>
      <c r="D3925" s="637">
        <f t="shared" si="132"/>
        <v>0</v>
      </c>
      <c r="E3925" s="637">
        <f t="shared" si="133"/>
        <v>0</v>
      </c>
    </row>
    <row r="3926" spans="1:5">
      <c r="A3926">
        <v>61313</v>
      </c>
      <c r="B3926">
        <v>1000</v>
      </c>
      <c r="C3926" s="455">
        <v>0</v>
      </c>
      <c r="D3926" s="637">
        <f t="shared" si="132"/>
        <v>0</v>
      </c>
      <c r="E3926" s="637">
        <f t="shared" si="133"/>
        <v>0</v>
      </c>
    </row>
    <row r="3927" spans="1:5">
      <c r="A3927">
        <v>61313</v>
      </c>
      <c r="B3927">
        <v>1100</v>
      </c>
      <c r="C3927" s="455">
        <v>0</v>
      </c>
      <c r="D3927" s="637">
        <f t="shared" si="132"/>
        <v>0</v>
      </c>
      <c r="E3927" s="637">
        <f t="shared" si="133"/>
        <v>0</v>
      </c>
    </row>
    <row r="3928" spans="1:5">
      <c r="A3928">
        <v>61313</v>
      </c>
      <c r="B3928">
        <v>1200</v>
      </c>
      <c r="C3928" s="455">
        <v>1E-3</v>
      </c>
      <c r="D3928" s="637">
        <f t="shared" si="132"/>
        <v>2.0750000000000005E-3</v>
      </c>
      <c r="E3928" s="637">
        <f t="shared" si="133"/>
        <v>3.3500000000000014E-3</v>
      </c>
    </row>
    <row r="3929" spans="1:5">
      <c r="A3929">
        <v>61313</v>
      </c>
      <c r="B3929">
        <v>1300</v>
      </c>
      <c r="C3929" s="455">
        <v>0</v>
      </c>
      <c r="D3929" s="637">
        <f t="shared" si="132"/>
        <v>0</v>
      </c>
      <c r="E3929" s="637">
        <f t="shared" si="133"/>
        <v>0</v>
      </c>
    </row>
    <row r="3930" spans="1:5">
      <c r="A3930">
        <v>61313</v>
      </c>
      <c r="B3930">
        <v>1400</v>
      </c>
      <c r="C3930" s="455">
        <v>0</v>
      </c>
      <c r="D3930" s="637">
        <f t="shared" si="132"/>
        <v>0</v>
      </c>
      <c r="E3930" s="637">
        <f t="shared" si="133"/>
        <v>0</v>
      </c>
    </row>
    <row r="3931" spans="1:5">
      <c r="A3931">
        <v>61313</v>
      </c>
      <c r="B3931">
        <v>1500</v>
      </c>
      <c r="C3931" s="455">
        <v>0</v>
      </c>
      <c r="D3931" s="637">
        <f t="shared" si="132"/>
        <v>0</v>
      </c>
      <c r="E3931" s="637">
        <f t="shared" si="133"/>
        <v>0</v>
      </c>
    </row>
    <row r="3932" spans="1:5">
      <c r="A3932">
        <v>61313</v>
      </c>
      <c r="B3932">
        <v>1600</v>
      </c>
      <c r="C3932" s="455">
        <v>4.0000000000000001E-3</v>
      </c>
      <c r="D3932" s="637">
        <f t="shared" si="132"/>
        <v>8.3000000000000018E-3</v>
      </c>
      <c r="E3932" s="637">
        <f t="shared" si="133"/>
        <v>1.3400000000000006E-2</v>
      </c>
    </row>
    <row r="3933" spans="1:5">
      <c r="A3933">
        <v>61313</v>
      </c>
      <c r="B3933">
        <v>1700</v>
      </c>
      <c r="C3933" s="455">
        <v>0</v>
      </c>
      <c r="D3933" s="637">
        <f t="shared" si="132"/>
        <v>0</v>
      </c>
      <c r="E3933" s="637">
        <f t="shared" si="133"/>
        <v>0</v>
      </c>
    </row>
    <row r="3934" spans="1:5">
      <c r="A3934">
        <v>61313</v>
      </c>
      <c r="B3934">
        <v>1800</v>
      </c>
      <c r="C3934" s="455">
        <v>0</v>
      </c>
      <c r="D3934" s="637">
        <f t="shared" si="132"/>
        <v>0</v>
      </c>
      <c r="E3934" s="637">
        <f t="shared" si="133"/>
        <v>0</v>
      </c>
    </row>
    <row r="3935" spans="1:5">
      <c r="A3935">
        <v>61313</v>
      </c>
      <c r="B3935">
        <v>1900</v>
      </c>
      <c r="C3935" s="455">
        <v>5.0000000000000001E-3</v>
      </c>
      <c r="D3935" s="637">
        <f t="shared" si="132"/>
        <v>1.0375000000000002E-2</v>
      </c>
      <c r="E3935" s="637">
        <f t="shared" si="133"/>
        <v>1.6750000000000008E-2</v>
      </c>
    </row>
    <row r="3936" spans="1:5">
      <c r="A3936">
        <v>61313</v>
      </c>
      <c r="B3936">
        <v>2000</v>
      </c>
      <c r="C3936" s="455">
        <v>0.48899999999999999</v>
      </c>
      <c r="D3936" s="637">
        <f t="shared" si="132"/>
        <v>1.014675</v>
      </c>
      <c r="E3936" s="637">
        <f t="shared" si="133"/>
        <v>1.6381500000000004</v>
      </c>
    </row>
    <row r="3937" spans="1:5">
      <c r="A3937">
        <v>61313</v>
      </c>
      <c r="B3937">
        <v>2100</v>
      </c>
      <c r="C3937" s="455">
        <v>8.8529999999999998</v>
      </c>
      <c r="D3937" s="637">
        <f t="shared" si="132"/>
        <v>18.369975000000004</v>
      </c>
      <c r="E3937" s="637">
        <f t="shared" si="133"/>
        <v>29.657550000000011</v>
      </c>
    </row>
    <row r="3938" spans="1:5">
      <c r="A3938">
        <v>61313</v>
      </c>
      <c r="B3938">
        <v>2200</v>
      </c>
      <c r="C3938" s="455">
        <v>7.3079999999999998</v>
      </c>
      <c r="D3938" s="637">
        <f t="shared" si="132"/>
        <v>15.164100000000001</v>
      </c>
      <c r="E3938" s="637">
        <f t="shared" si="133"/>
        <v>24.481800000000007</v>
      </c>
    </row>
    <row r="3939" spans="1:5">
      <c r="A3939">
        <v>61313</v>
      </c>
      <c r="B3939">
        <v>2300</v>
      </c>
      <c r="C3939" s="455">
        <v>7.0170000000000003</v>
      </c>
      <c r="D3939" s="637">
        <f t="shared" si="132"/>
        <v>14.560275000000003</v>
      </c>
      <c r="E3939" s="637">
        <f t="shared" si="133"/>
        <v>23.506950000000007</v>
      </c>
    </row>
    <row r="3940" spans="1:5">
      <c r="A3940">
        <v>61313</v>
      </c>
      <c r="B3940">
        <v>2400</v>
      </c>
      <c r="C3940" s="455">
        <v>7.0350000000000001</v>
      </c>
      <c r="D3940" s="637">
        <f t="shared" si="132"/>
        <v>14.597625000000001</v>
      </c>
      <c r="E3940" s="637">
        <f t="shared" si="133"/>
        <v>23.567250000000008</v>
      </c>
    </row>
    <row r="3941" spans="1:5">
      <c r="A3941">
        <v>61413</v>
      </c>
      <c r="B3941">
        <v>100</v>
      </c>
      <c r="C3941" s="455">
        <v>7.4690000000000003</v>
      </c>
      <c r="D3941" s="637">
        <f t="shared" si="132"/>
        <v>15.498175000000003</v>
      </c>
      <c r="E3941" s="637">
        <f t="shared" si="133"/>
        <v>25.021150000000009</v>
      </c>
    </row>
    <row r="3942" spans="1:5">
      <c r="A3942">
        <v>61413</v>
      </c>
      <c r="B3942">
        <v>200</v>
      </c>
      <c r="C3942" s="455">
        <v>7.0309999999999997</v>
      </c>
      <c r="D3942" s="637">
        <f t="shared" si="132"/>
        <v>14.589325000000001</v>
      </c>
      <c r="E3942" s="637">
        <f t="shared" si="133"/>
        <v>23.553850000000004</v>
      </c>
    </row>
    <row r="3943" spans="1:5">
      <c r="A3943">
        <v>61413</v>
      </c>
      <c r="B3943">
        <v>300</v>
      </c>
      <c r="C3943" s="455">
        <v>6.952</v>
      </c>
      <c r="D3943" s="637">
        <f t="shared" si="132"/>
        <v>14.425400000000002</v>
      </c>
      <c r="E3943" s="637">
        <f t="shared" si="133"/>
        <v>23.289200000000008</v>
      </c>
    </row>
    <row r="3944" spans="1:5">
      <c r="A3944">
        <v>61413</v>
      </c>
      <c r="B3944">
        <v>400</v>
      </c>
      <c r="C3944" s="455">
        <v>7.0259999999999998</v>
      </c>
      <c r="D3944" s="637">
        <f t="shared" si="132"/>
        <v>14.578950000000003</v>
      </c>
      <c r="E3944" s="637">
        <f t="shared" si="133"/>
        <v>23.537100000000009</v>
      </c>
    </row>
    <row r="3945" spans="1:5">
      <c r="A3945">
        <v>61413</v>
      </c>
      <c r="B3945">
        <v>500</v>
      </c>
      <c r="C3945" s="455">
        <v>7.5860000000000003</v>
      </c>
      <c r="D3945" s="637">
        <f t="shared" si="132"/>
        <v>15.740950000000003</v>
      </c>
      <c r="E3945" s="637">
        <f t="shared" si="133"/>
        <v>25.413100000000011</v>
      </c>
    </row>
    <row r="3946" spans="1:5">
      <c r="A3946">
        <v>61413</v>
      </c>
      <c r="B3946">
        <v>600</v>
      </c>
      <c r="C3946" s="455">
        <v>4.8000000000000001E-2</v>
      </c>
      <c r="D3946" s="637">
        <f t="shared" si="132"/>
        <v>9.9600000000000022E-2</v>
      </c>
      <c r="E3946" s="637">
        <f t="shared" si="133"/>
        <v>0.16080000000000008</v>
      </c>
    </row>
    <row r="3947" spans="1:5">
      <c r="A3947">
        <v>61413</v>
      </c>
      <c r="B3947">
        <v>700</v>
      </c>
      <c r="C3947" s="455">
        <v>2E-3</v>
      </c>
      <c r="D3947" s="637">
        <f t="shared" si="132"/>
        <v>4.1500000000000009E-3</v>
      </c>
      <c r="E3947" s="637">
        <f t="shared" si="133"/>
        <v>6.7000000000000028E-3</v>
      </c>
    </row>
    <row r="3948" spans="1:5">
      <c r="A3948">
        <v>61413</v>
      </c>
      <c r="B3948">
        <v>800</v>
      </c>
      <c r="C3948" s="455">
        <v>0</v>
      </c>
      <c r="D3948" s="637">
        <f t="shared" si="132"/>
        <v>0</v>
      </c>
      <c r="E3948" s="637">
        <f t="shared" si="133"/>
        <v>0</v>
      </c>
    </row>
    <row r="3949" spans="1:5">
      <c r="A3949">
        <v>61413</v>
      </c>
      <c r="B3949">
        <v>900</v>
      </c>
      <c r="C3949" s="455">
        <v>0</v>
      </c>
      <c r="D3949" s="637">
        <f t="shared" si="132"/>
        <v>0</v>
      </c>
      <c r="E3949" s="637">
        <f t="shared" si="133"/>
        <v>0</v>
      </c>
    </row>
    <row r="3950" spans="1:5">
      <c r="A3950">
        <v>61413</v>
      </c>
      <c r="B3950">
        <v>1000</v>
      </c>
      <c r="C3950" s="455">
        <v>0</v>
      </c>
      <c r="D3950" s="637">
        <f t="shared" ref="D3950:D4013" si="134">(C3950/(MAX($C$3629:$C$4348)))*$W$10</f>
        <v>0</v>
      </c>
      <c r="E3950" s="637">
        <f t="shared" ref="E3950:E4013" si="135">(C3950/(MAX($C$3629:$C$4348)))*$P$10</f>
        <v>0</v>
      </c>
    </row>
    <row r="3951" spans="1:5">
      <c r="A3951">
        <v>61413</v>
      </c>
      <c r="B3951">
        <v>1100</v>
      </c>
      <c r="C3951" s="455">
        <v>0</v>
      </c>
      <c r="D3951" s="637">
        <f t="shared" si="134"/>
        <v>0</v>
      </c>
      <c r="E3951" s="637">
        <f t="shared" si="135"/>
        <v>0</v>
      </c>
    </row>
    <row r="3952" spans="1:5">
      <c r="A3952">
        <v>61413</v>
      </c>
      <c r="B3952">
        <v>1200</v>
      </c>
      <c r="C3952" s="455">
        <v>0</v>
      </c>
      <c r="D3952" s="637">
        <f t="shared" si="134"/>
        <v>0</v>
      </c>
      <c r="E3952" s="637">
        <f t="shared" si="135"/>
        <v>0</v>
      </c>
    </row>
    <row r="3953" spans="1:5">
      <c r="A3953">
        <v>61413</v>
      </c>
      <c r="B3953">
        <v>1300</v>
      </c>
      <c r="C3953" s="455">
        <v>0</v>
      </c>
      <c r="D3953" s="637">
        <f t="shared" si="134"/>
        <v>0</v>
      </c>
      <c r="E3953" s="637">
        <f t="shared" si="135"/>
        <v>0</v>
      </c>
    </row>
    <row r="3954" spans="1:5">
      <c r="A3954">
        <v>61413</v>
      </c>
      <c r="B3954">
        <v>1400</v>
      </c>
      <c r="C3954" s="455">
        <v>0</v>
      </c>
      <c r="D3954" s="637">
        <f t="shared" si="134"/>
        <v>0</v>
      </c>
      <c r="E3954" s="637">
        <f t="shared" si="135"/>
        <v>0</v>
      </c>
    </row>
    <row r="3955" spans="1:5">
      <c r="A3955">
        <v>61413</v>
      </c>
      <c r="B3955">
        <v>1500</v>
      </c>
      <c r="C3955" s="455">
        <v>0</v>
      </c>
      <c r="D3955" s="637">
        <f t="shared" si="134"/>
        <v>0</v>
      </c>
      <c r="E3955" s="637">
        <f t="shared" si="135"/>
        <v>0</v>
      </c>
    </row>
    <row r="3956" spans="1:5">
      <c r="A3956">
        <v>61413</v>
      </c>
      <c r="B3956">
        <v>1600</v>
      </c>
      <c r="C3956" s="455">
        <v>0</v>
      </c>
      <c r="D3956" s="637">
        <f t="shared" si="134"/>
        <v>0</v>
      </c>
      <c r="E3956" s="637">
        <f t="shared" si="135"/>
        <v>0</v>
      </c>
    </row>
    <row r="3957" spans="1:5">
      <c r="A3957">
        <v>61413</v>
      </c>
      <c r="B3957">
        <v>1700</v>
      </c>
      <c r="C3957" s="455">
        <v>0</v>
      </c>
      <c r="D3957" s="637">
        <f t="shared" si="134"/>
        <v>0</v>
      </c>
      <c r="E3957" s="637">
        <f t="shared" si="135"/>
        <v>0</v>
      </c>
    </row>
    <row r="3958" spans="1:5">
      <c r="A3958">
        <v>61413</v>
      </c>
      <c r="B3958">
        <v>1800</v>
      </c>
      <c r="C3958" s="455">
        <v>0</v>
      </c>
      <c r="D3958" s="637">
        <f t="shared" si="134"/>
        <v>0</v>
      </c>
      <c r="E3958" s="637">
        <f t="shared" si="135"/>
        <v>0</v>
      </c>
    </row>
    <row r="3959" spans="1:5">
      <c r="A3959">
        <v>61413</v>
      </c>
      <c r="B3959">
        <v>1900</v>
      </c>
      <c r="C3959" s="455">
        <v>0</v>
      </c>
      <c r="D3959" s="637">
        <f t="shared" si="134"/>
        <v>0</v>
      </c>
      <c r="E3959" s="637">
        <f t="shared" si="135"/>
        <v>0</v>
      </c>
    </row>
    <row r="3960" spans="1:5">
      <c r="A3960">
        <v>61413</v>
      </c>
      <c r="B3960">
        <v>2000</v>
      </c>
      <c r="C3960" s="455">
        <v>1.712</v>
      </c>
      <c r="D3960" s="637">
        <f t="shared" si="134"/>
        <v>3.5524000000000009</v>
      </c>
      <c r="E3960" s="637">
        <f t="shared" si="135"/>
        <v>5.7352000000000025</v>
      </c>
    </row>
    <row r="3961" spans="1:5">
      <c r="A3961">
        <v>61413</v>
      </c>
      <c r="B3961">
        <v>2100</v>
      </c>
      <c r="C3961" s="455">
        <v>8.8960000000000008</v>
      </c>
      <c r="D3961" s="637">
        <f t="shared" si="134"/>
        <v>18.459200000000006</v>
      </c>
      <c r="E3961" s="637">
        <f t="shared" si="135"/>
        <v>29.801600000000015</v>
      </c>
    </row>
    <row r="3962" spans="1:5">
      <c r="A3962">
        <v>61413</v>
      </c>
      <c r="B3962">
        <v>2200</v>
      </c>
      <c r="C3962" s="455">
        <v>7.3440000000000003</v>
      </c>
      <c r="D3962" s="637">
        <f t="shared" si="134"/>
        <v>15.238800000000003</v>
      </c>
      <c r="E3962" s="637">
        <f t="shared" si="135"/>
        <v>24.60240000000001</v>
      </c>
    </row>
    <row r="3963" spans="1:5">
      <c r="A3963">
        <v>61413</v>
      </c>
      <c r="B3963">
        <v>2300</v>
      </c>
      <c r="C3963" s="455">
        <v>7.1710000000000003</v>
      </c>
      <c r="D3963" s="637">
        <f t="shared" si="134"/>
        <v>14.879825000000002</v>
      </c>
      <c r="E3963" s="637">
        <f t="shared" si="135"/>
        <v>24.022850000000009</v>
      </c>
    </row>
    <row r="3964" spans="1:5">
      <c r="A3964">
        <v>61413</v>
      </c>
      <c r="B3964">
        <v>2400</v>
      </c>
      <c r="C3964" s="455">
        <v>7.101</v>
      </c>
      <c r="D3964" s="637">
        <f t="shared" si="134"/>
        <v>14.734575000000001</v>
      </c>
      <c r="E3964" s="637">
        <f t="shared" si="135"/>
        <v>23.788350000000008</v>
      </c>
    </row>
    <row r="3965" spans="1:5">
      <c r="A3965">
        <v>61513</v>
      </c>
      <c r="B3965">
        <v>100</v>
      </c>
      <c r="C3965" s="455">
        <v>7.1130000000000004</v>
      </c>
      <c r="D3965" s="637">
        <f t="shared" si="134"/>
        <v>14.759475000000002</v>
      </c>
      <c r="E3965" s="637">
        <f t="shared" si="135"/>
        <v>23.828550000000007</v>
      </c>
    </row>
    <row r="3966" spans="1:5">
      <c r="A3966">
        <v>61513</v>
      </c>
      <c r="B3966">
        <v>200</v>
      </c>
      <c r="C3966" s="455">
        <v>7.3380000000000001</v>
      </c>
      <c r="D3966" s="637">
        <f t="shared" si="134"/>
        <v>15.226350000000004</v>
      </c>
      <c r="E3966" s="637">
        <f t="shared" si="135"/>
        <v>24.582300000000011</v>
      </c>
    </row>
    <row r="3967" spans="1:5">
      <c r="A3967">
        <v>61513</v>
      </c>
      <c r="B3967">
        <v>300</v>
      </c>
      <c r="C3967" s="455">
        <v>7.2</v>
      </c>
      <c r="D3967" s="637">
        <f t="shared" si="134"/>
        <v>14.940000000000003</v>
      </c>
      <c r="E3967" s="637">
        <f t="shared" si="135"/>
        <v>24.120000000000008</v>
      </c>
    </row>
    <row r="3968" spans="1:5">
      <c r="A3968">
        <v>61513</v>
      </c>
      <c r="B3968">
        <v>400</v>
      </c>
      <c r="C3968" s="455">
        <v>7.1840000000000002</v>
      </c>
      <c r="D3968" s="637">
        <f t="shared" si="134"/>
        <v>14.906800000000004</v>
      </c>
      <c r="E3968" s="637">
        <f t="shared" si="135"/>
        <v>24.066400000000012</v>
      </c>
    </row>
    <row r="3969" spans="1:5">
      <c r="A3969">
        <v>61513</v>
      </c>
      <c r="B3969">
        <v>500</v>
      </c>
      <c r="C3969" s="455">
        <v>6.93</v>
      </c>
      <c r="D3969" s="637">
        <f t="shared" si="134"/>
        <v>14.379750000000001</v>
      </c>
      <c r="E3969" s="637">
        <f t="shared" si="135"/>
        <v>23.215500000000006</v>
      </c>
    </row>
    <row r="3970" spans="1:5">
      <c r="A3970">
        <v>61513</v>
      </c>
      <c r="B3970">
        <v>600</v>
      </c>
      <c r="C3970" s="455">
        <v>1E-3</v>
      </c>
      <c r="D3970" s="637">
        <f t="shared" si="134"/>
        <v>2.0750000000000005E-3</v>
      </c>
      <c r="E3970" s="637">
        <f t="shared" si="135"/>
        <v>3.3500000000000014E-3</v>
      </c>
    </row>
    <row r="3971" spans="1:5">
      <c r="A3971">
        <v>61513</v>
      </c>
      <c r="B3971">
        <v>700</v>
      </c>
      <c r="C3971" s="455">
        <v>0</v>
      </c>
      <c r="D3971" s="637">
        <f t="shared" si="134"/>
        <v>0</v>
      </c>
      <c r="E3971" s="637">
        <f t="shared" si="135"/>
        <v>0</v>
      </c>
    </row>
    <row r="3972" spans="1:5">
      <c r="A3972">
        <v>61513</v>
      </c>
      <c r="B3972">
        <v>800</v>
      </c>
      <c r="C3972" s="455">
        <v>0</v>
      </c>
      <c r="D3972" s="637">
        <f t="shared" si="134"/>
        <v>0</v>
      </c>
      <c r="E3972" s="637">
        <f t="shared" si="135"/>
        <v>0</v>
      </c>
    </row>
    <row r="3973" spans="1:5">
      <c r="A3973">
        <v>61513</v>
      </c>
      <c r="B3973">
        <v>900</v>
      </c>
      <c r="C3973" s="455">
        <v>0</v>
      </c>
      <c r="D3973" s="637">
        <f t="shared" si="134"/>
        <v>0</v>
      </c>
      <c r="E3973" s="637">
        <f t="shared" si="135"/>
        <v>0</v>
      </c>
    </row>
    <row r="3974" spans="1:5">
      <c r="A3974">
        <v>61513</v>
      </c>
      <c r="B3974">
        <v>1000</v>
      </c>
      <c r="C3974" s="455">
        <v>0</v>
      </c>
      <c r="D3974" s="637">
        <f t="shared" si="134"/>
        <v>0</v>
      </c>
      <c r="E3974" s="637">
        <f t="shared" si="135"/>
        <v>0</v>
      </c>
    </row>
    <row r="3975" spans="1:5">
      <c r="A3975">
        <v>61513</v>
      </c>
      <c r="B3975">
        <v>1100</v>
      </c>
      <c r="C3975" s="455">
        <v>0</v>
      </c>
      <c r="D3975" s="637">
        <f t="shared" si="134"/>
        <v>0</v>
      </c>
      <c r="E3975" s="637">
        <f t="shared" si="135"/>
        <v>0</v>
      </c>
    </row>
    <row r="3976" spans="1:5">
      <c r="A3976">
        <v>61513</v>
      </c>
      <c r="B3976">
        <v>1200</v>
      </c>
      <c r="C3976" s="455">
        <v>0</v>
      </c>
      <c r="D3976" s="637">
        <f t="shared" si="134"/>
        <v>0</v>
      </c>
      <c r="E3976" s="637">
        <f t="shared" si="135"/>
        <v>0</v>
      </c>
    </row>
    <row r="3977" spans="1:5">
      <c r="A3977">
        <v>61513</v>
      </c>
      <c r="B3977">
        <v>1300</v>
      </c>
      <c r="C3977" s="455">
        <v>0</v>
      </c>
      <c r="D3977" s="637">
        <f t="shared" si="134"/>
        <v>0</v>
      </c>
      <c r="E3977" s="637">
        <f t="shared" si="135"/>
        <v>0</v>
      </c>
    </row>
    <row r="3978" spans="1:5">
      <c r="A3978">
        <v>61513</v>
      </c>
      <c r="B3978">
        <v>1400</v>
      </c>
      <c r="C3978" s="455">
        <v>0</v>
      </c>
      <c r="D3978" s="637">
        <f t="shared" si="134"/>
        <v>0</v>
      </c>
      <c r="E3978" s="637">
        <f t="shared" si="135"/>
        <v>0</v>
      </c>
    </row>
    <row r="3979" spans="1:5">
      <c r="A3979">
        <v>61513</v>
      </c>
      <c r="B3979">
        <v>1500</v>
      </c>
      <c r="C3979" s="455">
        <v>0</v>
      </c>
      <c r="D3979" s="637">
        <f t="shared" si="134"/>
        <v>0</v>
      </c>
      <c r="E3979" s="637">
        <f t="shared" si="135"/>
        <v>0</v>
      </c>
    </row>
    <row r="3980" spans="1:5">
      <c r="A3980">
        <v>61513</v>
      </c>
      <c r="B3980">
        <v>1600</v>
      </c>
      <c r="C3980" s="455">
        <v>0</v>
      </c>
      <c r="D3980" s="637">
        <f t="shared" si="134"/>
        <v>0</v>
      </c>
      <c r="E3980" s="637">
        <f t="shared" si="135"/>
        <v>0</v>
      </c>
    </row>
    <row r="3981" spans="1:5">
      <c r="A3981">
        <v>61513</v>
      </c>
      <c r="B3981">
        <v>1700</v>
      </c>
      <c r="C3981" s="455">
        <v>0</v>
      </c>
      <c r="D3981" s="637">
        <f t="shared" si="134"/>
        <v>0</v>
      </c>
      <c r="E3981" s="637">
        <f t="shared" si="135"/>
        <v>0</v>
      </c>
    </row>
    <row r="3982" spans="1:5">
      <c r="A3982">
        <v>61513</v>
      </c>
      <c r="B3982">
        <v>1800</v>
      </c>
      <c r="C3982" s="455">
        <v>0</v>
      </c>
      <c r="D3982" s="637">
        <f t="shared" si="134"/>
        <v>0</v>
      </c>
      <c r="E3982" s="637">
        <f t="shared" si="135"/>
        <v>0</v>
      </c>
    </row>
    <row r="3983" spans="1:5">
      <c r="A3983">
        <v>61513</v>
      </c>
      <c r="B3983">
        <v>1900</v>
      </c>
      <c r="C3983" s="455">
        <v>0</v>
      </c>
      <c r="D3983" s="637">
        <f t="shared" si="134"/>
        <v>0</v>
      </c>
      <c r="E3983" s="637">
        <f t="shared" si="135"/>
        <v>0</v>
      </c>
    </row>
    <row r="3984" spans="1:5">
      <c r="A3984">
        <v>61513</v>
      </c>
      <c r="B3984">
        <v>2000</v>
      </c>
      <c r="C3984" s="455">
        <v>2.621</v>
      </c>
      <c r="D3984" s="637">
        <f t="shared" si="134"/>
        <v>5.438575000000001</v>
      </c>
      <c r="E3984" s="637">
        <f t="shared" si="135"/>
        <v>8.7803500000000039</v>
      </c>
    </row>
    <row r="3985" spans="1:5">
      <c r="A3985">
        <v>61513</v>
      </c>
      <c r="B3985">
        <v>2100</v>
      </c>
      <c r="C3985" s="455">
        <v>9.07</v>
      </c>
      <c r="D3985" s="637">
        <f t="shared" si="134"/>
        <v>18.820250000000001</v>
      </c>
      <c r="E3985" s="637">
        <f t="shared" si="135"/>
        <v>30.38450000000001</v>
      </c>
    </row>
    <row r="3986" spans="1:5">
      <c r="A3986">
        <v>61513</v>
      </c>
      <c r="B3986">
        <v>2200</v>
      </c>
      <c r="C3986" s="455">
        <v>7.1139999999999999</v>
      </c>
      <c r="D3986" s="637">
        <f t="shared" si="134"/>
        <v>14.761550000000002</v>
      </c>
      <c r="E3986" s="637">
        <f t="shared" si="135"/>
        <v>23.831900000000008</v>
      </c>
    </row>
    <row r="3987" spans="1:5">
      <c r="A3987">
        <v>61513</v>
      </c>
      <c r="B3987">
        <v>2300</v>
      </c>
      <c r="C3987" s="455">
        <v>7.4109999999999996</v>
      </c>
      <c r="D3987" s="637">
        <f t="shared" si="134"/>
        <v>15.377825</v>
      </c>
      <c r="E3987" s="637">
        <f t="shared" si="135"/>
        <v>24.826850000000004</v>
      </c>
    </row>
    <row r="3988" spans="1:5">
      <c r="A3988">
        <v>61513</v>
      </c>
      <c r="B3988">
        <v>2400</v>
      </c>
      <c r="C3988" s="455">
        <v>7.1230000000000002</v>
      </c>
      <c r="D3988" s="637">
        <f t="shared" si="134"/>
        <v>14.780225000000002</v>
      </c>
      <c r="E3988" s="637">
        <f t="shared" si="135"/>
        <v>23.862050000000007</v>
      </c>
    </row>
    <row r="3989" spans="1:5">
      <c r="A3989">
        <v>61613</v>
      </c>
      <c r="B3989">
        <v>100</v>
      </c>
      <c r="C3989" s="455">
        <v>7.2720000000000002</v>
      </c>
      <c r="D3989" s="637">
        <f t="shared" si="134"/>
        <v>15.089400000000003</v>
      </c>
      <c r="E3989" s="637">
        <f t="shared" si="135"/>
        <v>24.361200000000011</v>
      </c>
    </row>
    <row r="3990" spans="1:5">
      <c r="A3990">
        <v>61613</v>
      </c>
      <c r="B3990">
        <v>200</v>
      </c>
      <c r="C3990" s="455">
        <v>7.36</v>
      </c>
      <c r="D3990" s="637">
        <f t="shared" si="134"/>
        <v>15.272000000000002</v>
      </c>
      <c r="E3990" s="637">
        <f t="shared" si="135"/>
        <v>24.656000000000009</v>
      </c>
    </row>
    <row r="3991" spans="1:5">
      <c r="A3991">
        <v>61613</v>
      </c>
      <c r="B3991">
        <v>300</v>
      </c>
      <c r="C3991" s="455">
        <v>7.2709999999999999</v>
      </c>
      <c r="D3991" s="637">
        <f t="shared" si="134"/>
        <v>15.087325000000002</v>
      </c>
      <c r="E3991" s="637">
        <f t="shared" si="135"/>
        <v>24.357850000000006</v>
      </c>
    </row>
    <row r="3992" spans="1:5">
      <c r="A3992">
        <v>61613</v>
      </c>
      <c r="B3992">
        <v>400</v>
      </c>
      <c r="C3992" s="455">
        <v>7.0519999999999996</v>
      </c>
      <c r="D3992" s="637">
        <f t="shared" si="134"/>
        <v>14.632900000000001</v>
      </c>
      <c r="E3992" s="637">
        <f t="shared" si="135"/>
        <v>23.624200000000005</v>
      </c>
    </row>
    <row r="3993" spans="1:5">
      <c r="A3993">
        <v>61613</v>
      </c>
      <c r="B3993">
        <v>500</v>
      </c>
      <c r="C3993" s="455">
        <v>7.9859999999999998</v>
      </c>
      <c r="D3993" s="637">
        <f t="shared" si="134"/>
        <v>16.57095</v>
      </c>
      <c r="E3993" s="637">
        <f t="shared" si="135"/>
        <v>26.753100000000007</v>
      </c>
    </row>
    <row r="3994" spans="1:5">
      <c r="A3994">
        <v>61613</v>
      </c>
      <c r="B3994">
        <v>600</v>
      </c>
      <c r="C3994" s="455">
        <v>6.9619999999999997</v>
      </c>
      <c r="D3994" s="637">
        <f t="shared" si="134"/>
        <v>14.446150000000003</v>
      </c>
      <c r="E3994" s="637">
        <f t="shared" si="135"/>
        <v>23.322700000000008</v>
      </c>
    </row>
    <row r="3995" spans="1:5">
      <c r="A3995">
        <v>61613</v>
      </c>
      <c r="B3995">
        <v>700</v>
      </c>
      <c r="C3995" s="455">
        <v>2.4E-2</v>
      </c>
      <c r="D3995" s="637">
        <f t="shared" si="134"/>
        <v>4.9800000000000011E-2</v>
      </c>
      <c r="E3995" s="637">
        <f t="shared" si="135"/>
        <v>8.0400000000000041E-2</v>
      </c>
    </row>
    <row r="3996" spans="1:5">
      <c r="A3996">
        <v>61613</v>
      </c>
      <c r="B3996">
        <v>800</v>
      </c>
      <c r="C3996" s="455">
        <v>0.72899999999999998</v>
      </c>
      <c r="D3996" s="637">
        <f t="shared" si="134"/>
        <v>1.5126750000000002</v>
      </c>
      <c r="E3996" s="637">
        <f t="shared" si="135"/>
        <v>2.4421500000000007</v>
      </c>
    </row>
    <row r="3997" spans="1:5">
      <c r="A3997">
        <v>61613</v>
      </c>
      <c r="B3997">
        <v>900</v>
      </c>
      <c r="C3997" s="455">
        <v>4.7E-2</v>
      </c>
      <c r="D3997" s="637">
        <f t="shared" si="134"/>
        <v>9.7525000000000014E-2</v>
      </c>
      <c r="E3997" s="637">
        <f t="shared" si="135"/>
        <v>0.15745000000000006</v>
      </c>
    </row>
    <row r="3998" spans="1:5">
      <c r="A3998">
        <v>61613</v>
      </c>
      <c r="B3998">
        <v>1000</v>
      </c>
      <c r="C3998" s="455">
        <v>0</v>
      </c>
      <c r="D3998" s="637">
        <f t="shared" si="134"/>
        <v>0</v>
      </c>
      <c r="E3998" s="637">
        <f t="shared" si="135"/>
        <v>0</v>
      </c>
    </row>
    <row r="3999" spans="1:5">
      <c r="A3999">
        <v>61613</v>
      </c>
      <c r="B3999">
        <v>1100</v>
      </c>
      <c r="C3999" s="455">
        <v>0</v>
      </c>
      <c r="D3999" s="637">
        <f t="shared" si="134"/>
        <v>0</v>
      </c>
      <c r="E3999" s="637">
        <f t="shared" si="135"/>
        <v>0</v>
      </c>
    </row>
    <row r="4000" spans="1:5">
      <c r="A4000">
        <v>61613</v>
      </c>
      <c r="B4000">
        <v>1200</v>
      </c>
      <c r="C4000" s="455">
        <v>0</v>
      </c>
      <c r="D4000" s="637">
        <f t="shared" si="134"/>
        <v>0</v>
      </c>
      <c r="E4000" s="637">
        <f t="shared" si="135"/>
        <v>0</v>
      </c>
    </row>
    <row r="4001" spans="1:5">
      <c r="A4001">
        <v>61613</v>
      </c>
      <c r="B4001">
        <v>1300</v>
      </c>
      <c r="C4001" s="455">
        <v>0</v>
      </c>
      <c r="D4001" s="637">
        <f t="shared" si="134"/>
        <v>0</v>
      </c>
      <c r="E4001" s="637">
        <f t="shared" si="135"/>
        <v>0</v>
      </c>
    </row>
    <row r="4002" spans="1:5">
      <c r="A4002">
        <v>61613</v>
      </c>
      <c r="B4002">
        <v>1400</v>
      </c>
      <c r="C4002" s="455">
        <v>0</v>
      </c>
      <c r="D4002" s="637">
        <f t="shared" si="134"/>
        <v>0</v>
      </c>
      <c r="E4002" s="637">
        <f t="shared" si="135"/>
        <v>0</v>
      </c>
    </row>
    <row r="4003" spans="1:5">
      <c r="A4003">
        <v>61613</v>
      </c>
      <c r="B4003">
        <v>1500</v>
      </c>
      <c r="C4003" s="455">
        <v>0</v>
      </c>
      <c r="D4003" s="637">
        <f t="shared" si="134"/>
        <v>0</v>
      </c>
      <c r="E4003" s="637">
        <f t="shared" si="135"/>
        <v>0</v>
      </c>
    </row>
    <row r="4004" spans="1:5">
      <c r="A4004">
        <v>61613</v>
      </c>
      <c r="B4004">
        <v>1600</v>
      </c>
      <c r="C4004" s="455">
        <v>0</v>
      </c>
      <c r="D4004" s="637">
        <f t="shared" si="134"/>
        <v>0</v>
      </c>
      <c r="E4004" s="637">
        <f t="shared" si="135"/>
        <v>0</v>
      </c>
    </row>
    <row r="4005" spans="1:5">
      <c r="A4005">
        <v>61613</v>
      </c>
      <c r="B4005">
        <v>1700</v>
      </c>
      <c r="C4005" s="455">
        <v>0</v>
      </c>
      <c r="D4005" s="637">
        <f t="shared" si="134"/>
        <v>0</v>
      </c>
      <c r="E4005" s="637">
        <f t="shared" si="135"/>
        <v>0</v>
      </c>
    </row>
    <row r="4006" spans="1:5">
      <c r="A4006">
        <v>61613</v>
      </c>
      <c r="B4006">
        <v>1800</v>
      </c>
      <c r="C4006" s="455">
        <v>0</v>
      </c>
      <c r="D4006" s="637">
        <f t="shared" si="134"/>
        <v>0</v>
      </c>
      <c r="E4006" s="637">
        <f t="shared" si="135"/>
        <v>0</v>
      </c>
    </row>
    <row r="4007" spans="1:5">
      <c r="A4007">
        <v>61613</v>
      </c>
      <c r="B4007">
        <v>1900</v>
      </c>
      <c r="C4007" s="455">
        <v>0</v>
      </c>
      <c r="D4007" s="637">
        <f t="shared" si="134"/>
        <v>0</v>
      </c>
      <c r="E4007" s="637">
        <f t="shared" si="135"/>
        <v>0</v>
      </c>
    </row>
    <row r="4008" spans="1:5">
      <c r="A4008">
        <v>61613</v>
      </c>
      <c r="B4008">
        <v>2000</v>
      </c>
      <c r="C4008" s="455">
        <v>2.74</v>
      </c>
      <c r="D4008" s="637">
        <f t="shared" si="134"/>
        <v>5.6855000000000011</v>
      </c>
      <c r="E4008" s="637">
        <f t="shared" si="135"/>
        <v>9.1790000000000038</v>
      </c>
    </row>
    <row r="4009" spans="1:5">
      <c r="A4009">
        <v>61613</v>
      </c>
      <c r="B4009">
        <v>2100</v>
      </c>
      <c r="C4009" s="455">
        <v>9.0519999999999996</v>
      </c>
      <c r="D4009" s="637">
        <f t="shared" si="134"/>
        <v>18.782900000000001</v>
      </c>
      <c r="E4009" s="637">
        <f t="shared" si="135"/>
        <v>30.324200000000012</v>
      </c>
    </row>
    <row r="4010" spans="1:5">
      <c r="A4010">
        <v>61613</v>
      </c>
      <c r="B4010">
        <v>2200</v>
      </c>
      <c r="C4010" s="455">
        <v>7.1180000000000003</v>
      </c>
      <c r="D4010" s="637">
        <f t="shared" si="134"/>
        <v>14.769850000000003</v>
      </c>
      <c r="E4010" s="637">
        <f t="shared" si="135"/>
        <v>23.845300000000012</v>
      </c>
    </row>
    <row r="4011" spans="1:5">
      <c r="A4011">
        <v>61613</v>
      </c>
      <c r="B4011">
        <v>2300</v>
      </c>
      <c r="C4011" s="455">
        <v>7.3319999999999999</v>
      </c>
      <c r="D4011" s="637">
        <f t="shared" si="134"/>
        <v>15.213900000000002</v>
      </c>
      <c r="E4011" s="637">
        <f t="shared" si="135"/>
        <v>24.562200000000008</v>
      </c>
    </row>
    <row r="4012" spans="1:5">
      <c r="A4012">
        <v>61613</v>
      </c>
      <c r="B4012">
        <v>2400</v>
      </c>
      <c r="C4012" s="455">
        <v>7.0410000000000004</v>
      </c>
      <c r="D4012" s="637">
        <f t="shared" si="134"/>
        <v>14.610075000000004</v>
      </c>
      <c r="E4012" s="637">
        <f t="shared" si="135"/>
        <v>23.587350000000011</v>
      </c>
    </row>
    <row r="4013" spans="1:5">
      <c r="A4013">
        <v>61713</v>
      </c>
      <c r="B4013">
        <v>100</v>
      </c>
      <c r="C4013" s="455">
        <v>7.4180000000000001</v>
      </c>
      <c r="D4013" s="637">
        <f t="shared" si="134"/>
        <v>15.392350000000002</v>
      </c>
      <c r="E4013" s="637">
        <f t="shared" si="135"/>
        <v>24.850300000000008</v>
      </c>
    </row>
    <row r="4014" spans="1:5">
      <c r="A4014">
        <v>61713</v>
      </c>
      <c r="B4014">
        <v>200</v>
      </c>
      <c r="C4014" s="455">
        <v>7.2729999999999997</v>
      </c>
      <c r="D4014" s="637">
        <f t="shared" ref="D4014:D4077" si="136">(C4014/(MAX($C$3629:$C$4348)))*$W$10</f>
        <v>15.091475000000001</v>
      </c>
      <c r="E4014" s="637">
        <f t="shared" ref="E4014:E4077" si="137">(C4014/(MAX($C$3629:$C$4348)))*$P$10</f>
        <v>24.364550000000008</v>
      </c>
    </row>
    <row r="4015" spans="1:5">
      <c r="A4015">
        <v>61713</v>
      </c>
      <c r="B4015">
        <v>300</v>
      </c>
      <c r="C4015" s="455">
        <v>7.3659999999999997</v>
      </c>
      <c r="D4015" s="637">
        <f t="shared" si="136"/>
        <v>15.284450000000001</v>
      </c>
      <c r="E4015" s="637">
        <f t="shared" si="137"/>
        <v>24.676100000000005</v>
      </c>
    </row>
    <row r="4016" spans="1:5">
      <c r="A4016">
        <v>61713</v>
      </c>
      <c r="B4016">
        <v>400</v>
      </c>
      <c r="C4016" s="455">
        <v>7.3479999999999999</v>
      </c>
      <c r="D4016" s="637">
        <f t="shared" si="136"/>
        <v>15.247100000000001</v>
      </c>
      <c r="E4016" s="637">
        <f t="shared" si="137"/>
        <v>24.615800000000007</v>
      </c>
    </row>
    <row r="4017" spans="1:5">
      <c r="A4017">
        <v>61713</v>
      </c>
      <c r="B4017">
        <v>500</v>
      </c>
      <c r="C4017" s="455">
        <v>6.9489999999999998</v>
      </c>
      <c r="D4017" s="637">
        <f t="shared" si="136"/>
        <v>14.419175000000001</v>
      </c>
      <c r="E4017" s="637">
        <f t="shared" si="137"/>
        <v>23.279150000000008</v>
      </c>
    </row>
    <row r="4018" spans="1:5">
      <c r="A4018">
        <v>61713</v>
      </c>
      <c r="B4018">
        <v>600</v>
      </c>
      <c r="C4018" s="455">
        <v>0</v>
      </c>
      <c r="D4018" s="637">
        <f t="shared" si="136"/>
        <v>0</v>
      </c>
      <c r="E4018" s="637">
        <f t="shared" si="137"/>
        <v>0</v>
      </c>
    </row>
    <row r="4019" spans="1:5">
      <c r="A4019">
        <v>61713</v>
      </c>
      <c r="B4019">
        <v>700</v>
      </c>
      <c r="C4019" s="455">
        <v>1E-3</v>
      </c>
      <c r="D4019" s="637">
        <f t="shared" si="136"/>
        <v>2.0750000000000005E-3</v>
      </c>
      <c r="E4019" s="637">
        <f t="shared" si="137"/>
        <v>3.3500000000000014E-3</v>
      </c>
    </row>
    <row r="4020" spans="1:5">
      <c r="A4020">
        <v>61713</v>
      </c>
      <c r="B4020">
        <v>800</v>
      </c>
      <c r="C4020" s="455">
        <v>0</v>
      </c>
      <c r="D4020" s="637">
        <f t="shared" si="136"/>
        <v>0</v>
      </c>
      <c r="E4020" s="637">
        <f t="shared" si="137"/>
        <v>0</v>
      </c>
    </row>
    <row r="4021" spans="1:5">
      <c r="A4021">
        <v>61713</v>
      </c>
      <c r="B4021">
        <v>900</v>
      </c>
      <c r="C4021" s="455">
        <v>0</v>
      </c>
      <c r="D4021" s="637">
        <f t="shared" si="136"/>
        <v>0</v>
      </c>
      <c r="E4021" s="637">
        <f t="shared" si="137"/>
        <v>0</v>
      </c>
    </row>
    <row r="4022" spans="1:5">
      <c r="A4022">
        <v>61713</v>
      </c>
      <c r="B4022">
        <v>1000</v>
      </c>
      <c r="C4022" s="455">
        <v>0</v>
      </c>
      <c r="D4022" s="637">
        <f t="shared" si="136"/>
        <v>0</v>
      </c>
      <c r="E4022" s="637">
        <f t="shared" si="137"/>
        <v>0</v>
      </c>
    </row>
    <row r="4023" spans="1:5">
      <c r="A4023">
        <v>61713</v>
      </c>
      <c r="B4023">
        <v>1100</v>
      </c>
      <c r="C4023" s="455">
        <v>0</v>
      </c>
      <c r="D4023" s="637">
        <f t="shared" si="136"/>
        <v>0</v>
      </c>
      <c r="E4023" s="637">
        <f t="shared" si="137"/>
        <v>0</v>
      </c>
    </row>
    <row r="4024" spans="1:5">
      <c r="A4024">
        <v>61713</v>
      </c>
      <c r="B4024">
        <v>1200</v>
      </c>
      <c r="C4024" s="455">
        <v>0</v>
      </c>
      <c r="D4024" s="637">
        <f t="shared" si="136"/>
        <v>0</v>
      </c>
      <c r="E4024" s="637">
        <f t="shared" si="137"/>
        <v>0</v>
      </c>
    </row>
    <row r="4025" spans="1:5">
      <c r="A4025">
        <v>61713</v>
      </c>
      <c r="B4025">
        <v>1300</v>
      </c>
      <c r="C4025" s="455">
        <v>0</v>
      </c>
      <c r="D4025" s="637">
        <f t="shared" si="136"/>
        <v>0</v>
      </c>
      <c r="E4025" s="637">
        <f t="shared" si="137"/>
        <v>0</v>
      </c>
    </row>
    <row r="4026" spans="1:5">
      <c r="A4026">
        <v>61713</v>
      </c>
      <c r="B4026">
        <v>1400</v>
      </c>
      <c r="C4026" s="455">
        <v>0</v>
      </c>
      <c r="D4026" s="637">
        <f t="shared" si="136"/>
        <v>0</v>
      </c>
      <c r="E4026" s="637">
        <f t="shared" si="137"/>
        <v>0</v>
      </c>
    </row>
    <row r="4027" spans="1:5">
      <c r="A4027">
        <v>61713</v>
      </c>
      <c r="B4027">
        <v>1500</v>
      </c>
      <c r="C4027" s="455">
        <v>0</v>
      </c>
      <c r="D4027" s="637">
        <f t="shared" si="136"/>
        <v>0</v>
      </c>
      <c r="E4027" s="637">
        <f t="shared" si="137"/>
        <v>0</v>
      </c>
    </row>
    <row r="4028" spans="1:5">
      <c r="A4028">
        <v>61713</v>
      </c>
      <c r="B4028">
        <v>1600</v>
      </c>
      <c r="C4028" s="455">
        <v>0</v>
      </c>
      <c r="D4028" s="637">
        <f t="shared" si="136"/>
        <v>0</v>
      </c>
      <c r="E4028" s="637">
        <f t="shared" si="137"/>
        <v>0</v>
      </c>
    </row>
    <row r="4029" spans="1:5">
      <c r="A4029">
        <v>61713</v>
      </c>
      <c r="B4029">
        <v>1700</v>
      </c>
      <c r="C4029" s="455">
        <v>0</v>
      </c>
      <c r="D4029" s="637">
        <f t="shared" si="136"/>
        <v>0</v>
      </c>
      <c r="E4029" s="637">
        <f t="shared" si="137"/>
        <v>0</v>
      </c>
    </row>
    <row r="4030" spans="1:5">
      <c r="A4030">
        <v>61713</v>
      </c>
      <c r="B4030">
        <v>1800</v>
      </c>
      <c r="C4030" s="455">
        <v>0</v>
      </c>
      <c r="D4030" s="637">
        <f t="shared" si="136"/>
        <v>0</v>
      </c>
      <c r="E4030" s="637">
        <f t="shared" si="137"/>
        <v>0</v>
      </c>
    </row>
    <row r="4031" spans="1:5">
      <c r="A4031">
        <v>61713</v>
      </c>
      <c r="B4031">
        <v>1900</v>
      </c>
      <c r="C4031" s="455">
        <v>0</v>
      </c>
      <c r="D4031" s="637">
        <f t="shared" si="136"/>
        <v>0</v>
      </c>
      <c r="E4031" s="637">
        <f t="shared" si="137"/>
        <v>0</v>
      </c>
    </row>
    <row r="4032" spans="1:5">
      <c r="A4032">
        <v>61713</v>
      </c>
      <c r="B4032">
        <v>2000</v>
      </c>
      <c r="C4032" s="455">
        <v>2.173</v>
      </c>
      <c r="D4032" s="637">
        <f t="shared" si="136"/>
        <v>4.5089750000000013</v>
      </c>
      <c r="E4032" s="637">
        <f t="shared" si="137"/>
        <v>7.2795500000000031</v>
      </c>
    </row>
    <row r="4033" spans="1:5">
      <c r="A4033">
        <v>61713</v>
      </c>
      <c r="B4033">
        <v>2100</v>
      </c>
      <c r="C4033" s="455">
        <v>8.9019999999999992</v>
      </c>
      <c r="D4033" s="637">
        <f t="shared" si="136"/>
        <v>18.47165</v>
      </c>
      <c r="E4033" s="637">
        <f t="shared" si="137"/>
        <v>29.821700000000007</v>
      </c>
    </row>
    <row r="4034" spans="1:5">
      <c r="A4034">
        <v>61713</v>
      </c>
      <c r="B4034">
        <v>2200</v>
      </c>
      <c r="C4034" s="455">
        <v>7.0960000000000001</v>
      </c>
      <c r="D4034" s="637">
        <f t="shared" si="136"/>
        <v>14.724200000000003</v>
      </c>
      <c r="E4034" s="637">
        <f t="shared" si="137"/>
        <v>23.77160000000001</v>
      </c>
    </row>
    <row r="4035" spans="1:5">
      <c r="A4035">
        <v>61713</v>
      </c>
      <c r="B4035">
        <v>2300</v>
      </c>
      <c r="C4035" s="455">
        <v>7.2560000000000002</v>
      </c>
      <c r="D4035" s="637">
        <f t="shared" si="136"/>
        <v>15.056200000000002</v>
      </c>
      <c r="E4035" s="637">
        <f t="shared" si="137"/>
        <v>24.307600000000008</v>
      </c>
    </row>
    <row r="4036" spans="1:5">
      <c r="A4036">
        <v>61713</v>
      </c>
      <c r="B4036">
        <v>2400</v>
      </c>
      <c r="C4036" s="455">
        <v>7.2549999999999999</v>
      </c>
      <c r="D4036" s="637">
        <f t="shared" si="136"/>
        <v>15.054125000000003</v>
      </c>
      <c r="E4036" s="637">
        <f t="shared" si="137"/>
        <v>24.304250000000007</v>
      </c>
    </row>
    <row r="4037" spans="1:5">
      <c r="A4037">
        <v>61813</v>
      </c>
      <c r="B4037">
        <v>100</v>
      </c>
      <c r="C4037" s="455">
        <v>7.258</v>
      </c>
      <c r="D4037" s="637">
        <f t="shared" si="136"/>
        <v>15.060350000000003</v>
      </c>
      <c r="E4037" s="637">
        <f t="shared" si="137"/>
        <v>24.31430000000001</v>
      </c>
    </row>
    <row r="4038" spans="1:5">
      <c r="A4038">
        <v>61813</v>
      </c>
      <c r="B4038">
        <v>200</v>
      </c>
      <c r="C4038" s="455">
        <v>7.109</v>
      </c>
      <c r="D4038" s="637">
        <f t="shared" si="136"/>
        <v>14.751175000000002</v>
      </c>
      <c r="E4038" s="637">
        <f t="shared" si="137"/>
        <v>23.815150000000006</v>
      </c>
    </row>
    <row r="4039" spans="1:5">
      <c r="A4039">
        <v>61813</v>
      </c>
      <c r="B4039">
        <v>300</v>
      </c>
      <c r="C4039" s="455">
        <v>7.181</v>
      </c>
      <c r="D4039" s="637">
        <f t="shared" si="136"/>
        <v>14.900575000000002</v>
      </c>
      <c r="E4039" s="637">
        <f t="shared" si="137"/>
        <v>24.056350000000009</v>
      </c>
    </row>
    <row r="4040" spans="1:5">
      <c r="A4040">
        <v>61813</v>
      </c>
      <c r="B4040">
        <v>400</v>
      </c>
      <c r="C4040" s="455">
        <v>7.1769999999999996</v>
      </c>
      <c r="D4040" s="637">
        <f t="shared" si="136"/>
        <v>14.892275000000001</v>
      </c>
      <c r="E4040" s="637">
        <f t="shared" si="137"/>
        <v>24.042950000000008</v>
      </c>
    </row>
    <row r="4041" spans="1:5">
      <c r="A4041">
        <v>61813</v>
      </c>
      <c r="B4041">
        <v>500</v>
      </c>
      <c r="C4041" s="455">
        <v>8.827</v>
      </c>
      <c r="D4041" s="637">
        <f t="shared" si="136"/>
        <v>18.316025</v>
      </c>
      <c r="E4041" s="637">
        <f t="shared" si="137"/>
        <v>29.570450000000008</v>
      </c>
    </row>
    <row r="4042" spans="1:5">
      <c r="A4042">
        <v>61813</v>
      </c>
      <c r="B4042">
        <v>600</v>
      </c>
      <c r="C4042" s="455">
        <v>2.2719999999999998</v>
      </c>
      <c r="D4042" s="637">
        <f t="shared" si="136"/>
        <v>4.7144000000000004</v>
      </c>
      <c r="E4042" s="637">
        <f t="shared" si="137"/>
        <v>7.6112000000000029</v>
      </c>
    </row>
    <row r="4043" spans="1:5">
      <c r="A4043">
        <v>61813</v>
      </c>
      <c r="B4043">
        <v>700</v>
      </c>
      <c r="C4043" s="455">
        <v>0</v>
      </c>
      <c r="D4043" s="637">
        <f t="shared" si="136"/>
        <v>0</v>
      </c>
      <c r="E4043" s="637">
        <f t="shared" si="137"/>
        <v>0</v>
      </c>
    </row>
    <row r="4044" spans="1:5">
      <c r="A4044">
        <v>61813</v>
      </c>
      <c r="B4044">
        <v>800</v>
      </c>
      <c r="C4044" s="455">
        <v>0</v>
      </c>
      <c r="D4044" s="637">
        <f t="shared" si="136"/>
        <v>0</v>
      </c>
      <c r="E4044" s="637">
        <f t="shared" si="137"/>
        <v>0</v>
      </c>
    </row>
    <row r="4045" spans="1:5">
      <c r="A4045">
        <v>61813</v>
      </c>
      <c r="B4045">
        <v>900</v>
      </c>
      <c r="C4045" s="455">
        <v>0</v>
      </c>
      <c r="D4045" s="637">
        <f t="shared" si="136"/>
        <v>0</v>
      </c>
      <c r="E4045" s="637">
        <f t="shared" si="137"/>
        <v>0</v>
      </c>
    </row>
    <row r="4046" spans="1:5">
      <c r="A4046">
        <v>61813</v>
      </c>
      <c r="B4046">
        <v>1000</v>
      </c>
      <c r="C4046" s="455">
        <v>0</v>
      </c>
      <c r="D4046" s="637">
        <f t="shared" si="136"/>
        <v>0</v>
      </c>
      <c r="E4046" s="637">
        <f t="shared" si="137"/>
        <v>0</v>
      </c>
    </row>
    <row r="4047" spans="1:5">
      <c r="A4047">
        <v>61813</v>
      </c>
      <c r="B4047">
        <v>1100</v>
      </c>
      <c r="C4047" s="455">
        <v>0</v>
      </c>
      <c r="D4047" s="637">
        <f t="shared" si="136"/>
        <v>0</v>
      </c>
      <c r="E4047" s="637">
        <f t="shared" si="137"/>
        <v>0</v>
      </c>
    </row>
    <row r="4048" spans="1:5">
      <c r="A4048">
        <v>61813</v>
      </c>
      <c r="B4048">
        <v>1200</v>
      </c>
      <c r="C4048" s="455">
        <v>0</v>
      </c>
      <c r="D4048" s="637">
        <f t="shared" si="136"/>
        <v>0</v>
      </c>
      <c r="E4048" s="637">
        <f t="shared" si="137"/>
        <v>0</v>
      </c>
    </row>
    <row r="4049" spans="1:5">
      <c r="A4049">
        <v>61813</v>
      </c>
      <c r="B4049">
        <v>1300</v>
      </c>
      <c r="C4049" s="455">
        <v>0</v>
      </c>
      <c r="D4049" s="637">
        <f t="shared" si="136"/>
        <v>0</v>
      </c>
      <c r="E4049" s="637">
        <f t="shared" si="137"/>
        <v>0</v>
      </c>
    </row>
    <row r="4050" spans="1:5">
      <c r="A4050">
        <v>61813</v>
      </c>
      <c r="B4050">
        <v>1400</v>
      </c>
      <c r="C4050" s="455">
        <v>0</v>
      </c>
      <c r="D4050" s="637">
        <f t="shared" si="136"/>
        <v>0</v>
      </c>
      <c r="E4050" s="637">
        <f t="shared" si="137"/>
        <v>0</v>
      </c>
    </row>
    <row r="4051" spans="1:5">
      <c r="A4051">
        <v>61813</v>
      </c>
      <c r="B4051">
        <v>1500</v>
      </c>
      <c r="C4051" s="455">
        <v>0</v>
      </c>
      <c r="D4051" s="637">
        <f t="shared" si="136"/>
        <v>0</v>
      </c>
      <c r="E4051" s="637">
        <f t="shared" si="137"/>
        <v>0</v>
      </c>
    </row>
    <row r="4052" spans="1:5">
      <c r="A4052">
        <v>61813</v>
      </c>
      <c r="B4052">
        <v>1600</v>
      </c>
      <c r="C4052" s="455">
        <v>0</v>
      </c>
      <c r="D4052" s="637">
        <f t="shared" si="136"/>
        <v>0</v>
      </c>
      <c r="E4052" s="637">
        <f t="shared" si="137"/>
        <v>0</v>
      </c>
    </row>
    <row r="4053" spans="1:5">
      <c r="A4053">
        <v>61813</v>
      </c>
      <c r="B4053">
        <v>1700</v>
      </c>
      <c r="C4053" s="455">
        <v>0</v>
      </c>
      <c r="D4053" s="637">
        <f t="shared" si="136"/>
        <v>0</v>
      </c>
      <c r="E4053" s="637">
        <f t="shared" si="137"/>
        <v>0</v>
      </c>
    </row>
    <row r="4054" spans="1:5">
      <c r="A4054">
        <v>61813</v>
      </c>
      <c r="B4054">
        <v>1800</v>
      </c>
      <c r="C4054" s="455">
        <v>0</v>
      </c>
      <c r="D4054" s="637">
        <f t="shared" si="136"/>
        <v>0</v>
      </c>
      <c r="E4054" s="637">
        <f t="shared" si="137"/>
        <v>0</v>
      </c>
    </row>
    <row r="4055" spans="1:5">
      <c r="A4055">
        <v>61813</v>
      </c>
      <c r="B4055">
        <v>1900</v>
      </c>
      <c r="C4055" s="455">
        <v>0</v>
      </c>
      <c r="D4055" s="637">
        <f t="shared" si="136"/>
        <v>0</v>
      </c>
      <c r="E4055" s="637">
        <f t="shared" si="137"/>
        <v>0</v>
      </c>
    </row>
    <row r="4056" spans="1:5">
      <c r="A4056">
        <v>61813</v>
      </c>
      <c r="B4056">
        <v>2000</v>
      </c>
      <c r="C4056" s="455">
        <v>1.4890000000000001</v>
      </c>
      <c r="D4056" s="637">
        <f t="shared" si="136"/>
        <v>3.0896750000000011</v>
      </c>
      <c r="E4056" s="637">
        <f t="shared" si="137"/>
        <v>4.9881500000000027</v>
      </c>
    </row>
    <row r="4057" spans="1:5">
      <c r="A4057">
        <v>61813</v>
      </c>
      <c r="B4057">
        <v>2100</v>
      </c>
      <c r="C4057" s="455">
        <v>9.2159999999999993</v>
      </c>
      <c r="D4057" s="637">
        <f t="shared" si="136"/>
        <v>19.123200000000001</v>
      </c>
      <c r="E4057" s="637">
        <f t="shared" si="137"/>
        <v>30.873600000000007</v>
      </c>
    </row>
    <row r="4058" spans="1:5">
      <c r="A4058">
        <v>61813</v>
      </c>
      <c r="B4058">
        <v>2200</v>
      </c>
      <c r="C4058" s="455">
        <v>7.0369999999999999</v>
      </c>
      <c r="D4058" s="637">
        <f t="shared" si="136"/>
        <v>14.601775000000002</v>
      </c>
      <c r="E4058" s="637">
        <f t="shared" si="137"/>
        <v>23.573950000000007</v>
      </c>
    </row>
    <row r="4059" spans="1:5">
      <c r="A4059">
        <v>61813</v>
      </c>
      <c r="B4059">
        <v>2300</v>
      </c>
      <c r="C4059" s="455">
        <v>7.2469999999999999</v>
      </c>
      <c r="D4059" s="637">
        <f t="shared" si="136"/>
        <v>15.037525000000002</v>
      </c>
      <c r="E4059" s="637">
        <f t="shared" si="137"/>
        <v>24.277450000000009</v>
      </c>
    </row>
    <row r="4060" spans="1:5">
      <c r="A4060">
        <v>61813</v>
      </c>
      <c r="B4060">
        <v>2400</v>
      </c>
      <c r="C4060" s="455">
        <v>7.13</v>
      </c>
      <c r="D4060" s="637">
        <f t="shared" si="136"/>
        <v>14.794750000000002</v>
      </c>
      <c r="E4060" s="637">
        <f t="shared" si="137"/>
        <v>23.885500000000008</v>
      </c>
    </row>
    <row r="4061" spans="1:5">
      <c r="A4061">
        <v>61913</v>
      </c>
      <c r="B4061">
        <v>100</v>
      </c>
      <c r="C4061" s="455">
        <v>7.3929999999999998</v>
      </c>
      <c r="D4061" s="637">
        <f t="shared" si="136"/>
        <v>15.340475000000003</v>
      </c>
      <c r="E4061" s="637">
        <f t="shared" si="137"/>
        <v>24.766550000000009</v>
      </c>
    </row>
    <row r="4062" spans="1:5">
      <c r="A4062">
        <v>61913</v>
      </c>
      <c r="B4062">
        <v>200</v>
      </c>
      <c r="C4062" s="455">
        <v>7.1849999999999996</v>
      </c>
      <c r="D4062" s="637">
        <f t="shared" si="136"/>
        <v>14.908875</v>
      </c>
      <c r="E4062" s="637">
        <f t="shared" si="137"/>
        <v>24.069750000000006</v>
      </c>
    </row>
    <row r="4063" spans="1:5">
      <c r="A4063">
        <v>61913</v>
      </c>
      <c r="B4063">
        <v>300</v>
      </c>
      <c r="C4063" s="455">
        <v>7.4089999999999998</v>
      </c>
      <c r="D4063" s="637">
        <f t="shared" si="136"/>
        <v>15.373675000000002</v>
      </c>
      <c r="E4063" s="637">
        <f t="shared" si="137"/>
        <v>24.820150000000009</v>
      </c>
    </row>
    <row r="4064" spans="1:5">
      <c r="A4064">
        <v>61913</v>
      </c>
      <c r="B4064">
        <v>400</v>
      </c>
      <c r="C4064" s="455">
        <v>7.2629999999999999</v>
      </c>
      <c r="D4064" s="637">
        <f t="shared" si="136"/>
        <v>15.070725000000001</v>
      </c>
      <c r="E4064" s="637">
        <f t="shared" si="137"/>
        <v>24.331050000000008</v>
      </c>
    </row>
    <row r="4065" spans="1:5">
      <c r="A4065">
        <v>61913</v>
      </c>
      <c r="B4065">
        <v>500</v>
      </c>
      <c r="C4065" s="455">
        <v>7.415</v>
      </c>
      <c r="D4065" s="637">
        <f t="shared" si="136"/>
        <v>15.386125000000002</v>
      </c>
      <c r="E4065" s="637">
        <f t="shared" si="137"/>
        <v>24.840250000000008</v>
      </c>
    </row>
    <row r="4066" spans="1:5">
      <c r="A4066">
        <v>61913</v>
      </c>
      <c r="B4066">
        <v>600</v>
      </c>
      <c r="C4066" s="455">
        <v>2.3E-2</v>
      </c>
      <c r="D4066" s="637">
        <f t="shared" si="136"/>
        <v>4.7725000000000004E-2</v>
      </c>
      <c r="E4066" s="637">
        <f t="shared" si="137"/>
        <v>7.7050000000000021E-2</v>
      </c>
    </row>
    <row r="4067" spans="1:5">
      <c r="A4067">
        <v>61913</v>
      </c>
      <c r="B4067">
        <v>700</v>
      </c>
      <c r="C4067" s="455">
        <v>0</v>
      </c>
      <c r="D4067" s="637">
        <f t="shared" si="136"/>
        <v>0</v>
      </c>
      <c r="E4067" s="637">
        <f t="shared" si="137"/>
        <v>0</v>
      </c>
    </row>
    <row r="4068" spans="1:5">
      <c r="A4068">
        <v>61913</v>
      </c>
      <c r="B4068">
        <v>800</v>
      </c>
      <c r="C4068" s="455">
        <v>0</v>
      </c>
      <c r="D4068" s="637">
        <f t="shared" si="136"/>
        <v>0</v>
      </c>
      <c r="E4068" s="637">
        <f t="shared" si="137"/>
        <v>0</v>
      </c>
    </row>
    <row r="4069" spans="1:5">
      <c r="A4069">
        <v>61913</v>
      </c>
      <c r="B4069">
        <v>900</v>
      </c>
      <c r="C4069" s="455">
        <v>0</v>
      </c>
      <c r="D4069" s="637">
        <f t="shared" si="136"/>
        <v>0</v>
      </c>
      <c r="E4069" s="637">
        <f t="shared" si="137"/>
        <v>0</v>
      </c>
    </row>
    <row r="4070" spans="1:5">
      <c r="A4070">
        <v>61913</v>
      </c>
      <c r="B4070">
        <v>1000</v>
      </c>
      <c r="C4070" s="455">
        <v>0</v>
      </c>
      <c r="D4070" s="637">
        <f t="shared" si="136"/>
        <v>0</v>
      </c>
      <c r="E4070" s="637">
        <f t="shared" si="137"/>
        <v>0</v>
      </c>
    </row>
    <row r="4071" spans="1:5">
      <c r="A4071">
        <v>61913</v>
      </c>
      <c r="B4071">
        <v>1100</v>
      </c>
      <c r="C4071" s="455">
        <v>0</v>
      </c>
      <c r="D4071" s="637">
        <f t="shared" si="136"/>
        <v>0</v>
      </c>
      <c r="E4071" s="637">
        <f t="shared" si="137"/>
        <v>0</v>
      </c>
    </row>
    <row r="4072" spans="1:5">
      <c r="A4072">
        <v>61913</v>
      </c>
      <c r="B4072">
        <v>1200</v>
      </c>
      <c r="C4072" s="455">
        <v>0</v>
      </c>
      <c r="D4072" s="637">
        <f t="shared" si="136"/>
        <v>0</v>
      </c>
      <c r="E4072" s="637">
        <f t="shared" si="137"/>
        <v>0</v>
      </c>
    </row>
    <row r="4073" spans="1:5">
      <c r="A4073">
        <v>61913</v>
      </c>
      <c r="B4073">
        <v>1300</v>
      </c>
      <c r="C4073" s="455">
        <v>0</v>
      </c>
      <c r="D4073" s="637">
        <f t="shared" si="136"/>
        <v>0</v>
      </c>
      <c r="E4073" s="637">
        <f t="shared" si="137"/>
        <v>0</v>
      </c>
    </row>
    <row r="4074" spans="1:5">
      <c r="A4074">
        <v>61913</v>
      </c>
      <c r="B4074">
        <v>1400</v>
      </c>
      <c r="C4074" s="455">
        <v>0</v>
      </c>
      <c r="D4074" s="637">
        <f t="shared" si="136"/>
        <v>0</v>
      </c>
      <c r="E4074" s="637">
        <f t="shared" si="137"/>
        <v>0</v>
      </c>
    </row>
    <row r="4075" spans="1:5">
      <c r="A4075">
        <v>61913</v>
      </c>
      <c r="B4075">
        <v>1500</v>
      </c>
      <c r="C4075" s="455">
        <v>0</v>
      </c>
      <c r="D4075" s="637">
        <f t="shared" si="136"/>
        <v>0</v>
      </c>
      <c r="E4075" s="637">
        <f t="shared" si="137"/>
        <v>0</v>
      </c>
    </row>
    <row r="4076" spans="1:5">
      <c r="A4076">
        <v>61913</v>
      </c>
      <c r="B4076">
        <v>1600</v>
      </c>
      <c r="C4076" s="455">
        <v>0</v>
      </c>
      <c r="D4076" s="637">
        <f t="shared" si="136"/>
        <v>0</v>
      </c>
      <c r="E4076" s="637">
        <f t="shared" si="137"/>
        <v>0</v>
      </c>
    </row>
    <row r="4077" spans="1:5">
      <c r="A4077">
        <v>61913</v>
      </c>
      <c r="B4077">
        <v>1700</v>
      </c>
      <c r="C4077" s="455">
        <v>0</v>
      </c>
      <c r="D4077" s="637">
        <f t="shared" si="136"/>
        <v>0</v>
      </c>
      <c r="E4077" s="637">
        <f t="shared" si="137"/>
        <v>0</v>
      </c>
    </row>
    <row r="4078" spans="1:5">
      <c r="A4078">
        <v>61913</v>
      </c>
      <c r="B4078">
        <v>1800</v>
      </c>
      <c r="C4078" s="455">
        <v>0</v>
      </c>
      <c r="D4078" s="637">
        <f t="shared" ref="D4078:D4141" si="138">(C4078/(MAX($C$3629:$C$4348)))*$W$10</f>
        <v>0</v>
      </c>
      <c r="E4078" s="637">
        <f t="shared" ref="E4078:E4141" si="139">(C4078/(MAX($C$3629:$C$4348)))*$P$10</f>
        <v>0</v>
      </c>
    </row>
    <row r="4079" spans="1:5">
      <c r="A4079">
        <v>61913</v>
      </c>
      <c r="B4079">
        <v>1900</v>
      </c>
      <c r="C4079" s="455">
        <v>0</v>
      </c>
      <c r="D4079" s="637">
        <f t="shared" si="138"/>
        <v>0</v>
      </c>
      <c r="E4079" s="637">
        <f t="shared" si="139"/>
        <v>0</v>
      </c>
    </row>
    <row r="4080" spans="1:5">
      <c r="A4080">
        <v>61913</v>
      </c>
      <c r="B4080">
        <v>2000</v>
      </c>
      <c r="C4080" s="455">
        <v>1.9379999999999999</v>
      </c>
      <c r="D4080" s="637">
        <f t="shared" si="138"/>
        <v>4.0213500000000009</v>
      </c>
      <c r="E4080" s="637">
        <f t="shared" si="139"/>
        <v>6.492300000000002</v>
      </c>
    </row>
    <row r="4081" spans="1:5">
      <c r="A4081">
        <v>61913</v>
      </c>
      <c r="B4081">
        <v>2100</v>
      </c>
      <c r="C4081" s="455">
        <v>9.7620000000000005</v>
      </c>
      <c r="D4081" s="637">
        <f t="shared" si="138"/>
        <v>20.256150000000005</v>
      </c>
      <c r="E4081" s="637">
        <f t="shared" si="139"/>
        <v>32.702700000000014</v>
      </c>
    </row>
    <row r="4082" spans="1:5">
      <c r="A4082">
        <v>61913</v>
      </c>
      <c r="B4082">
        <v>2200</v>
      </c>
      <c r="C4082" s="455">
        <v>7.1050000000000004</v>
      </c>
      <c r="D4082" s="637">
        <f t="shared" si="138"/>
        <v>14.742875000000003</v>
      </c>
      <c r="E4082" s="637">
        <f t="shared" si="139"/>
        <v>23.801750000000009</v>
      </c>
    </row>
    <row r="4083" spans="1:5">
      <c r="A4083">
        <v>61913</v>
      </c>
      <c r="B4083">
        <v>2300</v>
      </c>
      <c r="C4083" s="455">
        <v>7.093</v>
      </c>
      <c r="D4083" s="637">
        <f t="shared" si="138"/>
        <v>14.717975000000003</v>
      </c>
      <c r="E4083" s="637">
        <f t="shared" si="139"/>
        <v>23.761550000000007</v>
      </c>
    </row>
    <row r="4084" spans="1:5">
      <c r="A4084">
        <v>61913</v>
      </c>
      <c r="B4084">
        <v>2400</v>
      </c>
      <c r="C4084" s="455">
        <v>7.1769999999999996</v>
      </c>
      <c r="D4084" s="637">
        <f t="shared" si="138"/>
        <v>14.892275000000001</v>
      </c>
      <c r="E4084" s="637">
        <f t="shared" si="139"/>
        <v>24.042950000000008</v>
      </c>
    </row>
    <row r="4085" spans="1:5">
      <c r="A4085">
        <v>62013</v>
      </c>
      <c r="B4085">
        <v>100</v>
      </c>
      <c r="C4085" s="455">
        <v>7.1859999999999999</v>
      </c>
      <c r="D4085" s="637">
        <f t="shared" si="138"/>
        <v>14.910950000000001</v>
      </c>
      <c r="E4085" s="637">
        <f t="shared" si="139"/>
        <v>24.073100000000007</v>
      </c>
    </row>
    <row r="4086" spans="1:5">
      <c r="A4086">
        <v>62013</v>
      </c>
      <c r="B4086">
        <v>200</v>
      </c>
      <c r="C4086" s="455">
        <v>7.1689999999999996</v>
      </c>
      <c r="D4086" s="637">
        <f t="shared" si="138"/>
        <v>14.875675000000001</v>
      </c>
      <c r="E4086" s="637">
        <f t="shared" si="139"/>
        <v>24.016150000000007</v>
      </c>
    </row>
    <row r="4087" spans="1:5">
      <c r="A4087">
        <v>62013</v>
      </c>
      <c r="B4087">
        <v>300</v>
      </c>
      <c r="C4087" s="455">
        <v>7.1669999999999998</v>
      </c>
      <c r="D4087" s="637">
        <f t="shared" si="138"/>
        <v>14.871525000000002</v>
      </c>
      <c r="E4087" s="637">
        <f t="shared" si="139"/>
        <v>24.009450000000008</v>
      </c>
    </row>
    <row r="4088" spans="1:5">
      <c r="A4088">
        <v>62013</v>
      </c>
      <c r="B4088">
        <v>400</v>
      </c>
      <c r="C4088" s="455">
        <v>7.024</v>
      </c>
      <c r="D4088" s="637">
        <f t="shared" si="138"/>
        <v>14.574800000000002</v>
      </c>
      <c r="E4088" s="637">
        <f t="shared" si="139"/>
        <v>23.530400000000007</v>
      </c>
    </row>
    <row r="4089" spans="1:5">
      <c r="A4089">
        <v>62013</v>
      </c>
      <c r="B4089">
        <v>500</v>
      </c>
      <c r="C4089" s="455">
        <v>7.319</v>
      </c>
      <c r="D4089" s="637">
        <f t="shared" si="138"/>
        <v>15.186925</v>
      </c>
      <c r="E4089" s="637">
        <f t="shared" si="139"/>
        <v>24.518650000000008</v>
      </c>
    </row>
    <row r="4090" spans="1:5">
      <c r="A4090">
        <v>62013</v>
      </c>
      <c r="B4090">
        <v>600</v>
      </c>
      <c r="C4090" s="455">
        <v>3.3000000000000002E-2</v>
      </c>
      <c r="D4090" s="637">
        <f t="shared" si="138"/>
        <v>6.8475000000000022E-2</v>
      </c>
      <c r="E4090" s="637">
        <f t="shared" si="139"/>
        <v>0.11055000000000005</v>
      </c>
    </row>
    <row r="4091" spans="1:5">
      <c r="A4091">
        <v>62013</v>
      </c>
      <c r="B4091">
        <v>700</v>
      </c>
      <c r="C4091" s="455">
        <v>0</v>
      </c>
      <c r="D4091" s="637">
        <f t="shared" si="138"/>
        <v>0</v>
      </c>
      <c r="E4091" s="637">
        <f t="shared" si="139"/>
        <v>0</v>
      </c>
    </row>
    <row r="4092" spans="1:5">
      <c r="A4092">
        <v>62013</v>
      </c>
      <c r="B4092">
        <v>800</v>
      </c>
      <c r="C4092" s="455">
        <v>0</v>
      </c>
      <c r="D4092" s="637">
        <f t="shared" si="138"/>
        <v>0</v>
      </c>
      <c r="E4092" s="637">
        <f t="shared" si="139"/>
        <v>0</v>
      </c>
    </row>
    <row r="4093" spans="1:5">
      <c r="A4093">
        <v>62013</v>
      </c>
      <c r="B4093">
        <v>900</v>
      </c>
      <c r="C4093" s="455">
        <v>0</v>
      </c>
      <c r="D4093" s="637">
        <f t="shared" si="138"/>
        <v>0</v>
      </c>
      <c r="E4093" s="637">
        <f t="shared" si="139"/>
        <v>0</v>
      </c>
    </row>
    <row r="4094" spans="1:5">
      <c r="A4094">
        <v>62013</v>
      </c>
      <c r="B4094">
        <v>1000</v>
      </c>
      <c r="C4094" s="455">
        <v>0</v>
      </c>
      <c r="D4094" s="637">
        <f t="shared" si="138"/>
        <v>0</v>
      </c>
      <c r="E4094" s="637">
        <f t="shared" si="139"/>
        <v>0</v>
      </c>
    </row>
    <row r="4095" spans="1:5">
      <c r="A4095">
        <v>62013</v>
      </c>
      <c r="B4095">
        <v>1100</v>
      </c>
      <c r="C4095" s="455">
        <v>0</v>
      </c>
      <c r="D4095" s="637">
        <f t="shared" si="138"/>
        <v>0</v>
      </c>
      <c r="E4095" s="637">
        <f t="shared" si="139"/>
        <v>0</v>
      </c>
    </row>
    <row r="4096" spans="1:5">
      <c r="A4096">
        <v>62013</v>
      </c>
      <c r="B4096">
        <v>1200</v>
      </c>
      <c r="C4096" s="455">
        <v>0</v>
      </c>
      <c r="D4096" s="637">
        <f t="shared" si="138"/>
        <v>0</v>
      </c>
      <c r="E4096" s="637">
        <f t="shared" si="139"/>
        <v>0</v>
      </c>
    </row>
    <row r="4097" spans="1:5">
      <c r="A4097">
        <v>62013</v>
      </c>
      <c r="B4097">
        <v>1300</v>
      </c>
      <c r="C4097" s="455">
        <v>0</v>
      </c>
      <c r="D4097" s="637">
        <f t="shared" si="138"/>
        <v>0</v>
      </c>
      <c r="E4097" s="637">
        <f t="shared" si="139"/>
        <v>0</v>
      </c>
    </row>
    <row r="4098" spans="1:5">
      <c r="A4098">
        <v>62013</v>
      </c>
      <c r="B4098">
        <v>1400</v>
      </c>
      <c r="C4098" s="455">
        <v>0</v>
      </c>
      <c r="D4098" s="637">
        <f t="shared" si="138"/>
        <v>0</v>
      </c>
      <c r="E4098" s="637">
        <f t="shared" si="139"/>
        <v>0</v>
      </c>
    </row>
    <row r="4099" spans="1:5">
      <c r="A4099">
        <v>62013</v>
      </c>
      <c r="B4099">
        <v>1500</v>
      </c>
      <c r="C4099" s="455">
        <v>0</v>
      </c>
      <c r="D4099" s="637">
        <f t="shared" si="138"/>
        <v>0</v>
      </c>
      <c r="E4099" s="637">
        <f t="shared" si="139"/>
        <v>0</v>
      </c>
    </row>
    <row r="4100" spans="1:5">
      <c r="A4100">
        <v>62013</v>
      </c>
      <c r="B4100">
        <v>1600</v>
      </c>
      <c r="C4100" s="455">
        <v>0</v>
      </c>
      <c r="D4100" s="637">
        <f t="shared" si="138"/>
        <v>0</v>
      </c>
      <c r="E4100" s="637">
        <f t="shared" si="139"/>
        <v>0</v>
      </c>
    </row>
    <row r="4101" spans="1:5">
      <c r="A4101">
        <v>62013</v>
      </c>
      <c r="B4101">
        <v>1700</v>
      </c>
      <c r="C4101" s="455">
        <v>0</v>
      </c>
      <c r="D4101" s="637">
        <f t="shared" si="138"/>
        <v>0</v>
      </c>
      <c r="E4101" s="637">
        <f t="shared" si="139"/>
        <v>0</v>
      </c>
    </row>
    <row r="4102" spans="1:5">
      <c r="A4102">
        <v>62013</v>
      </c>
      <c r="B4102">
        <v>1800</v>
      </c>
      <c r="C4102" s="455">
        <v>0</v>
      </c>
      <c r="D4102" s="637">
        <f t="shared" si="138"/>
        <v>0</v>
      </c>
      <c r="E4102" s="637">
        <f t="shared" si="139"/>
        <v>0</v>
      </c>
    </row>
    <row r="4103" spans="1:5">
      <c r="A4103">
        <v>62013</v>
      </c>
      <c r="B4103">
        <v>1900</v>
      </c>
      <c r="C4103" s="455">
        <v>0</v>
      </c>
      <c r="D4103" s="637">
        <f t="shared" si="138"/>
        <v>0</v>
      </c>
      <c r="E4103" s="637">
        <f t="shared" si="139"/>
        <v>0</v>
      </c>
    </row>
    <row r="4104" spans="1:5">
      <c r="A4104">
        <v>62013</v>
      </c>
      <c r="B4104">
        <v>2000</v>
      </c>
      <c r="C4104" s="455">
        <v>1.7909999999999999</v>
      </c>
      <c r="D4104" s="637">
        <f t="shared" si="138"/>
        <v>3.7163249999999999</v>
      </c>
      <c r="E4104" s="637">
        <f t="shared" si="139"/>
        <v>5.9998500000000012</v>
      </c>
    </row>
    <row r="4105" spans="1:5">
      <c r="A4105">
        <v>62013</v>
      </c>
      <c r="B4105">
        <v>2100</v>
      </c>
      <c r="C4105" s="455">
        <v>9.1430000000000007</v>
      </c>
      <c r="D4105" s="637">
        <f t="shared" si="138"/>
        <v>18.971725000000003</v>
      </c>
      <c r="E4105" s="637">
        <f t="shared" si="139"/>
        <v>30.629050000000014</v>
      </c>
    </row>
    <row r="4106" spans="1:5">
      <c r="A4106">
        <v>62013</v>
      </c>
      <c r="B4106">
        <v>2200</v>
      </c>
      <c r="C4106" s="455">
        <v>7.0220000000000002</v>
      </c>
      <c r="D4106" s="637">
        <f t="shared" si="138"/>
        <v>14.570650000000004</v>
      </c>
      <c r="E4106" s="637">
        <f t="shared" si="139"/>
        <v>23.523700000000009</v>
      </c>
    </row>
    <row r="4107" spans="1:5">
      <c r="A4107">
        <v>62013</v>
      </c>
      <c r="B4107">
        <v>2300</v>
      </c>
      <c r="C4107" s="455">
        <v>7.093</v>
      </c>
      <c r="D4107" s="637">
        <f t="shared" si="138"/>
        <v>14.717975000000003</v>
      </c>
      <c r="E4107" s="637">
        <f t="shared" si="139"/>
        <v>23.761550000000007</v>
      </c>
    </row>
    <row r="4108" spans="1:5">
      <c r="A4108">
        <v>62013</v>
      </c>
      <c r="B4108">
        <v>2400</v>
      </c>
      <c r="C4108" s="455">
        <v>7.2519999999999998</v>
      </c>
      <c r="D4108" s="637">
        <f t="shared" si="138"/>
        <v>15.0479</v>
      </c>
      <c r="E4108" s="637">
        <f t="shared" si="139"/>
        <v>24.294200000000007</v>
      </c>
    </row>
    <row r="4109" spans="1:5">
      <c r="A4109">
        <v>62113</v>
      </c>
      <c r="B4109">
        <v>100</v>
      </c>
      <c r="C4109" s="455">
        <v>7.1059999999999999</v>
      </c>
      <c r="D4109" s="637">
        <f t="shared" si="138"/>
        <v>14.744950000000003</v>
      </c>
      <c r="E4109" s="637">
        <f t="shared" si="139"/>
        <v>23.80510000000001</v>
      </c>
    </row>
    <row r="4110" spans="1:5">
      <c r="A4110">
        <v>62113</v>
      </c>
      <c r="B4110">
        <v>200</v>
      </c>
      <c r="C4110" s="455">
        <v>7.109</v>
      </c>
      <c r="D4110" s="637">
        <f t="shared" si="138"/>
        <v>14.751175000000002</v>
      </c>
      <c r="E4110" s="637">
        <f t="shared" si="139"/>
        <v>23.815150000000006</v>
      </c>
    </row>
    <row r="4111" spans="1:5">
      <c r="A4111">
        <v>62113</v>
      </c>
      <c r="B4111">
        <v>300</v>
      </c>
      <c r="C4111" s="455">
        <v>7.6349999999999998</v>
      </c>
      <c r="D4111" s="637">
        <f t="shared" si="138"/>
        <v>15.842625000000002</v>
      </c>
      <c r="E4111" s="637">
        <f t="shared" si="139"/>
        <v>25.577250000000006</v>
      </c>
    </row>
    <row r="4112" spans="1:5">
      <c r="A4112">
        <v>62113</v>
      </c>
      <c r="B4112">
        <v>400</v>
      </c>
      <c r="C4112" s="455">
        <v>7.0419999999999998</v>
      </c>
      <c r="D4112" s="637">
        <f t="shared" si="138"/>
        <v>14.612150000000002</v>
      </c>
      <c r="E4112" s="637">
        <f t="shared" si="139"/>
        <v>23.590700000000005</v>
      </c>
    </row>
    <row r="4113" spans="1:5">
      <c r="A4113">
        <v>62113</v>
      </c>
      <c r="B4113">
        <v>500</v>
      </c>
      <c r="C4113" s="455">
        <v>7.4829999999999997</v>
      </c>
      <c r="D4113" s="637">
        <f t="shared" si="138"/>
        <v>15.527225000000001</v>
      </c>
      <c r="E4113" s="637">
        <f t="shared" si="139"/>
        <v>25.068050000000007</v>
      </c>
    </row>
    <row r="4114" spans="1:5">
      <c r="A4114">
        <v>62113</v>
      </c>
      <c r="B4114">
        <v>600</v>
      </c>
      <c r="C4114" s="455">
        <v>0.12</v>
      </c>
      <c r="D4114" s="637">
        <f t="shared" si="138"/>
        <v>0.249</v>
      </c>
      <c r="E4114" s="637">
        <f t="shared" si="139"/>
        <v>0.40200000000000008</v>
      </c>
    </row>
    <row r="4115" spans="1:5">
      <c r="A4115">
        <v>62113</v>
      </c>
      <c r="B4115">
        <v>700</v>
      </c>
      <c r="C4115" s="455">
        <v>0.01</v>
      </c>
      <c r="D4115" s="637">
        <f t="shared" si="138"/>
        <v>2.0750000000000005E-2</v>
      </c>
      <c r="E4115" s="637">
        <f t="shared" si="139"/>
        <v>3.3500000000000016E-2</v>
      </c>
    </row>
    <row r="4116" spans="1:5">
      <c r="A4116">
        <v>62113</v>
      </c>
      <c r="B4116">
        <v>800</v>
      </c>
      <c r="C4116" s="455">
        <v>0</v>
      </c>
      <c r="D4116" s="637">
        <f t="shared" si="138"/>
        <v>0</v>
      </c>
      <c r="E4116" s="637">
        <f t="shared" si="139"/>
        <v>0</v>
      </c>
    </row>
    <row r="4117" spans="1:5">
      <c r="A4117">
        <v>62113</v>
      </c>
      <c r="B4117">
        <v>900</v>
      </c>
      <c r="C4117" s="455">
        <v>0</v>
      </c>
      <c r="D4117" s="637">
        <f t="shared" si="138"/>
        <v>0</v>
      </c>
      <c r="E4117" s="637">
        <f t="shared" si="139"/>
        <v>0</v>
      </c>
    </row>
    <row r="4118" spans="1:5">
      <c r="A4118">
        <v>62113</v>
      </c>
      <c r="B4118">
        <v>1000</v>
      </c>
      <c r="C4118" s="455">
        <v>0</v>
      </c>
      <c r="D4118" s="637">
        <f t="shared" si="138"/>
        <v>0</v>
      </c>
      <c r="E4118" s="637">
        <f t="shared" si="139"/>
        <v>0</v>
      </c>
    </row>
    <row r="4119" spans="1:5">
      <c r="A4119">
        <v>62113</v>
      </c>
      <c r="B4119">
        <v>1100</v>
      </c>
      <c r="C4119" s="455">
        <v>0</v>
      </c>
      <c r="D4119" s="637">
        <f t="shared" si="138"/>
        <v>0</v>
      </c>
      <c r="E4119" s="637">
        <f t="shared" si="139"/>
        <v>0</v>
      </c>
    </row>
    <row r="4120" spans="1:5">
      <c r="A4120">
        <v>62113</v>
      </c>
      <c r="B4120">
        <v>1200</v>
      </c>
      <c r="C4120" s="455">
        <v>0</v>
      </c>
      <c r="D4120" s="637">
        <f t="shared" si="138"/>
        <v>0</v>
      </c>
      <c r="E4120" s="637">
        <f t="shared" si="139"/>
        <v>0</v>
      </c>
    </row>
    <row r="4121" spans="1:5">
      <c r="A4121">
        <v>62113</v>
      </c>
      <c r="B4121">
        <v>1300</v>
      </c>
      <c r="C4121" s="455">
        <v>0</v>
      </c>
      <c r="D4121" s="637">
        <f t="shared" si="138"/>
        <v>0</v>
      </c>
      <c r="E4121" s="637">
        <f t="shared" si="139"/>
        <v>0</v>
      </c>
    </row>
    <row r="4122" spans="1:5">
      <c r="A4122">
        <v>62113</v>
      </c>
      <c r="B4122">
        <v>1400</v>
      </c>
      <c r="C4122" s="455">
        <v>0</v>
      </c>
      <c r="D4122" s="637">
        <f t="shared" si="138"/>
        <v>0</v>
      </c>
      <c r="E4122" s="637">
        <f t="shared" si="139"/>
        <v>0</v>
      </c>
    </row>
    <row r="4123" spans="1:5">
      <c r="A4123">
        <v>62113</v>
      </c>
      <c r="B4123">
        <v>1500</v>
      </c>
      <c r="C4123" s="455">
        <v>0</v>
      </c>
      <c r="D4123" s="637">
        <f t="shared" si="138"/>
        <v>0</v>
      </c>
      <c r="E4123" s="637">
        <f t="shared" si="139"/>
        <v>0</v>
      </c>
    </row>
    <row r="4124" spans="1:5">
      <c r="A4124">
        <v>62113</v>
      </c>
      <c r="B4124">
        <v>1600</v>
      </c>
      <c r="C4124" s="455">
        <v>0</v>
      </c>
      <c r="D4124" s="637">
        <f t="shared" si="138"/>
        <v>0</v>
      </c>
      <c r="E4124" s="637">
        <f t="shared" si="139"/>
        <v>0</v>
      </c>
    </row>
    <row r="4125" spans="1:5">
      <c r="A4125">
        <v>62113</v>
      </c>
      <c r="B4125">
        <v>1700</v>
      </c>
      <c r="C4125" s="455">
        <v>0</v>
      </c>
      <c r="D4125" s="637">
        <f t="shared" si="138"/>
        <v>0</v>
      </c>
      <c r="E4125" s="637">
        <f t="shared" si="139"/>
        <v>0</v>
      </c>
    </row>
    <row r="4126" spans="1:5">
      <c r="A4126">
        <v>62113</v>
      </c>
      <c r="B4126">
        <v>1800</v>
      </c>
      <c r="C4126" s="455">
        <v>0</v>
      </c>
      <c r="D4126" s="637">
        <f t="shared" si="138"/>
        <v>0</v>
      </c>
      <c r="E4126" s="637">
        <f t="shared" si="139"/>
        <v>0</v>
      </c>
    </row>
    <row r="4127" spans="1:5">
      <c r="A4127">
        <v>62113</v>
      </c>
      <c r="B4127">
        <v>1900</v>
      </c>
      <c r="C4127" s="455">
        <v>0</v>
      </c>
      <c r="D4127" s="637">
        <f t="shared" si="138"/>
        <v>0</v>
      </c>
      <c r="E4127" s="637">
        <f t="shared" si="139"/>
        <v>0</v>
      </c>
    </row>
    <row r="4128" spans="1:5">
      <c r="A4128">
        <v>62113</v>
      </c>
      <c r="B4128">
        <v>2000</v>
      </c>
      <c r="C4128" s="455">
        <v>1.5149999999999999</v>
      </c>
      <c r="D4128" s="637">
        <f t="shared" si="138"/>
        <v>3.1436250000000001</v>
      </c>
      <c r="E4128" s="637">
        <f t="shared" si="139"/>
        <v>5.0752500000000014</v>
      </c>
    </row>
    <row r="4129" spans="1:5">
      <c r="A4129">
        <v>62113</v>
      </c>
      <c r="B4129">
        <v>2100</v>
      </c>
      <c r="C4129" s="455">
        <v>5.58</v>
      </c>
      <c r="D4129" s="637">
        <f t="shared" si="138"/>
        <v>11.578500000000002</v>
      </c>
      <c r="E4129" s="637">
        <f t="shared" si="139"/>
        <v>18.693000000000005</v>
      </c>
    </row>
    <row r="4130" spans="1:5">
      <c r="A4130">
        <v>62113</v>
      </c>
      <c r="B4130">
        <v>2200</v>
      </c>
      <c r="C4130" s="455">
        <v>3.8620000000000001</v>
      </c>
      <c r="D4130" s="637">
        <f t="shared" si="138"/>
        <v>8.0136500000000019</v>
      </c>
      <c r="E4130" s="637">
        <f t="shared" si="139"/>
        <v>12.937700000000005</v>
      </c>
    </row>
    <row r="4131" spans="1:5">
      <c r="A4131">
        <v>62113</v>
      </c>
      <c r="B4131">
        <v>2300</v>
      </c>
      <c r="C4131" s="455">
        <v>3.7189999999999999</v>
      </c>
      <c r="D4131" s="637">
        <f t="shared" si="138"/>
        <v>7.7169250000000016</v>
      </c>
      <c r="E4131" s="637">
        <f t="shared" si="139"/>
        <v>12.458650000000004</v>
      </c>
    </row>
    <row r="4132" spans="1:5">
      <c r="A4132">
        <v>62113</v>
      </c>
      <c r="B4132">
        <v>2400</v>
      </c>
      <c r="C4132" s="455">
        <v>3.9409999999999998</v>
      </c>
      <c r="D4132" s="637">
        <f t="shared" si="138"/>
        <v>8.1775750000000009</v>
      </c>
      <c r="E4132" s="637">
        <f t="shared" si="139"/>
        <v>13.202350000000004</v>
      </c>
    </row>
    <row r="4133" spans="1:5">
      <c r="A4133">
        <v>62213</v>
      </c>
      <c r="B4133">
        <v>100</v>
      </c>
      <c r="C4133" s="455">
        <v>3.9689999999999999</v>
      </c>
      <c r="D4133" s="637">
        <f t="shared" si="138"/>
        <v>8.2356750000000005</v>
      </c>
      <c r="E4133" s="637">
        <f t="shared" si="139"/>
        <v>13.296150000000003</v>
      </c>
    </row>
    <row r="4134" spans="1:5">
      <c r="A4134">
        <v>62213</v>
      </c>
      <c r="B4134">
        <v>200</v>
      </c>
      <c r="C4134" s="455">
        <v>3.7989999999999999</v>
      </c>
      <c r="D4134" s="637">
        <f t="shared" si="138"/>
        <v>7.8829250000000011</v>
      </c>
      <c r="E4134" s="637">
        <f t="shared" si="139"/>
        <v>12.726650000000005</v>
      </c>
    </row>
    <row r="4135" spans="1:5">
      <c r="A4135">
        <v>62213</v>
      </c>
      <c r="B4135">
        <v>300</v>
      </c>
      <c r="C4135" s="455">
        <v>3.867</v>
      </c>
      <c r="D4135" s="637">
        <f t="shared" si="138"/>
        <v>8.0240250000000017</v>
      </c>
      <c r="E4135" s="637">
        <f t="shared" si="139"/>
        <v>12.954450000000005</v>
      </c>
    </row>
    <row r="4136" spans="1:5">
      <c r="A4136">
        <v>62213</v>
      </c>
      <c r="B4136">
        <v>400</v>
      </c>
      <c r="C4136" s="455">
        <v>3.948</v>
      </c>
      <c r="D4136" s="637">
        <f t="shared" si="138"/>
        <v>8.1921000000000017</v>
      </c>
      <c r="E4136" s="637">
        <f t="shared" si="139"/>
        <v>13.225800000000005</v>
      </c>
    </row>
    <row r="4137" spans="1:5">
      <c r="A4137">
        <v>62213</v>
      </c>
      <c r="B4137">
        <v>500</v>
      </c>
      <c r="C4137" s="455">
        <v>5.1130000000000004</v>
      </c>
      <c r="D4137" s="637">
        <f t="shared" si="138"/>
        <v>10.609475000000003</v>
      </c>
      <c r="E4137" s="637">
        <f t="shared" si="139"/>
        <v>17.128550000000008</v>
      </c>
    </row>
    <row r="4138" spans="1:5">
      <c r="A4138">
        <v>62213</v>
      </c>
      <c r="B4138">
        <v>600</v>
      </c>
      <c r="C4138" s="455">
        <v>1.619</v>
      </c>
      <c r="D4138" s="637">
        <f t="shared" si="138"/>
        <v>3.3594250000000008</v>
      </c>
      <c r="E4138" s="637">
        <f t="shared" si="139"/>
        <v>5.4236500000000021</v>
      </c>
    </row>
    <row r="4139" spans="1:5">
      <c r="A4139">
        <v>62213</v>
      </c>
      <c r="B4139">
        <v>700</v>
      </c>
      <c r="C4139" s="455">
        <v>0</v>
      </c>
      <c r="D4139" s="637">
        <f t="shared" si="138"/>
        <v>0</v>
      </c>
      <c r="E4139" s="637">
        <f t="shared" si="139"/>
        <v>0</v>
      </c>
    </row>
    <row r="4140" spans="1:5">
      <c r="A4140">
        <v>62213</v>
      </c>
      <c r="B4140">
        <v>800</v>
      </c>
      <c r="C4140" s="455">
        <v>0</v>
      </c>
      <c r="D4140" s="637">
        <f t="shared" si="138"/>
        <v>0</v>
      </c>
      <c r="E4140" s="637">
        <f t="shared" si="139"/>
        <v>0</v>
      </c>
    </row>
    <row r="4141" spans="1:5">
      <c r="A4141">
        <v>62213</v>
      </c>
      <c r="B4141">
        <v>900</v>
      </c>
      <c r="C4141" s="455">
        <v>0</v>
      </c>
      <c r="D4141" s="637">
        <f t="shared" si="138"/>
        <v>0</v>
      </c>
      <c r="E4141" s="637">
        <f t="shared" si="139"/>
        <v>0</v>
      </c>
    </row>
    <row r="4142" spans="1:5">
      <c r="A4142">
        <v>62213</v>
      </c>
      <c r="B4142">
        <v>1000</v>
      </c>
      <c r="C4142" s="455">
        <v>0</v>
      </c>
      <c r="D4142" s="637">
        <f t="shared" ref="D4142:D4205" si="140">(C4142/(MAX($C$3629:$C$4348)))*$W$10</f>
        <v>0</v>
      </c>
      <c r="E4142" s="637">
        <f t="shared" ref="E4142:E4205" si="141">(C4142/(MAX($C$3629:$C$4348)))*$P$10</f>
        <v>0</v>
      </c>
    </row>
    <row r="4143" spans="1:5">
      <c r="A4143">
        <v>62213</v>
      </c>
      <c r="B4143">
        <v>1100</v>
      </c>
      <c r="C4143" s="455">
        <v>1E-3</v>
      </c>
      <c r="D4143" s="637">
        <f t="shared" si="140"/>
        <v>2.0750000000000005E-3</v>
      </c>
      <c r="E4143" s="637">
        <f t="shared" si="141"/>
        <v>3.3500000000000014E-3</v>
      </c>
    </row>
    <row r="4144" spans="1:5">
      <c r="A4144">
        <v>62213</v>
      </c>
      <c r="B4144">
        <v>1200</v>
      </c>
      <c r="C4144" s="455">
        <v>0</v>
      </c>
      <c r="D4144" s="637">
        <f t="shared" si="140"/>
        <v>0</v>
      </c>
      <c r="E4144" s="637">
        <f t="shared" si="141"/>
        <v>0</v>
      </c>
    </row>
    <row r="4145" spans="1:5">
      <c r="A4145">
        <v>62213</v>
      </c>
      <c r="B4145">
        <v>1300</v>
      </c>
      <c r="C4145" s="455">
        <v>0</v>
      </c>
      <c r="D4145" s="637">
        <f t="shared" si="140"/>
        <v>0</v>
      </c>
      <c r="E4145" s="637">
        <f t="shared" si="141"/>
        <v>0</v>
      </c>
    </row>
    <row r="4146" spans="1:5">
      <c r="A4146">
        <v>62213</v>
      </c>
      <c r="B4146">
        <v>1400</v>
      </c>
      <c r="C4146" s="455">
        <v>0</v>
      </c>
      <c r="D4146" s="637">
        <f t="shared" si="140"/>
        <v>0</v>
      </c>
      <c r="E4146" s="637">
        <f t="shared" si="141"/>
        <v>0</v>
      </c>
    </row>
    <row r="4147" spans="1:5">
      <c r="A4147">
        <v>62213</v>
      </c>
      <c r="B4147">
        <v>1500</v>
      </c>
      <c r="C4147" s="455">
        <v>0.28799999999999998</v>
      </c>
      <c r="D4147" s="637">
        <f t="shared" si="140"/>
        <v>0.59760000000000002</v>
      </c>
      <c r="E4147" s="637">
        <f t="shared" si="141"/>
        <v>0.96480000000000021</v>
      </c>
    </row>
    <row r="4148" spans="1:5">
      <c r="A4148">
        <v>62213</v>
      </c>
      <c r="B4148">
        <v>1600</v>
      </c>
      <c r="C4148" s="455">
        <v>0</v>
      </c>
      <c r="D4148" s="637">
        <f t="shared" si="140"/>
        <v>0</v>
      </c>
      <c r="E4148" s="637">
        <f t="shared" si="141"/>
        <v>0</v>
      </c>
    </row>
    <row r="4149" spans="1:5">
      <c r="A4149">
        <v>62213</v>
      </c>
      <c r="B4149">
        <v>1700</v>
      </c>
      <c r="C4149" s="455">
        <v>0</v>
      </c>
      <c r="D4149" s="637">
        <f t="shared" si="140"/>
        <v>0</v>
      </c>
      <c r="E4149" s="637">
        <f t="shared" si="141"/>
        <v>0</v>
      </c>
    </row>
    <row r="4150" spans="1:5">
      <c r="A4150">
        <v>62213</v>
      </c>
      <c r="B4150">
        <v>1800</v>
      </c>
      <c r="C4150" s="455">
        <v>0</v>
      </c>
      <c r="D4150" s="637">
        <f t="shared" si="140"/>
        <v>0</v>
      </c>
      <c r="E4150" s="637">
        <f t="shared" si="141"/>
        <v>0</v>
      </c>
    </row>
    <row r="4151" spans="1:5">
      <c r="A4151">
        <v>62213</v>
      </c>
      <c r="B4151">
        <v>1900</v>
      </c>
      <c r="C4151" s="455">
        <v>2.8000000000000001E-2</v>
      </c>
      <c r="D4151" s="637">
        <f t="shared" si="140"/>
        <v>5.8100000000000006E-2</v>
      </c>
      <c r="E4151" s="637">
        <f t="shared" si="141"/>
        <v>9.3800000000000036E-2</v>
      </c>
    </row>
    <row r="4152" spans="1:5">
      <c r="A4152">
        <v>62213</v>
      </c>
      <c r="B4152">
        <v>2000</v>
      </c>
      <c r="C4152" s="455">
        <v>1.6870000000000001</v>
      </c>
      <c r="D4152" s="637">
        <f t="shared" si="140"/>
        <v>3.5005250000000006</v>
      </c>
      <c r="E4152" s="637">
        <f t="shared" si="141"/>
        <v>5.6514500000000014</v>
      </c>
    </row>
    <row r="4153" spans="1:5">
      <c r="A4153">
        <v>62213</v>
      </c>
      <c r="B4153">
        <v>2100</v>
      </c>
      <c r="C4153" s="455">
        <v>8.7829999999999995</v>
      </c>
      <c r="D4153" s="637">
        <f t="shared" si="140"/>
        <v>18.224725000000003</v>
      </c>
      <c r="E4153" s="637">
        <f t="shared" si="141"/>
        <v>29.423050000000011</v>
      </c>
    </row>
    <row r="4154" spans="1:5">
      <c r="A4154">
        <v>62213</v>
      </c>
      <c r="B4154">
        <v>2200</v>
      </c>
      <c r="C4154" s="455">
        <v>7.26</v>
      </c>
      <c r="D4154" s="637">
        <f t="shared" si="140"/>
        <v>15.064500000000001</v>
      </c>
      <c r="E4154" s="637">
        <f t="shared" si="141"/>
        <v>24.321000000000005</v>
      </c>
    </row>
    <row r="4155" spans="1:5">
      <c r="A4155">
        <v>62213</v>
      </c>
      <c r="B4155">
        <v>2300</v>
      </c>
      <c r="C4155" s="455">
        <v>7.2619999999999996</v>
      </c>
      <c r="D4155" s="637">
        <f t="shared" si="140"/>
        <v>15.068650000000002</v>
      </c>
      <c r="E4155" s="637">
        <f t="shared" si="141"/>
        <v>24.327700000000007</v>
      </c>
    </row>
    <row r="4156" spans="1:5">
      <c r="A4156">
        <v>62213</v>
      </c>
      <c r="B4156">
        <v>2400</v>
      </c>
      <c r="C4156" s="455">
        <v>7.1150000000000002</v>
      </c>
      <c r="D4156" s="637">
        <f t="shared" si="140"/>
        <v>14.763625000000003</v>
      </c>
      <c r="E4156" s="637">
        <f t="shared" si="141"/>
        <v>23.835250000000009</v>
      </c>
    </row>
    <row r="4157" spans="1:5">
      <c r="A4157">
        <v>62313</v>
      </c>
      <c r="B4157">
        <v>100</v>
      </c>
      <c r="C4157" s="455">
        <v>7.3390000000000004</v>
      </c>
      <c r="D4157" s="637">
        <f t="shared" si="140"/>
        <v>15.228425000000003</v>
      </c>
      <c r="E4157" s="637">
        <f t="shared" si="141"/>
        <v>24.585650000000012</v>
      </c>
    </row>
    <row r="4158" spans="1:5">
      <c r="A4158">
        <v>62313</v>
      </c>
      <c r="B4158">
        <v>200</v>
      </c>
      <c r="C4158" s="455">
        <v>7.1040000000000001</v>
      </c>
      <c r="D4158" s="637">
        <f t="shared" si="140"/>
        <v>14.740800000000002</v>
      </c>
      <c r="E4158" s="637">
        <f t="shared" si="141"/>
        <v>23.798400000000008</v>
      </c>
    </row>
    <row r="4159" spans="1:5">
      <c r="A4159">
        <v>62313</v>
      </c>
      <c r="B4159">
        <v>300</v>
      </c>
      <c r="C4159" s="455">
        <v>7.327</v>
      </c>
      <c r="D4159" s="637">
        <f t="shared" si="140"/>
        <v>15.203525000000003</v>
      </c>
      <c r="E4159" s="637">
        <f t="shared" si="141"/>
        <v>24.54545000000001</v>
      </c>
    </row>
    <row r="4160" spans="1:5">
      <c r="A4160">
        <v>62313</v>
      </c>
      <c r="B4160">
        <v>400</v>
      </c>
      <c r="C4160" s="455">
        <v>7.2549999999999999</v>
      </c>
      <c r="D4160" s="637">
        <f t="shared" si="140"/>
        <v>15.054125000000003</v>
      </c>
      <c r="E4160" s="637">
        <f t="shared" si="141"/>
        <v>24.304250000000007</v>
      </c>
    </row>
    <row r="4161" spans="1:5">
      <c r="A4161">
        <v>62313</v>
      </c>
      <c r="B4161">
        <v>500</v>
      </c>
      <c r="C4161" s="455">
        <v>7.7439999999999998</v>
      </c>
      <c r="D4161" s="637">
        <f t="shared" si="140"/>
        <v>16.068800000000003</v>
      </c>
      <c r="E4161" s="637">
        <f t="shared" si="141"/>
        <v>25.94240000000001</v>
      </c>
    </row>
    <row r="4162" spans="1:5">
      <c r="A4162">
        <v>62313</v>
      </c>
      <c r="B4162">
        <v>600</v>
      </c>
      <c r="C4162" s="455">
        <v>0.19900000000000001</v>
      </c>
      <c r="D4162" s="637">
        <f t="shared" si="140"/>
        <v>0.41292500000000004</v>
      </c>
      <c r="E4162" s="637">
        <f t="shared" si="141"/>
        <v>0.66665000000000019</v>
      </c>
    </row>
    <row r="4163" spans="1:5">
      <c r="A4163">
        <v>62313</v>
      </c>
      <c r="B4163">
        <v>700</v>
      </c>
      <c r="C4163" s="455">
        <v>0</v>
      </c>
      <c r="D4163" s="637">
        <f t="shared" si="140"/>
        <v>0</v>
      </c>
      <c r="E4163" s="637">
        <f t="shared" si="141"/>
        <v>0</v>
      </c>
    </row>
    <row r="4164" spans="1:5">
      <c r="A4164">
        <v>62313</v>
      </c>
      <c r="B4164">
        <v>800</v>
      </c>
      <c r="C4164" s="455">
        <v>1E-3</v>
      </c>
      <c r="D4164" s="637">
        <f t="shared" si="140"/>
        <v>2.0750000000000005E-3</v>
      </c>
      <c r="E4164" s="637">
        <f t="shared" si="141"/>
        <v>3.3500000000000014E-3</v>
      </c>
    </row>
    <row r="4165" spans="1:5">
      <c r="A4165">
        <v>62313</v>
      </c>
      <c r="B4165">
        <v>900</v>
      </c>
      <c r="C4165" s="455">
        <v>0</v>
      </c>
      <c r="D4165" s="637">
        <f t="shared" si="140"/>
        <v>0</v>
      </c>
      <c r="E4165" s="637">
        <f t="shared" si="141"/>
        <v>0</v>
      </c>
    </row>
    <row r="4166" spans="1:5">
      <c r="A4166">
        <v>62313</v>
      </c>
      <c r="B4166">
        <v>1000</v>
      </c>
      <c r="C4166" s="455">
        <v>0</v>
      </c>
      <c r="D4166" s="637">
        <f t="shared" si="140"/>
        <v>0</v>
      </c>
      <c r="E4166" s="637">
        <f t="shared" si="141"/>
        <v>0</v>
      </c>
    </row>
    <row r="4167" spans="1:5">
      <c r="A4167">
        <v>62313</v>
      </c>
      <c r="B4167">
        <v>1100</v>
      </c>
      <c r="C4167" s="455">
        <v>0.32400000000000001</v>
      </c>
      <c r="D4167" s="637">
        <f t="shared" si="140"/>
        <v>0.67230000000000012</v>
      </c>
      <c r="E4167" s="637">
        <f t="shared" si="141"/>
        <v>1.0854000000000004</v>
      </c>
    </row>
    <row r="4168" spans="1:5">
      <c r="A4168">
        <v>62313</v>
      </c>
      <c r="B4168">
        <v>1200</v>
      </c>
      <c r="C4168" s="455">
        <v>0.216</v>
      </c>
      <c r="D4168" s="637">
        <f t="shared" si="140"/>
        <v>0.44820000000000004</v>
      </c>
      <c r="E4168" s="637">
        <f t="shared" si="141"/>
        <v>0.72360000000000024</v>
      </c>
    </row>
    <row r="4169" spans="1:5">
      <c r="A4169">
        <v>62313</v>
      </c>
      <c r="B4169">
        <v>1300</v>
      </c>
      <c r="C4169" s="455">
        <v>0</v>
      </c>
      <c r="D4169" s="637">
        <f t="shared" si="140"/>
        <v>0</v>
      </c>
      <c r="E4169" s="637">
        <f t="shared" si="141"/>
        <v>0</v>
      </c>
    </row>
    <row r="4170" spans="1:5">
      <c r="A4170">
        <v>62313</v>
      </c>
      <c r="B4170">
        <v>1400</v>
      </c>
      <c r="C4170" s="455">
        <v>0</v>
      </c>
      <c r="D4170" s="637">
        <f t="shared" si="140"/>
        <v>0</v>
      </c>
      <c r="E4170" s="637">
        <f t="shared" si="141"/>
        <v>0</v>
      </c>
    </row>
    <row r="4171" spans="1:5">
      <c r="A4171">
        <v>62313</v>
      </c>
      <c r="B4171">
        <v>1500</v>
      </c>
      <c r="C4171" s="455">
        <v>0</v>
      </c>
      <c r="D4171" s="637">
        <f t="shared" si="140"/>
        <v>0</v>
      </c>
      <c r="E4171" s="637">
        <f t="shared" si="141"/>
        <v>0</v>
      </c>
    </row>
    <row r="4172" spans="1:5">
      <c r="A4172">
        <v>62313</v>
      </c>
      <c r="B4172">
        <v>1600</v>
      </c>
      <c r="C4172" s="455">
        <v>0</v>
      </c>
      <c r="D4172" s="637">
        <f t="shared" si="140"/>
        <v>0</v>
      </c>
      <c r="E4172" s="637">
        <f t="shared" si="141"/>
        <v>0</v>
      </c>
    </row>
    <row r="4173" spans="1:5">
      <c r="A4173">
        <v>62313</v>
      </c>
      <c r="B4173">
        <v>1700</v>
      </c>
      <c r="C4173" s="455">
        <v>0</v>
      </c>
      <c r="D4173" s="637">
        <f t="shared" si="140"/>
        <v>0</v>
      </c>
      <c r="E4173" s="637">
        <f t="shared" si="141"/>
        <v>0</v>
      </c>
    </row>
    <row r="4174" spans="1:5">
      <c r="A4174">
        <v>62313</v>
      </c>
      <c r="B4174">
        <v>1800</v>
      </c>
      <c r="C4174" s="455">
        <v>0</v>
      </c>
      <c r="D4174" s="637">
        <f t="shared" si="140"/>
        <v>0</v>
      </c>
      <c r="E4174" s="637">
        <f t="shared" si="141"/>
        <v>0</v>
      </c>
    </row>
    <row r="4175" spans="1:5">
      <c r="A4175">
        <v>62313</v>
      </c>
      <c r="B4175">
        <v>1900</v>
      </c>
      <c r="C4175" s="455">
        <v>0</v>
      </c>
      <c r="D4175" s="637">
        <f t="shared" si="140"/>
        <v>0</v>
      </c>
      <c r="E4175" s="637">
        <f t="shared" si="141"/>
        <v>0</v>
      </c>
    </row>
    <row r="4176" spans="1:5">
      <c r="A4176">
        <v>62313</v>
      </c>
      <c r="B4176">
        <v>2000</v>
      </c>
      <c r="C4176" s="455">
        <v>2.0289999999999999</v>
      </c>
      <c r="D4176" s="637">
        <f t="shared" si="140"/>
        <v>4.2101750000000004</v>
      </c>
      <c r="E4176" s="637">
        <f t="shared" si="141"/>
        <v>6.7971500000000029</v>
      </c>
    </row>
    <row r="4177" spans="1:5">
      <c r="A4177">
        <v>62313</v>
      </c>
      <c r="B4177">
        <v>2100</v>
      </c>
      <c r="C4177" s="455">
        <v>11.157</v>
      </c>
      <c r="D4177" s="637">
        <f t="shared" si="140"/>
        <v>23.150775000000003</v>
      </c>
      <c r="E4177" s="637">
        <f t="shared" si="141"/>
        <v>37.37595000000001</v>
      </c>
    </row>
    <row r="4178" spans="1:5">
      <c r="A4178">
        <v>62313</v>
      </c>
      <c r="B4178">
        <v>2200</v>
      </c>
      <c r="C4178" s="455">
        <v>9.3970000000000002</v>
      </c>
      <c r="D4178" s="637">
        <f t="shared" si="140"/>
        <v>19.498775000000002</v>
      </c>
      <c r="E4178" s="637">
        <f t="shared" si="141"/>
        <v>31.479950000000013</v>
      </c>
    </row>
    <row r="4179" spans="1:5">
      <c r="A4179">
        <v>62313</v>
      </c>
      <c r="B4179">
        <v>2300</v>
      </c>
      <c r="C4179" s="455">
        <v>9.1980000000000004</v>
      </c>
      <c r="D4179" s="637">
        <f t="shared" si="140"/>
        <v>19.085850000000004</v>
      </c>
      <c r="E4179" s="637">
        <f t="shared" si="141"/>
        <v>30.813300000000012</v>
      </c>
    </row>
    <row r="4180" spans="1:5">
      <c r="A4180">
        <v>62313</v>
      </c>
      <c r="B4180">
        <v>2400</v>
      </c>
      <c r="C4180" s="455">
        <v>9.4120000000000008</v>
      </c>
      <c r="D4180" s="637">
        <f t="shared" si="140"/>
        <v>19.529900000000005</v>
      </c>
      <c r="E4180" s="637">
        <f t="shared" si="141"/>
        <v>31.530200000000015</v>
      </c>
    </row>
    <row r="4181" spans="1:5">
      <c r="A4181">
        <v>62413</v>
      </c>
      <c r="B4181">
        <v>100</v>
      </c>
      <c r="C4181" s="455">
        <v>9.0280000000000005</v>
      </c>
      <c r="D4181" s="637">
        <f t="shared" si="140"/>
        <v>18.733100000000004</v>
      </c>
      <c r="E4181" s="637">
        <f t="shared" si="141"/>
        <v>30.243800000000014</v>
      </c>
    </row>
    <row r="4182" spans="1:5">
      <c r="A4182">
        <v>62413</v>
      </c>
      <c r="B4182">
        <v>200</v>
      </c>
      <c r="C4182" s="455">
        <v>9.202</v>
      </c>
      <c r="D4182" s="637">
        <f t="shared" si="140"/>
        <v>19.094150000000003</v>
      </c>
      <c r="E4182" s="637">
        <f t="shared" si="141"/>
        <v>30.82670000000001</v>
      </c>
    </row>
    <row r="4183" spans="1:5">
      <c r="A4183">
        <v>62413</v>
      </c>
      <c r="B4183">
        <v>300</v>
      </c>
      <c r="C4183" s="455">
        <v>9.0269999999999992</v>
      </c>
      <c r="D4183" s="637">
        <f t="shared" si="140"/>
        <v>18.731025000000002</v>
      </c>
      <c r="E4183" s="637">
        <f t="shared" si="141"/>
        <v>30.24045000000001</v>
      </c>
    </row>
    <row r="4184" spans="1:5">
      <c r="A4184">
        <v>62413</v>
      </c>
      <c r="B4184">
        <v>400</v>
      </c>
      <c r="C4184" s="455">
        <v>9.0920000000000005</v>
      </c>
      <c r="D4184" s="637">
        <f t="shared" si="140"/>
        <v>18.865900000000003</v>
      </c>
      <c r="E4184" s="637">
        <f t="shared" si="141"/>
        <v>30.458200000000012</v>
      </c>
    </row>
    <row r="4185" spans="1:5">
      <c r="A4185">
        <v>62413</v>
      </c>
      <c r="B4185">
        <v>500</v>
      </c>
      <c r="C4185" s="455">
        <v>10.154</v>
      </c>
      <c r="D4185" s="637">
        <f t="shared" si="140"/>
        <v>21.069550000000003</v>
      </c>
      <c r="E4185" s="637">
        <f t="shared" si="141"/>
        <v>34.015900000000009</v>
      </c>
    </row>
    <row r="4186" spans="1:5">
      <c r="A4186">
        <v>62413</v>
      </c>
      <c r="B4186">
        <v>600</v>
      </c>
      <c r="C4186" s="455">
        <v>1.7709999999999999</v>
      </c>
      <c r="D4186" s="637">
        <f t="shared" si="140"/>
        <v>3.6748250000000007</v>
      </c>
      <c r="E4186" s="637">
        <f t="shared" si="141"/>
        <v>5.932850000000002</v>
      </c>
    </row>
    <row r="4187" spans="1:5">
      <c r="A4187">
        <v>62413</v>
      </c>
      <c r="B4187">
        <v>700</v>
      </c>
      <c r="C4187" s="455">
        <v>0</v>
      </c>
      <c r="D4187" s="637">
        <f t="shared" si="140"/>
        <v>0</v>
      </c>
      <c r="E4187" s="637">
        <f t="shared" si="141"/>
        <v>0</v>
      </c>
    </row>
    <row r="4188" spans="1:5">
      <c r="A4188">
        <v>62413</v>
      </c>
      <c r="B4188">
        <v>800</v>
      </c>
      <c r="C4188" s="455">
        <v>0</v>
      </c>
      <c r="D4188" s="637">
        <f t="shared" si="140"/>
        <v>0</v>
      </c>
      <c r="E4188" s="637">
        <f t="shared" si="141"/>
        <v>0</v>
      </c>
    </row>
    <row r="4189" spans="1:5">
      <c r="A4189">
        <v>62413</v>
      </c>
      <c r="B4189">
        <v>900</v>
      </c>
      <c r="C4189" s="455">
        <v>0.64800000000000002</v>
      </c>
      <c r="D4189" s="637">
        <f t="shared" si="140"/>
        <v>1.3446000000000002</v>
      </c>
      <c r="E4189" s="637">
        <f t="shared" si="141"/>
        <v>2.1708000000000007</v>
      </c>
    </row>
    <row r="4190" spans="1:5">
      <c r="A4190">
        <v>62413</v>
      </c>
      <c r="B4190">
        <v>1000</v>
      </c>
      <c r="C4190" s="455">
        <v>0.86399999999999999</v>
      </c>
      <c r="D4190" s="637">
        <f t="shared" si="140"/>
        <v>1.7928000000000002</v>
      </c>
      <c r="E4190" s="637">
        <f t="shared" si="141"/>
        <v>2.894400000000001</v>
      </c>
    </row>
    <row r="4191" spans="1:5">
      <c r="A4191">
        <v>62413</v>
      </c>
      <c r="B4191">
        <v>1100</v>
      </c>
      <c r="C4191" s="455">
        <v>0.57599999999999996</v>
      </c>
      <c r="D4191" s="637">
        <f t="shared" si="140"/>
        <v>1.1952</v>
      </c>
      <c r="E4191" s="637">
        <f t="shared" si="141"/>
        <v>1.9296000000000004</v>
      </c>
    </row>
    <row r="4192" spans="1:5">
      <c r="A4192">
        <v>62413</v>
      </c>
      <c r="B4192">
        <v>1200</v>
      </c>
      <c r="C4192" s="455">
        <v>7.1999999999999995E-2</v>
      </c>
      <c r="D4192" s="637">
        <f t="shared" si="140"/>
        <v>0.14940000000000001</v>
      </c>
      <c r="E4192" s="637">
        <f t="shared" si="141"/>
        <v>0.24120000000000005</v>
      </c>
    </row>
    <row r="4193" spans="1:5">
      <c r="A4193">
        <v>62413</v>
      </c>
      <c r="B4193">
        <v>1300</v>
      </c>
      <c r="C4193" s="455">
        <v>0</v>
      </c>
      <c r="D4193" s="637">
        <f t="shared" si="140"/>
        <v>0</v>
      </c>
      <c r="E4193" s="637">
        <f t="shared" si="141"/>
        <v>0</v>
      </c>
    </row>
    <row r="4194" spans="1:5">
      <c r="A4194">
        <v>62413</v>
      </c>
      <c r="B4194">
        <v>1400</v>
      </c>
      <c r="C4194" s="455">
        <v>0</v>
      </c>
      <c r="D4194" s="637">
        <f t="shared" si="140"/>
        <v>0</v>
      </c>
      <c r="E4194" s="637">
        <f t="shared" si="141"/>
        <v>0</v>
      </c>
    </row>
    <row r="4195" spans="1:5">
      <c r="A4195">
        <v>62413</v>
      </c>
      <c r="B4195">
        <v>1500</v>
      </c>
      <c r="C4195" s="455">
        <v>0</v>
      </c>
      <c r="D4195" s="637">
        <f t="shared" si="140"/>
        <v>0</v>
      </c>
      <c r="E4195" s="637">
        <f t="shared" si="141"/>
        <v>0</v>
      </c>
    </row>
    <row r="4196" spans="1:5">
      <c r="A4196">
        <v>62413</v>
      </c>
      <c r="B4196">
        <v>1600</v>
      </c>
      <c r="C4196" s="455">
        <v>0</v>
      </c>
      <c r="D4196" s="637">
        <f t="shared" si="140"/>
        <v>0</v>
      </c>
      <c r="E4196" s="637">
        <f t="shared" si="141"/>
        <v>0</v>
      </c>
    </row>
    <row r="4197" spans="1:5">
      <c r="A4197">
        <v>62413</v>
      </c>
      <c r="B4197">
        <v>1700</v>
      </c>
      <c r="C4197" s="455">
        <v>0</v>
      </c>
      <c r="D4197" s="637">
        <f t="shared" si="140"/>
        <v>0</v>
      </c>
      <c r="E4197" s="637">
        <f t="shared" si="141"/>
        <v>0</v>
      </c>
    </row>
    <row r="4198" spans="1:5">
      <c r="A4198">
        <v>62413</v>
      </c>
      <c r="B4198">
        <v>1800</v>
      </c>
      <c r="C4198" s="455">
        <v>0.09</v>
      </c>
      <c r="D4198" s="637">
        <f t="shared" si="140"/>
        <v>0.18675000000000003</v>
      </c>
      <c r="E4198" s="637">
        <f t="shared" si="141"/>
        <v>0.3015000000000001</v>
      </c>
    </row>
    <row r="4199" spans="1:5">
      <c r="A4199">
        <v>62413</v>
      </c>
      <c r="B4199">
        <v>1900</v>
      </c>
      <c r="C4199" s="455">
        <v>0</v>
      </c>
      <c r="D4199" s="637">
        <f t="shared" si="140"/>
        <v>0</v>
      </c>
      <c r="E4199" s="637">
        <f t="shared" si="141"/>
        <v>0</v>
      </c>
    </row>
    <row r="4200" spans="1:5">
      <c r="A4200">
        <v>62413</v>
      </c>
      <c r="B4200">
        <v>2000</v>
      </c>
      <c r="C4200" s="455">
        <v>2.633</v>
      </c>
      <c r="D4200" s="637">
        <f t="shared" si="140"/>
        <v>5.4634750000000007</v>
      </c>
      <c r="E4200" s="637">
        <f t="shared" si="141"/>
        <v>8.8205500000000026</v>
      </c>
    </row>
    <row r="4201" spans="1:5">
      <c r="A4201">
        <v>62413</v>
      </c>
      <c r="B4201">
        <v>2100</v>
      </c>
      <c r="C4201" s="455">
        <v>10.726000000000001</v>
      </c>
      <c r="D4201" s="637">
        <f t="shared" si="140"/>
        <v>22.256450000000005</v>
      </c>
      <c r="E4201" s="637">
        <f t="shared" si="141"/>
        <v>35.932100000000013</v>
      </c>
    </row>
    <row r="4202" spans="1:5">
      <c r="A4202">
        <v>62413</v>
      </c>
      <c r="B4202">
        <v>2200</v>
      </c>
      <c r="C4202" s="455">
        <v>8.8350000000000009</v>
      </c>
      <c r="D4202" s="637">
        <f t="shared" si="140"/>
        <v>18.332625000000004</v>
      </c>
      <c r="E4202" s="637">
        <f t="shared" si="141"/>
        <v>29.597250000000013</v>
      </c>
    </row>
    <row r="4203" spans="1:5">
      <c r="A4203">
        <v>62413</v>
      </c>
      <c r="B4203">
        <v>2300</v>
      </c>
      <c r="C4203" s="455">
        <v>9.0410000000000004</v>
      </c>
      <c r="D4203" s="637">
        <f t="shared" si="140"/>
        <v>18.760075000000004</v>
      </c>
      <c r="E4203" s="637">
        <f t="shared" si="141"/>
        <v>30.287350000000011</v>
      </c>
    </row>
    <row r="4204" spans="1:5">
      <c r="A4204">
        <v>62413</v>
      </c>
      <c r="B4204">
        <v>2400</v>
      </c>
      <c r="C4204" s="455">
        <v>8.86</v>
      </c>
      <c r="D4204" s="637">
        <f t="shared" si="140"/>
        <v>18.384500000000003</v>
      </c>
      <c r="E4204" s="637">
        <f t="shared" si="141"/>
        <v>29.681000000000012</v>
      </c>
    </row>
    <row r="4205" spans="1:5">
      <c r="A4205">
        <v>62513</v>
      </c>
      <c r="B4205">
        <v>100</v>
      </c>
      <c r="C4205" s="455">
        <v>9.1050000000000004</v>
      </c>
      <c r="D4205" s="637">
        <f t="shared" si="140"/>
        <v>18.892875000000004</v>
      </c>
      <c r="E4205" s="637">
        <f t="shared" si="141"/>
        <v>30.501750000000012</v>
      </c>
    </row>
    <row r="4206" spans="1:5">
      <c r="A4206">
        <v>62513</v>
      </c>
      <c r="B4206">
        <v>200</v>
      </c>
      <c r="C4206" s="455">
        <v>9.0030000000000001</v>
      </c>
      <c r="D4206" s="637">
        <f t="shared" ref="D4206:D4269" si="142">(C4206/(MAX($C$3629:$C$4348)))*$W$10</f>
        <v>18.681225000000001</v>
      </c>
      <c r="E4206" s="637">
        <f t="shared" ref="E4206:E4269" si="143">(C4206/(MAX($C$3629:$C$4348)))*$P$10</f>
        <v>30.160050000000009</v>
      </c>
    </row>
    <row r="4207" spans="1:5">
      <c r="A4207">
        <v>62513</v>
      </c>
      <c r="B4207">
        <v>300</v>
      </c>
      <c r="C4207" s="455">
        <v>9.3620000000000001</v>
      </c>
      <c r="D4207" s="637">
        <f t="shared" si="142"/>
        <v>19.426150000000003</v>
      </c>
      <c r="E4207" s="637">
        <f t="shared" si="143"/>
        <v>31.362700000000014</v>
      </c>
    </row>
    <row r="4208" spans="1:5">
      <c r="A4208">
        <v>62513</v>
      </c>
      <c r="B4208">
        <v>400</v>
      </c>
      <c r="C4208" s="455">
        <v>9.391</v>
      </c>
      <c r="D4208" s="637">
        <f t="shared" si="142"/>
        <v>19.486325000000001</v>
      </c>
      <c r="E4208" s="637">
        <f t="shared" si="143"/>
        <v>31.45985000000001</v>
      </c>
    </row>
    <row r="4209" spans="1:5">
      <c r="A4209">
        <v>62513</v>
      </c>
      <c r="B4209">
        <v>500</v>
      </c>
      <c r="C4209" s="455">
        <v>10.321999999999999</v>
      </c>
      <c r="D4209" s="637">
        <f t="shared" si="142"/>
        <v>21.418150000000001</v>
      </c>
      <c r="E4209" s="637">
        <f t="shared" si="143"/>
        <v>34.578700000000005</v>
      </c>
    </row>
    <row r="4210" spans="1:5">
      <c r="A4210">
        <v>62513</v>
      </c>
      <c r="B4210">
        <v>600</v>
      </c>
      <c r="C4210" s="455">
        <v>6.0190000000000001</v>
      </c>
      <c r="D4210" s="637">
        <f t="shared" si="142"/>
        <v>12.489425000000002</v>
      </c>
      <c r="E4210" s="637">
        <f t="shared" si="143"/>
        <v>20.163650000000008</v>
      </c>
    </row>
    <row r="4211" spans="1:5">
      <c r="A4211">
        <v>62513</v>
      </c>
      <c r="B4211">
        <v>700</v>
      </c>
      <c r="C4211" s="455">
        <v>0.93</v>
      </c>
      <c r="D4211" s="637">
        <f t="shared" si="142"/>
        <v>1.9297500000000003</v>
      </c>
      <c r="E4211" s="637">
        <f t="shared" si="143"/>
        <v>3.1155000000000013</v>
      </c>
    </row>
    <row r="4212" spans="1:5">
      <c r="A4212">
        <v>62513</v>
      </c>
      <c r="B4212">
        <v>800</v>
      </c>
      <c r="C4212" s="455">
        <v>1E-3</v>
      </c>
      <c r="D4212" s="637">
        <f t="shared" si="142"/>
        <v>2.0750000000000005E-3</v>
      </c>
      <c r="E4212" s="637">
        <f t="shared" si="143"/>
        <v>3.3500000000000014E-3</v>
      </c>
    </row>
    <row r="4213" spans="1:5">
      <c r="A4213">
        <v>62513</v>
      </c>
      <c r="B4213">
        <v>900</v>
      </c>
      <c r="C4213" s="455">
        <v>0</v>
      </c>
      <c r="D4213" s="637">
        <f t="shared" si="142"/>
        <v>0</v>
      </c>
      <c r="E4213" s="637">
        <f t="shared" si="143"/>
        <v>0</v>
      </c>
    </row>
    <row r="4214" spans="1:5">
      <c r="A4214">
        <v>62513</v>
      </c>
      <c r="B4214">
        <v>1000</v>
      </c>
      <c r="C4214" s="455">
        <v>0</v>
      </c>
      <c r="D4214" s="637">
        <f t="shared" si="142"/>
        <v>0</v>
      </c>
      <c r="E4214" s="637">
        <f t="shared" si="143"/>
        <v>0</v>
      </c>
    </row>
    <row r="4215" spans="1:5">
      <c r="A4215">
        <v>62513</v>
      </c>
      <c r="B4215">
        <v>1100</v>
      </c>
      <c r="C4215" s="455">
        <v>0</v>
      </c>
      <c r="D4215" s="637">
        <f t="shared" si="142"/>
        <v>0</v>
      </c>
      <c r="E4215" s="637">
        <f t="shared" si="143"/>
        <v>0</v>
      </c>
    </row>
    <row r="4216" spans="1:5">
      <c r="A4216">
        <v>62513</v>
      </c>
      <c r="B4216">
        <v>1200</v>
      </c>
      <c r="C4216" s="455">
        <v>0</v>
      </c>
      <c r="D4216" s="637">
        <f t="shared" si="142"/>
        <v>0</v>
      </c>
      <c r="E4216" s="637">
        <f t="shared" si="143"/>
        <v>0</v>
      </c>
    </row>
    <row r="4217" spans="1:5">
      <c r="A4217">
        <v>62513</v>
      </c>
      <c r="B4217">
        <v>1300</v>
      </c>
      <c r="C4217" s="455">
        <v>0</v>
      </c>
      <c r="D4217" s="637">
        <f t="shared" si="142"/>
        <v>0</v>
      </c>
      <c r="E4217" s="637">
        <f t="shared" si="143"/>
        <v>0</v>
      </c>
    </row>
    <row r="4218" spans="1:5">
      <c r="A4218">
        <v>62513</v>
      </c>
      <c r="B4218">
        <v>1400</v>
      </c>
      <c r="C4218" s="455">
        <v>0</v>
      </c>
      <c r="D4218" s="637">
        <f t="shared" si="142"/>
        <v>0</v>
      </c>
      <c r="E4218" s="637">
        <f t="shared" si="143"/>
        <v>0</v>
      </c>
    </row>
    <row r="4219" spans="1:5">
      <c r="A4219">
        <v>62513</v>
      </c>
      <c r="B4219">
        <v>1500</v>
      </c>
      <c r="C4219" s="455">
        <v>0</v>
      </c>
      <c r="D4219" s="637">
        <f t="shared" si="142"/>
        <v>0</v>
      </c>
      <c r="E4219" s="637">
        <f t="shared" si="143"/>
        <v>0</v>
      </c>
    </row>
    <row r="4220" spans="1:5">
      <c r="A4220">
        <v>62513</v>
      </c>
      <c r="B4220">
        <v>1600</v>
      </c>
      <c r="C4220" s="455">
        <v>0</v>
      </c>
      <c r="D4220" s="637">
        <f t="shared" si="142"/>
        <v>0</v>
      </c>
      <c r="E4220" s="637">
        <f t="shared" si="143"/>
        <v>0</v>
      </c>
    </row>
    <row r="4221" spans="1:5">
      <c r="A4221">
        <v>62513</v>
      </c>
      <c r="B4221">
        <v>1700</v>
      </c>
      <c r="C4221" s="455">
        <v>0</v>
      </c>
      <c r="D4221" s="637">
        <f t="shared" si="142"/>
        <v>0</v>
      </c>
      <c r="E4221" s="637">
        <f t="shared" si="143"/>
        <v>0</v>
      </c>
    </row>
    <row r="4222" spans="1:5">
      <c r="A4222">
        <v>62513</v>
      </c>
      <c r="B4222">
        <v>1800</v>
      </c>
      <c r="C4222" s="455">
        <v>0</v>
      </c>
      <c r="D4222" s="637">
        <f t="shared" si="142"/>
        <v>0</v>
      </c>
      <c r="E4222" s="637">
        <f t="shared" si="143"/>
        <v>0</v>
      </c>
    </row>
    <row r="4223" spans="1:5">
      <c r="A4223">
        <v>62513</v>
      </c>
      <c r="B4223">
        <v>1900</v>
      </c>
      <c r="C4223" s="455">
        <v>0</v>
      </c>
      <c r="D4223" s="637">
        <f t="shared" si="142"/>
        <v>0</v>
      </c>
      <c r="E4223" s="637">
        <f t="shared" si="143"/>
        <v>0</v>
      </c>
    </row>
    <row r="4224" spans="1:5">
      <c r="A4224">
        <v>62513</v>
      </c>
      <c r="B4224">
        <v>2000</v>
      </c>
      <c r="C4224" s="455">
        <v>1.7689999999999999</v>
      </c>
      <c r="D4224" s="637">
        <f t="shared" si="142"/>
        <v>3.6706750000000006</v>
      </c>
      <c r="E4224" s="637">
        <f t="shared" si="143"/>
        <v>5.9261500000000025</v>
      </c>
    </row>
    <row r="4225" spans="1:5">
      <c r="A4225">
        <v>62513</v>
      </c>
      <c r="B4225">
        <v>2100</v>
      </c>
      <c r="C4225" s="455">
        <v>9.7880000000000003</v>
      </c>
      <c r="D4225" s="637">
        <f t="shared" si="142"/>
        <v>20.310100000000002</v>
      </c>
      <c r="E4225" s="637">
        <f t="shared" si="143"/>
        <v>32.789800000000014</v>
      </c>
    </row>
    <row r="4226" spans="1:5">
      <c r="A4226">
        <v>62513</v>
      </c>
      <c r="B4226">
        <v>2200</v>
      </c>
      <c r="C4226" s="455">
        <v>9.2409999999999997</v>
      </c>
      <c r="D4226" s="637">
        <f t="shared" si="142"/>
        <v>19.175075000000003</v>
      </c>
      <c r="E4226" s="637">
        <f t="shared" si="143"/>
        <v>30.957350000000009</v>
      </c>
    </row>
    <row r="4227" spans="1:5">
      <c r="A4227">
        <v>62513</v>
      </c>
      <c r="B4227">
        <v>2300</v>
      </c>
      <c r="C4227" s="455">
        <v>8.9459999999999997</v>
      </c>
      <c r="D4227" s="637">
        <f t="shared" si="142"/>
        <v>18.562950000000004</v>
      </c>
      <c r="E4227" s="637">
        <f t="shared" si="143"/>
        <v>29.969100000000012</v>
      </c>
    </row>
    <row r="4228" spans="1:5">
      <c r="A4228">
        <v>62513</v>
      </c>
      <c r="B4228">
        <v>2400</v>
      </c>
      <c r="C4228" s="455">
        <v>9.2469999999999999</v>
      </c>
      <c r="D4228" s="637">
        <f t="shared" si="142"/>
        <v>19.187525000000001</v>
      </c>
      <c r="E4228" s="637">
        <f t="shared" si="143"/>
        <v>30.977450000000008</v>
      </c>
    </row>
    <row r="4229" spans="1:5">
      <c r="A4229">
        <v>62613</v>
      </c>
      <c r="B4229">
        <v>100</v>
      </c>
      <c r="C4229" s="455">
        <v>9.3119999999999994</v>
      </c>
      <c r="D4229" s="637">
        <f t="shared" si="142"/>
        <v>19.322400000000002</v>
      </c>
      <c r="E4229" s="637">
        <f t="shared" si="143"/>
        <v>31.195200000000007</v>
      </c>
    </row>
    <row r="4230" spans="1:5">
      <c r="A4230">
        <v>62613</v>
      </c>
      <c r="B4230">
        <v>200</v>
      </c>
      <c r="C4230" s="455">
        <v>9.0399999999999991</v>
      </c>
      <c r="D4230" s="637">
        <f t="shared" si="142"/>
        <v>18.758000000000003</v>
      </c>
      <c r="E4230" s="637">
        <f t="shared" si="143"/>
        <v>30.28400000000001</v>
      </c>
    </row>
    <row r="4231" spans="1:5">
      <c r="A4231">
        <v>62613</v>
      </c>
      <c r="B4231">
        <v>300</v>
      </c>
      <c r="C4231" s="455">
        <v>8.9359999999999999</v>
      </c>
      <c r="D4231" s="637">
        <f t="shared" si="142"/>
        <v>18.542200000000001</v>
      </c>
      <c r="E4231" s="637">
        <f t="shared" si="143"/>
        <v>29.935600000000012</v>
      </c>
    </row>
    <row r="4232" spans="1:5">
      <c r="A4232">
        <v>62613</v>
      </c>
      <c r="B4232">
        <v>400</v>
      </c>
      <c r="C4232" s="455">
        <v>8.9949999999999992</v>
      </c>
      <c r="D4232" s="637">
        <f t="shared" si="142"/>
        <v>18.664625000000001</v>
      </c>
      <c r="E4232" s="637">
        <f t="shared" si="143"/>
        <v>30.133250000000007</v>
      </c>
    </row>
    <row r="4233" spans="1:5">
      <c r="A4233">
        <v>62613</v>
      </c>
      <c r="B4233">
        <v>500</v>
      </c>
      <c r="C4233" s="455">
        <v>10.262</v>
      </c>
      <c r="D4233" s="637">
        <f t="shared" si="142"/>
        <v>21.293650000000007</v>
      </c>
      <c r="E4233" s="637">
        <f t="shared" si="143"/>
        <v>34.377700000000019</v>
      </c>
    </row>
    <row r="4234" spans="1:5">
      <c r="A4234">
        <v>62613</v>
      </c>
      <c r="B4234">
        <v>600</v>
      </c>
      <c r="C4234" s="455">
        <v>1.5820000000000001</v>
      </c>
      <c r="D4234" s="637">
        <f t="shared" si="142"/>
        <v>3.2826500000000003</v>
      </c>
      <c r="E4234" s="637">
        <f t="shared" si="143"/>
        <v>5.2997000000000014</v>
      </c>
    </row>
    <row r="4235" spans="1:5">
      <c r="A4235">
        <v>62613</v>
      </c>
      <c r="B4235">
        <v>700</v>
      </c>
      <c r="C4235" s="455">
        <v>1E-3</v>
      </c>
      <c r="D4235" s="637">
        <f t="shared" si="142"/>
        <v>2.0750000000000005E-3</v>
      </c>
      <c r="E4235" s="637">
        <f t="shared" si="143"/>
        <v>3.3500000000000014E-3</v>
      </c>
    </row>
    <row r="4236" spans="1:5">
      <c r="A4236">
        <v>62613</v>
      </c>
      <c r="B4236">
        <v>800</v>
      </c>
      <c r="C4236" s="455">
        <v>0</v>
      </c>
      <c r="D4236" s="637">
        <f t="shared" si="142"/>
        <v>0</v>
      </c>
      <c r="E4236" s="637">
        <f t="shared" si="143"/>
        <v>0</v>
      </c>
    </row>
    <row r="4237" spans="1:5">
      <c r="A4237">
        <v>62613</v>
      </c>
      <c r="B4237">
        <v>900</v>
      </c>
      <c r="C4237" s="455">
        <v>0</v>
      </c>
      <c r="D4237" s="637">
        <f t="shared" si="142"/>
        <v>0</v>
      </c>
      <c r="E4237" s="637">
        <f t="shared" si="143"/>
        <v>0</v>
      </c>
    </row>
    <row r="4238" spans="1:5">
      <c r="A4238">
        <v>62613</v>
      </c>
      <c r="B4238">
        <v>1000</v>
      </c>
      <c r="C4238" s="455">
        <v>0</v>
      </c>
      <c r="D4238" s="637">
        <f t="shared" si="142"/>
        <v>0</v>
      </c>
      <c r="E4238" s="637">
        <f t="shared" si="143"/>
        <v>0</v>
      </c>
    </row>
    <row r="4239" spans="1:5">
      <c r="A4239">
        <v>62613</v>
      </c>
      <c r="B4239">
        <v>1100</v>
      </c>
      <c r="C4239" s="455">
        <v>0</v>
      </c>
      <c r="D4239" s="637">
        <f t="shared" si="142"/>
        <v>0</v>
      </c>
      <c r="E4239" s="637">
        <f t="shared" si="143"/>
        <v>0</v>
      </c>
    </row>
    <row r="4240" spans="1:5">
      <c r="A4240">
        <v>62613</v>
      </c>
      <c r="B4240">
        <v>1200</v>
      </c>
      <c r="C4240" s="455">
        <v>0</v>
      </c>
      <c r="D4240" s="637">
        <f t="shared" si="142"/>
        <v>0</v>
      </c>
      <c r="E4240" s="637">
        <f t="shared" si="143"/>
        <v>0</v>
      </c>
    </row>
    <row r="4241" spans="1:5">
      <c r="A4241">
        <v>62613</v>
      </c>
      <c r="B4241">
        <v>1300</v>
      </c>
      <c r="C4241" s="455">
        <v>0</v>
      </c>
      <c r="D4241" s="637">
        <f t="shared" si="142"/>
        <v>0</v>
      </c>
      <c r="E4241" s="637">
        <f t="shared" si="143"/>
        <v>0</v>
      </c>
    </row>
    <row r="4242" spans="1:5">
      <c r="A4242">
        <v>62613</v>
      </c>
      <c r="B4242">
        <v>1400</v>
      </c>
      <c r="C4242" s="455">
        <v>0</v>
      </c>
      <c r="D4242" s="637">
        <f t="shared" si="142"/>
        <v>0</v>
      </c>
      <c r="E4242" s="637">
        <f t="shared" si="143"/>
        <v>0</v>
      </c>
    </row>
    <row r="4243" spans="1:5">
      <c r="A4243">
        <v>62613</v>
      </c>
      <c r="B4243">
        <v>1500</v>
      </c>
      <c r="C4243" s="455">
        <v>0</v>
      </c>
      <c r="D4243" s="637">
        <f t="shared" si="142"/>
        <v>0</v>
      </c>
      <c r="E4243" s="637">
        <f t="shared" si="143"/>
        <v>0</v>
      </c>
    </row>
    <row r="4244" spans="1:5">
      <c r="A4244">
        <v>62613</v>
      </c>
      <c r="B4244">
        <v>1600</v>
      </c>
      <c r="C4244" s="455">
        <v>0</v>
      </c>
      <c r="D4244" s="637">
        <f t="shared" si="142"/>
        <v>0</v>
      </c>
      <c r="E4244" s="637">
        <f t="shared" si="143"/>
        <v>0</v>
      </c>
    </row>
    <row r="4245" spans="1:5">
      <c r="A4245">
        <v>62613</v>
      </c>
      <c r="B4245">
        <v>1700</v>
      </c>
      <c r="C4245" s="455">
        <v>0</v>
      </c>
      <c r="D4245" s="637">
        <f t="shared" si="142"/>
        <v>0</v>
      </c>
      <c r="E4245" s="637">
        <f t="shared" si="143"/>
        <v>0</v>
      </c>
    </row>
    <row r="4246" spans="1:5">
      <c r="A4246">
        <v>62613</v>
      </c>
      <c r="B4246">
        <v>1800</v>
      </c>
      <c r="C4246" s="455">
        <v>0</v>
      </c>
      <c r="D4246" s="637">
        <f t="shared" si="142"/>
        <v>0</v>
      </c>
      <c r="E4246" s="637">
        <f t="shared" si="143"/>
        <v>0</v>
      </c>
    </row>
    <row r="4247" spans="1:5">
      <c r="A4247">
        <v>62613</v>
      </c>
      <c r="B4247">
        <v>1900</v>
      </c>
      <c r="C4247" s="455">
        <v>0</v>
      </c>
      <c r="D4247" s="637">
        <f t="shared" si="142"/>
        <v>0</v>
      </c>
      <c r="E4247" s="637">
        <f t="shared" si="143"/>
        <v>0</v>
      </c>
    </row>
    <row r="4248" spans="1:5">
      <c r="A4248">
        <v>62613</v>
      </c>
      <c r="B4248">
        <v>2000</v>
      </c>
      <c r="C4248" s="455">
        <v>2.4449999999999998</v>
      </c>
      <c r="D4248" s="637">
        <f t="shared" si="142"/>
        <v>5.0733750000000004</v>
      </c>
      <c r="E4248" s="637">
        <f t="shared" si="143"/>
        <v>8.1907500000000031</v>
      </c>
    </row>
    <row r="4249" spans="1:5">
      <c r="A4249">
        <v>62613</v>
      </c>
      <c r="B4249">
        <v>2100</v>
      </c>
      <c r="C4249" s="455">
        <v>10.909000000000001</v>
      </c>
      <c r="D4249" s="637">
        <f t="shared" si="142"/>
        <v>22.636175000000005</v>
      </c>
      <c r="E4249" s="637">
        <f t="shared" si="143"/>
        <v>36.545150000000014</v>
      </c>
    </row>
    <row r="4250" spans="1:5">
      <c r="A4250">
        <v>62613</v>
      </c>
      <c r="B4250">
        <v>2200</v>
      </c>
      <c r="C4250" s="455">
        <v>8.9920000000000009</v>
      </c>
      <c r="D4250" s="637">
        <f t="shared" si="142"/>
        <v>18.658400000000004</v>
      </c>
      <c r="E4250" s="637">
        <f t="shared" si="143"/>
        <v>30.123200000000015</v>
      </c>
    </row>
    <row r="4251" spans="1:5">
      <c r="A4251">
        <v>62613</v>
      </c>
      <c r="B4251">
        <v>2300</v>
      </c>
      <c r="C4251" s="455">
        <v>9.2409999999999997</v>
      </c>
      <c r="D4251" s="637">
        <f t="shared" si="142"/>
        <v>19.175075000000003</v>
      </c>
      <c r="E4251" s="637">
        <f t="shared" si="143"/>
        <v>30.957350000000009</v>
      </c>
    </row>
    <row r="4252" spans="1:5">
      <c r="A4252">
        <v>62613</v>
      </c>
      <c r="B4252">
        <v>2400</v>
      </c>
      <c r="C4252" s="455">
        <v>9.0150000000000006</v>
      </c>
      <c r="D4252" s="637">
        <f t="shared" si="142"/>
        <v>18.706125000000004</v>
      </c>
      <c r="E4252" s="637">
        <f t="shared" si="143"/>
        <v>30.200250000000011</v>
      </c>
    </row>
    <row r="4253" spans="1:5">
      <c r="A4253">
        <v>62713</v>
      </c>
      <c r="B4253">
        <v>100</v>
      </c>
      <c r="C4253" s="455">
        <v>9.4019999999999992</v>
      </c>
      <c r="D4253" s="637">
        <f t="shared" si="142"/>
        <v>19.509150000000002</v>
      </c>
      <c r="E4253" s="637">
        <f t="shared" si="143"/>
        <v>31.496700000000011</v>
      </c>
    </row>
    <row r="4254" spans="1:5">
      <c r="A4254">
        <v>62713</v>
      </c>
      <c r="B4254">
        <v>200</v>
      </c>
      <c r="C4254" s="455">
        <v>8.9969999999999999</v>
      </c>
      <c r="D4254" s="637">
        <f t="shared" si="142"/>
        <v>18.668775000000004</v>
      </c>
      <c r="E4254" s="637">
        <f t="shared" si="143"/>
        <v>30.139950000000013</v>
      </c>
    </row>
    <row r="4255" spans="1:5">
      <c r="A4255">
        <v>62713</v>
      </c>
      <c r="B4255">
        <v>300</v>
      </c>
      <c r="C4255" s="455">
        <v>9.1110000000000007</v>
      </c>
      <c r="D4255" s="637">
        <f t="shared" si="142"/>
        <v>18.905325000000005</v>
      </c>
      <c r="E4255" s="637">
        <f t="shared" si="143"/>
        <v>30.521850000000011</v>
      </c>
    </row>
    <row r="4256" spans="1:5">
      <c r="A4256">
        <v>62713</v>
      </c>
      <c r="B4256">
        <v>400</v>
      </c>
      <c r="C4256" s="455">
        <v>9.1530000000000005</v>
      </c>
      <c r="D4256" s="637">
        <f t="shared" si="142"/>
        <v>18.992475000000006</v>
      </c>
      <c r="E4256" s="637">
        <f t="shared" si="143"/>
        <v>30.662550000000014</v>
      </c>
    </row>
    <row r="4257" spans="1:5">
      <c r="A4257">
        <v>62713</v>
      </c>
      <c r="B4257">
        <v>500</v>
      </c>
      <c r="C4257" s="455">
        <v>10.067</v>
      </c>
      <c r="D4257" s="637">
        <f t="shared" si="142"/>
        <v>20.889025000000004</v>
      </c>
      <c r="E4257" s="637">
        <f t="shared" si="143"/>
        <v>33.724450000000012</v>
      </c>
    </row>
    <row r="4258" spans="1:5">
      <c r="A4258">
        <v>62713</v>
      </c>
      <c r="B4258">
        <v>600</v>
      </c>
      <c r="C4258" s="455">
        <v>0.69799999999999995</v>
      </c>
      <c r="D4258" s="637">
        <f t="shared" si="142"/>
        <v>1.4483500000000002</v>
      </c>
      <c r="E4258" s="637">
        <f t="shared" si="143"/>
        <v>2.3383000000000007</v>
      </c>
    </row>
    <row r="4259" spans="1:5">
      <c r="A4259">
        <v>62713</v>
      </c>
      <c r="B4259">
        <v>700</v>
      </c>
      <c r="C4259" s="455">
        <v>0</v>
      </c>
      <c r="D4259" s="637">
        <f t="shared" si="142"/>
        <v>0</v>
      </c>
      <c r="E4259" s="637">
        <f t="shared" si="143"/>
        <v>0</v>
      </c>
    </row>
    <row r="4260" spans="1:5">
      <c r="A4260">
        <v>62713</v>
      </c>
      <c r="B4260">
        <v>800</v>
      </c>
      <c r="C4260" s="455">
        <v>0</v>
      </c>
      <c r="D4260" s="637">
        <f t="shared" si="142"/>
        <v>0</v>
      </c>
      <c r="E4260" s="637">
        <f t="shared" si="143"/>
        <v>0</v>
      </c>
    </row>
    <row r="4261" spans="1:5">
      <c r="A4261">
        <v>62713</v>
      </c>
      <c r="B4261">
        <v>900</v>
      </c>
      <c r="C4261" s="455">
        <v>0</v>
      </c>
      <c r="D4261" s="637">
        <f t="shared" si="142"/>
        <v>0</v>
      </c>
      <c r="E4261" s="637">
        <f t="shared" si="143"/>
        <v>0</v>
      </c>
    </row>
    <row r="4262" spans="1:5">
      <c r="A4262">
        <v>62713</v>
      </c>
      <c r="B4262">
        <v>1000</v>
      </c>
      <c r="C4262" s="455">
        <v>0</v>
      </c>
      <c r="D4262" s="637">
        <f t="shared" si="142"/>
        <v>0</v>
      </c>
      <c r="E4262" s="637">
        <f t="shared" si="143"/>
        <v>0</v>
      </c>
    </row>
    <row r="4263" spans="1:5">
      <c r="A4263">
        <v>62713</v>
      </c>
      <c r="B4263">
        <v>1100</v>
      </c>
      <c r="C4263" s="455">
        <v>0</v>
      </c>
      <c r="D4263" s="637">
        <f t="shared" si="142"/>
        <v>0</v>
      </c>
      <c r="E4263" s="637">
        <f t="shared" si="143"/>
        <v>0</v>
      </c>
    </row>
    <row r="4264" spans="1:5">
      <c r="A4264">
        <v>62713</v>
      </c>
      <c r="B4264">
        <v>1200</v>
      </c>
      <c r="C4264" s="455">
        <v>0</v>
      </c>
      <c r="D4264" s="637">
        <f t="shared" si="142"/>
        <v>0</v>
      </c>
      <c r="E4264" s="637">
        <f t="shared" si="143"/>
        <v>0</v>
      </c>
    </row>
    <row r="4265" spans="1:5">
      <c r="A4265">
        <v>62713</v>
      </c>
      <c r="B4265">
        <v>1300</v>
      </c>
      <c r="C4265" s="455">
        <v>0.32400000000000001</v>
      </c>
      <c r="D4265" s="637">
        <f t="shared" si="142"/>
        <v>0.67230000000000012</v>
      </c>
      <c r="E4265" s="637">
        <f t="shared" si="143"/>
        <v>1.0854000000000004</v>
      </c>
    </row>
    <row r="4266" spans="1:5">
      <c r="A4266">
        <v>62713</v>
      </c>
      <c r="B4266">
        <v>1400</v>
      </c>
      <c r="C4266" s="455">
        <v>1.4039999999999999</v>
      </c>
      <c r="D4266" s="637">
        <f t="shared" si="142"/>
        <v>2.9133</v>
      </c>
      <c r="E4266" s="637">
        <f t="shared" si="143"/>
        <v>4.7034000000000011</v>
      </c>
    </row>
    <row r="4267" spans="1:5">
      <c r="A4267">
        <v>62713</v>
      </c>
      <c r="B4267">
        <v>1500</v>
      </c>
      <c r="C4267" s="455">
        <v>1.296</v>
      </c>
      <c r="D4267" s="637">
        <f t="shared" si="142"/>
        <v>2.6892000000000005</v>
      </c>
      <c r="E4267" s="637">
        <f t="shared" si="143"/>
        <v>4.3416000000000015</v>
      </c>
    </row>
    <row r="4268" spans="1:5">
      <c r="A4268">
        <v>62713</v>
      </c>
      <c r="B4268">
        <v>1600</v>
      </c>
      <c r="C4268" s="455">
        <v>0.79200000000000004</v>
      </c>
      <c r="D4268" s="637">
        <f t="shared" si="142"/>
        <v>1.6434000000000004</v>
      </c>
      <c r="E4268" s="637">
        <f t="shared" si="143"/>
        <v>2.6532000000000013</v>
      </c>
    </row>
    <row r="4269" spans="1:5">
      <c r="A4269">
        <v>62713</v>
      </c>
      <c r="B4269">
        <v>1700</v>
      </c>
      <c r="C4269" s="455">
        <v>0</v>
      </c>
      <c r="D4269" s="637">
        <f t="shared" si="142"/>
        <v>0</v>
      </c>
      <c r="E4269" s="637">
        <f t="shared" si="143"/>
        <v>0</v>
      </c>
    </row>
    <row r="4270" spans="1:5">
      <c r="A4270">
        <v>62713</v>
      </c>
      <c r="B4270">
        <v>1800</v>
      </c>
      <c r="C4270" s="455">
        <v>0</v>
      </c>
      <c r="D4270" s="637">
        <f t="shared" ref="D4270:D4333" si="144">(C4270/(MAX($C$3629:$C$4348)))*$W$10</f>
        <v>0</v>
      </c>
      <c r="E4270" s="637">
        <f t="shared" ref="E4270:E4333" si="145">(C4270/(MAX($C$3629:$C$4348)))*$P$10</f>
        <v>0</v>
      </c>
    </row>
    <row r="4271" spans="1:5">
      <c r="A4271">
        <v>62713</v>
      </c>
      <c r="B4271">
        <v>1900</v>
      </c>
      <c r="C4271" s="455">
        <v>0</v>
      </c>
      <c r="D4271" s="637">
        <f t="shared" si="144"/>
        <v>0</v>
      </c>
      <c r="E4271" s="637">
        <f t="shared" si="145"/>
        <v>0</v>
      </c>
    </row>
    <row r="4272" spans="1:5">
      <c r="A4272">
        <v>62713</v>
      </c>
      <c r="B4272">
        <v>2000</v>
      </c>
      <c r="C4272" s="455">
        <v>3.4689999999999999</v>
      </c>
      <c r="D4272" s="637">
        <f t="shared" si="144"/>
        <v>7.1981750000000009</v>
      </c>
      <c r="E4272" s="637">
        <f t="shared" si="145"/>
        <v>11.621150000000004</v>
      </c>
    </row>
    <row r="4273" spans="1:5">
      <c r="A4273">
        <v>62713</v>
      </c>
      <c r="B4273">
        <v>2100</v>
      </c>
      <c r="C4273" s="455">
        <v>10.723000000000001</v>
      </c>
      <c r="D4273" s="637">
        <f t="shared" si="144"/>
        <v>22.250225000000007</v>
      </c>
      <c r="E4273" s="637">
        <f t="shared" si="145"/>
        <v>35.92205000000002</v>
      </c>
    </row>
    <row r="4274" spans="1:5">
      <c r="A4274">
        <v>62713</v>
      </c>
      <c r="B4274">
        <v>2200</v>
      </c>
      <c r="C4274" s="455">
        <v>9.1760000000000002</v>
      </c>
      <c r="D4274" s="637">
        <f t="shared" si="144"/>
        <v>19.040200000000002</v>
      </c>
      <c r="E4274" s="637">
        <f t="shared" si="145"/>
        <v>30.73960000000001</v>
      </c>
    </row>
    <row r="4275" spans="1:5">
      <c r="A4275">
        <v>62713</v>
      </c>
      <c r="B4275">
        <v>2300</v>
      </c>
      <c r="C4275" s="455">
        <v>9.1549999999999994</v>
      </c>
      <c r="D4275" s="637">
        <f t="shared" si="144"/>
        <v>18.996625000000002</v>
      </c>
      <c r="E4275" s="637">
        <f t="shared" si="145"/>
        <v>30.669250000000009</v>
      </c>
    </row>
    <row r="4276" spans="1:5">
      <c r="A4276">
        <v>62713</v>
      </c>
      <c r="B4276">
        <v>2400</v>
      </c>
      <c r="C4276" s="455">
        <v>9.0630000000000006</v>
      </c>
      <c r="D4276" s="637">
        <f t="shared" si="144"/>
        <v>18.805725000000002</v>
      </c>
      <c r="E4276" s="637">
        <f t="shared" si="145"/>
        <v>30.361050000000013</v>
      </c>
    </row>
    <row r="4277" spans="1:5">
      <c r="A4277">
        <v>62813</v>
      </c>
      <c r="B4277">
        <v>100</v>
      </c>
      <c r="C4277" s="455">
        <v>9.109</v>
      </c>
      <c r="D4277" s="637">
        <f t="shared" si="144"/>
        <v>18.901175000000002</v>
      </c>
      <c r="E4277" s="637">
        <f t="shared" si="145"/>
        <v>30.515150000000013</v>
      </c>
    </row>
    <row r="4278" spans="1:5">
      <c r="A4278">
        <v>62813</v>
      </c>
      <c r="B4278">
        <v>200</v>
      </c>
      <c r="C4278" s="455">
        <v>9.5619999999999994</v>
      </c>
      <c r="D4278" s="637">
        <f t="shared" si="144"/>
        <v>19.841150000000003</v>
      </c>
      <c r="E4278" s="637">
        <f t="shared" si="145"/>
        <v>32.032700000000013</v>
      </c>
    </row>
    <row r="4279" spans="1:5">
      <c r="A4279">
        <v>62813</v>
      </c>
      <c r="B4279">
        <v>300</v>
      </c>
      <c r="C4279" s="455">
        <v>9.1489999999999991</v>
      </c>
      <c r="D4279" s="637">
        <f t="shared" si="144"/>
        <v>18.984175</v>
      </c>
      <c r="E4279" s="637">
        <f t="shared" si="145"/>
        <v>30.649150000000006</v>
      </c>
    </row>
    <row r="4280" spans="1:5">
      <c r="A4280">
        <v>62813</v>
      </c>
      <c r="B4280">
        <v>400</v>
      </c>
      <c r="C4280" s="455">
        <v>9.4149999999999991</v>
      </c>
      <c r="D4280" s="637">
        <f t="shared" si="144"/>
        <v>19.536125000000002</v>
      </c>
      <c r="E4280" s="637">
        <f t="shared" si="145"/>
        <v>31.540250000000007</v>
      </c>
    </row>
    <row r="4281" spans="1:5">
      <c r="A4281">
        <v>62813</v>
      </c>
      <c r="B4281">
        <v>500</v>
      </c>
      <c r="C4281" s="455">
        <v>10.448</v>
      </c>
      <c r="D4281" s="637">
        <f t="shared" si="144"/>
        <v>21.679600000000004</v>
      </c>
      <c r="E4281" s="637">
        <f t="shared" si="145"/>
        <v>35.000800000000012</v>
      </c>
    </row>
    <row r="4282" spans="1:5">
      <c r="A4282">
        <v>62813</v>
      </c>
      <c r="B4282">
        <v>600</v>
      </c>
      <c r="C4282" s="455">
        <v>4.2489999999999997</v>
      </c>
      <c r="D4282" s="637">
        <f t="shared" si="144"/>
        <v>8.816675</v>
      </c>
      <c r="E4282" s="637">
        <f t="shared" si="145"/>
        <v>14.234150000000003</v>
      </c>
    </row>
    <row r="4283" spans="1:5">
      <c r="A4283">
        <v>62813</v>
      </c>
      <c r="B4283">
        <v>700</v>
      </c>
      <c r="C4283" s="455">
        <v>0</v>
      </c>
      <c r="D4283" s="637">
        <f t="shared" si="144"/>
        <v>0</v>
      </c>
      <c r="E4283" s="637">
        <f t="shared" si="145"/>
        <v>0</v>
      </c>
    </row>
    <row r="4284" spans="1:5">
      <c r="A4284">
        <v>62813</v>
      </c>
      <c r="B4284">
        <v>800</v>
      </c>
      <c r="C4284" s="455">
        <v>1.806</v>
      </c>
      <c r="D4284" s="637">
        <f t="shared" si="144"/>
        <v>3.7474500000000011</v>
      </c>
      <c r="E4284" s="637">
        <f t="shared" si="145"/>
        <v>6.0501000000000031</v>
      </c>
    </row>
    <row r="4285" spans="1:5">
      <c r="A4285">
        <v>62813</v>
      </c>
      <c r="B4285">
        <v>900</v>
      </c>
      <c r="C4285" s="455">
        <v>0.86599999999999999</v>
      </c>
      <c r="D4285" s="637">
        <f t="shared" si="144"/>
        <v>1.79695</v>
      </c>
      <c r="E4285" s="637">
        <f t="shared" si="145"/>
        <v>2.9011000000000009</v>
      </c>
    </row>
    <row r="4286" spans="1:5">
      <c r="A4286">
        <v>62813</v>
      </c>
      <c r="B4286">
        <v>1000</v>
      </c>
      <c r="C4286" s="455">
        <v>0</v>
      </c>
      <c r="D4286" s="637">
        <f t="shared" si="144"/>
        <v>0</v>
      </c>
      <c r="E4286" s="637">
        <f t="shared" si="145"/>
        <v>0</v>
      </c>
    </row>
    <row r="4287" spans="1:5">
      <c r="A4287">
        <v>62813</v>
      </c>
      <c r="B4287">
        <v>1100</v>
      </c>
      <c r="C4287" s="455">
        <v>0</v>
      </c>
      <c r="D4287" s="637">
        <f t="shared" si="144"/>
        <v>0</v>
      </c>
      <c r="E4287" s="637">
        <f t="shared" si="145"/>
        <v>0</v>
      </c>
    </row>
    <row r="4288" spans="1:5">
      <c r="A4288">
        <v>62813</v>
      </c>
      <c r="B4288">
        <v>1200</v>
      </c>
      <c r="C4288" s="455">
        <v>0</v>
      </c>
      <c r="D4288" s="637">
        <f t="shared" si="144"/>
        <v>0</v>
      </c>
      <c r="E4288" s="637">
        <f t="shared" si="145"/>
        <v>0</v>
      </c>
    </row>
    <row r="4289" spans="1:5">
      <c r="A4289">
        <v>62813</v>
      </c>
      <c r="B4289">
        <v>1300</v>
      </c>
      <c r="C4289" s="455">
        <v>0</v>
      </c>
      <c r="D4289" s="637">
        <f t="shared" si="144"/>
        <v>0</v>
      </c>
      <c r="E4289" s="637">
        <f t="shared" si="145"/>
        <v>0</v>
      </c>
    </row>
    <row r="4290" spans="1:5">
      <c r="A4290">
        <v>62813</v>
      </c>
      <c r="B4290">
        <v>1400</v>
      </c>
      <c r="C4290" s="455">
        <v>0</v>
      </c>
      <c r="D4290" s="637">
        <f t="shared" si="144"/>
        <v>0</v>
      </c>
      <c r="E4290" s="637">
        <f t="shared" si="145"/>
        <v>0</v>
      </c>
    </row>
    <row r="4291" spans="1:5">
      <c r="A4291">
        <v>62813</v>
      </c>
      <c r="B4291">
        <v>1500</v>
      </c>
      <c r="C4291" s="455">
        <v>0</v>
      </c>
      <c r="D4291" s="637">
        <f t="shared" si="144"/>
        <v>0</v>
      </c>
      <c r="E4291" s="637">
        <f t="shared" si="145"/>
        <v>0</v>
      </c>
    </row>
    <row r="4292" spans="1:5">
      <c r="A4292">
        <v>62813</v>
      </c>
      <c r="B4292">
        <v>1600</v>
      </c>
      <c r="C4292" s="455">
        <v>0</v>
      </c>
      <c r="D4292" s="637">
        <f t="shared" si="144"/>
        <v>0</v>
      </c>
      <c r="E4292" s="637">
        <f t="shared" si="145"/>
        <v>0</v>
      </c>
    </row>
    <row r="4293" spans="1:5">
      <c r="A4293">
        <v>62813</v>
      </c>
      <c r="B4293">
        <v>1700</v>
      </c>
      <c r="C4293" s="455">
        <v>0</v>
      </c>
      <c r="D4293" s="637">
        <f t="shared" si="144"/>
        <v>0</v>
      </c>
      <c r="E4293" s="637">
        <f t="shared" si="145"/>
        <v>0</v>
      </c>
    </row>
    <row r="4294" spans="1:5">
      <c r="A4294">
        <v>62813</v>
      </c>
      <c r="B4294">
        <v>1800</v>
      </c>
      <c r="C4294" s="455">
        <v>1.2999999999999999E-2</v>
      </c>
      <c r="D4294" s="637">
        <f t="shared" si="144"/>
        <v>2.6975000000000006E-2</v>
      </c>
      <c r="E4294" s="637">
        <f t="shared" si="145"/>
        <v>4.3550000000000019E-2</v>
      </c>
    </row>
    <row r="4295" spans="1:5">
      <c r="A4295">
        <v>62813</v>
      </c>
      <c r="B4295">
        <v>1900</v>
      </c>
      <c r="C4295" s="455">
        <v>3.6999999999999998E-2</v>
      </c>
      <c r="D4295" s="637">
        <f t="shared" si="144"/>
        <v>7.677500000000001E-2</v>
      </c>
      <c r="E4295" s="637">
        <f t="shared" si="145"/>
        <v>0.12395000000000005</v>
      </c>
    </row>
    <row r="4296" spans="1:5">
      <c r="A4296">
        <v>62813</v>
      </c>
      <c r="B4296">
        <v>2000</v>
      </c>
      <c r="C4296" s="455">
        <v>6.0330000000000004</v>
      </c>
      <c r="D4296" s="637">
        <f t="shared" si="144"/>
        <v>12.518475000000002</v>
      </c>
      <c r="E4296" s="637">
        <f t="shared" si="145"/>
        <v>20.210550000000008</v>
      </c>
    </row>
    <row r="4297" spans="1:5">
      <c r="A4297">
        <v>62813</v>
      </c>
      <c r="B4297">
        <v>2100</v>
      </c>
      <c r="C4297" s="455">
        <v>9.7959999999999994</v>
      </c>
      <c r="D4297" s="637">
        <f t="shared" si="144"/>
        <v>20.326700000000002</v>
      </c>
      <c r="E4297" s="637">
        <f t="shared" si="145"/>
        <v>32.816600000000008</v>
      </c>
    </row>
    <row r="4298" spans="1:5">
      <c r="A4298">
        <v>62813</v>
      </c>
      <c r="B4298">
        <v>2200</v>
      </c>
      <c r="C4298" s="455">
        <v>9.0289999999999999</v>
      </c>
      <c r="D4298" s="637">
        <f t="shared" si="144"/>
        <v>18.735175000000002</v>
      </c>
      <c r="E4298" s="637">
        <f t="shared" si="145"/>
        <v>30.247150000000008</v>
      </c>
    </row>
    <row r="4299" spans="1:5">
      <c r="A4299">
        <v>62813</v>
      </c>
      <c r="B4299">
        <v>2300</v>
      </c>
      <c r="C4299" s="455">
        <v>9.1880000000000006</v>
      </c>
      <c r="D4299" s="637">
        <f t="shared" si="144"/>
        <v>19.065100000000005</v>
      </c>
      <c r="E4299" s="637">
        <f t="shared" si="145"/>
        <v>30.779800000000012</v>
      </c>
    </row>
    <row r="4300" spans="1:5">
      <c r="A4300">
        <v>62813</v>
      </c>
      <c r="B4300">
        <v>2400</v>
      </c>
      <c r="C4300" s="455">
        <v>9.0830000000000002</v>
      </c>
      <c r="D4300" s="637">
        <f t="shared" si="144"/>
        <v>18.847225000000005</v>
      </c>
      <c r="E4300" s="637">
        <f t="shared" si="145"/>
        <v>30.428050000000013</v>
      </c>
    </row>
    <row r="4301" spans="1:5">
      <c r="A4301">
        <v>62913</v>
      </c>
      <c r="B4301">
        <v>100</v>
      </c>
      <c r="C4301" s="455">
        <v>9.17</v>
      </c>
      <c r="D4301" s="637">
        <f t="shared" si="144"/>
        <v>19.027750000000005</v>
      </c>
      <c r="E4301" s="637">
        <f t="shared" si="145"/>
        <v>30.719500000000014</v>
      </c>
    </row>
    <row r="4302" spans="1:5">
      <c r="A4302">
        <v>62913</v>
      </c>
      <c r="B4302">
        <v>200</v>
      </c>
      <c r="C4302" s="455">
        <v>9.1549999999999994</v>
      </c>
      <c r="D4302" s="637">
        <f t="shared" si="144"/>
        <v>18.996625000000002</v>
      </c>
      <c r="E4302" s="637">
        <f t="shared" si="145"/>
        <v>30.669250000000009</v>
      </c>
    </row>
    <row r="4303" spans="1:5">
      <c r="A4303">
        <v>62913</v>
      </c>
      <c r="B4303">
        <v>300</v>
      </c>
      <c r="C4303" s="455">
        <v>9.0850000000000009</v>
      </c>
      <c r="D4303" s="637">
        <f t="shared" si="144"/>
        <v>18.851375000000004</v>
      </c>
      <c r="E4303" s="637">
        <f t="shared" si="145"/>
        <v>30.434750000000012</v>
      </c>
    </row>
    <row r="4304" spans="1:5">
      <c r="A4304">
        <v>62913</v>
      </c>
      <c r="B4304">
        <v>400</v>
      </c>
      <c r="C4304" s="455">
        <v>9.2309999999999999</v>
      </c>
      <c r="D4304" s="637">
        <f t="shared" si="144"/>
        <v>19.154325000000004</v>
      </c>
      <c r="E4304" s="637">
        <f t="shared" si="145"/>
        <v>30.923850000000009</v>
      </c>
    </row>
    <row r="4305" spans="1:5">
      <c r="A4305">
        <v>62913</v>
      </c>
      <c r="B4305">
        <v>500</v>
      </c>
      <c r="C4305" s="455">
        <v>10.193</v>
      </c>
      <c r="D4305" s="637">
        <f t="shared" si="144"/>
        <v>21.150475</v>
      </c>
      <c r="E4305" s="637">
        <f t="shared" si="145"/>
        <v>34.146550000000012</v>
      </c>
    </row>
    <row r="4306" spans="1:5">
      <c r="A4306">
        <v>62913</v>
      </c>
      <c r="B4306">
        <v>600</v>
      </c>
      <c r="C4306" s="455">
        <v>3.601</v>
      </c>
      <c r="D4306" s="637">
        <f t="shared" si="144"/>
        <v>7.4720750000000011</v>
      </c>
      <c r="E4306" s="637">
        <f t="shared" si="145"/>
        <v>12.063350000000005</v>
      </c>
    </row>
    <row r="4307" spans="1:5">
      <c r="A4307">
        <v>62913</v>
      </c>
      <c r="B4307">
        <v>700</v>
      </c>
      <c r="C4307" s="455">
        <v>0</v>
      </c>
      <c r="D4307" s="637">
        <f t="shared" si="144"/>
        <v>0</v>
      </c>
      <c r="E4307" s="637">
        <f t="shared" si="145"/>
        <v>0</v>
      </c>
    </row>
    <row r="4308" spans="1:5">
      <c r="A4308">
        <v>62913</v>
      </c>
      <c r="B4308">
        <v>800</v>
      </c>
      <c r="C4308" s="455">
        <v>0.216</v>
      </c>
      <c r="D4308" s="637">
        <f t="shared" si="144"/>
        <v>0.44820000000000004</v>
      </c>
      <c r="E4308" s="637">
        <f t="shared" si="145"/>
        <v>0.72360000000000024</v>
      </c>
    </row>
    <row r="4309" spans="1:5">
      <c r="A4309">
        <v>62913</v>
      </c>
      <c r="B4309">
        <v>900</v>
      </c>
      <c r="C4309" s="455">
        <v>0</v>
      </c>
      <c r="D4309" s="637">
        <f t="shared" si="144"/>
        <v>0</v>
      </c>
      <c r="E4309" s="637">
        <f t="shared" si="145"/>
        <v>0</v>
      </c>
    </row>
    <row r="4310" spans="1:5">
      <c r="A4310">
        <v>62913</v>
      </c>
      <c r="B4310">
        <v>1000</v>
      </c>
      <c r="C4310" s="455">
        <v>1E-3</v>
      </c>
      <c r="D4310" s="637">
        <f t="shared" si="144"/>
        <v>2.0750000000000005E-3</v>
      </c>
      <c r="E4310" s="637">
        <f t="shared" si="145"/>
        <v>3.3500000000000014E-3</v>
      </c>
    </row>
    <row r="4311" spans="1:5">
      <c r="A4311">
        <v>62913</v>
      </c>
      <c r="B4311">
        <v>1100</v>
      </c>
      <c r="C4311" s="455">
        <v>0</v>
      </c>
      <c r="D4311" s="637">
        <f t="shared" si="144"/>
        <v>0</v>
      </c>
      <c r="E4311" s="637">
        <f t="shared" si="145"/>
        <v>0</v>
      </c>
    </row>
    <row r="4312" spans="1:5">
      <c r="A4312">
        <v>62913</v>
      </c>
      <c r="B4312">
        <v>1200</v>
      </c>
      <c r="C4312" s="455">
        <v>0</v>
      </c>
      <c r="D4312" s="637">
        <f t="shared" si="144"/>
        <v>0</v>
      </c>
      <c r="E4312" s="637">
        <f t="shared" si="145"/>
        <v>0</v>
      </c>
    </row>
    <row r="4313" spans="1:5">
      <c r="A4313">
        <v>62913</v>
      </c>
      <c r="B4313">
        <v>1300</v>
      </c>
      <c r="C4313" s="455">
        <v>0</v>
      </c>
      <c r="D4313" s="637">
        <f t="shared" si="144"/>
        <v>0</v>
      </c>
      <c r="E4313" s="637">
        <f t="shared" si="145"/>
        <v>0</v>
      </c>
    </row>
    <row r="4314" spans="1:5">
      <c r="A4314">
        <v>62913</v>
      </c>
      <c r="B4314">
        <v>1400</v>
      </c>
      <c r="C4314" s="455">
        <v>0</v>
      </c>
      <c r="D4314" s="637">
        <f t="shared" si="144"/>
        <v>0</v>
      </c>
      <c r="E4314" s="637">
        <f t="shared" si="145"/>
        <v>0</v>
      </c>
    </row>
    <row r="4315" spans="1:5">
      <c r="A4315">
        <v>62913</v>
      </c>
      <c r="B4315">
        <v>1500</v>
      </c>
      <c r="C4315" s="455">
        <v>0</v>
      </c>
      <c r="D4315" s="637">
        <f t="shared" si="144"/>
        <v>0</v>
      </c>
      <c r="E4315" s="637">
        <f t="shared" si="145"/>
        <v>0</v>
      </c>
    </row>
    <row r="4316" spans="1:5">
      <c r="A4316">
        <v>62913</v>
      </c>
      <c r="B4316">
        <v>1600</v>
      </c>
      <c r="C4316" s="455">
        <v>0</v>
      </c>
      <c r="D4316" s="637">
        <f t="shared" si="144"/>
        <v>0</v>
      </c>
      <c r="E4316" s="637">
        <f t="shared" si="145"/>
        <v>0</v>
      </c>
    </row>
    <row r="4317" spans="1:5">
      <c r="A4317">
        <v>62913</v>
      </c>
      <c r="B4317">
        <v>1700</v>
      </c>
      <c r="C4317" s="455">
        <v>0</v>
      </c>
      <c r="D4317" s="637">
        <f t="shared" si="144"/>
        <v>0</v>
      </c>
      <c r="E4317" s="637">
        <f t="shared" si="145"/>
        <v>0</v>
      </c>
    </row>
    <row r="4318" spans="1:5">
      <c r="A4318">
        <v>62913</v>
      </c>
      <c r="B4318">
        <v>1800</v>
      </c>
      <c r="C4318" s="455">
        <v>7.1999999999999995E-2</v>
      </c>
      <c r="D4318" s="637">
        <f t="shared" si="144"/>
        <v>0.14940000000000001</v>
      </c>
      <c r="E4318" s="637">
        <f t="shared" si="145"/>
        <v>0.24120000000000005</v>
      </c>
    </row>
    <row r="4319" spans="1:5">
      <c r="A4319">
        <v>62913</v>
      </c>
      <c r="B4319">
        <v>1900</v>
      </c>
      <c r="C4319" s="455">
        <v>0</v>
      </c>
      <c r="D4319" s="637">
        <f t="shared" si="144"/>
        <v>0</v>
      </c>
      <c r="E4319" s="637">
        <f t="shared" si="145"/>
        <v>0</v>
      </c>
    </row>
    <row r="4320" spans="1:5">
      <c r="A4320">
        <v>62913</v>
      </c>
      <c r="B4320">
        <v>2000</v>
      </c>
      <c r="C4320" s="455">
        <v>3.3889999999999998</v>
      </c>
      <c r="D4320" s="637">
        <f t="shared" si="144"/>
        <v>7.0321750000000005</v>
      </c>
      <c r="E4320" s="637">
        <f t="shared" si="145"/>
        <v>11.353150000000005</v>
      </c>
    </row>
    <row r="4321" spans="1:5">
      <c r="A4321">
        <v>62913</v>
      </c>
      <c r="B4321">
        <v>2100</v>
      </c>
      <c r="C4321" s="455">
        <v>11.481999999999999</v>
      </c>
      <c r="D4321" s="637">
        <f t="shared" si="144"/>
        <v>23.825150000000001</v>
      </c>
      <c r="E4321" s="637">
        <f t="shared" si="145"/>
        <v>38.464700000000015</v>
      </c>
    </row>
    <row r="4322" spans="1:5">
      <c r="A4322">
        <v>62913</v>
      </c>
      <c r="B4322">
        <v>2200</v>
      </c>
      <c r="C4322" s="455">
        <v>9.31</v>
      </c>
      <c r="D4322" s="637">
        <f t="shared" si="144"/>
        <v>19.318250000000003</v>
      </c>
      <c r="E4322" s="637">
        <f t="shared" si="145"/>
        <v>31.188500000000012</v>
      </c>
    </row>
    <row r="4323" spans="1:5">
      <c r="A4323">
        <v>62913</v>
      </c>
      <c r="B4323">
        <v>2300</v>
      </c>
      <c r="C4323" s="455">
        <v>8.9359999999999999</v>
      </c>
      <c r="D4323" s="637">
        <f t="shared" si="144"/>
        <v>18.542200000000001</v>
      </c>
      <c r="E4323" s="637">
        <f t="shared" si="145"/>
        <v>29.935600000000012</v>
      </c>
    </row>
    <row r="4324" spans="1:5">
      <c r="A4324">
        <v>62913</v>
      </c>
      <c r="B4324">
        <v>2400</v>
      </c>
      <c r="C4324" s="455">
        <v>9.0890000000000004</v>
      </c>
      <c r="D4324" s="637">
        <f t="shared" si="144"/>
        <v>18.859675000000003</v>
      </c>
      <c r="E4324" s="637">
        <f t="shared" si="145"/>
        <v>30.448150000000009</v>
      </c>
    </row>
    <row r="4325" spans="1:5">
      <c r="A4325">
        <v>63013</v>
      </c>
      <c r="B4325">
        <v>100</v>
      </c>
      <c r="C4325" s="455">
        <v>9.093</v>
      </c>
      <c r="D4325" s="637">
        <f t="shared" si="144"/>
        <v>18.867975000000005</v>
      </c>
      <c r="E4325" s="637">
        <f t="shared" si="145"/>
        <v>30.461550000000013</v>
      </c>
    </row>
    <row r="4326" spans="1:5">
      <c r="A4326">
        <v>63013</v>
      </c>
      <c r="B4326">
        <v>200</v>
      </c>
      <c r="C4326" s="455">
        <v>9.3610000000000007</v>
      </c>
      <c r="D4326" s="637">
        <f t="shared" si="144"/>
        <v>19.424075000000006</v>
      </c>
      <c r="E4326" s="637">
        <f t="shared" si="145"/>
        <v>31.359350000000013</v>
      </c>
    </row>
    <row r="4327" spans="1:5">
      <c r="A4327">
        <v>63013</v>
      </c>
      <c r="B4327">
        <v>300</v>
      </c>
      <c r="C4327" s="455">
        <v>8.9849999999999994</v>
      </c>
      <c r="D4327" s="637">
        <f t="shared" si="144"/>
        <v>18.643875000000001</v>
      </c>
      <c r="E4327" s="637">
        <f t="shared" si="145"/>
        <v>30.099750000000011</v>
      </c>
    </row>
    <row r="4328" spans="1:5">
      <c r="A4328">
        <v>63013</v>
      </c>
      <c r="B4328">
        <v>400</v>
      </c>
      <c r="C4328" s="455">
        <v>9.6379999999999999</v>
      </c>
      <c r="D4328" s="637">
        <f t="shared" si="144"/>
        <v>19.998850000000001</v>
      </c>
      <c r="E4328" s="637">
        <f t="shared" si="145"/>
        <v>32.287300000000009</v>
      </c>
    </row>
    <row r="4329" spans="1:5">
      <c r="A4329">
        <v>63013</v>
      </c>
      <c r="B4329">
        <v>500</v>
      </c>
      <c r="C4329" s="455">
        <v>10.029999999999999</v>
      </c>
      <c r="D4329" s="637">
        <f t="shared" si="144"/>
        <v>20.812250000000002</v>
      </c>
      <c r="E4329" s="637">
        <f t="shared" si="145"/>
        <v>33.600500000000011</v>
      </c>
    </row>
    <row r="4330" spans="1:5">
      <c r="A4330">
        <v>63013</v>
      </c>
      <c r="B4330">
        <v>600</v>
      </c>
      <c r="C4330" s="455">
        <v>1.1200000000000001</v>
      </c>
      <c r="D4330" s="637">
        <f t="shared" si="144"/>
        <v>2.3240000000000003</v>
      </c>
      <c r="E4330" s="637">
        <f t="shared" si="145"/>
        <v>3.7520000000000016</v>
      </c>
    </row>
    <row r="4331" spans="1:5">
      <c r="A4331">
        <v>63013</v>
      </c>
      <c r="B4331">
        <v>700</v>
      </c>
      <c r="C4331" s="455">
        <v>1.08</v>
      </c>
      <c r="D4331" s="637">
        <f t="shared" si="144"/>
        <v>2.2410000000000005</v>
      </c>
      <c r="E4331" s="637">
        <f t="shared" si="145"/>
        <v>3.6180000000000017</v>
      </c>
    </row>
    <row r="4332" spans="1:5">
      <c r="A4332">
        <v>63013</v>
      </c>
      <c r="B4332">
        <v>800</v>
      </c>
      <c r="C4332" s="455">
        <v>1.0089999999999999</v>
      </c>
      <c r="D4332" s="637">
        <f t="shared" si="144"/>
        <v>2.0936750000000002</v>
      </c>
      <c r="E4332" s="637">
        <f t="shared" si="145"/>
        <v>3.3801500000000009</v>
      </c>
    </row>
    <row r="4333" spans="1:5">
      <c r="A4333">
        <v>63013</v>
      </c>
      <c r="B4333">
        <v>900</v>
      </c>
      <c r="C4333" s="455">
        <v>1.08</v>
      </c>
      <c r="D4333" s="637">
        <f t="shared" si="144"/>
        <v>2.2410000000000005</v>
      </c>
      <c r="E4333" s="637">
        <f t="shared" si="145"/>
        <v>3.6180000000000017</v>
      </c>
    </row>
    <row r="4334" spans="1:5">
      <c r="A4334">
        <v>63013</v>
      </c>
      <c r="B4334">
        <v>1000</v>
      </c>
      <c r="C4334" s="455">
        <v>1.008</v>
      </c>
      <c r="D4334" s="637">
        <f t="shared" ref="D4334:D4348" si="146">(C4334/(MAX($C$3629:$C$4348)))*$W$10</f>
        <v>2.0916000000000001</v>
      </c>
      <c r="E4334" s="637">
        <f t="shared" ref="E4334:E4348" si="147">(C4334/(MAX($C$3629:$C$4348)))*$P$10</f>
        <v>3.3768000000000011</v>
      </c>
    </row>
    <row r="4335" spans="1:5">
      <c r="A4335">
        <v>63013</v>
      </c>
      <c r="B4335">
        <v>1100</v>
      </c>
      <c r="C4335" s="455">
        <v>0.44400000000000001</v>
      </c>
      <c r="D4335" s="637">
        <f t="shared" si="146"/>
        <v>0.92130000000000012</v>
      </c>
      <c r="E4335" s="637">
        <f t="shared" si="147"/>
        <v>1.4874000000000005</v>
      </c>
    </row>
    <row r="4336" spans="1:5">
      <c r="A4336">
        <v>63013</v>
      </c>
      <c r="B4336">
        <v>1200</v>
      </c>
      <c r="C4336" s="455">
        <v>0</v>
      </c>
      <c r="D4336" s="637">
        <f t="shared" si="146"/>
        <v>0</v>
      </c>
      <c r="E4336" s="637">
        <f t="shared" si="147"/>
        <v>0</v>
      </c>
    </row>
    <row r="4337" spans="1:5">
      <c r="A4337">
        <v>63013</v>
      </c>
      <c r="B4337">
        <v>1300</v>
      </c>
      <c r="C4337" s="455">
        <v>0</v>
      </c>
      <c r="D4337" s="637">
        <f t="shared" si="146"/>
        <v>0</v>
      </c>
      <c r="E4337" s="637">
        <f t="shared" si="147"/>
        <v>0</v>
      </c>
    </row>
    <row r="4338" spans="1:5">
      <c r="A4338">
        <v>63013</v>
      </c>
      <c r="B4338">
        <v>1400</v>
      </c>
      <c r="C4338" s="455">
        <v>0</v>
      </c>
      <c r="D4338" s="637">
        <f t="shared" si="146"/>
        <v>0</v>
      </c>
      <c r="E4338" s="637">
        <f t="shared" si="147"/>
        <v>0</v>
      </c>
    </row>
    <row r="4339" spans="1:5">
      <c r="A4339">
        <v>63013</v>
      </c>
      <c r="B4339">
        <v>1500</v>
      </c>
      <c r="C4339" s="455">
        <v>0</v>
      </c>
      <c r="D4339" s="637">
        <f t="shared" si="146"/>
        <v>0</v>
      </c>
      <c r="E4339" s="637">
        <f t="shared" si="147"/>
        <v>0</v>
      </c>
    </row>
    <row r="4340" spans="1:5">
      <c r="A4340">
        <v>63013</v>
      </c>
      <c r="B4340">
        <v>1600</v>
      </c>
      <c r="C4340" s="455">
        <v>0</v>
      </c>
      <c r="D4340" s="637">
        <f t="shared" si="146"/>
        <v>0</v>
      </c>
      <c r="E4340" s="637">
        <f t="shared" si="147"/>
        <v>0</v>
      </c>
    </row>
    <row r="4341" spans="1:5">
      <c r="A4341">
        <v>63013</v>
      </c>
      <c r="B4341">
        <v>1700</v>
      </c>
      <c r="C4341" s="455">
        <v>0</v>
      </c>
      <c r="D4341" s="637">
        <f t="shared" si="146"/>
        <v>0</v>
      </c>
      <c r="E4341" s="637">
        <f t="shared" si="147"/>
        <v>0</v>
      </c>
    </row>
    <row r="4342" spans="1:5">
      <c r="A4342">
        <v>63013</v>
      </c>
      <c r="B4342">
        <v>1800</v>
      </c>
      <c r="C4342" s="455">
        <v>0</v>
      </c>
      <c r="D4342" s="637">
        <f t="shared" si="146"/>
        <v>0</v>
      </c>
      <c r="E4342" s="637">
        <f t="shared" si="147"/>
        <v>0</v>
      </c>
    </row>
    <row r="4343" spans="1:5">
      <c r="A4343">
        <v>63013</v>
      </c>
      <c r="B4343">
        <v>1900</v>
      </c>
      <c r="C4343" s="455">
        <v>0</v>
      </c>
      <c r="D4343" s="637">
        <f t="shared" si="146"/>
        <v>0</v>
      </c>
      <c r="E4343" s="637">
        <f t="shared" si="147"/>
        <v>0</v>
      </c>
    </row>
    <row r="4344" spans="1:5">
      <c r="A4344">
        <v>63013</v>
      </c>
      <c r="B4344">
        <v>2000</v>
      </c>
      <c r="C4344" s="455">
        <v>1.06</v>
      </c>
      <c r="D4344" s="637">
        <f t="shared" si="146"/>
        <v>2.1995000000000005</v>
      </c>
      <c r="E4344" s="637">
        <f t="shared" si="147"/>
        <v>3.5510000000000015</v>
      </c>
    </row>
    <row r="4345" spans="1:5">
      <c r="A4345">
        <v>63013</v>
      </c>
      <c r="B4345">
        <v>2100</v>
      </c>
      <c r="C4345" s="455">
        <v>11.768000000000001</v>
      </c>
      <c r="D4345" s="637">
        <f t="shared" si="146"/>
        <v>24.418600000000005</v>
      </c>
      <c r="E4345" s="637">
        <f t="shared" si="147"/>
        <v>39.422800000000016</v>
      </c>
    </row>
    <row r="4346" spans="1:5">
      <c r="A4346">
        <v>63013</v>
      </c>
      <c r="B4346">
        <v>2200</v>
      </c>
      <c r="C4346" s="455">
        <v>9.0679999999999996</v>
      </c>
      <c r="D4346" s="637">
        <f t="shared" si="146"/>
        <v>18.816100000000002</v>
      </c>
      <c r="E4346" s="637">
        <f t="shared" si="147"/>
        <v>30.377800000000011</v>
      </c>
    </row>
    <row r="4347" spans="1:5">
      <c r="A4347">
        <v>63013</v>
      </c>
      <c r="B4347">
        <v>2300</v>
      </c>
      <c r="C4347" s="455">
        <v>8.9390000000000001</v>
      </c>
      <c r="D4347" s="637">
        <f t="shared" si="146"/>
        <v>18.548425000000002</v>
      </c>
      <c r="E4347" s="637">
        <f t="shared" si="147"/>
        <v>29.945650000000011</v>
      </c>
    </row>
    <row r="4348" spans="1:5">
      <c r="A4348" s="647">
        <v>63013</v>
      </c>
      <c r="B4348" s="647">
        <v>2400</v>
      </c>
      <c r="C4348" s="648">
        <v>9.0730000000000004</v>
      </c>
      <c r="D4348" s="637">
        <f t="shared" si="146"/>
        <v>18.826475000000002</v>
      </c>
      <c r="E4348" s="645">
        <f t="shared" si="147"/>
        <v>30.394550000000013</v>
      </c>
    </row>
    <row r="4349" spans="1:5">
      <c r="A4349">
        <v>70113</v>
      </c>
      <c r="B4349">
        <v>100</v>
      </c>
      <c r="C4349" s="455">
        <v>9.2759999999999998</v>
      </c>
      <c r="D4349" s="637">
        <f>(C4349/(MAX($C$4349:$C$5092)))*$W$11</f>
        <v>19.693095238095243</v>
      </c>
      <c r="E4349" s="637">
        <f>(C4349/(MAX($C$4349:$C$5092)))*$P$11</f>
        <v>30.110190476190493</v>
      </c>
    </row>
    <row r="4350" spans="1:5">
      <c r="A4350">
        <v>70113</v>
      </c>
      <c r="B4350">
        <v>200</v>
      </c>
      <c r="C4350" s="455">
        <v>9.2309999999999999</v>
      </c>
      <c r="D4350" s="637">
        <f t="shared" ref="D4350:D4413" si="148">(C4350/(MAX($C$4349:$C$5092)))*$W$11</f>
        <v>19.597559523809529</v>
      </c>
      <c r="E4350" s="637">
        <f t="shared" ref="E4350:E4413" si="149">(C4350/(MAX($C$4349:$C$5092)))*$P$11</f>
        <v>29.964119047619061</v>
      </c>
    </row>
    <row r="4351" spans="1:5">
      <c r="A4351">
        <v>70113</v>
      </c>
      <c r="B4351">
        <v>300</v>
      </c>
      <c r="C4351" s="455">
        <v>9.0050000000000008</v>
      </c>
      <c r="D4351" s="637">
        <f t="shared" si="148"/>
        <v>19.117757936507946</v>
      </c>
      <c r="E4351" s="637">
        <f t="shared" si="149"/>
        <v>29.230515873015889</v>
      </c>
    </row>
    <row r="4352" spans="1:5">
      <c r="A4352">
        <v>70113</v>
      </c>
      <c r="B4352">
        <v>400</v>
      </c>
      <c r="C4352" s="455">
        <v>8.9749999999999996</v>
      </c>
      <c r="D4352" s="637">
        <f t="shared" si="148"/>
        <v>19.054067460317466</v>
      </c>
      <c r="E4352" s="637">
        <f t="shared" si="149"/>
        <v>29.133134920634934</v>
      </c>
    </row>
    <row r="4353" spans="1:5">
      <c r="A4353">
        <v>70113</v>
      </c>
      <c r="B4353">
        <v>500</v>
      </c>
      <c r="C4353" s="455">
        <v>10.182</v>
      </c>
      <c r="D4353" s="637">
        <f t="shared" si="148"/>
        <v>21.616547619047626</v>
      </c>
      <c r="E4353" s="637">
        <f t="shared" si="149"/>
        <v>33.051095238095257</v>
      </c>
    </row>
    <row r="4354" spans="1:5">
      <c r="A4354">
        <v>70113</v>
      </c>
      <c r="B4354">
        <v>600</v>
      </c>
      <c r="C4354" s="455">
        <v>0.39800000000000002</v>
      </c>
      <c r="D4354" s="637">
        <f t="shared" si="148"/>
        <v>0.84496031746031763</v>
      </c>
      <c r="E4354" s="637">
        <f t="shared" si="149"/>
        <v>1.2919206349206356</v>
      </c>
    </row>
    <row r="4355" spans="1:5">
      <c r="A4355">
        <v>70113</v>
      </c>
      <c r="B4355">
        <v>700</v>
      </c>
      <c r="C4355" s="455">
        <v>0</v>
      </c>
      <c r="D4355" s="637">
        <f t="shared" si="148"/>
        <v>0</v>
      </c>
      <c r="E4355" s="637">
        <f t="shared" si="149"/>
        <v>0</v>
      </c>
    </row>
    <row r="4356" spans="1:5">
      <c r="A4356">
        <v>70113</v>
      </c>
      <c r="B4356">
        <v>800</v>
      </c>
      <c r="C4356" s="455">
        <v>0</v>
      </c>
      <c r="D4356" s="637">
        <f t="shared" si="148"/>
        <v>0</v>
      </c>
      <c r="E4356" s="637">
        <f t="shared" si="149"/>
        <v>0</v>
      </c>
    </row>
    <row r="4357" spans="1:5">
      <c r="A4357">
        <v>70113</v>
      </c>
      <c r="B4357">
        <v>900</v>
      </c>
      <c r="C4357" s="455">
        <v>1E-3</v>
      </c>
      <c r="D4357" s="637">
        <f t="shared" si="148"/>
        <v>2.1230158730158734E-3</v>
      </c>
      <c r="E4357" s="637">
        <f t="shared" si="149"/>
        <v>3.2460317460317476E-3</v>
      </c>
    </row>
    <row r="4358" spans="1:5">
      <c r="A4358">
        <v>70113</v>
      </c>
      <c r="B4358">
        <v>1000</v>
      </c>
      <c r="C4358" s="455">
        <v>0</v>
      </c>
      <c r="D4358" s="637">
        <f t="shared" si="148"/>
        <v>0</v>
      </c>
      <c r="E4358" s="637">
        <f t="shared" si="149"/>
        <v>0</v>
      </c>
    </row>
    <row r="4359" spans="1:5">
      <c r="A4359">
        <v>70113</v>
      </c>
      <c r="B4359">
        <v>1100</v>
      </c>
      <c r="C4359" s="455">
        <v>0</v>
      </c>
      <c r="D4359" s="637">
        <f t="shared" si="148"/>
        <v>0</v>
      </c>
      <c r="E4359" s="637">
        <f t="shared" si="149"/>
        <v>0</v>
      </c>
    </row>
    <row r="4360" spans="1:5">
      <c r="A4360">
        <v>70113</v>
      </c>
      <c r="B4360">
        <v>1200</v>
      </c>
      <c r="C4360" s="455">
        <v>0</v>
      </c>
      <c r="D4360" s="637">
        <f t="shared" si="148"/>
        <v>0</v>
      </c>
      <c r="E4360" s="637">
        <f t="shared" si="149"/>
        <v>0</v>
      </c>
    </row>
    <row r="4361" spans="1:5">
      <c r="A4361">
        <v>70113</v>
      </c>
      <c r="B4361">
        <v>1300</v>
      </c>
      <c r="C4361" s="455">
        <v>0</v>
      </c>
      <c r="D4361" s="637">
        <f t="shared" si="148"/>
        <v>0</v>
      </c>
      <c r="E4361" s="637">
        <f t="shared" si="149"/>
        <v>0</v>
      </c>
    </row>
    <row r="4362" spans="1:5">
      <c r="A4362">
        <v>70113</v>
      </c>
      <c r="B4362">
        <v>1400</v>
      </c>
      <c r="C4362" s="455">
        <v>0</v>
      </c>
      <c r="D4362" s="637">
        <f t="shared" si="148"/>
        <v>0</v>
      </c>
      <c r="E4362" s="637">
        <f t="shared" si="149"/>
        <v>0</v>
      </c>
    </row>
    <row r="4363" spans="1:5">
      <c r="A4363">
        <v>70113</v>
      </c>
      <c r="B4363">
        <v>1500</v>
      </c>
      <c r="C4363" s="455">
        <v>0</v>
      </c>
      <c r="D4363" s="637">
        <f t="shared" si="148"/>
        <v>0</v>
      </c>
      <c r="E4363" s="637">
        <f t="shared" si="149"/>
        <v>0</v>
      </c>
    </row>
    <row r="4364" spans="1:5">
      <c r="A4364">
        <v>70113</v>
      </c>
      <c r="B4364">
        <v>1600</v>
      </c>
      <c r="C4364" s="455">
        <v>0</v>
      </c>
      <c r="D4364" s="637">
        <f t="shared" si="148"/>
        <v>0</v>
      </c>
      <c r="E4364" s="637">
        <f t="shared" si="149"/>
        <v>0</v>
      </c>
    </row>
    <row r="4365" spans="1:5">
      <c r="A4365">
        <v>70113</v>
      </c>
      <c r="B4365">
        <v>1700</v>
      </c>
      <c r="C4365" s="455">
        <v>0</v>
      </c>
      <c r="D4365" s="637">
        <f t="shared" si="148"/>
        <v>0</v>
      </c>
      <c r="E4365" s="637">
        <f t="shared" si="149"/>
        <v>0</v>
      </c>
    </row>
    <row r="4366" spans="1:5">
      <c r="A4366">
        <v>70113</v>
      </c>
      <c r="B4366">
        <v>1800</v>
      </c>
      <c r="C4366" s="455">
        <v>0</v>
      </c>
      <c r="D4366" s="637">
        <f t="shared" si="148"/>
        <v>0</v>
      </c>
      <c r="E4366" s="637">
        <f t="shared" si="149"/>
        <v>0</v>
      </c>
    </row>
    <row r="4367" spans="1:5">
      <c r="A4367">
        <v>70113</v>
      </c>
      <c r="B4367">
        <v>1900</v>
      </c>
      <c r="C4367" s="455">
        <v>0</v>
      </c>
      <c r="D4367" s="637">
        <f t="shared" si="148"/>
        <v>0</v>
      </c>
      <c r="E4367" s="637">
        <f t="shared" si="149"/>
        <v>0</v>
      </c>
    </row>
    <row r="4368" spans="1:5">
      <c r="A4368">
        <v>70113</v>
      </c>
      <c r="B4368">
        <v>2000</v>
      </c>
      <c r="C4368" s="455">
        <v>4.1849999999999996</v>
      </c>
      <c r="D4368" s="637">
        <f t="shared" si="148"/>
        <v>8.8848214285714313</v>
      </c>
      <c r="E4368" s="637">
        <f t="shared" si="149"/>
        <v>13.584642857142862</v>
      </c>
    </row>
    <row r="4369" spans="1:5">
      <c r="A4369">
        <v>70113</v>
      </c>
      <c r="B4369">
        <v>2100</v>
      </c>
      <c r="C4369" s="455">
        <v>10.936</v>
      </c>
      <c r="D4369" s="637">
        <f t="shared" si="148"/>
        <v>23.217301587301591</v>
      </c>
      <c r="E4369" s="637">
        <f t="shared" si="149"/>
        <v>35.49860317460319</v>
      </c>
    </row>
    <row r="4370" spans="1:5">
      <c r="A4370">
        <v>70113</v>
      </c>
      <c r="B4370">
        <v>2200</v>
      </c>
      <c r="C4370" s="455">
        <v>9.157</v>
      </c>
      <c r="D4370" s="637">
        <f t="shared" si="148"/>
        <v>19.440456349206357</v>
      </c>
      <c r="E4370" s="637">
        <f t="shared" si="149"/>
        <v>29.723912698412715</v>
      </c>
    </row>
    <row r="4371" spans="1:5">
      <c r="A4371">
        <v>70113</v>
      </c>
      <c r="B4371">
        <v>2300</v>
      </c>
      <c r="C4371" s="455">
        <v>9.0730000000000004</v>
      </c>
      <c r="D4371" s="637">
        <f t="shared" si="148"/>
        <v>19.262123015873023</v>
      </c>
      <c r="E4371" s="637">
        <f t="shared" si="149"/>
        <v>29.451246031746045</v>
      </c>
    </row>
    <row r="4372" spans="1:5">
      <c r="A4372">
        <v>70113</v>
      </c>
      <c r="B4372">
        <v>2400</v>
      </c>
      <c r="C4372" s="455">
        <v>8.8650000000000002</v>
      </c>
      <c r="D4372" s="637">
        <f t="shared" si="148"/>
        <v>18.820535714285722</v>
      </c>
      <c r="E4372" s="637">
        <f t="shared" si="149"/>
        <v>28.776071428571441</v>
      </c>
    </row>
    <row r="4373" spans="1:5">
      <c r="A4373">
        <v>70213</v>
      </c>
      <c r="B4373">
        <v>100</v>
      </c>
      <c r="C4373" s="455">
        <v>9.2910000000000004</v>
      </c>
      <c r="D4373" s="637">
        <f t="shared" si="148"/>
        <v>19.724940476190483</v>
      </c>
      <c r="E4373" s="637">
        <f t="shared" si="149"/>
        <v>30.158880952380965</v>
      </c>
    </row>
    <row r="4374" spans="1:5">
      <c r="A4374">
        <v>70213</v>
      </c>
      <c r="B4374">
        <v>200</v>
      </c>
      <c r="C4374" s="455">
        <v>9.0220000000000002</v>
      </c>
      <c r="D4374" s="637">
        <f t="shared" si="148"/>
        <v>19.153849206349214</v>
      </c>
      <c r="E4374" s="637">
        <f t="shared" si="149"/>
        <v>29.285698412698427</v>
      </c>
    </row>
    <row r="4375" spans="1:5">
      <c r="A4375">
        <v>70213</v>
      </c>
      <c r="B4375">
        <v>300</v>
      </c>
      <c r="C4375" s="455">
        <v>9.077</v>
      </c>
      <c r="D4375" s="637">
        <f t="shared" si="148"/>
        <v>19.270615079365086</v>
      </c>
      <c r="E4375" s="637">
        <f t="shared" si="149"/>
        <v>29.464230158730174</v>
      </c>
    </row>
    <row r="4376" spans="1:5">
      <c r="A4376">
        <v>70213</v>
      </c>
      <c r="B4376">
        <v>400</v>
      </c>
      <c r="C4376" s="455">
        <v>9.0779999999999994</v>
      </c>
      <c r="D4376" s="637">
        <f t="shared" si="148"/>
        <v>19.2727380952381</v>
      </c>
      <c r="E4376" s="637">
        <f t="shared" si="149"/>
        <v>29.467476190476201</v>
      </c>
    </row>
    <row r="4377" spans="1:5">
      <c r="A4377">
        <v>70213</v>
      </c>
      <c r="B4377">
        <v>500</v>
      </c>
      <c r="C4377" s="455">
        <v>9.7720000000000002</v>
      </c>
      <c r="D4377" s="637">
        <f t="shared" si="148"/>
        <v>20.746111111111116</v>
      </c>
      <c r="E4377" s="637">
        <f t="shared" si="149"/>
        <v>31.720222222222237</v>
      </c>
    </row>
    <row r="4378" spans="1:5">
      <c r="A4378">
        <v>70213</v>
      </c>
      <c r="B4378">
        <v>600</v>
      </c>
      <c r="C4378" s="455">
        <v>8.5350000000000001</v>
      </c>
      <c r="D4378" s="637">
        <f t="shared" si="148"/>
        <v>18.119940476190482</v>
      </c>
      <c r="E4378" s="637">
        <f t="shared" si="149"/>
        <v>27.704880952380968</v>
      </c>
    </row>
    <row r="4379" spans="1:5">
      <c r="A4379">
        <v>70213</v>
      </c>
      <c r="B4379">
        <v>700</v>
      </c>
      <c r="C4379" s="455">
        <v>0.108</v>
      </c>
      <c r="D4379" s="637">
        <f t="shared" si="148"/>
        <v>0.22928571428571437</v>
      </c>
      <c r="E4379" s="637">
        <f t="shared" si="149"/>
        <v>0.35057142857142876</v>
      </c>
    </row>
    <row r="4380" spans="1:5">
      <c r="A4380">
        <v>70213</v>
      </c>
      <c r="B4380">
        <v>800</v>
      </c>
      <c r="C4380" s="455">
        <v>0</v>
      </c>
      <c r="D4380" s="637">
        <f t="shared" si="148"/>
        <v>0</v>
      </c>
      <c r="E4380" s="637">
        <f t="shared" si="149"/>
        <v>0</v>
      </c>
    </row>
    <row r="4381" spans="1:5">
      <c r="A4381">
        <v>70213</v>
      </c>
      <c r="B4381">
        <v>900</v>
      </c>
      <c r="C4381" s="455">
        <v>1E-3</v>
      </c>
      <c r="D4381" s="637">
        <f t="shared" si="148"/>
        <v>2.1230158730158734E-3</v>
      </c>
      <c r="E4381" s="637">
        <f t="shared" si="149"/>
        <v>3.2460317460317476E-3</v>
      </c>
    </row>
    <row r="4382" spans="1:5">
      <c r="A4382">
        <v>70213</v>
      </c>
      <c r="B4382">
        <v>1000</v>
      </c>
      <c r="C4382" s="455">
        <v>0</v>
      </c>
      <c r="D4382" s="637">
        <f t="shared" si="148"/>
        <v>0</v>
      </c>
      <c r="E4382" s="637">
        <f t="shared" si="149"/>
        <v>0</v>
      </c>
    </row>
    <row r="4383" spans="1:5">
      <c r="A4383">
        <v>70213</v>
      </c>
      <c r="B4383">
        <v>1100</v>
      </c>
      <c r="C4383" s="455">
        <v>0.216</v>
      </c>
      <c r="D4383" s="637">
        <f t="shared" si="148"/>
        <v>0.45857142857142874</v>
      </c>
      <c r="E4383" s="637">
        <f t="shared" si="149"/>
        <v>0.70114285714285751</v>
      </c>
    </row>
    <row r="4384" spans="1:5">
      <c r="A4384">
        <v>70213</v>
      </c>
      <c r="B4384">
        <v>1200</v>
      </c>
      <c r="C4384" s="455">
        <v>0.32400000000000001</v>
      </c>
      <c r="D4384" s="637">
        <f t="shared" si="148"/>
        <v>0.68785714285714306</v>
      </c>
      <c r="E4384" s="637">
        <f t="shared" si="149"/>
        <v>1.0517142857142863</v>
      </c>
    </row>
    <row r="4385" spans="1:5">
      <c r="A4385">
        <v>70213</v>
      </c>
      <c r="B4385">
        <v>1300</v>
      </c>
      <c r="C4385" s="455">
        <v>0.216</v>
      </c>
      <c r="D4385" s="637">
        <f t="shared" si="148"/>
        <v>0.45857142857142874</v>
      </c>
      <c r="E4385" s="637">
        <f t="shared" si="149"/>
        <v>0.70114285714285751</v>
      </c>
    </row>
    <row r="4386" spans="1:5">
      <c r="A4386">
        <v>70213</v>
      </c>
      <c r="B4386">
        <v>1400</v>
      </c>
      <c r="C4386" s="455">
        <v>0</v>
      </c>
      <c r="D4386" s="637">
        <f t="shared" si="148"/>
        <v>0</v>
      </c>
      <c r="E4386" s="637">
        <f t="shared" si="149"/>
        <v>0</v>
      </c>
    </row>
    <row r="4387" spans="1:5">
      <c r="A4387">
        <v>70213</v>
      </c>
      <c r="B4387">
        <v>1500</v>
      </c>
      <c r="C4387" s="455">
        <v>0</v>
      </c>
      <c r="D4387" s="637">
        <f t="shared" si="148"/>
        <v>0</v>
      </c>
      <c r="E4387" s="637">
        <f t="shared" si="149"/>
        <v>0</v>
      </c>
    </row>
    <row r="4388" spans="1:5">
      <c r="A4388">
        <v>70213</v>
      </c>
      <c r="B4388">
        <v>1600</v>
      </c>
      <c r="C4388" s="455">
        <v>0</v>
      </c>
      <c r="D4388" s="637">
        <f t="shared" si="148"/>
        <v>0</v>
      </c>
      <c r="E4388" s="637">
        <f t="shared" si="149"/>
        <v>0</v>
      </c>
    </row>
    <row r="4389" spans="1:5">
      <c r="A4389">
        <v>70213</v>
      </c>
      <c r="B4389">
        <v>1700</v>
      </c>
      <c r="C4389" s="455">
        <v>0</v>
      </c>
      <c r="D4389" s="637">
        <f t="shared" si="148"/>
        <v>0</v>
      </c>
      <c r="E4389" s="637">
        <f t="shared" si="149"/>
        <v>0</v>
      </c>
    </row>
    <row r="4390" spans="1:5">
      <c r="A4390">
        <v>70213</v>
      </c>
      <c r="B4390">
        <v>1800</v>
      </c>
      <c r="C4390" s="455">
        <v>0</v>
      </c>
      <c r="D4390" s="637">
        <f t="shared" si="148"/>
        <v>0</v>
      </c>
      <c r="E4390" s="637">
        <f t="shared" si="149"/>
        <v>0</v>
      </c>
    </row>
    <row r="4391" spans="1:5">
      <c r="A4391">
        <v>70213</v>
      </c>
      <c r="B4391">
        <v>1900</v>
      </c>
      <c r="C4391" s="455">
        <v>0</v>
      </c>
      <c r="D4391" s="637">
        <f t="shared" si="148"/>
        <v>0</v>
      </c>
      <c r="E4391" s="637">
        <f t="shared" si="149"/>
        <v>0</v>
      </c>
    </row>
    <row r="4392" spans="1:5">
      <c r="A4392">
        <v>70213</v>
      </c>
      <c r="B4392">
        <v>2000</v>
      </c>
      <c r="C4392" s="455">
        <v>1.696</v>
      </c>
      <c r="D4392" s="637">
        <f t="shared" si="148"/>
        <v>3.6006349206349211</v>
      </c>
      <c r="E4392" s="637">
        <f t="shared" si="149"/>
        <v>5.5052698412698433</v>
      </c>
    </row>
    <row r="4393" spans="1:5">
      <c r="A4393">
        <v>70213</v>
      </c>
      <c r="B4393">
        <v>2100</v>
      </c>
      <c r="C4393" s="455">
        <v>11.379</v>
      </c>
      <c r="D4393" s="637">
        <f t="shared" si="148"/>
        <v>24.157797619047628</v>
      </c>
      <c r="E4393" s="637">
        <f t="shared" si="149"/>
        <v>36.936595238095258</v>
      </c>
    </row>
    <row r="4394" spans="1:5">
      <c r="A4394">
        <v>70213</v>
      </c>
      <c r="B4394">
        <v>2200</v>
      </c>
      <c r="C4394" s="455">
        <v>9.39</v>
      </c>
      <c r="D4394" s="637">
        <f t="shared" si="148"/>
        <v>19.935119047619054</v>
      </c>
      <c r="E4394" s="637">
        <f t="shared" si="149"/>
        <v>30.480238095238111</v>
      </c>
    </row>
    <row r="4395" spans="1:5">
      <c r="A4395">
        <v>70213</v>
      </c>
      <c r="B4395">
        <v>2300</v>
      </c>
      <c r="C4395" s="455">
        <v>9.35</v>
      </c>
      <c r="D4395" s="637">
        <f t="shared" si="148"/>
        <v>19.850198412698415</v>
      </c>
      <c r="E4395" s="637">
        <f t="shared" si="149"/>
        <v>30.350396825396835</v>
      </c>
    </row>
    <row r="4396" spans="1:5">
      <c r="A4396">
        <v>70213</v>
      </c>
      <c r="B4396">
        <v>2400</v>
      </c>
      <c r="C4396" s="455">
        <v>9.6129999999999995</v>
      </c>
      <c r="D4396" s="637">
        <f t="shared" si="148"/>
        <v>20.408551587301595</v>
      </c>
      <c r="E4396" s="637">
        <f t="shared" si="149"/>
        <v>31.20410317460319</v>
      </c>
    </row>
    <row r="4397" spans="1:5">
      <c r="A4397">
        <v>70313</v>
      </c>
      <c r="B4397">
        <v>100</v>
      </c>
      <c r="C4397" s="455">
        <v>9.76</v>
      </c>
      <c r="D4397" s="637">
        <f t="shared" si="148"/>
        <v>20.720634920634925</v>
      </c>
      <c r="E4397" s="637">
        <f t="shared" si="149"/>
        <v>31.681269841269856</v>
      </c>
    </row>
    <row r="4398" spans="1:5">
      <c r="A4398">
        <v>70313</v>
      </c>
      <c r="B4398">
        <v>200</v>
      </c>
      <c r="C4398" s="455">
        <v>9.5500000000000007</v>
      </c>
      <c r="D4398" s="637">
        <f t="shared" si="148"/>
        <v>20.274801587301596</v>
      </c>
      <c r="E4398" s="637">
        <f t="shared" si="149"/>
        <v>30.999603174603191</v>
      </c>
    </row>
    <row r="4399" spans="1:5">
      <c r="A4399">
        <v>70313</v>
      </c>
      <c r="B4399">
        <v>300</v>
      </c>
      <c r="C4399" s="455">
        <v>9.4979999999999993</v>
      </c>
      <c r="D4399" s="637">
        <f t="shared" si="148"/>
        <v>20.164404761904766</v>
      </c>
      <c r="E4399" s="637">
        <f t="shared" si="149"/>
        <v>30.830809523809535</v>
      </c>
    </row>
    <row r="4400" spans="1:5">
      <c r="A4400">
        <v>70313</v>
      </c>
      <c r="B4400">
        <v>400</v>
      </c>
      <c r="C4400" s="455">
        <v>9.5350000000000001</v>
      </c>
      <c r="D4400" s="637">
        <f t="shared" si="148"/>
        <v>20.242956349206356</v>
      </c>
      <c r="E4400" s="637">
        <f t="shared" si="149"/>
        <v>30.950912698412711</v>
      </c>
    </row>
    <row r="4401" spans="1:5">
      <c r="A4401">
        <v>70313</v>
      </c>
      <c r="B4401">
        <v>500</v>
      </c>
      <c r="C4401" s="455">
        <v>10.298</v>
      </c>
      <c r="D4401" s="637">
        <f t="shared" si="148"/>
        <v>21.862817460317466</v>
      </c>
      <c r="E4401" s="637">
        <f t="shared" si="149"/>
        <v>33.427634920634937</v>
      </c>
    </row>
    <row r="4402" spans="1:5">
      <c r="A4402">
        <v>70313</v>
      </c>
      <c r="B4402">
        <v>600</v>
      </c>
      <c r="C4402" s="455">
        <v>0.56999999999999995</v>
      </c>
      <c r="D4402" s="637">
        <f t="shared" si="148"/>
        <v>1.2101190476190478</v>
      </c>
      <c r="E4402" s="637">
        <f t="shared" si="149"/>
        <v>1.8502380952380959</v>
      </c>
    </row>
    <row r="4403" spans="1:5">
      <c r="A4403">
        <v>70313</v>
      </c>
      <c r="B4403">
        <v>700</v>
      </c>
      <c r="C4403" s="455">
        <v>0</v>
      </c>
      <c r="D4403" s="637">
        <f t="shared" si="148"/>
        <v>0</v>
      </c>
      <c r="E4403" s="637">
        <f t="shared" si="149"/>
        <v>0</v>
      </c>
    </row>
    <row r="4404" spans="1:5">
      <c r="A4404">
        <v>70313</v>
      </c>
      <c r="B4404">
        <v>800</v>
      </c>
      <c r="C4404" s="455">
        <v>0</v>
      </c>
      <c r="D4404" s="637">
        <f t="shared" si="148"/>
        <v>0</v>
      </c>
      <c r="E4404" s="637">
        <f t="shared" si="149"/>
        <v>0</v>
      </c>
    </row>
    <row r="4405" spans="1:5">
      <c r="A4405">
        <v>70313</v>
      </c>
      <c r="B4405">
        <v>900</v>
      </c>
      <c r="C4405" s="455">
        <v>0</v>
      </c>
      <c r="D4405" s="637">
        <f t="shared" si="148"/>
        <v>0</v>
      </c>
      <c r="E4405" s="637">
        <f t="shared" si="149"/>
        <v>0</v>
      </c>
    </row>
    <row r="4406" spans="1:5">
      <c r="A4406">
        <v>70313</v>
      </c>
      <c r="B4406">
        <v>1000</v>
      </c>
      <c r="C4406" s="455">
        <v>0</v>
      </c>
      <c r="D4406" s="637">
        <f t="shared" si="148"/>
        <v>0</v>
      </c>
      <c r="E4406" s="637">
        <f t="shared" si="149"/>
        <v>0</v>
      </c>
    </row>
    <row r="4407" spans="1:5">
      <c r="A4407">
        <v>70313</v>
      </c>
      <c r="B4407">
        <v>1100</v>
      </c>
      <c r="C4407" s="455">
        <v>0</v>
      </c>
      <c r="D4407" s="637">
        <f t="shared" si="148"/>
        <v>0</v>
      </c>
      <c r="E4407" s="637">
        <f t="shared" si="149"/>
        <v>0</v>
      </c>
    </row>
    <row r="4408" spans="1:5">
      <c r="A4408">
        <v>70313</v>
      </c>
      <c r="B4408">
        <v>1200</v>
      </c>
      <c r="C4408" s="455">
        <v>0</v>
      </c>
      <c r="D4408" s="637">
        <f t="shared" si="148"/>
        <v>0</v>
      </c>
      <c r="E4408" s="637">
        <f t="shared" si="149"/>
        <v>0</v>
      </c>
    </row>
    <row r="4409" spans="1:5">
      <c r="A4409">
        <v>70313</v>
      </c>
      <c r="B4409">
        <v>1300</v>
      </c>
      <c r="C4409" s="455">
        <v>0</v>
      </c>
      <c r="D4409" s="637">
        <f t="shared" si="148"/>
        <v>0</v>
      </c>
      <c r="E4409" s="637">
        <f t="shared" si="149"/>
        <v>0</v>
      </c>
    </row>
    <row r="4410" spans="1:5">
      <c r="A4410">
        <v>70313</v>
      </c>
      <c r="B4410">
        <v>1400</v>
      </c>
      <c r="C4410" s="455">
        <v>0</v>
      </c>
      <c r="D4410" s="637">
        <f t="shared" si="148"/>
        <v>0</v>
      </c>
      <c r="E4410" s="637">
        <f t="shared" si="149"/>
        <v>0</v>
      </c>
    </row>
    <row r="4411" spans="1:5">
      <c r="A4411">
        <v>70313</v>
      </c>
      <c r="B4411">
        <v>1500</v>
      </c>
      <c r="C4411" s="455">
        <v>0</v>
      </c>
      <c r="D4411" s="637">
        <f t="shared" si="148"/>
        <v>0</v>
      </c>
      <c r="E4411" s="637">
        <f t="shared" si="149"/>
        <v>0</v>
      </c>
    </row>
    <row r="4412" spans="1:5">
      <c r="A4412">
        <v>70313</v>
      </c>
      <c r="B4412">
        <v>1600</v>
      </c>
      <c r="C4412" s="455">
        <v>0</v>
      </c>
      <c r="D4412" s="637">
        <f t="shared" si="148"/>
        <v>0</v>
      </c>
      <c r="E4412" s="637">
        <f t="shared" si="149"/>
        <v>0</v>
      </c>
    </row>
    <row r="4413" spans="1:5">
      <c r="A4413">
        <v>70313</v>
      </c>
      <c r="B4413">
        <v>1700</v>
      </c>
      <c r="C4413" s="455">
        <v>0</v>
      </c>
      <c r="D4413" s="637">
        <f t="shared" si="148"/>
        <v>0</v>
      </c>
      <c r="E4413" s="637">
        <f t="shared" si="149"/>
        <v>0</v>
      </c>
    </row>
    <row r="4414" spans="1:5">
      <c r="A4414">
        <v>70313</v>
      </c>
      <c r="B4414">
        <v>1800</v>
      </c>
      <c r="C4414" s="455">
        <v>0</v>
      </c>
      <c r="D4414" s="637">
        <f t="shared" ref="D4414:D4477" si="150">(C4414/(MAX($C$4349:$C$5092)))*$W$11</f>
        <v>0</v>
      </c>
      <c r="E4414" s="637">
        <f t="shared" ref="E4414:E4477" si="151">(C4414/(MAX($C$4349:$C$5092)))*$P$11</f>
        <v>0</v>
      </c>
    </row>
    <row r="4415" spans="1:5">
      <c r="A4415">
        <v>70313</v>
      </c>
      <c r="B4415">
        <v>1900</v>
      </c>
      <c r="C4415" s="455">
        <v>0</v>
      </c>
      <c r="D4415" s="637">
        <f t="shared" si="150"/>
        <v>0</v>
      </c>
      <c r="E4415" s="637">
        <f t="shared" si="151"/>
        <v>0</v>
      </c>
    </row>
    <row r="4416" spans="1:5">
      <c r="A4416">
        <v>70313</v>
      </c>
      <c r="B4416">
        <v>2000</v>
      </c>
      <c r="C4416" s="455">
        <v>0.81</v>
      </c>
      <c r="D4416" s="637">
        <f t="shared" si="150"/>
        <v>1.7196428571428577</v>
      </c>
      <c r="E4416" s="637">
        <f t="shared" si="151"/>
        <v>2.6292857142857158</v>
      </c>
    </row>
    <row r="4417" spans="1:5">
      <c r="A4417">
        <v>70313</v>
      </c>
      <c r="B4417">
        <v>2100</v>
      </c>
      <c r="C4417" s="455">
        <v>11.728999999999999</v>
      </c>
      <c r="D4417" s="637">
        <f t="shared" si="150"/>
        <v>24.900853174603178</v>
      </c>
      <c r="E4417" s="637">
        <f t="shared" si="151"/>
        <v>38.072706349206364</v>
      </c>
    </row>
    <row r="4418" spans="1:5">
      <c r="A4418">
        <v>70313</v>
      </c>
      <c r="B4418">
        <v>2200</v>
      </c>
      <c r="C4418" s="455">
        <v>9.2449999999999992</v>
      </c>
      <c r="D4418" s="637">
        <f t="shared" si="150"/>
        <v>19.627281746031748</v>
      </c>
      <c r="E4418" s="637">
        <f t="shared" si="151"/>
        <v>30.009563492063503</v>
      </c>
    </row>
    <row r="4419" spans="1:5">
      <c r="A4419">
        <v>70313</v>
      </c>
      <c r="B4419">
        <v>2300</v>
      </c>
      <c r="C4419" s="455">
        <v>9.6950000000000003</v>
      </c>
      <c r="D4419" s="637">
        <f t="shared" si="150"/>
        <v>20.582638888888894</v>
      </c>
      <c r="E4419" s="637">
        <f t="shared" si="151"/>
        <v>31.470277777777792</v>
      </c>
    </row>
    <row r="4420" spans="1:5">
      <c r="A4420">
        <v>70313</v>
      </c>
      <c r="B4420">
        <v>2400</v>
      </c>
      <c r="C4420" s="455">
        <v>9.0939999999999994</v>
      </c>
      <c r="D4420" s="637">
        <f t="shared" si="150"/>
        <v>19.306706349206355</v>
      </c>
      <c r="E4420" s="637">
        <f t="shared" si="151"/>
        <v>29.519412698412712</v>
      </c>
    </row>
    <row r="4421" spans="1:5">
      <c r="A4421">
        <v>70413</v>
      </c>
      <c r="B4421">
        <v>100</v>
      </c>
      <c r="C4421" s="455">
        <v>9.2810000000000006</v>
      </c>
      <c r="D4421" s="637">
        <f t="shared" si="150"/>
        <v>19.703710317460327</v>
      </c>
      <c r="E4421" s="637">
        <f t="shared" si="151"/>
        <v>30.126420634920652</v>
      </c>
    </row>
    <row r="4422" spans="1:5">
      <c r="A4422">
        <v>70413</v>
      </c>
      <c r="B4422">
        <v>200</v>
      </c>
      <c r="C4422" s="455">
        <v>9.7590000000000003</v>
      </c>
      <c r="D4422" s="637">
        <f t="shared" si="150"/>
        <v>20.718511904761911</v>
      </c>
      <c r="E4422" s="637">
        <f t="shared" si="151"/>
        <v>31.678023809523822</v>
      </c>
    </row>
    <row r="4423" spans="1:5">
      <c r="A4423">
        <v>70413</v>
      </c>
      <c r="B4423">
        <v>300</v>
      </c>
      <c r="C4423" s="455">
        <v>9.6150000000000002</v>
      </c>
      <c r="D4423" s="637">
        <f t="shared" si="150"/>
        <v>20.412797619047623</v>
      </c>
      <c r="E4423" s="637">
        <f t="shared" si="151"/>
        <v>31.210595238095252</v>
      </c>
    </row>
    <row r="4424" spans="1:5">
      <c r="A4424">
        <v>70413</v>
      </c>
      <c r="B4424">
        <v>400</v>
      </c>
      <c r="C4424" s="455">
        <v>9.718</v>
      </c>
      <c r="D4424" s="637">
        <f t="shared" si="150"/>
        <v>20.631468253968261</v>
      </c>
      <c r="E4424" s="637">
        <f t="shared" si="151"/>
        <v>31.544936507936523</v>
      </c>
    </row>
    <row r="4425" spans="1:5">
      <c r="A4425">
        <v>70413</v>
      </c>
      <c r="B4425">
        <v>500</v>
      </c>
      <c r="C4425" s="455">
        <v>10.052</v>
      </c>
      <c r="D4425" s="637">
        <f t="shared" si="150"/>
        <v>21.340555555555561</v>
      </c>
      <c r="E4425" s="637">
        <f t="shared" si="151"/>
        <v>32.629111111111122</v>
      </c>
    </row>
    <row r="4426" spans="1:5">
      <c r="A4426">
        <v>70413</v>
      </c>
      <c r="B4426">
        <v>600</v>
      </c>
      <c r="C4426" s="455">
        <v>7.9189999999999996</v>
      </c>
      <c r="D4426" s="637">
        <f t="shared" si="150"/>
        <v>16.812162698412703</v>
      </c>
      <c r="E4426" s="637">
        <f t="shared" si="151"/>
        <v>25.705325396825408</v>
      </c>
    </row>
    <row r="4427" spans="1:5">
      <c r="A4427">
        <v>70413</v>
      </c>
      <c r="B4427">
        <v>700</v>
      </c>
      <c r="C4427" s="455">
        <v>0</v>
      </c>
      <c r="D4427" s="637">
        <f t="shared" si="150"/>
        <v>0</v>
      </c>
      <c r="E4427" s="637">
        <f t="shared" si="151"/>
        <v>0</v>
      </c>
    </row>
    <row r="4428" spans="1:5">
      <c r="A4428">
        <v>70413</v>
      </c>
      <c r="B4428">
        <v>800</v>
      </c>
      <c r="C4428" s="455">
        <v>0</v>
      </c>
      <c r="D4428" s="637">
        <f t="shared" si="150"/>
        <v>0</v>
      </c>
      <c r="E4428" s="637">
        <f t="shared" si="151"/>
        <v>0</v>
      </c>
    </row>
    <row r="4429" spans="1:5">
      <c r="A4429">
        <v>70413</v>
      </c>
      <c r="B4429">
        <v>900</v>
      </c>
      <c r="C4429" s="455">
        <v>1E-3</v>
      </c>
      <c r="D4429" s="637">
        <f t="shared" si="150"/>
        <v>2.1230158730158734E-3</v>
      </c>
      <c r="E4429" s="637">
        <f t="shared" si="151"/>
        <v>3.2460317460317476E-3</v>
      </c>
    </row>
    <row r="4430" spans="1:5">
      <c r="A4430">
        <v>70413</v>
      </c>
      <c r="B4430">
        <v>1000</v>
      </c>
      <c r="C4430" s="455">
        <v>0</v>
      </c>
      <c r="D4430" s="637">
        <f t="shared" si="150"/>
        <v>0</v>
      </c>
      <c r="E4430" s="637">
        <f t="shared" si="151"/>
        <v>0</v>
      </c>
    </row>
    <row r="4431" spans="1:5">
      <c r="A4431">
        <v>70413</v>
      </c>
      <c r="B4431">
        <v>1100</v>
      </c>
      <c r="C4431" s="455">
        <v>0.54</v>
      </c>
      <c r="D4431" s="637">
        <f t="shared" si="150"/>
        <v>1.1464285714285718</v>
      </c>
      <c r="E4431" s="637">
        <f t="shared" si="151"/>
        <v>1.752857142857144</v>
      </c>
    </row>
    <row r="4432" spans="1:5">
      <c r="A4432">
        <v>70413</v>
      </c>
      <c r="B4432">
        <v>1200</v>
      </c>
      <c r="C4432" s="455">
        <v>0</v>
      </c>
      <c r="D4432" s="637">
        <f t="shared" si="150"/>
        <v>0</v>
      </c>
      <c r="E4432" s="637">
        <f t="shared" si="151"/>
        <v>0</v>
      </c>
    </row>
    <row r="4433" spans="1:5">
      <c r="A4433">
        <v>70413</v>
      </c>
      <c r="B4433">
        <v>1300</v>
      </c>
      <c r="C4433" s="455">
        <v>0.35199999999999998</v>
      </c>
      <c r="D4433" s="637">
        <f t="shared" si="150"/>
        <v>0.74730158730158747</v>
      </c>
      <c r="E4433" s="637">
        <f t="shared" si="151"/>
        <v>1.1426031746031751</v>
      </c>
    </row>
    <row r="4434" spans="1:5">
      <c r="A4434">
        <v>70413</v>
      </c>
      <c r="B4434">
        <v>1400</v>
      </c>
      <c r="C4434" s="455">
        <v>2.5999999999999999E-2</v>
      </c>
      <c r="D4434" s="637">
        <f t="shared" si="150"/>
        <v>5.5198412698412712E-2</v>
      </c>
      <c r="E4434" s="637">
        <f t="shared" si="151"/>
        <v>8.4396825396825428E-2</v>
      </c>
    </row>
    <row r="4435" spans="1:5">
      <c r="A4435">
        <v>70413</v>
      </c>
      <c r="B4435">
        <v>1500</v>
      </c>
      <c r="C4435" s="455">
        <v>0</v>
      </c>
      <c r="D4435" s="637">
        <f t="shared" si="150"/>
        <v>0</v>
      </c>
      <c r="E4435" s="637">
        <f t="shared" si="151"/>
        <v>0</v>
      </c>
    </row>
    <row r="4436" spans="1:5">
      <c r="A4436">
        <v>70413</v>
      </c>
      <c r="B4436">
        <v>1600</v>
      </c>
      <c r="C4436" s="455">
        <v>0</v>
      </c>
      <c r="D4436" s="637">
        <f t="shared" si="150"/>
        <v>0</v>
      </c>
      <c r="E4436" s="637">
        <f t="shared" si="151"/>
        <v>0</v>
      </c>
    </row>
    <row r="4437" spans="1:5">
      <c r="A4437">
        <v>70413</v>
      </c>
      <c r="B4437">
        <v>1700</v>
      </c>
      <c r="C4437" s="455">
        <v>0</v>
      </c>
      <c r="D4437" s="637">
        <f t="shared" si="150"/>
        <v>0</v>
      </c>
      <c r="E4437" s="637">
        <f t="shared" si="151"/>
        <v>0</v>
      </c>
    </row>
    <row r="4438" spans="1:5">
      <c r="A4438">
        <v>70413</v>
      </c>
      <c r="B4438">
        <v>1800</v>
      </c>
      <c r="C4438" s="455">
        <v>0</v>
      </c>
      <c r="D4438" s="637">
        <f t="shared" si="150"/>
        <v>0</v>
      </c>
      <c r="E4438" s="637">
        <f t="shared" si="151"/>
        <v>0</v>
      </c>
    </row>
    <row r="4439" spans="1:5">
      <c r="A4439">
        <v>70413</v>
      </c>
      <c r="B4439">
        <v>1900</v>
      </c>
      <c r="C4439" s="455">
        <v>0</v>
      </c>
      <c r="D4439" s="637">
        <f t="shared" si="150"/>
        <v>0</v>
      </c>
      <c r="E4439" s="637">
        <f t="shared" si="151"/>
        <v>0</v>
      </c>
    </row>
    <row r="4440" spans="1:5">
      <c r="A4440">
        <v>70413</v>
      </c>
      <c r="B4440">
        <v>2000</v>
      </c>
      <c r="C4440" s="455">
        <v>3.08</v>
      </c>
      <c r="D4440" s="637">
        <f t="shared" si="150"/>
        <v>6.5388888888888905</v>
      </c>
      <c r="E4440" s="637">
        <f t="shared" si="151"/>
        <v>9.9977777777777828</v>
      </c>
    </row>
    <row r="4441" spans="1:5">
      <c r="A4441">
        <v>70413</v>
      </c>
      <c r="B4441">
        <v>2100</v>
      </c>
      <c r="C4441" s="455">
        <v>11.015000000000001</v>
      </c>
      <c r="D4441" s="637">
        <f t="shared" si="150"/>
        <v>23.385019841269848</v>
      </c>
      <c r="E4441" s="637">
        <f t="shared" si="151"/>
        <v>35.755039682539703</v>
      </c>
    </row>
    <row r="4442" spans="1:5">
      <c r="A4442">
        <v>70413</v>
      </c>
      <c r="B4442">
        <v>2200</v>
      </c>
      <c r="C4442" s="455">
        <v>9.6829999999999998</v>
      </c>
      <c r="D4442" s="637">
        <f t="shared" si="150"/>
        <v>20.557162698412704</v>
      </c>
      <c r="E4442" s="637">
        <f t="shared" si="151"/>
        <v>31.431325396825411</v>
      </c>
    </row>
    <row r="4443" spans="1:5">
      <c r="A4443">
        <v>70413</v>
      </c>
      <c r="B4443">
        <v>2300</v>
      </c>
      <c r="C4443" s="455">
        <v>9.7149999999999999</v>
      </c>
      <c r="D4443" s="637">
        <f t="shared" si="150"/>
        <v>20.625099206349212</v>
      </c>
      <c r="E4443" s="637">
        <f t="shared" si="151"/>
        <v>31.535198412698424</v>
      </c>
    </row>
    <row r="4444" spans="1:5">
      <c r="A4444">
        <v>70413</v>
      </c>
      <c r="B4444">
        <v>2400</v>
      </c>
      <c r="C4444" s="455">
        <v>9.4559999999999995</v>
      </c>
      <c r="D4444" s="637">
        <f t="shared" si="150"/>
        <v>20.075238095238102</v>
      </c>
      <c r="E4444" s="637">
        <f t="shared" si="151"/>
        <v>30.694476190476205</v>
      </c>
    </row>
    <row r="4445" spans="1:5">
      <c r="A4445">
        <v>70513</v>
      </c>
      <c r="B4445">
        <v>100</v>
      </c>
      <c r="C4445" s="455">
        <v>10.106999999999999</v>
      </c>
      <c r="D4445" s="637">
        <f t="shared" si="150"/>
        <v>21.457321428571433</v>
      </c>
      <c r="E4445" s="637">
        <f t="shared" si="151"/>
        <v>32.807642857142866</v>
      </c>
    </row>
    <row r="4446" spans="1:5">
      <c r="A4446">
        <v>70513</v>
      </c>
      <c r="B4446">
        <v>200</v>
      </c>
      <c r="C4446" s="455">
        <v>9.42</v>
      </c>
      <c r="D4446" s="637">
        <f t="shared" si="150"/>
        <v>19.99880952380953</v>
      </c>
      <c r="E4446" s="637">
        <f t="shared" si="151"/>
        <v>30.577619047619063</v>
      </c>
    </row>
    <row r="4447" spans="1:5">
      <c r="A4447">
        <v>70513</v>
      </c>
      <c r="B4447">
        <v>300</v>
      </c>
      <c r="C4447" s="455">
        <v>9.5359999999999996</v>
      </c>
      <c r="D4447" s="637">
        <f t="shared" si="150"/>
        <v>20.24507936507937</v>
      </c>
      <c r="E4447" s="637">
        <f t="shared" si="151"/>
        <v>30.954158730158746</v>
      </c>
    </row>
    <row r="4448" spans="1:5">
      <c r="A4448">
        <v>70513</v>
      </c>
      <c r="B4448">
        <v>400</v>
      </c>
      <c r="C4448" s="455">
        <v>9.8640000000000008</v>
      </c>
      <c r="D4448" s="637">
        <f t="shared" si="150"/>
        <v>20.941428571428581</v>
      </c>
      <c r="E4448" s="637">
        <f t="shared" si="151"/>
        <v>32.018857142857165</v>
      </c>
    </row>
    <row r="4449" spans="1:5">
      <c r="A4449">
        <v>70513</v>
      </c>
      <c r="B4449">
        <v>500</v>
      </c>
      <c r="C4449" s="455">
        <v>10.321999999999999</v>
      </c>
      <c r="D4449" s="637">
        <f t="shared" si="150"/>
        <v>21.913769841269847</v>
      </c>
      <c r="E4449" s="637">
        <f t="shared" si="151"/>
        <v>33.505539682539698</v>
      </c>
    </row>
    <row r="4450" spans="1:5">
      <c r="A4450">
        <v>70513</v>
      </c>
      <c r="B4450">
        <v>600</v>
      </c>
      <c r="C4450" s="455">
        <v>0.752</v>
      </c>
      <c r="D4450" s="637">
        <f t="shared" si="150"/>
        <v>1.5965079365079369</v>
      </c>
      <c r="E4450" s="637">
        <f t="shared" si="151"/>
        <v>2.441015873015874</v>
      </c>
    </row>
    <row r="4451" spans="1:5">
      <c r="A4451">
        <v>70513</v>
      </c>
      <c r="B4451">
        <v>700</v>
      </c>
      <c r="C4451" s="455">
        <v>0</v>
      </c>
      <c r="D4451" s="637">
        <f t="shared" si="150"/>
        <v>0</v>
      </c>
      <c r="E4451" s="637">
        <f t="shared" si="151"/>
        <v>0</v>
      </c>
    </row>
    <row r="4452" spans="1:5">
      <c r="A4452">
        <v>70513</v>
      </c>
      <c r="B4452">
        <v>800</v>
      </c>
      <c r="C4452" s="455">
        <v>0</v>
      </c>
      <c r="D4452" s="637">
        <f t="shared" si="150"/>
        <v>0</v>
      </c>
      <c r="E4452" s="637">
        <f t="shared" si="151"/>
        <v>0</v>
      </c>
    </row>
    <row r="4453" spans="1:5">
      <c r="A4453">
        <v>70513</v>
      </c>
      <c r="B4453">
        <v>900</v>
      </c>
      <c r="C4453" s="455">
        <v>0.01</v>
      </c>
      <c r="D4453" s="637">
        <f t="shared" si="150"/>
        <v>2.1230158730158738E-2</v>
      </c>
      <c r="E4453" s="637">
        <f t="shared" si="151"/>
        <v>3.2460317460317481E-2</v>
      </c>
    </row>
    <row r="4454" spans="1:5">
      <c r="A4454">
        <v>70513</v>
      </c>
      <c r="B4454">
        <v>1000</v>
      </c>
      <c r="C4454" s="455">
        <v>0</v>
      </c>
      <c r="D4454" s="637">
        <f t="shared" si="150"/>
        <v>0</v>
      </c>
      <c r="E4454" s="637">
        <f t="shared" si="151"/>
        <v>0</v>
      </c>
    </row>
    <row r="4455" spans="1:5">
      <c r="A4455">
        <v>70513</v>
      </c>
      <c r="B4455">
        <v>1100</v>
      </c>
      <c r="C4455" s="455">
        <v>0</v>
      </c>
      <c r="D4455" s="637">
        <f t="shared" si="150"/>
        <v>0</v>
      </c>
      <c r="E4455" s="637">
        <f t="shared" si="151"/>
        <v>0</v>
      </c>
    </row>
    <row r="4456" spans="1:5">
      <c r="A4456">
        <v>70513</v>
      </c>
      <c r="B4456">
        <v>1200</v>
      </c>
      <c r="C4456" s="455">
        <v>1.9E-2</v>
      </c>
      <c r="D4456" s="637">
        <f t="shared" si="150"/>
        <v>4.0337301587301595E-2</v>
      </c>
      <c r="E4456" s="637">
        <f t="shared" si="151"/>
        <v>6.1674603174603201E-2</v>
      </c>
    </row>
    <row r="4457" spans="1:5">
      <c r="A4457">
        <v>70513</v>
      </c>
      <c r="B4457">
        <v>1300</v>
      </c>
      <c r="C4457" s="455">
        <v>0</v>
      </c>
      <c r="D4457" s="637">
        <f t="shared" si="150"/>
        <v>0</v>
      </c>
      <c r="E4457" s="637">
        <f t="shared" si="151"/>
        <v>0</v>
      </c>
    </row>
    <row r="4458" spans="1:5">
      <c r="A4458">
        <v>70513</v>
      </c>
      <c r="B4458">
        <v>1400</v>
      </c>
      <c r="C4458" s="455">
        <v>1E-3</v>
      </c>
      <c r="D4458" s="637">
        <f t="shared" si="150"/>
        <v>2.1230158730158734E-3</v>
      </c>
      <c r="E4458" s="637">
        <f t="shared" si="151"/>
        <v>3.2460317460317476E-3</v>
      </c>
    </row>
    <row r="4459" spans="1:5">
      <c r="A4459">
        <v>70513</v>
      </c>
      <c r="B4459">
        <v>1500</v>
      </c>
      <c r="C4459" s="455">
        <v>0</v>
      </c>
      <c r="D4459" s="637">
        <f t="shared" si="150"/>
        <v>0</v>
      </c>
      <c r="E4459" s="637">
        <f t="shared" si="151"/>
        <v>0</v>
      </c>
    </row>
    <row r="4460" spans="1:5">
      <c r="A4460">
        <v>70513</v>
      </c>
      <c r="B4460">
        <v>1600</v>
      </c>
      <c r="C4460" s="455">
        <v>0</v>
      </c>
      <c r="D4460" s="637">
        <f t="shared" si="150"/>
        <v>0</v>
      </c>
      <c r="E4460" s="637">
        <f t="shared" si="151"/>
        <v>0</v>
      </c>
    </row>
    <row r="4461" spans="1:5">
      <c r="A4461">
        <v>70513</v>
      </c>
      <c r="B4461">
        <v>1700</v>
      </c>
      <c r="C4461" s="455">
        <v>0</v>
      </c>
      <c r="D4461" s="637">
        <f t="shared" si="150"/>
        <v>0</v>
      </c>
      <c r="E4461" s="637">
        <f t="shared" si="151"/>
        <v>0</v>
      </c>
    </row>
    <row r="4462" spans="1:5">
      <c r="A4462">
        <v>70513</v>
      </c>
      <c r="B4462">
        <v>1800</v>
      </c>
      <c r="C4462" s="455">
        <v>0</v>
      </c>
      <c r="D4462" s="637">
        <f t="shared" si="150"/>
        <v>0</v>
      </c>
      <c r="E4462" s="637">
        <f t="shared" si="151"/>
        <v>0</v>
      </c>
    </row>
    <row r="4463" spans="1:5">
      <c r="A4463">
        <v>70513</v>
      </c>
      <c r="B4463">
        <v>1900</v>
      </c>
      <c r="C4463" s="455">
        <v>0</v>
      </c>
      <c r="D4463" s="637">
        <f t="shared" si="150"/>
        <v>0</v>
      </c>
      <c r="E4463" s="637">
        <f t="shared" si="151"/>
        <v>0</v>
      </c>
    </row>
    <row r="4464" spans="1:5">
      <c r="A4464">
        <v>70513</v>
      </c>
      <c r="B4464">
        <v>2000</v>
      </c>
      <c r="C4464" s="455">
        <v>2.5990000000000002</v>
      </c>
      <c r="D4464" s="637">
        <f t="shared" si="150"/>
        <v>5.5177182539682557</v>
      </c>
      <c r="E4464" s="637">
        <f t="shared" si="151"/>
        <v>8.4364365079365129</v>
      </c>
    </row>
    <row r="4465" spans="1:5">
      <c r="A4465">
        <v>70513</v>
      </c>
      <c r="B4465">
        <v>2100</v>
      </c>
      <c r="C4465" s="455">
        <v>10.988</v>
      </c>
      <c r="D4465" s="637">
        <f t="shared" si="150"/>
        <v>23.327698412698417</v>
      </c>
      <c r="E4465" s="637">
        <f t="shared" si="151"/>
        <v>35.667396825396843</v>
      </c>
    </row>
    <row r="4466" spans="1:5">
      <c r="A4466">
        <v>70513</v>
      </c>
      <c r="B4466">
        <v>2200</v>
      </c>
      <c r="C4466" s="455">
        <v>9.3140000000000001</v>
      </c>
      <c r="D4466" s="637">
        <f t="shared" si="150"/>
        <v>19.773769841269846</v>
      </c>
      <c r="E4466" s="637">
        <f t="shared" si="151"/>
        <v>30.233539682539696</v>
      </c>
    </row>
    <row r="4467" spans="1:5">
      <c r="A4467">
        <v>70513</v>
      </c>
      <c r="B4467">
        <v>2300</v>
      </c>
      <c r="C4467" s="455">
        <v>9.593</v>
      </c>
      <c r="D4467" s="637">
        <f t="shared" si="150"/>
        <v>20.366091269841274</v>
      </c>
      <c r="E4467" s="637">
        <f t="shared" si="151"/>
        <v>31.139182539682551</v>
      </c>
    </row>
    <row r="4468" spans="1:5">
      <c r="A4468">
        <v>70513</v>
      </c>
      <c r="B4468">
        <v>2400</v>
      </c>
      <c r="C4468" s="455">
        <v>9.6120000000000001</v>
      </c>
      <c r="D4468" s="637">
        <f t="shared" si="150"/>
        <v>20.406428571428577</v>
      </c>
      <c r="E4468" s="637">
        <f t="shared" si="151"/>
        <v>31.200857142857156</v>
      </c>
    </row>
    <row r="4469" spans="1:5">
      <c r="A4469">
        <v>70613</v>
      </c>
      <c r="B4469">
        <v>100</v>
      </c>
      <c r="C4469" s="455">
        <v>9.4640000000000004</v>
      </c>
      <c r="D4469" s="637">
        <f t="shared" si="150"/>
        <v>20.09222222222223</v>
      </c>
      <c r="E4469" s="637">
        <f t="shared" si="151"/>
        <v>30.72044444444446</v>
      </c>
    </row>
    <row r="4470" spans="1:5">
      <c r="A4470">
        <v>70613</v>
      </c>
      <c r="B4470">
        <v>200</v>
      </c>
      <c r="C4470" s="455">
        <v>9.5440000000000005</v>
      </c>
      <c r="D4470" s="637">
        <f t="shared" si="150"/>
        <v>20.262063492063501</v>
      </c>
      <c r="E4470" s="637">
        <f t="shared" si="151"/>
        <v>30.980126984127001</v>
      </c>
    </row>
    <row r="4471" spans="1:5">
      <c r="A4471">
        <v>70613</v>
      </c>
      <c r="B4471">
        <v>300</v>
      </c>
      <c r="C4471" s="455">
        <v>9.6329999999999991</v>
      </c>
      <c r="D4471" s="637">
        <f t="shared" si="150"/>
        <v>20.451011904761909</v>
      </c>
      <c r="E4471" s="637">
        <f t="shared" si="151"/>
        <v>31.269023809523823</v>
      </c>
    </row>
    <row r="4472" spans="1:5">
      <c r="A4472">
        <v>70613</v>
      </c>
      <c r="B4472">
        <v>400</v>
      </c>
      <c r="C4472" s="455">
        <v>9.4689999999999994</v>
      </c>
      <c r="D4472" s="637">
        <f t="shared" si="150"/>
        <v>20.102837301587304</v>
      </c>
      <c r="E4472" s="637">
        <f t="shared" si="151"/>
        <v>30.736674603174613</v>
      </c>
    </row>
    <row r="4473" spans="1:5">
      <c r="A4473">
        <v>70613</v>
      </c>
      <c r="B4473">
        <v>500</v>
      </c>
      <c r="C4473" s="455">
        <v>10.669</v>
      </c>
      <c r="D4473" s="637">
        <f t="shared" si="150"/>
        <v>22.650456349206358</v>
      </c>
      <c r="E4473" s="637">
        <f t="shared" si="151"/>
        <v>34.631912698412719</v>
      </c>
    </row>
    <row r="4474" spans="1:5">
      <c r="A4474">
        <v>70613</v>
      </c>
      <c r="B4474">
        <v>600</v>
      </c>
      <c r="C4474" s="455">
        <v>1.103</v>
      </c>
      <c r="D4474" s="637">
        <f t="shared" si="150"/>
        <v>2.3416865079365086</v>
      </c>
      <c r="E4474" s="637">
        <f t="shared" si="151"/>
        <v>3.5803730158730174</v>
      </c>
    </row>
    <row r="4475" spans="1:5">
      <c r="A4475">
        <v>70613</v>
      </c>
      <c r="B4475">
        <v>700</v>
      </c>
      <c r="C4475" s="455">
        <v>0</v>
      </c>
      <c r="D4475" s="637">
        <f t="shared" si="150"/>
        <v>0</v>
      </c>
      <c r="E4475" s="637">
        <f t="shared" si="151"/>
        <v>0</v>
      </c>
    </row>
    <row r="4476" spans="1:5">
      <c r="A4476">
        <v>70613</v>
      </c>
      <c r="B4476">
        <v>800</v>
      </c>
      <c r="C4476" s="455">
        <v>1E-3</v>
      </c>
      <c r="D4476" s="637">
        <f t="shared" si="150"/>
        <v>2.1230158730158734E-3</v>
      </c>
      <c r="E4476" s="637">
        <f t="shared" si="151"/>
        <v>3.2460317460317476E-3</v>
      </c>
    </row>
    <row r="4477" spans="1:5">
      <c r="A4477">
        <v>70613</v>
      </c>
      <c r="B4477">
        <v>900</v>
      </c>
      <c r="C4477" s="455">
        <v>0</v>
      </c>
      <c r="D4477" s="637">
        <f t="shared" si="150"/>
        <v>0</v>
      </c>
      <c r="E4477" s="637">
        <f t="shared" si="151"/>
        <v>0</v>
      </c>
    </row>
    <row r="4478" spans="1:5">
      <c r="A4478">
        <v>70613</v>
      </c>
      <c r="B4478">
        <v>1000</v>
      </c>
      <c r="C4478" s="455">
        <v>0</v>
      </c>
      <c r="D4478" s="637">
        <f t="shared" ref="D4478:D4541" si="152">(C4478/(MAX($C$4349:$C$5092)))*$W$11</f>
        <v>0</v>
      </c>
      <c r="E4478" s="637">
        <f t="shared" ref="E4478:E4541" si="153">(C4478/(MAX($C$4349:$C$5092)))*$P$11</f>
        <v>0</v>
      </c>
    </row>
    <row r="4479" spans="1:5">
      <c r="A4479">
        <v>70613</v>
      </c>
      <c r="B4479">
        <v>1100</v>
      </c>
      <c r="C4479" s="455">
        <v>0</v>
      </c>
      <c r="D4479" s="637">
        <f t="shared" si="152"/>
        <v>0</v>
      </c>
      <c r="E4479" s="637">
        <f t="shared" si="153"/>
        <v>0</v>
      </c>
    </row>
    <row r="4480" spans="1:5">
      <c r="A4480">
        <v>70613</v>
      </c>
      <c r="B4480">
        <v>1200</v>
      </c>
      <c r="C4480" s="455">
        <v>0</v>
      </c>
      <c r="D4480" s="637">
        <f t="shared" si="152"/>
        <v>0</v>
      </c>
      <c r="E4480" s="637">
        <f t="shared" si="153"/>
        <v>0</v>
      </c>
    </row>
    <row r="4481" spans="1:5">
      <c r="A4481">
        <v>70613</v>
      </c>
      <c r="B4481">
        <v>1300</v>
      </c>
      <c r="C4481" s="455">
        <v>0</v>
      </c>
      <c r="D4481" s="637">
        <f t="shared" si="152"/>
        <v>0</v>
      </c>
      <c r="E4481" s="637">
        <f t="shared" si="153"/>
        <v>0</v>
      </c>
    </row>
    <row r="4482" spans="1:5">
      <c r="A4482">
        <v>70613</v>
      </c>
      <c r="B4482">
        <v>1400</v>
      </c>
      <c r="C4482" s="455">
        <v>0</v>
      </c>
      <c r="D4482" s="637">
        <f t="shared" si="152"/>
        <v>0</v>
      </c>
      <c r="E4482" s="637">
        <f t="shared" si="153"/>
        <v>0</v>
      </c>
    </row>
    <row r="4483" spans="1:5">
      <c r="A4483">
        <v>70613</v>
      </c>
      <c r="B4483">
        <v>1500</v>
      </c>
      <c r="C4483" s="455">
        <v>0</v>
      </c>
      <c r="D4483" s="637">
        <f t="shared" si="152"/>
        <v>0</v>
      </c>
      <c r="E4483" s="637">
        <f t="shared" si="153"/>
        <v>0</v>
      </c>
    </row>
    <row r="4484" spans="1:5">
      <c r="A4484">
        <v>70613</v>
      </c>
      <c r="B4484">
        <v>1600</v>
      </c>
      <c r="C4484" s="455">
        <v>0</v>
      </c>
      <c r="D4484" s="637">
        <f t="shared" si="152"/>
        <v>0</v>
      </c>
      <c r="E4484" s="637">
        <f t="shared" si="153"/>
        <v>0</v>
      </c>
    </row>
    <row r="4485" spans="1:5">
      <c r="A4485">
        <v>70613</v>
      </c>
      <c r="B4485">
        <v>1700</v>
      </c>
      <c r="C4485" s="455">
        <v>0</v>
      </c>
      <c r="D4485" s="637">
        <f t="shared" si="152"/>
        <v>0</v>
      </c>
      <c r="E4485" s="637">
        <f t="shared" si="153"/>
        <v>0</v>
      </c>
    </row>
    <row r="4486" spans="1:5">
      <c r="A4486">
        <v>70613</v>
      </c>
      <c r="B4486">
        <v>1800</v>
      </c>
      <c r="C4486" s="455">
        <v>0</v>
      </c>
      <c r="D4486" s="637">
        <f t="shared" si="152"/>
        <v>0</v>
      </c>
      <c r="E4486" s="637">
        <f t="shared" si="153"/>
        <v>0</v>
      </c>
    </row>
    <row r="4487" spans="1:5">
      <c r="A4487">
        <v>70613</v>
      </c>
      <c r="B4487">
        <v>1900</v>
      </c>
      <c r="C4487" s="455">
        <v>0</v>
      </c>
      <c r="D4487" s="637">
        <f t="shared" si="152"/>
        <v>0</v>
      </c>
      <c r="E4487" s="637">
        <f t="shared" si="153"/>
        <v>0</v>
      </c>
    </row>
    <row r="4488" spans="1:5">
      <c r="A4488">
        <v>70613</v>
      </c>
      <c r="B4488">
        <v>2000</v>
      </c>
      <c r="C4488" s="455">
        <v>3.1219999999999999</v>
      </c>
      <c r="D4488" s="637">
        <f t="shared" si="152"/>
        <v>6.6280555555555569</v>
      </c>
      <c r="E4488" s="637">
        <f t="shared" si="153"/>
        <v>10.134111111111116</v>
      </c>
    </row>
    <row r="4489" spans="1:5">
      <c r="A4489">
        <v>70613</v>
      </c>
      <c r="B4489">
        <v>2100</v>
      </c>
      <c r="C4489" s="455">
        <v>10.904999999999999</v>
      </c>
      <c r="D4489" s="637">
        <f t="shared" si="152"/>
        <v>23.151488095238101</v>
      </c>
      <c r="E4489" s="637">
        <f t="shared" si="153"/>
        <v>35.397976190476207</v>
      </c>
    </row>
    <row r="4490" spans="1:5">
      <c r="A4490">
        <v>70613</v>
      </c>
      <c r="B4490">
        <v>2200</v>
      </c>
      <c r="C4490" s="455">
        <v>8.8209999999999997</v>
      </c>
      <c r="D4490" s="637">
        <f t="shared" si="152"/>
        <v>18.727123015873019</v>
      </c>
      <c r="E4490" s="637">
        <f t="shared" si="153"/>
        <v>28.633246031746044</v>
      </c>
    </row>
    <row r="4491" spans="1:5">
      <c r="A4491">
        <v>70613</v>
      </c>
      <c r="B4491">
        <v>2300</v>
      </c>
      <c r="C4491" s="455">
        <v>9.6470000000000002</v>
      </c>
      <c r="D4491" s="637">
        <f t="shared" si="152"/>
        <v>20.480734126984135</v>
      </c>
      <c r="E4491" s="637">
        <f t="shared" si="153"/>
        <v>31.314468253968268</v>
      </c>
    </row>
    <row r="4492" spans="1:5">
      <c r="A4492">
        <v>70613</v>
      </c>
      <c r="B4492">
        <v>2400</v>
      </c>
      <c r="C4492" s="455">
        <v>9.3019999999999996</v>
      </c>
      <c r="D4492" s="637">
        <f t="shared" si="152"/>
        <v>19.748293650793656</v>
      </c>
      <c r="E4492" s="637">
        <f t="shared" si="153"/>
        <v>30.194587301587315</v>
      </c>
    </row>
    <row r="4493" spans="1:5">
      <c r="A4493">
        <v>70713</v>
      </c>
      <c r="B4493">
        <v>100</v>
      </c>
      <c r="C4493" s="455">
        <v>9.7110000000000003</v>
      </c>
      <c r="D4493" s="637">
        <f t="shared" si="152"/>
        <v>20.616607142857148</v>
      </c>
      <c r="E4493" s="637">
        <f t="shared" si="153"/>
        <v>31.522214285714302</v>
      </c>
    </row>
    <row r="4494" spans="1:5">
      <c r="A4494">
        <v>70713</v>
      </c>
      <c r="B4494">
        <v>200</v>
      </c>
      <c r="C4494" s="455">
        <v>9.7409999999999997</v>
      </c>
      <c r="D4494" s="637">
        <f t="shared" si="152"/>
        <v>20.680297619047625</v>
      </c>
      <c r="E4494" s="637">
        <f t="shared" si="153"/>
        <v>31.619595238095251</v>
      </c>
    </row>
    <row r="4495" spans="1:5">
      <c r="A4495">
        <v>70713</v>
      </c>
      <c r="B4495">
        <v>300</v>
      </c>
      <c r="C4495" s="455">
        <v>9.68</v>
      </c>
      <c r="D4495" s="637">
        <f t="shared" si="152"/>
        <v>20.550793650793658</v>
      </c>
      <c r="E4495" s="637">
        <f t="shared" si="153"/>
        <v>31.421587301587316</v>
      </c>
    </row>
    <row r="4496" spans="1:5">
      <c r="A4496">
        <v>70713</v>
      </c>
      <c r="B4496">
        <v>400</v>
      </c>
      <c r="C4496" s="455">
        <v>9.3970000000000002</v>
      </c>
      <c r="D4496" s="637">
        <f t="shared" si="152"/>
        <v>19.949980158730163</v>
      </c>
      <c r="E4496" s="637">
        <f t="shared" si="153"/>
        <v>30.502960317460332</v>
      </c>
    </row>
    <row r="4497" spans="1:5">
      <c r="A4497">
        <v>70713</v>
      </c>
      <c r="B4497">
        <v>500</v>
      </c>
      <c r="C4497" s="455">
        <v>10.273</v>
      </c>
      <c r="D4497" s="637">
        <f t="shared" si="152"/>
        <v>21.809742063492067</v>
      </c>
      <c r="E4497" s="637">
        <f t="shared" si="153"/>
        <v>33.346484126984137</v>
      </c>
    </row>
    <row r="4498" spans="1:5">
      <c r="A4498">
        <v>70713</v>
      </c>
      <c r="B4498">
        <v>600</v>
      </c>
      <c r="C4498" s="455">
        <v>5.1929999999999996</v>
      </c>
      <c r="D4498" s="637">
        <f t="shared" si="152"/>
        <v>11.02482142857143</v>
      </c>
      <c r="E4498" s="637">
        <f t="shared" si="153"/>
        <v>16.856642857142862</v>
      </c>
    </row>
    <row r="4499" spans="1:5">
      <c r="A4499">
        <v>70713</v>
      </c>
      <c r="B4499">
        <v>700</v>
      </c>
      <c r="C4499" s="455">
        <v>0</v>
      </c>
      <c r="D4499" s="637">
        <f t="shared" si="152"/>
        <v>0</v>
      </c>
      <c r="E4499" s="637">
        <f t="shared" si="153"/>
        <v>0</v>
      </c>
    </row>
    <row r="4500" spans="1:5">
      <c r="A4500">
        <v>70713</v>
      </c>
      <c r="B4500">
        <v>800</v>
      </c>
      <c r="C4500" s="455">
        <v>0</v>
      </c>
      <c r="D4500" s="637">
        <f t="shared" si="152"/>
        <v>0</v>
      </c>
      <c r="E4500" s="637">
        <f t="shared" si="153"/>
        <v>0</v>
      </c>
    </row>
    <row r="4501" spans="1:5">
      <c r="A4501">
        <v>70713</v>
      </c>
      <c r="B4501">
        <v>900</v>
      </c>
      <c r="C4501" s="455">
        <v>0</v>
      </c>
      <c r="D4501" s="637">
        <f t="shared" si="152"/>
        <v>0</v>
      </c>
      <c r="E4501" s="637">
        <f t="shared" si="153"/>
        <v>0</v>
      </c>
    </row>
    <row r="4502" spans="1:5">
      <c r="A4502">
        <v>70713</v>
      </c>
      <c r="B4502">
        <v>1000</v>
      </c>
      <c r="C4502" s="455">
        <v>0</v>
      </c>
      <c r="D4502" s="637">
        <f t="shared" si="152"/>
        <v>0</v>
      </c>
      <c r="E4502" s="637">
        <f t="shared" si="153"/>
        <v>0</v>
      </c>
    </row>
    <row r="4503" spans="1:5">
      <c r="A4503">
        <v>70713</v>
      </c>
      <c r="B4503">
        <v>1100</v>
      </c>
      <c r="C4503" s="455">
        <v>0</v>
      </c>
      <c r="D4503" s="637">
        <f t="shared" si="152"/>
        <v>0</v>
      </c>
      <c r="E4503" s="637">
        <f t="shared" si="153"/>
        <v>0</v>
      </c>
    </row>
    <row r="4504" spans="1:5">
      <c r="A4504">
        <v>70713</v>
      </c>
      <c r="B4504">
        <v>1200</v>
      </c>
      <c r="C4504" s="455">
        <v>1E-3</v>
      </c>
      <c r="D4504" s="637">
        <f t="shared" si="152"/>
        <v>2.1230158730158734E-3</v>
      </c>
      <c r="E4504" s="637">
        <f t="shared" si="153"/>
        <v>3.2460317460317476E-3</v>
      </c>
    </row>
    <row r="4505" spans="1:5">
      <c r="A4505">
        <v>70713</v>
      </c>
      <c r="B4505">
        <v>1300</v>
      </c>
      <c r="C4505" s="455">
        <v>1E-3</v>
      </c>
      <c r="D4505" s="637">
        <f t="shared" si="152"/>
        <v>2.1230158730158734E-3</v>
      </c>
      <c r="E4505" s="637">
        <f t="shared" si="153"/>
        <v>3.2460317460317476E-3</v>
      </c>
    </row>
    <row r="4506" spans="1:5">
      <c r="A4506">
        <v>70713</v>
      </c>
      <c r="B4506">
        <v>1400</v>
      </c>
      <c r="C4506" s="455">
        <v>0</v>
      </c>
      <c r="D4506" s="637">
        <f t="shared" si="152"/>
        <v>0</v>
      </c>
      <c r="E4506" s="637">
        <f t="shared" si="153"/>
        <v>0</v>
      </c>
    </row>
    <row r="4507" spans="1:5">
      <c r="A4507">
        <v>70713</v>
      </c>
      <c r="B4507">
        <v>1500</v>
      </c>
      <c r="C4507" s="455">
        <v>0</v>
      </c>
      <c r="D4507" s="637">
        <f t="shared" si="152"/>
        <v>0</v>
      </c>
      <c r="E4507" s="637">
        <f t="shared" si="153"/>
        <v>0</v>
      </c>
    </row>
    <row r="4508" spans="1:5">
      <c r="A4508">
        <v>70713</v>
      </c>
      <c r="B4508">
        <v>1600</v>
      </c>
      <c r="C4508" s="455">
        <v>3.1E-2</v>
      </c>
      <c r="D4508" s="637">
        <f t="shared" si="152"/>
        <v>6.5813492063492088E-2</v>
      </c>
      <c r="E4508" s="637">
        <f t="shared" si="153"/>
        <v>0.10062698412698418</v>
      </c>
    </row>
    <row r="4509" spans="1:5">
      <c r="A4509">
        <v>70713</v>
      </c>
      <c r="B4509">
        <v>1700</v>
      </c>
      <c r="C4509" s="455">
        <v>0</v>
      </c>
      <c r="D4509" s="637">
        <f t="shared" si="152"/>
        <v>0</v>
      </c>
      <c r="E4509" s="637">
        <f t="shared" si="153"/>
        <v>0</v>
      </c>
    </row>
    <row r="4510" spans="1:5">
      <c r="A4510">
        <v>70713</v>
      </c>
      <c r="B4510">
        <v>1800</v>
      </c>
      <c r="C4510" s="455">
        <v>1.0660000000000001</v>
      </c>
      <c r="D4510" s="637">
        <f t="shared" si="152"/>
        <v>2.2631349206349212</v>
      </c>
      <c r="E4510" s="637">
        <f t="shared" si="153"/>
        <v>3.4602698412698429</v>
      </c>
    </row>
    <row r="4511" spans="1:5">
      <c r="A4511">
        <v>70713</v>
      </c>
      <c r="B4511">
        <v>1900</v>
      </c>
      <c r="C4511" s="455">
        <v>0.17499999999999999</v>
      </c>
      <c r="D4511" s="637">
        <f t="shared" si="152"/>
        <v>0.37152777777777785</v>
      </c>
      <c r="E4511" s="637">
        <f t="shared" si="153"/>
        <v>0.56805555555555576</v>
      </c>
    </row>
    <row r="4512" spans="1:5">
      <c r="A4512">
        <v>70713</v>
      </c>
      <c r="B4512">
        <v>2000</v>
      </c>
      <c r="C4512" s="455">
        <v>12.521000000000001</v>
      </c>
      <c r="D4512" s="637">
        <f t="shared" si="152"/>
        <v>26.582281746031754</v>
      </c>
      <c r="E4512" s="637">
        <f t="shared" si="153"/>
        <v>40.643563492063514</v>
      </c>
    </row>
    <row r="4513" spans="1:5">
      <c r="A4513">
        <v>70713</v>
      </c>
      <c r="B4513">
        <v>2100</v>
      </c>
      <c r="C4513" s="455">
        <v>9.9309999999999992</v>
      </c>
      <c r="D4513" s="637">
        <f t="shared" si="152"/>
        <v>21.08367063492064</v>
      </c>
      <c r="E4513" s="637">
        <f t="shared" si="153"/>
        <v>32.236341269841283</v>
      </c>
    </row>
    <row r="4514" spans="1:5">
      <c r="A4514">
        <v>70713</v>
      </c>
      <c r="B4514">
        <v>2200</v>
      </c>
      <c r="C4514" s="455">
        <v>9.5879999999999992</v>
      </c>
      <c r="D4514" s="637">
        <f t="shared" si="152"/>
        <v>20.355476190476192</v>
      </c>
      <c r="E4514" s="637">
        <f t="shared" si="153"/>
        <v>31.122952380952391</v>
      </c>
    </row>
    <row r="4515" spans="1:5">
      <c r="A4515">
        <v>70713</v>
      </c>
      <c r="B4515">
        <v>2300</v>
      </c>
      <c r="C4515" s="455">
        <v>9.548</v>
      </c>
      <c r="D4515" s="637">
        <f t="shared" si="152"/>
        <v>20.270555555555561</v>
      </c>
      <c r="E4515" s="637">
        <f t="shared" si="153"/>
        <v>30.993111111111126</v>
      </c>
    </row>
    <row r="4516" spans="1:5">
      <c r="A4516">
        <v>70713</v>
      </c>
      <c r="B4516">
        <v>2400</v>
      </c>
      <c r="C4516" s="455">
        <v>9.93</v>
      </c>
      <c r="D4516" s="637">
        <f t="shared" si="152"/>
        <v>21.081547619047623</v>
      </c>
      <c r="E4516" s="637">
        <f t="shared" si="153"/>
        <v>32.233095238095252</v>
      </c>
    </row>
    <row r="4517" spans="1:5">
      <c r="A4517">
        <v>70813</v>
      </c>
      <c r="B4517">
        <v>100</v>
      </c>
      <c r="C4517" s="455">
        <v>9.8040000000000003</v>
      </c>
      <c r="D4517" s="637">
        <f t="shared" si="152"/>
        <v>20.814047619047628</v>
      </c>
      <c r="E4517" s="637">
        <f t="shared" si="153"/>
        <v>31.824095238095254</v>
      </c>
    </row>
    <row r="4518" spans="1:5">
      <c r="A4518">
        <v>70813</v>
      </c>
      <c r="B4518">
        <v>200</v>
      </c>
      <c r="C4518" s="455">
        <v>9.8040000000000003</v>
      </c>
      <c r="D4518" s="637">
        <f t="shared" si="152"/>
        <v>20.814047619047628</v>
      </c>
      <c r="E4518" s="637">
        <f t="shared" si="153"/>
        <v>31.824095238095254</v>
      </c>
    </row>
    <row r="4519" spans="1:5">
      <c r="A4519">
        <v>70813</v>
      </c>
      <c r="B4519">
        <v>300</v>
      </c>
      <c r="C4519" s="455">
        <v>9.8840000000000003</v>
      </c>
      <c r="D4519" s="637">
        <f t="shared" si="152"/>
        <v>20.983888888888895</v>
      </c>
      <c r="E4519" s="637">
        <f t="shared" si="153"/>
        <v>32.083777777777797</v>
      </c>
    </row>
    <row r="4520" spans="1:5">
      <c r="A4520">
        <v>70813</v>
      </c>
      <c r="B4520">
        <v>400</v>
      </c>
      <c r="C4520" s="455">
        <v>9.7929999999999993</v>
      </c>
      <c r="D4520" s="637">
        <f t="shared" si="152"/>
        <v>20.790694444444451</v>
      </c>
      <c r="E4520" s="637">
        <f t="shared" si="153"/>
        <v>31.788388888888903</v>
      </c>
    </row>
    <row r="4521" spans="1:5">
      <c r="A4521">
        <v>70813</v>
      </c>
      <c r="B4521">
        <v>500</v>
      </c>
      <c r="C4521" s="455">
        <v>11.247</v>
      </c>
      <c r="D4521" s="637">
        <f t="shared" si="152"/>
        <v>23.877559523809531</v>
      </c>
      <c r="E4521" s="637">
        <f t="shared" si="153"/>
        <v>36.508119047619061</v>
      </c>
    </row>
    <row r="4522" spans="1:5">
      <c r="A4522">
        <v>70813</v>
      </c>
      <c r="B4522">
        <v>600</v>
      </c>
      <c r="C4522" s="455">
        <v>1.3109999999999999</v>
      </c>
      <c r="D4522" s="637">
        <f t="shared" si="152"/>
        <v>2.7832738095238101</v>
      </c>
      <c r="E4522" s="637">
        <f t="shared" si="153"/>
        <v>4.2555476190476211</v>
      </c>
    </row>
    <row r="4523" spans="1:5">
      <c r="A4523">
        <v>70813</v>
      </c>
      <c r="B4523">
        <v>700</v>
      </c>
      <c r="C4523" s="455">
        <v>0</v>
      </c>
      <c r="D4523" s="637">
        <f t="shared" si="152"/>
        <v>0</v>
      </c>
      <c r="E4523" s="637">
        <f t="shared" si="153"/>
        <v>0</v>
      </c>
    </row>
    <row r="4524" spans="1:5">
      <c r="A4524">
        <v>70813</v>
      </c>
      <c r="B4524">
        <v>800</v>
      </c>
      <c r="C4524" s="455">
        <v>0</v>
      </c>
      <c r="D4524" s="637">
        <f t="shared" si="152"/>
        <v>0</v>
      </c>
      <c r="E4524" s="637">
        <f t="shared" si="153"/>
        <v>0</v>
      </c>
    </row>
    <row r="4525" spans="1:5">
      <c r="A4525">
        <v>70813</v>
      </c>
      <c r="B4525">
        <v>900</v>
      </c>
      <c r="C4525" s="455">
        <v>0</v>
      </c>
      <c r="D4525" s="637">
        <f t="shared" si="152"/>
        <v>0</v>
      </c>
      <c r="E4525" s="637">
        <f t="shared" si="153"/>
        <v>0</v>
      </c>
    </row>
    <row r="4526" spans="1:5">
      <c r="A4526">
        <v>70813</v>
      </c>
      <c r="B4526">
        <v>1000</v>
      </c>
      <c r="C4526" s="455">
        <v>0</v>
      </c>
      <c r="D4526" s="637">
        <f t="shared" si="152"/>
        <v>0</v>
      </c>
      <c r="E4526" s="637">
        <f t="shared" si="153"/>
        <v>0</v>
      </c>
    </row>
    <row r="4527" spans="1:5">
      <c r="A4527">
        <v>70813</v>
      </c>
      <c r="B4527">
        <v>1100</v>
      </c>
      <c r="C4527" s="455">
        <v>1E-3</v>
      </c>
      <c r="D4527" s="637">
        <f t="shared" si="152"/>
        <v>2.1230158730158734E-3</v>
      </c>
      <c r="E4527" s="637">
        <f t="shared" si="153"/>
        <v>3.2460317460317476E-3</v>
      </c>
    </row>
    <row r="4528" spans="1:5">
      <c r="A4528">
        <v>70813</v>
      </c>
      <c r="B4528">
        <v>1200</v>
      </c>
      <c r="C4528" s="455">
        <v>0</v>
      </c>
      <c r="D4528" s="637">
        <f t="shared" si="152"/>
        <v>0</v>
      </c>
      <c r="E4528" s="637">
        <f t="shared" si="153"/>
        <v>0</v>
      </c>
    </row>
    <row r="4529" spans="1:5">
      <c r="A4529">
        <v>70813</v>
      </c>
      <c r="B4529">
        <v>1300</v>
      </c>
      <c r="C4529" s="455">
        <v>0</v>
      </c>
      <c r="D4529" s="637">
        <f t="shared" si="152"/>
        <v>0</v>
      </c>
      <c r="E4529" s="637">
        <f t="shared" si="153"/>
        <v>0</v>
      </c>
    </row>
    <row r="4530" spans="1:5">
      <c r="A4530">
        <v>70813</v>
      </c>
      <c r="B4530">
        <v>1400</v>
      </c>
      <c r="C4530" s="455">
        <v>0</v>
      </c>
      <c r="D4530" s="637">
        <f t="shared" si="152"/>
        <v>0</v>
      </c>
      <c r="E4530" s="637">
        <f t="shared" si="153"/>
        <v>0</v>
      </c>
    </row>
    <row r="4531" spans="1:5">
      <c r="A4531">
        <v>70813</v>
      </c>
      <c r="B4531">
        <v>1500</v>
      </c>
      <c r="C4531" s="455">
        <v>0</v>
      </c>
      <c r="D4531" s="637">
        <f t="shared" si="152"/>
        <v>0</v>
      </c>
      <c r="E4531" s="637">
        <f t="shared" si="153"/>
        <v>0</v>
      </c>
    </row>
    <row r="4532" spans="1:5">
      <c r="A4532">
        <v>70813</v>
      </c>
      <c r="B4532">
        <v>1600</v>
      </c>
      <c r="C4532" s="455">
        <v>1.611</v>
      </c>
      <c r="D4532" s="637">
        <f t="shared" si="152"/>
        <v>3.420178571428572</v>
      </c>
      <c r="E4532" s="637">
        <f t="shared" si="153"/>
        <v>5.229357142857145</v>
      </c>
    </row>
    <row r="4533" spans="1:5">
      <c r="A4533">
        <v>70813</v>
      </c>
      <c r="B4533">
        <v>1700</v>
      </c>
      <c r="C4533" s="455">
        <v>7.7439999999999998</v>
      </c>
      <c r="D4533" s="637">
        <f t="shared" si="152"/>
        <v>16.440634920634924</v>
      </c>
      <c r="E4533" s="637">
        <f t="shared" si="153"/>
        <v>25.137269841269852</v>
      </c>
    </row>
    <row r="4534" spans="1:5">
      <c r="A4534">
        <v>70813</v>
      </c>
      <c r="B4534">
        <v>1800</v>
      </c>
      <c r="C4534" s="455">
        <v>1.91</v>
      </c>
      <c r="D4534" s="637">
        <f t="shared" si="152"/>
        <v>4.0549603174603188</v>
      </c>
      <c r="E4534" s="637">
        <f t="shared" si="153"/>
        <v>6.1999206349206375</v>
      </c>
    </row>
    <row r="4535" spans="1:5">
      <c r="A4535">
        <v>70813</v>
      </c>
      <c r="B4535">
        <v>1900</v>
      </c>
      <c r="C4535" s="455">
        <v>9.125</v>
      </c>
      <c r="D4535" s="637">
        <f t="shared" si="152"/>
        <v>19.372519841269845</v>
      </c>
      <c r="E4535" s="637">
        <f t="shared" si="153"/>
        <v>29.620039682539698</v>
      </c>
    </row>
    <row r="4536" spans="1:5">
      <c r="A4536">
        <v>70813</v>
      </c>
      <c r="B4536">
        <v>2000</v>
      </c>
      <c r="C4536" s="455">
        <v>11.414</v>
      </c>
      <c r="D4536" s="637">
        <f t="shared" si="152"/>
        <v>24.232103174603179</v>
      </c>
      <c r="E4536" s="637">
        <f t="shared" si="153"/>
        <v>37.050206349206363</v>
      </c>
    </row>
    <row r="4537" spans="1:5">
      <c r="A4537">
        <v>70813</v>
      </c>
      <c r="B4537">
        <v>2100</v>
      </c>
      <c r="C4537" s="455">
        <v>8.2629999999999999</v>
      </c>
      <c r="D4537" s="637">
        <f t="shared" si="152"/>
        <v>17.542480158730164</v>
      </c>
      <c r="E4537" s="637">
        <f t="shared" si="153"/>
        <v>26.821960317460331</v>
      </c>
    </row>
    <row r="4538" spans="1:5">
      <c r="A4538">
        <v>70813</v>
      </c>
      <c r="B4538">
        <v>2200</v>
      </c>
      <c r="C4538" s="455">
        <v>8.9659999999999993</v>
      </c>
      <c r="D4538" s="637">
        <f t="shared" si="152"/>
        <v>19.034960317460321</v>
      </c>
      <c r="E4538" s="637">
        <f t="shared" si="153"/>
        <v>29.103920634920645</v>
      </c>
    </row>
    <row r="4539" spans="1:5">
      <c r="A4539">
        <v>70813</v>
      </c>
      <c r="B4539">
        <v>2300</v>
      </c>
      <c r="C4539" s="455">
        <v>9.4760000000000009</v>
      </c>
      <c r="D4539" s="637">
        <f t="shared" si="152"/>
        <v>20.11769841269842</v>
      </c>
      <c r="E4539" s="637">
        <f t="shared" si="153"/>
        <v>30.759396825396841</v>
      </c>
    </row>
    <row r="4540" spans="1:5">
      <c r="A4540">
        <v>70813</v>
      </c>
      <c r="B4540">
        <v>2400</v>
      </c>
      <c r="C4540" s="455">
        <v>9.5540000000000003</v>
      </c>
      <c r="D4540" s="637">
        <f t="shared" si="152"/>
        <v>20.283293650793656</v>
      </c>
      <c r="E4540" s="637">
        <f t="shared" si="153"/>
        <v>31.012587301587317</v>
      </c>
    </row>
    <row r="4541" spans="1:5">
      <c r="A4541">
        <v>70913</v>
      </c>
      <c r="B4541">
        <v>100</v>
      </c>
      <c r="C4541" s="455">
        <v>9.7330000000000005</v>
      </c>
      <c r="D4541" s="637">
        <f t="shared" si="152"/>
        <v>20.663313492063498</v>
      </c>
      <c r="E4541" s="637">
        <f t="shared" si="153"/>
        <v>31.593626984126999</v>
      </c>
    </row>
    <row r="4542" spans="1:5">
      <c r="A4542">
        <v>70913</v>
      </c>
      <c r="B4542">
        <v>200</v>
      </c>
      <c r="C4542" s="455">
        <v>9.6560000000000006</v>
      </c>
      <c r="D4542" s="637">
        <f t="shared" ref="D4542:D4605" si="154">(C4542/(MAX($C$4349:$C$5092)))*$W$11</f>
        <v>20.499841269841276</v>
      </c>
      <c r="E4542" s="637">
        <f t="shared" ref="E4542:E4605" si="155">(C4542/(MAX($C$4349:$C$5092)))*$P$11</f>
        <v>31.343682539682554</v>
      </c>
    </row>
    <row r="4543" spans="1:5">
      <c r="A4543">
        <v>70913</v>
      </c>
      <c r="B4543">
        <v>300</v>
      </c>
      <c r="C4543" s="455">
        <v>9.9939999999999998</v>
      </c>
      <c r="D4543" s="637">
        <f t="shared" si="154"/>
        <v>21.217420634920639</v>
      </c>
      <c r="E4543" s="637">
        <f t="shared" si="155"/>
        <v>32.440841269841279</v>
      </c>
    </row>
    <row r="4544" spans="1:5">
      <c r="A4544">
        <v>70913</v>
      </c>
      <c r="B4544">
        <v>400</v>
      </c>
      <c r="C4544" s="455">
        <v>10.092000000000001</v>
      </c>
      <c r="D4544" s="637">
        <f t="shared" si="154"/>
        <v>21.425476190476196</v>
      </c>
      <c r="E4544" s="637">
        <f t="shared" si="155"/>
        <v>32.758952380952401</v>
      </c>
    </row>
    <row r="4545" spans="1:5">
      <c r="A4545">
        <v>70913</v>
      </c>
      <c r="B4545">
        <v>500</v>
      </c>
      <c r="C4545" s="455">
        <v>11.497</v>
      </c>
      <c r="D4545" s="637">
        <f t="shared" si="154"/>
        <v>24.408313492063499</v>
      </c>
      <c r="E4545" s="637">
        <f t="shared" si="155"/>
        <v>37.319626984126998</v>
      </c>
    </row>
    <row r="4546" spans="1:5">
      <c r="A4546">
        <v>70913</v>
      </c>
      <c r="B4546">
        <v>600</v>
      </c>
      <c r="C4546" s="455">
        <v>3.4569999999999999</v>
      </c>
      <c r="D4546" s="637">
        <f t="shared" si="154"/>
        <v>7.3392658730158749</v>
      </c>
      <c r="E4546" s="637">
        <f t="shared" si="155"/>
        <v>11.221531746031751</v>
      </c>
    </row>
    <row r="4547" spans="1:5">
      <c r="A4547">
        <v>70913</v>
      </c>
      <c r="B4547">
        <v>700</v>
      </c>
      <c r="C4547" s="455">
        <v>1E-3</v>
      </c>
      <c r="D4547" s="637">
        <f t="shared" si="154"/>
        <v>2.1230158730158734E-3</v>
      </c>
      <c r="E4547" s="637">
        <f t="shared" si="155"/>
        <v>3.2460317460317476E-3</v>
      </c>
    </row>
    <row r="4548" spans="1:5">
      <c r="A4548">
        <v>70913</v>
      </c>
      <c r="B4548">
        <v>800</v>
      </c>
      <c r="C4548" s="455">
        <v>0.44</v>
      </c>
      <c r="D4548" s="637">
        <f t="shared" si="154"/>
        <v>0.93412698412698436</v>
      </c>
      <c r="E4548" s="637">
        <f t="shared" si="155"/>
        <v>1.428253968253969</v>
      </c>
    </row>
    <row r="4549" spans="1:5">
      <c r="A4549">
        <v>70913</v>
      </c>
      <c r="B4549">
        <v>900</v>
      </c>
      <c r="C4549" s="455">
        <v>2.2679999999999998</v>
      </c>
      <c r="D4549" s="637">
        <f t="shared" si="154"/>
        <v>4.8150000000000013</v>
      </c>
      <c r="E4549" s="637">
        <f t="shared" si="155"/>
        <v>7.3620000000000028</v>
      </c>
    </row>
    <row r="4550" spans="1:5">
      <c r="A4550">
        <v>70913</v>
      </c>
      <c r="B4550">
        <v>1000</v>
      </c>
      <c r="C4550" s="455">
        <v>2.2679999999999998</v>
      </c>
      <c r="D4550" s="637">
        <f t="shared" si="154"/>
        <v>4.8150000000000013</v>
      </c>
      <c r="E4550" s="637">
        <f t="shared" si="155"/>
        <v>7.3620000000000028</v>
      </c>
    </row>
    <row r="4551" spans="1:5">
      <c r="A4551">
        <v>70913</v>
      </c>
      <c r="B4551">
        <v>1100</v>
      </c>
      <c r="C4551" s="455">
        <v>1.512</v>
      </c>
      <c r="D4551" s="637">
        <f t="shared" si="154"/>
        <v>3.2100000000000009</v>
      </c>
      <c r="E4551" s="637">
        <f t="shared" si="155"/>
        <v>4.9080000000000021</v>
      </c>
    </row>
    <row r="4552" spans="1:5">
      <c r="A4552">
        <v>70913</v>
      </c>
      <c r="B4552">
        <v>1200</v>
      </c>
      <c r="C4552" s="455">
        <v>0</v>
      </c>
      <c r="D4552" s="637">
        <f t="shared" si="154"/>
        <v>0</v>
      </c>
      <c r="E4552" s="637">
        <f t="shared" si="155"/>
        <v>0</v>
      </c>
    </row>
    <row r="4553" spans="1:5">
      <c r="A4553">
        <v>70913</v>
      </c>
      <c r="B4553">
        <v>1300</v>
      </c>
      <c r="C4553" s="455">
        <v>0</v>
      </c>
      <c r="D4553" s="637">
        <f t="shared" si="154"/>
        <v>0</v>
      </c>
      <c r="E4553" s="637">
        <f t="shared" si="155"/>
        <v>0</v>
      </c>
    </row>
    <row r="4554" spans="1:5">
      <c r="A4554">
        <v>70913</v>
      </c>
      <c r="B4554">
        <v>1400</v>
      </c>
      <c r="C4554" s="455">
        <v>0</v>
      </c>
      <c r="D4554" s="637">
        <f t="shared" si="154"/>
        <v>0</v>
      </c>
      <c r="E4554" s="637">
        <f t="shared" si="155"/>
        <v>0</v>
      </c>
    </row>
    <row r="4555" spans="1:5">
      <c r="A4555">
        <v>70913</v>
      </c>
      <c r="B4555">
        <v>1500</v>
      </c>
      <c r="C4555" s="455">
        <v>0</v>
      </c>
      <c r="D4555" s="637">
        <f t="shared" si="154"/>
        <v>0</v>
      </c>
      <c r="E4555" s="637">
        <f t="shared" si="155"/>
        <v>0</v>
      </c>
    </row>
    <row r="4556" spans="1:5">
      <c r="A4556">
        <v>70913</v>
      </c>
      <c r="B4556">
        <v>1600</v>
      </c>
      <c r="C4556" s="455">
        <v>0</v>
      </c>
      <c r="D4556" s="637">
        <f t="shared" si="154"/>
        <v>0</v>
      </c>
      <c r="E4556" s="637">
        <f t="shared" si="155"/>
        <v>0</v>
      </c>
    </row>
    <row r="4557" spans="1:5">
      <c r="A4557">
        <v>70913</v>
      </c>
      <c r="B4557">
        <v>1700</v>
      </c>
      <c r="C4557" s="455">
        <v>0</v>
      </c>
      <c r="D4557" s="637">
        <f t="shared" si="154"/>
        <v>0</v>
      </c>
      <c r="E4557" s="637">
        <f t="shared" si="155"/>
        <v>0</v>
      </c>
    </row>
    <row r="4558" spans="1:5">
      <c r="A4558">
        <v>70913</v>
      </c>
      <c r="B4558">
        <v>1800</v>
      </c>
      <c r="C4558" s="455">
        <v>0</v>
      </c>
      <c r="D4558" s="637">
        <f t="shared" si="154"/>
        <v>0</v>
      </c>
      <c r="E4558" s="637">
        <f t="shared" si="155"/>
        <v>0</v>
      </c>
    </row>
    <row r="4559" spans="1:5">
      <c r="A4559">
        <v>70913</v>
      </c>
      <c r="B4559">
        <v>1900</v>
      </c>
      <c r="C4559" s="455">
        <v>0</v>
      </c>
      <c r="D4559" s="637">
        <f t="shared" si="154"/>
        <v>0</v>
      </c>
      <c r="E4559" s="637">
        <f t="shared" si="155"/>
        <v>0</v>
      </c>
    </row>
    <row r="4560" spans="1:5">
      <c r="A4560">
        <v>70913</v>
      </c>
      <c r="B4560">
        <v>2000</v>
      </c>
      <c r="C4560" s="455">
        <v>3.7829999999999999</v>
      </c>
      <c r="D4560" s="637">
        <f t="shared" si="154"/>
        <v>8.0313690476190498</v>
      </c>
      <c r="E4560" s="637">
        <f t="shared" si="155"/>
        <v>12.2797380952381</v>
      </c>
    </row>
    <row r="4561" spans="1:5">
      <c r="A4561">
        <v>70913</v>
      </c>
      <c r="B4561">
        <v>2100</v>
      </c>
      <c r="C4561" s="455">
        <v>10.891999999999999</v>
      </c>
      <c r="D4561" s="637">
        <f t="shared" si="154"/>
        <v>23.123888888888892</v>
      </c>
      <c r="E4561" s="637">
        <f t="shared" si="155"/>
        <v>35.355777777777789</v>
      </c>
    </row>
    <row r="4562" spans="1:5">
      <c r="A4562">
        <v>70913</v>
      </c>
      <c r="B4562">
        <v>2200</v>
      </c>
      <c r="C4562" s="455">
        <v>9.9039999999999999</v>
      </c>
      <c r="D4562" s="637">
        <f t="shared" si="154"/>
        <v>21.026349206349213</v>
      </c>
      <c r="E4562" s="637">
        <f t="shared" si="155"/>
        <v>32.14869841269843</v>
      </c>
    </row>
    <row r="4563" spans="1:5">
      <c r="A4563">
        <v>70913</v>
      </c>
      <c r="B4563">
        <v>2300</v>
      </c>
      <c r="C4563" s="455">
        <v>9.3829999999999991</v>
      </c>
      <c r="D4563" s="637">
        <f t="shared" si="154"/>
        <v>19.920257936507941</v>
      </c>
      <c r="E4563" s="637">
        <f t="shared" si="155"/>
        <v>30.457515873015883</v>
      </c>
    </row>
    <row r="4564" spans="1:5">
      <c r="A4564">
        <v>70913</v>
      </c>
      <c r="B4564">
        <v>2400</v>
      </c>
      <c r="C4564" s="455">
        <v>9.6059999999999999</v>
      </c>
      <c r="D4564" s="637">
        <f t="shared" si="154"/>
        <v>20.393690476190482</v>
      </c>
      <c r="E4564" s="637">
        <f t="shared" si="155"/>
        <v>31.181380952380966</v>
      </c>
    </row>
    <row r="4565" spans="1:5">
      <c r="A4565">
        <v>71013</v>
      </c>
      <c r="B4565">
        <v>100</v>
      </c>
      <c r="C4565" s="455">
        <v>9.5030000000000001</v>
      </c>
      <c r="D4565" s="637">
        <f t="shared" si="154"/>
        <v>20.175019841269847</v>
      </c>
      <c r="E4565" s="637">
        <f t="shared" si="155"/>
        <v>30.847039682539698</v>
      </c>
    </row>
    <row r="4566" spans="1:5">
      <c r="A4566">
        <v>71013</v>
      </c>
      <c r="B4566">
        <v>200</v>
      </c>
      <c r="C4566" s="455">
        <v>9.5489999999999995</v>
      </c>
      <c r="D4566" s="637">
        <f t="shared" si="154"/>
        <v>20.272678571428575</v>
      </c>
      <c r="E4566" s="637">
        <f t="shared" si="155"/>
        <v>30.996357142857153</v>
      </c>
    </row>
    <row r="4567" spans="1:5">
      <c r="A4567">
        <v>71013</v>
      </c>
      <c r="B4567">
        <v>300</v>
      </c>
      <c r="C4567" s="455">
        <v>9.6080000000000005</v>
      </c>
      <c r="D4567" s="637">
        <f t="shared" si="154"/>
        <v>20.397936507936514</v>
      </c>
      <c r="E4567" s="637">
        <f t="shared" si="155"/>
        <v>31.187873015873034</v>
      </c>
    </row>
    <row r="4568" spans="1:5">
      <c r="A4568">
        <v>71013</v>
      </c>
      <c r="B4568">
        <v>400</v>
      </c>
      <c r="C4568" s="455">
        <v>9.7520000000000007</v>
      </c>
      <c r="D4568" s="637">
        <f t="shared" si="154"/>
        <v>20.703650793650802</v>
      </c>
      <c r="E4568" s="637">
        <f t="shared" si="155"/>
        <v>31.655301587301604</v>
      </c>
    </row>
    <row r="4569" spans="1:5">
      <c r="A4569">
        <v>71013</v>
      </c>
      <c r="B4569">
        <v>500</v>
      </c>
      <c r="C4569" s="455">
        <v>10.141</v>
      </c>
      <c r="D4569" s="637">
        <f t="shared" si="154"/>
        <v>21.529503968253977</v>
      </c>
      <c r="E4569" s="637">
        <f t="shared" si="155"/>
        <v>32.918007936507955</v>
      </c>
    </row>
    <row r="4570" spans="1:5">
      <c r="A4570">
        <v>71013</v>
      </c>
      <c r="B4570">
        <v>600</v>
      </c>
      <c r="C4570" s="455">
        <v>5.0590000000000002</v>
      </c>
      <c r="D4570" s="637">
        <f t="shared" si="154"/>
        <v>10.740337301587305</v>
      </c>
      <c r="E4570" s="637">
        <f t="shared" si="155"/>
        <v>16.421674603174612</v>
      </c>
    </row>
    <row r="4571" spans="1:5">
      <c r="A4571">
        <v>71013</v>
      </c>
      <c r="B4571">
        <v>700</v>
      </c>
      <c r="C4571" s="455">
        <v>0</v>
      </c>
      <c r="D4571" s="637">
        <f t="shared" si="154"/>
        <v>0</v>
      </c>
      <c r="E4571" s="637">
        <f t="shared" si="155"/>
        <v>0</v>
      </c>
    </row>
    <row r="4572" spans="1:5">
      <c r="A4572">
        <v>71013</v>
      </c>
      <c r="B4572">
        <v>800</v>
      </c>
      <c r="C4572" s="455">
        <v>0.28899999999999998</v>
      </c>
      <c r="D4572" s="637">
        <f t="shared" si="154"/>
        <v>0.61355158730158743</v>
      </c>
      <c r="E4572" s="637">
        <f t="shared" si="155"/>
        <v>0.93810317460317494</v>
      </c>
    </row>
    <row r="4573" spans="1:5">
      <c r="A4573">
        <v>71013</v>
      </c>
      <c r="B4573">
        <v>900</v>
      </c>
      <c r="C4573" s="455">
        <v>1E-3</v>
      </c>
      <c r="D4573" s="637">
        <f t="shared" si="154"/>
        <v>2.1230158730158734E-3</v>
      </c>
      <c r="E4573" s="637">
        <f t="shared" si="155"/>
        <v>3.2460317460317476E-3</v>
      </c>
    </row>
    <row r="4574" spans="1:5">
      <c r="A4574">
        <v>71013</v>
      </c>
      <c r="B4574">
        <v>1000</v>
      </c>
      <c r="C4574" s="455">
        <v>0</v>
      </c>
      <c r="D4574" s="637">
        <f t="shared" si="154"/>
        <v>0</v>
      </c>
      <c r="E4574" s="637">
        <f t="shared" si="155"/>
        <v>0</v>
      </c>
    </row>
    <row r="4575" spans="1:5">
      <c r="A4575">
        <v>71013</v>
      </c>
      <c r="B4575">
        <v>1100</v>
      </c>
      <c r="C4575" s="455">
        <v>0</v>
      </c>
      <c r="D4575" s="637">
        <f t="shared" si="154"/>
        <v>0</v>
      </c>
      <c r="E4575" s="637">
        <f t="shared" si="155"/>
        <v>0</v>
      </c>
    </row>
    <row r="4576" spans="1:5">
      <c r="A4576">
        <v>71013</v>
      </c>
      <c r="B4576">
        <v>1200</v>
      </c>
      <c r="C4576" s="455">
        <v>0</v>
      </c>
      <c r="D4576" s="637">
        <f t="shared" si="154"/>
        <v>0</v>
      </c>
      <c r="E4576" s="637">
        <f t="shared" si="155"/>
        <v>0</v>
      </c>
    </row>
    <row r="4577" spans="1:5">
      <c r="A4577">
        <v>71013</v>
      </c>
      <c r="B4577">
        <v>1300</v>
      </c>
      <c r="C4577" s="455">
        <v>0</v>
      </c>
      <c r="D4577" s="637">
        <f t="shared" si="154"/>
        <v>0</v>
      </c>
      <c r="E4577" s="637">
        <f t="shared" si="155"/>
        <v>0</v>
      </c>
    </row>
    <row r="4578" spans="1:5">
      <c r="A4578">
        <v>71013</v>
      </c>
      <c r="B4578">
        <v>1400</v>
      </c>
      <c r="C4578" s="455">
        <v>0</v>
      </c>
      <c r="D4578" s="637">
        <f t="shared" si="154"/>
        <v>0</v>
      </c>
      <c r="E4578" s="637">
        <f t="shared" si="155"/>
        <v>0</v>
      </c>
    </row>
    <row r="4579" spans="1:5">
      <c r="A4579">
        <v>71013</v>
      </c>
      <c r="B4579">
        <v>1500</v>
      </c>
      <c r="C4579" s="455">
        <v>0</v>
      </c>
      <c r="D4579" s="637">
        <f t="shared" si="154"/>
        <v>0</v>
      </c>
      <c r="E4579" s="637">
        <f t="shared" si="155"/>
        <v>0</v>
      </c>
    </row>
    <row r="4580" spans="1:5">
      <c r="A4580">
        <v>71013</v>
      </c>
      <c r="B4580">
        <v>1600</v>
      </c>
      <c r="C4580" s="455">
        <v>0</v>
      </c>
      <c r="D4580" s="637">
        <f t="shared" si="154"/>
        <v>0</v>
      </c>
      <c r="E4580" s="637">
        <f t="shared" si="155"/>
        <v>0</v>
      </c>
    </row>
    <row r="4581" spans="1:5">
      <c r="A4581">
        <v>71013</v>
      </c>
      <c r="B4581">
        <v>1700</v>
      </c>
      <c r="C4581" s="455">
        <v>0</v>
      </c>
      <c r="D4581" s="637">
        <f t="shared" si="154"/>
        <v>0</v>
      </c>
      <c r="E4581" s="637">
        <f t="shared" si="155"/>
        <v>0</v>
      </c>
    </row>
    <row r="4582" spans="1:5">
      <c r="A4582">
        <v>71013</v>
      </c>
      <c r="B4582">
        <v>1800</v>
      </c>
      <c r="C4582" s="455">
        <v>0</v>
      </c>
      <c r="D4582" s="637">
        <f t="shared" si="154"/>
        <v>0</v>
      </c>
      <c r="E4582" s="637">
        <f t="shared" si="155"/>
        <v>0</v>
      </c>
    </row>
    <row r="4583" spans="1:5">
      <c r="A4583">
        <v>71013</v>
      </c>
      <c r="B4583">
        <v>1900</v>
      </c>
      <c r="C4583" s="455">
        <v>0</v>
      </c>
      <c r="D4583" s="637">
        <f t="shared" si="154"/>
        <v>0</v>
      </c>
      <c r="E4583" s="637">
        <f t="shared" si="155"/>
        <v>0</v>
      </c>
    </row>
    <row r="4584" spans="1:5">
      <c r="A4584">
        <v>71013</v>
      </c>
      <c r="B4584">
        <v>2000</v>
      </c>
      <c r="C4584" s="455">
        <v>1.081</v>
      </c>
      <c r="D4584" s="637">
        <f t="shared" si="154"/>
        <v>2.294980158730159</v>
      </c>
      <c r="E4584" s="637">
        <f t="shared" si="155"/>
        <v>3.5089603174603186</v>
      </c>
    </row>
    <row r="4585" spans="1:5">
      <c r="A4585">
        <v>71013</v>
      </c>
      <c r="B4585">
        <v>2100</v>
      </c>
      <c r="C4585" s="455">
        <v>11.018000000000001</v>
      </c>
      <c r="D4585" s="637">
        <f t="shared" si="154"/>
        <v>23.391388888888898</v>
      </c>
      <c r="E4585" s="637">
        <f t="shared" si="155"/>
        <v>35.764777777777795</v>
      </c>
    </row>
    <row r="4586" spans="1:5">
      <c r="A4586">
        <v>71013</v>
      </c>
      <c r="B4586">
        <v>2200</v>
      </c>
      <c r="C4586" s="455">
        <v>9.5289999999999999</v>
      </c>
      <c r="D4586" s="637">
        <f t="shared" si="154"/>
        <v>20.23021825396826</v>
      </c>
      <c r="E4586" s="637">
        <f t="shared" si="155"/>
        <v>30.931436507936521</v>
      </c>
    </row>
    <row r="4587" spans="1:5">
      <c r="A4587">
        <v>71013</v>
      </c>
      <c r="B4587">
        <v>2300</v>
      </c>
      <c r="C4587" s="455">
        <v>9.5410000000000004</v>
      </c>
      <c r="D4587" s="637">
        <f t="shared" si="154"/>
        <v>20.255694444444451</v>
      </c>
      <c r="E4587" s="637">
        <f t="shared" si="155"/>
        <v>30.970388888888905</v>
      </c>
    </row>
    <row r="4588" spans="1:5">
      <c r="A4588">
        <v>71013</v>
      </c>
      <c r="B4588">
        <v>2400</v>
      </c>
      <c r="C4588" s="455">
        <v>9.5020000000000007</v>
      </c>
      <c r="D4588" s="637">
        <f t="shared" si="154"/>
        <v>20.172896825396833</v>
      </c>
      <c r="E4588" s="637">
        <f t="shared" si="155"/>
        <v>30.843793650793668</v>
      </c>
    </row>
    <row r="4589" spans="1:5">
      <c r="A4589">
        <v>71113</v>
      </c>
      <c r="B4589">
        <v>100</v>
      </c>
      <c r="C4589" s="455">
        <v>9.6890000000000001</v>
      </c>
      <c r="D4589" s="637">
        <f t="shared" si="154"/>
        <v>20.569900793650799</v>
      </c>
      <c r="E4589" s="637">
        <f t="shared" si="155"/>
        <v>31.450801587301601</v>
      </c>
    </row>
    <row r="4590" spans="1:5">
      <c r="A4590">
        <v>71113</v>
      </c>
      <c r="B4590">
        <v>200</v>
      </c>
      <c r="C4590" s="455">
        <v>9.5399999999999991</v>
      </c>
      <c r="D4590" s="637">
        <f t="shared" si="154"/>
        <v>20.253571428571433</v>
      </c>
      <c r="E4590" s="637">
        <f t="shared" si="155"/>
        <v>30.967142857142868</v>
      </c>
    </row>
    <row r="4591" spans="1:5">
      <c r="A4591">
        <v>71113</v>
      </c>
      <c r="B4591">
        <v>300</v>
      </c>
      <c r="C4591" s="455">
        <v>9.5079999999999991</v>
      </c>
      <c r="D4591" s="637">
        <f t="shared" si="154"/>
        <v>20.185634920634921</v>
      </c>
      <c r="E4591" s="637">
        <f t="shared" si="155"/>
        <v>30.863269841269851</v>
      </c>
    </row>
    <row r="4592" spans="1:5">
      <c r="A4592">
        <v>71113</v>
      </c>
      <c r="B4592">
        <v>400</v>
      </c>
      <c r="C4592" s="455">
        <v>9.76</v>
      </c>
      <c r="D4592" s="637">
        <f t="shared" si="154"/>
        <v>20.720634920634925</v>
      </c>
      <c r="E4592" s="637">
        <f t="shared" si="155"/>
        <v>31.681269841269856</v>
      </c>
    </row>
    <row r="4593" spans="1:5">
      <c r="A4593">
        <v>71113</v>
      </c>
      <c r="B4593">
        <v>500</v>
      </c>
      <c r="C4593" s="455">
        <v>10.474</v>
      </c>
      <c r="D4593" s="637">
        <f t="shared" si="154"/>
        <v>22.236468253968262</v>
      </c>
      <c r="E4593" s="637">
        <f t="shared" si="155"/>
        <v>33.99893650793652</v>
      </c>
    </row>
    <row r="4594" spans="1:5">
      <c r="A4594">
        <v>71113</v>
      </c>
      <c r="B4594">
        <v>600</v>
      </c>
      <c r="C4594" s="455">
        <v>0.82799999999999996</v>
      </c>
      <c r="D4594" s="637">
        <f t="shared" si="154"/>
        <v>1.757857142857143</v>
      </c>
      <c r="E4594" s="637">
        <f t="shared" si="155"/>
        <v>2.6877142857142866</v>
      </c>
    </row>
    <row r="4595" spans="1:5">
      <c r="A4595">
        <v>71113</v>
      </c>
      <c r="B4595">
        <v>700</v>
      </c>
      <c r="C4595" s="455">
        <v>0</v>
      </c>
      <c r="D4595" s="637">
        <f t="shared" si="154"/>
        <v>0</v>
      </c>
      <c r="E4595" s="637">
        <f t="shared" si="155"/>
        <v>0</v>
      </c>
    </row>
    <row r="4596" spans="1:5">
      <c r="A4596">
        <v>71113</v>
      </c>
      <c r="B4596">
        <v>800</v>
      </c>
      <c r="C4596" s="455">
        <v>0</v>
      </c>
      <c r="D4596" s="637">
        <f t="shared" si="154"/>
        <v>0</v>
      </c>
      <c r="E4596" s="637">
        <f t="shared" si="155"/>
        <v>0</v>
      </c>
    </row>
    <row r="4597" spans="1:5">
      <c r="A4597">
        <v>71113</v>
      </c>
      <c r="B4597">
        <v>900</v>
      </c>
      <c r="C4597" s="455">
        <v>0</v>
      </c>
      <c r="D4597" s="637">
        <f t="shared" si="154"/>
        <v>0</v>
      </c>
      <c r="E4597" s="637">
        <f t="shared" si="155"/>
        <v>0</v>
      </c>
    </row>
    <row r="4598" spans="1:5">
      <c r="A4598">
        <v>71113</v>
      </c>
      <c r="B4598">
        <v>1000</v>
      </c>
      <c r="C4598" s="455">
        <v>0</v>
      </c>
      <c r="D4598" s="637">
        <f t="shared" si="154"/>
        <v>0</v>
      </c>
      <c r="E4598" s="637">
        <f t="shared" si="155"/>
        <v>0</v>
      </c>
    </row>
    <row r="4599" spans="1:5">
      <c r="A4599">
        <v>71113</v>
      </c>
      <c r="B4599">
        <v>1100</v>
      </c>
      <c r="C4599" s="455">
        <v>1.2E-2</v>
      </c>
      <c r="D4599" s="637">
        <f t="shared" si="154"/>
        <v>2.5476190476190486E-2</v>
      </c>
      <c r="E4599" s="637">
        <f t="shared" si="155"/>
        <v>3.8952380952380974E-2</v>
      </c>
    </row>
    <row r="4600" spans="1:5">
      <c r="A4600">
        <v>71113</v>
      </c>
      <c r="B4600">
        <v>1200</v>
      </c>
      <c r="C4600" s="455">
        <v>0.28799999999999998</v>
      </c>
      <c r="D4600" s="637">
        <f t="shared" si="154"/>
        <v>0.61142857142857154</v>
      </c>
      <c r="E4600" s="637">
        <f t="shared" si="155"/>
        <v>0.93485714285714328</v>
      </c>
    </row>
    <row r="4601" spans="1:5">
      <c r="A4601">
        <v>71113</v>
      </c>
      <c r="B4601">
        <v>1300</v>
      </c>
      <c r="C4601" s="455">
        <v>0</v>
      </c>
      <c r="D4601" s="637">
        <f t="shared" si="154"/>
        <v>0</v>
      </c>
      <c r="E4601" s="637">
        <f t="shared" si="155"/>
        <v>0</v>
      </c>
    </row>
    <row r="4602" spans="1:5">
      <c r="A4602">
        <v>71113</v>
      </c>
      <c r="B4602">
        <v>1400</v>
      </c>
      <c r="C4602" s="455">
        <v>0</v>
      </c>
      <c r="D4602" s="637">
        <f t="shared" si="154"/>
        <v>0</v>
      </c>
      <c r="E4602" s="637">
        <f t="shared" si="155"/>
        <v>0</v>
      </c>
    </row>
    <row r="4603" spans="1:5">
      <c r="A4603">
        <v>71113</v>
      </c>
      <c r="B4603">
        <v>1500</v>
      </c>
      <c r="C4603" s="455">
        <v>0</v>
      </c>
      <c r="D4603" s="637">
        <f t="shared" si="154"/>
        <v>0</v>
      </c>
      <c r="E4603" s="637">
        <f t="shared" si="155"/>
        <v>0</v>
      </c>
    </row>
    <row r="4604" spans="1:5">
      <c r="A4604">
        <v>71113</v>
      </c>
      <c r="B4604">
        <v>1600</v>
      </c>
      <c r="C4604" s="455">
        <v>0</v>
      </c>
      <c r="D4604" s="637">
        <f t="shared" si="154"/>
        <v>0</v>
      </c>
      <c r="E4604" s="637">
        <f t="shared" si="155"/>
        <v>0</v>
      </c>
    </row>
    <row r="4605" spans="1:5">
      <c r="A4605">
        <v>71113</v>
      </c>
      <c r="B4605">
        <v>1700</v>
      </c>
      <c r="C4605" s="455">
        <v>0</v>
      </c>
      <c r="D4605" s="637">
        <f t="shared" si="154"/>
        <v>0</v>
      </c>
      <c r="E4605" s="637">
        <f t="shared" si="155"/>
        <v>0</v>
      </c>
    </row>
    <row r="4606" spans="1:5">
      <c r="A4606">
        <v>71113</v>
      </c>
      <c r="B4606">
        <v>1800</v>
      </c>
      <c r="C4606" s="455">
        <v>0</v>
      </c>
      <c r="D4606" s="637">
        <f t="shared" ref="D4606:D4669" si="156">(C4606/(MAX($C$4349:$C$5092)))*$W$11</f>
        <v>0</v>
      </c>
      <c r="E4606" s="637">
        <f t="shared" ref="E4606:E4669" si="157">(C4606/(MAX($C$4349:$C$5092)))*$P$11</f>
        <v>0</v>
      </c>
    </row>
    <row r="4607" spans="1:5">
      <c r="A4607">
        <v>71113</v>
      </c>
      <c r="B4607">
        <v>1900</v>
      </c>
      <c r="C4607" s="455">
        <v>0</v>
      </c>
      <c r="D4607" s="637">
        <f t="shared" si="156"/>
        <v>0</v>
      </c>
      <c r="E4607" s="637">
        <f t="shared" si="157"/>
        <v>0</v>
      </c>
    </row>
    <row r="4608" spans="1:5">
      <c r="A4608">
        <v>71113</v>
      </c>
      <c r="B4608">
        <v>2000</v>
      </c>
      <c r="C4608" s="455">
        <v>2.1040000000000001</v>
      </c>
      <c r="D4608" s="637">
        <f t="shared" si="156"/>
        <v>4.4668253968253984</v>
      </c>
      <c r="E4608" s="637">
        <f t="shared" si="157"/>
        <v>6.8296507936507975</v>
      </c>
    </row>
    <row r="4609" spans="1:5">
      <c r="A4609">
        <v>71113</v>
      </c>
      <c r="B4609">
        <v>2100</v>
      </c>
      <c r="C4609" s="455">
        <v>12.065</v>
      </c>
      <c r="D4609" s="637">
        <f t="shared" si="156"/>
        <v>25.614186507936516</v>
      </c>
      <c r="E4609" s="637">
        <f t="shared" si="157"/>
        <v>39.163373015873034</v>
      </c>
    </row>
    <row r="4610" spans="1:5">
      <c r="A4610">
        <v>71113</v>
      </c>
      <c r="B4610">
        <v>2200</v>
      </c>
      <c r="C4610" s="455">
        <v>10.191000000000001</v>
      </c>
      <c r="D4610" s="637">
        <f t="shared" si="156"/>
        <v>21.635654761904771</v>
      </c>
      <c r="E4610" s="637">
        <f t="shared" si="157"/>
        <v>33.080309523809539</v>
      </c>
    </row>
    <row r="4611" spans="1:5">
      <c r="A4611">
        <v>71113</v>
      </c>
      <c r="B4611">
        <v>2300</v>
      </c>
      <c r="C4611" s="455">
        <v>10.073</v>
      </c>
      <c r="D4611" s="637">
        <f t="shared" si="156"/>
        <v>21.385138888888896</v>
      </c>
      <c r="E4611" s="637">
        <f t="shared" si="157"/>
        <v>32.697277777777792</v>
      </c>
    </row>
    <row r="4612" spans="1:5">
      <c r="A4612">
        <v>71113</v>
      </c>
      <c r="B4612">
        <v>2400</v>
      </c>
      <c r="C4612" s="455">
        <v>10.122999999999999</v>
      </c>
      <c r="D4612" s="637">
        <f t="shared" si="156"/>
        <v>21.491289682539687</v>
      </c>
      <c r="E4612" s="637">
        <f t="shared" si="157"/>
        <v>32.859579365079377</v>
      </c>
    </row>
    <row r="4613" spans="1:5">
      <c r="A4613">
        <v>71213</v>
      </c>
      <c r="B4613">
        <v>100</v>
      </c>
      <c r="C4613" s="455">
        <v>10.236000000000001</v>
      </c>
      <c r="D4613" s="637">
        <f t="shared" si="156"/>
        <v>21.731190476190484</v>
      </c>
      <c r="E4613" s="637">
        <f t="shared" si="157"/>
        <v>33.226380952380971</v>
      </c>
    </row>
    <row r="4614" spans="1:5">
      <c r="A4614">
        <v>71213</v>
      </c>
      <c r="B4614">
        <v>200</v>
      </c>
      <c r="C4614" s="455">
        <v>10.145</v>
      </c>
      <c r="D4614" s="637">
        <f t="shared" si="156"/>
        <v>21.537996031746037</v>
      </c>
      <c r="E4614" s="637">
        <f t="shared" si="157"/>
        <v>32.930992063492077</v>
      </c>
    </row>
    <row r="4615" spans="1:5">
      <c r="A4615">
        <v>71213</v>
      </c>
      <c r="B4615">
        <v>300</v>
      </c>
      <c r="C4615" s="455">
        <v>10.263999999999999</v>
      </c>
      <c r="D4615" s="637">
        <f t="shared" si="156"/>
        <v>21.790634920634925</v>
      </c>
      <c r="E4615" s="637">
        <f t="shared" si="157"/>
        <v>33.317269841269855</v>
      </c>
    </row>
    <row r="4616" spans="1:5">
      <c r="A4616">
        <v>71213</v>
      </c>
      <c r="B4616">
        <v>400</v>
      </c>
      <c r="C4616" s="455">
        <v>10.228</v>
      </c>
      <c r="D4616" s="637">
        <f t="shared" si="156"/>
        <v>21.714206349206354</v>
      </c>
      <c r="E4616" s="637">
        <f t="shared" si="157"/>
        <v>33.200412698412713</v>
      </c>
    </row>
    <row r="4617" spans="1:5">
      <c r="A4617">
        <v>71213</v>
      </c>
      <c r="B4617">
        <v>500</v>
      </c>
      <c r="C4617" s="455">
        <v>11.381</v>
      </c>
      <c r="D4617" s="637">
        <f t="shared" si="156"/>
        <v>24.162043650793656</v>
      </c>
      <c r="E4617" s="637">
        <f t="shared" si="157"/>
        <v>36.943087301587319</v>
      </c>
    </row>
    <row r="4618" spans="1:5">
      <c r="A4618">
        <v>71213</v>
      </c>
      <c r="B4618">
        <v>600</v>
      </c>
      <c r="C4618" s="455">
        <v>1.27</v>
      </c>
      <c r="D4618" s="637">
        <f t="shared" si="156"/>
        <v>2.6962301587301596</v>
      </c>
      <c r="E4618" s="637">
        <f t="shared" si="157"/>
        <v>4.1224603174603196</v>
      </c>
    </row>
    <row r="4619" spans="1:5">
      <c r="A4619">
        <v>71213</v>
      </c>
      <c r="B4619">
        <v>700</v>
      </c>
      <c r="C4619" s="455">
        <v>0</v>
      </c>
      <c r="D4619" s="637">
        <f t="shared" si="156"/>
        <v>0</v>
      </c>
      <c r="E4619" s="637">
        <f t="shared" si="157"/>
        <v>0</v>
      </c>
    </row>
    <row r="4620" spans="1:5">
      <c r="A4620">
        <v>71213</v>
      </c>
      <c r="B4620">
        <v>800</v>
      </c>
      <c r="C4620" s="455">
        <v>0</v>
      </c>
      <c r="D4620" s="637">
        <f t="shared" si="156"/>
        <v>0</v>
      </c>
      <c r="E4620" s="637">
        <f t="shared" si="157"/>
        <v>0</v>
      </c>
    </row>
    <row r="4621" spans="1:5">
      <c r="A4621">
        <v>71213</v>
      </c>
      <c r="B4621">
        <v>900</v>
      </c>
      <c r="C4621" s="455">
        <v>0</v>
      </c>
      <c r="D4621" s="637">
        <f t="shared" si="156"/>
        <v>0</v>
      </c>
      <c r="E4621" s="637">
        <f t="shared" si="157"/>
        <v>0</v>
      </c>
    </row>
    <row r="4622" spans="1:5">
      <c r="A4622">
        <v>71213</v>
      </c>
      <c r="B4622">
        <v>1000</v>
      </c>
      <c r="C4622" s="455">
        <v>0</v>
      </c>
      <c r="D4622" s="637">
        <f t="shared" si="156"/>
        <v>0</v>
      </c>
      <c r="E4622" s="637">
        <f t="shared" si="157"/>
        <v>0</v>
      </c>
    </row>
    <row r="4623" spans="1:5">
      <c r="A4623">
        <v>71213</v>
      </c>
      <c r="B4623">
        <v>1100</v>
      </c>
      <c r="C4623" s="455">
        <v>0.216</v>
      </c>
      <c r="D4623" s="637">
        <f t="shared" si="156"/>
        <v>0.45857142857142874</v>
      </c>
      <c r="E4623" s="637">
        <f t="shared" si="157"/>
        <v>0.70114285714285751</v>
      </c>
    </row>
    <row r="4624" spans="1:5">
      <c r="A4624">
        <v>71213</v>
      </c>
      <c r="B4624">
        <v>1200</v>
      </c>
      <c r="C4624" s="455">
        <v>0</v>
      </c>
      <c r="D4624" s="637">
        <f t="shared" si="156"/>
        <v>0</v>
      </c>
      <c r="E4624" s="637">
        <f t="shared" si="157"/>
        <v>0</v>
      </c>
    </row>
    <row r="4625" spans="1:5">
      <c r="A4625">
        <v>71213</v>
      </c>
      <c r="B4625">
        <v>1300</v>
      </c>
      <c r="C4625" s="455">
        <v>0.217</v>
      </c>
      <c r="D4625" s="637">
        <f t="shared" si="156"/>
        <v>0.46069444444444457</v>
      </c>
      <c r="E4625" s="637">
        <f t="shared" si="157"/>
        <v>0.70438888888888918</v>
      </c>
    </row>
    <row r="4626" spans="1:5">
      <c r="A4626">
        <v>71213</v>
      </c>
      <c r="B4626">
        <v>1400</v>
      </c>
      <c r="C4626" s="455">
        <v>0</v>
      </c>
      <c r="D4626" s="637">
        <f t="shared" si="156"/>
        <v>0</v>
      </c>
      <c r="E4626" s="637">
        <f t="shared" si="157"/>
        <v>0</v>
      </c>
    </row>
    <row r="4627" spans="1:5">
      <c r="A4627">
        <v>71213</v>
      </c>
      <c r="B4627">
        <v>1500</v>
      </c>
      <c r="C4627" s="455">
        <v>0</v>
      </c>
      <c r="D4627" s="637">
        <f t="shared" si="156"/>
        <v>0</v>
      </c>
      <c r="E4627" s="637">
        <f t="shared" si="157"/>
        <v>0</v>
      </c>
    </row>
    <row r="4628" spans="1:5">
      <c r="A4628">
        <v>71213</v>
      </c>
      <c r="B4628">
        <v>1600</v>
      </c>
      <c r="C4628" s="455">
        <v>0</v>
      </c>
      <c r="D4628" s="637">
        <f t="shared" si="156"/>
        <v>0</v>
      </c>
      <c r="E4628" s="637">
        <f t="shared" si="157"/>
        <v>0</v>
      </c>
    </row>
    <row r="4629" spans="1:5">
      <c r="A4629">
        <v>71213</v>
      </c>
      <c r="B4629">
        <v>1700</v>
      </c>
      <c r="C4629" s="455">
        <v>0</v>
      </c>
      <c r="D4629" s="637">
        <f t="shared" si="156"/>
        <v>0</v>
      </c>
      <c r="E4629" s="637">
        <f t="shared" si="157"/>
        <v>0</v>
      </c>
    </row>
    <row r="4630" spans="1:5">
      <c r="A4630">
        <v>71213</v>
      </c>
      <c r="B4630">
        <v>1800</v>
      </c>
      <c r="C4630" s="455">
        <v>0</v>
      </c>
      <c r="D4630" s="637">
        <f t="shared" si="156"/>
        <v>0</v>
      </c>
      <c r="E4630" s="637">
        <f t="shared" si="157"/>
        <v>0</v>
      </c>
    </row>
    <row r="4631" spans="1:5">
      <c r="A4631">
        <v>71213</v>
      </c>
      <c r="B4631">
        <v>1900</v>
      </c>
      <c r="C4631" s="455">
        <v>0</v>
      </c>
      <c r="D4631" s="637">
        <f t="shared" si="156"/>
        <v>0</v>
      </c>
      <c r="E4631" s="637">
        <f t="shared" si="157"/>
        <v>0</v>
      </c>
    </row>
    <row r="4632" spans="1:5">
      <c r="A4632">
        <v>71213</v>
      </c>
      <c r="B4632">
        <v>2000</v>
      </c>
      <c r="C4632" s="455">
        <v>1.569</v>
      </c>
      <c r="D4632" s="637">
        <f t="shared" si="156"/>
        <v>3.3310119047619056</v>
      </c>
      <c r="E4632" s="637">
        <f t="shared" si="157"/>
        <v>5.0930238095238121</v>
      </c>
    </row>
    <row r="4633" spans="1:5">
      <c r="A4633">
        <v>71213</v>
      </c>
      <c r="B4633">
        <v>2100</v>
      </c>
      <c r="C4633" s="455">
        <v>11.497</v>
      </c>
      <c r="D4633" s="637">
        <f t="shared" si="156"/>
        <v>24.408313492063499</v>
      </c>
      <c r="E4633" s="637">
        <f t="shared" si="157"/>
        <v>37.319626984126998</v>
      </c>
    </row>
    <row r="4634" spans="1:5">
      <c r="A4634">
        <v>71213</v>
      </c>
      <c r="B4634">
        <v>2200</v>
      </c>
      <c r="C4634" s="455">
        <v>10.516999999999999</v>
      </c>
      <c r="D4634" s="637">
        <f t="shared" si="156"/>
        <v>22.327757936507943</v>
      </c>
      <c r="E4634" s="637">
        <f t="shared" si="157"/>
        <v>34.138515873015891</v>
      </c>
    </row>
    <row r="4635" spans="1:5">
      <c r="A4635">
        <v>71213</v>
      </c>
      <c r="B4635">
        <v>2300</v>
      </c>
      <c r="C4635" s="455">
        <v>10.153</v>
      </c>
      <c r="D4635" s="637">
        <f t="shared" si="156"/>
        <v>21.554980158730167</v>
      </c>
      <c r="E4635" s="637">
        <f t="shared" si="157"/>
        <v>32.956960317460336</v>
      </c>
    </row>
    <row r="4636" spans="1:5">
      <c r="A4636">
        <v>71213</v>
      </c>
      <c r="B4636">
        <v>2400</v>
      </c>
      <c r="C4636" s="455">
        <v>10.206</v>
      </c>
      <c r="D4636" s="637">
        <f t="shared" si="156"/>
        <v>21.667500000000004</v>
      </c>
      <c r="E4636" s="637">
        <f t="shared" si="157"/>
        <v>33.129000000000012</v>
      </c>
    </row>
    <row r="4637" spans="1:5">
      <c r="A4637">
        <v>71313</v>
      </c>
      <c r="B4637">
        <v>100</v>
      </c>
      <c r="C4637" s="455">
        <v>10.382999999999999</v>
      </c>
      <c r="D4637" s="637">
        <f t="shared" si="156"/>
        <v>22.043273809523814</v>
      </c>
      <c r="E4637" s="637">
        <f t="shared" si="157"/>
        <v>33.703547619047633</v>
      </c>
    </row>
    <row r="4638" spans="1:5">
      <c r="A4638">
        <v>71313</v>
      </c>
      <c r="B4638">
        <v>200</v>
      </c>
      <c r="C4638" s="455">
        <v>10.343999999999999</v>
      </c>
      <c r="D4638" s="637">
        <f t="shared" si="156"/>
        <v>21.960476190476196</v>
      </c>
      <c r="E4638" s="637">
        <f t="shared" si="157"/>
        <v>33.576952380952392</v>
      </c>
    </row>
    <row r="4639" spans="1:5">
      <c r="A4639">
        <v>71313</v>
      </c>
      <c r="B4639">
        <v>300</v>
      </c>
      <c r="C4639" s="455">
        <v>10.625</v>
      </c>
      <c r="D4639" s="637">
        <f t="shared" si="156"/>
        <v>22.557043650793659</v>
      </c>
      <c r="E4639" s="637">
        <f t="shared" si="157"/>
        <v>34.489087301587318</v>
      </c>
    </row>
    <row r="4640" spans="1:5">
      <c r="A4640">
        <v>71313</v>
      </c>
      <c r="B4640">
        <v>400</v>
      </c>
      <c r="C4640" s="455">
        <v>10.554</v>
      </c>
      <c r="D4640" s="637">
        <f t="shared" si="156"/>
        <v>22.406309523809529</v>
      </c>
      <c r="E4640" s="637">
        <f t="shared" si="157"/>
        <v>34.258619047619064</v>
      </c>
    </row>
    <row r="4641" spans="1:5">
      <c r="A4641">
        <v>71313</v>
      </c>
      <c r="B4641">
        <v>500</v>
      </c>
      <c r="C4641" s="455">
        <v>11.695</v>
      </c>
      <c r="D4641" s="637">
        <f t="shared" si="156"/>
        <v>24.828670634920641</v>
      </c>
      <c r="E4641" s="637">
        <f t="shared" si="157"/>
        <v>37.962341269841289</v>
      </c>
    </row>
    <row r="4642" spans="1:5">
      <c r="A4642">
        <v>71313</v>
      </c>
      <c r="B4642">
        <v>600</v>
      </c>
      <c r="C4642" s="455">
        <v>0.65300000000000002</v>
      </c>
      <c r="D4642" s="637">
        <f t="shared" si="156"/>
        <v>1.3863293650793655</v>
      </c>
      <c r="E4642" s="637">
        <f t="shared" si="157"/>
        <v>2.1196587301587311</v>
      </c>
    </row>
    <row r="4643" spans="1:5">
      <c r="A4643">
        <v>71313</v>
      </c>
      <c r="B4643">
        <v>700</v>
      </c>
      <c r="C4643" s="455">
        <v>0</v>
      </c>
      <c r="D4643" s="637">
        <f t="shared" si="156"/>
        <v>0</v>
      </c>
      <c r="E4643" s="637">
        <f t="shared" si="157"/>
        <v>0</v>
      </c>
    </row>
    <row r="4644" spans="1:5">
      <c r="A4644">
        <v>71313</v>
      </c>
      <c r="B4644">
        <v>800</v>
      </c>
      <c r="C4644" s="455">
        <v>0</v>
      </c>
      <c r="D4644" s="637">
        <f t="shared" si="156"/>
        <v>0</v>
      </c>
      <c r="E4644" s="637">
        <f t="shared" si="157"/>
        <v>0</v>
      </c>
    </row>
    <row r="4645" spans="1:5">
      <c r="A4645">
        <v>71313</v>
      </c>
      <c r="B4645">
        <v>900</v>
      </c>
      <c r="C4645" s="455">
        <v>0</v>
      </c>
      <c r="D4645" s="637">
        <f t="shared" si="156"/>
        <v>0</v>
      </c>
      <c r="E4645" s="637">
        <f t="shared" si="157"/>
        <v>0</v>
      </c>
    </row>
    <row r="4646" spans="1:5">
      <c r="A4646">
        <v>71313</v>
      </c>
      <c r="B4646">
        <v>1000</v>
      </c>
      <c r="C4646" s="455">
        <v>0</v>
      </c>
      <c r="D4646" s="637">
        <f t="shared" si="156"/>
        <v>0</v>
      </c>
      <c r="E4646" s="637">
        <f t="shared" si="157"/>
        <v>0</v>
      </c>
    </row>
    <row r="4647" spans="1:5">
      <c r="A4647">
        <v>71313</v>
      </c>
      <c r="B4647">
        <v>1100</v>
      </c>
      <c r="C4647" s="455">
        <v>0</v>
      </c>
      <c r="D4647" s="637">
        <f t="shared" si="156"/>
        <v>0</v>
      </c>
      <c r="E4647" s="637">
        <f t="shared" si="157"/>
        <v>0</v>
      </c>
    </row>
    <row r="4648" spans="1:5">
      <c r="A4648">
        <v>71313</v>
      </c>
      <c r="B4648">
        <v>1200</v>
      </c>
      <c r="C4648" s="455">
        <v>0</v>
      </c>
      <c r="D4648" s="637">
        <f t="shared" si="156"/>
        <v>0</v>
      </c>
      <c r="E4648" s="637">
        <f t="shared" si="157"/>
        <v>0</v>
      </c>
    </row>
    <row r="4649" spans="1:5">
      <c r="A4649">
        <v>71313</v>
      </c>
      <c r="B4649">
        <v>1300</v>
      </c>
      <c r="C4649" s="455">
        <v>0</v>
      </c>
      <c r="D4649" s="637">
        <f t="shared" si="156"/>
        <v>0</v>
      </c>
      <c r="E4649" s="637">
        <f t="shared" si="157"/>
        <v>0</v>
      </c>
    </row>
    <row r="4650" spans="1:5">
      <c r="A4650">
        <v>71313</v>
      </c>
      <c r="B4650">
        <v>1400</v>
      </c>
      <c r="C4650" s="455">
        <v>0</v>
      </c>
      <c r="D4650" s="637">
        <f t="shared" si="156"/>
        <v>0</v>
      </c>
      <c r="E4650" s="637">
        <f t="shared" si="157"/>
        <v>0</v>
      </c>
    </row>
    <row r="4651" spans="1:5">
      <c r="A4651">
        <v>71313</v>
      </c>
      <c r="B4651">
        <v>1500</v>
      </c>
      <c r="C4651" s="455">
        <v>0</v>
      </c>
      <c r="D4651" s="637">
        <f t="shared" si="156"/>
        <v>0</v>
      </c>
      <c r="E4651" s="637">
        <f t="shared" si="157"/>
        <v>0</v>
      </c>
    </row>
    <row r="4652" spans="1:5">
      <c r="A4652">
        <v>71313</v>
      </c>
      <c r="B4652">
        <v>1600</v>
      </c>
      <c r="C4652" s="455">
        <v>0</v>
      </c>
      <c r="D4652" s="637">
        <f t="shared" si="156"/>
        <v>0</v>
      </c>
      <c r="E4652" s="637">
        <f t="shared" si="157"/>
        <v>0</v>
      </c>
    </row>
    <row r="4653" spans="1:5">
      <c r="A4653">
        <v>71313</v>
      </c>
      <c r="B4653">
        <v>1700</v>
      </c>
      <c r="C4653" s="455">
        <v>0</v>
      </c>
      <c r="D4653" s="637">
        <f t="shared" si="156"/>
        <v>0</v>
      </c>
      <c r="E4653" s="637">
        <f t="shared" si="157"/>
        <v>0</v>
      </c>
    </row>
    <row r="4654" spans="1:5">
      <c r="A4654">
        <v>71313</v>
      </c>
      <c r="B4654">
        <v>1800</v>
      </c>
      <c r="C4654" s="455">
        <v>0</v>
      </c>
      <c r="D4654" s="637">
        <f t="shared" si="156"/>
        <v>0</v>
      </c>
      <c r="E4654" s="637">
        <f t="shared" si="157"/>
        <v>0</v>
      </c>
    </row>
    <row r="4655" spans="1:5">
      <c r="A4655">
        <v>71313</v>
      </c>
      <c r="B4655">
        <v>1900</v>
      </c>
      <c r="C4655" s="455">
        <v>0</v>
      </c>
      <c r="D4655" s="637">
        <f t="shared" si="156"/>
        <v>0</v>
      </c>
      <c r="E4655" s="637">
        <f t="shared" si="157"/>
        <v>0</v>
      </c>
    </row>
    <row r="4656" spans="1:5">
      <c r="A4656">
        <v>71313</v>
      </c>
      <c r="B4656">
        <v>2000</v>
      </c>
      <c r="C4656" s="455">
        <v>2.8119999999999998</v>
      </c>
      <c r="D4656" s="637">
        <f t="shared" si="156"/>
        <v>5.9699206349206362</v>
      </c>
      <c r="E4656" s="637">
        <f t="shared" si="157"/>
        <v>9.127841269841273</v>
      </c>
    </row>
    <row r="4657" spans="1:5">
      <c r="A4657">
        <v>71313</v>
      </c>
      <c r="B4657">
        <v>2100</v>
      </c>
      <c r="C4657" s="455">
        <v>11.840999999999999</v>
      </c>
      <c r="D4657" s="637">
        <f t="shared" si="156"/>
        <v>25.138630952380957</v>
      </c>
      <c r="E4657" s="637">
        <f t="shared" si="157"/>
        <v>38.436261904761921</v>
      </c>
    </row>
    <row r="4658" spans="1:5">
      <c r="A4658">
        <v>71313</v>
      </c>
      <c r="B4658">
        <v>2200</v>
      </c>
      <c r="C4658" s="455">
        <v>10.215</v>
      </c>
      <c r="D4658" s="637">
        <f t="shared" si="156"/>
        <v>21.686607142857149</v>
      </c>
      <c r="E4658" s="637">
        <f t="shared" si="157"/>
        <v>33.158214285714301</v>
      </c>
    </row>
    <row r="4659" spans="1:5">
      <c r="A4659">
        <v>71313</v>
      </c>
      <c r="B4659">
        <v>2300</v>
      </c>
      <c r="C4659" s="455">
        <v>10.018000000000001</v>
      </c>
      <c r="D4659" s="637">
        <f t="shared" si="156"/>
        <v>21.268373015873024</v>
      </c>
      <c r="E4659" s="637">
        <f t="shared" si="157"/>
        <v>32.518746031746048</v>
      </c>
    </row>
    <row r="4660" spans="1:5">
      <c r="A4660">
        <v>71313</v>
      </c>
      <c r="B4660">
        <v>2400</v>
      </c>
      <c r="C4660" s="455">
        <v>10.116</v>
      </c>
      <c r="D4660" s="637">
        <f t="shared" si="156"/>
        <v>21.476428571428578</v>
      </c>
      <c r="E4660" s="637">
        <f t="shared" si="157"/>
        <v>32.836857142857156</v>
      </c>
    </row>
    <row r="4661" spans="1:5">
      <c r="A4661">
        <v>71413</v>
      </c>
      <c r="B4661">
        <v>100</v>
      </c>
      <c r="C4661" s="455">
        <v>10.086</v>
      </c>
      <c r="D4661" s="637">
        <f t="shared" si="156"/>
        <v>21.412738095238101</v>
      </c>
      <c r="E4661" s="637">
        <f t="shared" si="157"/>
        <v>32.739476190476211</v>
      </c>
    </row>
    <row r="4662" spans="1:5">
      <c r="A4662">
        <v>71413</v>
      </c>
      <c r="B4662">
        <v>200</v>
      </c>
      <c r="C4662" s="455">
        <v>9.9689999999999994</v>
      </c>
      <c r="D4662" s="637">
        <f t="shared" si="156"/>
        <v>21.16434523809524</v>
      </c>
      <c r="E4662" s="637">
        <f t="shared" si="157"/>
        <v>32.359690476190487</v>
      </c>
    </row>
    <row r="4663" spans="1:5">
      <c r="A4663">
        <v>71413</v>
      </c>
      <c r="B4663">
        <v>300</v>
      </c>
      <c r="C4663" s="455">
        <v>10.238</v>
      </c>
      <c r="D4663" s="637">
        <f t="shared" si="156"/>
        <v>21.735436507936512</v>
      </c>
      <c r="E4663" s="637">
        <f t="shared" si="157"/>
        <v>33.232873015873032</v>
      </c>
    </row>
    <row r="4664" spans="1:5">
      <c r="A4664">
        <v>71413</v>
      </c>
      <c r="B4664">
        <v>400</v>
      </c>
      <c r="C4664" s="455">
        <v>10.021000000000001</v>
      </c>
      <c r="D4664" s="637">
        <f t="shared" si="156"/>
        <v>21.27474206349207</v>
      </c>
      <c r="E4664" s="637">
        <f t="shared" si="157"/>
        <v>32.528484126984139</v>
      </c>
    </row>
    <row r="4665" spans="1:5">
      <c r="A4665">
        <v>71413</v>
      </c>
      <c r="B4665">
        <v>500</v>
      </c>
      <c r="C4665" s="455">
        <v>11.170999999999999</v>
      </c>
      <c r="D4665" s="637">
        <f t="shared" si="156"/>
        <v>23.716210317460323</v>
      </c>
      <c r="E4665" s="637">
        <f t="shared" si="157"/>
        <v>36.261420634920647</v>
      </c>
    </row>
    <row r="4666" spans="1:5">
      <c r="A4666">
        <v>71413</v>
      </c>
      <c r="B4666">
        <v>600</v>
      </c>
      <c r="C4666" s="455">
        <v>1.4750000000000001</v>
      </c>
      <c r="D4666" s="637">
        <f t="shared" si="156"/>
        <v>3.1314484126984139</v>
      </c>
      <c r="E4666" s="637">
        <f t="shared" si="157"/>
        <v>4.7878968253968281</v>
      </c>
    </row>
    <row r="4667" spans="1:5">
      <c r="A4667">
        <v>71413</v>
      </c>
      <c r="B4667">
        <v>700</v>
      </c>
      <c r="C4667" s="455">
        <v>0</v>
      </c>
      <c r="D4667" s="637">
        <f t="shared" si="156"/>
        <v>0</v>
      </c>
      <c r="E4667" s="637">
        <f t="shared" si="157"/>
        <v>0</v>
      </c>
    </row>
    <row r="4668" spans="1:5">
      <c r="A4668">
        <v>71413</v>
      </c>
      <c r="B4668">
        <v>800</v>
      </c>
      <c r="C4668" s="455">
        <v>0</v>
      </c>
      <c r="D4668" s="637">
        <f t="shared" si="156"/>
        <v>0</v>
      </c>
      <c r="E4668" s="637">
        <f t="shared" si="157"/>
        <v>0</v>
      </c>
    </row>
    <row r="4669" spans="1:5">
      <c r="A4669">
        <v>71413</v>
      </c>
      <c r="B4669">
        <v>900</v>
      </c>
      <c r="C4669" s="455">
        <v>0</v>
      </c>
      <c r="D4669" s="637">
        <f t="shared" si="156"/>
        <v>0</v>
      </c>
      <c r="E4669" s="637">
        <f t="shared" si="157"/>
        <v>0</v>
      </c>
    </row>
    <row r="4670" spans="1:5">
      <c r="A4670">
        <v>71413</v>
      </c>
      <c r="B4670">
        <v>1000</v>
      </c>
      <c r="C4670" s="455">
        <v>0.216</v>
      </c>
      <c r="D4670" s="637">
        <f t="shared" ref="D4670:D4733" si="158">(C4670/(MAX($C$4349:$C$5092)))*$W$11</f>
        <v>0.45857142857142874</v>
      </c>
      <c r="E4670" s="637">
        <f t="shared" ref="E4670:E4733" si="159">(C4670/(MAX($C$4349:$C$5092)))*$P$11</f>
        <v>0.70114285714285751</v>
      </c>
    </row>
    <row r="4671" spans="1:5">
      <c r="A4671">
        <v>71413</v>
      </c>
      <c r="B4671">
        <v>1100</v>
      </c>
      <c r="C4671" s="455">
        <v>0</v>
      </c>
      <c r="D4671" s="637">
        <f t="shared" si="158"/>
        <v>0</v>
      </c>
      <c r="E4671" s="637">
        <f t="shared" si="159"/>
        <v>0</v>
      </c>
    </row>
    <row r="4672" spans="1:5">
      <c r="A4672">
        <v>71413</v>
      </c>
      <c r="B4672">
        <v>1200</v>
      </c>
      <c r="C4672" s="455">
        <v>0</v>
      </c>
      <c r="D4672" s="637">
        <f t="shared" si="158"/>
        <v>0</v>
      </c>
      <c r="E4672" s="637">
        <f t="shared" si="159"/>
        <v>0</v>
      </c>
    </row>
    <row r="4673" spans="1:5">
      <c r="A4673">
        <v>71413</v>
      </c>
      <c r="B4673">
        <v>1300</v>
      </c>
      <c r="C4673" s="455">
        <v>0</v>
      </c>
      <c r="D4673" s="637">
        <f t="shared" si="158"/>
        <v>0</v>
      </c>
      <c r="E4673" s="637">
        <f t="shared" si="159"/>
        <v>0</v>
      </c>
    </row>
    <row r="4674" spans="1:5">
      <c r="A4674">
        <v>71413</v>
      </c>
      <c r="B4674">
        <v>1400</v>
      </c>
      <c r="C4674" s="455">
        <v>0</v>
      </c>
      <c r="D4674" s="637">
        <f t="shared" si="158"/>
        <v>0</v>
      </c>
      <c r="E4674" s="637">
        <f t="shared" si="159"/>
        <v>0</v>
      </c>
    </row>
    <row r="4675" spans="1:5">
      <c r="A4675">
        <v>71413</v>
      </c>
      <c r="B4675">
        <v>1500</v>
      </c>
      <c r="C4675" s="455">
        <v>0</v>
      </c>
      <c r="D4675" s="637">
        <f t="shared" si="158"/>
        <v>0</v>
      </c>
      <c r="E4675" s="637">
        <f t="shared" si="159"/>
        <v>0</v>
      </c>
    </row>
    <row r="4676" spans="1:5">
      <c r="A4676">
        <v>71413</v>
      </c>
      <c r="B4676">
        <v>1600</v>
      </c>
      <c r="C4676" s="455">
        <v>0</v>
      </c>
      <c r="D4676" s="637">
        <f t="shared" si="158"/>
        <v>0</v>
      </c>
      <c r="E4676" s="637">
        <f t="shared" si="159"/>
        <v>0</v>
      </c>
    </row>
    <row r="4677" spans="1:5">
      <c r="A4677">
        <v>71413</v>
      </c>
      <c r="B4677">
        <v>1700</v>
      </c>
      <c r="C4677" s="455">
        <v>0</v>
      </c>
      <c r="D4677" s="637">
        <f t="shared" si="158"/>
        <v>0</v>
      </c>
      <c r="E4677" s="637">
        <f t="shared" si="159"/>
        <v>0</v>
      </c>
    </row>
    <row r="4678" spans="1:5">
      <c r="A4678">
        <v>71413</v>
      </c>
      <c r="B4678">
        <v>1800</v>
      </c>
      <c r="C4678" s="455">
        <v>0</v>
      </c>
      <c r="D4678" s="637">
        <f t="shared" si="158"/>
        <v>0</v>
      </c>
      <c r="E4678" s="637">
        <f t="shared" si="159"/>
        <v>0</v>
      </c>
    </row>
    <row r="4679" spans="1:5">
      <c r="A4679">
        <v>71413</v>
      </c>
      <c r="B4679">
        <v>1900</v>
      </c>
      <c r="C4679" s="455">
        <v>0</v>
      </c>
      <c r="D4679" s="637">
        <f t="shared" si="158"/>
        <v>0</v>
      </c>
      <c r="E4679" s="637">
        <f t="shared" si="159"/>
        <v>0</v>
      </c>
    </row>
    <row r="4680" spans="1:5">
      <c r="A4680">
        <v>71413</v>
      </c>
      <c r="B4680">
        <v>2000</v>
      </c>
      <c r="C4680" s="455">
        <v>2.677</v>
      </c>
      <c r="D4680" s="637">
        <f t="shared" si="158"/>
        <v>5.683313492063494</v>
      </c>
      <c r="E4680" s="637">
        <f t="shared" si="159"/>
        <v>8.6896269841269884</v>
      </c>
    </row>
    <row r="4681" spans="1:5">
      <c r="A4681">
        <v>71413</v>
      </c>
      <c r="B4681">
        <v>2100</v>
      </c>
      <c r="C4681" s="455">
        <v>11.545999999999999</v>
      </c>
      <c r="D4681" s="637">
        <f t="shared" si="158"/>
        <v>24.512341269841276</v>
      </c>
      <c r="E4681" s="637">
        <f t="shared" si="159"/>
        <v>37.478682539682552</v>
      </c>
    </row>
    <row r="4682" spans="1:5">
      <c r="A4682">
        <v>71413</v>
      </c>
      <c r="B4682">
        <v>2200</v>
      </c>
      <c r="C4682" s="455">
        <v>10.284000000000001</v>
      </c>
      <c r="D4682" s="637">
        <f t="shared" si="158"/>
        <v>21.833095238095247</v>
      </c>
      <c r="E4682" s="637">
        <f t="shared" si="159"/>
        <v>33.382190476190495</v>
      </c>
    </row>
    <row r="4683" spans="1:5">
      <c r="A4683">
        <v>71413</v>
      </c>
      <c r="B4683">
        <v>2300</v>
      </c>
      <c r="C4683" s="455">
        <v>10.055999999999999</v>
      </c>
      <c r="D4683" s="637">
        <f t="shared" si="158"/>
        <v>21.349047619047624</v>
      </c>
      <c r="E4683" s="637">
        <f t="shared" si="159"/>
        <v>32.642095238095251</v>
      </c>
    </row>
    <row r="4684" spans="1:5">
      <c r="A4684">
        <v>71413</v>
      </c>
      <c r="B4684">
        <v>2400</v>
      </c>
      <c r="C4684" s="455">
        <v>10.225</v>
      </c>
      <c r="D4684" s="637">
        <f t="shared" si="158"/>
        <v>21.707837301587308</v>
      </c>
      <c r="E4684" s="637">
        <f t="shared" si="159"/>
        <v>33.190674603174614</v>
      </c>
    </row>
    <row r="4685" spans="1:5">
      <c r="A4685">
        <v>71513</v>
      </c>
      <c r="B4685">
        <v>100</v>
      </c>
      <c r="C4685" s="455">
        <v>10.359</v>
      </c>
      <c r="D4685" s="637">
        <f t="shared" si="158"/>
        <v>21.992321428571437</v>
      </c>
      <c r="E4685" s="637">
        <f t="shared" si="159"/>
        <v>33.625642857142871</v>
      </c>
    </row>
    <row r="4686" spans="1:5">
      <c r="A4686">
        <v>71513</v>
      </c>
      <c r="B4686">
        <v>200</v>
      </c>
      <c r="C4686" s="455">
        <v>10.204000000000001</v>
      </c>
      <c r="D4686" s="637">
        <f t="shared" si="158"/>
        <v>21.663253968253976</v>
      </c>
      <c r="E4686" s="637">
        <f t="shared" si="159"/>
        <v>33.122507936507958</v>
      </c>
    </row>
    <row r="4687" spans="1:5">
      <c r="A4687">
        <v>71513</v>
      </c>
      <c r="B4687">
        <v>300</v>
      </c>
      <c r="C4687" s="455">
        <v>10.236000000000001</v>
      </c>
      <c r="D4687" s="637">
        <f t="shared" si="158"/>
        <v>21.731190476190484</v>
      </c>
      <c r="E4687" s="637">
        <f t="shared" si="159"/>
        <v>33.226380952380971</v>
      </c>
    </row>
    <row r="4688" spans="1:5">
      <c r="A4688">
        <v>71513</v>
      </c>
      <c r="B4688">
        <v>400</v>
      </c>
      <c r="C4688" s="455">
        <v>10.025</v>
      </c>
      <c r="D4688" s="637">
        <f t="shared" si="158"/>
        <v>21.283234126984134</v>
      </c>
      <c r="E4688" s="637">
        <f t="shared" si="159"/>
        <v>32.541468253968269</v>
      </c>
    </row>
    <row r="4689" spans="1:5">
      <c r="A4689">
        <v>71513</v>
      </c>
      <c r="B4689">
        <v>500</v>
      </c>
      <c r="C4689" s="455">
        <v>11.167999999999999</v>
      </c>
      <c r="D4689" s="637">
        <f t="shared" si="158"/>
        <v>23.709841269841274</v>
      </c>
      <c r="E4689" s="637">
        <f t="shared" si="159"/>
        <v>36.251682539682555</v>
      </c>
    </row>
    <row r="4690" spans="1:5">
      <c r="A4690">
        <v>71513</v>
      </c>
      <c r="B4690">
        <v>600</v>
      </c>
      <c r="C4690" s="455">
        <v>2.298</v>
      </c>
      <c r="D4690" s="637">
        <f t="shared" si="158"/>
        <v>4.8786904761904779</v>
      </c>
      <c r="E4690" s="637">
        <f t="shared" si="159"/>
        <v>7.4593809523809558</v>
      </c>
    </row>
    <row r="4691" spans="1:5">
      <c r="A4691">
        <v>71513</v>
      </c>
      <c r="B4691">
        <v>700</v>
      </c>
      <c r="C4691" s="455">
        <v>0</v>
      </c>
      <c r="D4691" s="637">
        <f t="shared" si="158"/>
        <v>0</v>
      </c>
      <c r="E4691" s="637">
        <f t="shared" si="159"/>
        <v>0</v>
      </c>
    </row>
    <row r="4692" spans="1:5">
      <c r="A4692">
        <v>71513</v>
      </c>
      <c r="B4692">
        <v>800</v>
      </c>
      <c r="C4692" s="455">
        <v>0</v>
      </c>
      <c r="D4692" s="637">
        <f t="shared" si="158"/>
        <v>0</v>
      </c>
      <c r="E4692" s="637">
        <f t="shared" si="159"/>
        <v>0</v>
      </c>
    </row>
    <row r="4693" spans="1:5">
      <c r="A4693">
        <v>71513</v>
      </c>
      <c r="B4693">
        <v>900</v>
      </c>
      <c r="C4693" s="455">
        <v>0</v>
      </c>
      <c r="D4693" s="637">
        <f t="shared" si="158"/>
        <v>0</v>
      </c>
      <c r="E4693" s="637">
        <f t="shared" si="159"/>
        <v>0</v>
      </c>
    </row>
    <row r="4694" spans="1:5">
      <c r="A4694">
        <v>71513</v>
      </c>
      <c r="B4694">
        <v>1000</v>
      </c>
      <c r="C4694" s="455">
        <v>0</v>
      </c>
      <c r="D4694" s="637">
        <f t="shared" si="158"/>
        <v>0</v>
      </c>
      <c r="E4694" s="637">
        <f t="shared" si="159"/>
        <v>0</v>
      </c>
    </row>
    <row r="4695" spans="1:5">
      <c r="A4695">
        <v>71513</v>
      </c>
      <c r="B4695">
        <v>1100</v>
      </c>
      <c r="C4695" s="455">
        <v>0</v>
      </c>
      <c r="D4695" s="637">
        <f t="shared" si="158"/>
        <v>0</v>
      </c>
      <c r="E4695" s="637">
        <f t="shared" si="159"/>
        <v>0</v>
      </c>
    </row>
    <row r="4696" spans="1:5">
      <c r="A4696">
        <v>71513</v>
      </c>
      <c r="B4696">
        <v>1200</v>
      </c>
      <c r="C4696" s="455">
        <v>0</v>
      </c>
      <c r="D4696" s="637">
        <f t="shared" si="158"/>
        <v>0</v>
      </c>
      <c r="E4696" s="637">
        <f t="shared" si="159"/>
        <v>0</v>
      </c>
    </row>
    <row r="4697" spans="1:5">
      <c r="A4697">
        <v>71513</v>
      </c>
      <c r="B4697">
        <v>1300</v>
      </c>
      <c r="C4697" s="455">
        <v>0</v>
      </c>
      <c r="D4697" s="637">
        <f t="shared" si="158"/>
        <v>0</v>
      </c>
      <c r="E4697" s="637">
        <f t="shared" si="159"/>
        <v>0</v>
      </c>
    </row>
    <row r="4698" spans="1:5">
      <c r="A4698">
        <v>71513</v>
      </c>
      <c r="B4698">
        <v>1400</v>
      </c>
      <c r="C4698" s="455">
        <v>0</v>
      </c>
      <c r="D4698" s="637">
        <f t="shared" si="158"/>
        <v>0</v>
      </c>
      <c r="E4698" s="637">
        <f t="shared" si="159"/>
        <v>0</v>
      </c>
    </row>
    <row r="4699" spans="1:5">
      <c r="A4699">
        <v>71513</v>
      </c>
      <c r="B4699">
        <v>1500</v>
      </c>
      <c r="C4699" s="455">
        <v>0</v>
      </c>
      <c r="D4699" s="637">
        <f t="shared" si="158"/>
        <v>0</v>
      </c>
      <c r="E4699" s="637">
        <f t="shared" si="159"/>
        <v>0</v>
      </c>
    </row>
    <row r="4700" spans="1:5">
      <c r="A4700">
        <v>71513</v>
      </c>
      <c r="B4700">
        <v>1600</v>
      </c>
      <c r="C4700" s="455">
        <v>0</v>
      </c>
      <c r="D4700" s="637">
        <f t="shared" si="158"/>
        <v>0</v>
      </c>
      <c r="E4700" s="637">
        <f t="shared" si="159"/>
        <v>0</v>
      </c>
    </row>
    <row r="4701" spans="1:5">
      <c r="A4701">
        <v>71513</v>
      </c>
      <c r="B4701">
        <v>1700</v>
      </c>
      <c r="C4701" s="455">
        <v>0</v>
      </c>
      <c r="D4701" s="637">
        <f t="shared" si="158"/>
        <v>0</v>
      </c>
      <c r="E4701" s="637">
        <f t="shared" si="159"/>
        <v>0</v>
      </c>
    </row>
    <row r="4702" spans="1:5">
      <c r="A4702">
        <v>71513</v>
      </c>
      <c r="B4702">
        <v>1800</v>
      </c>
      <c r="C4702" s="455">
        <v>0</v>
      </c>
      <c r="D4702" s="637">
        <f t="shared" si="158"/>
        <v>0</v>
      </c>
      <c r="E4702" s="637">
        <f t="shared" si="159"/>
        <v>0</v>
      </c>
    </row>
    <row r="4703" spans="1:5">
      <c r="A4703">
        <v>71513</v>
      </c>
      <c r="B4703">
        <v>1900</v>
      </c>
      <c r="C4703" s="455">
        <v>0</v>
      </c>
      <c r="D4703" s="637">
        <f t="shared" si="158"/>
        <v>0</v>
      </c>
      <c r="E4703" s="637">
        <f t="shared" si="159"/>
        <v>0</v>
      </c>
    </row>
    <row r="4704" spans="1:5">
      <c r="A4704">
        <v>71513</v>
      </c>
      <c r="B4704">
        <v>2000</v>
      </c>
      <c r="C4704" s="455">
        <v>2.976</v>
      </c>
      <c r="D4704" s="637">
        <f t="shared" si="158"/>
        <v>6.31809523809524</v>
      </c>
      <c r="E4704" s="637">
        <f t="shared" si="159"/>
        <v>9.6601904761904809</v>
      </c>
    </row>
    <row r="4705" spans="1:5">
      <c r="A4705">
        <v>71513</v>
      </c>
      <c r="B4705">
        <v>2100</v>
      </c>
      <c r="C4705" s="455">
        <v>11.638</v>
      </c>
      <c r="D4705" s="637">
        <f t="shared" si="158"/>
        <v>24.707658730158737</v>
      </c>
      <c r="E4705" s="637">
        <f t="shared" si="159"/>
        <v>37.777317460317477</v>
      </c>
    </row>
    <row r="4706" spans="1:5">
      <c r="A4706">
        <v>71513</v>
      </c>
      <c r="B4706">
        <v>2200</v>
      </c>
      <c r="C4706" s="455">
        <v>9.9250000000000007</v>
      </c>
      <c r="D4706" s="637">
        <f t="shared" si="158"/>
        <v>21.070932539682548</v>
      </c>
      <c r="E4706" s="637">
        <f t="shared" si="159"/>
        <v>32.2168650793651</v>
      </c>
    </row>
    <row r="4707" spans="1:5">
      <c r="A4707">
        <v>71513</v>
      </c>
      <c r="B4707">
        <v>2300</v>
      </c>
      <c r="C4707" s="455">
        <v>10.156000000000001</v>
      </c>
      <c r="D4707" s="637">
        <f t="shared" si="158"/>
        <v>21.561349206349213</v>
      </c>
      <c r="E4707" s="637">
        <f t="shared" si="159"/>
        <v>32.966698412698427</v>
      </c>
    </row>
    <row r="4708" spans="1:5">
      <c r="A4708">
        <v>71513</v>
      </c>
      <c r="B4708">
        <v>2400</v>
      </c>
      <c r="C4708" s="455">
        <v>9.9969999999999999</v>
      </c>
      <c r="D4708" s="637">
        <f t="shared" si="158"/>
        <v>21.223789682539689</v>
      </c>
      <c r="E4708" s="637">
        <f t="shared" si="159"/>
        <v>32.450579365079385</v>
      </c>
    </row>
    <row r="4709" spans="1:5">
      <c r="A4709">
        <v>71613</v>
      </c>
      <c r="B4709">
        <v>100</v>
      </c>
      <c r="C4709" s="455">
        <v>10.15</v>
      </c>
      <c r="D4709" s="637">
        <f t="shared" si="158"/>
        <v>21.548611111111118</v>
      </c>
      <c r="E4709" s="637">
        <f t="shared" si="159"/>
        <v>32.947222222222237</v>
      </c>
    </row>
    <row r="4710" spans="1:5">
      <c r="A4710">
        <v>71613</v>
      </c>
      <c r="B4710">
        <v>200</v>
      </c>
      <c r="C4710" s="455">
        <v>10.186</v>
      </c>
      <c r="D4710" s="637">
        <f t="shared" si="158"/>
        <v>21.62503968253969</v>
      </c>
      <c r="E4710" s="637">
        <f t="shared" si="159"/>
        <v>33.06407936507938</v>
      </c>
    </row>
    <row r="4711" spans="1:5">
      <c r="A4711">
        <v>71613</v>
      </c>
      <c r="B4711">
        <v>300</v>
      </c>
      <c r="C4711" s="455">
        <v>10.045999999999999</v>
      </c>
      <c r="D4711" s="637">
        <f t="shared" si="158"/>
        <v>21.327817460317466</v>
      </c>
      <c r="E4711" s="637">
        <f t="shared" si="159"/>
        <v>32.609634920634932</v>
      </c>
    </row>
    <row r="4712" spans="1:5">
      <c r="A4712">
        <v>71613</v>
      </c>
      <c r="B4712">
        <v>400</v>
      </c>
      <c r="C4712" s="455">
        <v>10.321</v>
      </c>
      <c r="D4712" s="637">
        <f t="shared" si="158"/>
        <v>21.911646825396833</v>
      </c>
      <c r="E4712" s="637">
        <f t="shared" si="159"/>
        <v>33.502293650793668</v>
      </c>
    </row>
    <row r="4713" spans="1:5">
      <c r="A4713">
        <v>71613</v>
      </c>
      <c r="B4713">
        <v>500</v>
      </c>
      <c r="C4713" s="455">
        <v>10.66</v>
      </c>
      <c r="D4713" s="637">
        <f t="shared" si="158"/>
        <v>22.631349206349213</v>
      </c>
      <c r="E4713" s="637">
        <f t="shared" si="159"/>
        <v>34.60269841269843</v>
      </c>
    </row>
    <row r="4714" spans="1:5">
      <c r="A4714">
        <v>71613</v>
      </c>
      <c r="B4714">
        <v>600</v>
      </c>
      <c r="C4714" s="455">
        <v>2.4340000000000002</v>
      </c>
      <c r="D4714" s="637">
        <f t="shared" si="158"/>
        <v>5.1674206349206369</v>
      </c>
      <c r="E4714" s="637">
        <f t="shared" si="159"/>
        <v>7.9008412698412736</v>
      </c>
    </row>
    <row r="4715" spans="1:5">
      <c r="A4715">
        <v>71613</v>
      </c>
      <c r="B4715">
        <v>700</v>
      </c>
      <c r="C4715" s="455">
        <v>0</v>
      </c>
      <c r="D4715" s="637">
        <f t="shared" si="158"/>
        <v>0</v>
      </c>
      <c r="E4715" s="637">
        <f t="shared" si="159"/>
        <v>0</v>
      </c>
    </row>
    <row r="4716" spans="1:5">
      <c r="A4716">
        <v>71613</v>
      </c>
      <c r="B4716">
        <v>800</v>
      </c>
      <c r="C4716" s="455">
        <v>0</v>
      </c>
      <c r="D4716" s="637">
        <f t="shared" si="158"/>
        <v>0</v>
      </c>
      <c r="E4716" s="637">
        <f t="shared" si="159"/>
        <v>0</v>
      </c>
    </row>
    <row r="4717" spans="1:5">
      <c r="A4717">
        <v>71613</v>
      </c>
      <c r="B4717">
        <v>900</v>
      </c>
      <c r="C4717" s="455">
        <v>0</v>
      </c>
      <c r="D4717" s="637">
        <f t="shared" si="158"/>
        <v>0</v>
      </c>
      <c r="E4717" s="637">
        <f t="shared" si="159"/>
        <v>0</v>
      </c>
    </row>
    <row r="4718" spans="1:5">
      <c r="A4718">
        <v>71613</v>
      </c>
      <c r="B4718">
        <v>1000</v>
      </c>
      <c r="C4718" s="455">
        <v>0</v>
      </c>
      <c r="D4718" s="637">
        <f t="shared" si="158"/>
        <v>0</v>
      </c>
      <c r="E4718" s="637">
        <f t="shared" si="159"/>
        <v>0</v>
      </c>
    </row>
    <row r="4719" spans="1:5">
      <c r="A4719">
        <v>71613</v>
      </c>
      <c r="B4719">
        <v>1100</v>
      </c>
      <c r="C4719" s="455">
        <v>0</v>
      </c>
      <c r="D4719" s="637">
        <f t="shared" si="158"/>
        <v>0</v>
      </c>
      <c r="E4719" s="637">
        <f t="shared" si="159"/>
        <v>0</v>
      </c>
    </row>
    <row r="4720" spans="1:5">
      <c r="A4720">
        <v>71613</v>
      </c>
      <c r="B4720">
        <v>1200</v>
      </c>
      <c r="C4720" s="455">
        <v>0</v>
      </c>
      <c r="D4720" s="637">
        <f t="shared" si="158"/>
        <v>0</v>
      </c>
      <c r="E4720" s="637">
        <f t="shared" si="159"/>
        <v>0</v>
      </c>
    </row>
    <row r="4721" spans="1:5">
      <c r="A4721">
        <v>71613</v>
      </c>
      <c r="B4721">
        <v>1300</v>
      </c>
      <c r="C4721" s="455">
        <v>0</v>
      </c>
      <c r="D4721" s="637">
        <f t="shared" si="158"/>
        <v>0</v>
      </c>
      <c r="E4721" s="637">
        <f t="shared" si="159"/>
        <v>0</v>
      </c>
    </row>
    <row r="4722" spans="1:5">
      <c r="A4722">
        <v>71613</v>
      </c>
      <c r="B4722">
        <v>1400</v>
      </c>
      <c r="C4722" s="455">
        <v>0</v>
      </c>
      <c r="D4722" s="637">
        <f t="shared" si="158"/>
        <v>0</v>
      </c>
      <c r="E4722" s="637">
        <f t="shared" si="159"/>
        <v>0</v>
      </c>
    </row>
    <row r="4723" spans="1:5">
      <c r="A4723">
        <v>71613</v>
      </c>
      <c r="B4723">
        <v>1500</v>
      </c>
      <c r="C4723" s="455">
        <v>0</v>
      </c>
      <c r="D4723" s="637">
        <f t="shared" si="158"/>
        <v>0</v>
      </c>
      <c r="E4723" s="637">
        <f t="shared" si="159"/>
        <v>0</v>
      </c>
    </row>
    <row r="4724" spans="1:5">
      <c r="A4724">
        <v>71613</v>
      </c>
      <c r="B4724">
        <v>1600</v>
      </c>
      <c r="C4724" s="455">
        <v>0</v>
      </c>
      <c r="D4724" s="637">
        <f t="shared" si="158"/>
        <v>0</v>
      </c>
      <c r="E4724" s="637">
        <f t="shared" si="159"/>
        <v>0</v>
      </c>
    </row>
    <row r="4725" spans="1:5">
      <c r="A4725">
        <v>71613</v>
      </c>
      <c r="B4725">
        <v>1700</v>
      </c>
      <c r="C4725" s="455">
        <v>0</v>
      </c>
      <c r="D4725" s="637">
        <f t="shared" si="158"/>
        <v>0</v>
      </c>
      <c r="E4725" s="637">
        <f t="shared" si="159"/>
        <v>0</v>
      </c>
    </row>
    <row r="4726" spans="1:5">
      <c r="A4726">
        <v>71613</v>
      </c>
      <c r="B4726">
        <v>1800</v>
      </c>
      <c r="C4726" s="455">
        <v>0</v>
      </c>
      <c r="D4726" s="637">
        <f t="shared" si="158"/>
        <v>0</v>
      </c>
      <c r="E4726" s="637">
        <f t="shared" si="159"/>
        <v>0</v>
      </c>
    </row>
    <row r="4727" spans="1:5">
      <c r="A4727">
        <v>71613</v>
      </c>
      <c r="B4727">
        <v>1900</v>
      </c>
      <c r="C4727" s="455">
        <v>0</v>
      </c>
      <c r="D4727" s="637">
        <f t="shared" si="158"/>
        <v>0</v>
      </c>
      <c r="E4727" s="637">
        <f t="shared" si="159"/>
        <v>0</v>
      </c>
    </row>
    <row r="4728" spans="1:5">
      <c r="A4728">
        <v>71613</v>
      </c>
      <c r="B4728">
        <v>2000</v>
      </c>
      <c r="C4728" s="455">
        <v>5.6950000000000003</v>
      </c>
      <c r="D4728" s="637">
        <f t="shared" si="158"/>
        <v>12.090575396825402</v>
      </c>
      <c r="E4728" s="637">
        <f t="shared" si="159"/>
        <v>18.486150793650804</v>
      </c>
    </row>
    <row r="4729" spans="1:5">
      <c r="A4729">
        <v>71613</v>
      </c>
      <c r="B4729">
        <v>2100</v>
      </c>
      <c r="C4729" s="455">
        <v>10.154999999999999</v>
      </c>
      <c r="D4729" s="637">
        <f t="shared" si="158"/>
        <v>21.559226190476195</v>
      </c>
      <c r="E4729" s="637">
        <f t="shared" si="159"/>
        <v>32.963452380952397</v>
      </c>
    </row>
    <row r="4730" spans="1:5">
      <c r="A4730">
        <v>71613</v>
      </c>
      <c r="B4730">
        <v>2200</v>
      </c>
      <c r="C4730" s="455">
        <v>9.9109999999999996</v>
      </c>
      <c r="D4730" s="637">
        <f t="shared" si="158"/>
        <v>21.041210317460322</v>
      </c>
      <c r="E4730" s="637">
        <f t="shared" si="159"/>
        <v>32.171420634920644</v>
      </c>
    </row>
    <row r="4731" spans="1:5">
      <c r="A4731">
        <v>71613</v>
      </c>
      <c r="B4731">
        <v>2300</v>
      </c>
      <c r="C4731" s="455">
        <v>10.346</v>
      </c>
      <c r="D4731" s="637">
        <f t="shared" si="158"/>
        <v>21.964722222222228</v>
      </c>
      <c r="E4731" s="637">
        <f t="shared" si="159"/>
        <v>33.58344444444446</v>
      </c>
    </row>
    <row r="4732" spans="1:5">
      <c r="A4732">
        <v>71613</v>
      </c>
      <c r="B4732">
        <v>2400</v>
      </c>
      <c r="C4732" s="455">
        <v>10.493</v>
      </c>
      <c r="D4732" s="637">
        <f t="shared" si="158"/>
        <v>22.276805555555562</v>
      </c>
      <c r="E4732" s="637">
        <f t="shared" si="159"/>
        <v>34.060611111111129</v>
      </c>
    </row>
    <row r="4733" spans="1:5">
      <c r="A4733">
        <v>71713</v>
      </c>
      <c r="B4733">
        <v>100</v>
      </c>
      <c r="C4733" s="455">
        <v>10.244</v>
      </c>
      <c r="D4733" s="637">
        <f t="shared" si="158"/>
        <v>21.748174603174608</v>
      </c>
      <c r="E4733" s="637">
        <f t="shared" si="159"/>
        <v>33.252349206349223</v>
      </c>
    </row>
    <row r="4734" spans="1:5">
      <c r="A4734">
        <v>71713</v>
      </c>
      <c r="B4734">
        <v>200</v>
      </c>
      <c r="C4734" s="455">
        <v>10.561</v>
      </c>
      <c r="D4734" s="637">
        <f t="shared" ref="D4734:D4797" si="160">(C4734/(MAX($C$4349:$C$5092)))*$W$11</f>
        <v>22.421170634920642</v>
      </c>
      <c r="E4734" s="637">
        <f t="shared" ref="E4734:E4797" si="161">(C4734/(MAX($C$4349:$C$5092)))*$P$11</f>
        <v>34.281341269841285</v>
      </c>
    </row>
    <row r="4735" spans="1:5">
      <c r="A4735">
        <v>71713</v>
      </c>
      <c r="B4735">
        <v>300</v>
      </c>
      <c r="C4735" s="455">
        <v>10.308999999999999</v>
      </c>
      <c r="D4735" s="637">
        <f t="shared" si="160"/>
        <v>21.886170634920639</v>
      </c>
      <c r="E4735" s="637">
        <f t="shared" si="161"/>
        <v>33.46334126984128</v>
      </c>
    </row>
    <row r="4736" spans="1:5">
      <c r="A4736">
        <v>71713</v>
      </c>
      <c r="B4736">
        <v>400</v>
      </c>
      <c r="C4736" s="455">
        <v>10.493</v>
      </c>
      <c r="D4736" s="637">
        <f t="shared" si="160"/>
        <v>22.276805555555562</v>
      </c>
      <c r="E4736" s="637">
        <f t="shared" si="161"/>
        <v>34.060611111111129</v>
      </c>
    </row>
    <row r="4737" spans="1:5">
      <c r="A4737">
        <v>71713</v>
      </c>
      <c r="B4737">
        <v>500</v>
      </c>
      <c r="C4737" s="455">
        <v>10.65</v>
      </c>
      <c r="D4737" s="637">
        <f t="shared" si="160"/>
        <v>22.610119047619055</v>
      </c>
      <c r="E4737" s="637">
        <f t="shared" si="161"/>
        <v>34.570238095238111</v>
      </c>
    </row>
    <row r="4738" spans="1:5">
      <c r="A4738">
        <v>71713</v>
      </c>
      <c r="B4738">
        <v>600</v>
      </c>
      <c r="C4738" s="455">
        <v>3.7050000000000001</v>
      </c>
      <c r="D4738" s="637">
        <f t="shared" si="160"/>
        <v>7.8657738095238114</v>
      </c>
      <c r="E4738" s="637">
        <f t="shared" si="161"/>
        <v>12.026547619047625</v>
      </c>
    </row>
    <row r="4739" spans="1:5">
      <c r="A4739">
        <v>71713</v>
      </c>
      <c r="B4739">
        <v>700</v>
      </c>
      <c r="C4739" s="455">
        <v>0</v>
      </c>
      <c r="D4739" s="637">
        <f t="shared" si="160"/>
        <v>0</v>
      </c>
      <c r="E4739" s="637">
        <f t="shared" si="161"/>
        <v>0</v>
      </c>
    </row>
    <row r="4740" spans="1:5">
      <c r="A4740">
        <v>71713</v>
      </c>
      <c r="B4740">
        <v>800</v>
      </c>
      <c r="C4740" s="455">
        <v>0</v>
      </c>
      <c r="D4740" s="637">
        <f t="shared" si="160"/>
        <v>0</v>
      </c>
      <c r="E4740" s="637">
        <f t="shared" si="161"/>
        <v>0</v>
      </c>
    </row>
    <row r="4741" spans="1:5">
      <c r="A4741">
        <v>71713</v>
      </c>
      <c r="B4741">
        <v>900</v>
      </c>
      <c r="C4741" s="455">
        <v>0</v>
      </c>
      <c r="D4741" s="637">
        <f t="shared" si="160"/>
        <v>0</v>
      </c>
      <c r="E4741" s="637">
        <f t="shared" si="161"/>
        <v>0</v>
      </c>
    </row>
    <row r="4742" spans="1:5">
      <c r="A4742">
        <v>71713</v>
      </c>
      <c r="B4742">
        <v>1000</v>
      </c>
      <c r="C4742" s="455">
        <v>0</v>
      </c>
      <c r="D4742" s="637">
        <f t="shared" si="160"/>
        <v>0</v>
      </c>
      <c r="E4742" s="637">
        <f t="shared" si="161"/>
        <v>0</v>
      </c>
    </row>
    <row r="4743" spans="1:5">
      <c r="A4743">
        <v>71713</v>
      </c>
      <c r="B4743">
        <v>1100</v>
      </c>
      <c r="C4743" s="455">
        <v>0</v>
      </c>
      <c r="D4743" s="637">
        <f t="shared" si="160"/>
        <v>0</v>
      </c>
      <c r="E4743" s="637">
        <f t="shared" si="161"/>
        <v>0</v>
      </c>
    </row>
    <row r="4744" spans="1:5">
      <c r="A4744">
        <v>71713</v>
      </c>
      <c r="B4744">
        <v>1200</v>
      </c>
      <c r="C4744" s="455">
        <v>0</v>
      </c>
      <c r="D4744" s="637">
        <f t="shared" si="160"/>
        <v>0</v>
      </c>
      <c r="E4744" s="637">
        <f t="shared" si="161"/>
        <v>0</v>
      </c>
    </row>
    <row r="4745" spans="1:5">
      <c r="A4745">
        <v>71713</v>
      </c>
      <c r="B4745">
        <v>1300</v>
      </c>
      <c r="C4745" s="455">
        <v>1E-3</v>
      </c>
      <c r="D4745" s="637">
        <f t="shared" si="160"/>
        <v>2.1230158730158734E-3</v>
      </c>
      <c r="E4745" s="637">
        <f t="shared" si="161"/>
        <v>3.2460317460317476E-3</v>
      </c>
    </row>
    <row r="4746" spans="1:5">
      <c r="A4746">
        <v>71713</v>
      </c>
      <c r="B4746">
        <v>1400</v>
      </c>
      <c r="C4746" s="455">
        <v>0</v>
      </c>
      <c r="D4746" s="637">
        <f t="shared" si="160"/>
        <v>0</v>
      </c>
      <c r="E4746" s="637">
        <f t="shared" si="161"/>
        <v>0</v>
      </c>
    </row>
    <row r="4747" spans="1:5">
      <c r="A4747">
        <v>71713</v>
      </c>
      <c r="B4747">
        <v>1500</v>
      </c>
      <c r="C4747" s="455">
        <v>0</v>
      </c>
      <c r="D4747" s="637">
        <f t="shared" si="160"/>
        <v>0</v>
      </c>
      <c r="E4747" s="637">
        <f t="shared" si="161"/>
        <v>0</v>
      </c>
    </row>
    <row r="4748" spans="1:5">
      <c r="A4748">
        <v>71713</v>
      </c>
      <c r="B4748">
        <v>1600</v>
      </c>
      <c r="C4748" s="455">
        <v>0</v>
      </c>
      <c r="D4748" s="637">
        <f t="shared" si="160"/>
        <v>0</v>
      </c>
      <c r="E4748" s="637">
        <f t="shared" si="161"/>
        <v>0</v>
      </c>
    </row>
    <row r="4749" spans="1:5">
      <c r="A4749">
        <v>71713</v>
      </c>
      <c r="B4749">
        <v>1700</v>
      </c>
      <c r="C4749" s="455">
        <v>0</v>
      </c>
      <c r="D4749" s="637">
        <f t="shared" si="160"/>
        <v>0</v>
      </c>
      <c r="E4749" s="637">
        <f t="shared" si="161"/>
        <v>0</v>
      </c>
    </row>
    <row r="4750" spans="1:5">
      <c r="A4750">
        <v>71713</v>
      </c>
      <c r="B4750">
        <v>1800</v>
      </c>
      <c r="C4750" s="455">
        <v>0</v>
      </c>
      <c r="D4750" s="637">
        <f t="shared" si="160"/>
        <v>0</v>
      </c>
      <c r="E4750" s="637">
        <f t="shared" si="161"/>
        <v>0</v>
      </c>
    </row>
    <row r="4751" spans="1:5">
      <c r="A4751">
        <v>71713</v>
      </c>
      <c r="B4751">
        <v>1900</v>
      </c>
      <c r="C4751" s="455">
        <v>0</v>
      </c>
      <c r="D4751" s="637">
        <f t="shared" si="160"/>
        <v>0</v>
      </c>
      <c r="E4751" s="637">
        <f t="shared" si="161"/>
        <v>0</v>
      </c>
    </row>
    <row r="4752" spans="1:5">
      <c r="A4752">
        <v>71713</v>
      </c>
      <c r="B4752">
        <v>2000</v>
      </c>
      <c r="C4752" s="455">
        <v>3.7570000000000001</v>
      </c>
      <c r="D4752" s="637">
        <f t="shared" si="160"/>
        <v>7.9761706349206385</v>
      </c>
      <c r="E4752" s="637">
        <f t="shared" si="161"/>
        <v>12.195341269841277</v>
      </c>
    </row>
    <row r="4753" spans="1:5">
      <c r="A4753">
        <v>71713</v>
      </c>
      <c r="B4753">
        <v>2100</v>
      </c>
      <c r="C4753" s="455">
        <v>11.128</v>
      </c>
      <c r="D4753" s="637">
        <f t="shared" si="160"/>
        <v>23.624920634920642</v>
      </c>
      <c r="E4753" s="637">
        <f t="shared" si="161"/>
        <v>36.121841269841291</v>
      </c>
    </row>
    <row r="4754" spans="1:5">
      <c r="A4754">
        <v>71713</v>
      </c>
      <c r="B4754">
        <v>2200</v>
      </c>
      <c r="C4754" s="455">
        <v>9.8239999999999998</v>
      </c>
      <c r="D4754" s="637">
        <f t="shared" si="160"/>
        <v>20.856507936507942</v>
      </c>
      <c r="E4754" s="637">
        <f t="shared" si="161"/>
        <v>31.889015873015886</v>
      </c>
    </row>
    <row r="4755" spans="1:5">
      <c r="A4755">
        <v>71713</v>
      </c>
      <c r="B4755">
        <v>2300</v>
      </c>
      <c r="C4755" s="455">
        <v>10.138</v>
      </c>
      <c r="D4755" s="637">
        <f t="shared" si="160"/>
        <v>21.523134920634927</v>
      </c>
      <c r="E4755" s="637">
        <f t="shared" si="161"/>
        <v>32.908269841269856</v>
      </c>
    </row>
    <row r="4756" spans="1:5">
      <c r="A4756">
        <v>71713</v>
      </c>
      <c r="B4756">
        <v>2400</v>
      </c>
      <c r="C4756" s="455">
        <v>9.8539999999999992</v>
      </c>
      <c r="D4756" s="637">
        <f t="shared" si="160"/>
        <v>20.920198412698419</v>
      </c>
      <c r="E4756" s="637">
        <f t="shared" si="161"/>
        <v>31.986396825396838</v>
      </c>
    </row>
    <row r="4757" spans="1:5">
      <c r="A4757">
        <v>71813</v>
      </c>
      <c r="B4757">
        <v>100</v>
      </c>
      <c r="C4757" s="455">
        <v>10.263</v>
      </c>
      <c r="D4757" s="637">
        <f t="shared" si="160"/>
        <v>21.788511904761911</v>
      </c>
      <c r="E4757" s="637">
        <f t="shared" si="161"/>
        <v>33.314023809523825</v>
      </c>
    </row>
    <row r="4758" spans="1:5">
      <c r="A4758">
        <v>71813</v>
      </c>
      <c r="B4758">
        <v>200</v>
      </c>
      <c r="C4758" s="455">
        <v>10.038</v>
      </c>
      <c r="D4758" s="637">
        <f t="shared" si="160"/>
        <v>21.310833333333338</v>
      </c>
      <c r="E4758" s="637">
        <f t="shared" si="161"/>
        <v>32.58366666666668</v>
      </c>
    </row>
    <row r="4759" spans="1:5">
      <c r="A4759">
        <v>71813</v>
      </c>
      <c r="B4759">
        <v>300</v>
      </c>
      <c r="C4759" s="455">
        <v>10.154999999999999</v>
      </c>
      <c r="D4759" s="637">
        <f t="shared" si="160"/>
        <v>21.559226190476195</v>
      </c>
      <c r="E4759" s="637">
        <f t="shared" si="161"/>
        <v>32.963452380952397</v>
      </c>
    </row>
    <row r="4760" spans="1:5">
      <c r="A4760">
        <v>71813</v>
      </c>
      <c r="B4760">
        <v>400</v>
      </c>
      <c r="C4760" s="455">
        <v>9.9939999999999998</v>
      </c>
      <c r="D4760" s="637">
        <f t="shared" si="160"/>
        <v>21.217420634920639</v>
      </c>
      <c r="E4760" s="637">
        <f t="shared" si="161"/>
        <v>32.440841269841279</v>
      </c>
    </row>
    <row r="4761" spans="1:5">
      <c r="A4761">
        <v>71813</v>
      </c>
      <c r="B4761">
        <v>500</v>
      </c>
      <c r="C4761" s="455">
        <v>10.714</v>
      </c>
      <c r="D4761" s="637">
        <f t="shared" si="160"/>
        <v>22.745992063492071</v>
      </c>
      <c r="E4761" s="637">
        <f t="shared" si="161"/>
        <v>34.777984126984144</v>
      </c>
    </row>
    <row r="4762" spans="1:5">
      <c r="A4762">
        <v>71813</v>
      </c>
      <c r="B4762">
        <v>600</v>
      </c>
      <c r="C4762" s="455">
        <v>1.5569999999999999</v>
      </c>
      <c r="D4762" s="637">
        <f t="shared" si="160"/>
        <v>3.3055357142857149</v>
      </c>
      <c r="E4762" s="637">
        <f t="shared" si="161"/>
        <v>5.0540714285714303</v>
      </c>
    </row>
    <row r="4763" spans="1:5">
      <c r="A4763">
        <v>71813</v>
      </c>
      <c r="B4763">
        <v>700</v>
      </c>
      <c r="C4763" s="455">
        <v>0</v>
      </c>
      <c r="D4763" s="637">
        <f t="shared" si="160"/>
        <v>0</v>
      </c>
      <c r="E4763" s="637">
        <f t="shared" si="161"/>
        <v>0</v>
      </c>
    </row>
    <row r="4764" spans="1:5">
      <c r="A4764">
        <v>71813</v>
      </c>
      <c r="B4764">
        <v>800</v>
      </c>
      <c r="C4764" s="455">
        <v>1E-3</v>
      </c>
      <c r="D4764" s="637">
        <f t="shared" si="160"/>
        <v>2.1230158730158734E-3</v>
      </c>
      <c r="E4764" s="637">
        <f t="shared" si="161"/>
        <v>3.2460317460317476E-3</v>
      </c>
    </row>
    <row r="4765" spans="1:5">
      <c r="A4765">
        <v>71813</v>
      </c>
      <c r="B4765">
        <v>900</v>
      </c>
      <c r="C4765" s="455">
        <v>0</v>
      </c>
      <c r="D4765" s="637">
        <f t="shared" si="160"/>
        <v>0</v>
      </c>
      <c r="E4765" s="637">
        <f t="shared" si="161"/>
        <v>0</v>
      </c>
    </row>
    <row r="4766" spans="1:5">
      <c r="A4766">
        <v>71813</v>
      </c>
      <c r="B4766">
        <v>1000</v>
      </c>
      <c r="C4766" s="455">
        <v>0</v>
      </c>
      <c r="D4766" s="637">
        <f t="shared" si="160"/>
        <v>0</v>
      </c>
      <c r="E4766" s="637">
        <f t="shared" si="161"/>
        <v>0</v>
      </c>
    </row>
    <row r="4767" spans="1:5">
      <c r="A4767">
        <v>71813</v>
      </c>
      <c r="B4767">
        <v>1100</v>
      </c>
      <c r="C4767" s="455">
        <v>0</v>
      </c>
      <c r="D4767" s="637">
        <f t="shared" si="160"/>
        <v>0</v>
      </c>
      <c r="E4767" s="637">
        <f t="shared" si="161"/>
        <v>0</v>
      </c>
    </row>
    <row r="4768" spans="1:5">
      <c r="A4768">
        <v>71813</v>
      </c>
      <c r="B4768">
        <v>1200</v>
      </c>
      <c r="C4768" s="455">
        <v>0</v>
      </c>
      <c r="D4768" s="637">
        <f t="shared" si="160"/>
        <v>0</v>
      </c>
      <c r="E4768" s="637">
        <f t="shared" si="161"/>
        <v>0</v>
      </c>
    </row>
    <row r="4769" spans="1:5">
      <c r="A4769">
        <v>71813</v>
      </c>
      <c r="B4769">
        <v>1300</v>
      </c>
      <c r="C4769" s="455">
        <v>0</v>
      </c>
      <c r="D4769" s="637">
        <f t="shared" si="160"/>
        <v>0</v>
      </c>
      <c r="E4769" s="637">
        <f t="shared" si="161"/>
        <v>0</v>
      </c>
    </row>
    <row r="4770" spans="1:5">
      <c r="A4770">
        <v>71813</v>
      </c>
      <c r="B4770">
        <v>1400</v>
      </c>
      <c r="C4770" s="455">
        <v>0</v>
      </c>
      <c r="D4770" s="637">
        <f t="shared" si="160"/>
        <v>0</v>
      </c>
      <c r="E4770" s="637">
        <f t="shared" si="161"/>
        <v>0</v>
      </c>
    </row>
    <row r="4771" spans="1:5">
      <c r="A4771">
        <v>71813</v>
      </c>
      <c r="B4771">
        <v>1500</v>
      </c>
      <c r="C4771" s="455">
        <v>0</v>
      </c>
      <c r="D4771" s="637">
        <f t="shared" si="160"/>
        <v>0</v>
      </c>
      <c r="E4771" s="637">
        <f t="shared" si="161"/>
        <v>0</v>
      </c>
    </row>
    <row r="4772" spans="1:5">
      <c r="A4772">
        <v>71813</v>
      </c>
      <c r="B4772">
        <v>1600</v>
      </c>
      <c r="C4772" s="455">
        <v>0</v>
      </c>
      <c r="D4772" s="637">
        <f t="shared" si="160"/>
        <v>0</v>
      </c>
      <c r="E4772" s="637">
        <f t="shared" si="161"/>
        <v>0</v>
      </c>
    </row>
    <row r="4773" spans="1:5">
      <c r="A4773">
        <v>71813</v>
      </c>
      <c r="B4773">
        <v>1700</v>
      </c>
      <c r="C4773" s="455">
        <v>0</v>
      </c>
      <c r="D4773" s="637">
        <f t="shared" si="160"/>
        <v>0</v>
      </c>
      <c r="E4773" s="637">
        <f t="shared" si="161"/>
        <v>0</v>
      </c>
    </row>
    <row r="4774" spans="1:5">
      <c r="A4774">
        <v>71813</v>
      </c>
      <c r="B4774">
        <v>1800</v>
      </c>
      <c r="C4774" s="455">
        <v>0</v>
      </c>
      <c r="D4774" s="637">
        <f t="shared" si="160"/>
        <v>0</v>
      </c>
      <c r="E4774" s="637">
        <f t="shared" si="161"/>
        <v>0</v>
      </c>
    </row>
    <row r="4775" spans="1:5">
      <c r="A4775">
        <v>71813</v>
      </c>
      <c r="B4775">
        <v>1900</v>
      </c>
      <c r="C4775" s="455">
        <v>0</v>
      </c>
      <c r="D4775" s="637">
        <f t="shared" si="160"/>
        <v>0</v>
      </c>
      <c r="E4775" s="637">
        <f t="shared" si="161"/>
        <v>0</v>
      </c>
    </row>
    <row r="4776" spans="1:5">
      <c r="A4776">
        <v>71813</v>
      </c>
      <c r="B4776">
        <v>2000</v>
      </c>
      <c r="C4776" s="455">
        <v>4.8159999999999998</v>
      </c>
      <c r="D4776" s="637">
        <f t="shared" si="160"/>
        <v>10.224444444444446</v>
      </c>
      <c r="E4776" s="637">
        <f t="shared" si="161"/>
        <v>15.632888888888894</v>
      </c>
    </row>
    <row r="4777" spans="1:5">
      <c r="A4777">
        <v>71813</v>
      </c>
      <c r="B4777">
        <v>2100</v>
      </c>
      <c r="C4777" s="455">
        <v>10.702999999999999</v>
      </c>
      <c r="D4777" s="637">
        <f t="shared" si="160"/>
        <v>22.722638888888895</v>
      </c>
      <c r="E4777" s="637">
        <f t="shared" si="161"/>
        <v>34.742277777777794</v>
      </c>
    </row>
    <row r="4778" spans="1:5">
      <c r="A4778">
        <v>71813</v>
      </c>
      <c r="B4778">
        <v>2200</v>
      </c>
      <c r="C4778" s="455">
        <v>9.8490000000000002</v>
      </c>
      <c r="D4778" s="637">
        <f t="shared" si="160"/>
        <v>20.909583333333341</v>
      </c>
      <c r="E4778" s="637">
        <f t="shared" si="161"/>
        <v>31.970166666666682</v>
      </c>
    </row>
    <row r="4779" spans="1:5">
      <c r="A4779">
        <v>71813</v>
      </c>
      <c r="B4779">
        <v>2300</v>
      </c>
      <c r="C4779" s="455">
        <v>10.185</v>
      </c>
      <c r="D4779" s="637">
        <f t="shared" si="160"/>
        <v>21.622916666666676</v>
      </c>
      <c r="E4779" s="637">
        <f t="shared" si="161"/>
        <v>33.060833333333349</v>
      </c>
    </row>
    <row r="4780" spans="1:5">
      <c r="A4780">
        <v>71813</v>
      </c>
      <c r="B4780">
        <v>2400</v>
      </c>
      <c r="C4780" s="455">
        <v>9.9749999999999996</v>
      </c>
      <c r="D4780" s="637">
        <f t="shared" si="160"/>
        <v>21.177083333333339</v>
      </c>
      <c r="E4780" s="637">
        <f t="shared" si="161"/>
        <v>32.379166666666684</v>
      </c>
    </row>
    <row r="4781" spans="1:5">
      <c r="A4781">
        <v>71913</v>
      </c>
      <c r="B4781">
        <v>100</v>
      </c>
      <c r="C4781" s="455">
        <v>10.138</v>
      </c>
      <c r="D4781" s="637">
        <f t="shared" si="160"/>
        <v>21.523134920634927</v>
      </c>
      <c r="E4781" s="637">
        <f t="shared" si="161"/>
        <v>32.908269841269856</v>
      </c>
    </row>
    <row r="4782" spans="1:5">
      <c r="A4782">
        <v>71913</v>
      </c>
      <c r="B4782">
        <v>200</v>
      </c>
      <c r="C4782" s="455">
        <v>9.8409999999999993</v>
      </c>
      <c r="D4782" s="637">
        <f t="shared" si="160"/>
        <v>20.89259920634921</v>
      </c>
      <c r="E4782" s="637">
        <f t="shared" si="161"/>
        <v>31.944198412698427</v>
      </c>
    </row>
    <row r="4783" spans="1:5">
      <c r="A4783">
        <v>71913</v>
      </c>
      <c r="B4783">
        <v>300</v>
      </c>
      <c r="C4783" s="455">
        <v>10.491</v>
      </c>
      <c r="D4783" s="637">
        <f t="shared" si="160"/>
        <v>22.27255952380953</v>
      </c>
      <c r="E4783" s="637">
        <f t="shared" si="161"/>
        <v>34.054119047619061</v>
      </c>
    </row>
    <row r="4784" spans="1:5">
      <c r="A4784">
        <v>71913</v>
      </c>
      <c r="B4784">
        <v>400</v>
      </c>
      <c r="C4784" s="455">
        <v>9.952</v>
      </c>
      <c r="D4784" s="637">
        <f t="shared" si="160"/>
        <v>21.128253968253972</v>
      </c>
      <c r="E4784" s="637">
        <f t="shared" si="161"/>
        <v>32.304507936507953</v>
      </c>
    </row>
    <row r="4785" spans="1:5">
      <c r="A4785">
        <v>71913</v>
      </c>
      <c r="B4785">
        <v>500</v>
      </c>
      <c r="C4785" s="455">
        <v>10.82</v>
      </c>
      <c r="D4785" s="637">
        <f t="shared" si="160"/>
        <v>22.971031746031752</v>
      </c>
      <c r="E4785" s="637">
        <f t="shared" si="161"/>
        <v>35.122063492063511</v>
      </c>
    </row>
    <row r="4786" spans="1:5">
      <c r="A4786">
        <v>71913</v>
      </c>
      <c r="B4786">
        <v>600</v>
      </c>
      <c r="C4786" s="455">
        <v>4.2539999999999996</v>
      </c>
      <c r="D4786" s="637">
        <f t="shared" si="160"/>
        <v>9.0313095238095258</v>
      </c>
      <c r="E4786" s="637">
        <f t="shared" si="161"/>
        <v>13.808619047619054</v>
      </c>
    </row>
    <row r="4787" spans="1:5">
      <c r="A4787">
        <v>71913</v>
      </c>
      <c r="B4787">
        <v>700</v>
      </c>
      <c r="C4787" s="455">
        <v>0</v>
      </c>
      <c r="D4787" s="637">
        <f t="shared" si="160"/>
        <v>0</v>
      </c>
      <c r="E4787" s="637">
        <f t="shared" si="161"/>
        <v>0</v>
      </c>
    </row>
    <row r="4788" spans="1:5">
      <c r="A4788">
        <v>71913</v>
      </c>
      <c r="B4788">
        <v>800</v>
      </c>
      <c r="C4788" s="455">
        <v>0</v>
      </c>
      <c r="D4788" s="637">
        <f t="shared" si="160"/>
        <v>0</v>
      </c>
      <c r="E4788" s="637">
        <f t="shared" si="161"/>
        <v>0</v>
      </c>
    </row>
    <row r="4789" spans="1:5">
      <c r="A4789">
        <v>71913</v>
      </c>
      <c r="B4789">
        <v>900</v>
      </c>
      <c r="C4789" s="455">
        <v>0</v>
      </c>
      <c r="D4789" s="637">
        <f t="shared" si="160"/>
        <v>0</v>
      </c>
      <c r="E4789" s="637">
        <f t="shared" si="161"/>
        <v>0</v>
      </c>
    </row>
    <row r="4790" spans="1:5">
      <c r="A4790">
        <v>71913</v>
      </c>
      <c r="B4790">
        <v>1000</v>
      </c>
      <c r="C4790" s="455">
        <v>0</v>
      </c>
      <c r="D4790" s="637">
        <f t="shared" si="160"/>
        <v>0</v>
      </c>
      <c r="E4790" s="637">
        <f t="shared" si="161"/>
        <v>0</v>
      </c>
    </row>
    <row r="4791" spans="1:5">
      <c r="A4791">
        <v>71913</v>
      </c>
      <c r="B4791">
        <v>1100</v>
      </c>
      <c r="C4791" s="455">
        <v>0</v>
      </c>
      <c r="D4791" s="637">
        <f t="shared" si="160"/>
        <v>0</v>
      </c>
      <c r="E4791" s="637">
        <f t="shared" si="161"/>
        <v>0</v>
      </c>
    </row>
    <row r="4792" spans="1:5">
      <c r="A4792">
        <v>71913</v>
      </c>
      <c r="B4792">
        <v>1200</v>
      </c>
      <c r="C4792" s="455">
        <v>0</v>
      </c>
      <c r="D4792" s="637">
        <f t="shared" si="160"/>
        <v>0</v>
      </c>
      <c r="E4792" s="637">
        <f t="shared" si="161"/>
        <v>0</v>
      </c>
    </row>
    <row r="4793" spans="1:5">
      <c r="A4793">
        <v>71913</v>
      </c>
      <c r="B4793">
        <v>1300</v>
      </c>
      <c r="C4793" s="455">
        <v>0</v>
      </c>
      <c r="D4793" s="637">
        <f t="shared" si="160"/>
        <v>0</v>
      </c>
      <c r="E4793" s="637">
        <f t="shared" si="161"/>
        <v>0</v>
      </c>
    </row>
    <row r="4794" spans="1:5">
      <c r="A4794">
        <v>71913</v>
      </c>
      <c r="B4794">
        <v>1400</v>
      </c>
      <c r="C4794" s="455">
        <v>0</v>
      </c>
      <c r="D4794" s="637">
        <f t="shared" si="160"/>
        <v>0</v>
      </c>
      <c r="E4794" s="637">
        <f t="shared" si="161"/>
        <v>0</v>
      </c>
    </row>
    <row r="4795" spans="1:5">
      <c r="A4795">
        <v>71913</v>
      </c>
      <c r="B4795">
        <v>1500</v>
      </c>
      <c r="C4795" s="455">
        <v>0</v>
      </c>
      <c r="D4795" s="637">
        <f t="shared" si="160"/>
        <v>0</v>
      </c>
      <c r="E4795" s="637">
        <f t="shared" si="161"/>
        <v>0</v>
      </c>
    </row>
    <row r="4796" spans="1:5">
      <c r="A4796">
        <v>71913</v>
      </c>
      <c r="B4796">
        <v>1600</v>
      </c>
      <c r="C4796" s="455">
        <v>0</v>
      </c>
      <c r="D4796" s="637">
        <f t="shared" si="160"/>
        <v>0</v>
      </c>
      <c r="E4796" s="637">
        <f t="shared" si="161"/>
        <v>0</v>
      </c>
    </row>
    <row r="4797" spans="1:5">
      <c r="A4797">
        <v>71913</v>
      </c>
      <c r="B4797">
        <v>1700</v>
      </c>
      <c r="C4797" s="455">
        <v>2.6080000000000001</v>
      </c>
      <c r="D4797" s="637">
        <f t="shared" si="160"/>
        <v>5.5368253968253986</v>
      </c>
      <c r="E4797" s="637">
        <f t="shared" si="161"/>
        <v>8.4656507936507985</v>
      </c>
    </row>
    <row r="4798" spans="1:5">
      <c r="A4798">
        <v>71913</v>
      </c>
      <c r="B4798">
        <v>1800</v>
      </c>
      <c r="C4798" s="455">
        <v>11.428000000000001</v>
      </c>
      <c r="D4798" s="637">
        <f t="shared" ref="D4798:D4861" si="162">(C4798/(MAX($C$4349:$C$5092)))*$W$11</f>
        <v>24.261825396825408</v>
      </c>
      <c r="E4798" s="637">
        <f t="shared" ref="E4798:E4861" si="163">(C4798/(MAX($C$4349:$C$5092)))*$P$11</f>
        <v>37.095650793650819</v>
      </c>
    </row>
    <row r="4799" spans="1:5">
      <c r="A4799">
        <v>71913</v>
      </c>
      <c r="B4799">
        <v>1900</v>
      </c>
      <c r="C4799" s="455">
        <v>2.1320000000000001</v>
      </c>
      <c r="D4799" s="637">
        <f t="shared" si="162"/>
        <v>4.5262698412698423</v>
      </c>
      <c r="E4799" s="637">
        <f t="shared" si="163"/>
        <v>6.9205396825396859</v>
      </c>
    </row>
    <row r="4800" spans="1:5">
      <c r="A4800">
        <v>71913</v>
      </c>
      <c r="B4800">
        <v>2000</v>
      </c>
      <c r="C4800" s="455">
        <v>0.77</v>
      </c>
      <c r="D4800" s="637">
        <f t="shared" si="162"/>
        <v>1.6347222222222226</v>
      </c>
      <c r="E4800" s="637">
        <f t="shared" si="163"/>
        <v>2.4994444444444457</v>
      </c>
    </row>
    <row r="4801" spans="1:5">
      <c r="A4801">
        <v>71913</v>
      </c>
      <c r="B4801">
        <v>2100</v>
      </c>
      <c r="C4801" s="455">
        <v>10.449</v>
      </c>
      <c r="D4801" s="637">
        <f t="shared" si="162"/>
        <v>22.183392857142863</v>
      </c>
      <c r="E4801" s="637">
        <f t="shared" si="163"/>
        <v>33.917785714285728</v>
      </c>
    </row>
    <row r="4802" spans="1:5">
      <c r="A4802">
        <v>71913</v>
      </c>
      <c r="B4802">
        <v>2200</v>
      </c>
      <c r="C4802" s="455">
        <v>10.116</v>
      </c>
      <c r="D4802" s="637">
        <f t="shared" si="162"/>
        <v>21.476428571428578</v>
      </c>
      <c r="E4802" s="637">
        <f t="shared" si="163"/>
        <v>32.836857142857156</v>
      </c>
    </row>
    <row r="4803" spans="1:5">
      <c r="A4803">
        <v>71913</v>
      </c>
      <c r="B4803">
        <v>2300</v>
      </c>
      <c r="C4803" s="455">
        <v>10.228</v>
      </c>
      <c r="D4803" s="637">
        <f t="shared" si="162"/>
        <v>21.714206349206354</v>
      </c>
      <c r="E4803" s="637">
        <f t="shared" si="163"/>
        <v>33.200412698412713</v>
      </c>
    </row>
    <row r="4804" spans="1:5">
      <c r="A4804">
        <v>71913</v>
      </c>
      <c r="B4804">
        <v>2400</v>
      </c>
      <c r="C4804" s="455">
        <v>10.23</v>
      </c>
      <c r="D4804" s="637">
        <f t="shared" si="162"/>
        <v>21.718452380952389</v>
      </c>
      <c r="E4804" s="637">
        <f t="shared" si="163"/>
        <v>33.206904761904781</v>
      </c>
    </row>
    <row r="4805" spans="1:5">
      <c r="A4805">
        <v>72013</v>
      </c>
      <c r="B4805">
        <v>100</v>
      </c>
      <c r="C4805" s="455">
        <v>10.016</v>
      </c>
      <c r="D4805" s="637">
        <f t="shared" si="162"/>
        <v>21.264126984126989</v>
      </c>
      <c r="E4805" s="637">
        <f t="shared" si="163"/>
        <v>32.51225396825398</v>
      </c>
    </row>
    <row r="4806" spans="1:5">
      <c r="A4806">
        <v>72013</v>
      </c>
      <c r="B4806">
        <v>200</v>
      </c>
      <c r="C4806" s="455">
        <v>10.164999999999999</v>
      </c>
      <c r="D4806" s="637">
        <f t="shared" si="162"/>
        <v>21.580456349206354</v>
      </c>
      <c r="E4806" s="637">
        <f t="shared" si="163"/>
        <v>32.99591269841271</v>
      </c>
    </row>
    <row r="4807" spans="1:5">
      <c r="A4807">
        <v>72013</v>
      </c>
      <c r="B4807">
        <v>300</v>
      </c>
      <c r="C4807" s="455">
        <v>9.9489999999999998</v>
      </c>
      <c r="D4807" s="637">
        <f t="shared" si="162"/>
        <v>21.121884920634926</v>
      </c>
      <c r="E4807" s="637">
        <f t="shared" si="163"/>
        <v>32.294769841269854</v>
      </c>
    </row>
    <row r="4808" spans="1:5">
      <c r="A4808">
        <v>72013</v>
      </c>
      <c r="B4808">
        <v>400</v>
      </c>
      <c r="C4808" s="455">
        <v>10.052</v>
      </c>
      <c r="D4808" s="637">
        <f t="shared" si="162"/>
        <v>21.340555555555561</v>
      </c>
      <c r="E4808" s="637">
        <f t="shared" si="163"/>
        <v>32.629111111111122</v>
      </c>
    </row>
    <row r="4809" spans="1:5">
      <c r="A4809">
        <v>72013</v>
      </c>
      <c r="B4809">
        <v>500</v>
      </c>
      <c r="C4809" s="455">
        <v>10.56</v>
      </c>
      <c r="D4809" s="637">
        <f t="shared" si="162"/>
        <v>22.419047619047625</v>
      </c>
      <c r="E4809" s="637">
        <f t="shared" si="163"/>
        <v>34.278095238095254</v>
      </c>
    </row>
    <row r="4810" spans="1:5">
      <c r="A4810">
        <v>72013</v>
      </c>
      <c r="B4810">
        <v>600</v>
      </c>
      <c r="C4810" s="455">
        <v>7.7110000000000003</v>
      </c>
      <c r="D4810" s="637">
        <f t="shared" si="162"/>
        <v>16.370575396825402</v>
      </c>
      <c r="E4810" s="637">
        <f t="shared" si="163"/>
        <v>25.030150793650805</v>
      </c>
    </row>
    <row r="4811" spans="1:5">
      <c r="A4811">
        <v>72013</v>
      </c>
      <c r="B4811">
        <v>700</v>
      </c>
      <c r="C4811" s="455">
        <v>0</v>
      </c>
      <c r="D4811" s="637">
        <f t="shared" si="162"/>
        <v>0</v>
      </c>
      <c r="E4811" s="637">
        <f t="shared" si="163"/>
        <v>0</v>
      </c>
    </row>
    <row r="4812" spans="1:5">
      <c r="A4812">
        <v>72013</v>
      </c>
      <c r="B4812">
        <v>800</v>
      </c>
      <c r="C4812" s="455">
        <v>0</v>
      </c>
      <c r="D4812" s="637">
        <f t="shared" si="162"/>
        <v>0</v>
      </c>
      <c r="E4812" s="637">
        <f t="shared" si="163"/>
        <v>0</v>
      </c>
    </row>
    <row r="4813" spans="1:5">
      <c r="A4813">
        <v>72013</v>
      </c>
      <c r="B4813">
        <v>900</v>
      </c>
      <c r="C4813" s="455">
        <v>0</v>
      </c>
      <c r="D4813" s="637">
        <f t="shared" si="162"/>
        <v>0</v>
      </c>
      <c r="E4813" s="637">
        <f t="shared" si="163"/>
        <v>0</v>
      </c>
    </row>
    <row r="4814" spans="1:5">
      <c r="A4814">
        <v>72013</v>
      </c>
      <c r="B4814">
        <v>1000</v>
      </c>
      <c r="C4814" s="455">
        <v>0</v>
      </c>
      <c r="D4814" s="637">
        <f t="shared" si="162"/>
        <v>0</v>
      </c>
      <c r="E4814" s="637">
        <f t="shared" si="163"/>
        <v>0</v>
      </c>
    </row>
    <row r="4815" spans="1:5">
      <c r="A4815">
        <v>72013</v>
      </c>
      <c r="B4815">
        <v>1100</v>
      </c>
      <c r="C4815" s="455">
        <v>0</v>
      </c>
      <c r="D4815" s="637">
        <f t="shared" si="162"/>
        <v>0</v>
      </c>
      <c r="E4815" s="637">
        <f t="shared" si="163"/>
        <v>0</v>
      </c>
    </row>
    <row r="4816" spans="1:5">
      <c r="A4816">
        <v>72013</v>
      </c>
      <c r="B4816">
        <v>1200</v>
      </c>
      <c r="C4816" s="455">
        <v>0</v>
      </c>
      <c r="D4816" s="637">
        <f t="shared" si="162"/>
        <v>0</v>
      </c>
      <c r="E4816" s="637">
        <f t="shared" si="163"/>
        <v>0</v>
      </c>
    </row>
    <row r="4817" spans="1:5">
      <c r="A4817">
        <v>72013</v>
      </c>
      <c r="B4817">
        <v>1300</v>
      </c>
      <c r="C4817" s="455">
        <v>0</v>
      </c>
      <c r="D4817" s="637">
        <f t="shared" si="162"/>
        <v>0</v>
      </c>
      <c r="E4817" s="637">
        <f t="shared" si="163"/>
        <v>0</v>
      </c>
    </row>
    <row r="4818" spans="1:5">
      <c r="A4818">
        <v>72013</v>
      </c>
      <c r="B4818">
        <v>1400</v>
      </c>
      <c r="C4818" s="455">
        <v>0</v>
      </c>
      <c r="D4818" s="637">
        <f t="shared" si="162"/>
        <v>0</v>
      </c>
      <c r="E4818" s="637">
        <f t="shared" si="163"/>
        <v>0</v>
      </c>
    </row>
    <row r="4819" spans="1:5">
      <c r="A4819">
        <v>72013</v>
      </c>
      <c r="B4819">
        <v>1500</v>
      </c>
      <c r="C4819" s="455">
        <v>0</v>
      </c>
      <c r="D4819" s="637">
        <f t="shared" si="162"/>
        <v>0</v>
      </c>
      <c r="E4819" s="637">
        <f t="shared" si="163"/>
        <v>0</v>
      </c>
    </row>
    <row r="4820" spans="1:5">
      <c r="A4820">
        <v>72013</v>
      </c>
      <c r="B4820">
        <v>1600</v>
      </c>
      <c r="C4820" s="455">
        <v>0</v>
      </c>
      <c r="D4820" s="637">
        <f t="shared" si="162"/>
        <v>0</v>
      </c>
      <c r="E4820" s="637">
        <f t="shared" si="163"/>
        <v>0</v>
      </c>
    </row>
    <row r="4821" spans="1:5">
      <c r="A4821">
        <v>72013</v>
      </c>
      <c r="B4821">
        <v>1700</v>
      </c>
      <c r="C4821" s="455">
        <v>0</v>
      </c>
      <c r="D4821" s="637">
        <f t="shared" si="162"/>
        <v>0</v>
      </c>
      <c r="E4821" s="637">
        <f t="shared" si="163"/>
        <v>0</v>
      </c>
    </row>
    <row r="4822" spans="1:5">
      <c r="A4822">
        <v>72013</v>
      </c>
      <c r="B4822">
        <v>1800</v>
      </c>
      <c r="C4822" s="455">
        <v>0</v>
      </c>
      <c r="D4822" s="637">
        <f t="shared" si="162"/>
        <v>0</v>
      </c>
      <c r="E4822" s="637">
        <f t="shared" si="163"/>
        <v>0</v>
      </c>
    </row>
    <row r="4823" spans="1:5">
      <c r="A4823">
        <v>72013</v>
      </c>
      <c r="B4823">
        <v>1900</v>
      </c>
      <c r="C4823" s="455">
        <v>0</v>
      </c>
      <c r="D4823" s="637">
        <f t="shared" si="162"/>
        <v>0</v>
      </c>
      <c r="E4823" s="637">
        <f t="shared" si="163"/>
        <v>0</v>
      </c>
    </row>
    <row r="4824" spans="1:5">
      <c r="A4824">
        <v>72013</v>
      </c>
      <c r="B4824">
        <v>2000</v>
      </c>
      <c r="C4824" s="455">
        <v>5.14</v>
      </c>
      <c r="D4824" s="637">
        <f t="shared" si="162"/>
        <v>10.91230158730159</v>
      </c>
      <c r="E4824" s="637">
        <f t="shared" si="163"/>
        <v>16.684603174603183</v>
      </c>
    </row>
    <row r="4825" spans="1:5">
      <c r="A4825">
        <v>72013</v>
      </c>
      <c r="B4825">
        <v>2100</v>
      </c>
      <c r="C4825" s="455">
        <v>10.933</v>
      </c>
      <c r="D4825" s="637">
        <f t="shared" si="162"/>
        <v>23.210932539682545</v>
      </c>
      <c r="E4825" s="637">
        <f t="shared" si="163"/>
        <v>35.488865079365091</v>
      </c>
    </row>
    <row r="4826" spans="1:5">
      <c r="A4826">
        <v>72013</v>
      </c>
      <c r="B4826">
        <v>2200</v>
      </c>
      <c r="C4826" s="455">
        <v>10.130000000000001</v>
      </c>
      <c r="D4826" s="637">
        <f t="shared" si="162"/>
        <v>21.506150793650804</v>
      </c>
      <c r="E4826" s="637">
        <f t="shared" si="163"/>
        <v>32.882301587301605</v>
      </c>
    </row>
    <row r="4827" spans="1:5">
      <c r="A4827">
        <v>72013</v>
      </c>
      <c r="B4827">
        <v>2300</v>
      </c>
      <c r="C4827" s="455">
        <v>10.154999999999999</v>
      </c>
      <c r="D4827" s="637">
        <f t="shared" si="162"/>
        <v>21.559226190476195</v>
      </c>
      <c r="E4827" s="637">
        <f t="shared" si="163"/>
        <v>32.963452380952397</v>
      </c>
    </row>
    <row r="4828" spans="1:5">
      <c r="A4828">
        <v>72013</v>
      </c>
      <c r="B4828">
        <v>2400</v>
      </c>
      <c r="C4828" s="455">
        <v>10.220000000000001</v>
      </c>
      <c r="D4828" s="637">
        <f t="shared" si="162"/>
        <v>21.69722222222223</v>
      </c>
      <c r="E4828" s="637">
        <f t="shared" si="163"/>
        <v>33.174444444444461</v>
      </c>
    </row>
    <row r="4829" spans="1:5">
      <c r="A4829">
        <v>72113</v>
      </c>
      <c r="B4829">
        <v>100</v>
      </c>
      <c r="C4829" s="455">
        <v>10.086</v>
      </c>
      <c r="D4829" s="637">
        <f t="shared" si="162"/>
        <v>21.412738095238101</v>
      </c>
      <c r="E4829" s="637">
        <f t="shared" si="163"/>
        <v>32.739476190476211</v>
      </c>
    </row>
    <row r="4830" spans="1:5">
      <c r="A4830">
        <v>72113</v>
      </c>
      <c r="B4830">
        <v>200</v>
      </c>
      <c r="C4830" s="455">
        <v>10.163</v>
      </c>
      <c r="D4830" s="637">
        <f t="shared" si="162"/>
        <v>21.576210317460326</v>
      </c>
      <c r="E4830" s="637">
        <f t="shared" si="163"/>
        <v>32.989420634920656</v>
      </c>
    </row>
    <row r="4831" spans="1:5">
      <c r="A4831">
        <v>72113</v>
      </c>
      <c r="B4831">
        <v>300</v>
      </c>
      <c r="C4831" s="455">
        <v>9.984</v>
      </c>
      <c r="D4831" s="637">
        <f t="shared" si="162"/>
        <v>21.196190476190484</v>
      </c>
      <c r="E4831" s="637">
        <f t="shared" si="163"/>
        <v>32.408380952380966</v>
      </c>
    </row>
    <row r="4832" spans="1:5">
      <c r="A4832">
        <v>72113</v>
      </c>
      <c r="B4832">
        <v>400</v>
      </c>
      <c r="C4832" s="455">
        <v>10.131</v>
      </c>
      <c r="D4832" s="637">
        <f t="shared" si="162"/>
        <v>21.508273809523814</v>
      </c>
      <c r="E4832" s="637">
        <f t="shared" si="163"/>
        <v>32.885547619047635</v>
      </c>
    </row>
    <row r="4833" spans="1:5">
      <c r="A4833">
        <v>72113</v>
      </c>
      <c r="B4833">
        <v>500</v>
      </c>
      <c r="C4833" s="455">
        <v>11.032</v>
      </c>
      <c r="D4833" s="637">
        <f t="shared" si="162"/>
        <v>23.421111111111117</v>
      </c>
      <c r="E4833" s="637">
        <f t="shared" si="163"/>
        <v>35.810222222222237</v>
      </c>
    </row>
    <row r="4834" spans="1:5">
      <c r="A4834">
        <v>72113</v>
      </c>
      <c r="B4834">
        <v>600</v>
      </c>
      <c r="C4834" s="455">
        <v>1.7649999999999999</v>
      </c>
      <c r="D4834" s="637">
        <f t="shared" si="162"/>
        <v>3.7471230158730164</v>
      </c>
      <c r="E4834" s="637">
        <f t="shared" si="163"/>
        <v>5.7292460317460341</v>
      </c>
    </row>
    <row r="4835" spans="1:5">
      <c r="A4835">
        <v>72113</v>
      </c>
      <c r="B4835">
        <v>700</v>
      </c>
      <c r="C4835" s="455">
        <v>0</v>
      </c>
      <c r="D4835" s="637">
        <f t="shared" si="162"/>
        <v>0</v>
      </c>
      <c r="E4835" s="637">
        <f t="shared" si="163"/>
        <v>0</v>
      </c>
    </row>
    <row r="4836" spans="1:5">
      <c r="A4836">
        <v>72113</v>
      </c>
      <c r="B4836">
        <v>800</v>
      </c>
      <c r="C4836" s="455">
        <v>0</v>
      </c>
      <c r="D4836" s="637">
        <f t="shared" si="162"/>
        <v>0</v>
      </c>
      <c r="E4836" s="637">
        <f t="shared" si="163"/>
        <v>0</v>
      </c>
    </row>
    <row r="4837" spans="1:5">
      <c r="A4837">
        <v>72113</v>
      </c>
      <c r="B4837">
        <v>900</v>
      </c>
      <c r="C4837" s="455">
        <v>0</v>
      </c>
      <c r="D4837" s="637">
        <f t="shared" si="162"/>
        <v>0</v>
      </c>
      <c r="E4837" s="637">
        <f t="shared" si="163"/>
        <v>0</v>
      </c>
    </row>
    <row r="4838" spans="1:5">
      <c r="A4838">
        <v>72113</v>
      </c>
      <c r="B4838">
        <v>1000</v>
      </c>
      <c r="C4838" s="455">
        <v>0</v>
      </c>
      <c r="D4838" s="637">
        <f t="shared" si="162"/>
        <v>0</v>
      </c>
      <c r="E4838" s="637">
        <f t="shared" si="163"/>
        <v>0</v>
      </c>
    </row>
    <row r="4839" spans="1:5">
      <c r="A4839">
        <v>72113</v>
      </c>
      <c r="B4839">
        <v>1100</v>
      </c>
      <c r="C4839" s="455">
        <v>0</v>
      </c>
      <c r="D4839" s="637">
        <f t="shared" si="162"/>
        <v>0</v>
      </c>
      <c r="E4839" s="637">
        <f t="shared" si="163"/>
        <v>0</v>
      </c>
    </row>
    <row r="4840" spans="1:5">
      <c r="A4840">
        <v>72113</v>
      </c>
      <c r="B4840">
        <v>1200</v>
      </c>
      <c r="C4840" s="455">
        <v>0</v>
      </c>
      <c r="D4840" s="637">
        <f t="shared" si="162"/>
        <v>0</v>
      </c>
      <c r="E4840" s="637">
        <f t="shared" si="163"/>
        <v>0</v>
      </c>
    </row>
    <row r="4841" spans="1:5">
      <c r="A4841">
        <v>72113</v>
      </c>
      <c r="B4841">
        <v>1300</v>
      </c>
      <c r="C4841" s="455">
        <v>0</v>
      </c>
      <c r="D4841" s="637">
        <f t="shared" si="162"/>
        <v>0</v>
      </c>
      <c r="E4841" s="637">
        <f t="shared" si="163"/>
        <v>0</v>
      </c>
    </row>
    <row r="4842" spans="1:5">
      <c r="A4842">
        <v>72113</v>
      </c>
      <c r="B4842">
        <v>1400</v>
      </c>
      <c r="C4842" s="455">
        <v>0</v>
      </c>
      <c r="D4842" s="637">
        <f t="shared" si="162"/>
        <v>0</v>
      </c>
      <c r="E4842" s="637">
        <f t="shared" si="163"/>
        <v>0</v>
      </c>
    </row>
    <row r="4843" spans="1:5">
      <c r="A4843">
        <v>72113</v>
      </c>
      <c r="B4843">
        <v>1500</v>
      </c>
      <c r="C4843" s="455">
        <v>0</v>
      </c>
      <c r="D4843" s="637">
        <f t="shared" si="162"/>
        <v>0</v>
      </c>
      <c r="E4843" s="637">
        <f t="shared" si="163"/>
        <v>0</v>
      </c>
    </row>
    <row r="4844" spans="1:5">
      <c r="A4844">
        <v>72113</v>
      </c>
      <c r="B4844">
        <v>1600</v>
      </c>
      <c r="C4844" s="455">
        <v>0</v>
      </c>
      <c r="D4844" s="637">
        <f t="shared" si="162"/>
        <v>0</v>
      </c>
      <c r="E4844" s="637">
        <f t="shared" si="163"/>
        <v>0</v>
      </c>
    </row>
    <row r="4845" spans="1:5">
      <c r="A4845">
        <v>72113</v>
      </c>
      <c r="B4845">
        <v>1700</v>
      </c>
      <c r="C4845" s="455">
        <v>0</v>
      </c>
      <c r="D4845" s="637">
        <f t="shared" si="162"/>
        <v>0</v>
      </c>
      <c r="E4845" s="637">
        <f t="shared" si="163"/>
        <v>0</v>
      </c>
    </row>
    <row r="4846" spans="1:5">
      <c r="A4846">
        <v>72113</v>
      </c>
      <c r="B4846">
        <v>1800</v>
      </c>
      <c r="C4846" s="455">
        <v>0</v>
      </c>
      <c r="D4846" s="637">
        <f t="shared" si="162"/>
        <v>0</v>
      </c>
      <c r="E4846" s="637">
        <f t="shared" si="163"/>
        <v>0</v>
      </c>
    </row>
    <row r="4847" spans="1:5">
      <c r="A4847">
        <v>72113</v>
      </c>
      <c r="B4847">
        <v>1900</v>
      </c>
      <c r="C4847" s="455">
        <v>0</v>
      </c>
      <c r="D4847" s="637">
        <f t="shared" si="162"/>
        <v>0</v>
      </c>
      <c r="E4847" s="637">
        <f t="shared" si="163"/>
        <v>0</v>
      </c>
    </row>
    <row r="4848" spans="1:5">
      <c r="A4848">
        <v>72113</v>
      </c>
      <c r="B4848">
        <v>2000</v>
      </c>
      <c r="C4848" s="455">
        <v>4.0919999999999996</v>
      </c>
      <c r="D4848" s="637">
        <f t="shared" si="162"/>
        <v>8.6873809523809538</v>
      </c>
      <c r="E4848" s="637">
        <f t="shared" si="163"/>
        <v>13.282761904761909</v>
      </c>
    </row>
    <row r="4849" spans="1:5">
      <c r="A4849">
        <v>72113</v>
      </c>
      <c r="B4849">
        <v>2100</v>
      </c>
      <c r="C4849" s="455">
        <v>11.086</v>
      </c>
      <c r="D4849" s="637">
        <f t="shared" si="162"/>
        <v>23.535753968253978</v>
      </c>
      <c r="E4849" s="637">
        <f t="shared" si="163"/>
        <v>35.985507936507958</v>
      </c>
    </row>
    <row r="4850" spans="1:5">
      <c r="A4850">
        <v>72113</v>
      </c>
      <c r="B4850">
        <v>2200</v>
      </c>
      <c r="C4850" s="455">
        <v>10.363</v>
      </c>
      <c r="D4850" s="637">
        <f t="shared" si="162"/>
        <v>22.000813492063497</v>
      </c>
      <c r="E4850" s="637">
        <f t="shared" si="163"/>
        <v>33.638626984127001</v>
      </c>
    </row>
    <row r="4851" spans="1:5">
      <c r="A4851">
        <v>72113</v>
      </c>
      <c r="B4851">
        <v>2300</v>
      </c>
      <c r="C4851" s="455">
        <v>9.7249999999999996</v>
      </c>
      <c r="D4851" s="637">
        <f t="shared" si="162"/>
        <v>20.646329365079371</v>
      </c>
      <c r="E4851" s="637">
        <f t="shared" si="163"/>
        <v>31.567658730158744</v>
      </c>
    </row>
    <row r="4852" spans="1:5">
      <c r="A4852">
        <v>72113</v>
      </c>
      <c r="B4852">
        <v>2400</v>
      </c>
      <c r="C4852" s="455">
        <v>10.192</v>
      </c>
      <c r="D4852" s="637">
        <f t="shared" si="162"/>
        <v>21.637777777777785</v>
      </c>
      <c r="E4852" s="637">
        <f t="shared" si="163"/>
        <v>33.08355555555557</v>
      </c>
    </row>
    <row r="4853" spans="1:5">
      <c r="A4853">
        <v>72213</v>
      </c>
      <c r="B4853">
        <v>100</v>
      </c>
      <c r="C4853" s="455">
        <v>9.9719999999999995</v>
      </c>
      <c r="D4853" s="637">
        <f t="shared" si="162"/>
        <v>21.17071428571429</v>
      </c>
      <c r="E4853" s="637">
        <f t="shared" si="163"/>
        <v>32.369428571428585</v>
      </c>
    </row>
    <row r="4854" spans="1:5">
      <c r="A4854">
        <v>72213</v>
      </c>
      <c r="B4854">
        <v>200</v>
      </c>
      <c r="C4854" s="455">
        <v>9.9429999999999996</v>
      </c>
      <c r="D4854" s="637">
        <f t="shared" si="162"/>
        <v>21.109146825396831</v>
      </c>
      <c r="E4854" s="637">
        <f t="shared" si="163"/>
        <v>32.275293650793664</v>
      </c>
    </row>
    <row r="4855" spans="1:5">
      <c r="A4855">
        <v>72213</v>
      </c>
      <c r="B4855">
        <v>300</v>
      </c>
      <c r="C4855" s="455">
        <v>10.093</v>
      </c>
      <c r="D4855" s="637">
        <f t="shared" si="162"/>
        <v>21.42759920634921</v>
      </c>
      <c r="E4855" s="637">
        <f t="shared" si="163"/>
        <v>32.762198412698424</v>
      </c>
    </row>
    <row r="4856" spans="1:5">
      <c r="A4856">
        <v>72213</v>
      </c>
      <c r="B4856">
        <v>400</v>
      </c>
      <c r="C4856" s="455">
        <v>10.019</v>
      </c>
      <c r="D4856" s="637">
        <f t="shared" si="162"/>
        <v>21.270496031746038</v>
      </c>
      <c r="E4856" s="637">
        <f t="shared" si="163"/>
        <v>32.521992063492078</v>
      </c>
    </row>
    <row r="4857" spans="1:5">
      <c r="A4857">
        <v>72213</v>
      </c>
      <c r="B4857">
        <v>500</v>
      </c>
      <c r="C4857" s="455">
        <v>11.037000000000001</v>
      </c>
      <c r="D4857" s="637">
        <f t="shared" si="162"/>
        <v>23.431726190476198</v>
      </c>
      <c r="E4857" s="637">
        <f t="shared" si="163"/>
        <v>35.826452380952396</v>
      </c>
    </row>
    <row r="4858" spans="1:5">
      <c r="A4858">
        <v>72213</v>
      </c>
      <c r="B4858">
        <v>600</v>
      </c>
      <c r="C4858" s="455">
        <v>3.117</v>
      </c>
      <c r="D4858" s="637">
        <f t="shared" si="162"/>
        <v>6.6174404761904784</v>
      </c>
      <c r="E4858" s="637">
        <f t="shared" si="163"/>
        <v>10.117880952380958</v>
      </c>
    </row>
    <row r="4859" spans="1:5">
      <c r="A4859">
        <v>72213</v>
      </c>
      <c r="B4859">
        <v>700</v>
      </c>
      <c r="C4859" s="455">
        <v>0</v>
      </c>
      <c r="D4859" s="637">
        <f t="shared" si="162"/>
        <v>0</v>
      </c>
      <c r="E4859" s="637">
        <f t="shared" si="163"/>
        <v>0</v>
      </c>
    </row>
    <row r="4860" spans="1:5">
      <c r="A4860">
        <v>72213</v>
      </c>
      <c r="B4860">
        <v>800</v>
      </c>
      <c r="C4860" s="455">
        <v>0</v>
      </c>
      <c r="D4860" s="637">
        <f t="shared" si="162"/>
        <v>0</v>
      </c>
      <c r="E4860" s="637">
        <f t="shared" si="163"/>
        <v>0</v>
      </c>
    </row>
    <row r="4861" spans="1:5">
      <c r="A4861">
        <v>72213</v>
      </c>
      <c r="B4861">
        <v>900</v>
      </c>
      <c r="C4861" s="455">
        <v>0</v>
      </c>
      <c r="D4861" s="637">
        <f t="shared" si="162"/>
        <v>0</v>
      </c>
      <c r="E4861" s="637">
        <f t="shared" si="163"/>
        <v>0</v>
      </c>
    </row>
    <row r="4862" spans="1:5">
      <c r="A4862">
        <v>72213</v>
      </c>
      <c r="B4862">
        <v>1000</v>
      </c>
      <c r="C4862" s="455">
        <v>0</v>
      </c>
      <c r="D4862" s="637">
        <f t="shared" ref="D4862:D4925" si="164">(C4862/(MAX($C$4349:$C$5092)))*$W$11</f>
        <v>0</v>
      </c>
      <c r="E4862" s="637">
        <f t="shared" ref="E4862:E4925" si="165">(C4862/(MAX($C$4349:$C$5092)))*$P$11</f>
        <v>0</v>
      </c>
    </row>
    <row r="4863" spans="1:5">
      <c r="A4863">
        <v>72213</v>
      </c>
      <c r="B4863">
        <v>1100</v>
      </c>
      <c r="C4863" s="455">
        <v>0.108</v>
      </c>
      <c r="D4863" s="637">
        <f t="shared" si="164"/>
        <v>0.22928571428571437</v>
      </c>
      <c r="E4863" s="637">
        <f t="shared" si="165"/>
        <v>0.35057142857142876</v>
      </c>
    </row>
    <row r="4864" spans="1:5">
      <c r="A4864">
        <v>72213</v>
      </c>
      <c r="B4864">
        <v>1200</v>
      </c>
      <c r="C4864" s="455">
        <v>0</v>
      </c>
      <c r="D4864" s="637">
        <f t="shared" si="164"/>
        <v>0</v>
      </c>
      <c r="E4864" s="637">
        <f t="shared" si="165"/>
        <v>0</v>
      </c>
    </row>
    <row r="4865" spans="1:5">
      <c r="A4865">
        <v>72213</v>
      </c>
      <c r="B4865">
        <v>1300</v>
      </c>
      <c r="C4865" s="455">
        <v>0</v>
      </c>
      <c r="D4865" s="637">
        <f t="shared" si="164"/>
        <v>0</v>
      </c>
      <c r="E4865" s="637">
        <f t="shared" si="165"/>
        <v>0</v>
      </c>
    </row>
    <row r="4866" spans="1:5">
      <c r="A4866">
        <v>72213</v>
      </c>
      <c r="B4866">
        <v>1400</v>
      </c>
      <c r="C4866" s="455">
        <v>0</v>
      </c>
      <c r="D4866" s="637">
        <f t="shared" si="164"/>
        <v>0</v>
      </c>
      <c r="E4866" s="637">
        <f t="shared" si="165"/>
        <v>0</v>
      </c>
    </row>
    <row r="4867" spans="1:5">
      <c r="A4867">
        <v>72213</v>
      </c>
      <c r="B4867">
        <v>1500</v>
      </c>
      <c r="C4867" s="455">
        <v>0</v>
      </c>
      <c r="D4867" s="637">
        <f t="shared" si="164"/>
        <v>0</v>
      </c>
      <c r="E4867" s="637">
        <f t="shared" si="165"/>
        <v>0</v>
      </c>
    </row>
    <row r="4868" spans="1:5">
      <c r="A4868">
        <v>72213</v>
      </c>
      <c r="B4868">
        <v>1600</v>
      </c>
      <c r="C4868" s="455">
        <v>0</v>
      </c>
      <c r="D4868" s="637">
        <f t="shared" si="164"/>
        <v>0</v>
      </c>
      <c r="E4868" s="637">
        <f t="shared" si="165"/>
        <v>0</v>
      </c>
    </row>
    <row r="4869" spans="1:5">
      <c r="A4869">
        <v>72213</v>
      </c>
      <c r="B4869">
        <v>1700</v>
      </c>
      <c r="C4869" s="455">
        <v>0</v>
      </c>
      <c r="D4869" s="637">
        <f t="shared" si="164"/>
        <v>0</v>
      </c>
      <c r="E4869" s="637">
        <f t="shared" si="165"/>
        <v>0</v>
      </c>
    </row>
    <row r="4870" spans="1:5">
      <c r="A4870">
        <v>72213</v>
      </c>
      <c r="B4870">
        <v>1800</v>
      </c>
      <c r="C4870" s="455">
        <v>0</v>
      </c>
      <c r="D4870" s="637">
        <f t="shared" si="164"/>
        <v>0</v>
      </c>
      <c r="E4870" s="637">
        <f t="shared" si="165"/>
        <v>0</v>
      </c>
    </row>
    <row r="4871" spans="1:5">
      <c r="A4871">
        <v>72213</v>
      </c>
      <c r="B4871">
        <v>1900</v>
      </c>
      <c r="C4871" s="455">
        <v>0</v>
      </c>
      <c r="D4871" s="637">
        <f t="shared" si="164"/>
        <v>0</v>
      </c>
      <c r="E4871" s="637">
        <f t="shared" si="165"/>
        <v>0</v>
      </c>
    </row>
    <row r="4872" spans="1:5">
      <c r="A4872">
        <v>72213</v>
      </c>
      <c r="B4872">
        <v>2000</v>
      </c>
      <c r="C4872" s="455">
        <v>1.77</v>
      </c>
      <c r="D4872" s="637">
        <f t="shared" si="164"/>
        <v>3.7577380952380963</v>
      </c>
      <c r="E4872" s="637">
        <f t="shared" si="165"/>
        <v>5.7454761904761931</v>
      </c>
    </row>
    <row r="4873" spans="1:5">
      <c r="A4873">
        <v>72213</v>
      </c>
      <c r="B4873">
        <v>2100</v>
      </c>
      <c r="C4873" s="455">
        <v>10.755000000000001</v>
      </c>
      <c r="D4873" s="637">
        <f t="shared" si="164"/>
        <v>22.833035714285721</v>
      </c>
      <c r="E4873" s="637">
        <f t="shared" si="165"/>
        <v>34.911071428571447</v>
      </c>
    </row>
    <row r="4874" spans="1:5">
      <c r="A4874">
        <v>72213</v>
      </c>
      <c r="B4874">
        <v>2200</v>
      </c>
      <c r="C4874" s="455">
        <v>10.076000000000001</v>
      </c>
      <c r="D4874" s="637">
        <f t="shared" si="164"/>
        <v>21.391507936507942</v>
      </c>
      <c r="E4874" s="637">
        <f t="shared" si="165"/>
        <v>32.707015873015891</v>
      </c>
    </row>
    <row r="4875" spans="1:5">
      <c r="A4875">
        <v>72213</v>
      </c>
      <c r="B4875">
        <v>2300</v>
      </c>
      <c r="C4875" s="455">
        <v>9.8970000000000002</v>
      </c>
      <c r="D4875" s="637">
        <f t="shared" si="164"/>
        <v>21.0114880952381</v>
      </c>
      <c r="E4875" s="637">
        <f t="shared" si="165"/>
        <v>32.125976190476202</v>
      </c>
    </row>
    <row r="4876" spans="1:5">
      <c r="A4876">
        <v>72213</v>
      </c>
      <c r="B4876">
        <v>2400</v>
      </c>
      <c r="C4876" s="455">
        <v>10.132999999999999</v>
      </c>
      <c r="D4876" s="637">
        <f t="shared" si="164"/>
        <v>21.512519841269846</v>
      </c>
      <c r="E4876" s="637">
        <f t="shared" si="165"/>
        <v>32.892039682539696</v>
      </c>
    </row>
    <row r="4877" spans="1:5">
      <c r="A4877">
        <v>72313</v>
      </c>
      <c r="B4877">
        <v>100</v>
      </c>
      <c r="C4877" s="455">
        <v>10.151999999999999</v>
      </c>
      <c r="D4877" s="637">
        <f t="shared" si="164"/>
        <v>21.55285714285715</v>
      </c>
      <c r="E4877" s="637">
        <f t="shared" si="165"/>
        <v>32.953714285714298</v>
      </c>
    </row>
    <row r="4878" spans="1:5">
      <c r="A4878">
        <v>72313</v>
      </c>
      <c r="B4878">
        <v>200</v>
      </c>
      <c r="C4878" s="455">
        <v>10.117000000000001</v>
      </c>
      <c r="D4878" s="637">
        <f t="shared" si="164"/>
        <v>21.478551587301595</v>
      </c>
      <c r="E4878" s="637">
        <f t="shared" si="165"/>
        <v>32.840103174603193</v>
      </c>
    </row>
    <row r="4879" spans="1:5">
      <c r="A4879">
        <v>72313</v>
      </c>
      <c r="B4879">
        <v>300</v>
      </c>
      <c r="C4879" s="455">
        <v>9.9090000000000007</v>
      </c>
      <c r="D4879" s="637">
        <f t="shared" si="164"/>
        <v>21.036964285714294</v>
      </c>
      <c r="E4879" s="637">
        <f t="shared" si="165"/>
        <v>32.16492857142859</v>
      </c>
    </row>
    <row r="4880" spans="1:5">
      <c r="A4880">
        <v>72313</v>
      </c>
      <c r="B4880">
        <v>400</v>
      </c>
      <c r="C4880" s="455">
        <v>10.086</v>
      </c>
      <c r="D4880" s="637">
        <f t="shared" si="164"/>
        <v>21.412738095238101</v>
      </c>
      <c r="E4880" s="637">
        <f t="shared" si="165"/>
        <v>32.739476190476211</v>
      </c>
    </row>
    <row r="4881" spans="1:5">
      <c r="A4881">
        <v>72313</v>
      </c>
      <c r="B4881">
        <v>500</v>
      </c>
      <c r="C4881" s="455">
        <v>10.426</v>
      </c>
      <c r="D4881" s="637">
        <f t="shared" si="164"/>
        <v>22.134563492063499</v>
      </c>
      <c r="E4881" s="637">
        <f t="shared" si="165"/>
        <v>33.843126984127004</v>
      </c>
    </row>
    <row r="4882" spans="1:5">
      <c r="A4882">
        <v>72313</v>
      </c>
      <c r="B4882">
        <v>600</v>
      </c>
      <c r="C4882" s="455">
        <v>2.5259999999999998</v>
      </c>
      <c r="D4882" s="637">
        <f t="shared" si="164"/>
        <v>5.3627380952380959</v>
      </c>
      <c r="E4882" s="637">
        <f t="shared" si="165"/>
        <v>8.1994761904761937</v>
      </c>
    </row>
    <row r="4883" spans="1:5">
      <c r="A4883">
        <v>72313</v>
      </c>
      <c r="B4883">
        <v>700</v>
      </c>
      <c r="C4883" s="455">
        <v>0</v>
      </c>
      <c r="D4883" s="637">
        <f t="shared" si="164"/>
        <v>0</v>
      </c>
      <c r="E4883" s="637">
        <f t="shared" si="165"/>
        <v>0</v>
      </c>
    </row>
    <row r="4884" spans="1:5">
      <c r="A4884">
        <v>72313</v>
      </c>
      <c r="B4884">
        <v>800</v>
      </c>
      <c r="C4884" s="455">
        <v>0</v>
      </c>
      <c r="D4884" s="637">
        <f t="shared" si="164"/>
        <v>0</v>
      </c>
      <c r="E4884" s="637">
        <f t="shared" si="165"/>
        <v>0</v>
      </c>
    </row>
    <row r="4885" spans="1:5">
      <c r="A4885">
        <v>72313</v>
      </c>
      <c r="B4885">
        <v>900</v>
      </c>
      <c r="C4885" s="455">
        <v>0</v>
      </c>
      <c r="D4885" s="637">
        <f t="shared" si="164"/>
        <v>0</v>
      </c>
      <c r="E4885" s="637">
        <f t="shared" si="165"/>
        <v>0</v>
      </c>
    </row>
    <row r="4886" spans="1:5">
      <c r="A4886">
        <v>72313</v>
      </c>
      <c r="B4886">
        <v>1000</v>
      </c>
      <c r="C4886" s="455">
        <v>0</v>
      </c>
      <c r="D4886" s="637">
        <f t="shared" si="164"/>
        <v>0</v>
      </c>
      <c r="E4886" s="637">
        <f t="shared" si="165"/>
        <v>0</v>
      </c>
    </row>
    <row r="4887" spans="1:5">
      <c r="A4887">
        <v>72313</v>
      </c>
      <c r="B4887">
        <v>1100</v>
      </c>
      <c r="C4887" s="455">
        <v>1E-3</v>
      </c>
      <c r="D4887" s="637">
        <f t="shared" si="164"/>
        <v>2.1230158730158734E-3</v>
      </c>
      <c r="E4887" s="637">
        <f t="shared" si="165"/>
        <v>3.2460317460317476E-3</v>
      </c>
    </row>
    <row r="4888" spans="1:5">
      <c r="A4888">
        <v>72313</v>
      </c>
      <c r="B4888">
        <v>1200</v>
      </c>
      <c r="C4888" s="455">
        <v>0</v>
      </c>
      <c r="D4888" s="637">
        <f t="shared" si="164"/>
        <v>0</v>
      </c>
      <c r="E4888" s="637">
        <f t="shared" si="165"/>
        <v>0</v>
      </c>
    </row>
    <row r="4889" spans="1:5">
      <c r="A4889">
        <v>72313</v>
      </c>
      <c r="B4889">
        <v>1300</v>
      </c>
      <c r="C4889" s="455">
        <v>0</v>
      </c>
      <c r="D4889" s="637">
        <f t="shared" si="164"/>
        <v>0</v>
      </c>
      <c r="E4889" s="637">
        <f t="shared" si="165"/>
        <v>0</v>
      </c>
    </row>
    <row r="4890" spans="1:5">
      <c r="A4890">
        <v>72313</v>
      </c>
      <c r="B4890">
        <v>1400</v>
      </c>
      <c r="C4890" s="455">
        <v>0</v>
      </c>
      <c r="D4890" s="637">
        <f t="shared" si="164"/>
        <v>0</v>
      </c>
      <c r="E4890" s="637">
        <f t="shared" si="165"/>
        <v>0</v>
      </c>
    </row>
    <row r="4891" spans="1:5">
      <c r="A4891">
        <v>72313</v>
      </c>
      <c r="B4891">
        <v>1500</v>
      </c>
      <c r="C4891" s="455">
        <v>0</v>
      </c>
      <c r="D4891" s="637">
        <f t="shared" si="164"/>
        <v>0</v>
      </c>
      <c r="E4891" s="637">
        <f t="shared" si="165"/>
        <v>0</v>
      </c>
    </row>
    <row r="4892" spans="1:5">
      <c r="A4892">
        <v>72313</v>
      </c>
      <c r="B4892">
        <v>1600</v>
      </c>
      <c r="C4892" s="455">
        <v>0</v>
      </c>
      <c r="D4892" s="637">
        <f t="shared" si="164"/>
        <v>0</v>
      </c>
      <c r="E4892" s="637">
        <f t="shared" si="165"/>
        <v>0</v>
      </c>
    </row>
    <row r="4893" spans="1:5">
      <c r="A4893">
        <v>72313</v>
      </c>
      <c r="B4893">
        <v>1700</v>
      </c>
      <c r="C4893" s="455">
        <v>0</v>
      </c>
      <c r="D4893" s="637">
        <f t="shared" si="164"/>
        <v>0</v>
      </c>
      <c r="E4893" s="637">
        <f t="shared" si="165"/>
        <v>0</v>
      </c>
    </row>
    <row r="4894" spans="1:5">
      <c r="A4894">
        <v>72313</v>
      </c>
      <c r="B4894">
        <v>1800</v>
      </c>
      <c r="C4894" s="455">
        <v>0</v>
      </c>
      <c r="D4894" s="637">
        <f t="shared" si="164"/>
        <v>0</v>
      </c>
      <c r="E4894" s="637">
        <f t="shared" si="165"/>
        <v>0</v>
      </c>
    </row>
    <row r="4895" spans="1:5">
      <c r="A4895">
        <v>72313</v>
      </c>
      <c r="B4895">
        <v>1900</v>
      </c>
      <c r="C4895" s="455">
        <v>0</v>
      </c>
      <c r="D4895" s="637">
        <f t="shared" si="164"/>
        <v>0</v>
      </c>
      <c r="E4895" s="637">
        <f t="shared" si="165"/>
        <v>0</v>
      </c>
    </row>
    <row r="4896" spans="1:5">
      <c r="A4896">
        <v>72313</v>
      </c>
      <c r="B4896">
        <v>2000</v>
      </c>
      <c r="C4896" s="455">
        <v>4.0510000000000002</v>
      </c>
      <c r="D4896" s="637">
        <f t="shared" si="164"/>
        <v>8.6003373015873041</v>
      </c>
      <c r="E4896" s="637">
        <f t="shared" si="165"/>
        <v>13.14967460317461</v>
      </c>
    </row>
    <row r="4897" spans="1:5">
      <c r="A4897">
        <v>72313</v>
      </c>
      <c r="B4897">
        <v>2100</v>
      </c>
      <c r="C4897" s="455">
        <v>11.006</v>
      </c>
      <c r="D4897" s="637">
        <f t="shared" si="164"/>
        <v>23.365912698412707</v>
      </c>
      <c r="E4897" s="637">
        <f t="shared" si="165"/>
        <v>35.725825396825414</v>
      </c>
    </row>
    <row r="4898" spans="1:5">
      <c r="A4898">
        <v>72313</v>
      </c>
      <c r="B4898">
        <v>2200</v>
      </c>
      <c r="C4898" s="455">
        <v>10.129</v>
      </c>
      <c r="D4898" s="637">
        <f t="shared" si="164"/>
        <v>21.504027777777782</v>
      </c>
      <c r="E4898" s="637">
        <f t="shared" si="165"/>
        <v>32.879055555555567</v>
      </c>
    </row>
    <row r="4899" spans="1:5">
      <c r="A4899">
        <v>72313</v>
      </c>
      <c r="B4899">
        <v>2300</v>
      </c>
      <c r="C4899" s="455">
        <v>9.7759999999999998</v>
      </c>
      <c r="D4899" s="637">
        <f t="shared" si="164"/>
        <v>20.754603174603183</v>
      </c>
      <c r="E4899" s="637">
        <f t="shared" si="165"/>
        <v>31.733206349206366</v>
      </c>
    </row>
    <row r="4900" spans="1:5">
      <c r="A4900">
        <v>72313</v>
      </c>
      <c r="B4900">
        <v>2400</v>
      </c>
      <c r="C4900" s="455">
        <v>9.8940000000000001</v>
      </c>
      <c r="D4900" s="637">
        <f t="shared" si="164"/>
        <v>21.005119047619054</v>
      </c>
      <c r="E4900" s="637">
        <f t="shared" si="165"/>
        <v>32.11623809523811</v>
      </c>
    </row>
    <row r="4901" spans="1:5">
      <c r="A4901">
        <v>72413</v>
      </c>
      <c r="B4901">
        <v>100</v>
      </c>
      <c r="C4901" s="455">
        <v>10.039</v>
      </c>
      <c r="D4901" s="637">
        <f t="shared" si="164"/>
        <v>21.312956349206356</v>
      </c>
      <c r="E4901" s="637">
        <f t="shared" si="165"/>
        <v>32.586912698412711</v>
      </c>
    </row>
    <row r="4902" spans="1:5">
      <c r="A4902">
        <v>72413</v>
      </c>
      <c r="B4902">
        <v>200</v>
      </c>
      <c r="C4902" s="455">
        <v>10.048999999999999</v>
      </c>
      <c r="D4902" s="637">
        <f t="shared" si="164"/>
        <v>21.334186507936511</v>
      </c>
      <c r="E4902" s="637">
        <f t="shared" si="165"/>
        <v>32.61937301587303</v>
      </c>
    </row>
    <row r="4903" spans="1:5">
      <c r="A4903">
        <v>72413</v>
      </c>
      <c r="B4903">
        <v>300</v>
      </c>
      <c r="C4903" s="455">
        <v>10.327</v>
      </c>
      <c r="D4903" s="637">
        <f t="shared" si="164"/>
        <v>21.924384920634928</v>
      </c>
      <c r="E4903" s="637">
        <f t="shared" si="165"/>
        <v>33.521769841269858</v>
      </c>
    </row>
    <row r="4904" spans="1:5">
      <c r="A4904">
        <v>72413</v>
      </c>
      <c r="B4904">
        <v>400</v>
      </c>
      <c r="C4904" s="455">
        <v>10.022</v>
      </c>
      <c r="D4904" s="637">
        <f t="shared" si="164"/>
        <v>21.276865079365088</v>
      </c>
      <c r="E4904" s="637">
        <f t="shared" si="165"/>
        <v>32.531730158730177</v>
      </c>
    </row>
    <row r="4905" spans="1:5">
      <c r="A4905">
        <v>72413</v>
      </c>
      <c r="B4905">
        <v>500</v>
      </c>
      <c r="C4905" s="455">
        <v>10.148999999999999</v>
      </c>
      <c r="D4905" s="637">
        <f t="shared" si="164"/>
        <v>21.546488095238097</v>
      </c>
      <c r="E4905" s="637">
        <f t="shared" si="165"/>
        <v>32.943976190476199</v>
      </c>
    </row>
    <row r="4906" spans="1:5">
      <c r="A4906">
        <v>72413</v>
      </c>
      <c r="B4906">
        <v>600</v>
      </c>
      <c r="C4906" s="455">
        <v>5.4569999999999999</v>
      </c>
      <c r="D4906" s="637">
        <f t="shared" si="164"/>
        <v>11.585297619047621</v>
      </c>
      <c r="E4906" s="637">
        <f t="shared" si="165"/>
        <v>17.713595238095245</v>
      </c>
    </row>
    <row r="4907" spans="1:5">
      <c r="A4907">
        <v>72413</v>
      </c>
      <c r="B4907">
        <v>700</v>
      </c>
      <c r="C4907" s="455">
        <v>0</v>
      </c>
      <c r="D4907" s="637">
        <f t="shared" si="164"/>
        <v>0</v>
      </c>
      <c r="E4907" s="637">
        <f t="shared" si="165"/>
        <v>0</v>
      </c>
    </row>
    <row r="4908" spans="1:5">
      <c r="A4908">
        <v>72413</v>
      </c>
      <c r="B4908">
        <v>800</v>
      </c>
      <c r="C4908" s="455">
        <v>0</v>
      </c>
      <c r="D4908" s="637">
        <f t="shared" si="164"/>
        <v>0</v>
      </c>
      <c r="E4908" s="637">
        <f t="shared" si="165"/>
        <v>0</v>
      </c>
    </row>
    <row r="4909" spans="1:5">
      <c r="A4909">
        <v>72413</v>
      </c>
      <c r="B4909">
        <v>900</v>
      </c>
      <c r="C4909" s="455">
        <v>0</v>
      </c>
      <c r="D4909" s="637">
        <f t="shared" si="164"/>
        <v>0</v>
      </c>
      <c r="E4909" s="637">
        <f t="shared" si="165"/>
        <v>0</v>
      </c>
    </row>
    <row r="4910" spans="1:5">
      <c r="A4910">
        <v>72413</v>
      </c>
      <c r="B4910">
        <v>1000</v>
      </c>
      <c r="C4910" s="455">
        <v>0</v>
      </c>
      <c r="D4910" s="637">
        <f t="shared" si="164"/>
        <v>0</v>
      </c>
      <c r="E4910" s="637">
        <f t="shared" si="165"/>
        <v>0</v>
      </c>
    </row>
    <row r="4911" spans="1:5">
      <c r="A4911">
        <v>72413</v>
      </c>
      <c r="B4911">
        <v>1100</v>
      </c>
      <c r="C4911" s="455">
        <v>0</v>
      </c>
      <c r="D4911" s="637">
        <f t="shared" si="164"/>
        <v>0</v>
      </c>
      <c r="E4911" s="637">
        <f t="shared" si="165"/>
        <v>0</v>
      </c>
    </row>
    <row r="4912" spans="1:5">
      <c r="A4912">
        <v>72413</v>
      </c>
      <c r="B4912">
        <v>1200</v>
      </c>
      <c r="C4912" s="455">
        <v>0</v>
      </c>
      <c r="D4912" s="637">
        <f t="shared" si="164"/>
        <v>0</v>
      </c>
      <c r="E4912" s="637">
        <f t="shared" si="165"/>
        <v>0</v>
      </c>
    </row>
    <row r="4913" spans="1:5">
      <c r="A4913">
        <v>72413</v>
      </c>
      <c r="B4913">
        <v>1300</v>
      </c>
      <c r="C4913" s="455">
        <v>0</v>
      </c>
      <c r="D4913" s="637">
        <f t="shared" si="164"/>
        <v>0</v>
      </c>
      <c r="E4913" s="637">
        <f t="shared" si="165"/>
        <v>0</v>
      </c>
    </row>
    <row r="4914" spans="1:5">
      <c r="A4914">
        <v>72413</v>
      </c>
      <c r="B4914">
        <v>1400</v>
      </c>
      <c r="C4914" s="455">
        <v>0</v>
      </c>
      <c r="D4914" s="637">
        <f t="shared" si="164"/>
        <v>0</v>
      </c>
      <c r="E4914" s="637">
        <f t="shared" si="165"/>
        <v>0</v>
      </c>
    </row>
    <row r="4915" spans="1:5">
      <c r="A4915">
        <v>72413</v>
      </c>
      <c r="B4915">
        <v>1500</v>
      </c>
      <c r="C4915" s="455">
        <v>0</v>
      </c>
      <c r="D4915" s="637">
        <f t="shared" si="164"/>
        <v>0</v>
      </c>
      <c r="E4915" s="637">
        <f t="shared" si="165"/>
        <v>0</v>
      </c>
    </row>
    <row r="4916" spans="1:5">
      <c r="A4916">
        <v>72413</v>
      </c>
      <c r="B4916">
        <v>1600</v>
      </c>
      <c r="C4916" s="455">
        <v>0</v>
      </c>
      <c r="D4916" s="637">
        <f t="shared" si="164"/>
        <v>0</v>
      </c>
      <c r="E4916" s="637">
        <f t="shared" si="165"/>
        <v>0</v>
      </c>
    </row>
    <row r="4917" spans="1:5">
      <c r="A4917">
        <v>72413</v>
      </c>
      <c r="B4917">
        <v>1700</v>
      </c>
      <c r="C4917" s="455">
        <v>0</v>
      </c>
      <c r="D4917" s="637">
        <f t="shared" si="164"/>
        <v>0</v>
      </c>
      <c r="E4917" s="637">
        <f t="shared" si="165"/>
        <v>0</v>
      </c>
    </row>
    <row r="4918" spans="1:5">
      <c r="A4918">
        <v>72413</v>
      </c>
      <c r="B4918">
        <v>1800</v>
      </c>
      <c r="C4918" s="455">
        <v>0</v>
      </c>
      <c r="D4918" s="637">
        <f t="shared" si="164"/>
        <v>0</v>
      </c>
      <c r="E4918" s="637">
        <f t="shared" si="165"/>
        <v>0</v>
      </c>
    </row>
    <row r="4919" spans="1:5">
      <c r="A4919">
        <v>72413</v>
      </c>
      <c r="B4919">
        <v>1900</v>
      </c>
      <c r="C4919" s="455">
        <v>0</v>
      </c>
      <c r="D4919" s="637">
        <f t="shared" si="164"/>
        <v>0</v>
      </c>
      <c r="E4919" s="637">
        <f t="shared" si="165"/>
        <v>0</v>
      </c>
    </row>
    <row r="4920" spans="1:5">
      <c r="A4920">
        <v>72413</v>
      </c>
      <c r="B4920">
        <v>2000</v>
      </c>
      <c r="C4920" s="455">
        <v>4.3470000000000004</v>
      </c>
      <c r="D4920" s="637">
        <f t="shared" si="164"/>
        <v>9.2287500000000033</v>
      </c>
      <c r="E4920" s="637">
        <f t="shared" si="165"/>
        <v>14.110500000000007</v>
      </c>
    </row>
    <row r="4921" spans="1:5">
      <c r="A4921">
        <v>72413</v>
      </c>
      <c r="B4921">
        <v>2100</v>
      </c>
      <c r="C4921" s="455">
        <v>11.090999999999999</v>
      </c>
      <c r="D4921" s="637">
        <f t="shared" si="164"/>
        <v>23.546369047619052</v>
      </c>
      <c r="E4921" s="637">
        <f t="shared" si="165"/>
        <v>36.00173809523811</v>
      </c>
    </row>
    <row r="4922" spans="1:5">
      <c r="A4922">
        <v>72413</v>
      </c>
      <c r="B4922">
        <v>2200</v>
      </c>
      <c r="C4922" s="455">
        <v>10.041</v>
      </c>
      <c r="D4922" s="637">
        <f t="shared" si="164"/>
        <v>21.317202380952388</v>
      </c>
      <c r="E4922" s="637">
        <f t="shared" si="165"/>
        <v>32.593404761904779</v>
      </c>
    </row>
    <row r="4923" spans="1:5">
      <c r="A4923">
        <v>72413</v>
      </c>
      <c r="B4923">
        <v>2300</v>
      </c>
      <c r="C4923" s="455">
        <v>10.013</v>
      </c>
      <c r="D4923" s="637">
        <f t="shared" si="164"/>
        <v>21.257757936507943</v>
      </c>
      <c r="E4923" s="637">
        <f t="shared" si="165"/>
        <v>32.502515873015888</v>
      </c>
    </row>
    <row r="4924" spans="1:5">
      <c r="A4924">
        <v>72413</v>
      </c>
      <c r="B4924">
        <v>2400</v>
      </c>
      <c r="C4924" s="455">
        <v>10.077999999999999</v>
      </c>
      <c r="D4924" s="637">
        <f t="shared" si="164"/>
        <v>21.395753968253974</v>
      </c>
      <c r="E4924" s="637">
        <f t="shared" si="165"/>
        <v>32.713507936507952</v>
      </c>
    </row>
    <row r="4925" spans="1:5">
      <c r="A4925">
        <v>72513</v>
      </c>
      <c r="B4925">
        <v>100</v>
      </c>
      <c r="C4925" s="455">
        <v>10.048</v>
      </c>
      <c r="D4925" s="637">
        <f t="shared" si="164"/>
        <v>21.332063492063497</v>
      </c>
      <c r="E4925" s="637">
        <f t="shared" si="165"/>
        <v>32.616126984127</v>
      </c>
    </row>
    <row r="4926" spans="1:5">
      <c r="A4926">
        <v>72513</v>
      </c>
      <c r="B4926">
        <v>200</v>
      </c>
      <c r="C4926" s="455">
        <v>9.9139999999999997</v>
      </c>
      <c r="D4926" s="637">
        <f t="shared" ref="D4926:D4989" si="166">(C4926/(MAX($C$4349:$C$5092)))*$W$11</f>
        <v>21.047579365079368</v>
      </c>
      <c r="E4926" s="637">
        <f t="shared" ref="E4926:E4989" si="167">(C4926/(MAX($C$4349:$C$5092)))*$P$11</f>
        <v>32.181158730158742</v>
      </c>
    </row>
    <row r="4927" spans="1:5">
      <c r="A4927">
        <v>72513</v>
      </c>
      <c r="B4927">
        <v>300</v>
      </c>
      <c r="C4927" s="455">
        <v>10.343999999999999</v>
      </c>
      <c r="D4927" s="637">
        <f t="shared" si="166"/>
        <v>21.960476190476196</v>
      </c>
      <c r="E4927" s="637">
        <f t="shared" si="167"/>
        <v>33.576952380952392</v>
      </c>
    </row>
    <row r="4928" spans="1:5">
      <c r="A4928">
        <v>72513</v>
      </c>
      <c r="B4928">
        <v>400</v>
      </c>
      <c r="C4928" s="455">
        <v>9.9719999999999995</v>
      </c>
      <c r="D4928" s="637">
        <f t="shared" si="166"/>
        <v>21.17071428571429</v>
      </c>
      <c r="E4928" s="637">
        <f t="shared" si="167"/>
        <v>32.369428571428585</v>
      </c>
    </row>
    <row r="4929" spans="1:5">
      <c r="A4929">
        <v>72513</v>
      </c>
      <c r="B4929">
        <v>500</v>
      </c>
      <c r="C4929" s="455">
        <v>10.755000000000001</v>
      </c>
      <c r="D4929" s="637">
        <f t="shared" si="166"/>
        <v>22.833035714285721</v>
      </c>
      <c r="E4929" s="637">
        <f t="shared" si="167"/>
        <v>34.911071428571447</v>
      </c>
    </row>
    <row r="4930" spans="1:5">
      <c r="A4930">
        <v>72513</v>
      </c>
      <c r="B4930">
        <v>600</v>
      </c>
      <c r="C4930" s="455">
        <v>3.3450000000000002</v>
      </c>
      <c r="D4930" s="637">
        <f t="shared" si="166"/>
        <v>7.1014880952380972</v>
      </c>
      <c r="E4930" s="637">
        <f t="shared" si="167"/>
        <v>10.857976190476196</v>
      </c>
    </row>
    <row r="4931" spans="1:5">
      <c r="A4931">
        <v>72513</v>
      </c>
      <c r="B4931">
        <v>700</v>
      </c>
      <c r="C4931" s="455">
        <v>0.108</v>
      </c>
      <c r="D4931" s="637">
        <f t="shared" si="166"/>
        <v>0.22928571428571437</v>
      </c>
      <c r="E4931" s="637">
        <f t="shared" si="167"/>
        <v>0.35057142857142876</v>
      </c>
    </row>
    <row r="4932" spans="1:5">
      <c r="A4932">
        <v>72513</v>
      </c>
      <c r="B4932">
        <v>800</v>
      </c>
      <c r="C4932" s="455">
        <v>0</v>
      </c>
      <c r="D4932" s="637">
        <f t="shared" si="166"/>
        <v>0</v>
      </c>
      <c r="E4932" s="637">
        <f t="shared" si="167"/>
        <v>0</v>
      </c>
    </row>
    <row r="4933" spans="1:5">
      <c r="A4933">
        <v>72513</v>
      </c>
      <c r="B4933">
        <v>900</v>
      </c>
      <c r="C4933" s="455">
        <v>0.64800000000000002</v>
      </c>
      <c r="D4933" s="637">
        <f t="shared" si="166"/>
        <v>1.3757142857142861</v>
      </c>
      <c r="E4933" s="637">
        <f t="shared" si="167"/>
        <v>2.1034285714285725</v>
      </c>
    </row>
    <row r="4934" spans="1:5">
      <c r="A4934">
        <v>72513</v>
      </c>
      <c r="B4934">
        <v>1000</v>
      </c>
      <c r="C4934" s="455">
        <v>0</v>
      </c>
      <c r="D4934" s="637">
        <f t="shared" si="166"/>
        <v>0</v>
      </c>
      <c r="E4934" s="637">
        <f t="shared" si="167"/>
        <v>0</v>
      </c>
    </row>
    <row r="4935" spans="1:5">
      <c r="A4935">
        <v>72513</v>
      </c>
      <c r="B4935">
        <v>1100</v>
      </c>
      <c r="C4935" s="455">
        <v>0</v>
      </c>
      <c r="D4935" s="637">
        <f t="shared" si="166"/>
        <v>0</v>
      </c>
      <c r="E4935" s="637">
        <f t="shared" si="167"/>
        <v>0</v>
      </c>
    </row>
    <row r="4936" spans="1:5">
      <c r="A4936">
        <v>72513</v>
      </c>
      <c r="B4936">
        <v>1200</v>
      </c>
      <c r="C4936" s="455">
        <v>0.216</v>
      </c>
      <c r="D4936" s="637">
        <f t="shared" si="166"/>
        <v>0.45857142857142874</v>
      </c>
      <c r="E4936" s="637">
        <f t="shared" si="167"/>
        <v>0.70114285714285751</v>
      </c>
    </row>
    <row r="4937" spans="1:5">
      <c r="A4937">
        <v>72513</v>
      </c>
      <c r="B4937">
        <v>1300</v>
      </c>
      <c r="C4937" s="455">
        <v>0.216</v>
      </c>
      <c r="D4937" s="637">
        <f t="shared" si="166"/>
        <v>0.45857142857142874</v>
      </c>
      <c r="E4937" s="637">
        <f t="shared" si="167"/>
        <v>0.70114285714285751</v>
      </c>
    </row>
    <row r="4938" spans="1:5">
      <c r="A4938">
        <v>72513</v>
      </c>
      <c r="B4938">
        <v>1400</v>
      </c>
      <c r="C4938" s="455">
        <v>7.1999999999999995E-2</v>
      </c>
      <c r="D4938" s="637">
        <f t="shared" si="166"/>
        <v>0.15285714285714289</v>
      </c>
      <c r="E4938" s="637">
        <f t="shared" si="167"/>
        <v>0.23371428571428582</v>
      </c>
    </row>
    <row r="4939" spans="1:5">
      <c r="A4939">
        <v>72513</v>
      </c>
      <c r="B4939">
        <v>1500</v>
      </c>
      <c r="C4939" s="455">
        <v>0</v>
      </c>
      <c r="D4939" s="637">
        <f t="shared" si="166"/>
        <v>0</v>
      </c>
      <c r="E4939" s="637">
        <f t="shared" si="167"/>
        <v>0</v>
      </c>
    </row>
    <row r="4940" spans="1:5">
      <c r="A4940">
        <v>72513</v>
      </c>
      <c r="B4940">
        <v>1600</v>
      </c>
      <c r="C4940" s="455">
        <v>0</v>
      </c>
      <c r="D4940" s="637">
        <f t="shared" si="166"/>
        <v>0</v>
      </c>
      <c r="E4940" s="637">
        <f t="shared" si="167"/>
        <v>0</v>
      </c>
    </row>
    <row r="4941" spans="1:5">
      <c r="A4941">
        <v>72513</v>
      </c>
      <c r="B4941">
        <v>1700</v>
      </c>
      <c r="C4941" s="455">
        <v>0</v>
      </c>
      <c r="D4941" s="637">
        <f t="shared" si="166"/>
        <v>0</v>
      </c>
      <c r="E4941" s="637">
        <f t="shared" si="167"/>
        <v>0</v>
      </c>
    </row>
    <row r="4942" spans="1:5">
      <c r="A4942">
        <v>72513</v>
      </c>
      <c r="B4942">
        <v>1800</v>
      </c>
      <c r="C4942" s="455">
        <v>0</v>
      </c>
      <c r="D4942" s="637">
        <f t="shared" si="166"/>
        <v>0</v>
      </c>
      <c r="E4942" s="637">
        <f t="shared" si="167"/>
        <v>0</v>
      </c>
    </row>
    <row r="4943" spans="1:5">
      <c r="A4943">
        <v>72513</v>
      </c>
      <c r="B4943">
        <v>1900</v>
      </c>
      <c r="C4943" s="455">
        <v>0</v>
      </c>
      <c r="D4943" s="637">
        <f t="shared" si="166"/>
        <v>0</v>
      </c>
      <c r="E4943" s="637">
        <f t="shared" si="167"/>
        <v>0</v>
      </c>
    </row>
    <row r="4944" spans="1:5">
      <c r="A4944">
        <v>72513</v>
      </c>
      <c r="B4944">
        <v>2000</v>
      </c>
      <c r="C4944" s="455">
        <v>5.1870000000000003</v>
      </c>
      <c r="D4944" s="637">
        <f t="shared" si="166"/>
        <v>11.012083333333337</v>
      </c>
      <c r="E4944" s="637">
        <f t="shared" si="167"/>
        <v>16.837166666666675</v>
      </c>
    </row>
    <row r="4945" spans="1:5">
      <c r="A4945">
        <v>72513</v>
      </c>
      <c r="B4945">
        <v>2100</v>
      </c>
      <c r="C4945" s="455">
        <v>10.765000000000001</v>
      </c>
      <c r="D4945" s="637">
        <f t="shared" si="166"/>
        <v>22.854265873015883</v>
      </c>
      <c r="E4945" s="637">
        <f t="shared" si="167"/>
        <v>34.943531746031766</v>
      </c>
    </row>
    <row r="4946" spans="1:5">
      <c r="A4946">
        <v>72513</v>
      </c>
      <c r="B4946">
        <v>2200</v>
      </c>
      <c r="C4946" s="455">
        <v>10.298</v>
      </c>
      <c r="D4946" s="637">
        <f t="shared" si="166"/>
        <v>21.862817460317466</v>
      </c>
      <c r="E4946" s="637">
        <f t="shared" si="167"/>
        <v>33.427634920634937</v>
      </c>
    </row>
    <row r="4947" spans="1:5">
      <c r="A4947">
        <v>72513</v>
      </c>
      <c r="B4947">
        <v>2300</v>
      </c>
      <c r="C4947" s="455">
        <v>9.9689999999999994</v>
      </c>
      <c r="D4947" s="637">
        <f t="shared" si="166"/>
        <v>21.16434523809524</v>
      </c>
      <c r="E4947" s="637">
        <f t="shared" si="167"/>
        <v>32.359690476190487</v>
      </c>
    </row>
    <row r="4948" spans="1:5">
      <c r="A4948">
        <v>72513</v>
      </c>
      <c r="B4948">
        <v>2400</v>
      </c>
      <c r="C4948" s="455">
        <v>10.057</v>
      </c>
      <c r="D4948" s="637">
        <f t="shared" si="166"/>
        <v>21.351170634920642</v>
      </c>
      <c r="E4948" s="637">
        <f t="shared" si="167"/>
        <v>32.645341269841282</v>
      </c>
    </row>
    <row r="4949" spans="1:5">
      <c r="A4949">
        <v>72613</v>
      </c>
      <c r="B4949">
        <v>100</v>
      </c>
      <c r="C4949" s="455">
        <v>9.8580000000000005</v>
      </c>
      <c r="D4949" s="637">
        <f t="shared" si="166"/>
        <v>20.928690476190482</v>
      </c>
      <c r="E4949" s="637">
        <f t="shared" si="167"/>
        <v>31.999380952380967</v>
      </c>
    </row>
    <row r="4950" spans="1:5">
      <c r="A4950">
        <v>72613</v>
      </c>
      <c r="B4950">
        <v>200</v>
      </c>
      <c r="C4950" s="455">
        <v>9.9760000000000009</v>
      </c>
      <c r="D4950" s="637">
        <f t="shared" si="166"/>
        <v>21.179206349206357</v>
      </c>
      <c r="E4950" s="637">
        <f t="shared" si="167"/>
        <v>32.382412698412715</v>
      </c>
    </row>
    <row r="4951" spans="1:5">
      <c r="A4951">
        <v>72613</v>
      </c>
      <c r="B4951">
        <v>300</v>
      </c>
      <c r="C4951" s="455">
        <v>10.055999999999999</v>
      </c>
      <c r="D4951" s="637">
        <f t="shared" si="166"/>
        <v>21.349047619047624</v>
      </c>
      <c r="E4951" s="637">
        <f t="shared" si="167"/>
        <v>32.642095238095251</v>
      </c>
    </row>
    <row r="4952" spans="1:5">
      <c r="A4952">
        <v>72613</v>
      </c>
      <c r="B4952">
        <v>400</v>
      </c>
      <c r="C4952" s="455">
        <v>9.9819999999999993</v>
      </c>
      <c r="D4952" s="637">
        <f t="shared" si="166"/>
        <v>21.191944444444449</v>
      </c>
      <c r="E4952" s="637">
        <f t="shared" si="167"/>
        <v>32.401888888888898</v>
      </c>
    </row>
    <row r="4953" spans="1:5">
      <c r="A4953">
        <v>72613</v>
      </c>
      <c r="B4953">
        <v>500</v>
      </c>
      <c r="C4953" s="455">
        <v>10.638</v>
      </c>
      <c r="D4953" s="637">
        <f t="shared" si="166"/>
        <v>22.584642857142864</v>
      </c>
      <c r="E4953" s="637">
        <f t="shared" si="167"/>
        <v>34.53128571428573</v>
      </c>
    </row>
    <row r="4954" spans="1:5">
      <c r="A4954">
        <v>72613</v>
      </c>
      <c r="B4954">
        <v>600</v>
      </c>
      <c r="C4954" s="455">
        <v>3.0609999999999999</v>
      </c>
      <c r="D4954" s="637">
        <f t="shared" si="166"/>
        <v>6.4985515873015895</v>
      </c>
      <c r="E4954" s="637">
        <f t="shared" si="167"/>
        <v>9.9361031746031792</v>
      </c>
    </row>
    <row r="4955" spans="1:5">
      <c r="A4955">
        <v>72613</v>
      </c>
      <c r="B4955">
        <v>700</v>
      </c>
      <c r="C4955" s="455">
        <v>0</v>
      </c>
      <c r="D4955" s="637">
        <f t="shared" si="166"/>
        <v>0</v>
      </c>
      <c r="E4955" s="637">
        <f t="shared" si="167"/>
        <v>0</v>
      </c>
    </row>
    <row r="4956" spans="1:5">
      <c r="A4956">
        <v>72613</v>
      </c>
      <c r="B4956">
        <v>800</v>
      </c>
      <c r="C4956" s="455">
        <v>0</v>
      </c>
      <c r="D4956" s="637">
        <f t="shared" si="166"/>
        <v>0</v>
      </c>
      <c r="E4956" s="637">
        <f t="shared" si="167"/>
        <v>0</v>
      </c>
    </row>
    <row r="4957" spans="1:5">
      <c r="A4957">
        <v>72613</v>
      </c>
      <c r="B4957">
        <v>900</v>
      </c>
      <c r="C4957" s="455">
        <v>0</v>
      </c>
      <c r="D4957" s="637">
        <f t="shared" si="166"/>
        <v>0</v>
      </c>
      <c r="E4957" s="637">
        <f t="shared" si="167"/>
        <v>0</v>
      </c>
    </row>
    <row r="4958" spans="1:5">
      <c r="A4958">
        <v>72613</v>
      </c>
      <c r="B4958">
        <v>1000</v>
      </c>
      <c r="C4958" s="455">
        <v>0</v>
      </c>
      <c r="D4958" s="637">
        <f t="shared" si="166"/>
        <v>0</v>
      </c>
      <c r="E4958" s="637">
        <f t="shared" si="167"/>
        <v>0</v>
      </c>
    </row>
    <row r="4959" spans="1:5">
      <c r="A4959">
        <v>72613</v>
      </c>
      <c r="B4959">
        <v>1100</v>
      </c>
      <c r="C4959" s="455">
        <v>0</v>
      </c>
      <c r="D4959" s="637">
        <f t="shared" si="166"/>
        <v>0</v>
      </c>
      <c r="E4959" s="637">
        <f t="shared" si="167"/>
        <v>0</v>
      </c>
    </row>
    <row r="4960" spans="1:5">
      <c r="A4960">
        <v>72613</v>
      </c>
      <c r="B4960">
        <v>1200</v>
      </c>
      <c r="C4960" s="455">
        <v>0</v>
      </c>
      <c r="D4960" s="637">
        <f t="shared" si="166"/>
        <v>0</v>
      </c>
      <c r="E4960" s="637">
        <f t="shared" si="167"/>
        <v>0</v>
      </c>
    </row>
    <row r="4961" spans="1:5">
      <c r="A4961">
        <v>72613</v>
      </c>
      <c r="B4961">
        <v>1300</v>
      </c>
      <c r="C4961" s="455">
        <v>0</v>
      </c>
      <c r="D4961" s="637">
        <f t="shared" si="166"/>
        <v>0</v>
      </c>
      <c r="E4961" s="637">
        <f t="shared" si="167"/>
        <v>0</v>
      </c>
    </row>
    <row r="4962" spans="1:5">
      <c r="A4962">
        <v>72613</v>
      </c>
      <c r="B4962">
        <v>1400</v>
      </c>
      <c r="C4962" s="455">
        <v>0</v>
      </c>
      <c r="D4962" s="637">
        <f t="shared" si="166"/>
        <v>0</v>
      </c>
      <c r="E4962" s="637">
        <f t="shared" si="167"/>
        <v>0</v>
      </c>
    </row>
    <row r="4963" spans="1:5">
      <c r="A4963">
        <v>72613</v>
      </c>
      <c r="B4963">
        <v>1500</v>
      </c>
      <c r="C4963" s="455">
        <v>0</v>
      </c>
      <c r="D4963" s="637">
        <f t="shared" si="166"/>
        <v>0</v>
      </c>
      <c r="E4963" s="637">
        <f t="shared" si="167"/>
        <v>0</v>
      </c>
    </row>
    <row r="4964" spans="1:5">
      <c r="A4964">
        <v>72613</v>
      </c>
      <c r="B4964">
        <v>1600</v>
      </c>
      <c r="C4964" s="455">
        <v>0</v>
      </c>
      <c r="D4964" s="637">
        <f t="shared" si="166"/>
        <v>0</v>
      </c>
      <c r="E4964" s="637">
        <f t="shared" si="167"/>
        <v>0</v>
      </c>
    </row>
    <row r="4965" spans="1:5">
      <c r="A4965">
        <v>72613</v>
      </c>
      <c r="B4965">
        <v>1700</v>
      </c>
      <c r="C4965" s="455">
        <v>0</v>
      </c>
      <c r="D4965" s="637">
        <f t="shared" si="166"/>
        <v>0</v>
      </c>
      <c r="E4965" s="637">
        <f t="shared" si="167"/>
        <v>0</v>
      </c>
    </row>
    <row r="4966" spans="1:5">
      <c r="A4966">
        <v>72613</v>
      </c>
      <c r="B4966">
        <v>1800</v>
      </c>
      <c r="C4966" s="455">
        <v>0</v>
      </c>
      <c r="D4966" s="637">
        <f t="shared" si="166"/>
        <v>0</v>
      </c>
      <c r="E4966" s="637">
        <f t="shared" si="167"/>
        <v>0</v>
      </c>
    </row>
    <row r="4967" spans="1:5">
      <c r="A4967">
        <v>72613</v>
      </c>
      <c r="B4967">
        <v>1900</v>
      </c>
      <c r="C4967" s="455">
        <v>0</v>
      </c>
      <c r="D4967" s="637">
        <f t="shared" si="166"/>
        <v>0</v>
      </c>
      <c r="E4967" s="637">
        <f t="shared" si="167"/>
        <v>0</v>
      </c>
    </row>
    <row r="4968" spans="1:5">
      <c r="A4968">
        <v>72613</v>
      </c>
      <c r="B4968">
        <v>2000</v>
      </c>
      <c r="C4968" s="455">
        <v>6.4939999999999998</v>
      </c>
      <c r="D4968" s="637">
        <f t="shared" si="166"/>
        <v>13.786865079365082</v>
      </c>
      <c r="E4968" s="637">
        <f t="shared" si="167"/>
        <v>21.079730158730168</v>
      </c>
    </row>
    <row r="4969" spans="1:5">
      <c r="A4969">
        <v>72613</v>
      </c>
      <c r="B4969">
        <v>2100</v>
      </c>
      <c r="C4969" s="455">
        <v>10.427</v>
      </c>
      <c r="D4969" s="637">
        <f t="shared" si="166"/>
        <v>22.136686507936513</v>
      </c>
      <c r="E4969" s="637">
        <f t="shared" si="167"/>
        <v>33.846373015873027</v>
      </c>
    </row>
    <row r="4970" spans="1:5">
      <c r="A4970">
        <v>72613</v>
      </c>
      <c r="B4970">
        <v>2200</v>
      </c>
      <c r="C4970" s="455">
        <v>9.82</v>
      </c>
      <c r="D4970" s="637">
        <f t="shared" si="166"/>
        <v>20.848015873015882</v>
      </c>
      <c r="E4970" s="637">
        <f t="shared" si="167"/>
        <v>31.876031746031764</v>
      </c>
    </row>
    <row r="4971" spans="1:5">
      <c r="A4971">
        <v>72613</v>
      </c>
      <c r="B4971">
        <v>2300</v>
      </c>
      <c r="C4971" s="455">
        <v>10.048999999999999</v>
      </c>
      <c r="D4971" s="637">
        <f t="shared" si="166"/>
        <v>21.334186507936511</v>
      </c>
      <c r="E4971" s="637">
        <f t="shared" si="167"/>
        <v>32.61937301587303</v>
      </c>
    </row>
    <row r="4972" spans="1:5">
      <c r="A4972">
        <v>72613</v>
      </c>
      <c r="B4972">
        <v>2400</v>
      </c>
      <c r="C4972" s="455">
        <v>10.154999999999999</v>
      </c>
      <c r="D4972" s="637">
        <f t="shared" si="166"/>
        <v>21.559226190476195</v>
      </c>
      <c r="E4972" s="637">
        <f t="shared" si="167"/>
        <v>32.963452380952397</v>
      </c>
    </row>
    <row r="4973" spans="1:5">
      <c r="A4973">
        <v>72713</v>
      </c>
      <c r="B4973">
        <v>100</v>
      </c>
      <c r="C4973" s="455">
        <v>9.9670000000000005</v>
      </c>
      <c r="D4973" s="637">
        <f t="shared" si="166"/>
        <v>21.160099206349216</v>
      </c>
      <c r="E4973" s="637">
        <f t="shared" si="167"/>
        <v>32.353198412698433</v>
      </c>
    </row>
    <row r="4974" spans="1:5">
      <c r="A4974">
        <v>72713</v>
      </c>
      <c r="B4974">
        <v>200</v>
      </c>
      <c r="C4974" s="455">
        <v>10.039999999999999</v>
      </c>
      <c r="D4974" s="637">
        <f t="shared" si="166"/>
        <v>21.31507936507937</v>
      </c>
      <c r="E4974" s="637">
        <f t="shared" si="167"/>
        <v>32.590158730158741</v>
      </c>
    </row>
    <row r="4975" spans="1:5">
      <c r="A4975">
        <v>72713</v>
      </c>
      <c r="B4975">
        <v>300</v>
      </c>
      <c r="C4975" s="455">
        <v>9.9789999999999992</v>
      </c>
      <c r="D4975" s="637">
        <f t="shared" si="166"/>
        <v>21.185575396825403</v>
      </c>
      <c r="E4975" s="637">
        <f t="shared" si="167"/>
        <v>32.392150793650806</v>
      </c>
    </row>
    <row r="4976" spans="1:5">
      <c r="A4976">
        <v>72713</v>
      </c>
      <c r="B4976">
        <v>400</v>
      </c>
      <c r="C4976" s="455">
        <v>10.086</v>
      </c>
      <c r="D4976" s="637">
        <f t="shared" si="166"/>
        <v>21.412738095238101</v>
      </c>
      <c r="E4976" s="637">
        <f t="shared" si="167"/>
        <v>32.739476190476211</v>
      </c>
    </row>
    <row r="4977" spans="1:5">
      <c r="A4977">
        <v>72713</v>
      </c>
      <c r="B4977">
        <v>500</v>
      </c>
      <c r="C4977" s="455">
        <v>10.066000000000001</v>
      </c>
      <c r="D4977" s="637">
        <f t="shared" si="166"/>
        <v>21.370277777777787</v>
      </c>
      <c r="E4977" s="637">
        <f t="shared" si="167"/>
        <v>32.674555555555571</v>
      </c>
    </row>
    <row r="4978" spans="1:5">
      <c r="A4978">
        <v>72713</v>
      </c>
      <c r="B4978">
        <v>600</v>
      </c>
      <c r="C4978" s="455">
        <v>9.1120000000000001</v>
      </c>
      <c r="D4978" s="637">
        <f t="shared" si="166"/>
        <v>19.344920634920641</v>
      </c>
      <c r="E4978" s="637">
        <f t="shared" si="167"/>
        <v>29.577841269841283</v>
      </c>
    </row>
    <row r="4979" spans="1:5">
      <c r="A4979">
        <v>72713</v>
      </c>
      <c r="B4979">
        <v>700</v>
      </c>
      <c r="C4979" s="455">
        <v>0</v>
      </c>
      <c r="D4979" s="637">
        <f t="shared" si="166"/>
        <v>0</v>
      </c>
      <c r="E4979" s="637">
        <f t="shared" si="167"/>
        <v>0</v>
      </c>
    </row>
    <row r="4980" spans="1:5">
      <c r="A4980">
        <v>72713</v>
      </c>
      <c r="B4980">
        <v>800</v>
      </c>
      <c r="C4980" s="455">
        <v>1E-3</v>
      </c>
      <c r="D4980" s="637">
        <f t="shared" si="166"/>
        <v>2.1230158730158734E-3</v>
      </c>
      <c r="E4980" s="637">
        <f t="shared" si="167"/>
        <v>3.2460317460317476E-3</v>
      </c>
    </row>
    <row r="4981" spans="1:5">
      <c r="A4981">
        <v>72713</v>
      </c>
      <c r="B4981">
        <v>900</v>
      </c>
      <c r="C4981" s="455">
        <v>0</v>
      </c>
      <c r="D4981" s="637">
        <f t="shared" si="166"/>
        <v>0</v>
      </c>
      <c r="E4981" s="637">
        <f t="shared" si="167"/>
        <v>0</v>
      </c>
    </row>
    <row r="4982" spans="1:5">
      <c r="A4982">
        <v>72713</v>
      </c>
      <c r="B4982">
        <v>1000</v>
      </c>
      <c r="C4982" s="455">
        <v>0</v>
      </c>
      <c r="D4982" s="637">
        <f t="shared" si="166"/>
        <v>0</v>
      </c>
      <c r="E4982" s="637">
        <f t="shared" si="167"/>
        <v>0</v>
      </c>
    </row>
    <row r="4983" spans="1:5">
      <c r="A4983">
        <v>72713</v>
      </c>
      <c r="B4983">
        <v>1100</v>
      </c>
      <c r="C4983" s="455">
        <v>0</v>
      </c>
      <c r="D4983" s="637">
        <f t="shared" si="166"/>
        <v>0</v>
      </c>
      <c r="E4983" s="637">
        <f t="shared" si="167"/>
        <v>0</v>
      </c>
    </row>
    <row r="4984" spans="1:5">
      <c r="A4984">
        <v>72713</v>
      </c>
      <c r="B4984">
        <v>1200</v>
      </c>
      <c r="C4984" s="455">
        <v>0</v>
      </c>
      <c r="D4984" s="637">
        <f t="shared" si="166"/>
        <v>0</v>
      </c>
      <c r="E4984" s="637">
        <f t="shared" si="167"/>
        <v>0</v>
      </c>
    </row>
    <row r="4985" spans="1:5">
      <c r="A4985">
        <v>72713</v>
      </c>
      <c r="B4985">
        <v>1300</v>
      </c>
      <c r="C4985" s="455">
        <v>0</v>
      </c>
      <c r="D4985" s="637">
        <f t="shared" si="166"/>
        <v>0</v>
      </c>
      <c r="E4985" s="637">
        <f t="shared" si="167"/>
        <v>0</v>
      </c>
    </row>
    <row r="4986" spans="1:5">
      <c r="A4986">
        <v>72713</v>
      </c>
      <c r="B4986">
        <v>1400</v>
      </c>
      <c r="C4986" s="455">
        <v>0</v>
      </c>
      <c r="D4986" s="637">
        <f t="shared" si="166"/>
        <v>0</v>
      </c>
      <c r="E4986" s="637">
        <f t="shared" si="167"/>
        <v>0</v>
      </c>
    </row>
    <row r="4987" spans="1:5">
      <c r="A4987">
        <v>72713</v>
      </c>
      <c r="B4987">
        <v>1500</v>
      </c>
      <c r="C4987" s="455">
        <v>0</v>
      </c>
      <c r="D4987" s="637">
        <f t="shared" si="166"/>
        <v>0</v>
      </c>
      <c r="E4987" s="637">
        <f t="shared" si="167"/>
        <v>0</v>
      </c>
    </row>
    <row r="4988" spans="1:5">
      <c r="A4988">
        <v>72713</v>
      </c>
      <c r="B4988">
        <v>1600</v>
      </c>
      <c r="C4988" s="455">
        <v>1.2999999999999999E-2</v>
      </c>
      <c r="D4988" s="637">
        <f t="shared" si="166"/>
        <v>2.7599206349206356E-2</v>
      </c>
      <c r="E4988" s="637">
        <f t="shared" si="167"/>
        <v>4.2198412698412714E-2</v>
      </c>
    </row>
    <row r="4989" spans="1:5">
      <c r="A4989">
        <v>72713</v>
      </c>
      <c r="B4989">
        <v>1700</v>
      </c>
      <c r="C4989" s="455">
        <v>7.0000000000000001E-3</v>
      </c>
      <c r="D4989" s="637">
        <f t="shared" si="166"/>
        <v>1.4861111111111115E-2</v>
      </c>
      <c r="E4989" s="637">
        <f t="shared" si="167"/>
        <v>2.272222222222223E-2</v>
      </c>
    </row>
    <row r="4990" spans="1:5">
      <c r="A4990">
        <v>72713</v>
      </c>
      <c r="B4990">
        <v>1800</v>
      </c>
      <c r="C4990" s="455">
        <v>0</v>
      </c>
      <c r="D4990" s="637">
        <f t="shared" ref="D4990:D5053" si="168">(C4990/(MAX($C$4349:$C$5092)))*$W$11</f>
        <v>0</v>
      </c>
      <c r="E4990" s="637">
        <f t="shared" ref="E4990:E5053" si="169">(C4990/(MAX($C$4349:$C$5092)))*$P$11</f>
        <v>0</v>
      </c>
    </row>
    <row r="4991" spans="1:5">
      <c r="A4991">
        <v>72713</v>
      </c>
      <c r="B4991">
        <v>1900</v>
      </c>
      <c r="C4991" s="455">
        <v>0.81100000000000005</v>
      </c>
      <c r="D4991" s="637">
        <f t="shared" si="168"/>
        <v>1.7217658730158736</v>
      </c>
      <c r="E4991" s="637">
        <f t="shared" si="169"/>
        <v>2.6325317460317472</v>
      </c>
    </row>
    <row r="4992" spans="1:5">
      <c r="A4992">
        <v>72713</v>
      </c>
      <c r="B4992">
        <v>2000</v>
      </c>
      <c r="C4992" s="455">
        <v>8.64</v>
      </c>
      <c r="D4992" s="637">
        <f t="shared" si="168"/>
        <v>18.342857142857149</v>
      </c>
      <c r="E4992" s="637">
        <f t="shared" si="169"/>
        <v>28.045714285714304</v>
      </c>
    </row>
    <row r="4993" spans="1:5">
      <c r="A4993">
        <v>72713</v>
      </c>
      <c r="B4993">
        <v>2100</v>
      </c>
      <c r="C4993" s="455">
        <v>10.003</v>
      </c>
      <c r="D4993" s="637">
        <f t="shared" si="168"/>
        <v>21.236527777777784</v>
      </c>
      <c r="E4993" s="637">
        <f t="shared" si="169"/>
        <v>32.470055555555575</v>
      </c>
    </row>
    <row r="4994" spans="1:5">
      <c r="A4994">
        <v>72713</v>
      </c>
      <c r="B4994">
        <v>2200</v>
      </c>
      <c r="C4994" s="455">
        <v>10.27</v>
      </c>
      <c r="D4994" s="637">
        <f t="shared" si="168"/>
        <v>21.803373015873021</v>
      </c>
      <c r="E4994" s="637">
        <f t="shared" si="169"/>
        <v>33.336746031746046</v>
      </c>
    </row>
    <row r="4995" spans="1:5">
      <c r="A4995">
        <v>72713</v>
      </c>
      <c r="B4995">
        <v>2300</v>
      </c>
      <c r="C4995" s="455">
        <v>9.8379999999999992</v>
      </c>
      <c r="D4995" s="637">
        <f t="shared" si="168"/>
        <v>20.886230158730164</v>
      </c>
      <c r="E4995" s="637">
        <f t="shared" si="169"/>
        <v>31.934460317460331</v>
      </c>
    </row>
    <row r="4996" spans="1:5">
      <c r="A4996">
        <v>72713</v>
      </c>
      <c r="B4996">
        <v>2400</v>
      </c>
      <c r="C4996" s="455">
        <v>9.8699999999999992</v>
      </c>
      <c r="D4996" s="637">
        <f t="shared" si="168"/>
        <v>20.954166666666669</v>
      </c>
      <c r="E4996" s="637">
        <f t="shared" si="169"/>
        <v>32.038333333333341</v>
      </c>
    </row>
    <row r="4997" spans="1:5">
      <c r="A4997">
        <v>72813</v>
      </c>
      <c r="B4997">
        <v>100</v>
      </c>
      <c r="C4997" s="455">
        <v>9.9849999999999994</v>
      </c>
      <c r="D4997" s="637">
        <f t="shared" si="168"/>
        <v>21.198313492063498</v>
      </c>
      <c r="E4997" s="637">
        <f t="shared" si="169"/>
        <v>32.411626984126997</v>
      </c>
    </row>
    <row r="4998" spans="1:5">
      <c r="A4998">
        <v>72813</v>
      </c>
      <c r="B4998">
        <v>200</v>
      </c>
      <c r="C4998" s="455">
        <v>9.9459999999999997</v>
      </c>
      <c r="D4998" s="637">
        <f t="shared" si="168"/>
        <v>21.115515873015877</v>
      </c>
      <c r="E4998" s="637">
        <f t="shared" si="169"/>
        <v>32.285031746031763</v>
      </c>
    </row>
    <row r="4999" spans="1:5">
      <c r="A4999">
        <v>72813</v>
      </c>
      <c r="B4999">
        <v>300</v>
      </c>
      <c r="C4999" s="455">
        <v>10.11</v>
      </c>
      <c r="D4999" s="637">
        <f t="shared" si="168"/>
        <v>21.463690476190479</v>
      </c>
      <c r="E4999" s="637">
        <f t="shared" si="169"/>
        <v>32.817380952380965</v>
      </c>
    </row>
    <row r="5000" spans="1:5">
      <c r="A5000">
        <v>72813</v>
      </c>
      <c r="B5000">
        <v>400</v>
      </c>
      <c r="C5000" s="455">
        <v>10.314</v>
      </c>
      <c r="D5000" s="637">
        <f t="shared" si="168"/>
        <v>21.89678571428572</v>
      </c>
      <c r="E5000" s="637">
        <f t="shared" si="169"/>
        <v>33.47957142857144</v>
      </c>
    </row>
    <row r="5001" spans="1:5">
      <c r="A5001">
        <v>72813</v>
      </c>
      <c r="B5001">
        <v>500</v>
      </c>
      <c r="C5001" s="455">
        <v>10.066000000000001</v>
      </c>
      <c r="D5001" s="637">
        <f t="shared" si="168"/>
        <v>21.370277777777787</v>
      </c>
      <c r="E5001" s="637">
        <f t="shared" si="169"/>
        <v>32.674555555555571</v>
      </c>
    </row>
    <row r="5002" spans="1:5">
      <c r="A5002">
        <v>72813</v>
      </c>
      <c r="B5002">
        <v>600</v>
      </c>
      <c r="C5002" s="455">
        <v>6.1639999999999997</v>
      </c>
      <c r="D5002" s="637">
        <f t="shared" si="168"/>
        <v>13.086269841269845</v>
      </c>
      <c r="E5002" s="637">
        <f t="shared" si="169"/>
        <v>20.008539682539691</v>
      </c>
    </row>
    <row r="5003" spans="1:5">
      <c r="A5003">
        <v>72813</v>
      </c>
      <c r="B5003">
        <v>700</v>
      </c>
      <c r="C5003" s="455">
        <v>0</v>
      </c>
      <c r="D5003" s="637">
        <f t="shared" si="168"/>
        <v>0</v>
      </c>
      <c r="E5003" s="637">
        <f t="shared" si="169"/>
        <v>0</v>
      </c>
    </row>
    <row r="5004" spans="1:5">
      <c r="A5004">
        <v>72813</v>
      </c>
      <c r="B5004">
        <v>800</v>
      </c>
      <c r="C5004" s="455">
        <v>0</v>
      </c>
      <c r="D5004" s="637">
        <f t="shared" si="168"/>
        <v>0</v>
      </c>
      <c r="E5004" s="637">
        <f t="shared" si="169"/>
        <v>0</v>
      </c>
    </row>
    <row r="5005" spans="1:5">
      <c r="A5005">
        <v>72813</v>
      </c>
      <c r="B5005">
        <v>900</v>
      </c>
      <c r="C5005" s="455">
        <v>0</v>
      </c>
      <c r="D5005" s="637">
        <f t="shared" si="168"/>
        <v>0</v>
      </c>
      <c r="E5005" s="637">
        <f t="shared" si="169"/>
        <v>0</v>
      </c>
    </row>
    <row r="5006" spans="1:5">
      <c r="A5006">
        <v>72813</v>
      </c>
      <c r="B5006">
        <v>1000</v>
      </c>
      <c r="C5006" s="455">
        <v>0</v>
      </c>
      <c r="D5006" s="637">
        <f t="shared" si="168"/>
        <v>0</v>
      </c>
      <c r="E5006" s="637">
        <f t="shared" si="169"/>
        <v>0</v>
      </c>
    </row>
    <row r="5007" spans="1:5">
      <c r="A5007">
        <v>72813</v>
      </c>
      <c r="B5007">
        <v>1100</v>
      </c>
      <c r="C5007" s="455">
        <v>0</v>
      </c>
      <c r="D5007" s="637">
        <f t="shared" si="168"/>
        <v>0</v>
      </c>
      <c r="E5007" s="637">
        <f t="shared" si="169"/>
        <v>0</v>
      </c>
    </row>
    <row r="5008" spans="1:5">
      <c r="A5008">
        <v>72813</v>
      </c>
      <c r="B5008">
        <v>1200</v>
      </c>
      <c r="C5008" s="455">
        <v>0</v>
      </c>
      <c r="D5008" s="637">
        <f t="shared" si="168"/>
        <v>0</v>
      </c>
      <c r="E5008" s="637">
        <f t="shared" si="169"/>
        <v>0</v>
      </c>
    </row>
    <row r="5009" spans="1:5">
      <c r="A5009">
        <v>72813</v>
      </c>
      <c r="B5009">
        <v>1300</v>
      </c>
      <c r="C5009" s="455">
        <v>0</v>
      </c>
      <c r="D5009" s="637">
        <f t="shared" si="168"/>
        <v>0</v>
      </c>
      <c r="E5009" s="637">
        <f t="shared" si="169"/>
        <v>0</v>
      </c>
    </row>
    <row r="5010" spans="1:5">
      <c r="A5010">
        <v>72813</v>
      </c>
      <c r="B5010">
        <v>1400</v>
      </c>
      <c r="C5010" s="455">
        <v>0</v>
      </c>
      <c r="D5010" s="637">
        <f t="shared" si="168"/>
        <v>0</v>
      </c>
      <c r="E5010" s="637">
        <f t="shared" si="169"/>
        <v>0</v>
      </c>
    </row>
    <row r="5011" spans="1:5">
      <c r="A5011">
        <v>72813</v>
      </c>
      <c r="B5011">
        <v>1500</v>
      </c>
      <c r="C5011" s="455">
        <v>0</v>
      </c>
      <c r="D5011" s="637">
        <f t="shared" si="168"/>
        <v>0</v>
      </c>
      <c r="E5011" s="637">
        <f t="shared" si="169"/>
        <v>0</v>
      </c>
    </row>
    <row r="5012" spans="1:5">
      <c r="A5012">
        <v>72813</v>
      </c>
      <c r="B5012">
        <v>1600</v>
      </c>
      <c r="C5012" s="455">
        <v>0</v>
      </c>
      <c r="D5012" s="637">
        <f t="shared" si="168"/>
        <v>0</v>
      </c>
      <c r="E5012" s="637">
        <f t="shared" si="169"/>
        <v>0</v>
      </c>
    </row>
    <row r="5013" spans="1:5">
      <c r="A5013">
        <v>72813</v>
      </c>
      <c r="B5013">
        <v>1700</v>
      </c>
      <c r="C5013" s="455">
        <v>0</v>
      </c>
      <c r="D5013" s="637">
        <f t="shared" si="168"/>
        <v>0</v>
      </c>
      <c r="E5013" s="637">
        <f t="shared" si="169"/>
        <v>0</v>
      </c>
    </row>
    <row r="5014" spans="1:5">
      <c r="A5014">
        <v>72813</v>
      </c>
      <c r="B5014">
        <v>1800</v>
      </c>
      <c r="C5014" s="455">
        <v>0</v>
      </c>
      <c r="D5014" s="637">
        <f t="shared" si="168"/>
        <v>0</v>
      </c>
      <c r="E5014" s="637">
        <f t="shared" si="169"/>
        <v>0</v>
      </c>
    </row>
    <row r="5015" spans="1:5">
      <c r="A5015">
        <v>72813</v>
      </c>
      <c r="B5015">
        <v>1900</v>
      </c>
      <c r="C5015" s="455">
        <v>2E-3</v>
      </c>
      <c r="D5015" s="637">
        <f t="shared" si="168"/>
        <v>4.2460317460317467E-3</v>
      </c>
      <c r="E5015" s="637">
        <f t="shared" si="169"/>
        <v>6.4920634920634952E-3</v>
      </c>
    </row>
    <row r="5016" spans="1:5">
      <c r="A5016">
        <v>72813</v>
      </c>
      <c r="B5016">
        <v>2000</v>
      </c>
      <c r="C5016" s="455">
        <v>12.436</v>
      </c>
      <c r="D5016" s="637">
        <f t="shared" si="168"/>
        <v>26.401825396825405</v>
      </c>
      <c r="E5016" s="637">
        <f t="shared" si="169"/>
        <v>40.36765079365081</v>
      </c>
    </row>
    <row r="5017" spans="1:5">
      <c r="A5017">
        <v>72813</v>
      </c>
      <c r="B5017">
        <v>2100</v>
      </c>
      <c r="C5017" s="455">
        <v>10.57</v>
      </c>
      <c r="D5017" s="637">
        <f t="shared" si="168"/>
        <v>22.440277777777784</v>
      </c>
      <c r="E5017" s="637">
        <f t="shared" si="169"/>
        <v>34.310555555555574</v>
      </c>
    </row>
    <row r="5018" spans="1:5">
      <c r="A5018">
        <v>72813</v>
      </c>
      <c r="B5018">
        <v>2200</v>
      </c>
      <c r="C5018" s="455">
        <v>10.315</v>
      </c>
      <c r="D5018" s="637">
        <f t="shared" si="168"/>
        <v>21.898908730158738</v>
      </c>
      <c r="E5018" s="637">
        <f t="shared" si="169"/>
        <v>33.482817460317477</v>
      </c>
    </row>
    <row r="5019" spans="1:5">
      <c r="A5019">
        <v>72813</v>
      </c>
      <c r="B5019">
        <v>2300</v>
      </c>
      <c r="C5019" s="455">
        <v>9.7859999999999996</v>
      </c>
      <c r="D5019" s="637">
        <f t="shared" si="168"/>
        <v>20.775833333333338</v>
      </c>
      <c r="E5019" s="637">
        <f t="shared" si="169"/>
        <v>31.765666666666679</v>
      </c>
    </row>
    <row r="5020" spans="1:5">
      <c r="A5020">
        <v>72813</v>
      </c>
      <c r="B5020">
        <v>2400</v>
      </c>
      <c r="C5020" s="455">
        <v>9.7100000000000009</v>
      </c>
      <c r="D5020" s="637">
        <f t="shared" si="168"/>
        <v>20.614484126984134</v>
      </c>
      <c r="E5020" s="637">
        <f t="shared" si="169"/>
        <v>31.518968253968271</v>
      </c>
    </row>
    <row r="5021" spans="1:5">
      <c r="A5021">
        <v>72913</v>
      </c>
      <c r="B5021">
        <v>100</v>
      </c>
      <c r="C5021" s="455">
        <v>10.225</v>
      </c>
      <c r="D5021" s="637">
        <f t="shared" si="168"/>
        <v>21.707837301587308</v>
      </c>
      <c r="E5021" s="637">
        <f t="shared" si="169"/>
        <v>33.190674603174614</v>
      </c>
    </row>
    <row r="5022" spans="1:5">
      <c r="A5022">
        <v>72913</v>
      </c>
      <c r="B5022">
        <v>200</v>
      </c>
      <c r="C5022" s="455">
        <v>9.9760000000000009</v>
      </c>
      <c r="D5022" s="637">
        <f t="shared" si="168"/>
        <v>21.179206349206357</v>
      </c>
      <c r="E5022" s="637">
        <f t="shared" si="169"/>
        <v>32.382412698412715</v>
      </c>
    </row>
    <row r="5023" spans="1:5">
      <c r="A5023">
        <v>72913</v>
      </c>
      <c r="B5023">
        <v>300</v>
      </c>
      <c r="C5023" s="455">
        <v>10.128</v>
      </c>
      <c r="D5023" s="637">
        <f t="shared" si="168"/>
        <v>21.501904761904768</v>
      </c>
      <c r="E5023" s="637">
        <f t="shared" si="169"/>
        <v>32.875809523809536</v>
      </c>
    </row>
    <row r="5024" spans="1:5">
      <c r="A5024">
        <v>72913</v>
      </c>
      <c r="B5024">
        <v>400</v>
      </c>
      <c r="C5024" s="455">
        <v>10.127000000000001</v>
      </c>
      <c r="D5024" s="637">
        <f t="shared" si="168"/>
        <v>21.499781746031754</v>
      </c>
      <c r="E5024" s="637">
        <f t="shared" si="169"/>
        <v>32.872563492063513</v>
      </c>
    </row>
    <row r="5025" spans="1:5">
      <c r="A5025">
        <v>72913</v>
      </c>
      <c r="B5025">
        <v>500</v>
      </c>
      <c r="C5025" s="455">
        <v>9.9809999999999999</v>
      </c>
      <c r="D5025" s="637">
        <f t="shared" si="168"/>
        <v>21.189821428571435</v>
      </c>
      <c r="E5025" s="637">
        <f t="shared" si="169"/>
        <v>32.398642857142875</v>
      </c>
    </row>
    <row r="5026" spans="1:5">
      <c r="A5026">
        <v>72913</v>
      </c>
      <c r="B5026">
        <v>600</v>
      </c>
      <c r="C5026" s="455">
        <v>5.3209999999999997</v>
      </c>
      <c r="D5026" s="637">
        <f t="shared" si="168"/>
        <v>11.296567460317464</v>
      </c>
      <c r="E5026" s="637">
        <f t="shared" si="169"/>
        <v>17.27213492063493</v>
      </c>
    </row>
    <row r="5027" spans="1:5">
      <c r="A5027">
        <v>72913</v>
      </c>
      <c r="B5027">
        <v>700</v>
      </c>
      <c r="C5027" s="455">
        <v>0</v>
      </c>
      <c r="D5027" s="637">
        <f t="shared" si="168"/>
        <v>0</v>
      </c>
      <c r="E5027" s="637">
        <f t="shared" si="169"/>
        <v>0</v>
      </c>
    </row>
    <row r="5028" spans="1:5">
      <c r="A5028">
        <v>72913</v>
      </c>
      <c r="B5028">
        <v>800</v>
      </c>
      <c r="C5028" s="455">
        <v>0</v>
      </c>
      <c r="D5028" s="637">
        <f t="shared" si="168"/>
        <v>0</v>
      </c>
      <c r="E5028" s="637">
        <f t="shared" si="169"/>
        <v>0</v>
      </c>
    </row>
    <row r="5029" spans="1:5">
      <c r="A5029">
        <v>72913</v>
      </c>
      <c r="B5029">
        <v>900</v>
      </c>
      <c r="C5029" s="455">
        <v>0</v>
      </c>
      <c r="D5029" s="637">
        <f t="shared" si="168"/>
        <v>0</v>
      </c>
      <c r="E5029" s="637">
        <f t="shared" si="169"/>
        <v>0</v>
      </c>
    </row>
    <row r="5030" spans="1:5">
      <c r="A5030">
        <v>72913</v>
      </c>
      <c r="B5030">
        <v>1000</v>
      </c>
      <c r="C5030" s="455">
        <v>0</v>
      </c>
      <c r="D5030" s="637">
        <f t="shared" si="168"/>
        <v>0</v>
      </c>
      <c r="E5030" s="637">
        <f t="shared" si="169"/>
        <v>0</v>
      </c>
    </row>
    <row r="5031" spans="1:5">
      <c r="A5031">
        <v>72913</v>
      </c>
      <c r="B5031">
        <v>1100</v>
      </c>
      <c r="C5031" s="455">
        <v>0</v>
      </c>
      <c r="D5031" s="637">
        <f t="shared" si="168"/>
        <v>0</v>
      </c>
      <c r="E5031" s="637">
        <f t="shared" si="169"/>
        <v>0</v>
      </c>
    </row>
    <row r="5032" spans="1:5">
      <c r="A5032">
        <v>72913</v>
      </c>
      <c r="B5032">
        <v>1200</v>
      </c>
      <c r="C5032" s="455">
        <v>0</v>
      </c>
      <c r="D5032" s="637">
        <f t="shared" si="168"/>
        <v>0</v>
      </c>
      <c r="E5032" s="637">
        <f t="shared" si="169"/>
        <v>0</v>
      </c>
    </row>
    <row r="5033" spans="1:5">
      <c r="A5033">
        <v>72913</v>
      </c>
      <c r="B5033">
        <v>1300</v>
      </c>
      <c r="C5033" s="455">
        <v>1E-3</v>
      </c>
      <c r="D5033" s="637">
        <f t="shared" si="168"/>
        <v>2.1230158730158734E-3</v>
      </c>
      <c r="E5033" s="637">
        <f t="shared" si="169"/>
        <v>3.2460317460317476E-3</v>
      </c>
    </row>
    <row r="5034" spans="1:5">
      <c r="A5034">
        <v>72913</v>
      </c>
      <c r="B5034">
        <v>1400</v>
      </c>
      <c r="C5034" s="455">
        <v>1E-3</v>
      </c>
      <c r="D5034" s="637">
        <f t="shared" si="168"/>
        <v>2.1230158730158734E-3</v>
      </c>
      <c r="E5034" s="637">
        <f t="shared" si="169"/>
        <v>3.2460317460317476E-3</v>
      </c>
    </row>
    <row r="5035" spans="1:5">
      <c r="A5035">
        <v>72913</v>
      </c>
      <c r="B5035">
        <v>1500</v>
      </c>
      <c r="C5035" s="455">
        <v>0</v>
      </c>
      <c r="D5035" s="637">
        <f t="shared" si="168"/>
        <v>0</v>
      </c>
      <c r="E5035" s="637">
        <f t="shared" si="169"/>
        <v>0</v>
      </c>
    </row>
    <row r="5036" spans="1:5">
      <c r="A5036">
        <v>72913</v>
      </c>
      <c r="B5036">
        <v>1600</v>
      </c>
      <c r="C5036" s="455">
        <v>0</v>
      </c>
      <c r="D5036" s="637">
        <f t="shared" si="168"/>
        <v>0</v>
      </c>
      <c r="E5036" s="637">
        <f t="shared" si="169"/>
        <v>0</v>
      </c>
    </row>
    <row r="5037" spans="1:5">
      <c r="A5037">
        <v>72913</v>
      </c>
      <c r="B5037">
        <v>1700</v>
      </c>
      <c r="C5037" s="455">
        <v>0</v>
      </c>
      <c r="D5037" s="637">
        <f t="shared" si="168"/>
        <v>0</v>
      </c>
      <c r="E5037" s="637">
        <f t="shared" si="169"/>
        <v>0</v>
      </c>
    </row>
    <row r="5038" spans="1:5">
      <c r="A5038">
        <v>72913</v>
      </c>
      <c r="B5038">
        <v>1800</v>
      </c>
      <c r="C5038" s="455">
        <v>0</v>
      </c>
      <c r="D5038" s="637">
        <f t="shared" si="168"/>
        <v>0</v>
      </c>
      <c r="E5038" s="637">
        <f t="shared" si="169"/>
        <v>0</v>
      </c>
    </row>
    <row r="5039" spans="1:5">
      <c r="A5039">
        <v>72913</v>
      </c>
      <c r="B5039">
        <v>1900</v>
      </c>
      <c r="C5039" s="455">
        <v>0</v>
      </c>
      <c r="D5039" s="637">
        <f t="shared" si="168"/>
        <v>0</v>
      </c>
      <c r="E5039" s="637">
        <f t="shared" si="169"/>
        <v>0</v>
      </c>
    </row>
    <row r="5040" spans="1:5">
      <c r="A5040">
        <v>72913</v>
      </c>
      <c r="B5040">
        <v>2000</v>
      </c>
      <c r="C5040" s="455">
        <v>7.2549999999999999</v>
      </c>
      <c r="D5040" s="637">
        <f t="shared" si="168"/>
        <v>15.402480158730164</v>
      </c>
      <c r="E5040" s="637">
        <f t="shared" si="169"/>
        <v>23.549960317460329</v>
      </c>
    </row>
    <row r="5041" spans="1:5">
      <c r="A5041">
        <v>72913</v>
      </c>
      <c r="B5041">
        <v>2100</v>
      </c>
      <c r="C5041" s="455">
        <v>10.146000000000001</v>
      </c>
      <c r="D5041" s="637">
        <f t="shared" si="168"/>
        <v>21.540119047619058</v>
      </c>
      <c r="E5041" s="637">
        <f t="shared" si="169"/>
        <v>32.934238095238115</v>
      </c>
    </row>
    <row r="5042" spans="1:5">
      <c r="A5042">
        <v>72913</v>
      </c>
      <c r="B5042">
        <v>2200</v>
      </c>
      <c r="C5042" s="455">
        <v>9.9809999999999999</v>
      </c>
      <c r="D5042" s="637">
        <f t="shared" si="168"/>
        <v>21.189821428571435</v>
      </c>
      <c r="E5042" s="637">
        <f t="shared" si="169"/>
        <v>32.398642857142875</v>
      </c>
    </row>
    <row r="5043" spans="1:5">
      <c r="A5043">
        <v>72913</v>
      </c>
      <c r="B5043">
        <v>2300</v>
      </c>
      <c r="C5043" s="455">
        <v>9.7850000000000001</v>
      </c>
      <c r="D5043" s="637">
        <f t="shared" si="168"/>
        <v>20.773710317460324</v>
      </c>
      <c r="E5043" s="637">
        <f t="shared" si="169"/>
        <v>31.762420634920652</v>
      </c>
    </row>
    <row r="5044" spans="1:5">
      <c r="A5044">
        <v>72913</v>
      </c>
      <c r="B5044">
        <v>2400</v>
      </c>
      <c r="C5044" s="455">
        <v>10.196</v>
      </c>
      <c r="D5044" s="637">
        <f t="shared" si="168"/>
        <v>21.646269841269849</v>
      </c>
      <c r="E5044" s="637">
        <f t="shared" si="169"/>
        <v>33.096539682539699</v>
      </c>
    </row>
    <row r="5045" spans="1:5">
      <c r="A5045">
        <v>73013</v>
      </c>
      <c r="B5045">
        <v>100</v>
      </c>
      <c r="C5045" s="455">
        <v>10.127000000000001</v>
      </c>
      <c r="D5045" s="637">
        <f t="shared" si="168"/>
        <v>21.499781746031754</v>
      </c>
      <c r="E5045" s="637">
        <f t="shared" si="169"/>
        <v>32.872563492063513</v>
      </c>
    </row>
    <row r="5046" spans="1:5">
      <c r="A5046">
        <v>73013</v>
      </c>
      <c r="B5046">
        <v>200</v>
      </c>
      <c r="C5046" s="455">
        <v>10.013999999999999</v>
      </c>
      <c r="D5046" s="637">
        <f t="shared" si="168"/>
        <v>21.259880952380957</v>
      </c>
      <c r="E5046" s="637">
        <f t="shared" si="169"/>
        <v>32.505761904761918</v>
      </c>
    </row>
    <row r="5047" spans="1:5">
      <c r="A5047">
        <v>73013</v>
      </c>
      <c r="B5047">
        <v>300</v>
      </c>
      <c r="C5047" s="455">
        <v>9.9039999999999999</v>
      </c>
      <c r="D5047" s="637">
        <f t="shared" si="168"/>
        <v>21.026349206349213</v>
      </c>
      <c r="E5047" s="637">
        <f t="shared" si="169"/>
        <v>32.14869841269843</v>
      </c>
    </row>
    <row r="5048" spans="1:5">
      <c r="A5048">
        <v>73013</v>
      </c>
      <c r="B5048">
        <v>400</v>
      </c>
      <c r="C5048" s="455">
        <v>10.268000000000001</v>
      </c>
      <c r="D5048" s="637">
        <f t="shared" si="168"/>
        <v>21.799126984126993</v>
      </c>
      <c r="E5048" s="637">
        <f t="shared" si="169"/>
        <v>33.330253968253984</v>
      </c>
    </row>
    <row r="5049" spans="1:5">
      <c r="A5049">
        <v>73013</v>
      </c>
      <c r="B5049">
        <v>500</v>
      </c>
      <c r="C5049" s="455">
        <v>10.202999999999999</v>
      </c>
      <c r="D5049" s="637">
        <f t="shared" si="168"/>
        <v>21.661130952380958</v>
      </c>
      <c r="E5049" s="637">
        <f t="shared" si="169"/>
        <v>33.11926190476192</v>
      </c>
    </row>
    <row r="5050" spans="1:5">
      <c r="A5050">
        <v>73013</v>
      </c>
      <c r="B5050">
        <v>600</v>
      </c>
      <c r="C5050" s="455">
        <v>4.8650000000000002</v>
      </c>
      <c r="D5050" s="637">
        <f t="shared" si="168"/>
        <v>10.328472222222226</v>
      </c>
      <c r="E5050" s="637">
        <f t="shared" si="169"/>
        <v>15.791944444444452</v>
      </c>
    </row>
    <row r="5051" spans="1:5">
      <c r="A5051">
        <v>73013</v>
      </c>
      <c r="B5051">
        <v>700</v>
      </c>
      <c r="C5051" s="455">
        <v>0</v>
      </c>
      <c r="D5051" s="637">
        <f t="shared" si="168"/>
        <v>0</v>
      </c>
      <c r="E5051" s="637">
        <f t="shared" si="169"/>
        <v>0</v>
      </c>
    </row>
    <row r="5052" spans="1:5">
      <c r="A5052">
        <v>73013</v>
      </c>
      <c r="B5052">
        <v>800</v>
      </c>
      <c r="C5052" s="455">
        <v>1E-3</v>
      </c>
      <c r="D5052" s="637">
        <f t="shared" si="168"/>
        <v>2.1230158730158734E-3</v>
      </c>
      <c r="E5052" s="637">
        <f t="shared" si="169"/>
        <v>3.2460317460317476E-3</v>
      </c>
    </row>
    <row r="5053" spans="1:5">
      <c r="A5053">
        <v>73013</v>
      </c>
      <c r="B5053">
        <v>900</v>
      </c>
      <c r="C5053" s="455">
        <v>0</v>
      </c>
      <c r="D5053" s="637">
        <f t="shared" si="168"/>
        <v>0</v>
      </c>
      <c r="E5053" s="637">
        <f t="shared" si="169"/>
        <v>0</v>
      </c>
    </row>
    <row r="5054" spans="1:5">
      <c r="A5054">
        <v>73013</v>
      </c>
      <c r="B5054">
        <v>1000</v>
      </c>
      <c r="C5054" s="455">
        <v>0</v>
      </c>
      <c r="D5054" s="637">
        <f t="shared" ref="D5054:D5092" si="170">(C5054/(MAX($C$4349:$C$5092)))*$W$11</f>
        <v>0</v>
      </c>
      <c r="E5054" s="637">
        <f t="shared" ref="E5054:E5092" si="171">(C5054/(MAX($C$4349:$C$5092)))*$P$11</f>
        <v>0</v>
      </c>
    </row>
    <row r="5055" spans="1:5">
      <c r="A5055">
        <v>73013</v>
      </c>
      <c r="B5055">
        <v>1100</v>
      </c>
      <c r="C5055" s="455">
        <v>0</v>
      </c>
      <c r="D5055" s="637">
        <f t="shared" si="170"/>
        <v>0</v>
      </c>
      <c r="E5055" s="637">
        <f t="shared" si="171"/>
        <v>0</v>
      </c>
    </row>
    <row r="5056" spans="1:5">
      <c r="A5056">
        <v>73013</v>
      </c>
      <c r="B5056">
        <v>1200</v>
      </c>
      <c r="C5056" s="455">
        <v>0</v>
      </c>
      <c r="D5056" s="637">
        <f t="shared" si="170"/>
        <v>0</v>
      </c>
      <c r="E5056" s="637">
        <f t="shared" si="171"/>
        <v>0</v>
      </c>
    </row>
    <row r="5057" spans="1:5">
      <c r="A5057">
        <v>73013</v>
      </c>
      <c r="B5057">
        <v>1300</v>
      </c>
      <c r="C5057" s="455">
        <v>0</v>
      </c>
      <c r="D5057" s="637">
        <f t="shared" si="170"/>
        <v>0</v>
      </c>
      <c r="E5057" s="637">
        <f t="shared" si="171"/>
        <v>0</v>
      </c>
    </row>
    <row r="5058" spans="1:5">
      <c r="A5058">
        <v>73013</v>
      </c>
      <c r="B5058">
        <v>1400</v>
      </c>
      <c r="C5058" s="455">
        <v>0</v>
      </c>
      <c r="D5058" s="637">
        <f t="shared" si="170"/>
        <v>0</v>
      </c>
      <c r="E5058" s="637">
        <f t="shared" si="171"/>
        <v>0</v>
      </c>
    </row>
    <row r="5059" spans="1:5">
      <c r="A5059">
        <v>73013</v>
      </c>
      <c r="B5059">
        <v>1500</v>
      </c>
      <c r="C5059" s="455">
        <v>0</v>
      </c>
      <c r="D5059" s="637">
        <f t="shared" si="170"/>
        <v>0</v>
      </c>
      <c r="E5059" s="637">
        <f t="shared" si="171"/>
        <v>0</v>
      </c>
    </row>
    <row r="5060" spans="1:5">
      <c r="A5060">
        <v>73013</v>
      </c>
      <c r="B5060">
        <v>1600</v>
      </c>
      <c r="C5060" s="455">
        <v>0</v>
      </c>
      <c r="D5060" s="637">
        <f t="shared" si="170"/>
        <v>0</v>
      </c>
      <c r="E5060" s="637">
        <f t="shared" si="171"/>
        <v>0</v>
      </c>
    </row>
    <row r="5061" spans="1:5">
      <c r="A5061">
        <v>73013</v>
      </c>
      <c r="B5061">
        <v>1700</v>
      </c>
      <c r="C5061" s="455">
        <v>0</v>
      </c>
      <c r="D5061" s="637">
        <f t="shared" si="170"/>
        <v>0</v>
      </c>
      <c r="E5061" s="637">
        <f t="shared" si="171"/>
        <v>0</v>
      </c>
    </row>
    <row r="5062" spans="1:5">
      <c r="A5062">
        <v>73013</v>
      </c>
      <c r="B5062">
        <v>1800</v>
      </c>
      <c r="C5062" s="455">
        <v>0</v>
      </c>
      <c r="D5062" s="637">
        <f t="shared" si="170"/>
        <v>0</v>
      </c>
      <c r="E5062" s="637">
        <f t="shared" si="171"/>
        <v>0</v>
      </c>
    </row>
    <row r="5063" spans="1:5">
      <c r="A5063">
        <v>73013</v>
      </c>
      <c r="B5063">
        <v>1900</v>
      </c>
      <c r="C5063" s="455">
        <v>0</v>
      </c>
      <c r="D5063" s="637">
        <f t="shared" si="170"/>
        <v>0</v>
      </c>
      <c r="E5063" s="637">
        <f t="shared" si="171"/>
        <v>0</v>
      </c>
    </row>
    <row r="5064" spans="1:5">
      <c r="A5064">
        <v>73013</v>
      </c>
      <c r="B5064">
        <v>2000</v>
      </c>
      <c r="C5064" s="455">
        <v>6.1059999999999999</v>
      </c>
      <c r="D5064" s="637">
        <f t="shared" si="170"/>
        <v>12.963134920634923</v>
      </c>
      <c r="E5064" s="637">
        <f t="shared" si="171"/>
        <v>19.820269841269848</v>
      </c>
    </row>
    <row r="5065" spans="1:5">
      <c r="A5065">
        <v>73013</v>
      </c>
      <c r="B5065">
        <v>2100</v>
      </c>
      <c r="C5065" s="455">
        <v>10.108000000000001</v>
      </c>
      <c r="D5065" s="637">
        <f t="shared" si="170"/>
        <v>21.459444444444451</v>
      </c>
      <c r="E5065" s="637">
        <f t="shared" si="171"/>
        <v>32.810888888888904</v>
      </c>
    </row>
    <row r="5066" spans="1:5">
      <c r="A5066">
        <v>73013</v>
      </c>
      <c r="B5066">
        <v>2200</v>
      </c>
      <c r="C5066" s="455">
        <v>10.044</v>
      </c>
      <c r="D5066" s="637">
        <f t="shared" si="170"/>
        <v>21.323571428571437</v>
      </c>
      <c r="E5066" s="637">
        <f t="shared" si="171"/>
        <v>32.603142857142878</v>
      </c>
    </row>
    <row r="5067" spans="1:5">
      <c r="A5067">
        <v>73013</v>
      </c>
      <c r="B5067">
        <v>2300</v>
      </c>
      <c r="C5067" s="455">
        <v>10.042999999999999</v>
      </c>
      <c r="D5067" s="637">
        <f t="shared" si="170"/>
        <v>21.321448412698416</v>
      </c>
      <c r="E5067" s="637">
        <f t="shared" si="171"/>
        <v>32.59989682539684</v>
      </c>
    </row>
    <row r="5068" spans="1:5">
      <c r="A5068">
        <v>73013</v>
      </c>
      <c r="B5068">
        <v>2400</v>
      </c>
      <c r="C5068" s="455">
        <v>9.9730000000000008</v>
      </c>
      <c r="D5068" s="637">
        <f t="shared" si="170"/>
        <v>21.172837301587311</v>
      </c>
      <c r="E5068" s="637">
        <f t="shared" si="171"/>
        <v>32.372674603174623</v>
      </c>
    </row>
    <row r="5069" spans="1:5">
      <c r="A5069">
        <v>73113</v>
      </c>
      <c r="B5069">
        <v>100</v>
      </c>
      <c r="C5069" s="455">
        <v>9.8680000000000003</v>
      </c>
      <c r="D5069" s="637">
        <f t="shared" si="170"/>
        <v>20.949920634920641</v>
      </c>
      <c r="E5069" s="637">
        <f t="shared" si="171"/>
        <v>32.031841269841287</v>
      </c>
    </row>
    <row r="5070" spans="1:5">
      <c r="A5070">
        <v>73113</v>
      </c>
      <c r="B5070">
        <v>200</v>
      </c>
      <c r="C5070" s="455">
        <v>9.8740000000000006</v>
      </c>
      <c r="D5070" s="637">
        <f t="shared" si="170"/>
        <v>20.962658730158736</v>
      </c>
      <c r="E5070" s="637">
        <f t="shared" si="171"/>
        <v>32.051317460317478</v>
      </c>
    </row>
    <row r="5071" spans="1:5">
      <c r="A5071">
        <v>73113</v>
      </c>
      <c r="B5071">
        <v>300</v>
      </c>
      <c r="C5071" s="455">
        <v>10.23</v>
      </c>
      <c r="D5071" s="637">
        <f t="shared" si="170"/>
        <v>21.718452380952389</v>
      </c>
      <c r="E5071" s="637">
        <f t="shared" si="171"/>
        <v>33.206904761904781</v>
      </c>
    </row>
    <row r="5072" spans="1:5">
      <c r="A5072">
        <v>73113</v>
      </c>
      <c r="B5072">
        <v>400</v>
      </c>
      <c r="C5072" s="455">
        <v>9.7319999999999993</v>
      </c>
      <c r="D5072" s="637">
        <f t="shared" si="170"/>
        <v>20.66119047619048</v>
      </c>
      <c r="E5072" s="637">
        <f t="shared" si="171"/>
        <v>31.590380952380968</v>
      </c>
    </row>
    <row r="5073" spans="1:5">
      <c r="A5073">
        <v>73113</v>
      </c>
      <c r="B5073">
        <v>500</v>
      </c>
      <c r="C5073" s="455">
        <v>10.061</v>
      </c>
      <c r="D5073" s="637">
        <f t="shared" si="170"/>
        <v>21.359662698412706</v>
      </c>
      <c r="E5073" s="637">
        <f t="shared" si="171"/>
        <v>32.658325396825411</v>
      </c>
    </row>
    <row r="5074" spans="1:5">
      <c r="A5074">
        <v>73113</v>
      </c>
      <c r="B5074">
        <v>600</v>
      </c>
      <c r="C5074" s="455">
        <v>4.4320000000000004</v>
      </c>
      <c r="D5074" s="637">
        <f t="shared" si="170"/>
        <v>9.4092063492063538</v>
      </c>
      <c r="E5074" s="637">
        <f t="shared" si="171"/>
        <v>14.386412698412707</v>
      </c>
    </row>
    <row r="5075" spans="1:5">
      <c r="A5075">
        <v>73113</v>
      </c>
      <c r="B5075">
        <v>700</v>
      </c>
      <c r="C5075" s="455">
        <v>0</v>
      </c>
      <c r="D5075" s="637">
        <f t="shared" si="170"/>
        <v>0</v>
      </c>
      <c r="E5075" s="637">
        <f t="shared" si="171"/>
        <v>0</v>
      </c>
    </row>
    <row r="5076" spans="1:5">
      <c r="A5076">
        <v>73113</v>
      </c>
      <c r="B5076">
        <v>800</v>
      </c>
      <c r="C5076" s="455">
        <v>0</v>
      </c>
      <c r="D5076" s="637">
        <f t="shared" si="170"/>
        <v>0</v>
      </c>
      <c r="E5076" s="637">
        <f t="shared" si="171"/>
        <v>0</v>
      </c>
    </row>
    <row r="5077" spans="1:5">
      <c r="A5077">
        <v>73113</v>
      </c>
      <c r="B5077">
        <v>900</v>
      </c>
      <c r="C5077" s="455">
        <v>0</v>
      </c>
      <c r="D5077" s="637">
        <f t="shared" si="170"/>
        <v>0</v>
      </c>
      <c r="E5077" s="637">
        <f t="shared" si="171"/>
        <v>0</v>
      </c>
    </row>
    <row r="5078" spans="1:5">
      <c r="A5078">
        <v>73113</v>
      </c>
      <c r="B5078">
        <v>1000</v>
      </c>
      <c r="C5078" s="455">
        <v>0</v>
      </c>
      <c r="D5078" s="637">
        <f t="shared" si="170"/>
        <v>0</v>
      </c>
      <c r="E5078" s="637">
        <f t="shared" si="171"/>
        <v>0</v>
      </c>
    </row>
    <row r="5079" spans="1:5">
      <c r="A5079">
        <v>73113</v>
      </c>
      <c r="B5079">
        <v>1100</v>
      </c>
      <c r="C5079" s="455">
        <v>0</v>
      </c>
      <c r="D5079" s="637">
        <f t="shared" si="170"/>
        <v>0</v>
      </c>
      <c r="E5079" s="637">
        <f t="shared" si="171"/>
        <v>0</v>
      </c>
    </row>
    <row r="5080" spans="1:5">
      <c r="A5080">
        <v>73113</v>
      </c>
      <c r="B5080">
        <v>1200</v>
      </c>
      <c r="C5080" s="455">
        <v>0</v>
      </c>
      <c r="D5080" s="637">
        <f t="shared" si="170"/>
        <v>0</v>
      </c>
      <c r="E5080" s="637">
        <f t="shared" si="171"/>
        <v>0</v>
      </c>
    </row>
    <row r="5081" spans="1:5">
      <c r="A5081">
        <v>73113</v>
      </c>
      <c r="B5081">
        <v>1300</v>
      </c>
      <c r="C5081" s="455">
        <v>0</v>
      </c>
      <c r="D5081" s="637">
        <f t="shared" si="170"/>
        <v>0</v>
      </c>
      <c r="E5081" s="637">
        <f t="shared" si="171"/>
        <v>0</v>
      </c>
    </row>
    <row r="5082" spans="1:5">
      <c r="A5082">
        <v>73113</v>
      </c>
      <c r="B5082">
        <v>1400</v>
      </c>
      <c r="C5082" s="455">
        <v>1E-3</v>
      </c>
      <c r="D5082" s="637">
        <f t="shared" si="170"/>
        <v>2.1230158730158734E-3</v>
      </c>
      <c r="E5082" s="637">
        <f t="shared" si="171"/>
        <v>3.2460317460317476E-3</v>
      </c>
    </row>
    <row r="5083" spans="1:5">
      <c r="A5083">
        <v>73113</v>
      </c>
      <c r="B5083">
        <v>1500</v>
      </c>
      <c r="C5083" s="455">
        <v>0</v>
      </c>
      <c r="D5083" s="637">
        <f t="shared" si="170"/>
        <v>0</v>
      </c>
      <c r="E5083" s="637">
        <f t="shared" si="171"/>
        <v>0</v>
      </c>
    </row>
    <row r="5084" spans="1:5">
      <c r="A5084">
        <v>73113</v>
      </c>
      <c r="B5084">
        <v>1600</v>
      </c>
      <c r="C5084" s="455">
        <v>0</v>
      </c>
      <c r="D5084" s="637">
        <f t="shared" si="170"/>
        <v>0</v>
      </c>
      <c r="E5084" s="637">
        <f t="shared" si="171"/>
        <v>0</v>
      </c>
    </row>
    <row r="5085" spans="1:5">
      <c r="A5085">
        <v>73113</v>
      </c>
      <c r="B5085">
        <v>1700</v>
      </c>
      <c r="C5085" s="455">
        <v>0</v>
      </c>
      <c r="D5085" s="637">
        <f t="shared" si="170"/>
        <v>0</v>
      </c>
      <c r="E5085" s="637">
        <f t="shared" si="171"/>
        <v>0</v>
      </c>
    </row>
    <row r="5086" spans="1:5">
      <c r="A5086">
        <v>73113</v>
      </c>
      <c r="B5086">
        <v>1800</v>
      </c>
      <c r="C5086" s="455">
        <v>0.10100000000000001</v>
      </c>
      <c r="D5086" s="637">
        <f t="shared" si="170"/>
        <v>0.21442460317460324</v>
      </c>
      <c r="E5086" s="637">
        <f t="shared" si="171"/>
        <v>0.3278492063492065</v>
      </c>
    </row>
    <row r="5087" spans="1:5">
      <c r="A5087">
        <v>73113</v>
      </c>
      <c r="B5087">
        <v>1900</v>
      </c>
      <c r="C5087" s="455">
        <v>9.1590000000000007</v>
      </c>
      <c r="D5087" s="637">
        <f t="shared" si="170"/>
        <v>19.444702380952386</v>
      </c>
      <c r="E5087" s="637">
        <f t="shared" si="171"/>
        <v>29.730404761904776</v>
      </c>
    </row>
    <row r="5088" spans="1:5">
      <c r="A5088">
        <v>73113</v>
      </c>
      <c r="B5088">
        <v>2000</v>
      </c>
      <c r="C5088" s="455">
        <v>12.535</v>
      </c>
      <c r="D5088" s="637">
        <f t="shared" si="170"/>
        <v>26.612003968253976</v>
      </c>
      <c r="E5088" s="637">
        <f t="shared" si="171"/>
        <v>40.689007936507956</v>
      </c>
    </row>
    <row r="5089" spans="1:5">
      <c r="A5089">
        <v>73113</v>
      </c>
      <c r="B5089">
        <v>2100</v>
      </c>
      <c r="C5089" s="455">
        <v>10.256</v>
      </c>
      <c r="D5089" s="637">
        <f t="shared" si="170"/>
        <v>21.773650793650798</v>
      </c>
      <c r="E5089" s="637">
        <f t="shared" si="171"/>
        <v>33.291301587301604</v>
      </c>
    </row>
    <row r="5090" spans="1:5">
      <c r="A5090">
        <v>73113</v>
      </c>
      <c r="B5090">
        <v>2200</v>
      </c>
      <c r="C5090" s="455">
        <v>10.007999999999999</v>
      </c>
      <c r="D5090" s="637">
        <f t="shared" si="170"/>
        <v>21.247142857142862</v>
      </c>
      <c r="E5090" s="637">
        <f t="shared" si="171"/>
        <v>32.486285714285728</v>
      </c>
    </row>
    <row r="5091" spans="1:5">
      <c r="A5091">
        <v>73113</v>
      </c>
      <c r="B5091">
        <v>2300</v>
      </c>
      <c r="C5091" s="455">
        <v>10.006</v>
      </c>
      <c r="D5091" s="637">
        <f t="shared" si="170"/>
        <v>21.242896825396834</v>
      </c>
      <c r="E5091" s="637">
        <f t="shared" si="171"/>
        <v>32.479793650793667</v>
      </c>
    </row>
    <row r="5092" spans="1:5">
      <c r="A5092" s="647">
        <v>73113</v>
      </c>
      <c r="B5092" s="647">
        <v>2400</v>
      </c>
      <c r="C5092" s="648">
        <v>9.7159999999999993</v>
      </c>
      <c r="D5092" s="637">
        <f t="shared" si="170"/>
        <v>20.627222222222226</v>
      </c>
      <c r="E5092" s="645">
        <f t="shared" si="171"/>
        <v>31.538444444444458</v>
      </c>
    </row>
    <row r="5093" spans="1:5">
      <c r="A5093">
        <v>80113</v>
      </c>
      <c r="B5093">
        <v>100</v>
      </c>
      <c r="C5093" s="455">
        <v>10.231</v>
      </c>
      <c r="D5093" s="637">
        <f>(C5093/(MAX($C$5093:$C$5836)))*$W$12</f>
        <v>23.222746031746038</v>
      </c>
      <c r="E5093" s="637">
        <f>(C5093/(MAX($C$5093:$C$5836)))*$P$12</f>
        <v>33.778539682539702</v>
      </c>
    </row>
    <row r="5094" spans="1:5">
      <c r="A5094">
        <v>80113</v>
      </c>
      <c r="B5094">
        <v>200</v>
      </c>
      <c r="C5094" s="455">
        <v>10.021000000000001</v>
      </c>
      <c r="D5094" s="637">
        <f t="shared" ref="D5094:D5157" si="172">(C5094/(MAX($C$5093:$C$5836)))*$W$12</f>
        <v>22.746079365079375</v>
      </c>
      <c r="E5094" s="637">
        <f t="shared" ref="E5094:E5157" si="173">(C5094/(MAX($C$5093:$C$5836)))*$P$12</f>
        <v>33.085206349206373</v>
      </c>
    </row>
    <row r="5095" spans="1:5">
      <c r="A5095">
        <v>80113</v>
      </c>
      <c r="B5095">
        <v>300</v>
      </c>
      <c r="C5095" s="455">
        <v>10.211</v>
      </c>
      <c r="D5095" s="637">
        <f t="shared" si="172"/>
        <v>23.177349206349216</v>
      </c>
      <c r="E5095" s="637">
        <f t="shared" si="173"/>
        <v>33.712507936507961</v>
      </c>
    </row>
    <row r="5096" spans="1:5">
      <c r="A5096">
        <v>80113</v>
      </c>
      <c r="B5096">
        <v>400</v>
      </c>
      <c r="C5096" s="455">
        <v>10.698</v>
      </c>
      <c r="D5096" s="637">
        <f t="shared" si="172"/>
        <v>24.282761904761912</v>
      </c>
      <c r="E5096" s="637">
        <f t="shared" si="173"/>
        <v>35.32038095238098</v>
      </c>
    </row>
    <row r="5097" spans="1:5">
      <c r="A5097">
        <v>80113</v>
      </c>
      <c r="B5097">
        <v>500</v>
      </c>
      <c r="C5097" s="455">
        <v>10.821999999999999</v>
      </c>
      <c r="D5097" s="637">
        <f t="shared" si="172"/>
        <v>24.564222222222227</v>
      </c>
      <c r="E5097" s="637">
        <f t="shared" si="173"/>
        <v>35.729777777777798</v>
      </c>
    </row>
    <row r="5098" spans="1:5">
      <c r="A5098">
        <v>80113</v>
      </c>
      <c r="B5098">
        <v>600</v>
      </c>
      <c r="C5098" s="455">
        <v>9.7550000000000008</v>
      </c>
      <c r="D5098" s="637">
        <f t="shared" si="172"/>
        <v>22.142301587301596</v>
      </c>
      <c r="E5098" s="637">
        <f t="shared" si="173"/>
        <v>32.206984126984146</v>
      </c>
    </row>
    <row r="5099" spans="1:5">
      <c r="A5099">
        <v>80113</v>
      </c>
      <c r="B5099">
        <v>700</v>
      </c>
      <c r="C5099" s="455">
        <v>7.0000000000000007E-2</v>
      </c>
      <c r="D5099" s="637">
        <f t="shared" si="172"/>
        <v>0.15888888888888897</v>
      </c>
      <c r="E5099" s="637">
        <f t="shared" si="173"/>
        <v>0.23111111111111129</v>
      </c>
    </row>
    <row r="5100" spans="1:5">
      <c r="A5100">
        <v>80113</v>
      </c>
      <c r="B5100">
        <v>800</v>
      </c>
      <c r="C5100" s="455">
        <v>2E-3</v>
      </c>
      <c r="D5100" s="637">
        <f t="shared" si="172"/>
        <v>4.5396825396825406E-3</v>
      </c>
      <c r="E5100" s="637">
        <f t="shared" si="173"/>
        <v>6.6031746031746073E-3</v>
      </c>
    </row>
    <row r="5101" spans="1:5">
      <c r="A5101">
        <v>80113</v>
      </c>
      <c r="B5101">
        <v>900</v>
      </c>
      <c r="C5101" s="455">
        <v>0.216</v>
      </c>
      <c r="D5101" s="637">
        <f t="shared" si="172"/>
        <v>0.49028571428571444</v>
      </c>
      <c r="E5101" s="637">
        <f t="shared" si="173"/>
        <v>0.71314285714285763</v>
      </c>
    </row>
    <row r="5102" spans="1:5">
      <c r="A5102">
        <v>80113</v>
      </c>
      <c r="B5102">
        <v>1000</v>
      </c>
      <c r="C5102" s="455">
        <v>0.216</v>
      </c>
      <c r="D5102" s="637">
        <f t="shared" si="172"/>
        <v>0.49028571428571444</v>
      </c>
      <c r="E5102" s="637">
        <f t="shared" si="173"/>
        <v>0.71314285714285763</v>
      </c>
    </row>
    <row r="5103" spans="1:5">
      <c r="A5103">
        <v>80113</v>
      </c>
      <c r="B5103">
        <v>1100</v>
      </c>
      <c r="C5103" s="455">
        <v>0</v>
      </c>
      <c r="D5103" s="637">
        <f t="shared" si="172"/>
        <v>0</v>
      </c>
      <c r="E5103" s="637">
        <f t="shared" si="173"/>
        <v>0</v>
      </c>
    </row>
    <row r="5104" spans="1:5">
      <c r="A5104">
        <v>80113</v>
      </c>
      <c r="B5104">
        <v>1200</v>
      </c>
      <c r="C5104" s="455">
        <v>0</v>
      </c>
      <c r="D5104" s="637">
        <f t="shared" si="172"/>
        <v>0</v>
      </c>
      <c r="E5104" s="637">
        <f t="shared" si="173"/>
        <v>0</v>
      </c>
    </row>
    <row r="5105" spans="1:5">
      <c r="A5105">
        <v>80113</v>
      </c>
      <c r="B5105">
        <v>1300</v>
      </c>
      <c r="C5105" s="455">
        <v>0</v>
      </c>
      <c r="D5105" s="637">
        <f t="shared" si="172"/>
        <v>0</v>
      </c>
      <c r="E5105" s="637">
        <f t="shared" si="173"/>
        <v>0</v>
      </c>
    </row>
    <row r="5106" spans="1:5">
      <c r="A5106">
        <v>80113</v>
      </c>
      <c r="B5106">
        <v>1400</v>
      </c>
      <c r="C5106" s="455">
        <v>0</v>
      </c>
      <c r="D5106" s="637">
        <f t="shared" si="172"/>
        <v>0</v>
      </c>
      <c r="E5106" s="637">
        <f t="shared" si="173"/>
        <v>0</v>
      </c>
    </row>
    <row r="5107" spans="1:5">
      <c r="A5107">
        <v>80113</v>
      </c>
      <c r="B5107">
        <v>1500</v>
      </c>
      <c r="C5107" s="455">
        <v>0</v>
      </c>
      <c r="D5107" s="637">
        <f t="shared" si="172"/>
        <v>0</v>
      </c>
      <c r="E5107" s="637">
        <f t="shared" si="173"/>
        <v>0</v>
      </c>
    </row>
    <row r="5108" spans="1:5">
      <c r="A5108">
        <v>80113</v>
      </c>
      <c r="B5108">
        <v>1600</v>
      </c>
      <c r="C5108" s="455">
        <v>0</v>
      </c>
      <c r="D5108" s="637">
        <f t="shared" si="172"/>
        <v>0</v>
      </c>
      <c r="E5108" s="637">
        <f t="shared" si="173"/>
        <v>0</v>
      </c>
    </row>
    <row r="5109" spans="1:5">
      <c r="A5109">
        <v>80113</v>
      </c>
      <c r="B5109">
        <v>1700</v>
      </c>
      <c r="C5109" s="455">
        <v>0</v>
      </c>
      <c r="D5109" s="637">
        <f t="shared" si="172"/>
        <v>0</v>
      </c>
      <c r="E5109" s="637">
        <f t="shared" si="173"/>
        <v>0</v>
      </c>
    </row>
    <row r="5110" spans="1:5">
      <c r="A5110">
        <v>80113</v>
      </c>
      <c r="B5110">
        <v>1800</v>
      </c>
      <c r="C5110" s="455">
        <v>0</v>
      </c>
      <c r="D5110" s="637">
        <f t="shared" si="172"/>
        <v>0</v>
      </c>
      <c r="E5110" s="637">
        <f t="shared" si="173"/>
        <v>0</v>
      </c>
    </row>
    <row r="5111" spans="1:5">
      <c r="A5111">
        <v>80113</v>
      </c>
      <c r="B5111">
        <v>1900</v>
      </c>
      <c r="C5111" s="455">
        <v>0</v>
      </c>
      <c r="D5111" s="637">
        <f t="shared" si="172"/>
        <v>0</v>
      </c>
      <c r="E5111" s="637">
        <f t="shared" si="173"/>
        <v>0</v>
      </c>
    </row>
    <row r="5112" spans="1:5">
      <c r="A5112">
        <v>80113</v>
      </c>
      <c r="B5112">
        <v>2000</v>
      </c>
      <c r="C5112" s="455">
        <v>7.1040000000000001</v>
      </c>
      <c r="D5112" s="637">
        <f t="shared" si="172"/>
        <v>16.124952380952386</v>
      </c>
      <c r="E5112" s="637">
        <f t="shared" si="173"/>
        <v>23.454476190476207</v>
      </c>
    </row>
    <row r="5113" spans="1:5">
      <c r="A5113">
        <v>80113</v>
      </c>
      <c r="B5113">
        <v>2100</v>
      </c>
      <c r="C5113" s="455">
        <v>9.9239999999999995</v>
      </c>
      <c r="D5113" s="637">
        <f t="shared" si="172"/>
        <v>22.525904761904766</v>
      </c>
      <c r="E5113" s="637">
        <f t="shared" si="173"/>
        <v>32.764952380952401</v>
      </c>
    </row>
    <row r="5114" spans="1:5">
      <c r="A5114">
        <v>80113</v>
      </c>
      <c r="B5114">
        <v>2200</v>
      </c>
      <c r="C5114" s="455">
        <v>10.065</v>
      </c>
      <c r="D5114" s="637">
        <f t="shared" si="172"/>
        <v>22.845952380952387</v>
      </c>
      <c r="E5114" s="637">
        <f t="shared" si="173"/>
        <v>33.23047619047621</v>
      </c>
    </row>
    <row r="5115" spans="1:5">
      <c r="A5115">
        <v>80113</v>
      </c>
      <c r="B5115">
        <v>2300</v>
      </c>
      <c r="C5115" s="455">
        <v>10.042</v>
      </c>
      <c r="D5115" s="637">
        <f t="shared" si="172"/>
        <v>22.793746031746039</v>
      </c>
      <c r="E5115" s="637">
        <f t="shared" si="173"/>
        <v>33.154539682539706</v>
      </c>
    </row>
    <row r="5116" spans="1:5">
      <c r="A5116">
        <v>80113</v>
      </c>
      <c r="B5116">
        <v>2400</v>
      </c>
      <c r="C5116" s="455">
        <v>9.9670000000000005</v>
      </c>
      <c r="D5116" s="637">
        <f t="shared" si="172"/>
        <v>22.623507936507945</v>
      </c>
      <c r="E5116" s="637">
        <f t="shared" si="173"/>
        <v>32.90692063492066</v>
      </c>
    </row>
    <row r="5117" spans="1:5">
      <c r="A5117">
        <v>80213</v>
      </c>
      <c r="B5117">
        <v>100</v>
      </c>
      <c r="C5117" s="455">
        <v>9.9730000000000008</v>
      </c>
      <c r="D5117" s="637">
        <f t="shared" si="172"/>
        <v>22.63712698412699</v>
      </c>
      <c r="E5117" s="637">
        <f t="shared" si="173"/>
        <v>32.92673015873018</v>
      </c>
    </row>
    <row r="5118" spans="1:5">
      <c r="A5118">
        <v>80213</v>
      </c>
      <c r="B5118">
        <v>200</v>
      </c>
      <c r="C5118" s="455">
        <v>10.128</v>
      </c>
      <c r="D5118" s="637">
        <f t="shared" si="172"/>
        <v>22.988952380952387</v>
      </c>
      <c r="E5118" s="637">
        <f t="shared" si="173"/>
        <v>33.438476190476209</v>
      </c>
    </row>
    <row r="5119" spans="1:5">
      <c r="A5119">
        <v>80213</v>
      </c>
      <c r="B5119">
        <v>300</v>
      </c>
      <c r="C5119" s="455">
        <v>10.052</v>
      </c>
      <c r="D5119" s="637">
        <f t="shared" si="172"/>
        <v>22.81644444444445</v>
      </c>
      <c r="E5119" s="637">
        <f t="shared" si="173"/>
        <v>33.187555555555576</v>
      </c>
    </row>
    <row r="5120" spans="1:5">
      <c r="A5120">
        <v>80213</v>
      </c>
      <c r="B5120">
        <v>400</v>
      </c>
      <c r="C5120" s="455">
        <v>9.9420000000000002</v>
      </c>
      <c r="D5120" s="637">
        <f t="shared" si="172"/>
        <v>22.566761904761911</v>
      </c>
      <c r="E5120" s="637">
        <f t="shared" si="173"/>
        <v>32.82438095238097</v>
      </c>
    </row>
    <row r="5121" spans="1:5">
      <c r="A5121">
        <v>80213</v>
      </c>
      <c r="B5121">
        <v>500</v>
      </c>
      <c r="C5121" s="455">
        <v>10.225</v>
      </c>
      <c r="D5121" s="637">
        <f t="shared" si="172"/>
        <v>23.209126984126989</v>
      </c>
      <c r="E5121" s="637">
        <f t="shared" si="173"/>
        <v>33.758730158730181</v>
      </c>
    </row>
    <row r="5122" spans="1:5">
      <c r="A5122">
        <v>80213</v>
      </c>
      <c r="B5122">
        <v>600</v>
      </c>
      <c r="C5122" s="455">
        <v>5.8650000000000002</v>
      </c>
      <c r="D5122" s="637">
        <f t="shared" si="172"/>
        <v>13.312619047619052</v>
      </c>
      <c r="E5122" s="637">
        <f t="shared" si="173"/>
        <v>19.363809523809536</v>
      </c>
    </row>
    <row r="5123" spans="1:5">
      <c r="A5123">
        <v>80213</v>
      </c>
      <c r="B5123">
        <v>700</v>
      </c>
      <c r="C5123" s="455">
        <v>0</v>
      </c>
      <c r="D5123" s="637">
        <f t="shared" si="172"/>
        <v>0</v>
      </c>
      <c r="E5123" s="637">
        <f t="shared" si="173"/>
        <v>0</v>
      </c>
    </row>
    <row r="5124" spans="1:5">
      <c r="A5124">
        <v>80213</v>
      </c>
      <c r="B5124">
        <v>800</v>
      </c>
      <c r="C5124" s="455">
        <v>1E-3</v>
      </c>
      <c r="D5124" s="637">
        <f t="shared" si="172"/>
        <v>2.2698412698412703E-3</v>
      </c>
      <c r="E5124" s="637">
        <f t="shared" si="173"/>
        <v>3.3015873015873037E-3</v>
      </c>
    </row>
    <row r="5125" spans="1:5">
      <c r="A5125">
        <v>80213</v>
      </c>
      <c r="B5125">
        <v>900</v>
      </c>
      <c r="C5125" s="455">
        <v>0</v>
      </c>
      <c r="D5125" s="637">
        <f t="shared" si="172"/>
        <v>0</v>
      </c>
      <c r="E5125" s="637">
        <f t="shared" si="173"/>
        <v>0</v>
      </c>
    </row>
    <row r="5126" spans="1:5">
      <c r="A5126">
        <v>80213</v>
      </c>
      <c r="B5126">
        <v>1000</v>
      </c>
      <c r="C5126" s="455">
        <v>0</v>
      </c>
      <c r="D5126" s="637">
        <f t="shared" si="172"/>
        <v>0</v>
      </c>
      <c r="E5126" s="637">
        <f t="shared" si="173"/>
        <v>0</v>
      </c>
    </row>
    <row r="5127" spans="1:5">
      <c r="A5127">
        <v>80213</v>
      </c>
      <c r="B5127">
        <v>1100</v>
      </c>
      <c r="C5127" s="455">
        <v>0</v>
      </c>
      <c r="D5127" s="637">
        <f t="shared" si="172"/>
        <v>0</v>
      </c>
      <c r="E5127" s="637">
        <f t="shared" si="173"/>
        <v>0</v>
      </c>
    </row>
    <row r="5128" spans="1:5">
      <c r="A5128">
        <v>80213</v>
      </c>
      <c r="B5128">
        <v>1200</v>
      </c>
      <c r="C5128" s="455">
        <v>0</v>
      </c>
      <c r="D5128" s="637">
        <f t="shared" si="172"/>
        <v>0</v>
      </c>
      <c r="E5128" s="637">
        <f t="shared" si="173"/>
        <v>0</v>
      </c>
    </row>
    <row r="5129" spans="1:5">
      <c r="A5129">
        <v>80213</v>
      </c>
      <c r="B5129">
        <v>1300</v>
      </c>
      <c r="C5129" s="455">
        <v>0</v>
      </c>
      <c r="D5129" s="637">
        <f t="shared" si="172"/>
        <v>0</v>
      </c>
      <c r="E5129" s="637">
        <f t="shared" si="173"/>
        <v>0</v>
      </c>
    </row>
    <row r="5130" spans="1:5">
      <c r="A5130">
        <v>80213</v>
      </c>
      <c r="B5130">
        <v>1400</v>
      </c>
      <c r="C5130" s="455">
        <v>0</v>
      </c>
      <c r="D5130" s="637">
        <f t="shared" si="172"/>
        <v>0</v>
      </c>
      <c r="E5130" s="637">
        <f t="shared" si="173"/>
        <v>0</v>
      </c>
    </row>
    <row r="5131" spans="1:5">
      <c r="A5131">
        <v>80213</v>
      </c>
      <c r="B5131">
        <v>1500</v>
      </c>
      <c r="C5131" s="455">
        <v>0</v>
      </c>
      <c r="D5131" s="637">
        <f t="shared" si="172"/>
        <v>0</v>
      </c>
      <c r="E5131" s="637">
        <f t="shared" si="173"/>
        <v>0</v>
      </c>
    </row>
    <row r="5132" spans="1:5">
      <c r="A5132">
        <v>80213</v>
      </c>
      <c r="B5132">
        <v>1600</v>
      </c>
      <c r="C5132" s="455">
        <v>0</v>
      </c>
      <c r="D5132" s="637">
        <f t="shared" si="172"/>
        <v>0</v>
      </c>
      <c r="E5132" s="637">
        <f t="shared" si="173"/>
        <v>0</v>
      </c>
    </row>
    <row r="5133" spans="1:5">
      <c r="A5133">
        <v>80213</v>
      </c>
      <c r="B5133">
        <v>1700</v>
      </c>
      <c r="C5133" s="455">
        <v>0</v>
      </c>
      <c r="D5133" s="637">
        <f t="shared" si="172"/>
        <v>0</v>
      </c>
      <c r="E5133" s="637">
        <f t="shared" si="173"/>
        <v>0</v>
      </c>
    </row>
    <row r="5134" spans="1:5">
      <c r="A5134">
        <v>80213</v>
      </c>
      <c r="B5134">
        <v>1800</v>
      </c>
      <c r="C5134" s="455">
        <v>2.8000000000000001E-2</v>
      </c>
      <c r="D5134" s="637">
        <f t="shared" si="172"/>
        <v>6.3555555555555573E-2</v>
      </c>
      <c r="E5134" s="637">
        <f t="shared" si="173"/>
        <v>9.244444444444451E-2</v>
      </c>
    </row>
    <row r="5135" spans="1:5">
      <c r="A5135">
        <v>80213</v>
      </c>
      <c r="B5135">
        <v>1900</v>
      </c>
      <c r="C5135" s="455">
        <v>0.51300000000000001</v>
      </c>
      <c r="D5135" s="637">
        <f t="shared" si="172"/>
        <v>1.1644285714285718</v>
      </c>
      <c r="E5135" s="637">
        <f t="shared" si="173"/>
        <v>1.6937142857142866</v>
      </c>
    </row>
    <row r="5136" spans="1:5">
      <c r="A5136">
        <v>80213</v>
      </c>
      <c r="B5136">
        <v>2000</v>
      </c>
      <c r="C5136" s="455">
        <v>12.266999999999999</v>
      </c>
      <c r="D5136" s="637">
        <f t="shared" si="172"/>
        <v>27.844142857142867</v>
      </c>
      <c r="E5136" s="637">
        <f t="shared" si="173"/>
        <v>40.500571428571455</v>
      </c>
    </row>
    <row r="5137" spans="1:5">
      <c r="A5137">
        <v>80213</v>
      </c>
      <c r="B5137">
        <v>2100</v>
      </c>
      <c r="C5137" s="455">
        <v>9.9740000000000002</v>
      </c>
      <c r="D5137" s="637">
        <f t="shared" si="172"/>
        <v>22.639396825396833</v>
      </c>
      <c r="E5137" s="637">
        <f t="shared" si="173"/>
        <v>32.930031746031766</v>
      </c>
    </row>
    <row r="5138" spans="1:5">
      <c r="A5138">
        <v>80213</v>
      </c>
      <c r="B5138">
        <v>2200</v>
      </c>
      <c r="C5138" s="455">
        <v>10.157</v>
      </c>
      <c r="D5138" s="637">
        <f t="shared" si="172"/>
        <v>23.054777777777787</v>
      </c>
      <c r="E5138" s="637">
        <f t="shared" si="173"/>
        <v>33.534222222222247</v>
      </c>
    </row>
    <row r="5139" spans="1:5">
      <c r="A5139">
        <v>80213</v>
      </c>
      <c r="B5139">
        <v>2300</v>
      </c>
      <c r="C5139" s="455">
        <v>10.209</v>
      </c>
      <c r="D5139" s="637">
        <f t="shared" si="172"/>
        <v>23.17280952380953</v>
      </c>
      <c r="E5139" s="637">
        <f t="shared" si="173"/>
        <v>33.705904761904783</v>
      </c>
    </row>
    <row r="5140" spans="1:5">
      <c r="A5140">
        <v>80213</v>
      </c>
      <c r="B5140">
        <v>2400</v>
      </c>
      <c r="C5140" s="455">
        <v>10.048</v>
      </c>
      <c r="D5140" s="637">
        <f t="shared" si="172"/>
        <v>22.807365079365088</v>
      </c>
      <c r="E5140" s="637">
        <f t="shared" si="173"/>
        <v>33.174349206349227</v>
      </c>
    </row>
    <row r="5141" spans="1:5">
      <c r="A5141">
        <v>80313</v>
      </c>
      <c r="B5141">
        <v>100</v>
      </c>
      <c r="C5141" s="455">
        <v>10.041</v>
      </c>
      <c r="D5141" s="637">
        <f t="shared" si="172"/>
        <v>22.7914761904762</v>
      </c>
      <c r="E5141" s="637">
        <f t="shared" si="173"/>
        <v>33.151238095238121</v>
      </c>
    </row>
    <row r="5142" spans="1:5">
      <c r="A5142">
        <v>80313</v>
      </c>
      <c r="B5142">
        <v>200</v>
      </c>
      <c r="C5142" s="455">
        <v>9.8369999999999997</v>
      </c>
      <c r="D5142" s="637">
        <f t="shared" si="172"/>
        <v>22.328428571428578</v>
      </c>
      <c r="E5142" s="637">
        <f t="shared" si="173"/>
        <v>32.477714285714306</v>
      </c>
    </row>
    <row r="5143" spans="1:5">
      <c r="A5143">
        <v>80313</v>
      </c>
      <c r="B5143">
        <v>300</v>
      </c>
      <c r="C5143" s="455">
        <v>10.347</v>
      </c>
      <c r="D5143" s="637">
        <f t="shared" si="172"/>
        <v>23.486047619047625</v>
      </c>
      <c r="E5143" s="637">
        <f t="shared" si="173"/>
        <v>34.161523809523828</v>
      </c>
    </row>
    <row r="5144" spans="1:5">
      <c r="A5144">
        <v>80313</v>
      </c>
      <c r="B5144">
        <v>400</v>
      </c>
      <c r="C5144" s="455">
        <v>9.73</v>
      </c>
      <c r="D5144" s="637">
        <f t="shared" si="172"/>
        <v>22.085555555555565</v>
      </c>
      <c r="E5144" s="637">
        <f t="shared" si="173"/>
        <v>32.124444444444464</v>
      </c>
    </row>
    <row r="5145" spans="1:5">
      <c r="A5145">
        <v>80313</v>
      </c>
      <c r="B5145">
        <v>500</v>
      </c>
      <c r="C5145" s="455">
        <v>10.237</v>
      </c>
      <c r="D5145" s="637">
        <f t="shared" si="172"/>
        <v>23.236365079365086</v>
      </c>
      <c r="E5145" s="637">
        <f t="shared" si="173"/>
        <v>33.798349206349229</v>
      </c>
    </row>
    <row r="5146" spans="1:5">
      <c r="A5146">
        <v>80313</v>
      </c>
      <c r="B5146">
        <v>600</v>
      </c>
      <c r="C5146" s="455">
        <v>5.0439999999999996</v>
      </c>
      <c r="D5146" s="637">
        <f t="shared" si="172"/>
        <v>11.449079365079367</v>
      </c>
      <c r="E5146" s="637">
        <f t="shared" si="173"/>
        <v>16.653206349206357</v>
      </c>
    </row>
    <row r="5147" spans="1:5">
      <c r="A5147">
        <v>80313</v>
      </c>
      <c r="B5147">
        <v>700</v>
      </c>
      <c r="C5147" s="455">
        <v>0</v>
      </c>
      <c r="D5147" s="637">
        <f t="shared" si="172"/>
        <v>0</v>
      </c>
      <c r="E5147" s="637">
        <f t="shared" si="173"/>
        <v>0</v>
      </c>
    </row>
    <row r="5148" spans="1:5">
      <c r="A5148">
        <v>80313</v>
      </c>
      <c r="B5148">
        <v>800</v>
      </c>
      <c r="C5148" s="455">
        <v>0</v>
      </c>
      <c r="D5148" s="637">
        <f t="shared" si="172"/>
        <v>0</v>
      </c>
      <c r="E5148" s="637">
        <f t="shared" si="173"/>
        <v>0</v>
      </c>
    </row>
    <row r="5149" spans="1:5">
      <c r="A5149">
        <v>80313</v>
      </c>
      <c r="B5149">
        <v>900</v>
      </c>
      <c r="C5149" s="455">
        <v>0</v>
      </c>
      <c r="D5149" s="637">
        <f t="shared" si="172"/>
        <v>0</v>
      </c>
      <c r="E5149" s="637">
        <f t="shared" si="173"/>
        <v>0</v>
      </c>
    </row>
    <row r="5150" spans="1:5">
      <c r="A5150">
        <v>80313</v>
      </c>
      <c r="B5150">
        <v>1000</v>
      </c>
      <c r="C5150" s="455">
        <v>0</v>
      </c>
      <c r="D5150" s="637">
        <f t="shared" si="172"/>
        <v>0</v>
      </c>
      <c r="E5150" s="637">
        <f t="shared" si="173"/>
        <v>0</v>
      </c>
    </row>
    <row r="5151" spans="1:5">
      <c r="A5151">
        <v>80313</v>
      </c>
      <c r="B5151">
        <v>1100</v>
      </c>
      <c r="C5151" s="455">
        <v>0</v>
      </c>
      <c r="D5151" s="637">
        <f t="shared" si="172"/>
        <v>0</v>
      </c>
      <c r="E5151" s="637">
        <f t="shared" si="173"/>
        <v>0</v>
      </c>
    </row>
    <row r="5152" spans="1:5">
      <c r="A5152">
        <v>80313</v>
      </c>
      <c r="B5152">
        <v>1200</v>
      </c>
      <c r="C5152" s="455">
        <v>0</v>
      </c>
      <c r="D5152" s="637">
        <f t="shared" si="172"/>
        <v>0</v>
      </c>
      <c r="E5152" s="637">
        <f t="shared" si="173"/>
        <v>0</v>
      </c>
    </row>
    <row r="5153" spans="1:5">
      <c r="A5153">
        <v>80313</v>
      </c>
      <c r="B5153">
        <v>1300</v>
      </c>
      <c r="C5153" s="455">
        <v>0</v>
      </c>
      <c r="D5153" s="637">
        <f t="shared" si="172"/>
        <v>0</v>
      </c>
      <c r="E5153" s="637">
        <f t="shared" si="173"/>
        <v>0</v>
      </c>
    </row>
    <row r="5154" spans="1:5">
      <c r="A5154">
        <v>80313</v>
      </c>
      <c r="B5154">
        <v>1400</v>
      </c>
      <c r="C5154" s="455">
        <v>0</v>
      </c>
      <c r="D5154" s="637">
        <f t="shared" si="172"/>
        <v>0</v>
      </c>
      <c r="E5154" s="637">
        <f t="shared" si="173"/>
        <v>0</v>
      </c>
    </row>
    <row r="5155" spans="1:5">
      <c r="A5155">
        <v>80313</v>
      </c>
      <c r="B5155">
        <v>1500</v>
      </c>
      <c r="C5155" s="455">
        <v>0</v>
      </c>
      <c r="D5155" s="637">
        <f t="shared" si="172"/>
        <v>0</v>
      </c>
      <c r="E5155" s="637">
        <f t="shared" si="173"/>
        <v>0</v>
      </c>
    </row>
    <row r="5156" spans="1:5">
      <c r="A5156">
        <v>80313</v>
      </c>
      <c r="B5156">
        <v>1600</v>
      </c>
      <c r="C5156" s="455">
        <v>0</v>
      </c>
      <c r="D5156" s="637">
        <f t="shared" si="172"/>
        <v>0</v>
      </c>
      <c r="E5156" s="637">
        <f t="shared" si="173"/>
        <v>0</v>
      </c>
    </row>
    <row r="5157" spans="1:5">
      <c r="A5157">
        <v>80313</v>
      </c>
      <c r="B5157">
        <v>1700</v>
      </c>
      <c r="C5157" s="455">
        <v>0</v>
      </c>
      <c r="D5157" s="637">
        <f t="shared" si="172"/>
        <v>0</v>
      </c>
      <c r="E5157" s="637">
        <f t="shared" si="173"/>
        <v>0</v>
      </c>
    </row>
    <row r="5158" spans="1:5">
      <c r="A5158">
        <v>80313</v>
      </c>
      <c r="B5158">
        <v>1800</v>
      </c>
      <c r="C5158" s="455">
        <v>0</v>
      </c>
      <c r="D5158" s="637">
        <f t="shared" ref="D5158:D5221" si="174">(C5158/(MAX($C$5093:$C$5836)))*$W$12</f>
        <v>0</v>
      </c>
      <c r="E5158" s="637">
        <f t="shared" ref="E5158:E5221" si="175">(C5158/(MAX($C$5093:$C$5836)))*$P$12</f>
        <v>0</v>
      </c>
    </row>
    <row r="5159" spans="1:5">
      <c r="A5159">
        <v>80313</v>
      </c>
      <c r="B5159">
        <v>1900</v>
      </c>
      <c r="C5159" s="455">
        <v>0</v>
      </c>
      <c r="D5159" s="637">
        <f t="shared" si="174"/>
        <v>0</v>
      </c>
      <c r="E5159" s="637">
        <f t="shared" si="175"/>
        <v>0</v>
      </c>
    </row>
    <row r="5160" spans="1:5">
      <c r="A5160">
        <v>80313</v>
      </c>
      <c r="B5160">
        <v>2000</v>
      </c>
      <c r="C5160" s="455">
        <v>7.2469999999999999</v>
      </c>
      <c r="D5160" s="637">
        <f t="shared" si="174"/>
        <v>16.449539682539687</v>
      </c>
      <c r="E5160" s="637">
        <f t="shared" si="175"/>
        <v>23.926603174603187</v>
      </c>
    </row>
    <row r="5161" spans="1:5">
      <c r="A5161">
        <v>80313</v>
      </c>
      <c r="B5161">
        <v>2100</v>
      </c>
      <c r="C5161" s="455">
        <v>10.109</v>
      </c>
      <c r="D5161" s="637">
        <f t="shared" si="174"/>
        <v>22.945825396825402</v>
      </c>
      <c r="E5161" s="637">
        <f t="shared" si="175"/>
        <v>33.375746031746047</v>
      </c>
    </row>
    <row r="5162" spans="1:5">
      <c r="A5162">
        <v>80313</v>
      </c>
      <c r="B5162">
        <v>2200</v>
      </c>
      <c r="C5162" s="455">
        <v>10.282</v>
      </c>
      <c r="D5162" s="637">
        <f t="shared" si="174"/>
        <v>23.338507936507945</v>
      </c>
      <c r="E5162" s="637">
        <f t="shared" si="175"/>
        <v>33.946920634920659</v>
      </c>
    </row>
    <row r="5163" spans="1:5">
      <c r="A5163">
        <v>80313</v>
      </c>
      <c r="B5163">
        <v>2300</v>
      </c>
      <c r="C5163" s="455">
        <v>10.022</v>
      </c>
      <c r="D5163" s="637">
        <f t="shared" si="174"/>
        <v>22.748349206349211</v>
      </c>
      <c r="E5163" s="637">
        <f t="shared" si="175"/>
        <v>33.088507936507959</v>
      </c>
    </row>
    <row r="5164" spans="1:5">
      <c r="A5164">
        <v>80313</v>
      </c>
      <c r="B5164">
        <v>2400</v>
      </c>
      <c r="C5164" s="455">
        <v>10.162000000000001</v>
      </c>
      <c r="D5164" s="637">
        <f t="shared" si="174"/>
        <v>23.066126984126992</v>
      </c>
      <c r="E5164" s="637">
        <f t="shared" si="175"/>
        <v>33.550730158730182</v>
      </c>
    </row>
    <row r="5165" spans="1:5">
      <c r="A5165">
        <v>80413</v>
      </c>
      <c r="B5165">
        <v>100</v>
      </c>
      <c r="C5165" s="455">
        <v>10.279</v>
      </c>
      <c r="D5165" s="637">
        <f t="shared" si="174"/>
        <v>23.331698412698419</v>
      </c>
      <c r="E5165" s="637">
        <f t="shared" si="175"/>
        <v>33.937015873015895</v>
      </c>
    </row>
    <row r="5166" spans="1:5">
      <c r="A5166">
        <v>80413</v>
      </c>
      <c r="B5166">
        <v>200</v>
      </c>
      <c r="C5166" s="455">
        <v>10.045999999999999</v>
      </c>
      <c r="D5166" s="637">
        <f t="shared" si="174"/>
        <v>22.802825396825401</v>
      </c>
      <c r="E5166" s="637">
        <f t="shared" si="175"/>
        <v>33.167746031746049</v>
      </c>
    </row>
    <row r="5167" spans="1:5">
      <c r="A5167">
        <v>80413</v>
      </c>
      <c r="B5167">
        <v>300</v>
      </c>
      <c r="C5167" s="455">
        <v>10.201000000000001</v>
      </c>
      <c r="D5167" s="637">
        <f t="shared" si="174"/>
        <v>23.154650793650802</v>
      </c>
      <c r="E5167" s="637">
        <f t="shared" si="175"/>
        <v>33.679492063492091</v>
      </c>
    </row>
    <row r="5168" spans="1:5">
      <c r="A5168">
        <v>80413</v>
      </c>
      <c r="B5168">
        <v>400</v>
      </c>
      <c r="C5168" s="455">
        <v>10.131</v>
      </c>
      <c r="D5168" s="637">
        <f t="shared" si="174"/>
        <v>22.99576190476191</v>
      </c>
      <c r="E5168" s="637">
        <f t="shared" si="175"/>
        <v>33.448380952380973</v>
      </c>
    </row>
    <row r="5169" spans="1:5">
      <c r="A5169">
        <v>80413</v>
      </c>
      <c r="B5169">
        <v>500</v>
      </c>
      <c r="C5169" s="455">
        <v>9.9860000000000007</v>
      </c>
      <c r="D5169" s="637">
        <f t="shared" si="174"/>
        <v>22.66663492063493</v>
      </c>
      <c r="E5169" s="637">
        <f t="shared" si="175"/>
        <v>32.969650793650814</v>
      </c>
    </row>
    <row r="5170" spans="1:5">
      <c r="A5170">
        <v>80413</v>
      </c>
      <c r="B5170">
        <v>600</v>
      </c>
      <c r="C5170" s="455">
        <v>5.7880000000000003</v>
      </c>
      <c r="D5170" s="637">
        <f t="shared" si="174"/>
        <v>13.137841269841275</v>
      </c>
      <c r="E5170" s="637">
        <f t="shared" si="175"/>
        <v>19.109587301587315</v>
      </c>
    </row>
    <row r="5171" spans="1:5">
      <c r="A5171">
        <v>80413</v>
      </c>
      <c r="B5171">
        <v>700</v>
      </c>
      <c r="C5171" s="455">
        <v>0</v>
      </c>
      <c r="D5171" s="637">
        <f t="shared" si="174"/>
        <v>0</v>
      </c>
      <c r="E5171" s="637">
        <f t="shared" si="175"/>
        <v>0</v>
      </c>
    </row>
    <row r="5172" spans="1:5">
      <c r="A5172">
        <v>80413</v>
      </c>
      <c r="B5172">
        <v>800</v>
      </c>
      <c r="C5172" s="455">
        <v>1E-3</v>
      </c>
      <c r="D5172" s="637">
        <f t="shared" si="174"/>
        <v>2.2698412698412703E-3</v>
      </c>
      <c r="E5172" s="637">
        <f t="shared" si="175"/>
        <v>3.3015873015873037E-3</v>
      </c>
    </row>
    <row r="5173" spans="1:5">
      <c r="A5173">
        <v>80413</v>
      </c>
      <c r="B5173">
        <v>900</v>
      </c>
      <c r="C5173" s="455">
        <v>0</v>
      </c>
      <c r="D5173" s="637">
        <f t="shared" si="174"/>
        <v>0</v>
      </c>
      <c r="E5173" s="637">
        <f t="shared" si="175"/>
        <v>0</v>
      </c>
    </row>
    <row r="5174" spans="1:5">
      <c r="A5174">
        <v>80413</v>
      </c>
      <c r="B5174">
        <v>1000</v>
      </c>
      <c r="C5174" s="455">
        <v>1E-3</v>
      </c>
      <c r="D5174" s="637">
        <f t="shared" si="174"/>
        <v>2.2698412698412703E-3</v>
      </c>
      <c r="E5174" s="637">
        <f t="shared" si="175"/>
        <v>3.3015873015873037E-3</v>
      </c>
    </row>
    <row r="5175" spans="1:5">
      <c r="A5175">
        <v>80413</v>
      </c>
      <c r="B5175">
        <v>1100</v>
      </c>
      <c r="C5175" s="455">
        <v>0</v>
      </c>
      <c r="D5175" s="637">
        <f t="shared" si="174"/>
        <v>0</v>
      </c>
      <c r="E5175" s="637">
        <f t="shared" si="175"/>
        <v>0</v>
      </c>
    </row>
    <row r="5176" spans="1:5">
      <c r="A5176">
        <v>80413</v>
      </c>
      <c r="B5176">
        <v>1200</v>
      </c>
      <c r="C5176" s="455">
        <v>0</v>
      </c>
      <c r="D5176" s="637">
        <f t="shared" si="174"/>
        <v>0</v>
      </c>
      <c r="E5176" s="637">
        <f t="shared" si="175"/>
        <v>0</v>
      </c>
    </row>
    <row r="5177" spans="1:5">
      <c r="A5177">
        <v>80413</v>
      </c>
      <c r="B5177">
        <v>1300</v>
      </c>
      <c r="C5177" s="455">
        <v>0</v>
      </c>
      <c r="D5177" s="637">
        <f t="shared" si="174"/>
        <v>0</v>
      </c>
      <c r="E5177" s="637">
        <f t="shared" si="175"/>
        <v>0</v>
      </c>
    </row>
    <row r="5178" spans="1:5">
      <c r="A5178">
        <v>80413</v>
      </c>
      <c r="B5178">
        <v>1400</v>
      </c>
      <c r="C5178" s="455">
        <v>0</v>
      </c>
      <c r="D5178" s="637">
        <f t="shared" si="174"/>
        <v>0</v>
      </c>
      <c r="E5178" s="637">
        <f t="shared" si="175"/>
        <v>0</v>
      </c>
    </row>
    <row r="5179" spans="1:5">
      <c r="A5179">
        <v>80413</v>
      </c>
      <c r="B5179">
        <v>1500</v>
      </c>
      <c r="C5179" s="455">
        <v>0</v>
      </c>
      <c r="D5179" s="637">
        <f t="shared" si="174"/>
        <v>0</v>
      </c>
      <c r="E5179" s="637">
        <f t="shared" si="175"/>
        <v>0</v>
      </c>
    </row>
    <row r="5180" spans="1:5">
      <c r="A5180">
        <v>80413</v>
      </c>
      <c r="B5180">
        <v>1600</v>
      </c>
      <c r="C5180" s="455">
        <v>0</v>
      </c>
      <c r="D5180" s="637">
        <f t="shared" si="174"/>
        <v>0</v>
      </c>
      <c r="E5180" s="637">
        <f t="shared" si="175"/>
        <v>0</v>
      </c>
    </row>
    <row r="5181" spans="1:5">
      <c r="A5181">
        <v>80413</v>
      </c>
      <c r="B5181">
        <v>1700</v>
      </c>
      <c r="C5181" s="455">
        <v>0</v>
      </c>
      <c r="D5181" s="637">
        <f t="shared" si="174"/>
        <v>0</v>
      </c>
      <c r="E5181" s="637">
        <f t="shared" si="175"/>
        <v>0</v>
      </c>
    </row>
    <row r="5182" spans="1:5">
      <c r="A5182">
        <v>80413</v>
      </c>
      <c r="B5182">
        <v>1800</v>
      </c>
      <c r="C5182" s="455">
        <v>0</v>
      </c>
      <c r="D5182" s="637">
        <f t="shared" si="174"/>
        <v>0</v>
      </c>
      <c r="E5182" s="637">
        <f t="shared" si="175"/>
        <v>0</v>
      </c>
    </row>
    <row r="5183" spans="1:5">
      <c r="A5183">
        <v>80413</v>
      </c>
      <c r="B5183">
        <v>1900</v>
      </c>
      <c r="C5183" s="455">
        <v>0</v>
      </c>
      <c r="D5183" s="637">
        <f t="shared" si="174"/>
        <v>0</v>
      </c>
      <c r="E5183" s="637">
        <f t="shared" si="175"/>
        <v>0</v>
      </c>
    </row>
    <row r="5184" spans="1:5">
      <c r="A5184">
        <v>80413</v>
      </c>
      <c r="B5184">
        <v>2000</v>
      </c>
      <c r="C5184" s="455">
        <v>8.7530000000000001</v>
      </c>
      <c r="D5184" s="637">
        <f t="shared" si="174"/>
        <v>19.867920634920644</v>
      </c>
      <c r="E5184" s="637">
        <f t="shared" si="175"/>
        <v>28.898793650793671</v>
      </c>
    </row>
    <row r="5185" spans="1:5">
      <c r="A5185">
        <v>80413</v>
      </c>
      <c r="B5185">
        <v>2100</v>
      </c>
      <c r="C5185" s="455">
        <v>10.039</v>
      </c>
      <c r="D5185" s="637">
        <f t="shared" si="174"/>
        <v>22.786936507936513</v>
      </c>
      <c r="E5185" s="637">
        <f t="shared" si="175"/>
        <v>33.144634920634942</v>
      </c>
    </row>
    <row r="5186" spans="1:5">
      <c r="A5186">
        <v>80413</v>
      </c>
      <c r="B5186">
        <v>2200</v>
      </c>
      <c r="C5186" s="455">
        <v>10.093999999999999</v>
      </c>
      <c r="D5186" s="637">
        <f t="shared" si="174"/>
        <v>22.911777777777782</v>
      </c>
      <c r="E5186" s="637">
        <f t="shared" si="175"/>
        <v>33.326222222222242</v>
      </c>
    </row>
    <row r="5187" spans="1:5">
      <c r="A5187">
        <v>80413</v>
      </c>
      <c r="B5187">
        <v>2300</v>
      </c>
      <c r="C5187" s="455">
        <v>10.02</v>
      </c>
      <c r="D5187" s="637">
        <f t="shared" si="174"/>
        <v>22.743809523809531</v>
      </c>
      <c r="E5187" s="637">
        <f t="shared" si="175"/>
        <v>33.081904761904781</v>
      </c>
    </row>
    <row r="5188" spans="1:5">
      <c r="A5188">
        <v>80413</v>
      </c>
      <c r="B5188">
        <v>2400</v>
      </c>
      <c r="C5188" s="455">
        <v>10.224</v>
      </c>
      <c r="D5188" s="637">
        <f t="shared" si="174"/>
        <v>23.20685714285715</v>
      </c>
      <c r="E5188" s="637">
        <f t="shared" si="175"/>
        <v>33.755428571428588</v>
      </c>
    </row>
    <row r="5189" spans="1:5">
      <c r="A5189">
        <v>80513</v>
      </c>
      <c r="B5189">
        <v>100</v>
      </c>
      <c r="C5189" s="455">
        <v>10.173999999999999</v>
      </c>
      <c r="D5189" s="637">
        <f t="shared" si="174"/>
        <v>23.093365079365086</v>
      </c>
      <c r="E5189" s="637">
        <f t="shared" si="175"/>
        <v>33.590349206349231</v>
      </c>
    </row>
    <row r="5190" spans="1:5">
      <c r="A5190">
        <v>80513</v>
      </c>
      <c r="B5190">
        <v>200</v>
      </c>
      <c r="C5190" s="455">
        <v>10.093999999999999</v>
      </c>
      <c r="D5190" s="637">
        <f t="shared" si="174"/>
        <v>22.911777777777782</v>
      </c>
      <c r="E5190" s="637">
        <f t="shared" si="175"/>
        <v>33.326222222222242</v>
      </c>
    </row>
    <row r="5191" spans="1:5">
      <c r="A5191">
        <v>80513</v>
      </c>
      <c r="B5191">
        <v>300</v>
      </c>
      <c r="C5191" s="455">
        <v>10.061</v>
      </c>
      <c r="D5191" s="637">
        <f t="shared" si="174"/>
        <v>22.836873015873021</v>
      </c>
      <c r="E5191" s="637">
        <f t="shared" si="175"/>
        <v>33.217269841269861</v>
      </c>
    </row>
    <row r="5192" spans="1:5">
      <c r="A5192">
        <v>80513</v>
      </c>
      <c r="B5192">
        <v>400</v>
      </c>
      <c r="C5192" s="455">
        <v>10.021000000000001</v>
      </c>
      <c r="D5192" s="637">
        <f t="shared" si="174"/>
        <v>22.746079365079375</v>
      </c>
      <c r="E5192" s="637">
        <f t="shared" si="175"/>
        <v>33.085206349206373</v>
      </c>
    </row>
    <row r="5193" spans="1:5">
      <c r="A5193">
        <v>80513</v>
      </c>
      <c r="B5193">
        <v>500</v>
      </c>
      <c r="C5193" s="455">
        <v>9.9819999999999993</v>
      </c>
      <c r="D5193" s="637">
        <f t="shared" si="174"/>
        <v>22.657555555555561</v>
      </c>
      <c r="E5193" s="637">
        <f t="shared" si="175"/>
        <v>32.956444444444465</v>
      </c>
    </row>
    <row r="5194" spans="1:5">
      <c r="A5194">
        <v>80513</v>
      </c>
      <c r="B5194">
        <v>600</v>
      </c>
      <c r="C5194" s="455">
        <v>5.4130000000000003</v>
      </c>
      <c r="D5194" s="637">
        <f t="shared" si="174"/>
        <v>12.286650793650798</v>
      </c>
      <c r="E5194" s="637">
        <f t="shared" si="175"/>
        <v>17.871492063492074</v>
      </c>
    </row>
    <row r="5195" spans="1:5">
      <c r="A5195">
        <v>80513</v>
      </c>
      <c r="B5195">
        <v>700</v>
      </c>
      <c r="C5195" s="455">
        <v>0</v>
      </c>
      <c r="D5195" s="637">
        <f t="shared" si="174"/>
        <v>0</v>
      </c>
      <c r="E5195" s="637">
        <f t="shared" si="175"/>
        <v>0</v>
      </c>
    </row>
    <row r="5196" spans="1:5">
      <c r="A5196">
        <v>80513</v>
      </c>
      <c r="B5196">
        <v>800</v>
      </c>
      <c r="C5196" s="455">
        <v>1E-3</v>
      </c>
      <c r="D5196" s="637">
        <f t="shared" si="174"/>
        <v>2.2698412698412703E-3</v>
      </c>
      <c r="E5196" s="637">
        <f t="shared" si="175"/>
        <v>3.3015873015873037E-3</v>
      </c>
    </row>
    <row r="5197" spans="1:5">
      <c r="A5197">
        <v>80513</v>
      </c>
      <c r="B5197">
        <v>900</v>
      </c>
      <c r="C5197" s="455">
        <v>0</v>
      </c>
      <c r="D5197" s="637">
        <f t="shared" si="174"/>
        <v>0</v>
      </c>
      <c r="E5197" s="637">
        <f t="shared" si="175"/>
        <v>0</v>
      </c>
    </row>
    <row r="5198" spans="1:5">
      <c r="A5198">
        <v>80513</v>
      </c>
      <c r="B5198">
        <v>1000</v>
      </c>
      <c r="C5198" s="455">
        <v>0</v>
      </c>
      <c r="D5198" s="637">
        <f t="shared" si="174"/>
        <v>0</v>
      </c>
      <c r="E5198" s="637">
        <f t="shared" si="175"/>
        <v>0</v>
      </c>
    </row>
    <row r="5199" spans="1:5">
      <c r="A5199">
        <v>80513</v>
      </c>
      <c r="B5199">
        <v>1100</v>
      </c>
      <c r="C5199" s="455">
        <v>0</v>
      </c>
      <c r="D5199" s="637">
        <f t="shared" si="174"/>
        <v>0</v>
      </c>
      <c r="E5199" s="637">
        <f t="shared" si="175"/>
        <v>0</v>
      </c>
    </row>
    <row r="5200" spans="1:5">
      <c r="A5200">
        <v>80513</v>
      </c>
      <c r="B5200">
        <v>1200</v>
      </c>
      <c r="C5200" s="455">
        <v>0</v>
      </c>
      <c r="D5200" s="637">
        <f t="shared" si="174"/>
        <v>0</v>
      </c>
      <c r="E5200" s="637">
        <f t="shared" si="175"/>
        <v>0</v>
      </c>
    </row>
    <row r="5201" spans="1:5">
      <c r="A5201">
        <v>80513</v>
      </c>
      <c r="B5201">
        <v>1300</v>
      </c>
      <c r="C5201" s="455">
        <v>0</v>
      </c>
      <c r="D5201" s="637">
        <f t="shared" si="174"/>
        <v>0</v>
      </c>
      <c r="E5201" s="637">
        <f t="shared" si="175"/>
        <v>0</v>
      </c>
    </row>
    <row r="5202" spans="1:5">
      <c r="A5202">
        <v>80513</v>
      </c>
      <c r="B5202">
        <v>1400</v>
      </c>
      <c r="C5202" s="455">
        <v>0</v>
      </c>
      <c r="D5202" s="637">
        <f t="shared" si="174"/>
        <v>0</v>
      </c>
      <c r="E5202" s="637">
        <f t="shared" si="175"/>
        <v>0</v>
      </c>
    </row>
    <row r="5203" spans="1:5">
      <c r="A5203">
        <v>80513</v>
      </c>
      <c r="B5203">
        <v>1500</v>
      </c>
      <c r="C5203" s="455">
        <v>0</v>
      </c>
      <c r="D5203" s="637">
        <f t="shared" si="174"/>
        <v>0</v>
      </c>
      <c r="E5203" s="637">
        <f t="shared" si="175"/>
        <v>0</v>
      </c>
    </row>
    <row r="5204" spans="1:5">
      <c r="A5204">
        <v>80513</v>
      </c>
      <c r="B5204">
        <v>1600</v>
      </c>
      <c r="C5204" s="455">
        <v>0</v>
      </c>
      <c r="D5204" s="637">
        <f t="shared" si="174"/>
        <v>0</v>
      </c>
      <c r="E5204" s="637">
        <f t="shared" si="175"/>
        <v>0</v>
      </c>
    </row>
    <row r="5205" spans="1:5">
      <c r="A5205">
        <v>80513</v>
      </c>
      <c r="B5205">
        <v>1700</v>
      </c>
      <c r="C5205" s="455">
        <v>0</v>
      </c>
      <c r="D5205" s="637">
        <f t="shared" si="174"/>
        <v>0</v>
      </c>
      <c r="E5205" s="637">
        <f t="shared" si="175"/>
        <v>0</v>
      </c>
    </row>
    <row r="5206" spans="1:5">
      <c r="A5206">
        <v>80513</v>
      </c>
      <c r="B5206">
        <v>1800</v>
      </c>
      <c r="C5206" s="455">
        <v>0</v>
      </c>
      <c r="D5206" s="637">
        <f t="shared" si="174"/>
        <v>0</v>
      </c>
      <c r="E5206" s="637">
        <f t="shared" si="175"/>
        <v>0</v>
      </c>
    </row>
    <row r="5207" spans="1:5">
      <c r="A5207">
        <v>80513</v>
      </c>
      <c r="B5207">
        <v>1900</v>
      </c>
      <c r="C5207" s="455">
        <v>0</v>
      </c>
      <c r="D5207" s="637">
        <f t="shared" si="174"/>
        <v>0</v>
      </c>
      <c r="E5207" s="637">
        <f t="shared" si="175"/>
        <v>0</v>
      </c>
    </row>
    <row r="5208" spans="1:5">
      <c r="A5208">
        <v>80513</v>
      </c>
      <c r="B5208">
        <v>2000</v>
      </c>
      <c r="C5208" s="455">
        <v>8.2170000000000005</v>
      </c>
      <c r="D5208" s="637">
        <f t="shared" si="174"/>
        <v>18.651285714285724</v>
      </c>
      <c r="E5208" s="637">
        <f t="shared" si="175"/>
        <v>27.129142857142877</v>
      </c>
    </row>
    <row r="5209" spans="1:5">
      <c r="A5209">
        <v>80513</v>
      </c>
      <c r="B5209">
        <v>2100</v>
      </c>
      <c r="C5209" s="455">
        <v>10.3</v>
      </c>
      <c r="D5209" s="637">
        <f t="shared" si="174"/>
        <v>23.37936507936509</v>
      </c>
      <c r="E5209" s="637">
        <f t="shared" si="175"/>
        <v>34.006349206349235</v>
      </c>
    </row>
    <row r="5210" spans="1:5">
      <c r="A5210">
        <v>80513</v>
      </c>
      <c r="B5210">
        <v>2200</v>
      </c>
      <c r="C5210" s="455">
        <v>10.083</v>
      </c>
      <c r="D5210" s="637">
        <f t="shared" si="174"/>
        <v>22.886809523809529</v>
      </c>
      <c r="E5210" s="637">
        <f t="shared" si="175"/>
        <v>33.289904761904779</v>
      </c>
    </row>
    <row r="5211" spans="1:5">
      <c r="A5211">
        <v>80513</v>
      </c>
      <c r="B5211">
        <v>2300</v>
      </c>
      <c r="C5211" s="455">
        <v>10.151999999999999</v>
      </c>
      <c r="D5211" s="637">
        <f t="shared" si="174"/>
        <v>23.043428571428578</v>
      </c>
      <c r="E5211" s="637">
        <f t="shared" si="175"/>
        <v>33.517714285714305</v>
      </c>
    </row>
    <row r="5212" spans="1:5">
      <c r="A5212">
        <v>80513</v>
      </c>
      <c r="B5212">
        <v>2400</v>
      </c>
      <c r="C5212" s="455">
        <v>10.265000000000001</v>
      </c>
      <c r="D5212" s="637">
        <f t="shared" si="174"/>
        <v>23.299920634920642</v>
      </c>
      <c r="E5212" s="637">
        <f t="shared" si="175"/>
        <v>33.890793650793675</v>
      </c>
    </row>
    <row r="5213" spans="1:5">
      <c r="A5213">
        <v>80613</v>
      </c>
      <c r="B5213">
        <v>100</v>
      </c>
      <c r="C5213" s="455">
        <v>9.8650000000000002</v>
      </c>
      <c r="D5213" s="637">
        <f t="shared" si="174"/>
        <v>22.391984126984134</v>
      </c>
      <c r="E5213" s="637">
        <f t="shared" si="175"/>
        <v>32.570158730158752</v>
      </c>
    </row>
    <row r="5214" spans="1:5">
      <c r="A5214">
        <v>80613</v>
      </c>
      <c r="B5214">
        <v>200</v>
      </c>
      <c r="C5214" s="455">
        <v>9.9390000000000001</v>
      </c>
      <c r="D5214" s="637">
        <f t="shared" si="174"/>
        <v>22.559952380952389</v>
      </c>
      <c r="E5214" s="637">
        <f t="shared" si="175"/>
        <v>32.814476190476213</v>
      </c>
    </row>
    <row r="5215" spans="1:5">
      <c r="A5215">
        <v>80613</v>
      </c>
      <c r="B5215">
        <v>300</v>
      </c>
      <c r="C5215" s="455">
        <v>10.087999999999999</v>
      </c>
      <c r="D5215" s="637">
        <f t="shared" si="174"/>
        <v>22.898158730158734</v>
      </c>
      <c r="E5215" s="637">
        <f t="shared" si="175"/>
        <v>33.306412698412714</v>
      </c>
    </row>
    <row r="5216" spans="1:5">
      <c r="A5216">
        <v>80613</v>
      </c>
      <c r="B5216">
        <v>400</v>
      </c>
      <c r="C5216" s="455">
        <v>10.016999999999999</v>
      </c>
      <c r="D5216" s="637">
        <f t="shared" si="174"/>
        <v>22.737000000000005</v>
      </c>
      <c r="E5216" s="637">
        <f t="shared" si="175"/>
        <v>33.072000000000017</v>
      </c>
    </row>
    <row r="5217" spans="1:5">
      <c r="A5217">
        <v>80613</v>
      </c>
      <c r="B5217">
        <v>500</v>
      </c>
      <c r="C5217" s="455">
        <v>9.8859999999999992</v>
      </c>
      <c r="D5217" s="637">
        <f t="shared" si="174"/>
        <v>22.439650793650799</v>
      </c>
      <c r="E5217" s="637">
        <f t="shared" si="175"/>
        <v>32.639492063492078</v>
      </c>
    </row>
    <row r="5218" spans="1:5">
      <c r="A5218">
        <v>80613</v>
      </c>
      <c r="B5218">
        <v>600</v>
      </c>
      <c r="C5218" s="455">
        <v>6.093</v>
      </c>
      <c r="D5218" s="637">
        <f t="shared" si="174"/>
        <v>13.83014285714286</v>
      </c>
      <c r="E5218" s="637">
        <f t="shared" si="175"/>
        <v>20.11657142857144</v>
      </c>
    </row>
    <row r="5219" spans="1:5">
      <c r="A5219">
        <v>80613</v>
      </c>
      <c r="B5219">
        <v>700</v>
      </c>
      <c r="C5219" s="455">
        <v>0</v>
      </c>
      <c r="D5219" s="637">
        <f t="shared" si="174"/>
        <v>0</v>
      </c>
      <c r="E5219" s="637">
        <f t="shared" si="175"/>
        <v>0</v>
      </c>
    </row>
    <row r="5220" spans="1:5">
      <c r="A5220">
        <v>80613</v>
      </c>
      <c r="B5220">
        <v>800</v>
      </c>
      <c r="C5220" s="455">
        <v>0</v>
      </c>
      <c r="D5220" s="637">
        <f t="shared" si="174"/>
        <v>0</v>
      </c>
      <c r="E5220" s="637">
        <f t="shared" si="175"/>
        <v>0</v>
      </c>
    </row>
    <row r="5221" spans="1:5">
      <c r="A5221">
        <v>80613</v>
      </c>
      <c r="B5221">
        <v>900</v>
      </c>
      <c r="C5221" s="455">
        <v>0</v>
      </c>
      <c r="D5221" s="637">
        <f t="shared" si="174"/>
        <v>0</v>
      </c>
      <c r="E5221" s="637">
        <f t="shared" si="175"/>
        <v>0</v>
      </c>
    </row>
    <row r="5222" spans="1:5">
      <c r="A5222">
        <v>80613</v>
      </c>
      <c r="B5222">
        <v>1000</v>
      </c>
      <c r="C5222" s="455">
        <v>0.09</v>
      </c>
      <c r="D5222" s="637">
        <f t="shared" ref="D5222:D5285" si="176">(C5222/(MAX($C$5093:$C$5836)))*$W$12</f>
        <v>0.20428571428571432</v>
      </c>
      <c r="E5222" s="637">
        <f t="shared" ref="E5222:E5285" si="177">(C5222/(MAX($C$5093:$C$5836)))*$P$12</f>
        <v>0.29714285714285732</v>
      </c>
    </row>
    <row r="5223" spans="1:5">
      <c r="A5223">
        <v>80613</v>
      </c>
      <c r="B5223">
        <v>1100</v>
      </c>
      <c r="C5223" s="455">
        <v>0</v>
      </c>
      <c r="D5223" s="637">
        <f t="shared" si="176"/>
        <v>0</v>
      </c>
      <c r="E5223" s="637">
        <f t="shared" si="177"/>
        <v>0</v>
      </c>
    </row>
    <row r="5224" spans="1:5">
      <c r="A5224">
        <v>80613</v>
      </c>
      <c r="B5224">
        <v>1200</v>
      </c>
      <c r="C5224" s="455">
        <v>1E-3</v>
      </c>
      <c r="D5224" s="637">
        <f t="shared" si="176"/>
        <v>2.2698412698412703E-3</v>
      </c>
      <c r="E5224" s="637">
        <f t="shared" si="177"/>
        <v>3.3015873015873037E-3</v>
      </c>
    </row>
    <row r="5225" spans="1:5">
      <c r="A5225">
        <v>80613</v>
      </c>
      <c r="B5225">
        <v>1300</v>
      </c>
      <c r="C5225" s="455">
        <v>0</v>
      </c>
      <c r="D5225" s="637">
        <f t="shared" si="176"/>
        <v>0</v>
      </c>
      <c r="E5225" s="637">
        <f t="shared" si="177"/>
        <v>0</v>
      </c>
    </row>
    <row r="5226" spans="1:5">
      <c r="A5226">
        <v>80613</v>
      </c>
      <c r="B5226">
        <v>1400</v>
      </c>
      <c r="C5226" s="455">
        <v>0</v>
      </c>
      <c r="D5226" s="637">
        <f t="shared" si="176"/>
        <v>0</v>
      </c>
      <c r="E5226" s="637">
        <f t="shared" si="177"/>
        <v>0</v>
      </c>
    </row>
    <row r="5227" spans="1:5">
      <c r="A5227">
        <v>80613</v>
      </c>
      <c r="B5227">
        <v>1500</v>
      </c>
      <c r="C5227" s="455">
        <v>0</v>
      </c>
      <c r="D5227" s="637">
        <f t="shared" si="176"/>
        <v>0</v>
      </c>
      <c r="E5227" s="637">
        <f t="shared" si="177"/>
        <v>0</v>
      </c>
    </row>
    <row r="5228" spans="1:5">
      <c r="A5228">
        <v>80613</v>
      </c>
      <c r="B5228">
        <v>1600</v>
      </c>
      <c r="C5228" s="455">
        <v>0</v>
      </c>
      <c r="D5228" s="637">
        <f t="shared" si="176"/>
        <v>0</v>
      </c>
      <c r="E5228" s="637">
        <f t="shared" si="177"/>
        <v>0</v>
      </c>
    </row>
    <row r="5229" spans="1:5">
      <c r="A5229">
        <v>80613</v>
      </c>
      <c r="B5229">
        <v>1700</v>
      </c>
      <c r="C5229" s="455">
        <v>0</v>
      </c>
      <c r="D5229" s="637">
        <f t="shared" si="176"/>
        <v>0</v>
      </c>
      <c r="E5229" s="637">
        <f t="shared" si="177"/>
        <v>0</v>
      </c>
    </row>
    <row r="5230" spans="1:5">
      <c r="A5230">
        <v>80613</v>
      </c>
      <c r="B5230">
        <v>1800</v>
      </c>
      <c r="C5230" s="455">
        <v>0</v>
      </c>
      <c r="D5230" s="637">
        <f t="shared" si="176"/>
        <v>0</v>
      </c>
      <c r="E5230" s="637">
        <f t="shared" si="177"/>
        <v>0</v>
      </c>
    </row>
    <row r="5231" spans="1:5">
      <c r="A5231">
        <v>80613</v>
      </c>
      <c r="B5231">
        <v>1900</v>
      </c>
      <c r="C5231" s="455">
        <v>2.8000000000000001E-2</v>
      </c>
      <c r="D5231" s="637">
        <f t="shared" si="176"/>
        <v>6.3555555555555573E-2</v>
      </c>
      <c r="E5231" s="637">
        <f t="shared" si="177"/>
        <v>9.244444444444451E-2</v>
      </c>
    </row>
    <row r="5232" spans="1:5">
      <c r="A5232">
        <v>80613</v>
      </c>
      <c r="B5232">
        <v>2000</v>
      </c>
      <c r="C5232" s="455">
        <v>10.64</v>
      </c>
      <c r="D5232" s="637">
        <f t="shared" si="176"/>
        <v>24.151111111111117</v>
      </c>
      <c r="E5232" s="637">
        <f t="shared" si="177"/>
        <v>35.128888888888909</v>
      </c>
    </row>
    <row r="5233" spans="1:5">
      <c r="A5233">
        <v>80613</v>
      </c>
      <c r="B5233">
        <v>2100</v>
      </c>
      <c r="C5233" s="455">
        <v>10.459</v>
      </c>
      <c r="D5233" s="637">
        <f t="shared" si="176"/>
        <v>23.740269841269846</v>
      </c>
      <c r="E5233" s="637">
        <f t="shared" si="177"/>
        <v>34.531301587301606</v>
      </c>
    </row>
    <row r="5234" spans="1:5">
      <c r="A5234">
        <v>80613</v>
      </c>
      <c r="B5234">
        <v>2200</v>
      </c>
      <c r="C5234" s="455">
        <v>9.6690000000000005</v>
      </c>
      <c r="D5234" s="637">
        <f t="shared" si="176"/>
        <v>21.947095238095248</v>
      </c>
      <c r="E5234" s="637">
        <f t="shared" si="177"/>
        <v>31.92304761904764</v>
      </c>
    </row>
    <row r="5235" spans="1:5">
      <c r="A5235">
        <v>80613</v>
      </c>
      <c r="B5235">
        <v>2300</v>
      </c>
      <c r="C5235" s="455">
        <v>10.295</v>
      </c>
      <c r="D5235" s="637">
        <f t="shared" si="176"/>
        <v>23.368015873015878</v>
      </c>
      <c r="E5235" s="637">
        <f t="shared" si="177"/>
        <v>33.989841269841286</v>
      </c>
    </row>
    <row r="5236" spans="1:5">
      <c r="A5236">
        <v>80613</v>
      </c>
      <c r="B5236">
        <v>2400</v>
      </c>
      <c r="C5236" s="455">
        <v>9.7929999999999993</v>
      </c>
      <c r="D5236" s="637">
        <f t="shared" si="176"/>
        <v>22.228555555555559</v>
      </c>
      <c r="E5236" s="637">
        <f t="shared" si="177"/>
        <v>32.332444444444462</v>
      </c>
    </row>
    <row r="5237" spans="1:5">
      <c r="A5237">
        <v>80713</v>
      </c>
      <c r="B5237">
        <v>100</v>
      </c>
      <c r="C5237" s="455">
        <v>10.047000000000001</v>
      </c>
      <c r="D5237" s="637">
        <f t="shared" si="176"/>
        <v>22.805095238095248</v>
      </c>
      <c r="E5237" s="637">
        <f t="shared" si="177"/>
        <v>33.171047619047641</v>
      </c>
    </row>
    <row r="5238" spans="1:5">
      <c r="A5238">
        <v>80713</v>
      </c>
      <c r="B5238">
        <v>200</v>
      </c>
      <c r="C5238" s="455">
        <v>9.9830000000000005</v>
      </c>
      <c r="D5238" s="637">
        <f t="shared" si="176"/>
        <v>22.659825396825408</v>
      </c>
      <c r="E5238" s="637">
        <f t="shared" si="177"/>
        <v>32.959746031746057</v>
      </c>
    </row>
    <row r="5239" spans="1:5">
      <c r="A5239">
        <v>80713</v>
      </c>
      <c r="B5239">
        <v>300</v>
      </c>
      <c r="C5239" s="455">
        <v>10.000999999999999</v>
      </c>
      <c r="D5239" s="637">
        <f t="shared" si="176"/>
        <v>22.700682539682546</v>
      </c>
      <c r="E5239" s="637">
        <f t="shared" si="177"/>
        <v>33.019174603174619</v>
      </c>
    </row>
    <row r="5240" spans="1:5">
      <c r="A5240">
        <v>80713</v>
      </c>
      <c r="B5240">
        <v>400</v>
      </c>
      <c r="C5240" s="455">
        <v>9.7840000000000007</v>
      </c>
      <c r="D5240" s="637">
        <f t="shared" si="176"/>
        <v>22.208126984126991</v>
      </c>
      <c r="E5240" s="637">
        <f t="shared" si="177"/>
        <v>32.302730158730178</v>
      </c>
    </row>
    <row r="5241" spans="1:5">
      <c r="A5241">
        <v>80713</v>
      </c>
      <c r="B5241">
        <v>500</v>
      </c>
      <c r="C5241" s="455">
        <v>10.262</v>
      </c>
      <c r="D5241" s="637">
        <f t="shared" si="176"/>
        <v>23.29311111111112</v>
      </c>
      <c r="E5241" s="637">
        <f t="shared" si="177"/>
        <v>33.880888888888911</v>
      </c>
    </row>
    <row r="5242" spans="1:5">
      <c r="A5242">
        <v>80713</v>
      </c>
      <c r="B5242">
        <v>600</v>
      </c>
      <c r="C5242" s="455">
        <v>7.2839999999999998</v>
      </c>
      <c r="D5242" s="637">
        <f t="shared" si="176"/>
        <v>16.533523809523814</v>
      </c>
      <c r="E5242" s="637">
        <f t="shared" si="177"/>
        <v>24.048761904761921</v>
      </c>
    </row>
    <row r="5243" spans="1:5">
      <c r="A5243">
        <v>80713</v>
      </c>
      <c r="B5243">
        <v>700</v>
      </c>
      <c r="C5243" s="455">
        <v>0</v>
      </c>
      <c r="D5243" s="637">
        <f t="shared" si="176"/>
        <v>0</v>
      </c>
      <c r="E5243" s="637">
        <f t="shared" si="177"/>
        <v>0</v>
      </c>
    </row>
    <row r="5244" spans="1:5">
      <c r="A5244">
        <v>80713</v>
      </c>
      <c r="B5244">
        <v>800</v>
      </c>
      <c r="C5244" s="455">
        <v>7.2999999999999995E-2</v>
      </c>
      <c r="D5244" s="637">
        <f t="shared" si="176"/>
        <v>0.16569841269841273</v>
      </c>
      <c r="E5244" s="637">
        <f t="shared" si="177"/>
        <v>0.24101587301587313</v>
      </c>
    </row>
    <row r="5245" spans="1:5">
      <c r="A5245">
        <v>80713</v>
      </c>
      <c r="B5245">
        <v>900</v>
      </c>
      <c r="C5245" s="455">
        <v>0</v>
      </c>
      <c r="D5245" s="637">
        <f t="shared" si="176"/>
        <v>0</v>
      </c>
      <c r="E5245" s="637">
        <f t="shared" si="177"/>
        <v>0</v>
      </c>
    </row>
    <row r="5246" spans="1:5">
      <c r="A5246">
        <v>80713</v>
      </c>
      <c r="B5246">
        <v>1000</v>
      </c>
      <c r="C5246" s="455">
        <v>0</v>
      </c>
      <c r="D5246" s="637">
        <f t="shared" si="176"/>
        <v>0</v>
      </c>
      <c r="E5246" s="637">
        <f t="shared" si="177"/>
        <v>0</v>
      </c>
    </row>
    <row r="5247" spans="1:5">
      <c r="A5247">
        <v>80713</v>
      </c>
      <c r="B5247">
        <v>1100</v>
      </c>
      <c r="C5247" s="455">
        <v>0.99099999999999999</v>
      </c>
      <c r="D5247" s="637">
        <f t="shared" si="176"/>
        <v>2.2494126984126992</v>
      </c>
      <c r="E5247" s="637">
        <f t="shared" si="177"/>
        <v>3.2718730158730178</v>
      </c>
    </row>
    <row r="5248" spans="1:5">
      <c r="A5248">
        <v>80713</v>
      </c>
      <c r="B5248">
        <v>1200</v>
      </c>
      <c r="C5248" s="455">
        <v>0</v>
      </c>
      <c r="D5248" s="637">
        <f t="shared" si="176"/>
        <v>0</v>
      </c>
      <c r="E5248" s="637">
        <f t="shared" si="177"/>
        <v>0</v>
      </c>
    </row>
    <row r="5249" spans="1:5">
      <c r="A5249">
        <v>80713</v>
      </c>
      <c r="B5249">
        <v>1300</v>
      </c>
      <c r="C5249" s="455">
        <v>0</v>
      </c>
      <c r="D5249" s="637">
        <f t="shared" si="176"/>
        <v>0</v>
      </c>
      <c r="E5249" s="637">
        <f t="shared" si="177"/>
        <v>0</v>
      </c>
    </row>
    <row r="5250" spans="1:5">
      <c r="A5250">
        <v>80713</v>
      </c>
      <c r="B5250">
        <v>1400</v>
      </c>
      <c r="C5250" s="455">
        <v>0</v>
      </c>
      <c r="D5250" s="637">
        <f t="shared" si="176"/>
        <v>0</v>
      </c>
      <c r="E5250" s="637">
        <f t="shared" si="177"/>
        <v>0</v>
      </c>
    </row>
    <row r="5251" spans="1:5">
      <c r="A5251">
        <v>80713</v>
      </c>
      <c r="B5251">
        <v>1500</v>
      </c>
      <c r="C5251" s="455">
        <v>0</v>
      </c>
      <c r="D5251" s="637">
        <f t="shared" si="176"/>
        <v>0</v>
      </c>
      <c r="E5251" s="637">
        <f t="shared" si="177"/>
        <v>0</v>
      </c>
    </row>
    <row r="5252" spans="1:5">
      <c r="A5252">
        <v>80713</v>
      </c>
      <c r="B5252">
        <v>1600</v>
      </c>
      <c r="C5252" s="455">
        <v>0</v>
      </c>
      <c r="D5252" s="637">
        <f t="shared" si="176"/>
        <v>0</v>
      </c>
      <c r="E5252" s="637">
        <f t="shared" si="177"/>
        <v>0</v>
      </c>
    </row>
    <row r="5253" spans="1:5">
      <c r="A5253">
        <v>80713</v>
      </c>
      <c r="B5253">
        <v>1700</v>
      </c>
      <c r="C5253" s="455">
        <v>7.1999999999999995E-2</v>
      </c>
      <c r="D5253" s="637">
        <f t="shared" si="176"/>
        <v>0.16342857142857148</v>
      </c>
      <c r="E5253" s="637">
        <f t="shared" si="177"/>
        <v>0.23771428571428585</v>
      </c>
    </row>
    <row r="5254" spans="1:5">
      <c r="A5254">
        <v>80713</v>
      </c>
      <c r="B5254">
        <v>1800</v>
      </c>
      <c r="C5254" s="455">
        <v>0</v>
      </c>
      <c r="D5254" s="637">
        <f t="shared" si="176"/>
        <v>0</v>
      </c>
      <c r="E5254" s="637">
        <f t="shared" si="177"/>
        <v>0</v>
      </c>
    </row>
    <row r="5255" spans="1:5">
      <c r="A5255">
        <v>80713</v>
      </c>
      <c r="B5255">
        <v>1900</v>
      </c>
      <c r="C5255" s="455">
        <v>0</v>
      </c>
      <c r="D5255" s="637">
        <f t="shared" si="176"/>
        <v>0</v>
      </c>
      <c r="E5255" s="637">
        <f t="shared" si="177"/>
        <v>0</v>
      </c>
    </row>
    <row r="5256" spans="1:5">
      <c r="A5256">
        <v>80713</v>
      </c>
      <c r="B5256">
        <v>2000</v>
      </c>
      <c r="C5256" s="455">
        <v>8.5690000000000008</v>
      </c>
      <c r="D5256" s="637">
        <f t="shared" si="176"/>
        <v>19.450269841269847</v>
      </c>
      <c r="E5256" s="637">
        <f t="shared" si="177"/>
        <v>28.291301587301607</v>
      </c>
    </row>
    <row r="5257" spans="1:5">
      <c r="A5257">
        <v>80713</v>
      </c>
      <c r="B5257">
        <v>2100</v>
      </c>
      <c r="C5257" s="455">
        <v>10.4</v>
      </c>
      <c r="D5257" s="637">
        <f t="shared" si="176"/>
        <v>23.606349206349215</v>
      </c>
      <c r="E5257" s="637">
        <f t="shared" si="177"/>
        <v>34.336507936507957</v>
      </c>
    </row>
    <row r="5258" spans="1:5">
      <c r="A5258">
        <v>80713</v>
      </c>
      <c r="B5258">
        <v>2200</v>
      </c>
      <c r="C5258" s="455">
        <v>10.039</v>
      </c>
      <c r="D5258" s="637">
        <f t="shared" si="176"/>
        <v>22.786936507936513</v>
      </c>
      <c r="E5258" s="637">
        <f t="shared" si="177"/>
        <v>33.144634920634942</v>
      </c>
    </row>
    <row r="5259" spans="1:5">
      <c r="A5259">
        <v>80713</v>
      </c>
      <c r="B5259">
        <v>2300</v>
      </c>
      <c r="C5259" s="455">
        <v>9.9610000000000003</v>
      </c>
      <c r="D5259" s="637">
        <f t="shared" si="176"/>
        <v>22.609888888888896</v>
      </c>
      <c r="E5259" s="637">
        <f t="shared" si="177"/>
        <v>32.887111111111132</v>
      </c>
    </row>
    <row r="5260" spans="1:5">
      <c r="A5260">
        <v>80713</v>
      </c>
      <c r="B5260">
        <v>2400</v>
      </c>
      <c r="C5260" s="455">
        <v>10.11</v>
      </c>
      <c r="D5260" s="637">
        <f t="shared" si="176"/>
        <v>22.948095238095242</v>
      </c>
      <c r="E5260" s="637">
        <f t="shared" si="177"/>
        <v>33.37904761904764</v>
      </c>
    </row>
    <row r="5261" spans="1:5">
      <c r="A5261">
        <v>80813</v>
      </c>
      <c r="B5261">
        <v>100</v>
      </c>
      <c r="C5261" s="455">
        <v>10.154999999999999</v>
      </c>
      <c r="D5261" s="637">
        <f t="shared" si="176"/>
        <v>23.0502380952381</v>
      </c>
      <c r="E5261" s="637">
        <f t="shared" si="177"/>
        <v>33.527619047619069</v>
      </c>
    </row>
    <row r="5262" spans="1:5">
      <c r="A5262">
        <v>80813</v>
      </c>
      <c r="B5262">
        <v>200</v>
      </c>
      <c r="C5262" s="455">
        <v>10.092000000000001</v>
      </c>
      <c r="D5262" s="637">
        <f t="shared" si="176"/>
        <v>22.907238095238103</v>
      </c>
      <c r="E5262" s="637">
        <f t="shared" si="177"/>
        <v>33.319619047619071</v>
      </c>
    </row>
    <row r="5263" spans="1:5">
      <c r="A5263">
        <v>80813</v>
      </c>
      <c r="B5263">
        <v>300</v>
      </c>
      <c r="C5263" s="455">
        <v>9.7880000000000003</v>
      </c>
      <c r="D5263" s="637">
        <f t="shared" si="176"/>
        <v>22.217206349206357</v>
      </c>
      <c r="E5263" s="637">
        <f t="shared" si="177"/>
        <v>32.315936507936527</v>
      </c>
    </row>
    <row r="5264" spans="1:5">
      <c r="A5264">
        <v>80813</v>
      </c>
      <c r="B5264">
        <v>400</v>
      </c>
      <c r="C5264" s="455">
        <v>10.119</v>
      </c>
      <c r="D5264" s="637">
        <f t="shared" si="176"/>
        <v>22.968523809523816</v>
      </c>
      <c r="E5264" s="637">
        <f t="shared" si="177"/>
        <v>33.408761904761924</v>
      </c>
    </row>
    <row r="5265" spans="1:5">
      <c r="A5265">
        <v>80813</v>
      </c>
      <c r="B5265">
        <v>500</v>
      </c>
      <c r="C5265" s="455">
        <v>10.058999999999999</v>
      </c>
      <c r="D5265" s="637">
        <f t="shared" si="176"/>
        <v>22.832333333333342</v>
      </c>
      <c r="E5265" s="637">
        <f t="shared" si="177"/>
        <v>33.21066666666669</v>
      </c>
    </row>
    <row r="5266" spans="1:5">
      <c r="A5266">
        <v>80813</v>
      </c>
      <c r="B5266">
        <v>600</v>
      </c>
      <c r="C5266" s="455">
        <v>6.6420000000000003</v>
      </c>
      <c r="D5266" s="637">
        <f t="shared" si="176"/>
        <v>15.076285714285721</v>
      </c>
      <c r="E5266" s="637">
        <f t="shared" si="177"/>
        <v>21.929142857142875</v>
      </c>
    </row>
    <row r="5267" spans="1:5">
      <c r="A5267">
        <v>80813</v>
      </c>
      <c r="B5267">
        <v>700</v>
      </c>
      <c r="C5267" s="455">
        <v>0</v>
      </c>
      <c r="D5267" s="637">
        <f t="shared" si="176"/>
        <v>0</v>
      </c>
      <c r="E5267" s="637">
        <f t="shared" si="177"/>
        <v>0</v>
      </c>
    </row>
    <row r="5268" spans="1:5">
      <c r="A5268">
        <v>80813</v>
      </c>
      <c r="B5268">
        <v>800</v>
      </c>
      <c r="C5268" s="455">
        <v>0</v>
      </c>
      <c r="D5268" s="637">
        <f t="shared" si="176"/>
        <v>0</v>
      </c>
      <c r="E5268" s="637">
        <f t="shared" si="177"/>
        <v>0</v>
      </c>
    </row>
    <row r="5269" spans="1:5">
      <c r="A5269">
        <v>80813</v>
      </c>
      <c r="B5269">
        <v>900</v>
      </c>
      <c r="C5269" s="455">
        <v>0</v>
      </c>
      <c r="D5269" s="637">
        <f t="shared" si="176"/>
        <v>0</v>
      </c>
      <c r="E5269" s="637">
        <f t="shared" si="177"/>
        <v>0</v>
      </c>
    </row>
    <row r="5270" spans="1:5">
      <c r="A5270">
        <v>80813</v>
      </c>
      <c r="B5270">
        <v>1000</v>
      </c>
      <c r="C5270" s="455">
        <v>7.1999999999999995E-2</v>
      </c>
      <c r="D5270" s="637">
        <f t="shared" si="176"/>
        <v>0.16342857142857148</v>
      </c>
      <c r="E5270" s="637">
        <f t="shared" si="177"/>
        <v>0.23771428571428585</v>
      </c>
    </row>
    <row r="5271" spans="1:5">
      <c r="A5271">
        <v>80813</v>
      </c>
      <c r="B5271">
        <v>1100</v>
      </c>
      <c r="C5271" s="455">
        <v>0</v>
      </c>
      <c r="D5271" s="637">
        <f t="shared" si="176"/>
        <v>0</v>
      </c>
      <c r="E5271" s="637">
        <f t="shared" si="177"/>
        <v>0</v>
      </c>
    </row>
    <row r="5272" spans="1:5">
      <c r="A5272">
        <v>80813</v>
      </c>
      <c r="B5272">
        <v>1200</v>
      </c>
      <c r="C5272" s="455">
        <v>0</v>
      </c>
      <c r="D5272" s="637">
        <f t="shared" si="176"/>
        <v>0</v>
      </c>
      <c r="E5272" s="637">
        <f t="shared" si="177"/>
        <v>0</v>
      </c>
    </row>
    <row r="5273" spans="1:5">
      <c r="A5273">
        <v>80813</v>
      </c>
      <c r="B5273">
        <v>1300</v>
      </c>
      <c r="C5273" s="455">
        <v>9.0999999999999998E-2</v>
      </c>
      <c r="D5273" s="637">
        <f t="shared" si="176"/>
        <v>0.2065555555555556</v>
      </c>
      <c r="E5273" s="637">
        <f t="shared" si="177"/>
        <v>0.30044444444444462</v>
      </c>
    </row>
    <row r="5274" spans="1:5">
      <c r="A5274">
        <v>80813</v>
      </c>
      <c r="B5274">
        <v>1400</v>
      </c>
      <c r="C5274" s="455">
        <v>0</v>
      </c>
      <c r="D5274" s="637">
        <f t="shared" si="176"/>
        <v>0</v>
      </c>
      <c r="E5274" s="637">
        <f t="shared" si="177"/>
        <v>0</v>
      </c>
    </row>
    <row r="5275" spans="1:5">
      <c r="A5275">
        <v>80813</v>
      </c>
      <c r="B5275">
        <v>1500</v>
      </c>
      <c r="C5275" s="455">
        <v>0</v>
      </c>
      <c r="D5275" s="637">
        <f t="shared" si="176"/>
        <v>0</v>
      </c>
      <c r="E5275" s="637">
        <f t="shared" si="177"/>
        <v>0</v>
      </c>
    </row>
    <row r="5276" spans="1:5">
      <c r="A5276">
        <v>80813</v>
      </c>
      <c r="B5276">
        <v>1600</v>
      </c>
      <c r="C5276" s="455">
        <v>0</v>
      </c>
      <c r="D5276" s="637">
        <f t="shared" si="176"/>
        <v>0</v>
      </c>
      <c r="E5276" s="637">
        <f t="shared" si="177"/>
        <v>0</v>
      </c>
    </row>
    <row r="5277" spans="1:5">
      <c r="A5277">
        <v>80813</v>
      </c>
      <c r="B5277">
        <v>1700</v>
      </c>
      <c r="C5277" s="455">
        <v>0</v>
      </c>
      <c r="D5277" s="637">
        <f t="shared" si="176"/>
        <v>0</v>
      </c>
      <c r="E5277" s="637">
        <f t="shared" si="177"/>
        <v>0</v>
      </c>
    </row>
    <row r="5278" spans="1:5">
      <c r="A5278">
        <v>80813</v>
      </c>
      <c r="B5278">
        <v>1800</v>
      </c>
      <c r="C5278" s="455">
        <v>0</v>
      </c>
      <c r="D5278" s="637">
        <f t="shared" si="176"/>
        <v>0</v>
      </c>
      <c r="E5278" s="637">
        <f t="shared" si="177"/>
        <v>0</v>
      </c>
    </row>
    <row r="5279" spans="1:5">
      <c r="A5279">
        <v>80813</v>
      </c>
      <c r="B5279">
        <v>1900</v>
      </c>
      <c r="C5279" s="455">
        <v>0.20399999999999999</v>
      </c>
      <c r="D5279" s="637">
        <f t="shared" si="176"/>
        <v>0.46304761904761915</v>
      </c>
      <c r="E5279" s="637">
        <f t="shared" si="177"/>
        <v>0.67352380952380986</v>
      </c>
    </row>
    <row r="5280" spans="1:5">
      <c r="A5280">
        <v>80813</v>
      </c>
      <c r="B5280">
        <v>2000</v>
      </c>
      <c r="C5280" s="455">
        <v>10.396000000000001</v>
      </c>
      <c r="D5280" s="637">
        <f t="shared" si="176"/>
        <v>23.597269841269849</v>
      </c>
      <c r="E5280" s="637">
        <f t="shared" si="177"/>
        <v>34.323301587301614</v>
      </c>
    </row>
    <row r="5281" spans="1:5">
      <c r="A5281">
        <v>80813</v>
      </c>
      <c r="B5281">
        <v>2100</v>
      </c>
      <c r="C5281" s="455">
        <v>10.146000000000001</v>
      </c>
      <c r="D5281" s="637">
        <f t="shared" si="176"/>
        <v>23.029809523809533</v>
      </c>
      <c r="E5281" s="637">
        <f t="shared" si="177"/>
        <v>33.497904761904785</v>
      </c>
    </row>
    <row r="5282" spans="1:5">
      <c r="A5282">
        <v>80813</v>
      </c>
      <c r="B5282">
        <v>2200</v>
      </c>
      <c r="C5282" s="455">
        <v>10.209</v>
      </c>
      <c r="D5282" s="637">
        <f t="shared" si="176"/>
        <v>23.17280952380953</v>
      </c>
      <c r="E5282" s="637">
        <f t="shared" si="177"/>
        <v>33.705904761904783</v>
      </c>
    </row>
    <row r="5283" spans="1:5">
      <c r="A5283">
        <v>80813</v>
      </c>
      <c r="B5283">
        <v>2300</v>
      </c>
      <c r="C5283" s="455">
        <v>10.063000000000001</v>
      </c>
      <c r="D5283" s="637">
        <f t="shared" si="176"/>
        <v>22.841412698412707</v>
      </c>
      <c r="E5283" s="637">
        <f t="shared" si="177"/>
        <v>33.223873015873039</v>
      </c>
    </row>
    <row r="5284" spans="1:5">
      <c r="A5284">
        <v>80813</v>
      </c>
      <c r="B5284">
        <v>2400</v>
      </c>
      <c r="C5284" s="455">
        <v>9.9629999999999992</v>
      </c>
      <c r="D5284" s="637">
        <f t="shared" si="176"/>
        <v>22.614428571428576</v>
      </c>
      <c r="E5284" s="637">
        <f t="shared" si="177"/>
        <v>32.893714285714303</v>
      </c>
    </row>
    <row r="5285" spans="1:5">
      <c r="A5285">
        <v>80913</v>
      </c>
      <c r="B5285">
        <v>100</v>
      </c>
      <c r="C5285" s="455">
        <v>10.147</v>
      </c>
      <c r="D5285" s="637">
        <f t="shared" si="176"/>
        <v>23.032079365079372</v>
      </c>
      <c r="E5285" s="637">
        <f t="shared" si="177"/>
        <v>33.50120634920637</v>
      </c>
    </row>
    <row r="5286" spans="1:5">
      <c r="A5286">
        <v>80913</v>
      </c>
      <c r="B5286">
        <v>200</v>
      </c>
      <c r="C5286" s="455">
        <v>9.8640000000000008</v>
      </c>
      <c r="D5286" s="637">
        <f t="shared" ref="D5286:D5349" si="178">(C5286/(MAX($C$5093:$C$5836)))*$W$12</f>
        <v>22.389714285714295</v>
      </c>
      <c r="E5286" s="637">
        <f t="shared" ref="E5286:E5349" si="179">(C5286/(MAX($C$5093:$C$5836)))*$P$12</f>
        <v>32.566857142857167</v>
      </c>
    </row>
    <row r="5287" spans="1:5">
      <c r="A5287">
        <v>80913</v>
      </c>
      <c r="B5287">
        <v>300</v>
      </c>
      <c r="C5287" s="455">
        <v>10.223000000000001</v>
      </c>
      <c r="D5287" s="637">
        <f t="shared" si="178"/>
        <v>23.20458730158731</v>
      </c>
      <c r="E5287" s="637">
        <f t="shared" si="179"/>
        <v>33.75212698412701</v>
      </c>
    </row>
    <row r="5288" spans="1:5">
      <c r="A5288">
        <v>80913</v>
      </c>
      <c r="B5288">
        <v>400</v>
      </c>
      <c r="C5288" s="455">
        <v>9.8670000000000009</v>
      </c>
      <c r="D5288" s="637">
        <f t="shared" si="178"/>
        <v>22.396523809523821</v>
      </c>
      <c r="E5288" s="637">
        <f t="shared" si="179"/>
        <v>32.576761904761931</v>
      </c>
    </row>
    <row r="5289" spans="1:5">
      <c r="A5289">
        <v>80913</v>
      </c>
      <c r="B5289">
        <v>500</v>
      </c>
      <c r="C5289" s="455">
        <v>10.048</v>
      </c>
      <c r="D5289" s="637">
        <f t="shared" si="178"/>
        <v>22.807365079365088</v>
      </c>
      <c r="E5289" s="637">
        <f t="shared" si="179"/>
        <v>33.174349206349227</v>
      </c>
    </row>
    <row r="5290" spans="1:5">
      <c r="A5290">
        <v>80913</v>
      </c>
      <c r="B5290">
        <v>600</v>
      </c>
      <c r="C5290" s="455">
        <v>8.3350000000000009</v>
      </c>
      <c r="D5290" s="637">
        <f t="shared" si="178"/>
        <v>18.91912698412699</v>
      </c>
      <c r="E5290" s="637">
        <f t="shared" si="179"/>
        <v>27.518730158730179</v>
      </c>
    </row>
    <row r="5291" spans="1:5">
      <c r="A5291">
        <v>80913</v>
      </c>
      <c r="B5291">
        <v>700</v>
      </c>
      <c r="C5291" s="455">
        <v>0</v>
      </c>
      <c r="D5291" s="637">
        <f t="shared" si="178"/>
        <v>0</v>
      </c>
      <c r="E5291" s="637">
        <f t="shared" si="179"/>
        <v>0</v>
      </c>
    </row>
    <row r="5292" spans="1:5">
      <c r="A5292">
        <v>80913</v>
      </c>
      <c r="B5292">
        <v>800</v>
      </c>
      <c r="C5292" s="455">
        <v>7.1999999999999995E-2</v>
      </c>
      <c r="D5292" s="637">
        <f t="shared" si="178"/>
        <v>0.16342857142857148</v>
      </c>
      <c r="E5292" s="637">
        <f t="shared" si="179"/>
        <v>0.23771428571428585</v>
      </c>
    </row>
    <row r="5293" spans="1:5">
      <c r="A5293">
        <v>80913</v>
      </c>
      <c r="B5293">
        <v>900</v>
      </c>
      <c r="C5293" s="455">
        <v>7.1999999999999995E-2</v>
      </c>
      <c r="D5293" s="637">
        <f t="shared" si="178"/>
        <v>0.16342857142857148</v>
      </c>
      <c r="E5293" s="637">
        <f t="shared" si="179"/>
        <v>0.23771428571428585</v>
      </c>
    </row>
    <row r="5294" spans="1:5">
      <c r="A5294">
        <v>80913</v>
      </c>
      <c r="B5294">
        <v>1000</v>
      </c>
      <c r="C5294" s="455">
        <v>0</v>
      </c>
      <c r="D5294" s="637">
        <f t="shared" si="178"/>
        <v>0</v>
      </c>
      <c r="E5294" s="637">
        <f t="shared" si="179"/>
        <v>0</v>
      </c>
    </row>
    <row r="5295" spans="1:5">
      <c r="A5295">
        <v>80913</v>
      </c>
      <c r="B5295">
        <v>1100</v>
      </c>
      <c r="C5295" s="455">
        <v>0</v>
      </c>
      <c r="D5295" s="637">
        <f t="shared" si="178"/>
        <v>0</v>
      </c>
      <c r="E5295" s="637">
        <f t="shared" si="179"/>
        <v>0</v>
      </c>
    </row>
    <row r="5296" spans="1:5">
      <c r="A5296">
        <v>80913</v>
      </c>
      <c r="B5296">
        <v>1200</v>
      </c>
      <c r="C5296" s="455">
        <v>0</v>
      </c>
      <c r="D5296" s="637">
        <f t="shared" si="178"/>
        <v>0</v>
      </c>
      <c r="E5296" s="637">
        <f t="shared" si="179"/>
        <v>0</v>
      </c>
    </row>
    <row r="5297" spans="1:5">
      <c r="A5297">
        <v>80913</v>
      </c>
      <c r="B5297">
        <v>1300</v>
      </c>
      <c r="C5297" s="455">
        <v>0</v>
      </c>
      <c r="D5297" s="637">
        <f t="shared" si="178"/>
        <v>0</v>
      </c>
      <c r="E5297" s="637">
        <f t="shared" si="179"/>
        <v>0</v>
      </c>
    </row>
    <row r="5298" spans="1:5">
      <c r="A5298">
        <v>80913</v>
      </c>
      <c r="B5298">
        <v>1400</v>
      </c>
      <c r="C5298" s="455">
        <v>0</v>
      </c>
      <c r="D5298" s="637">
        <f t="shared" si="178"/>
        <v>0</v>
      </c>
      <c r="E5298" s="637">
        <f t="shared" si="179"/>
        <v>0</v>
      </c>
    </row>
    <row r="5299" spans="1:5">
      <c r="A5299">
        <v>80913</v>
      </c>
      <c r="B5299">
        <v>1500</v>
      </c>
      <c r="C5299" s="455">
        <v>0</v>
      </c>
      <c r="D5299" s="637">
        <f t="shared" si="178"/>
        <v>0</v>
      </c>
      <c r="E5299" s="637">
        <f t="shared" si="179"/>
        <v>0</v>
      </c>
    </row>
    <row r="5300" spans="1:5">
      <c r="A5300">
        <v>80913</v>
      </c>
      <c r="B5300">
        <v>1600</v>
      </c>
      <c r="C5300" s="455">
        <v>0</v>
      </c>
      <c r="D5300" s="637">
        <f t="shared" si="178"/>
        <v>0</v>
      </c>
      <c r="E5300" s="637">
        <f t="shared" si="179"/>
        <v>0</v>
      </c>
    </row>
    <row r="5301" spans="1:5">
      <c r="A5301">
        <v>80913</v>
      </c>
      <c r="B5301">
        <v>1700</v>
      </c>
      <c r="C5301" s="455">
        <v>0</v>
      </c>
      <c r="D5301" s="637">
        <f t="shared" si="178"/>
        <v>0</v>
      </c>
      <c r="E5301" s="637">
        <f t="shared" si="179"/>
        <v>0</v>
      </c>
    </row>
    <row r="5302" spans="1:5">
      <c r="A5302">
        <v>80913</v>
      </c>
      <c r="B5302">
        <v>1800</v>
      </c>
      <c r="C5302" s="455">
        <v>0</v>
      </c>
      <c r="D5302" s="637">
        <f t="shared" si="178"/>
        <v>0</v>
      </c>
      <c r="E5302" s="637">
        <f t="shared" si="179"/>
        <v>0</v>
      </c>
    </row>
    <row r="5303" spans="1:5">
      <c r="A5303">
        <v>80913</v>
      </c>
      <c r="B5303">
        <v>1900</v>
      </c>
      <c r="C5303" s="455">
        <v>0</v>
      </c>
      <c r="D5303" s="637">
        <f t="shared" si="178"/>
        <v>0</v>
      </c>
      <c r="E5303" s="637">
        <f t="shared" si="179"/>
        <v>0</v>
      </c>
    </row>
    <row r="5304" spans="1:5">
      <c r="A5304">
        <v>80913</v>
      </c>
      <c r="B5304">
        <v>2000</v>
      </c>
      <c r="C5304" s="455">
        <v>9.14</v>
      </c>
      <c r="D5304" s="637">
        <f t="shared" si="178"/>
        <v>20.746349206349215</v>
      </c>
      <c r="E5304" s="637">
        <f t="shared" si="179"/>
        <v>30.17650793650796</v>
      </c>
    </row>
    <row r="5305" spans="1:5">
      <c r="A5305">
        <v>80913</v>
      </c>
      <c r="B5305">
        <v>2100</v>
      </c>
      <c r="C5305" s="455">
        <v>10.414999999999999</v>
      </c>
      <c r="D5305" s="637">
        <f t="shared" si="178"/>
        <v>23.640396825396831</v>
      </c>
      <c r="E5305" s="637">
        <f t="shared" si="179"/>
        <v>34.386031746031762</v>
      </c>
    </row>
    <row r="5306" spans="1:5">
      <c r="A5306">
        <v>80913</v>
      </c>
      <c r="B5306">
        <v>2200</v>
      </c>
      <c r="C5306" s="455">
        <v>10.183999999999999</v>
      </c>
      <c r="D5306" s="637">
        <f t="shared" si="178"/>
        <v>23.1160634920635</v>
      </c>
      <c r="E5306" s="637">
        <f t="shared" si="179"/>
        <v>33.623365079365101</v>
      </c>
    </row>
    <row r="5307" spans="1:5">
      <c r="A5307">
        <v>80913</v>
      </c>
      <c r="B5307">
        <v>2300</v>
      </c>
      <c r="C5307" s="455">
        <v>10.201000000000001</v>
      </c>
      <c r="D5307" s="637">
        <f t="shared" si="178"/>
        <v>23.154650793650802</v>
      </c>
      <c r="E5307" s="637">
        <f t="shared" si="179"/>
        <v>33.679492063492091</v>
      </c>
    </row>
    <row r="5308" spans="1:5">
      <c r="A5308">
        <v>80913</v>
      </c>
      <c r="B5308">
        <v>2400</v>
      </c>
      <c r="C5308" s="455">
        <v>10.38</v>
      </c>
      <c r="D5308" s="637">
        <f t="shared" si="178"/>
        <v>23.56095238095239</v>
      </c>
      <c r="E5308" s="637">
        <f t="shared" si="179"/>
        <v>34.270476190476217</v>
      </c>
    </row>
    <row r="5309" spans="1:5">
      <c r="A5309">
        <v>81013</v>
      </c>
      <c r="B5309">
        <v>100</v>
      </c>
      <c r="C5309" s="455">
        <v>10.143000000000001</v>
      </c>
      <c r="D5309" s="637">
        <f t="shared" si="178"/>
        <v>23.023000000000007</v>
      </c>
      <c r="E5309" s="637">
        <f t="shared" si="179"/>
        <v>33.488000000000021</v>
      </c>
    </row>
    <row r="5310" spans="1:5">
      <c r="A5310">
        <v>81013</v>
      </c>
      <c r="B5310">
        <v>200</v>
      </c>
      <c r="C5310" s="455">
        <v>10.489000000000001</v>
      </c>
      <c r="D5310" s="637">
        <f t="shared" si="178"/>
        <v>23.808365079365089</v>
      </c>
      <c r="E5310" s="637">
        <f t="shared" si="179"/>
        <v>34.63034920634923</v>
      </c>
    </row>
    <row r="5311" spans="1:5">
      <c r="A5311">
        <v>81013</v>
      </c>
      <c r="B5311">
        <v>300</v>
      </c>
      <c r="C5311" s="455">
        <v>10.183</v>
      </c>
      <c r="D5311" s="637">
        <f t="shared" si="178"/>
        <v>23.113793650793657</v>
      </c>
      <c r="E5311" s="637">
        <f t="shared" si="179"/>
        <v>33.620063492063515</v>
      </c>
    </row>
    <row r="5312" spans="1:5">
      <c r="A5312">
        <v>81013</v>
      </c>
      <c r="B5312">
        <v>400</v>
      </c>
      <c r="C5312" s="455">
        <v>10.494999999999999</v>
      </c>
      <c r="D5312" s="637">
        <f t="shared" si="178"/>
        <v>23.821984126984134</v>
      </c>
      <c r="E5312" s="637">
        <f t="shared" si="179"/>
        <v>34.650158730158751</v>
      </c>
    </row>
    <row r="5313" spans="1:5">
      <c r="A5313">
        <v>81013</v>
      </c>
      <c r="B5313">
        <v>500</v>
      </c>
      <c r="C5313" s="455">
        <v>10.178000000000001</v>
      </c>
      <c r="D5313" s="637">
        <f t="shared" si="178"/>
        <v>23.102444444444455</v>
      </c>
      <c r="E5313" s="637">
        <f t="shared" si="179"/>
        <v>33.60355555555558</v>
      </c>
    </row>
    <row r="5314" spans="1:5">
      <c r="A5314">
        <v>81013</v>
      </c>
      <c r="B5314">
        <v>600</v>
      </c>
      <c r="C5314" s="455">
        <v>6.5789999999999997</v>
      </c>
      <c r="D5314" s="637">
        <f t="shared" si="178"/>
        <v>14.933285714285718</v>
      </c>
      <c r="E5314" s="637">
        <f t="shared" si="179"/>
        <v>21.721142857142873</v>
      </c>
    </row>
    <row r="5315" spans="1:5">
      <c r="A5315">
        <v>81013</v>
      </c>
      <c r="B5315">
        <v>700</v>
      </c>
      <c r="C5315" s="455">
        <v>0</v>
      </c>
      <c r="D5315" s="637">
        <f t="shared" si="178"/>
        <v>0</v>
      </c>
      <c r="E5315" s="637">
        <f t="shared" si="179"/>
        <v>0</v>
      </c>
    </row>
    <row r="5316" spans="1:5">
      <c r="A5316">
        <v>81013</v>
      </c>
      <c r="B5316">
        <v>800</v>
      </c>
      <c r="C5316" s="455">
        <v>0</v>
      </c>
      <c r="D5316" s="637">
        <f t="shared" si="178"/>
        <v>0</v>
      </c>
      <c r="E5316" s="637">
        <f t="shared" si="179"/>
        <v>0</v>
      </c>
    </row>
    <row r="5317" spans="1:5">
      <c r="A5317">
        <v>81013</v>
      </c>
      <c r="B5317">
        <v>900</v>
      </c>
      <c r="C5317" s="455">
        <v>0</v>
      </c>
      <c r="D5317" s="637">
        <f t="shared" si="178"/>
        <v>0</v>
      </c>
      <c r="E5317" s="637">
        <f t="shared" si="179"/>
        <v>0</v>
      </c>
    </row>
    <row r="5318" spans="1:5">
      <c r="A5318">
        <v>81013</v>
      </c>
      <c r="B5318">
        <v>1000</v>
      </c>
      <c r="C5318" s="455">
        <v>0</v>
      </c>
      <c r="D5318" s="637">
        <f t="shared" si="178"/>
        <v>0</v>
      </c>
      <c r="E5318" s="637">
        <f t="shared" si="179"/>
        <v>0</v>
      </c>
    </row>
    <row r="5319" spans="1:5">
      <c r="A5319">
        <v>81013</v>
      </c>
      <c r="B5319">
        <v>1100</v>
      </c>
      <c r="C5319" s="455">
        <v>1E-3</v>
      </c>
      <c r="D5319" s="637">
        <f t="shared" si="178"/>
        <v>2.2698412698412703E-3</v>
      </c>
      <c r="E5319" s="637">
        <f t="shared" si="179"/>
        <v>3.3015873015873037E-3</v>
      </c>
    </row>
    <row r="5320" spans="1:5">
      <c r="A5320">
        <v>81013</v>
      </c>
      <c r="B5320">
        <v>1200</v>
      </c>
      <c r="C5320" s="455">
        <v>0</v>
      </c>
      <c r="D5320" s="637">
        <f t="shared" si="178"/>
        <v>0</v>
      </c>
      <c r="E5320" s="637">
        <f t="shared" si="179"/>
        <v>0</v>
      </c>
    </row>
    <row r="5321" spans="1:5">
      <c r="A5321">
        <v>81013</v>
      </c>
      <c r="B5321">
        <v>1300</v>
      </c>
      <c r="C5321" s="455">
        <v>0</v>
      </c>
      <c r="D5321" s="637">
        <f t="shared" si="178"/>
        <v>0</v>
      </c>
      <c r="E5321" s="637">
        <f t="shared" si="179"/>
        <v>0</v>
      </c>
    </row>
    <row r="5322" spans="1:5">
      <c r="A5322">
        <v>81013</v>
      </c>
      <c r="B5322">
        <v>1400</v>
      </c>
      <c r="C5322" s="455">
        <v>0</v>
      </c>
      <c r="D5322" s="637">
        <f t="shared" si="178"/>
        <v>0</v>
      </c>
      <c r="E5322" s="637">
        <f t="shared" si="179"/>
        <v>0</v>
      </c>
    </row>
    <row r="5323" spans="1:5">
      <c r="A5323">
        <v>81013</v>
      </c>
      <c r="B5323">
        <v>1500</v>
      </c>
      <c r="C5323" s="455">
        <v>0</v>
      </c>
      <c r="D5323" s="637">
        <f t="shared" si="178"/>
        <v>0</v>
      </c>
      <c r="E5323" s="637">
        <f t="shared" si="179"/>
        <v>0</v>
      </c>
    </row>
    <row r="5324" spans="1:5">
      <c r="A5324">
        <v>81013</v>
      </c>
      <c r="B5324">
        <v>1600</v>
      </c>
      <c r="C5324" s="455">
        <v>0</v>
      </c>
      <c r="D5324" s="637">
        <f t="shared" si="178"/>
        <v>0</v>
      </c>
      <c r="E5324" s="637">
        <f t="shared" si="179"/>
        <v>0</v>
      </c>
    </row>
    <row r="5325" spans="1:5">
      <c r="A5325">
        <v>81013</v>
      </c>
      <c r="B5325">
        <v>1700</v>
      </c>
      <c r="C5325" s="455">
        <v>0</v>
      </c>
      <c r="D5325" s="637">
        <f t="shared" si="178"/>
        <v>0</v>
      </c>
      <c r="E5325" s="637">
        <f t="shared" si="179"/>
        <v>0</v>
      </c>
    </row>
    <row r="5326" spans="1:5">
      <c r="A5326">
        <v>81013</v>
      </c>
      <c r="B5326">
        <v>1800</v>
      </c>
      <c r="C5326" s="455">
        <v>0</v>
      </c>
      <c r="D5326" s="637">
        <f t="shared" si="178"/>
        <v>0</v>
      </c>
      <c r="E5326" s="637">
        <f t="shared" si="179"/>
        <v>0</v>
      </c>
    </row>
    <row r="5327" spans="1:5">
      <c r="A5327">
        <v>81013</v>
      </c>
      <c r="B5327">
        <v>1900</v>
      </c>
      <c r="C5327" s="455">
        <v>0</v>
      </c>
      <c r="D5327" s="637">
        <f t="shared" si="178"/>
        <v>0</v>
      </c>
      <c r="E5327" s="637">
        <f t="shared" si="179"/>
        <v>0</v>
      </c>
    </row>
    <row r="5328" spans="1:5">
      <c r="A5328">
        <v>81013</v>
      </c>
      <c r="B5328">
        <v>2000</v>
      </c>
      <c r="C5328" s="455">
        <v>8.5069999999999997</v>
      </c>
      <c r="D5328" s="637">
        <f t="shared" si="178"/>
        <v>19.30953968253969</v>
      </c>
      <c r="E5328" s="637">
        <f t="shared" si="179"/>
        <v>28.086603174603194</v>
      </c>
    </row>
    <row r="5329" spans="1:5">
      <c r="A5329">
        <v>81013</v>
      </c>
      <c r="B5329">
        <v>2100</v>
      </c>
      <c r="C5329" s="455">
        <v>10.334</v>
      </c>
      <c r="D5329" s="637">
        <f t="shared" si="178"/>
        <v>23.456539682539688</v>
      </c>
      <c r="E5329" s="637">
        <f t="shared" si="179"/>
        <v>34.118603174603194</v>
      </c>
    </row>
    <row r="5330" spans="1:5">
      <c r="A5330">
        <v>81013</v>
      </c>
      <c r="B5330">
        <v>2200</v>
      </c>
      <c r="C5330" s="455">
        <v>10.127000000000001</v>
      </c>
      <c r="D5330" s="637">
        <f t="shared" si="178"/>
        <v>22.986682539682548</v>
      </c>
      <c r="E5330" s="637">
        <f t="shared" si="179"/>
        <v>33.435174603174623</v>
      </c>
    </row>
    <row r="5331" spans="1:5">
      <c r="A5331">
        <v>81013</v>
      </c>
      <c r="B5331">
        <v>2300</v>
      </c>
      <c r="C5331" s="455">
        <v>10.237</v>
      </c>
      <c r="D5331" s="637">
        <f t="shared" si="178"/>
        <v>23.236365079365086</v>
      </c>
      <c r="E5331" s="637">
        <f t="shared" si="179"/>
        <v>33.798349206349229</v>
      </c>
    </row>
    <row r="5332" spans="1:5">
      <c r="A5332">
        <v>81013</v>
      </c>
      <c r="B5332">
        <v>2400</v>
      </c>
      <c r="C5332" s="455">
        <v>10.018000000000001</v>
      </c>
      <c r="D5332" s="637">
        <f t="shared" si="178"/>
        <v>22.739269841269849</v>
      </c>
      <c r="E5332" s="637">
        <f t="shared" si="179"/>
        <v>33.07530158730161</v>
      </c>
    </row>
    <row r="5333" spans="1:5">
      <c r="A5333">
        <v>81113</v>
      </c>
      <c r="B5333">
        <v>100</v>
      </c>
      <c r="C5333" s="455">
        <v>10.311</v>
      </c>
      <c r="D5333" s="637">
        <f t="shared" si="178"/>
        <v>23.404333333333341</v>
      </c>
      <c r="E5333" s="637">
        <f t="shared" si="179"/>
        <v>34.04266666666669</v>
      </c>
    </row>
    <row r="5334" spans="1:5">
      <c r="A5334">
        <v>81113</v>
      </c>
      <c r="B5334">
        <v>200</v>
      </c>
      <c r="C5334" s="455">
        <v>10.36</v>
      </c>
      <c r="D5334" s="637">
        <f t="shared" si="178"/>
        <v>23.515555555555562</v>
      </c>
      <c r="E5334" s="637">
        <f t="shared" si="179"/>
        <v>34.204444444444469</v>
      </c>
    </row>
    <row r="5335" spans="1:5">
      <c r="A5335">
        <v>81113</v>
      </c>
      <c r="B5335">
        <v>300</v>
      </c>
      <c r="C5335" s="455">
        <v>9.9779999999999998</v>
      </c>
      <c r="D5335" s="637">
        <f t="shared" si="178"/>
        <v>22.648476190476195</v>
      </c>
      <c r="E5335" s="637">
        <f t="shared" si="179"/>
        <v>32.943238095238115</v>
      </c>
    </row>
    <row r="5336" spans="1:5">
      <c r="A5336">
        <v>81113</v>
      </c>
      <c r="B5336">
        <v>400</v>
      </c>
      <c r="C5336" s="455">
        <v>10.119999999999999</v>
      </c>
      <c r="D5336" s="637">
        <f t="shared" si="178"/>
        <v>22.970793650793656</v>
      </c>
      <c r="E5336" s="637">
        <f t="shared" si="179"/>
        <v>33.41206349206351</v>
      </c>
    </row>
    <row r="5337" spans="1:5">
      <c r="A5337">
        <v>81113</v>
      </c>
      <c r="B5337">
        <v>500</v>
      </c>
      <c r="C5337" s="455">
        <v>10.105</v>
      </c>
      <c r="D5337" s="637">
        <f t="shared" si="178"/>
        <v>22.93674603174604</v>
      </c>
      <c r="E5337" s="637">
        <f t="shared" si="179"/>
        <v>33.362539682539705</v>
      </c>
    </row>
    <row r="5338" spans="1:5">
      <c r="A5338">
        <v>81113</v>
      </c>
      <c r="B5338">
        <v>600</v>
      </c>
      <c r="C5338" s="455">
        <v>6.65</v>
      </c>
      <c r="D5338" s="637">
        <f t="shared" si="178"/>
        <v>15.09444444444445</v>
      </c>
      <c r="E5338" s="637">
        <f t="shared" si="179"/>
        <v>21.95555555555557</v>
      </c>
    </row>
    <row r="5339" spans="1:5">
      <c r="A5339">
        <v>81113</v>
      </c>
      <c r="B5339">
        <v>700</v>
      </c>
      <c r="C5339" s="455">
        <v>0</v>
      </c>
      <c r="D5339" s="637">
        <f t="shared" si="178"/>
        <v>0</v>
      </c>
      <c r="E5339" s="637">
        <f t="shared" si="179"/>
        <v>0</v>
      </c>
    </row>
    <row r="5340" spans="1:5">
      <c r="A5340">
        <v>81113</v>
      </c>
      <c r="B5340">
        <v>800</v>
      </c>
      <c r="C5340" s="455">
        <v>0</v>
      </c>
      <c r="D5340" s="637">
        <f t="shared" si="178"/>
        <v>0</v>
      </c>
      <c r="E5340" s="637">
        <f t="shared" si="179"/>
        <v>0</v>
      </c>
    </row>
    <row r="5341" spans="1:5">
      <c r="A5341">
        <v>81113</v>
      </c>
      <c r="B5341">
        <v>900</v>
      </c>
      <c r="C5341" s="455">
        <v>0.01</v>
      </c>
      <c r="D5341" s="637">
        <f t="shared" si="178"/>
        <v>2.2698412698412707E-2</v>
      </c>
      <c r="E5341" s="637">
        <f t="shared" si="179"/>
        <v>3.301587301587304E-2</v>
      </c>
    </row>
    <row r="5342" spans="1:5">
      <c r="A5342">
        <v>81113</v>
      </c>
      <c r="B5342">
        <v>1000</v>
      </c>
      <c r="C5342" s="455">
        <v>2E-3</v>
      </c>
      <c r="D5342" s="637">
        <f t="shared" si="178"/>
        <v>4.5396825396825406E-3</v>
      </c>
      <c r="E5342" s="637">
        <f t="shared" si="179"/>
        <v>6.6031746031746073E-3</v>
      </c>
    </row>
    <row r="5343" spans="1:5">
      <c r="A5343">
        <v>81113</v>
      </c>
      <c r="B5343">
        <v>1100</v>
      </c>
      <c r="C5343" s="455">
        <v>1E-3</v>
      </c>
      <c r="D5343" s="637">
        <f t="shared" si="178"/>
        <v>2.2698412698412703E-3</v>
      </c>
      <c r="E5343" s="637">
        <f t="shared" si="179"/>
        <v>3.3015873015873037E-3</v>
      </c>
    </row>
    <row r="5344" spans="1:5">
      <c r="A5344">
        <v>81113</v>
      </c>
      <c r="B5344">
        <v>1200</v>
      </c>
      <c r="C5344" s="455">
        <v>0</v>
      </c>
      <c r="D5344" s="637">
        <f t="shared" si="178"/>
        <v>0</v>
      </c>
      <c r="E5344" s="637">
        <f t="shared" si="179"/>
        <v>0</v>
      </c>
    </row>
    <row r="5345" spans="1:5">
      <c r="A5345">
        <v>81113</v>
      </c>
      <c r="B5345">
        <v>1300</v>
      </c>
      <c r="C5345" s="455">
        <v>1E-3</v>
      </c>
      <c r="D5345" s="637">
        <f t="shared" si="178"/>
        <v>2.2698412698412703E-3</v>
      </c>
      <c r="E5345" s="637">
        <f t="shared" si="179"/>
        <v>3.3015873015873037E-3</v>
      </c>
    </row>
    <row r="5346" spans="1:5">
      <c r="A5346">
        <v>81113</v>
      </c>
      <c r="B5346">
        <v>1400</v>
      </c>
      <c r="C5346" s="455">
        <v>0</v>
      </c>
      <c r="D5346" s="637">
        <f t="shared" si="178"/>
        <v>0</v>
      </c>
      <c r="E5346" s="637">
        <f t="shared" si="179"/>
        <v>0</v>
      </c>
    </row>
    <row r="5347" spans="1:5">
      <c r="A5347">
        <v>81113</v>
      </c>
      <c r="B5347">
        <v>1500</v>
      </c>
      <c r="C5347" s="455">
        <v>0</v>
      </c>
      <c r="D5347" s="637">
        <f t="shared" si="178"/>
        <v>0</v>
      </c>
      <c r="E5347" s="637">
        <f t="shared" si="179"/>
        <v>0</v>
      </c>
    </row>
    <row r="5348" spans="1:5">
      <c r="A5348">
        <v>81113</v>
      </c>
      <c r="B5348">
        <v>1600</v>
      </c>
      <c r="C5348" s="455">
        <v>0</v>
      </c>
      <c r="D5348" s="637">
        <f t="shared" si="178"/>
        <v>0</v>
      </c>
      <c r="E5348" s="637">
        <f t="shared" si="179"/>
        <v>0</v>
      </c>
    </row>
    <row r="5349" spans="1:5">
      <c r="A5349">
        <v>81113</v>
      </c>
      <c r="B5349">
        <v>1700</v>
      </c>
      <c r="C5349" s="455">
        <v>0</v>
      </c>
      <c r="D5349" s="637">
        <f t="shared" si="178"/>
        <v>0</v>
      </c>
      <c r="E5349" s="637">
        <f t="shared" si="179"/>
        <v>0</v>
      </c>
    </row>
    <row r="5350" spans="1:5">
      <c r="A5350">
        <v>81113</v>
      </c>
      <c r="B5350">
        <v>1800</v>
      </c>
      <c r="C5350" s="455">
        <v>0</v>
      </c>
      <c r="D5350" s="637">
        <f t="shared" ref="D5350:D5413" si="180">(C5350/(MAX($C$5093:$C$5836)))*$W$12</f>
        <v>0</v>
      </c>
      <c r="E5350" s="637">
        <f t="shared" ref="E5350:E5413" si="181">(C5350/(MAX($C$5093:$C$5836)))*$P$12</f>
        <v>0</v>
      </c>
    </row>
    <row r="5351" spans="1:5">
      <c r="A5351">
        <v>81113</v>
      </c>
      <c r="B5351">
        <v>1900</v>
      </c>
      <c r="C5351" s="455">
        <v>0.998</v>
      </c>
      <c r="D5351" s="637">
        <f t="shared" si="180"/>
        <v>2.2653015873015878</v>
      </c>
      <c r="E5351" s="637">
        <f t="shared" si="181"/>
        <v>3.2949841269841289</v>
      </c>
    </row>
    <row r="5352" spans="1:5">
      <c r="A5352">
        <v>81113</v>
      </c>
      <c r="B5352">
        <v>2000</v>
      </c>
      <c r="C5352" s="455">
        <v>12.526</v>
      </c>
      <c r="D5352" s="637">
        <f t="shared" si="180"/>
        <v>28.432031746031754</v>
      </c>
      <c r="E5352" s="637">
        <f t="shared" si="181"/>
        <v>41.355682539682562</v>
      </c>
    </row>
    <row r="5353" spans="1:5">
      <c r="A5353">
        <v>81113</v>
      </c>
      <c r="B5353">
        <v>2100</v>
      </c>
      <c r="C5353" s="455">
        <v>10.164</v>
      </c>
      <c r="D5353" s="637">
        <f t="shared" si="180"/>
        <v>23.070666666666671</v>
      </c>
      <c r="E5353" s="637">
        <f t="shared" si="181"/>
        <v>33.557333333333354</v>
      </c>
    </row>
    <row r="5354" spans="1:5">
      <c r="A5354">
        <v>81113</v>
      </c>
      <c r="B5354">
        <v>2200</v>
      </c>
      <c r="C5354" s="455">
        <v>10.019</v>
      </c>
      <c r="D5354" s="637">
        <f t="shared" si="180"/>
        <v>22.741539682539688</v>
      </c>
      <c r="E5354" s="637">
        <f t="shared" si="181"/>
        <v>33.078603174603195</v>
      </c>
    </row>
    <row r="5355" spans="1:5">
      <c r="A5355">
        <v>81113</v>
      </c>
      <c r="B5355">
        <v>2300</v>
      </c>
      <c r="C5355" s="455">
        <v>10.316000000000001</v>
      </c>
      <c r="D5355" s="637">
        <f t="shared" si="180"/>
        <v>23.41568253968255</v>
      </c>
      <c r="E5355" s="637">
        <f t="shared" si="181"/>
        <v>34.059174603174625</v>
      </c>
    </row>
    <row r="5356" spans="1:5">
      <c r="A5356">
        <v>81113</v>
      </c>
      <c r="B5356">
        <v>2400</v>
      </c>
      <c r="C5356" s="455">
        <v>10.042999999999999</v>
      </c>
      <c r="D5356" s="637">
        <f t="shared" si="180"/>
        <v>22.796015873015875</v>
      </c>
      <c r="E5356" s="637">
        <f t="shared" si="181"/>
        <v>33.157841269841285</v>
      </c>
    </row>
    <row r="5357" spans="1:5">
      <c r="A5357">
        <v>81213</v>
      </c>
      <c r="B5357">
        <v>100</v>
      </c>
      <c r="C5357" s="455">
        <v>9.9440000000000008</v>
      </c>
      <c r="D5357" s="637">
        <f t="shared" si="180"/>
        <v>22.571301587301598</v>
      </c>
      <c r="E5357" s="637">
        <f t="shared" si="181"/>
        <v>32.830984126984148</v>
      </c>
    </row>
    <row r="5358" spans="1:5">
      <c r="A5358">
        <v>81213</v>
      </c>
      <c r="B5358">
        <v>200</v>
      </c>
      <c r="C5358" s="455">
        <v>10.382</v>
      </c>
      <c r="D5358" s="637">
        <f t="shared" si="180"/>
        <v>23.565492063492069</v>
      </c>
      <c r="E5358" s="637">
        <f t="shared" si="181"/>
        <v>34.277079365079381</v>
      </c>
    </row>
    <row r="5359" spans="1:5">
      <c r="A5359">
        <v>81213</v>
      </c>
      <c r="B5359">
        <v>300</v>
      </c>
      <c r="C5359" s="455">
        <v>10.099</v>
      </c>
      <c r="D5359" s="637">
        <f t="shared" si="180"/>
        <v>22.923126984126991</v>
      </c>
      <c r="E5359" s="637">
        <f t="shared" si="181"/>
        <v>33.342730158730177</v>
      </c>
    </row>
    <row r="5360" spans="1:5">
      <c r="A5360">
        <v>81213</v>
      </c>
      <c r="B5360">
        <v>400</v>
      </c>
      <c r="C5360" s="455">
        <v>10.023999999999999</v>
      </c>
      <c r="D5360" s="637">
        <f t="shared" si="180"/>
        <v>22.752888888888894</v>
      </c>
      <c r="E5360" s="637">
        <f t="shared" si="181"/>
        <v>33.09511111111113</v>
      </c>
    </row>
    <row r="5361" spans="1:5">
      <c r="A5361">
        <v>81213</v>
      </c>
      <c r="B5361">
        <v>500</v>
      </c>
      <c r="C5361" s="455">
        <v>10.138</v>
      </c>
      <c r="D5361" s="637">
        <f t="shared" si="180"/>
        <v>23.011650793650801</v>
      </c>
      <c r="E5361" s="637">
        <f t="shared" si="181"/>
        <v>33.471492063492086</v>
      </c>
    </row>
    <row r="5362" spans="1:5">
      <c r="A5362">
        <v>81213</v>
      </c>
      <c r="B5362">
        <v>600</v>
      </c>
      <c r="C5362" s="455">
        <v>5.39</v>
      </c>
      <c r="D5362" s="637">
        <f t="shared" si="180"/>
        <v>12.234444444444447</v>
      </c>
      <c r="E5362" s="637">
        <f t="shared" si="181"/>
        <v>17.795555555555566</v>
      </c>
    </row>
    <row r="5363" spans="1:5">
      <c r="A5363">
        <v>81213</v>
      </c>
      <c r="B5363">
        <v>700</v>
      </c>
      <c r="C5363" s="455">
        <v>3.0000000000000001E-3</v>
      </c>
      <c r="D5363" s="637">
        <f t="shared" si="180"/>
        <v>6.8095238095238122E-3</v>
      </c>
      <c r="E5363" s="637">
        <f t="shared" si="181"/>
        <v>9.904761904761911E-3</v>
      </c>
    </row>
    <row r="5364" spans="1:5">
      <c r="A5364">
        <v>81213</v>
      </c>
      <c r="B5364">
        <v>800</v>
      </c>
      <c r="C5364" s="455">
        <v>7.1999999999999995E-2</v>
      </c>
      <c r="D5364" s="637">
        <f t="shared" si="180"/>
        <v>0.16342857142857148</v>
      </c>
      <c r="E5364" s="637">
        <f t="shared" si="181"/>
        <v>0.23771428571428585</v>
      </c>
    </row>
    <row r="5365" spans="1:5">
      <c r="A5365">
        <v>81213</v>
      </c>
      <c r="B5365">
        <v>900</v>
      </c>
      <c r="C5365" s="455">
        <v>0</v>
      </c>
      <c r="D5365" s="637">
        <f t="shared" si="180"/>
        <v>0</v>
      </c>
      <c r="E5365" s="637">
        <f t="shared" si="181"/>
        <v>0</v>
      </c>
    </row>
    <row r="5366" spans="1:5">
      <c r="A5366">
        <v>81213</v>
      </c>
      <c r="B5366">
        <v>1000</v>
      </c>
      <c r="C5366" s="455">
        <v>0</v>
      </c>
      <c r="D5366" s="637">
        <f t="shared" si="180"/>
        <v>0</v>
      </c>
      <c r="E5366" s="637">
        <f t="shared" si="181"/>
        <v>0</v>
      </c>
    </row>
    <row r="5367" spans="1:5">
      <c r="A5367">
        <v>81213</v>
      </c>
      <c r="B5367">
        <v>1100</v>
      </c>
      <c r="C5367" s="455">
        <v>0</v>
      </c>
      <c r="D5367" s="637">
        <f t="shared" si="180"/>
        <v>0</v>
      </c>
      <c r="E5367" s="637">
        <f t="shared" si="181"/>
        <v>0</v>
      </c>
    </row>
    <row r="5368" spans="1:5">
      <c r="A5368">
        <v>81213</v>
      </c>
      <c r="B5368">
        <v>1200</v>
      </c>
      <c r="C5368" s="455">
        <v>0</v>
      </c>
      <c r="D5368" s="637">
        <f t="shared" si="180"/>
        <v>0</v>
      </c>
      <c r="E5368" s="637">
        <f t="shared" si="181"/>
        <v>0</v>
      </c>
    </row>
    <row r="5369" spans="1:5">
      <c r="A5369">
        <v>81213</v>
      </c>
      <c r="B5369">
        <v>1300</v>
      </c>
      <c r="C5369" s="455">
        <v>1E-3</v>
      </c>
      <c r="D5369" s="637">
        <f t="shared" si="180"/>
        <v>2.2698412698412703E-3</v>
      </c>
      <c r="E5369" s="637">
        <f t="shared" si="181"/>
        <v>3.3015873015873037E-3</v>
      </c>
    </row>
    <row r="5370" spans="1:5">
      <c r="A5370">
        <v>81213</v>
      </c>
      <c r="B5370">
        <v>1400</v>
      </c>
      <c r="C5370" s="455">
        <v>0</v>
      </c>
      <c r="D5370" s="637">
        <f t="shared" si="180"/>
        <v>0</v>
      </c>
      <c r="E5370" s="637">
        <f t="shared" si="181"/>
        <v>0</v>
      </c>
    </row>
    <row r="5371" spans="1:5">
      <c r="A5371">
        <v>81213</v>
      </c>
      <c r="B5371">
        <v>1500</v>
      </c>
      <c r="C5371" s="455">
        <v>0</v>
      </c>
      <c r="D5371" s="637">
        <f t="shared" si="180"/>
        <v>0</v>
      </c>
      <c r="E5371" s="637">
        <f t="shared" si="181"/>
        <v>0</v>
      </c>
    </row>
    <row r="5372" spans="1:5">
      <c r="A5372">
        <v>81213</v>
      </c>
      <c r="B5372">
        <v>1600</v>
      </c>
      <c r="C5372" s="455">
        <v>2.7E-2</v>
      </c>
      <c r="D5372" s="637">
        <f t="shared" si="180"/>
        <v>6.1285714285714304E-2</v>
      </c>
      <c r="E5372" s="637">
        <f t="shared" si="181"/>
        <v>8.9142857142857204E-2</v>
      </c>
    </row>
    <row r="5373" spans="1:5">
      <c r="A5373">
        <v>81213</v>
      </c>
      <c r="B5373">
        <v>1700</v>
      </c>
      <c r="C5373" s="455">
        <v>0</v>
      </c>
      <c r="D5373" s="637">
        <f t="shared" si="180"/>
        <v>0</v>
      </c>
      <c r="E5373" s="637">
        <f t="shared" si="181"/>
        <v>0</v>
      </c>
    </row>
    <row r="5374" spans="1:5">
      <c r="A5374">
        <v>81213</v>
      </c>
      <c r="B5374">
        <v>1800</v>
      </c>
      <c r="C5374" s="455">
        <v>0</v>
      </c>
      <c r="D5374" s="637">
        <f t="shared" si="180"/>
        <v>0</v>
      </c>
      <c r="E5374" s="637">
        <f t="shared" si="181"/>
        <v>0</v>
      </c>
    </row>
    <row r="5375" spans="1:5">
      <c r="A5375">
        <v>81213</v>
      </c>
      <c r="B5375">
        <v>1900</v>
      </c>
      <c r="C5375" s="455">
        <v>0</v>
      </c>
      <c r="D5375" s="637">
        <f t="shared" si="180"/>
        <v>0</v>
      </c>
      <c r="E5375" s="637">
        <f t="shared" si="181"/>
        <v>0</v>
      </c>
    </row>
    <row r="5376" spans="1:5">
      <c r="A5376">
        <v>81213</v>
      </c>
      <c r="B5376">
        <v>2000</v>
      </c>
      <c r="C5376" s="455">
        <v>8.0950000000000006</v>
      </c>
      <c r="D5376" s="637">
        <f t="shared" si="180"/>
        <v>18.374365079365088</v>
      </c>
      <c r="E5376" s="637">
        <f t="shared" si="181"/>
        <v>26.726349206349227</v>
      </c>
    </row>
    <row r="5377" spans="1:5">
      <c r="A5377">
        <v>81213</v>
      </c>
      <c r="B5377">
        <v>2100</v>
      </c>
      <c r="C5377" s="455">
        <v>10.442</v>
      </c>
      <c r="D5377" s="637">
        <f t="shared" si="180"/>
        <v>23.701682539682547</v>
      </c>
      <c r="E5377" s="637">
        <f t="shared" si="181"/>
        <v>34.475174603174629</v>
      </c>
    </row>
    <row r="5378" spans="1:5">
      <c r="A5378">
        <v>81213</v>
      </c>
      <c r="B5378">
        <v>2200</v>
      </c>
      <c r="C5378" s="455">
        <v>9.9719999999999995</v>
      </c>
      <c r="D5378" s="637">
        <f t="shared" si="180"/>
        <v>22.634857142857147</v>
      </c>
      <c r="E5378" s="637">
        <f t="shared" si="181"/>
        <v>32.923428571428587</v>
      </c>
    </row>
    <row r="5379" spans="1:5">
      <c r="A5379">
        <v>81213</v>
      </c>
      <c r="B5379">
        <v>2300</v>
      </c>
      <c r="C5379" s="455">
        <v>10.259</v>
      </c>
      <c r="D5379" s="637">
        <f t="shared" si="180"/>
        <v>23.286301587301594</v>
      </c>
      <c r="E5379" s="637">
        <f t="shared" si="181"/>
        <v>33.870984126984148</v>
      </c>
    </row>
    <row r="5380" spans="1:5">
      <c r="A5380">
        <v>81213</v>
      </c>
      <c r="B5380">
        <v>2400</v>
      </c>
      <c r="C5380" s="455">
        <v>9.859</v>
      </c>
      <c r="D5380" s="637">
        <f t="shared" si="180"/>
        <v>22.378365079365086</v>
      </c>
      <c r="E5380" s="637">
        <f t="shared" si="181"/>
        <v>32.550349206349225</v>
      </c>
    </row>
    <row r="5381" spans="1:5">
      <c r="A5381">
        <v>81313</v>
      </c>
      <c r="B5381">
        <v>100</v>
      </c>
      <c r="C5381" s="455">
        <v>10.307</v>
      </c>
      <c r="D5381" s="637">
        <f t="shared" si="180"/>
        <v>23.395253968253975</v>
      </c>
      <c r="E5381" s="637">
        <f t="shared" si="181"/>
        <v>34.029460317460341</v>
      </c>
    </row>
    <row r="5382" spans="1:5">
      <c r="A5382">
        <v>81313</v>
      </c>
      <c r="B5382">
        <v>200</v>
      </c>
      <c r="C5382" s="455">
        <v>9.9529999999999994</v>
      </c>
      <c r="D5382" s="637">
        <f t="shared" si="180"/>
        <v>22.591730158730165</v>
      </c>
      <c r="E5382" s="637">
        <f t="shared" si="181"/>
        <v>32.860698412698433</v>
      </c>
    </row>
    <row r="5383" spans="1:5">
      <c r="A5383">
        <v>81313</v>
      </c>
      <c r="B5383">
        <v>300</v>
      </c>
      <c r="C5383" s="455">
        <v>10.269</v>
      </c>
      <c r="D5383" s="637">
        <f t="shared" si="180"/>
        <v>23.309000000000008</v>
      </c>
      <c r="E5383" s="637">
        <f t="shared" si="181"/>
        <v>33.904000000000018</v>
      </c>
    </row>
    <row r="5384" spans="1:5">
      <c r="A5384">
        <v>81313</v>
      </c>
      <c r="B5384">
        <v>400</v>
      </c>
      <c r="C5384" s="455">
        <v>10.119999999999999</v>
      </c>
      <c r="D5384" s="637">
        <f t="shared" si="180"/>
        <v>22.970793650793656</v>
      </c>
      <c r="E5384" s="637">
        <f t="shared" si="181"/>
        <v>33.41206349206351</v>
      </c>
    </row>
    <row r="5385" spans="1:5">
      <c r="A5385">
        <v>81313</v>
      </c>
      <c r="B5385">
        <v>500</v>
      </c>
      <c r="C5385" s="455">
        <v>10.086</v>
      </c>
      <c r="D5385" s="637">
        <f t="shared" si="180"/>
        <v>22.893619047619055</v>
      </c>
      <c r="E5385" s="637">
        <f t="shared" si="181"/>
        <v>33.29980952380955</v>
      </c>
    </row>
    <row r="5386" spans="1:5">
      <c r="A5386">
        <v>81313</v>
      </c>
      <c r="B5386">
        <v>600</v>
      </c>
      <c r="C5386" s="455">
        <v>7.2939999999999996</v>
      </c>
      <c r="D5386" s="637">
        <f t="shared" si="180"/>
        <v>16.556222222222228</v>
      </c>
      <c r="E5386" s="637">
        <f t="shared" si="181"/>
        <v>24.081777777777791</v>
      </c>
    </row>
    <row r="5387" spans="1:5">
      <c r="A5387">
        <v>81313</v>
      </c>
      <c r="B5387">
        <v>700</v>
      </c>
      <c r="C5387" s="455">
        <v>4.0000000000000001E-3</v>
      </c>
      <c r="D5387" s="637">
        <f t="shared" si="180"/>
        <v>9.0793650793650812E-3</v>
      </c>
      <c r="E5387" s="637">
        <f t="shared" si="181"/>
        <v>1.3206349206349215E-2</v>
      </c>
    </row>
    <row r="5388" spans="1:5">
      <c r="A5388">
        <v>81313</v>
      </c>
      <c r="B5388">
        <v>800</v>
      </c>
      <c r="C5388" s="455">
        <v>1E-3</v>
      </c>
      <c r="D5388" s="637">
        <f t="shared" si="180"/>
        <v>2.2698412698412703E-3</v>
      </c>
      <c r="E5388" s="637">
        <f t="shared" si="181"/>
        <v>3.3015873015873037E-3</v>
      </c>
    </row>
    <row r="5389" spans="1:5">
      <c r="A5389">
        <v>81313</v>
      </c>
      <c r="B5389">
        <v>900</v>
      </c>
      <c r="C5389" s="455">
        <v>0</v>
      </c>
      <c r="D5389" s="637">
        <f t="shared" si="180"/>
        <v>0</v>
      </c>
      <c r="E5389" s="637">
        <f t="shared" si="181"/>
        <v>0</v>
      </c>
    </row>
    <row r="5390" spans="1:5">
      <c r="A5390">
        <v>81313</v>
      </c>
      <c r="B5390">
        <v>1000</v>
      </c>
      <c r="C5390" s="455">
        <v>0</v>
      </c>
      <c r="D5390" s="637">
        <f t="shared" si="180"/>
        <v>0</v>
      </c>
      <c r="E5390" s="637">
        <f t="shared" si="181"/>
        <v>0</v>
      </c>
    </row>
    <row r="5391" spans="1:5">
      <c r="A5391">
        <v>81313</v>
      </c>
      <c r="B5391">
        <v>1100</v>
      </c>
      <c r="C5391" s="455">
        <v>0</v>
      </c>
      <c r="D5391" s="637">
        <f t="shared" si="180"/>
        <v>0</v>
      </c>
      <c r="E5391" s="637">
        <f t="shared" si="181"/>
        <v>0</v>
      </c>
    </row>
    <row r="5392" spans="1:5">
      <c r="A5392">
        <v>81313</v>
      </c>
      <c r="B5392">
        <v>1200</v>
      </c>
      <c r="C5392" s="455">
        <v>0</v>
      </c>
      <c r="D5392" s="637">
        <f t="shared" si="180"/>
        <v>0</v>
      </c>
      <c r="E5392" s="637">
        <f t="shared" si="181"/>
        <v>0</v>
      </c>
    </row>
    <row r="5393" spans="1:5">
      <c r="A5393">
        <v>81313</v>
      </c>
      <c r="B5393">
        <v>1300</v>
      </c>
      <c r="C5393" s="455">
        <v>0</v>
      </c>
      <c r="D5393" s="637">
        <f t="shared" si="180"/>
        <v>0</v>
      </c>
      <c r="E5393" s="637">
        <f t="shared" si="181"/>
        <v>0</v>
      </c>
    </row>
    <row r="5394" spans="1:5">
      <c r="A5394">
        <v>81313</v>
      </c>
      <c r="B5394">
        <v>1400</v>
      </c>
      <c r="C5394" s="455">
        <v>1E-3</v>
      </c>
      <c r="D5394" s="637">
        <f t="shared" si="180"/>
        <v>2.2698412698412703E-3</v>
      </c>
      <c r="E5394" s="637">
        <f t="shared" si="181"/>
        <v>3.3015873015873037E-3</v>
      </c>
    </row>
    <row r="5395" spans="1:5">
      <c r="A5395">
        <v>81313</v>
      </c>
      <c r="B5395">
        <v>1500</v>
      </c>
      <c r="C5395" s="455">
        <v>0</v>
      </c>
      <c r="D5395" s="637">
        <f t="shared" si="180"/>
        <v>0</v>
      </c>
      <c r="E5395" s="637">
        <f t="shared" si="181"/>
        <v>0</v>
      </c>
    </row>
    <row r="5396" spans="1:5">
      <c r="A5396">
        <v>81313</v>
      </c>
      <c r="B5396">
        <v>1600</v>
      </c>
      <c r="C5396" s="455">
        <v>0</v>
      </c>
      <c r="D5396" s="637">
        <f t="shared" si="180"/>
        <v>0</v>
      </c>
      <c r="E5396" s="637">
        <f t="shared" si="181"/>
        <v>0</v>
      </c>
    </row>
    <row r="5397" spans="1:5">
      <c r="A5397">
        <v>81313</v>
      </c>
      <c r="B5397">
        <v>1700</v>
      </c>
      <c r="C5397" s="455">
        <v>0</v>
      </c>
      <c r="D5397" s="637">
        <f t="shared" si="180"/>
        <v>0</v>
      </c>
      <c r="E5397" s="637">
        <f t="shared" si="181"/>
        <v>0</v>
      </c>
    </row>
    <row r="5398" spans="1:5">
      <c r="A5398">
        <v>81313</v>
      </c>
      <c r="B5398">
        <v>1800</v>
      </c>
      <c r="C5398" s="455">
        <v>0</v>
      </c>
      <c r="D5398" s="637">
        <f t="shared" si="180"/>
        <v>0</v>
      </c>
      <c r="E5398" s="637">
        <f t="shared" si="181"/>
        <v>0</v>
      </c>
    </row>
    <row r="5399" spans="1:5">
      <c r="A5399">
        <v>81313</v>
      </c>
      <c r="B5399">
        <v>1900</v>
      </c>
      <c r="C5399" s="455">
        <v>5.5E-2</v>
      </c>
      <c r="D5399" s="637">
        <f t="shared" si="180"/>
        <v>0.12484126984126986</v>
      </c>
      <c r="E5399" s="637">
        <f t="shared" si="181"/>
        <v>0.18158730158730169</v>
      </c>
    </row>
    <row r="5400" spans="1:5">
      <c r="A5400">
        <v>81313</v>
      </c>
      <c r="B5400">
        <v>2000</v>
      </c>
      <c r="C5400" s="455">
        <v>11.148</v>
      </c>
      <c r="D5400" s="637">
        <f t="shared" si="180"/>
        <v>25.304190476190481</v>
      </c>
      <c r="E5400" s="637">
        <f t="shared" si="181"/>
        <v>36.80609523809526</v>
      </c>
    </row>
    <row r="5401" spans="1:5">
      <c r="A5401">
        <v>81313</v>
      </c>
      <c r="B5401">
        <v>2100</v>
      </c>
      <c r="C5401" s="455">
        <v>10.294</v>
      </c>
      <c r="D5401" s="637">
        <f t="shared" si="180"/>
        <v>23.365746031746042</v>
      </c>
      <c r="E5401" s="637">
        <f t="shared" si="181"/>
        <v>33.986539682539707</v>
      </c>
    </row>
    <row r="5402" spans="1:5">
      <c r="A5402">
        <v>81313</v>
      </c>
      <c r="B5402">
        <v>2200</v>
      </c>
      <c r="C5402" s="455">
        <v>10.353</v>
      </c>
      <c r="D5402" s="637">
        <f t="shared" si="180"/>
        <v>23.499666666666673</v>
      </c>
      <c r="E5402" s="637">
        <f t="shared" si="181"/>
        <v>34.181333333333356</v>
      </c>
    </row>
    <row r="5403" spans="1:5">
      <c r="A5403">
        <v>81313</v>
      </c>
      <c r="B5403">
        <v>2300</v>
      </c>
      <c r="C5403" s="455">
        <v>9.9619999999999997</v>
      </c>
      <c r="D5403" s="637">
        <f t="shared" si="180"/>
        <v>22.612158730158736</v>
      </c>
      <c r="E5403" s="637">
        <f t="shared" si="181"/>
        <v>32.890412698412717</v>
      </c>
    </row>
    <row r="5404" spans="1:5">
      <c r="A5404">
        <v>81313</v>
      </c>
      <c r="B5404">
        <v>2400</v>
      </c>
      <c r="C5404" s="455">
        <v>10.116</v>
      </c>
      <c r="D5404" s="637">
        <f t="shared" si="180"/>
        <v>22.96171428571429</v>
      </c>
      <c r="E5404" s="637">
        <f t="shared" si="181"/>
        <v>33.39885714285716</v>
      </c>
    </row>
    <row r="5405" spans="1:5">
      <c r="A5405">
        <v>81413</v>
      </c>
      <c r="B5405">
        <v>100</v>
      </c>
      <c r="C5405" s="455">
        <v>10.698</v>
      </c>
      <c r="D5405" s="637">
        <f t="shared" si="180"/>
        <v>24.282761904761912</v>
      </c>
      <c r="E5405" s="637">
        <f t="shared" si="181"/>
        <v>35.32038095238098</v>
      </c>
    </row>
    <row r="5406" spans="1:5">
      <c r="A5406">
        <v>81413</v>
      </c>
      <c r="B5406">
        <v>200</v>
      </c>
      <c r="C5406" s="455">
        <v>10.164</v>
      </c>
      <c r="D5406" s="637">
        <f t="shared" si="180"/>
        <v>23.070666666666671</v>
      </c>
      <c r="E5406" s="637">
        <f t="shared" si="181"/>
        <v>33.557333333333354</v>
      </c>
    </row>
    <row r="5407" spans="1:5">
      <c r="A5407">
        <v>81413</v>
      </c>
      <c r="B5407">
        <v>300</v>
      </c>
      <c r="C5407" s="455">
        <v>10.246</v>
      </c>
      <c r="D5407" s="637">
        <f t="shared" si="180"/>
        <v>23.256793650793657</v>
      </c>
      <c r="E5407" s="637">
        <f t="shared" si="181"/>
        <v>33.828063492063514</v>
      </c>
    </row>
    <row r="5408" spans="1:5">
      <c r="A5408">
        <v>81413</v>
      </c>
      <c r="B5408">
        <v>400</v>
      </c>
      <c r="C5408" s="455">
        <v>10.153</v>
      </c>
      <c r="D5408" s="637">
        <f t="shared" si="180"/>
        <v>23.045698412698417</v>
      </c>
      <c r="E5408" s="637">
        <f t="shared" si="181"/>
        <v>33.521015873015891</v>
      </c>
    </row>
    <row r="5409" spans="1:5">
      <c r="A5409">
        <v>81413</v>
      </c>
      <c r="B5409">
        <v>500</v>
      </c>
      <c r="C5409" s="455">
        <v>10.003</v>
      </c>
      <c r="D5409" s="637">
        <f t="shared" si="180"/>
        <v>22.705222222222229</v>
      </c>
      <c r="E5409" s="637">
        <f t="shared" si="181"/>
        <v>33.025777777777797</v>
      </c>
    </row>
    <row r="5410" spans="1:5">
      <c r="A5410">
        <v>81413</v>
      </c>
      <c r="B5410">
        <v>600</v>
      </c>
      <c r="C5410" s="455">
        <v>6.8070000000000004</v>
      </c>
      <c r="D5410" s="637">
        <f t="shared" si="180"/>
        <v>15.450809523809529</v>
      </c>
      <c r="E5410" s="637">
        <f t="shared" si="181"/>
        <v>22.473904761904777</v>
      </c>
    </row>
    <row r="5411" spans="1:5">
      <c r="A5411">
        <v>81413</v>
      </c>
      <c r="B5411">
        <v>700</v>
      </c>
      <c r="C5411" s="455">
        <v>0</v>
      </c>
      <c r="D5411" s="637">
        <f t="shared" si="180"/>
        <v>0</v>
      </c>
      <c r="E5411" s="637">
        <f t="shared" si="181"/>
        <v>0</v>
      </c>
    </row>
    <row r="5412" spans="1:5">
      <c r="A5412">
        <v>81413</v>
      </c>
      <c r="B5412">
        <v>800</v>
      </c>
      <c r="C5412" s="455">
        <v>1E-3</v>
      </c>
      <c r="D5412" s="637">
        <f t="shared" si="180"/>
        <v>2.2698412698412703E-3</v>
      </c>
      <c r="E5412" s="637">
        <f t="shared" si="181"/>
        <v>3.3015873015873037E-3</v>
      </c>
    </row>
    <row r="5413" spans="1:5">
      <c r="A5413">
        <v>81413</v>
      </c>
      <c r="B5413">
        <v>900</v>
      </c>
      <c r="C5413" s="455">
        <v>0</v>
      </c>
      <c r="D5413" s="637">
        <f t="shared" si="180"/>
        <v>0</v>
      </c>
      <c r="E5413" s="637">
        <f t="shared" si="181"/>
        <v>0</v>
      </c>
    </row>
    <row r="5414" spans="1:5">
      <c r="A5414">
        <v>81413</v>
      </c>
      <c r="B5414">
        <v>1000</v>
      </c>
      <c r="C5414" s="455">
        <v>0</v>
      </c>
      <c r="D5414" s="637">
        <f t="shared" ref="D5414:D5477" si="182">(C5414/(MAX($C$5093:$C$5836)))*$W$12</f>
        <v>0</v>
      </c>
      <c r="E5414" s="637">
        <f t="shared" ref="E5414:E5477" si="183">(C5414/(MAX($C$5093:$C$5836)))*$P$12</f>
        <v>0</v>
      </c>
    </row>
    <row r="5415" spans="1:5">
      <c r="A5415">
        <v>81413</v>
      </c>
      <c r="B5415">
        <v>1100</v>
      </c>
      <c r="C5415" s="455">
        <v>0</v>
      </c>
      <c r="D5415" s="637">
        <f t="shared" si="182"/>
        <v>0</v>
      </c>
      <c r="E5415" s="637">
        <f t="shared" si="183"/>
        <v>0</v>
      </c>
    </row>
    <row r="5416" spans="1:5">
      <c r="A5416">
        <v>81413</v>
      </c>
      <c r="B5416">
        <v>1200</v>
      </c>
      <c r="C5416" s="455">
        <v>0</v>
      </c>
      <c r="D5416" s="637">
        <f t="shared" si="182"/>
        <v>0</v>
      </c>
      <c r="E5416" s="637">
        <f t="shared" si="183"/>
        <v>0</v>
      </c>
    </row>
    <row r="5417" spans="1:5">
      <c r="A5417">
        <v>81413</v>
      </c>
      <c r="B5417">
        <v>1300</v>
      </c>
      <c r="C5417" s="455">
        <v>0</v>
      </c>
      <c r="D5417" s="637">
        <f t="shared" si="182"/>
        <v>0</v>
      </c>
      <c r="E5417" s="637">
        <f t="shared" si="183"/>
        <v>0</v>
      </c>
    </row>
    <row r="5418" spans="1:5">
      <c r="A5418">
        <v>81413</v>
      </c>
      <c r="B5418">
        <v>1400</v>
      </c>
      <c r="C5418" s="455">
        <v>0</v>
      </c>
      <c r="D5418" s="637">
        <f t="shared" si="182"/>
        <v>0</v>
      </c>
      <c r="E5418" s="637">
        <f t="shared" si="183"/>
        <v>0</v>
      </c>
    </row>
    <row r="5419" spans="1:5">
      <c r="A5419">
        <v>81413</v>
      </c>
      <c r="B5419">
        <v>1500</v>
      </c>
      <c r="C5419" s="455">
        <v>0</v>
      </c>
      <c r="D5419" s="637">
        <f t="shared" si="182"/>
        <v>0</v>
      </c>
      <c r="E5419" s="637">
        <f t="shared" si="183"/>
        <v>0</v>
      </c>
    </row>
    <row r="5420" spans="1:5">
      <c r="A5420">
        <v>81413</v>
      </c>
      <c r="B5420">
        <v>1600</v>
      </c>
      <c r="C5420" s="455">
        <v>0</v>
      </c>
      <c r="D5420" s="637">
        <f t="shared" si="182"/>
        <v>0</v>
      </c>
      <c r="E5420" s="637">
        <f t="shared" si="183"/>
        <v>0</v>
      </c>
    </row>
    <row r="5421" spans="1:5">
      <c r="A5421">
        <v>81413</v>
      </c>
      <c r="B5421">
        <v>1700</v>
      </c>
      <c r="C5421" s="455">
        <v>0</v>
      </c>
      <c r="D5421" s="637">
        <f t="shared" si="182"/>
        <v>0</v>
      </c>
      <c r="E5421" s="637">
        <f t="shared" si="183"/>
        <v>0</v>
      </c>
    </row>
    <row r="5422" spans="1:5">
      <c r="A5422">
        <v>81413</v>
      </c>
      <c r="B5422">
        <v>1800</v>
      </c>
      <c r="C5422" s="455">
        <v>0</v>
      </c>
      <c r="D5422" s="637">
        <f t="shared" si="182"/>
        <v>0</v>
      </c>
      <c r="E5422" s="637">
        <f t="shared" si="183"/>
        <v>0</v>
      </c>
    </row>
    <row r="5423" spans="1:5">
      <c r="A5423">
        <v>81413</v>
      </c>
      <c r="B5423">
        <v>1900</v>
      </c>
      <c r="C5423" s="455">
        <v>6.0000000000000001E-3</v>
      </c>
      <c r="D5423" s="637">
        <f t="shared" si="182"/>
        <v>1.3619047619047624E-2</v>
      </c>
      <c r="E5423" s="637">
        <f t="shared" si="183"/>
        <v>1.9809523809523822E-2</v>
      </c>
    </row>
    <row r="5424" spans="1:5">
      <c r="A5424">
        <v>81413</v>
      </c>
      <c r="B5424">
        <v>2000</v>
      </c>
      <c r="C5424" s="455">
        <v>9.9350000000000005</v>
      </c>
      <c r="D5424" s="637">
        <f t="shared" si="182"/>
        <v>22.550873015873023</v>
      </c>
      <c r="E5424" s="637">
        <f t="shared" si="183"/>
        <v>32.801269841269864</v>
      </c>
    </row>
    <row r="5425" spans="1:5">
      <c r="A5425">
        <v>81413</v>
      </c>
      <c r="B5425">
        <v>2100</v>
      </c>
      <c r="C5425" s="455">
        <v>9.9700000000000006</v>
      </c>
      <c r="D5425" s="637">
        <f t="shared" si="182"/>
        <v>22.630317460317467</v>
      </c>
      <c r="E5425" s="637">
        <f t="shared" si="183"/>
        <v>32.916825396825416</v>
      </c>
    </row>
    <row r="5426" spans="1:5">
      <c r="A5426">
        <v>81413</v>
      </c>
      <c r="B5426">
        <v>2200</v>
      </c>
      <c r="C5426" s="455">
        <v>10.002000000000001</v>
      </c>
      <c r="D5426" s="637">
        <f t="shared" si="182"/>
        <v>22.702952380952389</v>
      </c>
      <c r="E5426" s="637">
        <f t="shared" si="183"/>
        <v>33.022476190476212</v>
      </c>
    </row>
    <row r="5427" spans="1:5">
      <c r="A5427">
        <v>81413</v>
      </c>
      <c r="B5427">
        <v>2300</v>
      </c>
      <c r="C5427" s="455">
        <v>10.076000000000001</v>
      </c>
      <c r="D5427" s="637">
        <f t="shared" si="182"/>
        <v>22.870920634920644</v>
      </c>
      <c r="E5427" s="637">
        <f t="shared" si="183"/>
        <v>33.266793650793673</v>
      </c>
    </row>
    <row r="5428" spans="1:5">
      <c r="A5428">
        <v>81413</v>
      </c>
      <c r="B5428">
        <v>2400</v>
      </c>
      <c r="C5428" s="455">
        <v>9.9670000000000005</v>
      </c>
      <c r="D5428" s="637">
        <f t="shared" si="182"/>
        <v>22.623507936507945</v>
      </c>
      <c r="E5428" s="637">
        <f t="shared" si="183"/>
        <v>32.90692063492066</v>
      </c>
    </row>
    <row r="5429" spans="1:5">
      <c r="A5429">
        <v>81513</v>
      </c>
      <c r="B5429">
        <v>100</v>
      </c>
      <c r="C5429" s="455">
        <v>10.025</v>
      </c>
      <c r="D5429" s="637">
        <f t="shared" si="182"/>
        <v>22.755158730158737</v>
      </c>
      <c r="E5429" s="637">
        <f t="shared" si="183"/>
        <v>33.098412698412723</v>
      </c>
    </row>
    <row r="5430" spans="1:5">
      <c r="A5430">
        <v>81513</v>
      </c>
      <c r="B5430">
        <v>200</v>
      </c>
      <c r="C5430" s="455">
        <v>10.084</v>
      </c>
      <c r="D5430" s="637">
        <f t="shared" si="182"/>
        <v>22.889079365079372</v>
      </c>
      <c r="E5430" s="637">
        <f t="shared" si="183"/>
        <v>33.293206349206372</v>
      </c>
    </row>
    <row r="5431" spans="1:5">
      <c r="A5431">
        <v>81513</v>
      </c>
      <c r="B5431">
        <v>300</v>
      </c>
      <c r="C5431" s="455">
        <v>9.9339999999999993</v>
      </c>
      <c r="D5431" s="637">
        <f t="shared" si="182"/>
        <v>22.54860317460318</v>
      </c>
      <c r="E5431" s="637">
        <f t="shared" si="183"/>
        <v>32.797968253968271</v>
      </c>
    </row>
    <row r="5432" spans="1:5">
      <c r="A5432">
        <v>81513</v>
      </c>
      <c r="B5432">
        <v>400</v>
      </c>
      <c r="C5432" s="455">
        <v>10.007</v>
      </c>
      <c r="D5432" s="637">
        <f t="shared" si="182"/>
        <v>22.714301587301595</v>
      </c>
      <c r="E5432" s="637">
        <f t="shared" si="183"/>
        <v>33.038984126984147</v>
      </c>
    </row>
    <row r="5433" spans="1:5">
      <c r="A5433">
        <v>81513</v>
      </c>
      <c r="B5433">
        <v>500</v>
      </c>
      <c r="C5433" s="455">
        <v>9.8960000000000008</v>
      </c>
      <c r="D5433" s="637">
        <f t="shared" si="182"/>
        <v>22.462349206349217</v>
      </c>
      <c r="E5433" s="637">
        <f t="shared" si="183"/>
        <v>32.672507936507962</v>
      </c>
    </row>
    <row r="5434" spans="1:5">
      <c r="A5434">
        <v>81513</v>
      </c>
      <c r="B5434">
        <v>600</v>
      </c>
      <c r="C5434" s="455">
        <v>8.1039999999999992</v>
      </c>
      <c r="D5434" s="637">
        <f t="shared" si="182"/>
        <v>18.394793650793655</v>
      </c>
      <c r="E5434" s="637">
        <f t="shared" si="183"/>
        <v>26.756063492063504</v>
      </c>
    </row>
    <row r="5435" spans="1:5">
      <c r="A5435">
        <v>81513</v>
      </c>
      <c r="B5435">
        <v>700</v>
      </c>
      <c r="C5435" s="455">
        <v>1E-3</v>
      </c>
      <c r="D5435" s="637">
        <f t="shared" si="182"/>
        <v>2.2698412698412703E-3</v>
      </c>
      <c r="E5435" s="637">
        <f t="shared" si="183"/>
        <v>3.3015873015873037E-3</v>
      </c>
    </row>
    <row r="5436" spans="1:5">
      <c r="A5436">
        <v>81513</v>
      </c>
      <c r="B5436">
        <v>800</v>
      </c>
      <c r="C5436" s="455">
        <v>1E-3</v>
      </c>
      <c r="D5436" s="637">
        <f t="shared" si="182"/>
        <v>2.2698412698412703E-3</v>
      </c>
      <c r="E5436" s="637">
        <f t="shared" si="183"/>
        <v>3.3015873015873037E-3</v>
      </c>
    </row>
    <row r="5437" spans="1:5">
      <c r="A5437">
        <v>81513</v>
      </c>
      <c r="B5437">
        <v>900</v>
      </c>
      <c r="C5437" s="455">
        <v>0</v>
      </c>
      <c r="D5437" s="637">
        <f t="shared" si="182"/>
        <v>0</v>
      </c>
      <c r="E5437" s="637">
        <f t="shared" si="183"/>
        <v>0</v>
      </c>
    </row>
    <row r="5438" spans="1:5">
      <c r="A5438">
        <v>81513</v>
      </c>
      <c r="B5438">
        <v>1000</v>
      </c>
      <c r="C5438" s="455">
        <v>0</v>
      </c>
      <c r="D5438" s="637">
        <f t="shared" si="182"/>
        <v>0</v>
      </c>
      <c r="E5438" s="637">
        <f t="shared" si="183"/>
        <v>0</v>
      </c>
    </row>
    <row r="5439" spans="1:5">
      <c r="A5439">
        <v>81513</v>
      </c>
      <c r="B5439">
        <v>1100</v>
      </c>
      <c r="C5439" s="455">
        <v>0</v>
      </c>
      <c r="D5439" s="637">
        <f t="shared" si="182"/>
        <v>0</v>
      </c>
      <c r="E5439" s="637">
        <f t="shared" si="183"/>
        <v>0</v>
      </c>
    </row>
    <row r="5440" spans="1:5">
      <c r="A5440">
        <v>81513</v>
      </c>
      <c r="B5440">
        <v>1200</v>
      </c>
      <c r="C5440" s="455">
        <v>0</v>
      </c>
      <c r="D5440" s="637">
        <f t="shared" si="182"/>
        <v>0</v>
      </c>
      <c r="E5440" s="637">
        <f t="shared" si="183"/>
        <v>0</v>
      </c>
    </row>
    <row r="5441" spans="1:5">
      <c r="A5441">
        <v>81513</v>
      </c>
      <c r="B5441">
        <v>1300</v>
      </c>
      <c r="C5441" s="455">
        <v>0</v>
      </c>
      <c r="D5441" s="637">
        <f t="shared" si="182"/>
        <v>0</v>
      </c>
      <c r="E5441" s="637">
        <f t="shared" si="183"/>
        <v>0</v>
      </c>
    </row>
    <row r="5442" spans="1:5">
      <c r="A5442">
        <v>81513</v>
      </c>
      <c r="B5442">
        <v>1400</v>
      </c>
      <c r="C5442" s="455">
        <v>0</v>
      </c>
      <c r="D5442" s="637">
        <f t="shared" si="182"/>
        <v>0</v>
      </c>
      <c r="E5442" s="637">
        <f t="shared" si="183"/>
        <v>0</v>
      </c>
    </row>
    <row r="5443" spans="1:5">
      <c r="A5443">
        <v>81513</v>
      </c>
      <c r="B5443">
        <v>1500</v>
      </c>
      <c r="C5443" s="455">
        <v>0</v>
      </c>
      <c r="D5443" s="637">
        <f t="shared" si="182"/>
        <v>0</v>
      </c>
      <c r="E5443" s="637">
        <f t="shared" si="183"/>
        <v>0</v>
      </c>
    </row>
    <row r="5444" spans="1:5">
      <c r="A5444">
        <v>81513</v>
      </c>
      <c r="B5444">
        <v>1600</v>
      </c>
      <c r="C5444" s="455">
        <v>0</v>
      </c>
      <c r="D5444" s="637">
        <f t="shared" si="182"/>
        <v>0</v>
      </c>
      <c r="E5444" s="637">
        <f t="shared" si="183"/>
        <v>0</v>
      </c>
    </row>
    <row r="5445" spans="1:5">
      <c r="A5445">
        <v>81513</v>
      </c>
      <c r="B5445">
        <v>1700</v>
      </c>
      <c r="C5445" s="455">
        <v>0</v>
      </c>
      <c r="D5445" s="637">
        <f t="shared" si="182"/>
        <v>0</v>
      </c>
      <c r="E5445" s="637">
        <f t="shared" si="183"/>
        <v>0</v>
      </c>
    </row>
    <row r="5446" spans="1:5">
      <c r="A5446">
        <v>81513</v>
      </c>
      <c r="B5446">
        <v>1800</v>
      </c>
      <c r="C5446" s="455">
        <v>0</v>
      </c>
      <c r="D5446" s="637">
        <f t="shared" si="182"/>
        <v>0</v>
      </c>
      <c r="E5446" s="637">
        <f t="shared" si="183"/>
        <v>0</v>
      </c>
    </row>
    <row r="5447" spans="1:5">
      <c r="A5447">
        <v>81513</v>
      </c>
      <c r="B5447">
        <v>1900</v>
      </c>
      <c r="C5447" s="455">
        <v>4.0000000000000001E-3</v>
      </c>
      <c r="D5447" s="637">
        <f t="shared" si="182"/>
        <v>9.0793650793650812E-3</v>
      </c>
      <c r="E5447" s="637">
        <f t="shared" si="183"/>
        <v>1.3206349206349215E-2</v>
      </c>
    </row>
    <row r="5448" spans="1:5">
      <c r="A5448">
        <v>81513</v>
      </c>
      <c r="B5448">
        <v>2000</v>
      </c>
      <c r="C5448" s="455">
        <v>9.5709999999999997</v>
      </c>
      <c r="D5448" s="637">
        <f t="shared" si="182"/>
        <v>21.724650793650799</v>
      </c>
      <c r="E5448" s="637">
        <f t="shared" si="183"/>
        <v>31.599492063492082</v>
      </c>
    </row>
    <row r="5449" spans="1:5">
      <c r="A5449">
        <v>81513</v>
      </c>
      <c r="B5449">
        <v>2100</v>
      </c>
      <c r="C5449" s="455">
        <v>10.202</v>
      </c>
      <c r="D5449" s="637">
        <f t="shared" si="182"/>
        <v>23.156920634920642</v>
      </c>
      <c r="E5449" s="637">
        <f t="shared" si="183"/>
        <v>33.68279365079367</v>
      </c>
    </row>
    <row r="5450" spans="1:5">
      <c r="A5450">
        <v>81513</v>
      </c>
      <c r="B5450">
        <v>2200</v>
      </c>
      <c r="C5450" s="455">
        <v>9.8889999999999993</v>
      </c>
      <c r="D5450" s="637">
        <f t="shared" si="182"/>
        <v>22.446460317460325</v>
      </c>
      <c r="E5450" s="637">
        <f t="shared" si="183"/>
        <v>32.649396825396849</v>
      </c>
    </row>
    <row r="5451" spans="1:5">
      <c r="A5451">
        <v>81513</v>
      </c>
      <c r="B5451">
        <v>2300</v>
      </c>
      <c r="C5451" s="455">
        <v>9.9610000000000003</v>
      </c>
      <c r="D5451" s="637">
        <f t="shared" si="182"/>
        <v>22.609888888888896</v>
      </c>
      <c r="E5451" s="637">
        <f t="shared" si="183"/>
        <v>32.887111111111132</v>
      </c>
    </row>
    <row r="5452" spans="1:5">
      <c r="A5452">
        <v>81513</v>
      </c>
      <c r="B5452">
        <v>2400</v>
      </c>
      <c r="C5452" s="455">
        <v>10.115</v>
      </c>
      <c r="D5452" s="637">
        <f t="shared" si="182"/>
        <v>22.959444444444451</v>
      </c>
      <c r="E5452" s="637">
        <f t="shared" si="183"/>
        <v>33.395555555555575</v>
      </c>
    </row>
    <row r="5453" spans="1:5">
      <c r="A5453">
        <v>81613</v>
      </c>
      <c r="B5453">
        <v>100</v>
      </c>
      <c r="C5453" s="455">
        <v>9.9</v>
      </c>
      <c r="D5453" s="637">
        <f t="shared" si="182"/>
        <v>22.471428571428579</v>
      </c>
      <c r="E5453" s="637">
        <f t="shared" si="183"/>
        <v>32.685714285714312</v>
      </c>
    </row>
    <row r="5454" spans="1:5">
      <c r="A5454">
        <v>81613</v>
      </c>
      <c r="B5454">
        <v>200</v>
      </c>
      <c r="C5454" s="455">
        <v>9.9770000000000003</v>
      </c>
      <c r="D5454" s="637">
        <f t="shared" si="182"/>
        <v>22.646206349206359</v>
      </c>
      <c r="E5454" s="637">
        <f t="shared" si="183"/>
        <v>32.93993650793653</v>
      </c>
    </row>
    <row r="5455" spans="1:5">
      <c r="A5455">
        <v>81613</v>
      </c>
      <c r="B5455">
        <v>300</v>
      </c>
      <c r="C5455" s="455">
        <v>10.201000000000001</v>
      </c>
      <c r="D5455" s="637">
        <f t="shared" si="182"/>
        <v>23.154650793650802</v>
      </c>
      <c r="E5455" s="637">
        <f t="shared" si="183"/>
        <v>33.679492063492091</v>
      </c>
    </row>
    <row r="5456" spans="1:5">
      <c r="A5456">
        <v>81613</v>
      </c>
      <c r="B5456">
        <v>400</v>
      </c>
      <c r="C5456" s="455">
        <v>9.9489999999999998</v>
      </c>
      <c r="D5456" s="637">
        <f t="shared" si="182"/>
        <v>22.582650793650799</v>
      </c>
      <c r="E5456" s="637">
        <f t="shared" si="183"/>
        <v>32.847492063492084</v>
      </c>
    </row>
    <row r="5457" spans="1:5">
      <c r="A5457">
        <v>81613</v>
      </c>
      <c r="B5457">
        <v>500</v>
      </c>
      <c r="C5457" s="455">
        <v>10.016999999999999</v>
      </c>
      <c r="D5457" s="637">
        <f t="shared" si="182"/>
        <v>22.737000000000005</v>
      </c>
      <c r="E5457" s="637">
        <f t="shared" si="183"/>
        <v>33.072000000000017</v>
      </c>
    </row>
    <row r="5458" spans="1:5">
      <c r="A5458">
        <v>81613</v>
      </c>
      <c r="B5458">
        <v>600</v>
      </c>
      <c r="C5458" s="455">
        <v>7.2670000000000003</v>
      </c>
      <c r="D5458" s="637">
        <f t="shared" si="182"/>
        <v>16.494936507936515</v>
      </c>
      <c r="E5458" s="637">
        <f t="shared" si="183"/>
        <v>23.992634920634938</v>
      </c>
    </row>
    <row r="5459" spans="1:5">
      <c r="A5459">
        <v>81613</v>
      </c>
      <c r="B5459">
        <v>700</v>
      </c>
      <c r="C5459" s="455">
        <v>0</v>
      </c>
      <c r="D5459" s="637">
        <f t="shared" si="182"/>
        <v>0</v>
      </c>
      <c r="E5459" s="637">
        <f t="shared" si="183"/>
        <v>0</v>
      </c>
    </row>
    <row r="5460" spans="1:5">
      <c r="A5460">
        <v>81613</v>
      </c>
      <c r="B5460">
        <v>800</v>
      </c>
      <c r="C5460" s="455">
        <v>0</v>
      </c>
      <c r="D5460" s="637">
        <f t="shared" si="182"/>
        <v>0</v>
      </c>
      <c r="E5460" s="637">
        <f t="shared" si="183"/>
        <v>0</v>
      </c>
    </row>
    <row r="5461" spans="1:5">
      <c r="A5461">
        <v>81613</v>
      </c>
      <c r="B5461">
        <v>900</v>
      </c>
      <c r="C5461" s="455">
        <v>0</v>
      </c>
      <c r="D5461" s="637">
        <f t="shared" si="182"/>
        <v>0</v>
      </c>
      <c r="E5461" s="637">
        <f t="shared" si="183"/>
        <v>0</v>
      </c>
    </row>
    <row r="5462" spans="1:5">
      <c r="A5462">
        <v>81613</v>
      </c>
      <c r="B5462">
        <v>1000</v>
      </c>
      <c r="C5462" s="455">
        <v>0</v>
      </c>
      <c r="D5462" s="637">
        <f t="shared" si="182"/>
        <v>0</v>
      </c>
      <c r="E5462" s="637">
        <f t="shared" si="183"/>
        <v>0</v>
      </c>
    </row>
    <row r="5463" spans="1:5">
      <c r="A5463">
        <v>81613</v>
      </c>
      <c r="B5463">
        <v>1100</v>
      </c>
      <c r="C5463" s="455">
        <v>0</v>
      </c>
      <c r="D5463" s="637">
        <f t="shared" si="182"/>
        <v>0</v>
      </c>
      <c r="E5463" s="637">
        <f t="shared" si="183"/>
        <v>0</v>
      </c>
    </row>
    <row r="5464" spans="1:5">
      <c r="A5464">
        <v>81613</v>
      </c>
      <c r="B5464">
        <v>1200</v>
      </c>
      <c r="C5464" s="455">
        <v>0</v>
      </c>
      <c r="D5464" s="637">
        <f t="shared" si="182"/>
        <v>0</v>
      </c>
      <c r="E5464" s="637">
        <f t="shared" si="183"/>
        <v>0</v>
      </c>
    </row>
    <row r="5465" spans="1:5">
      <c r="A5465">
        <v>81613</v>
      </c>
      <c r="B5465">
        <v>1300</v>
      </c>
      <c r="C5465" s="455">
        <v>1E-3</v>
      </c>
      <c r="D5465" s="637">
        <f t="shared" si="182"/>
        <v>2.2698412698412703E-3</v>
      </c>
      <c r="E5465" s="637">
        <f t="shared" si="183"/>
        <v>3.3015873015873037E-3</v>
      </c>
    </row>
    <row r="5466" spans="1:5">
      <c r="A5466">
        <v>81613</v>
      </c>
      <c r="B5466">
        <v>1400</v>
      </c>
      <c r="C5466" s="455">
        <v>0</v>
      </c>
      <c r="D5466" s="637">
        <f t="shared" si="182"/>
        <v>0</v>
      </c>
      <c r="E5466" s="637">
        <f t="shared" si="183"/>
        <v>0</v>
      </c>
    </row>
    <row r="5467" spans="1:5">
      <c r="A5467">
        <v>81613</v>
      </c>
      <c r="B5467">
        <v>1500</v>
      </c>
      <c r="C5467" s="455">
        <v>0</v>
      </c>
      <c r="D5467" s="637">
        <f t="shared" si="182"/>
        <v>0</v>
      </c>
      <c r="E5467" s="637">
        <f t="shared" si="183"/>
        <v>0</v>
      </c>
    </row>
    <row r="5468" spans="1:5">
      <c r="A5468">
        <v>81613</v>
      </c>
      <c r="B5468">
        <v>1600</v>
      </c>
      <c r="C5468" s="455">
        <v>0</v>
      </c>
      <c r="D5468" s="637">
        <f t="shared" si="182"/>
        <v>0</v>
      </c>
      <c r="E5468" s="637">
        <f t="shared" si="183"/>
        <v>0</v>
      </c>
    </row>
    <row r="5469" spans="1:5">
      <c r="A5469">
        <v>81613</v>
      </c>
      <c r="B5469">
        <v>1700</v>
      </c>
      <c r="C5469" s="455">
        <v>0</v>
      </c>
      <c r="D5469" s="637">
        <f t="shared" si="182"/>
        <v>0</v>
      </c>
      <c r="E5469" s="637">
        <f t="shared" si="183"/>
        <v>0</v>
      </c>
    </row>
    <row r="5470" spans="1:5">
      <c r="A5470">
        <v>81613</v>
      </c>
      <c r="B5470">
        <v>1800</v>
      </c>
      <c r="C5470" s="455">
        <v>0</v>
      </c>
      <c r="D5470" s="637">
        <f t="shared" si="182"/>
        <v>0</v>
      </c>
      <c r="E5470" s="637">
        <f t="shared" si="183"/>
        <v>0</v>
      </c>
    </row>
    <row r="5471" spans="1:5">
      <c r="A5471">
        <v>81613</v>
      </c>
      <c r="B5471">
        <v>1900</v>
      </c>
      <c r="C5471" s="455">
        <v>8.9999999999999993E-3</v>
      </c>
      <c r="D5471" s="637">
        <f t="shared" si="182"/>
        <v>2.0428571428571435E-2</v>
      </c>
      <c r="E5471" s="637">
        <f t="shared" si="183"/>
        <v>2.9714285714285731E-2</v>
      </c>
    </row>
    <row r="5472" spans="1:5">
      <c r="A5472">
        <v>81613</v>
      </c>
      <c r="B5472">
        <v>2000</v>
      </c>
      <c r="C5472" s="455">
        <v>9.5459999999999994</v>
      </c>
      <c r="D5472" s="637">
        <f t="shared" si="182"/>
        <v>21.667904761904765</v>
      </c>
      <c r="E5472" s="637">
        <f t="shared" si="183"/>
        <v>31.516952380952397</v>
      </c>
    </row>
    <row r="5473" spans="1:5">
      <c r="A5473">
        <v>81613</v>
      </c>
      <c r="B5473">
        <v>2100</v>
      </c>
      <c r="C5473" s="455">
        <v>9.859</v>
      </c>
      <c r="D5473" s="637">
        <f t="shared" si="182"/>
        <v>22.378365079365086</v>
      </c>
      <c r="E5473" s="637">
        <f t="shared" si="183"/>
        <v>32.550349206349225</v>
      </c>
    </row>
    <row r="5474" spans="1:5">
      <c r="A5474">
        <v>81613</v>
      </c>
      <c r="B5474">
        <v>2200</v>
      </c>
      <c r="C5474" s="455">
        <v>10.301</v>
      </c>
      <c r="D5474" s="637">
        <f t="shared" si="182"/>
        <v>23.381634920634927</v>
      </c>
      <c r="E5474" s="637">
        <f t="shared" si="183"/>
        <v>34.009650793650813</v>
      </c>
    </row>
    <row r="5475" spans="1:5">
      <c r="A5475">
        <v>81613</v>
      </c>
      <c r="B5475">
        <v>2300</v>
      </c>
      <c r="C5475" s="455">
        <v>9.9849999999999994</v>
      </c>
      <c r="D5475" s="637">
        <f t="shared" si="182"/>
        <v>22.664365079365083</v>
      </c>
      <c r="E5475" s="637">
        <f t="shared" si="183"/>
        <v>32.966349206349221</v>
      </c>
    </row>
    <row r="5476" spans="1:5">
      <c r="A5476">
        <v>81613</v>
      </c>
      <c r="B5476">
        <v>2400</v>
      </c>
      <c r="C5476" s="455">
        <v>10.381</v>
      </c>
      <c r="D5476" s="637">
        <f t="shared" si="182"/>
        <v>23.56322222222223</v>
      </c>
      <c r="E5476" s="637">
        <f t="shared" si="183"/>
        <v>34.273777777777802</v>
      </c>
    </row>
    <row r="5477" spans="1:5">
      <c r="A5477">
        <v>81713</v>
      </c>
      <c r="B5477">
        <v>100</v>
      </c>
      <c r="C5477" s="455">
        <v>10.019</v>
      </c>
      <c r="D5477" s="637">
        <f t="shared" si="182"/>
        <v>22.741539682539688</v>
      </c>
      <c r="E5477" s="637">
        <f t="shared" si="183"/>
        <v>33.078603174603195</v>
      </c>
    </row>
    <row r="5478" spans="1:5">
      <c r="A5478">
        <v>81713</v>
      </c>
      <c r="B5478">
        <v>200</v>
      </c>
      <c r="C5478" s="455">
        <v>9.8710000000000004</v>
      </c>
      <c r="D5478" s="637">
        <f t="shared" ref="D5478:D5541" si="184">(C5478/(MAX($C$5093:$C$5836)))*$W$12</f>
        <v>22.405603174603183</v>
      </c>
      <c r="E5478" s="637">
        <f t="shared" ref="E5478:E5541" si="185">(C5478/(MAX($C$5093:$C$5836)))*$P$12</f>
        <v>32.589968253968273</v>
      </c>
    </row>
    <row r="5479" spans="1:5">
      <c r="A5479">
        <v>81713</v>
      </c>
      <c r="B5479">
        <v>300</v>
      </c>
      <c r="C5479" s="455">
        <v>10.163</v>
      </c>
      <c r="D5479" s="637">
        <f t="shared" si="184"/>
        <v>23.068396825396835</v>
      </c>
      <c r="E5479" s="637">
        <f t="shared" si="185"/>
        <v>33.554031746031768</v>
      </c>
    </row>
    <row r="5480" spans="1:5">
      <c r="A5480">
        <v>81713</v>
      </c>
      <c r="B5480">
        <v>400</v>
      </c>
      <c r="C5480" s="455">
        <v>10.138</v>
      </c>
      <c r="D5480" s="637">
        <f t="shared" si="184"/>
        <v>23.011650793650801</v>
      </c>
      <c r="E5480" s="637">
        <f t="shared" si="185"/>
        <v>33.471492063492086</v>
      </c>
    </row>
    <row r="5481" spans="1:5">
      <c r="A5481">
        <v>81713</v>
      </c>
      <c r="B5481">
        <v>500</v>
      </c>
      <c r="C5481" s="455">
        <v>10.050000000000001</v>
      </c>
      <c r="D5481" s="637">
        <f t="shared" si="184"/>
        <v>22.811904761904771</v>
      </c>
      <c r="E5481" s="637">
        <f t="shared" si="185"/>
        <v>33.180952380952405</v>
      </c>
    </row>
    <row r="5482" spans="1:5">
      <c r="A5482">
        <v>81713</v>
      </c>
      <c r="B5482">
        <v>600</v>
      </c>
      <c r="C5482" s="455">
        <v>7.4119999999999999</v>
      </c>
      <c r="D5482" s="637">
        <f t="shared" si="184"/>
        <v>16.824063492063495</v>
      </c>
      <c r="E5482" s="637">
        <f t="shared" si="185"/>
        <v>24.471365079365093</v>
      </c>
    </row>
    <row r="5483" spans="1:5">
      <c r="A5483">
        <v>81713</v>
      </c>
      <c r="B5483">
        <v>700</v>
      </c>
      <c r="C5483" s="455">
        <v>0</v>
      </c>
      <c r="D5483" s="637">
        <f t="shared" si="184"/>
        <v>0</v>
      </c>
      <c r="E5483" s="637">
        <f t="shared" si="185"/>
        <v>0</v>
      </c>
    </row>
    <row r="5484" spans="1:5">
      <c r="A5484">
        <v>81713</v>
      </c>
      <c r="B5484">
        <v>800</v>
      </c>
      <c r="C5484" s="455">
        <v>0</v>
      </c>
      <c r="D5484" s="637">
        <f t="shared" si="184"/>
        <v>0</v>
      </c>
      <c r="E5484" s="637">
        <f t="shared" si="185"/>
        <v>0</v>
      </c>
    </row>
    <row r="5485" spans="1:5">
      <c r="A5485">
        <v>81713</v>
      </c>
      <c r="B5485">
        <v>900</v>
      </c>
      <c r="C5485" s="455">
        <v>0</v>
      </c>
      <c r="D5485" s="637">
        <f t="shared" si="184"/>
        <v>0</v>
      </c>
      <c r="E5485" s="637">
        <f t="shared" si="185"/>
        <v>0</v>
      </c>
    </row>
    <row r="5486" spans="1:5">
      <c r="A5486">
        <v>81713</v>
      </c>
      <c r="B5486">
        <v>1000</v>
      </c>
      <c r="C5486" s="455">
        <v>0</v>
      </c>
      <c r="D5486" s="637">
        <f t="shared" si="184"/>
        <v>0</v>
      </c>
      <c r="E5486" s="637">
        <f t="shared" si="185"/>
        <v>0</v>
      </c>
    </row>
    <row r="5487" spans="1:5">
      <c r="A5487">
        <v>81713</v>
      </c>
      <c r="B5487">
        <v>1100</v>
      </c>
      <c r="C5487" s="455">
        <v>0</v>
      </c>
      <c r="D5487" s="637">
        <f t="shared" si="184"/>
        <v>0</v>
      </c>
      <c r="E5487" s="637">
        <f t="shared" si="185"/>
        <v>0</v>
      </c>
    </row>
    <row r="5488" spans="1:5">
      <c r="A5488">
        <v>81713</v>
      </c>
      <c r="B5488">
        <v>1200</v>
      </c>
      <c r="C5488" s="455">
        <v>0</v>
      </c>
      <c r="D5488" s="637">
        <f t="shared" si="184"/>
        <v>0</v>
      </c>
      <c r="E5488" s="637">
        <f t="shared" si="185"/>
        <v>0</v>
      </c>
    </row>
    <row r="5489" spans="1:5">
      <c r="A5489">
        <v>81713</v>
      </c>
      <c r="B5489">
        <v>1300</v>
      </c>
      <c r="C5489" s="455">
        <v>0</v>
      </c>
      <c r="D5489" s="637">
        <f t="shared" si="184"/>
        <v>0</v>
      </c>
      <c r="E5489" s="637">
        <f t="shared" si="185"/>
        <v>0</v>
      </c>
    </row>
    <row r="5490" spans="1:5">
      <c r="A5490">
        <v>81713</v>
      </c>
      <c r="B5490">
        <v>1400</v>
      </c>
      <c r="C5490" s="455">
        <v>0</v>
      </c>
      <c r="D5490" s="637">
        <f t="shared" si="184"/>
        <v>0</v>
      </c>
      <c r="E5490" s="637">
        <f t="shared" si="185"/>
        <v>0</v>
      </c>
    </row>
    <row r="5491" spans="1:5">
      <c r="A5491">
        <v>81713</v>
      </c>
      <c r="B5491">
        <v>1500</v>
      </c>
      <c r="C5491" s="455">
        <v>0</v>
      </c>
      <c r="D5491" s="637">
        <f t="shared" si="184"/>
        <v>0</v>
      </c>
      <c r="E5491" s="637">
        <f t="shared" si="185"/>
        <v>0</v>
      </c>
    </row>
    <row r="5492" spans="1:5">
      <c r="A5492">
        <v>81713</v>
      </c>
      <c r="B5492">
        <v>1600</v>
      </c>
      <c r="C5492" s="455">
        <v>0</v>
      </c>
      <c r="D5492" s="637">
        <f t="shared" si="184"/>
        <v>0</v>
      </c>
      <c r="E5492" s="637">
        <f t="shared" si="185"/>
        <v>0</v>
      </c>
    </row>
    <row r="5493" spans="1:5">
      <c r="A5493">
        <v>81713</v>
      </c>
      <c r="B5493">
        <v>1700</v>
      </c>
      <c r="C5493" s="455">
        <v>0</v>
      </c>
      <c r="D5493" s="637">
        <f t="shared" si="184"/>
        <v>0</v>
      </c>
      <c r="E5493" s="637">
        <f t="shared" si="185"/>
        <v>0</v>
      </c>
    </row>
    <row r="5494" spans="1:5">
      <c r="A5494">
        <v>81713</v>
      </c>
      <c r="B5494">
        <v>1800</v>
      </c>
      <c r="C5494" s="455">
        <v>0</v>
      </c>
      <c r="D5494" s="637">
        <f t="shared" si="184"/>
        <v>0</v>
      </c>
      <c r="E5494" s="637">
        <f t="shared" si="185"/>
        <v>0</v>
      </c>
    </row>
    <row r="5495" spans="1:5">
      <c r="A5495">
        <v>81713</v>
      </c>
      <c r="B5495">
        <v>1900</v>
      </c>
      <c r="C5495" s="455">
        <v>1.7000000000000001E-2</v>
      </c>
      <c r="D5495" s="637">
        <f t="shared" si="184"/>
        <v>3.8587301587301608E-2</v>
      </c>
      <c r="E5495" s="637">
        <f t="shared" si="185"/>
        <v>5.6126984126984171E-2</v>
      </c>
    </row>
    <row r="5496" spans="1:5">
      <c r="A5496">
        <v>81713</v>
      </c>
      <c r="B5496">
        <v>2000</v>
      </c>
      <c r="C5496" s="455">
        <v>10.454000000000001</v>
      </c>
      <c r="D5496" s="637">
        <f t="shared" si="184"/>
        <v>23.728920634920641</v>
      </c>
      <c r="E5496" s="637">
        <f t="shared" si="185"/>
        <v>34.514793650793671</v>
      </c>
    </row>
    <row r="5497" spans="1:5">
      <c r="A5497">
        <v>81713</v>
      </c>
      <c r="B5497">
        <v>2100</v>
      </c>
      <c r="C5497" s="455">
        <v>10.058999999999999</v>
      </c>
      <c r="D5497" s="637">
        <f t="shared" si="184"/>
        <v>22.832333333333342</v>
      </c>
      <c r="E5497" s="637">
        <f t="shared" si="185"/>
        <v>33.21066666666669</v>
      </c>
    </row>
    <row r="5498" spans="1:5">
      <c r="A5498">
        <v>81713</v>
      </c>
      <c r="B5498">
        <v>2200</v>
      </c>
      <c r="C5498" s="455">
        <v>10.231</v>
      </c>
      <c r="D5498" s="637">
        <f t="shared" si="184"/>
        <v>23.222746031746038</v>
      </c>
      <c r="E5498" s="637">
        <f t="shared" si="185"/>
        <v>33.778539682539702</v>
      </c>
    </row>
    <row r="5499" spans="1:5">
      <c r="A5499">
        <v>81713</v>
      </c>
      <c r="B5499">
        <v>2300</v>
      </c>
      <c r="C5499" s="455">
        <v>10.130000000000001</v>
      </c>
      <c r="D5499" s="637">
        <f t="shared" si="184"/>
        <v>22.993492063492074</v>
      </c>
      <c r="E5499" s="637">
        <f t="shared" si="185"/>
        <v>33.445079365079387</v>
      </c>
    </row>
    <row r="5500" spans="1:5">
      <c r="A5500">
        <v>81713</v>
      </c>
      <c r="B5500">
        <v>2400</v>
      </c>
      <c r="C5500" s="455">
        <v>9.8930000000000007</v>
      </c>
      <c r="D5500" s="637">
        <f t="shared" si="184"/>
        <v>22.45553968253969</v>
      </c>
      <c r="E5500" s="637">
        <f t="shared" si="185"/>
        <v>32.662603174603198</v>
      </c>
    </row>
    <row r="5501" spans="1:5">
      <c r="A5501">
        <v>81813</v>
      </c>
      <c r="B5501">
        <v>100</v>
      </c>
      <c r="C5501" s="455">
        <v>9.968</v>
      </c>
      <c r="D5501" s="637">
        <f t="shared" si="184"/>
        <v>22.625777777777785</v>
      </c>
      <c r="E5501" s="637">
        <f t="shared" si="185"/>
        <v>32.910222222222238</v>
      </c>
    </row>
    <row r="5502" spans="1:5">
      <c r="A5502">
        <v>81813</v>
      </c>
      <c r="B5502">
        <v>200</v>
      </c>
      <c r="C5502" s="455">
        <v>9.9339999999999993</v>
      </c>
      <c r="D5502" s="637">
        <f t="shared" si="184"/>
        <v>22.54860317460318</v>
      </c>
      <c r="E5502" s="637">
        <f t="shared" si="185"/>
        <v>32.797968253968271</v>
      </c>
    </row>
    <row r="5503" spans="1:5">
      <c r="A5503">
        <v>81813</v>
      </c>
      <c r="B5503">
        <v>300</v>
      </c>
      <c r="C5503" s="455">
        <v>10.210000000000001</v>
      </c>
      <c r="D5503" s="637">
        <f t="shared" si="184"/>
        <v>23.175079365079373</v>
      </c>
      <c r="E5503" s="637">
        <f t="shared" si="185"/>
        <v>33.709206349206376</v>
      </c>
    </row>
    <row r="5504" spans="1:5">
      <c r="A5504">
        <v>81813</v>
      </c>
      <c r="B5504">
        <v>400</v>
      </c>
      <c r="C5504" s="455">
        <v>9.8379999999999992</v>
      </c>
      <c r="D5504" s="637">
        <f t="shared" si="184"/>
        <v>22.330698412698418</v>
      </c>
      <c r="E5504" s="637">
        <f t="shared" si="185"/>
        <v>32.481015873015892</v>
      </c>
    </row>
    <row r="5505" spans="1:5">
      <c r="A5505">
        <v>81813</v>
      </c>
      <c r="B5505">
        <v>500</v>
      </c>
      <c r="C5505" s="455">
        <v>10.199</v>
      </c>
      <c r="D5505" s="637">
        <f t="shared" si="184"/>
        <v>23.150111111111119</v>
      </c>
      <c r="E5505" s="637">
        <f t="shared" si="185"/>
        <v>33.672888888888913</v>
      </c>
    </row>
    <row r="5506" spans="1:5">
      <c r="A5506">
        <v>81813</v>
      </c>
      <c r="B5506">
        <v>600</v>
      </c>
      <c r="C5506" s="455">
        <v>7.375</v>
      </c>
      <c r="D5506" s="637">
        <f t="shared" si="184"/>
        <v>16.740079365079371</v>
      </c>
      <c r="E5506" s="637">
        <f t="shared" si="185"/>
        <v>24.349206349206366</v>
      </c>
    </row>
    <row r="5507" spans="1:5">
      <c r="A5507">
        <v>81813</v>
      </c>
      <c r="B5507">
        <v>700</v>
      </c>
      <c r="C5507" s="455">
        <v>0</v>
      </c>
      <c r="D5507" s="637">
        <f t="shared" si="184"/>
        <v>0</v>
      </c>
      <c r="E5507" s="637">
        <f t="shared" si="185"/>
        <v>0</v>
      </c>
    </row>
    <row r="5508" spans="1:5">
      <c r="A5508">
        <v>81813</v>
      </c>
      <c r="B5508">
        <v>800</v>
      </c>
      <c r="C5508" s="455">
        <v>0</v>
      </c>
      <c r="D5508" s="637">
        <f t="shared" si="184"/>
        <v>0</v>
      </c>
      <c r="E5508" s="637">
        <f t="shared" si="185"/>
        <v>0</v>
      </c>
    </row>
    <row r="5509" spans="1:5">
      <c r="A5509">
        <v>81813</v>
      </c>
      <c r="B5509">
        <v>900</v>
      </c>
      <c r="C5509" s="455">
        <v>0</v>
      </c>
      <c r="D5509" s="637">
        <f t="shared" si="184"/>
        <v>0</v>
      </c>
      <c r="E5509" s="637">
        <f t="shared" si="185"/>
        <v>0</v>
      </c>
    </row>
    <row r="5510" spans="1:5">
      <c r="A5510">
        <v>81813</v>
      </c>
      <c r="B5510">
        <v>1000</v>
      </c>
      <c r="C5510" s="455">
        <v>0</v>
      </c>
      <c r="D5510" s="637">
        <f t="shared" si="184"/>
        <v>0</v>
      </c>
      <c r="E5510" s="637">
        <f t="shared" si="185"/>
        <v>0</v>
      </c>
    </row>
    <row r="5511" spans="1:5">
      <c r="A5511">
        <v>81813</v>
      </c>
      <c r="B5511">
        <v>1100</v>
      </c>
      <c r="C5511" s="455">
        <v>0</v>
      </c>
      <c r="D5511" s="637">
        <f t="shared" si="184"/>
        <v>0</v>
      </c>
      <c r="E5511" s="637">
        <f t="shared" si="185"/>
        <v>0</v>
      </c>
    </row>
    <row r="5512" spans="1:5">
      <c r="A5512">
        <v>81813</v>
      </c>
      <c r="B5512">
        <v>1200</v>
      </c>
      <c r="C5512" s="455">
        <v>0</v>
      </c>
      <c r="D5512" s="637">
        <f t="shared" si="184"/>
        <v>0</v>
      </c>
      <c r="E5512" s="637">
        <f t="shared" si="185"/>
        <v>0</v>
      </c>
    </row>
    <row r="5513" spans="1:5">
      <c r="A5513">
        <v>81813</v>
      </c>
      <c r="B5513">
        <v>1300</v>
      </c>
      <c r="C5513" s="455">
        <v>0</v>
      </c>
      <c r="D5513" s="637">
        <f t="shared" si="184"/>
        <v>0</v>
      </c>
      <c r="E5513" s="637">
        <f t="shared" si="185"/>
        <v>0</v>
      </c>
    </row>
    <row r="5514" spans="1:5">
      <c r="A5514">
        <v>81813</v>
      </c>
      <c r="B5514">
        <v>1400</v>
      </c>
      <c r="C5514" s="455">
        <v>0</v>
      </c>
      <c r="D5514" s="637">
        <f t="shared" si="184"/>
        <v>0</v>
      </c>
      <c r="E5514" s="637">
        <f t="shared" si="185"/>
        <v>0</v>
      </c>
    </row>
    <row r="5515" spans="1:5">
      <c r="A5515">
        <v>81813</v>
      </c>
      <c r="B5515">
        <v>1500</v>
      </c>
      <c r="C5515" s="455">
        <v>0</v>
      </c>
      <c r="D5515" s="637">
        <f t="shared" si="184"/>
        <v>0</v>
      </c>
      <c r="E5515" s="637">
        <f t="shared" si="185"/>
        <v>0</v>
      </c>
    </row>
    <row r="5516" spans="1:5">
      <c r="A5516">
        <v>81813</v>
      </c>
      <c r="B5516">
        <v>1600</v>
      </c>
      <c r="C5516" s="455">
        <v>0</v>
      </c>
      <c r="D5516" s="637">
        <f t="shared" si="184"/>
        <v>0</v>
      </c>
      <c r="E5516" s="637">
        <f t="shared" si="185"/>
        <v>0</v>
      </c>
    </row>
    <row r="5517" spans="1:5">
      <c r="A5517">
        <v>81813</v>
      </c>
      <c r="B5517">
        <v>1700</v>
      </c>
      <c r="C5517" s="455">
        <v>0</v>
      </c>
      <c r="D5517" s="637">
        <f t="shared" si="184"/>
        <v>0</v>
      </c>
      <c r="E5517" s="637">
        <f t="shared" si="185"/>
        <v>0</v>
      </c>
    </row>
    <row r="5518" spans="1:5">
      <c r="A5518">
        <v>81813</v>
      </c>
      <c r="B5518">
        <v>1800</v>
      </c>
      <c r="C5518" s="455">
        <v>1E-3</v>
      </c>
      <c r="D5518" s="637">
        <f t="shared" si="184"/>
        <v>2.2698412698412703E-3</v>
      </c>
      <c r="E5518" s="637">
        <f t="shared" si="185"/>
        <v>3.3015873015873037E-3</v>
      </c>
    </row>
    <row r="5519" spans="1:5">
      <c r="A5519">
        <v>81813</v>
      </c>
      <c r="B5519">
        <v>1900</v>
      </c>
      <c r="C5519" s="455">
        <v>3.5000000000000003E-2</v>
      </c>
      <c r="D5519" s="637">
        <f t="shared" si="184"/>
        <v>7.9444444444444484E-2</v>
      </c>
      <c r="E5519" s="637">
        <f t="shared" si="185"/>
        <v>0.11555555555555565</v>
      </c>
    </row>
    <row r="5520" spans="1:5">
      <c r="A5520">
        <v>81813</v>
      </c>
      <c r="B5520">
        <v>2000</v>
      </c>
      <c r="C5520" s="455">
        <v>10.813000000000001</v>
      </c>
      <c r="D5520" s="637">
        <f t="shared" si="184"/>
        <v>24.54379365079366</v>
      </c>
      <c r="E5520" s="637">
        <f t="shared" si="185"/>
        <v>35.700063492063521</v>
      </c>
    </row>
    <row r="5521" spans="1:5">
      <c r="A5521">
        <v>81813</v>
      </c>
      <c r="B5521">
        <v>2100</v>
      </c>
      <c r="C5521" s="455">
        <v>9.641</v>
      </c>
      <c r="D5521" s="637">
        <f t="shared" si="184"/>
        <v>21.883539682539688</v>
      </c>
      <c r="E5521" s="637">
        <f t="shared" si="185"/>
        <v>31.830603174603194</v>
      </c>
    </row>
    <row r="5522" spans="1:5">
      <c r="A5522">
        <v>81813</v>
      </c>
      <c r="B5522">
        <v>2200</v>
      </c>
      <c r="C5522" s="455">
        <v>10.327999999999999</v>
      </c>
      <c r="D5522" s="637">
        <f t="shared" si="184"/>
        <v>23.44292063492064</v>
      </c>
      <c r="E5522" s="637">
        <f t="shared" si="185"/>
        <v>34.098793650793667</v>
      </c>
    </row>
    <row r="5523" spans="1:5">
      <c r="A5523">
        <v>81813</v>
      </c>
      <c r="B5523">
        <v>2300</v>
      </c>
      <c r="C5523" s="455">
        <v>9.9930000000000003</v>
      </c>
      <c r="D5523" s="637">
        <f t="shared" si="184"/>
        <v>22.682523809523818</v>
      </c>
      <c r="E5523" s="637">
        <f t="shared" si="185"/>
        <v>32.992761904761927</v>
      </c>
    </row>
    <row r="5524" spans="1:5">
      <c r="A5524">
        <v>81813</v>
      </c>
      <c r="B5524">
        <v>2400</v>
      </c>
      <c r="C5524" s="455">
        <v>10.128</v>
      </c>
      <c r="D5524" s="637">
        <f t="shared" si="184"/>
        <v>22.988952380952387</v>
      </c>
      <c r="E5524" s="637">
        <f t="shared" si="185"/>
        <v>33.438476190476209</v>
      </c>
    </row>
    <row r="5525" spans="1:5">
      <c r="A5525">
        <v>81913</v>
      </c>
      <c r="B5525">
        <v>100</v>
      </c>
      <c r="C5525" s="455">
        <v>9.9730000000000008</v>
      </c>
      <c r="D5525" s="637">
        <f t="shared" si="184"/>
        <v>22.63712698412699</v>
      </c>
      <c r="E5525" s="637">
        <f t="shared" si="185"/>
        <v>32.92673015873018</v>
      </c>
    </row>
    <row r="5526" spans="1:5">
      <c r="A5526">
        <v>81913</v>
      </c>
      <c r="B5526">
        <v>200</v>
      </c>
      <c r="C5526" s="455">
        <v>10.127000000000001</v>
      </c>
      <c r="D5526" s="637">
        <f t="shared" si="184"/>
        <v>22.986682539682548</v>
      </c>
      <c r="E5526" s="637">
        <f t="shared" si="185"/>
        <v>33.435174603174623</v>
      </c>
    </row>
    <row r="5527" spans="1:5">
      <c r="A5527">
        <v>81913</v>
      </c>
      <c r="B5527">
        <v>300</v>
      </c>
      <c r="C5527" s="455">
        <v>10.048</v>
      </c>
      <c r="D5527" s="637">
        <f t="shared" si="184"/>
        <v>22.807365079365088</v>
      </c>
      <c r="E5527" s="637">
        <f t="shared" si="185"/>
        <v>33.174349206349227</v>
      </c>
    </row>
    <row r="5528" spans="1:5">
      <c r="A5528">
        <v>81913</v>
      </c>
      <c r="B5528">
        <v>400</v>
      </c>
      <c r="C5528" s="455">
        <v>9.9359999999999999</v>
      </c>
      <c r="D5528" s="637">
        <f t="shared" si="184"/>
        <v>22.553142857142863</v>
      </c>
      <c r="E5528" s="637">
        <f t="shared" si="185"/>
        <v>32.80457142857145</v>
      </c>
    </row>
    <row r="5529" spans="1:5">
      <c r="A5529">
        <v>81913</v>
      </c>
      <c r="B5529">
        <v>500</v>
      </c>
      <c r="C5529" s="455">
        <v>9.9659999999999993</v>
      </c>
      <c r="D5529" s="637">
        <f t="shared" si="184"/>
        <v>22.621238095238102</v>
      </c>
      <c r="E5529" s="637">
        <f t="shared" si="185"/>
        <v>32.903619047619067</v>
      </c>
    </row>
    <row r="5530" spans="1:5">
      <c r="A5530">
        <v>81913</v>
      </c>
      <c r="B5530">
        <v>600</v>
      </c>
      <c r="C5530" s="455">
        <v>7.8220000000000001</v>
      </c>
      <c r="D5530" s="637">
        <f t="shared" si="184"/>
        <v>17.754698412698417</v>
      </c>
      <c r="E5530" s="637">
        <f t="shared" si="185"/>
        <v>25.825015873015886</v>
      </c>
    </row>
    <row r="5531" spans="1:5">
      <c r="A5531">
        <v>81913</v>
      </c>
      <c r="B5531">
        <v>700</v>
      </c>
      <c r="C5531" s="455">
        <v>1E-3</v>
      </c>
      <c r="D5531" s="637">
        <f t="shared" si="184"/>
        <v>2.2698412698412703E-3</v>
      </c>
      <c r="E5531" s="637">
        <f t="shared" si="185"/>
        <v>3.3015873015873037E-3</v>
      </c>
    </row>
    <row r="5532" spans="1:5">
      <c r="A5532">
        <v>81913</v>
      </c>
      <c r="B5532">
        <v>800</v>
      </c>
      <c r="C5532" s="455">
        <v>0</v>
      </c>
      <c r="D5532" s="637">
        <f t="shared" si="184"/>
        <v>0</v>
      </c>
      <c r="E5532" s="637">
        <f t="shared" si="185"/>
        <v>0</v>
      </c>
    </row>
    <row r="5533" spans="1:5">
      <c r="A5533">
        <v>81913</v>
      </c>
      <c r="B5533">
        <v>900</v>
      </c>
      <c r="C5533" s="455">
        <v>0</v>
      </c>
      <c r="D5533" s="637">
        <f t="shared" si="184"/>
        <v>0</v>
      </c>
      <c r="E5533" s="637">
        <f t="shared" si="185"/>
        <v>0</v>
      </c>
    </row>
    <row r="5534" spans="1:5">
      <c r="A5534">
        <v>81913</v>
      </c>
      <c r="B5534">
        <v>1000</v>
      </c>
      <c r="C5534" s="455">
        <v>0</v>
      </c>
      <c r="D5534" s="637">
        <f t="shared" si="184"/>
        <v>0</v>
      </c>
      <c r="E5534" s="637">
        <f t="shared" si="185"/>
        <v>0</v>
      </c>
    </row>
    <row r="5535" spans="1:5">
      <c r="A5535">
        <v>81913</v>
      </c>
      <c r="B5535">
        <v>1100</v>
      </c>
      <c r="C5535" s="455">
        <v>0</v>
      </c>
      <c r="D5535" s="637">
        <f t="shared" si="184"/>
        <v>0</v>
      </c>
      <c r="E5535" s="637">
        <f t="shared" si="185"/>
        <v>0</v>
      </c>
    </row>
    <row r="5536" spans="1:5">
      <c r="A5536">
        <v>81913</v>
      </c>
      <c r="B5536">
        <v>1200</v>
      </c>
      <c r="C5536" s="455">
        <v>0</v>
      </c>
      <c r="D5536" s="637">
        <f t="shared" si="184"/>
        <v>0</v>
      </c>
      <c r="E5536" s="637">
        <f t="shared" si="185"/>
        <v>0</v>
      </c>
    </row>
    <row r="5537" spans="1:5">
      <c r="A5537">
        <v>81913</v>
      </c>
      <c r="B5537">
        <v>1300</v>
      </c>
      <c r="C5537" s="455">
        <v>1E-3</v>
      </c>
      <c r="D5537" s="637">
        <f t="shared" si="184"/>
        <v>2.2698412698412703E-3</v>
      </c>
      <c r="E5537" s="637">
        <f t="shared" si="185"/>
        <v>3.3015873015873037E-3</v>
      </c>
    </row>
    <row r="5538" spans="1:5">
      <c r="A5538">
        <v>81913</v>
      </c>
      <c r="B5538">
        <v>1400</v>
      </c>
      <c r="C5538" s="455">
        <v>0</v>
      </c>
      <c r="D5538" s="637">
        <f t="shared" si="184"/>
        <v>0</v>
      </c>
      <c r="E5538" s="637">
        <f t="shared" si="185"/>
        <v>0</v>
      </c>
    </row>
    <row r="5539" spans="1:5">
      <c r="A5539">
        <v>81913</v>
      </c>
      <c r="B5539">
        <v>1500</v>
      </c>
      <c r="C5539" s="455">
        <v>0</v>
      </c>
      <c r="D5539" s="637">
        <f t="shared" si="184"/>
        <v>0</v>
      </c>
      <c r="E5539" s="637">
        <f t="shared" si="185"/>
        <v>0</v>
      </c>
    </row>
    <row r="5540" spans="1:5">
      <c r="A5540">
        <v>81913</v>
      </c>
      <c r="B5540">
        <v>1600</v>
      </c>
      <c r="C5540" s="455">
        <v>0</v>
      </c>
      <c r="D5540" s="637">
        <f t="shared" si="184"/>
        <v>0</v>
      </c>
      <c r="E5540" s="637">
        <f t="shared" si="185"/>
        <v>0</v>
      </c>
    </row>
    <row r="5541" spans="1:5">
      <c r="A5541">
        <v>81913</v>
      </c>
      <c r="B5541">
        <v>1700</v>
      </c>
      <c r="C5541" s="455">
        <v>0</v>
      </c>
      <c r="D5541" s="637">
        <f t="shared" si="184"/>
        <v>0</v>
      </c>
      <c r="E5541" s="637">
        <f t="shared" si="185"/>
        <v>0</v>
      </c>
    </row>
    <row r="5542" spans="1:5">
      <c r="A5542">
        <v>81913</v>
      </c>
      <c r="B5542">
        <v>1800</v>
      </c>
      <c r="C5542" s="455">
        <v>0</v>
      </c>
      <c r="D5542" s="637">
        <f t="shared" ref="D5542:D5605" si="186">(C5542/(MAX($C$5093:$C$5836)))*$W$12</f>
        <v>0</v>
      </c>
      <c r="E5542" s="637">
        <f t="shared" ref="E5542:E5605" si="187">(C5542/(MAX($C$5093:$C$5836)))*$P$12</f>
        <v>0</v>
      </c>
    </row>
    <row r="5543" spans="1:5">
      <c r="A5543">
        <v>81913</v>
      </c>
      <c r="B5543">
        <v>1900</v>
      </c>
      <c r="C5543" s="455">
        <v>0.13600000000000001</v>
      </c>
      <c r="D5543" s="637">
        <f t="shared" si="186"/>
        <v>0.30869841269841286</v>
      </c>
      <c r="E5543" s="637">
        <f t="shared" si="187"/>
        <v>0.44901587301587337</v>
      </c>
    </row>
    <row r="5544" spans="1:5">
      <c r="A5544">
        <v>81913</v>
      </c>
      <c r="B5544">
        <v>2000</v>
      </c>
      <c r="C5544" s="455">
        <v>11.053000000000001</v>
      </c>
      <c r="D5544" s="637">
        <f t="shared" si="186"/>
        <v>25.088555555555565</v>
      </c>
      <c r="E5544" s="637">
        <f t="shared" si="187"/>
        <v>36.492444444444473</v>
      </c>
    </row>
    <row r="5545" spans="1:5">
      <c r="A5545">
        <v>81913</v>
      </c>
      <c r="B5545">
        <v>2100</v>
      </c>
      <c r="C5545" s="455">
        <v>10.035</v>
      </c>
      <c r="D5545" s="637">
        <f t="shared" si="186"/>
        <v>22.777857142857151</v>
      </c>
      <c r="E5545" s="637">
        <f t="shared" si="187"/>
        <v>33.131428571428593</v>
      </c>
    </row>
    <row r="5546" spans="1:5">
      <c r="A5546">
        <v>81913</v>
      </c>
      <c r="B5546">
        <v>2200</v>
      </c>
      <c r="C5546" s="455">
        <v>10.083</v>
      </c>
      <c r="D5546" s="637">
        <f t="shared" si="186"/>
        <v>22.886809523809529</v>
      </c>
      <c r="E5546" s="637">
        <f t="shared" si="187"/>
        <v>33.289904761904779</v>
      </c>
    </row>
    <row r="5547" spans="1:5">
      <c r="A5547">
        <v>81913</v>
      </c>
      <c r="B5547">
        <v>2300</v>
      </c>
      <c r="C5547" s="455">
        <v>10.038</v>
      </c>
      <c r="D5547" s="637">
        <f t="shared" si="186"/>
        <v>22.784666666666674</v>
      </c>
      <c r="E5547" s="637">
        <f t="shared" si="187"/>
        <v>33.14133333333335</v>
      </c>
    </row>
    <row r="5548" spans="1:5">
      <c r="A5548">
        <v>81913</v>
      </c>
      <c r="B5548">
        <v>2400</v>
      </c>
      <c r="C5548" s="455">
        <v>10.061</v>
      </c>
      <c r="D5548" s="637">
        <f t="shared" si="186"/>
        <v>22.836873015873021</v>
      </c>
      <c r="E5548" s="637">
        <f t="shared" si="187"/>
        <v>33.217269841269861</v>
      </c>
    </row>
    <row r="5549" spans="1:5">
      <c r="A5549">
        <v>82013</v>
      </c>
      <c r="B5549">
        <v>100</v>
      </c>
      <c r="C5549" s="455">
        <v>10.124000000000001</v>
      </c>
      <c r="D5549" s="637">
        <f t="shared" si="186"/>
        <v>22.979873015873025</v>
      </c>
      <c r="E5549" s="637">
        <f t="shared" si="187"/>
        <v>33.425269841269866</v>
      </c>
    </row>
    <row r="5550" spans="1:5">
      <c r="A5550">
        <v>82013</v>
      </c>
      <c r="B5550">
        <v>200</v>
      </c>
      <c r="C5550" s="455">
        <v>10.191000000000001</v>
      </c>
      <c r="D5550" s="637">
        <f t="shared" si="186"/>
        <v>23.131952380952391</v>
      </c>
      <c r="E5550" s="637">
        <f t="shared" si="187"/>
        <v>33.646476190476214</v>
      </c>
    </row>
    <row r="5551" spans="1:5">
      <c r="A5551">
        <v>82013</v>
      </c>
      <c r="B5551">
        <v>300</v>
      </c>
      <c r="C5551" s="455">
        <v>10.113</v>
      </c>
      <c r="D5551" s="637">
        <f t="shared" si="186"/>
        <v>22.954904761904768</v>
      </c>
      <c r="E5551" s="637">
        <f t="shared" si="187"/>
        <v>33.388952380952404</v>
      </c>
    </row>
    <row r="5552" spans="1:5">
      <c r="A5552">
        <v>82013</v>
      </c>
      <c r="B5552">
        <v>400</v>
      </c>
      <c r="C5552" s="455">
        <v>9.8680000000000003</v>
      </c>
      <c r="D5552" s="637">
        <f t="shared" si="186"/>
        <v>22.39879365079366</v>
      </c>
      <c r="E5552" s="637">
        <f t="shared" si="187"/>
        <v>32.580063492063516</v>
      </c>
    </row>
    <row r="5553" spans="1:5">
      <c r="A5553">
        <v>82013</v>
      </c>
      <c r="B5553">
        <v>500</v>
      </c>
      <c r="C5553" s="455">
        <v>9.9700000000000006</v>
      </c>
      <c r="D5553" s="637">
        <f t="shared" si="186"/>
        <v>22.630317460317467</v>
      </c>
      <c r="E5553" s="637">
        <f t="shared" si="187"/>
        <v>32.916825396825416</v>
      </c>
    </row>
    <row r="5554" spans="1:5">
      <c r="A5554">
        <v>82013</v>
      </c>
      <c r="B5554">
        <v>600</v>
      </c>
      <c r="C5554" s="455">
        <v>8.0259999999999998</v>
      </c>
      <c r="D5554" s="637">
        <f t="shared" si="186"/>
        <v>18.217746031746039</v>
      </c>
      <c r="E5554" s="637">
        <f t="shared" si="187"/>
        <v>26.4985396825397</v>
      </c>
    </row>
    <row r="5555" spans="1:5">
      <c r="A5555">
        <v>82013</v>
      </c>
      <c r="B5555">
        <v>700</v>
      </c>
      <c r="C5555" s="455">
        <v>2E-3</v>
      </c>
      <c r="D5555" s="637">
        <f t="shared" si="186"/>
        <v>4.5396825396825406E-3</v>
      </c>
      <c r="E5555" s="637">
        <f t="shared" si="187"/>
        <v>6.6031746031746073E-3</v>
      </c>
    </row>
    <row r="5556" spans="1:5">
      <c r="A5556">
        <v>82013</v>
      </c>
      <c r="B5556">
        <v>800</v>
      </c>
      <c r="C5556" s="455">
        <v>0</v>
      </c>
      <c r="D5556" s="637">
        <f t="shared" si="186"/>
        <v>0</v>
      </c>
      <c r="E5556" s="637">
        <f t="shared" si="187"/>
        <v>0</v>
      </c>
    </row>
    <row r="5557" spans="1:5">
      <c r="A5557">
        <v>82013</v>
      </c>
      <c r="B5557">
        <v>900</v>
      </c>
      <c r="C5557" s="455">
        <v>0</v>
      </c>
      <c r="D5557" s="637">
        <f t="shared" si="186"/>
        <v>0</v>
      </c>
      <c r="E5557" s="637">
        <f t="shared" si="187"/>
        <v>0</v>
      </c>
    </row>
    <row r="5558" spans="1:5">
      <c r="A5558">
        <v>82013</v>
      </c>
      <c r="B5558">
        <v>1000</v>
      </c>
      <c r="C5558" s="455">
        <v>0</v>
      </c>
      <c r="D5558" s="637">
        <f t="shared" si="186"/>
        <v>0</v>
      </c>
      <c r="E5558" s="637">
        <f t="shared" si="187"/>
        <v>0</v>
      </c>
    </row>
    <row r="5559" spans="1:5">
      <c r="A5559">
        <v>82013</v>
      </c>
      <c r="B5559">
        <v>1100</v>
      </c>
      <c r="C5559" s="455">
        <v>0</v>
      </c>
      <c r="D5559" s="637">
        <f t="shared" si="186"/>
        <v>0</v>
      </c>
      <c r="E5559" s="637">
        <f t="shared" si="187"/>
        <v>0</v>
      </c>
    </row>
    <row r="5560" spans="1:5">
      <c r="A5560">
        <v>82013</v>
      </c>
      <c r="B5560">
        <v>1200</v>
      </c>
      <c r="C5560" s="455">
        <v>1.2E-2</v>
      </c>
      <c r="D5560" s="637">
        <f t="shared" si="186"/>
        <v>2.7238095238095249E-2</v>
      </c>
      <c r="E5560" s="637">
        <f t="shared" si="187"/>
        <v>3.9619047619047644E-2</v>
      </c>
    </row>
    <row r="5561" spans="1:5">
      <c r="A5561">
        <v>82013</v>
      </c>
      <c r="B5561">
        <v>1300</v>
      </c>
      <c r="C5561" s="455">
        <v>0</v>
      </c>
      <c r="D5561" s="637">
        <f t="shared" si="186"/>
        <v>0</v>
      </c>
      <c r="E5561" s="637">
        <f t="shared" si="187"/>
        <v>0</v>
      </c>
    </row>
    <row r="5562" spans="1:5">
      <c r="A5562">
        <v>82013</v>
      </c>
      <c r="B5562">
        <v>1400</v>
      </c>
      <c r="C5562" s="455">
        <v>0</v>
      </c>
      <c r="D5562" s="637">
        <f t="shared" si="186"/>
        <v>0</v>
      </c>
      <c r="E5562" s="637">
        <f t="shared" si="187"/>
        <v>0</v>
      </c>
    </row>
    <row r="5563" spans="1:5">
      <c r="A5563">
        <v>82013</v>
      </c>
      <c r="B5563">
        <v>1500</v>
      </c>
      <c r="C5563" s="455">
        <v>0</v>
      </c>
      <c r="D5563" s="637">
        <f t="shared" si="186"/>
        <v>0</v>
      </c>
      <c r="E5563" s="637">
        <f t="shared" si="187"/>
        <v>0</v>
      </c>
    </row>
    <row r="5564" spans="1:5">
      <c r="A5564">
        <v>82013</v>
      </c>
      <c r="B5564">
        <v>1600</v>
      </c>
      <c r="C5564" s="455">
        <v>0</v>
      </c>
      <c r="D5564" s="637">
        <f t="shared" si="186"/>
        <v>0</v>
      </c>
      <c r="E5564" s="637">
        <f t="shared" si="187"/>
        <v>0</v>
      </c>
    </row>
    <row r="5565" spans="1:5">
      <c r="A5565">
        <v>82013</v>
      </c>
      <c r="B5565">
        <v>1700</v>
      </c>
      <c r="C5565" s="455">
        <v>0</v>
      </c>
      <c r="D5565" s="637">
        <f t="shared" si="186"/>
        <v>0</v>
      </c>
      <c r="E5565" s="637">
        <f t="shared" si="187"/>
        <v>0</v>
      </c>
    </row>
    <row r="5566" spans="1:5">
      <c r="A5566">
        <v>82013</v>
      </c>
      <c r="B5566">
        <v>1800</v>
      </c>
      <c r="C5566" s="455">
        <v>0</v>
      </c>
      <c r="D5566" s="637">
        <f t="shared" si="186"/>
        <v>0</v>
      </c>
      <c r="E5566" s="637">
        <f t="shared" si="187"/>
        <v>0</v>
      </c>
    </row>
    <row r="5567" spans="1:5">
      <c r="A5567">
        <v>82013</v>
      </c>
      <c r="B5567">
        <v>1900</v>
      </c>
      <c r="C5567" s="455">
        <v>0.21</v>
      </c>
      <c r="D5567" s="637">
        <f t="shared" si="186"/>
        <v>0.47666666666666679</v>
      </c>
      <c r="E5567" s="637">
        <f t="shared" si="187"/>
        <v>0.69333333333333369</v>
      </c>
    </row>
    <row r="5568" spans="1:5">
      <c r="A5568">
        <v>82013</v>
      </c>
      <c r="B5568">
        <v>2000</v>
      </c>
      <c r="C5568" s="455">
        <v>11.308999999999999</v>
      </c>
      <c r="D5568" s="637">
        <f t="shared" si="186"/>
        <v>25.669634920634927</v>
      </c>
      <c r="E5568" s="637">
        <f t="shared" si="187"/>
        <v>37.337650793650816</v>
      </c>
    </row>
    <row r="5569" spans="1:5">
      <c r="A5569">
        <v>82013</v>
      </c>
      <c r="B5569">
        <v>2100</v>
      </c>
      <c r="C5569" s="455">
        <v>10.4</v>
      </c>
      <c r="D5569" s="637">
        <f t="shared" si="186"/>
        <v>23.606349206349215</v>
      </c>
      <c r="E5569" s="637">
        <f t="shared" si="187"/>
        <v>34.336507936507957</v>
      </c>
    </row>
    <row r="5570" spans="1:5">
      <c r="A5570">
        <v>82013</v>
      </c>
      <c r="B5570">
        <v>2200</v>
      </c>
      <c r="C5570" s="455">
        <v>9.891</v>
      </c>
      <c r="D5570" s="637">
        <f t="shared" si="186"/>
        <v>22.451000000000004</v>
      </c>
      <c r="E5570" s="637">
        <f t="shared" si="187"/>
        <v>32.65600000000002</v>
      </c>
    </row>
    <row r="5571" spans="1:5">
      <c r="A5571">
        <v>82013</v>
      </c>
      <c r="B5571">
        <v>2300</v>
      </c>
      <c r="C5571" s="455">
        <v>10.302</v>
      </c>
      <c r="D5571" s="637">
        <f t="shared" si="186"/>
        <v>23.383904761904766</v>
      </c>
      <c r="E5571" s="637">
        <f t="shared" si="187"/>
        <v>34.012952380952399</v>
      </c>
    </row>
    <row r="5572" spans="1:5">
      <c r="A5572">
        <v>82013</v>
      </c>
      <c r="B5572">
        <v>2400</v>
      </c>
      <c r="C5572" s="455">
        <v>9.89</v>
      </c>
      <c r="D5572" s="637">
        <f t="shared" si="186"/>
        <v>22.448730158730168</v>
      </c>
      <c r="E5572" s="637">
        <f t="shared" si="187"/>
        <v>32.652698412698435</v>
      </c>
    </row>
    <row r="5573" spans="1:5">
      <c r="A5573">
        <v>82113</v>
      </c>
      <c r="B5573">
        <v>100</v>
      </c>
      <c r="C5573" s="455">
        <v>10.122</v>
      </c>
      <c r="D5573" s="637">
        <f t="shared" si="186"/>
        <v>22.975333333333339</v>
      </c>
      <c r="E5573" s="637">
        <f t="shared" si="187"/>
        <v>33.418666666666688</v>
      </c>
    </row>
    <row r="5574" spans="1:5">
      <c r="A5574">
        <v>82113</v>
      </c>
      <c r="B5574">
        <v>200</v>
      </c>
      <c r="C5574" s="455">
        <v>10.305</v>
      </c>
      <c r="D5574" s="637">
        <f t="shared" si="186"/>
        <v>23.390714285714292</v>
      </c>
      <c r="E5574" s="637">
        <f t="shared" si="187"/>
        <v>34.022857142857163</v>
      </c>
    </row>
    <row r="5575" spans="1:5">
      <c r="A5575">
        <v>82113</v>
      </c>
      <c r="B5575">
        <v>300</v>
      </c>
      <c r="C5575" s="455">
        <v>9.8680000000000003</v>
      </c>
      <c r="D5575" s="637">
        <f t="shared" si="186"/>
        <v>22.39879365079366</v>
      </c>
      <c r="E5575" s="637">
        <f t="shared" si="187"/>
        <v>32.580063492063516</v>
      </c>
    </row>
    <row r="5576" spans="1:5">
      <c r="A5576">
        <v>82113</v>
      </c>
      <c r="B5576">
        <v>400</v>
      </c>
      <c r="C5576" s="455">
        <v>10.005000000000001</v>
      </c>
      <c r="D5576" s="637">
        <f t="shared" si="186"/>
        <v>22.709761904761915</v>
      </c>
      <c r="E5576" s="637">
        <f t="shared" si="187"/>
        <v>33.032380952380976</v>
      </c>
    </row>
    <row r="5577" spans="1:5">
      <c r="A5577">
        <v>82113</v>
      </c>
      <c r="B5577">
        <v>500</v>
      </c>
      <c r="C5577" s="455">
        <v>9.9619999999999997</v>
      </c>
      <c r="D5577" s="637">
        <f t="shared" si="186"/>
        <v>22.612158730158736</v>
      </c>
      <c r="E5577" s="637">
        <f t="shared" si="187"/>
        <v>32.890412698412717</v>
      </c>
    </row>
    <row r="5578" spans="1:5">
      <c r="A5578">
        <v>82113</v>
      </c>
      <c r="B5578">
        <v>600</v>
      </c>
      <c r="C5578" s="455">
        <v>8.5540000000000003</v>
      </c>
      <c r="D5578" s="637">
        <f t="shared" si="186"/>
        <v>19.416222222222228</v>
      </c>
      <c r="E5578" s="637">
        <f t="shared" si="187"/>
        <v>28.241777777777795</v>
      </c>
    </row>
    <row r="5579" spans="1:5">
      <c r="A5579">
        <v>82113</v>
      </c>
      <c r="B5579">
        <v>700</v>
      </c>
      <c r="C5579" s="455">
        <v>1.2E-2</v>
      </c>
      <c r="D5579" s="637">
        <f t="shared" si="186"/>
        <v>2.7238095238095249E-2</v>
      </c>
      <c r="E5579" s="637">
        <f t="shared" si="187"/>
        <v>3.9619047619047644E-2</v>
      </c>
    </row>
    <row r="5580" spans="1:5">
      <c r="A5580">
        <v>82113</v>
      </c>
      <c r="B5580">
        <v>800</v>
      </c>
      <c r="C5580" s="455">
        <v>0</v>
      </c>
      <c r="D5580" s="637">
        <f t="shared" si="186"/>
        <v>0</v>
      </c>
      <c r="E5580" s="637">
        <f t="shared" si="187"/>
        <v>0</v>
      </c>
    </row>
    <row r="5581" spans="1:5">
      <c r="A5581">
        <v>82113</v>
      </c>
      <c r="B5581">
        <v>900</v>
      </c>
      <c r="C5581" s="455">
        <v>0</v>
      </c>
      <c r="D5581" s="637">
        <f t="shared" si="186"/>
        <v>0</v>
      </c>
      <c r="E5581" s="637">
        <f t="shared" si="187"/>
        <v>0</v>
      </c>
    </row>
    <row r="5582" spans="1:5">
      <c r="A5582">
        <v>82113</v>
      </c>
      <c r="B5582">
        <v>1000</v>
      </c>
      <c r="C5582" s="455">
        <v>0</v>
      </c>
      <c r="D5582" s="637">
        <f t="shared" si="186"/>
        <v>0</v>
      </c>
      <c r="E5582" s="637">
        <f t="shared" si="187"/>
        <v>0</v>
      </c>
    </row>
    <row r="5583" spans="1:5">
      <c r="A5583">
        <v>82113</v>
      </c>
      <c r="B5583">
        <v>1100</v>
      </c>
      <c r="C5583" s="455">
        <v>0</v>
      </c>
      <c r="D5583" s="637">
        <f t="shared" si="186"/>
        <v>0</v>
      </c>
      <c r="E5583" s="637">
        <f t="shared" si="187"/>
        <v>0</v>
      </c>
    </row>
    <row r="5584" spans="1:5">
      <c r="A5584">
        <v>82113</v>
      </c>
      <c r="B5584">
        <v>1200</v>
      </c>
      <c r="C5584" s="455">
        <v>0</v>
      </c>
      <c r="D5584" s="637">
        <f t="shared" si="186"/>
        <v>0</v>
      </c>
      <c r="E5584" s="637">
        <f t="shared" si="187"/>
        <v>0</v>
      </c>
    </row>
    <row r="5585" spans="1:5">
      <c r="A5585">
        <v>82113</v>
      </c>
      <c r="B5585">
        <v>1300</v>
      </c>
      <c r="C5585" s="455">
        <v>0</v>
      </c>
      <c r="D5585" s="637">
        <f t="shared" si="186"/>
        <v>0</v>
      </c>
      <c r="E5585" s="637">
        <f t="shared" si="187"/>
        <v>0</v>
      </c>
    </row>
    <row r="5586" spans="1:5">
      <c r="A5586">
        <v>82113</v>
      </c>
      <c r="B5586">
        <v>1400</v>
      </c>
      <c r="C5586" s="455">
        <v>0</v>
      </c>
      <c r="D5586" s="637">
        <f t="shared" si="186"/>
        <v>0</v>
      </c>
      <c r="E5586" s="637">
        <f t="shared" si="187"/>
        <v>0</v>
      </c>
    </row>
    <row r="5587" spans="1:5">
      <c r="A5587">
        <v>82113</v>
      </c>
      <c r="B5587">
        <v>1500</v>
      </c>
      <c r="C5587" s="455">
        <v>0</v>
      </c>
      <c r="D5587" s="637">
        <f t="shared" si="186"/>
        <v>0</v>
      </c>
      <c r="E5587" s="637">
        <f t="shared" si="187"/>
        <v>0</v>
      </c>
    </row>
    <row r="5588" spans="1:5">
      <c r="A5588">
        <v>82113</v>
      </c>
      <c r="B5588">
        <v>1600</v>
      </c>
      <c r="C5588" s="455">
        <v>0</v>
      </c>
      <c r="D5588" s="637">
        <f t="shared" si="186"/>
        <v>0</v>
      </c>
      <c r="E5588" s="637">
        <f t="shared" si="187"/>
        <v>0</v>
      </c>
    </row>
    <row r="5589" spans="1:5">
      <c r="A5589">
        <v>82113</v>
      </c>
      <c r="B5589">
        <v>1700</v>
      </c>
      <c r="C5589" s="455">
        <v>0</v>
      </c>
      <c r="D5589" s="637">
        <f t="shared" si="186"/>
        <v>0</v>
      </c>
      <c r="E5589" s="637">
        <f t="shared" si="187"/>
        <v>0</v>
      </c>
    </row>
    <row r="5590" spans="1:5">
      <c r="A5590">
        <v>82113</v>
      </c>
      <c r="B5590">
        <v>1800</v>
      </c>
      <c r="C5590" s="455">
        <v>0</v>
      </c>
      <c r="D5590" s="637">
        <f t="shared" si="186"/>
        <v>0</v>
      </c>
      <c r="E5590" s="637">
        <f t="shared" si="187"/>
        <v>0</v>
      </c>
    </row>
    <row r="5591" spans="1:5">
      <c r="A5591">
        <v>82113</v>
      </c>
      <c r="B5591">
        <v>1900</v>
      </c>
      <c r="C5591" s="455">
        <v>0.112</v>
      </c>
      <c r="D5591" s="637">
        <f t="shared" si="186"/>
        <v>0.25422222222222229</v>
      </c>
      <c r="E5591" s="637">
        <f t="shared" si="187"/>
        <v>0.36977777777777804</v>
      </c>
    </row>
    <row r="5592" spans="1:5">
      <c r="A5592">
        <v>82113</v>
      </c>
      <c r="B5592">
        <v>2000</v>
      </c>
      <c r="C5592" s="455">
        <v>10.846</v>
      </c>
      <c r="D5592" s="637">
        <f t="shared" si="186"/>
        <v>24.618698412698421</v>
      </c>
      <c r="E5592" s="637">
        <f t="shared" si="187"/>
        <v>35.809015873015895</v>
      </c>
    </row>
    <row r="5593" spans="1:5">
      <c r="A5593">
        <v>82113</v>
      </c>
      <c r="B5593">
        <v>2100</v>
      </c>
      <c r="C5593" s="455">
        <v>10.183</v>
      </c>
      <c r="D5593" s="637">
        <f t="shared" si="186"/>
        <v>23.113793650793657</v>
      </c>
      <c r="E5593" s="637">
        <f t="shared" si="187"/>
        <v>33.620063492063515</v>
      </c>
    </row>
    <row r="5594" spans="1:5">
      <c r="A5594">
        <v>82113</v>
      </c>
      <c r="B5594">
        <v>2200</v>
      </c>
      <c r="C5594" s="455">
        <v>9.968</v>
      </c>
      <c r="D5594" s="637">
        <f t="shared" si="186"/>
        <v>22.625777777777785</v>
      </c>
      <c r="E5594" s="637">
        <f t="shared" si="187"/>
        <v>32.910222222222238</v>
      </c>
    </row>
    <row r="5595" spans="1:5">
      <c r="A5595">
        <v>82113</v>
      </c>
      <c r="B5595">
        <v>2300</v>
      </c>
      <c r="C5595" s="455">
        <v>10.398</v>
      </c>
      <c r="D5595" s="637">
        <f t="shared" si="186"/>
        <v>23.601809523809532</v>
      </c>
      <c r="E5595" s="637">
        <f t="shared" si="187"/>
        <v>34.329904761904785</v>
      </c>
    </row>
    <row r="5596" spans="1:5">
      <c r="A5596">
        <v>82113</v>
      </c>
      <c r="B5596">
        <v>2400</v>
      </c>
      <c r="C5596" s="455">
        <v>9.7100000000000009</v>
      </c>
      <c r="D5596" s="637">
        <f t="shared" si="186"/>
        <v>22.04015873015874</v>
      </c>
      <c r="E5596" s="637">
        <f t="shared" si="187"/>
        <v>32.058412698412724</v>
      </c>
    </row>
    <row r="5597" spans="1:5">
      <c r="A5597">
        <v>82213</v>
      </c>
      <c r="B5597">
        <v>100</v>
      </c>
      <c r="C5597" s="455">
        <v>10.198</v>
      </c>
      <c r="D5597" s="637">
        <f t="shared" si="186"/>
        <v>23.147841269841276</v>
      </c>
      <c r="E5597" s="637">
        <f t="shared" si="187"/>
        <v>33.66958730158732</v>
      </c>
    </row>
    <row r="5598" spans="1:5">
      <c r="A5598">
        <v>82213</v>
      </c>
      <c r="B5598">
        <v>200</v>
      </c>
      <c r="C5598" s="455">
        <v>9.9659999999999993</v>
      </c>
      <c r="D5598" s="637">
        <f t="shared" si="186"/>
        <v>22.621238095238102</v>
      </c>
      <c r="E5598" s="637">
        <f t="shared" si="187"/>
        <v>32.903619047619067</v>
      </c>
    </row>
    <row r="5599" spans="1:5">
      <c r="A5599">
        <v>82213</v>
      </c>
      <c r="B5599">
        <v>300</v>
      </c>
      <c r="C5599" s="455">
        <v>10.042</v>
      </c>
      <c r="D5599" s="637">
        <f t="shared" si="186"/>
        <v>22.793746031746039</v>
      </c>
      <c r="E5599" s="637">
        <f t="shared" si="187"/>
        <v>33.154539682539706</v>
      </c>
    </row>
    <row r="5600" spans="1:5">
      <c r="A5600">
        <v>82213</v>
      </c>
      <c r="B5600">
        <v>400</v>
      </c>
      <c r="C5600" s="455">
        <v>9.8680000000000003</v>
      </c>
      <c r="D5600" s="637">
        <f t="shared" si="186"/>
        <v>22.39879365079366</v>
      </c>
      <c r="E5600" s="637">
        <f t="shared" si="187"/>
        <v>32.580063492063516</v>
      </c>
    </row>
    <row r="5601" spans="1:5">
      <c r="A5601">
        <v>82213</v>
      </c>
      <c r="B5601">
        <v>500</v>
      </c>
      <c r="C5601" s="455">
        <v>10.446999999999999</v>
      </c>
      <c r="D5601" s="637">
        <f t="shared" si="186"/>
        <v>23.713031746031753</v>
      </c>
      <c r="E5601" s="637">
        <f t="shared" si="187"/>
        <v>34.491682539682564</v>
      </c>
    </row>
    <row r="5602" spans="1:5">
      <c r="A5602">
        <v>82213</v>
      </c>
      <c r="B5602">
        <v>600</v>
      </c>
      <c r="C5602" s="455">
        <v>9.1980000000000004</v>
      </c>
      <c r="D5602" s="637">
        <f t="shared" si="186"/>
        <v>20.878000000000007</v>
      </c>
      <c r="E5602" s="637">
        <f t="shared" si="187"/>
        <v>30.36800000000002</v>
      </c>
    </row>
    <row r="5603" spans="1:5">
      <c r="A5603">
        <v>82213</v>
      </c>
      <c r="B5603">
        <v>700</v>
      </c>
      <c r="C5603" s="455">
        <v>0</v>
      </c>
      <c r="D5603" s="637">
        <f t="shared" si="186"/>
        <v>0</v>
      </c>
      <c r="E5603" s="637">
        <f t="shared" si="187"/>
        <v>0</v>
      </c>
    </row>
    <row r="5604" spans="1:5">
      <c r="A5604">
        <v>82213</v>
      </c>
      <c r="B5604">
        <v>800</v>
      </c>
      <c r="C5604" s="455">
        <v>1E-3</v>
      </c>
      <c r="D5604" s="637">
        <f t="shared" si="186"/>
        <v>2.2698412698412703E-3</v>
      </c>
      <c r="E5604" s="637">
        <f t="shared" si="187"/>
        <v>3.3015873015873037E-3</v>
      </c>
    </row>
    <row r="5605" spans="1:5">
      <c r="A5605">
        <v>82213</v>
      </c>
      <c r="B5605">
        <v>900</v>
      </c>
      <c r="C5605" s="455">
        <v>0</v>
      </c>
      <c r="D5605" s="637">
        <f t="shared" si="186"/>
        <v>0</v>
      </c>
      <c r="E5605" s="637">
        <f t="shared" si="187"/>
        <v>0</v>
      </c>
    </row>
    <row r="5606" spans="1:5">
      <c r="A5606">
        <v>82213</v>
      </c>
      <c r="B5606">
        <v>1000</v>
      </c>
      <c r="C5606" s="455">
        <v>0</v>
      </c>
      <c r="D5606" s="637">
        <f t="shared" ref="D5606:D5669" si="188">(C5606/(MAX($C$5093:$C$5836)))*$W$12</f>
        <v>0</v>
      </c>
      <c r="E5606" s="637">
        <f t="shared" ref="E5606:E5669" si="189">(C5606/(MAX($C$5093:$C$5836)))*$P$12</f>
        <v>0</v>
      </c>
    </row>
    <row r="5607" spans="1:5">
      <c r="A5607">
        <v>82213</v>
      </c>
      <c r="B5607">
        <v>1100</v>
      </c>
      <c r="C5607" s="455">
        <v>0</v>
      </c>
      <c r="D5607" s="637">
        <f t="shared" si="188"/>
        <v>0</v>
      </c>
      <c r="E5607" s="637">
        <f t="shared" si="189"/>
        <v>0</v>
      </c>
    </row>
    <row r="5608" spans="1:5">
      <c r="A5608">
        <v>82213</v>
      </c>
      <c r="B5608">
        <v>1200</v>
      </c>
      <c r="C5608" s="455">
        <v>0</v>
      </c>
      <c r="D5608" s="637">
        <f t="shared" si="188"/>
        <v>0</v>
      </c>
      <c r="E5608" s="637">
        <f t="shared" si="189"/>
        <v>0</v>
      </c>
    </row>
    <row r="5609" spans="1:5">
      <c r="A5609">
        <v>82213</v>
      </c>
      <c r="B5609">
        <v>1300</v>
      </c>
      <c r="C5609" s="455">
        <v>0</v>
      </c>
      <c r="D5609" s="637">
        <f t="shared" si="188"/>
        <v>0</v>
      </c>
      <c r="E5609" s="637">
        <f t="shared" si="189"/>
        <v>0</v>
      </c>
    </row>
    <row r="5610" spans="1:5">
      <c r="A5610">
        <v>82213</v>
      </c>
      <c r="B5610">
        <v>1400</v>
      </c>
      <c r="C5610" s="455">
        <v>0</v>
      </c>
      <c r="D5610" s="637">
        <f t="shared" si="188"/>
        <v>0</v>
      </c>
      <c r="E5610" s="637">
        <f t="shared" si="189"/>
        <v>0</v>
      </c>
    </row>
    <row r="5611" spans="1:5">
      <c r="A5611">
        <v>82213</v>
      </c>
      <c r="B5611">
        <v>1500</v>
      </c>
      <c r="C5611" s="455">
        <v>0</v>
      </c>
      <c r="D5611" s="637">
        <f t="shared" si="188"/>
        <v>0</v>
      </c>
      <c r="E5611" s="637">
        <f t="shared" si="189"/>
        <v>0</v>
      </c>
    </row>
    <row r="5612" spans="1:5">
      <c r="A5612">
        <v>82213</v>
      </c>
      <c r="B5612">
        <v>1600</v>
      </c>
      <c r="C5612" s="455">
        <v>0</v>
      </c>
      <c r="D5612" s="637">
        <f t="shared" si="188"/>
        <v>0</v>
      </c>
      <c r="E5612" s="637">
        <f t="shared" si="189"/>
        <v>0</v>
      </c>
    </row>
    <row r="5613" spans="1:5">
      <c r="A5613">
        <v>82213</v>
      </c>
      <c r="B5613">
        <v>1700</v>
      </c>
      <c r="C5613" s="455">
        <v>0</v>
      </c>
      <c r="D5613" s="637">
        <f t="shared" si="188"/>
        <v>0</v>
      </c>
      <c r="E5613" s="637">
        <f t="shared" si="189"/>
        <v>0</v>
      </c>
    </row>
    <row r="5614" spans="1:5">
      <c r="A5614">
        <v>82213</v>
      </c>
      <c r="B5614">
        <v>1800</v>
      </c>
      <c r="C5614" s="455">
        <v>0</v>
      </c>
      <c r="D5614" s="637">
        <f t="shared" si="188"/>
        <v>0</v>
      </c>
      <c r="E5614" s="637">
        <f t="shared" si="189"/>
        <v>0</v>
      </c>
    </row>
    <row r="5615" spans="1:5">
      <c r="A5615">
        <v>82213</v>
      </c>
      <c r="B5615">
        <v>1900</v>
      </c>
      <c r="C5615" s="455">
        <v>0.47099999999999997</v>
      </c>
      <c r="D5615" s="637">
        <f t="shared" si="188"/>
        <v>1.0690952380952383</v>
      </c>
      <c r="E5615" s="637">
        <f t="shared" si="189"/>
        <v>1.5550476190476199</v>
      </c>
    </row>
    <row r="5616" spans="1:5">
      <c r="A5616">
        <v>82213</v>
      </c>
      <c r="B5616">
        <v>2000</v>
      </c>
      <c r="C5616" s="455">
        <v>12.002000000000001</v>
      </c>
      <c r="D5616" s="637">
        <f t="shared" si="188"/>
        <v>27.242634920634931</v>
      </c>
      <c r="E5616" s="637">
        <f t="shared" si="189"/>
        <v>39.62565079365082</v>
      </c>
    </row>
    <row r="5617" spans="1:5">
      <c r="A5617">
        <v>82213</v>
      </c>
      <c r="B5617">
        <v>2100</v>
      </c>
      <c r="C5617" s="455">
        <v>10.513999999999999</v>
      </c>
      <c r="D5617" s="637">
        <f t="shared" si="188"/>
        <v>23.865111111111116</v>
      </c>
      <c r="E5617" s="637">
        <f t="shared" si="189"/>
        <v>34.712888888888905</v>
      </c>
    </row>
    <row r="5618" spans="1:5">
      <c r="A5618">
        <v>82213</v>
      </c>
      <c r="B5618">
        <v>2200</v>
      </c>
      <c r="C5618" s="455">
        <v>10.074</v>
      </c>
      <c r="D5618" s="637">
        <f t="shared" si="188"/>
        <v>22.866380952380961</v>
      </c>
      <c r="E5618" s="637">
        <f t="shared" si="189"/>
        <v>33.260190476190495</v>
      </c>
    </row>
    <row r="5619" spans="1:5">
      <c r="A5619">
        <v>82213</v>
      </c>
      <c r="B5619">
        <v>2300</v>
      </c>
      <c r="C5619" s="455">
        <v>10.287000000000001</v>
      </c>
      <c r="D5619" s="637">
        <f t="shared" si="188"/>
        <v>23.34985714285715</v>
      </c>
      <c r="E5619" s="637">
        <f t="shared" si="189"/>
        <v>33.963428571428594</v>
      </c>
    </row>
    <row r="5620" spans="1:5">
      <c r="A5620">
        <v>82213</v>
      </c>
      <c r="B5620">
        <v>2400</v>
      </c>
      <c r="C5620" s="455">
        <v>10.125</v>
      </c>
      <c r="D5620" s="637">
        <f t="shared" si="188"/>
        <v>22.982142857142865</v>
      </c>
      <c r="E5620" s="637">
        <f t="shared" si="189"/>
        <v>33.428571428571452</v>
      </c>
    </row>
    <row r="5621" spans="1:5">
      <c r="A5621">
        <v>82313</v>
      </c>
      <c r="B5621">
        <v>100</v>
      </c>
      <c r="C5621" s="455">
        <v>9.9499999999999993</v>
      </c>
      <c r="D5621" s="637">
        <f t="shared" si="188"/>
        <v>22.584920634920643</v>
      </c>
      <c r="E5621" s="637">
        <f t="shared" si="189"/>
        <v>32.850793650793669</v>
      </c>
    </row>
    <row r="5622" spans="1:5">
      <c r="A5622">
        <v>82313</v>
      </c>
      <c r="B5622">
        <v>200</v>
      </c>
      <c r="C5622" s="455">
        <v>10.151999999999999</v>
      </c>
      <c r="D5622" s="637">
        <f t="shared" si="188"/>
        <v>23.043428571428578</v>
      </c>
      <c r="E5622" s="637">
        <f t="shared" si="189"/>
        <v>33.517714285714305</v>
      </c>
    </row>
    <row r="5623" spans="1:5">
      <c r="A5623">
        <v>82313</v>
      </c>
      <c r="B5623">
        <v>300</v>
      </c>
      <c r="C5623" s="455">
        <v>10.010999999999999</v>
      </c>
      <c r="D5623" s="637">
        <f t="shared" si="188"/>
        <v>22.723380952380957</v>
      </c>
      <c r="E5623" s="637">
        <f t="shared" si="189"/>
        <v>33.052190476190489</v>
      </c>
    </row>
    <row r="5624" spans="1:5">
      <c r="A5624">
        <v>82313</v>
      </c>
      <c r="B5624">
        <v>400</v>
      </c>
      <c r="C5624" s="455">
        <v>9.9039999999999999</v>
      </c>
      <c r="D5624" s="637">
        <f t="shared" si="188"/>
        <v>22.480507936507944</v>
      </c>
      <c r="E5624" s="637">
        <f t="shared" si="189"/>
        <v>32.698920634920654</v>
      </c>
    </row>
    <row r="5625" spans="1:5">
      <c r="A5625">
        <v>82313</v>
      </c>
      <c r="B5625">
        <v>500</v>
      </c>
      <c r="C5625" s="455">
        <v>10.111000000000001</v>
      </c>
      <c r="D5625" s="637">
        <f t="shared" si="188"/>
        <v>22.950365079365088</v>
      </c>
      <c r="E5625" s="637">
        <f t="shared" si="189"/>
        <v>33.382349206349225</v>
      </c>
    </row>
    <row r="5626" spans="1:5">
      <c r="A5626">
        <v>82313</v>
      </c>
      <c r="B5626">
        <v>600</v>
      </c>
      <c r="C5626" s="455">
        <v>8.5359999999999996</v>
      </c>
      <c r="D5626" s="637">
        <f t="shared" si="188"/>
        <v>19.375365079365082</v>
      </c>
      <c r="E5626" s="637">
        <f t="shared" si="189"/>
        <v>28.182349206349222</v>
      </c>
    </row>
    <row r="5627" spans="1:5">
      <c r="A5627">
        <v>82313</v>
      </c>
      <c r="B5627">
        <v>700</v>
      </c>
      <c r="C5627" s="455">
        <v>8.9999999999999993E-3</v>
      </c>
      <c r="D5627" s="637">
        <f t="shared" si="188"/>
        <v>2.0428571428571435E-2</v>
      </c>
      <c r="E5627" s="637">
        <f t="shared" si="189"/>
        <v>2.9714285714285731E-2</v>
      </c>
    </row>
    <row r="5628" spans="1:5">
      <c r="A5628">
        <v>82313</v>
      </c>
      <c r="B5628">
        <v>800</v>
      </c>
      <c r="C5628" s="455">
        <v>0</v>
      </c>
      <c r="D5628" s="637">
        <f t="shared" si="188"/>
        <v>0</v>
      </c>
      <c r="E5628" s="637">
        <f t="shared" si="189"/>
        <v>0</v>
      </c>
    </row>
    <row r="5629" spans="1:5">
      <c r="A5629">
        <v>82313</v>
      </c>
      <c r="B5629">
        <v>900</v>
      </c>
      <c r="C5629" s="455">
        <v>0</v>
      </c>
      <c r="D5629" s="637">
        <f t="shared" si="188"/>
        <v>0</v>
      </c>
      <c r="E5629" s="637">
        <f t="shared" si="189"/>
        <v>0</v>
      </c>
    </row>
    <row r="5630" spans="1:5">
      <c r="A5630">
        <v>82313</v>
      </c>
      <c r="B5630">
        <v>1000</v>
      </c>
      <c r="C5630" s="455">
        <v>0</v>
      </c>
      <c r="D5630" s="637">
        <f t="shared" si="188"/>
        <v>0</v>
      </c>
      <c r="E5630" s="637">
        <f t="shared" si="189"/>
        <v>0</v>
      </c>
    </row>
    <row r="5631" spans="1:5">
      <c r="A5631">
        <v>82313</v>
      </c>
      <c r="B5631">
        <v>1100</v>
      </c>
      <c r="C5631" s="455">
        <v>0</v>
      </c>
      <c r="D5631" s="637">
        <f t="shared" si="188"/>
        <v>0</v>
      </c>
      <c r="E5631" s="637">
        <f t="shared" si="189"/>
        <v>0</v>
      </c>
    </row>
    <row r="5632" spans="1:5">
      <c r="A5632">
        <v>82313</v>
      </c>
      <c r="B5632">
        <v>1200</v>
      </c>
      <c r="C5632" s="455">
        <v>0</v>
      </c>
      <c r="D5632" s="637">
        <f t="shared" si="188"/>
        <v>0</v>
      </c>
      <c r="E5632" s="637">
        <f t="shared" si="189"/>
        <v>0</v>
      </c>
    </row>
    <row r="5633" spans="1:5">
      <c r="A5633">
        <v>82313</v>
      </c>
      <c r="B5633">
        <v>1300</v>
      </c>
      <c r="C5633" s="455">
        <v>0</v>
      </c>
      <c r="D5633" s="637">
        <f t="shared" si="188"/>
        <v>0</v>
      </c>
      <c r="E5633" s="637">
        <f t="shared" si="189"/>
        <v>0</v>
      </c>
    </row>
    <row r="5634" spans="1:5">
      <c r="A5634">
        <v>82313</v>
      </c>
      <c r="B5634">
        <v>1400</v>
      </c>
      <c r="C5634" s="455">
        <v>0</v>
      </c>
      <c r="D5634" s="637">
        <f t="shared" si="188"/>
        <v>0</v>
      </c>
      <c r="E5634" s="637">
        <f t="shared" si="189"/>
        <v>0</v>
      </c>
    </row>
    <row r="5635" spans="1:5">
      <c r="A5635">
        <v>82313</v>
      </c>
      <c r="B5635">
        <v>1500</v>
      </c>
      <c r="C5635" s="455">
        <v>0</v>
      </c>
      <c r="D5635" s="637">
        <f t="shared" si="188"/>
        <v>0</v>
      </c>
      <c r="E5635" s="637">
        <f t="shared" si="189"/>
        <v>0</v>
      </c>
    </row>
    <row r="5636" spans="1:5">
      <c r="A5636">
        <v>82313</v>
      </c>
      <c r="B5636">
        <v>1600</v>
      </c>
      <c r="C5636" s="455">
        <v>0</v>
      </c>
      <c r="D5636" s="637">
        <f t="shared" si="188"/>
        <v>0</v>
      </c>
      <c r="E5636" s="637">
        <f t="shared" si="189"/>
        <v>0</v>
      </c>
    </row>
    <row r="5637" spans="1:5">
      <c r="A5637">
        <v>82313</v>
      </c>
      <c r="B5637">
        <v>1700</v>
      </c>
      <c r="C5637" s="455">
        <v>0</v>
      </c>
      <c r="D5637" s="637">
        <f t="shared" si="188"/>
        <v>0</v>
      </c>
      <c r="E5637" s="637">
        <f t="shared" si="189"/>
        <v>0</v>
      </c>
    </row>
    <row r="5638" spans="1:5">
      <c r="A5638">
        <v>82313</v>
      </c>
      <c r="B5638">
        <v>1800</v>
      </c>
      <c r="C5638" s="455">
        <v>0</v>
      </c>
      <c r="D5638" s="637">
        <f t="shared" si="188"/>
        <v>0</v>
      </c>
      <c r="E5638" s="637">
        <f t="shared" si="189"/>
        <v>0</v>
      </c>
    </row>
    <row r="5639" spans="1:5">
      <c r="A5639">
        <v>82313</v>
      </c>
      <c r="B5639">
        <v>1900</v>
      </c>
      <c r="C5639" s="455">
        <v>0.53200000000000003</v>
      </c>
      <c r="D5639" s="637">
        <f t="shared" si="188"/>
        <v>1.2075555555555562</v>
      </c>
      <c r="E5639" s="637">
        <f t="shared" si="189"/>
        <v>1.7564444444444458</v>
      </c>
    </row>
    <row r="5640" spans="1:5">
      <c r="A5640">
        <v>82313</v>
      </c>
      <c r="B5640">
        <v>2000</v>
      </c>
      <c r="C5640" s="455">
        <v>11.379</v>
      </c>
      <c r="D5640" s="637">
        <f t="shared" si="188"/>
        <v>25.828523809523816</v>
      </c>
      <c r="E5640" s="637">
        <f t="shared" si="189"/>
        <v>37.568761904761928</v>
      </c>
    </row>
    <row r="5641" spans="1:5">
      <c r="A5641">
        <v>82313</v>
      </c>
      <c r="B5641">
        <v>2100</v>
      </c>
      <c r="C5641" s="455">
        <v>10.156000000000001</v>
      </c>
      <c r="D5641" s="637">
        <f t="shared" si="188"/>
        <v>23.052507936507943</v>
      </c>
      <c r="E5641" s="637">
        <f t="shared" si="189"/>
        <v>33.530920634920655</v>
      </c>
    </row>
    <row r="5642" spans="1:5">
      <c r="A5642">
        <v>82313</v>
      </c>
      <c r="B5642">
        <v>2200</v>
      </c>
      <c r="C5642" s="455">
        <v>10.218</v>
      </c>
      <c r="D5642" s="637">
        <f t="shared" si="188"/>
        <v>23.193238095238105</v>
      </c>
      <c r="E5642" s="637">
        <f t="shared" si="189"/>
        <v>33.735619047619068</v>
      </c>
    </row>
    <row r="5643" spans="1:5">
      <c r="A5643">
        <v>82313</v>
      </c>
      <c r="B5643">
        <v>2300</v>
      </c>
      <c r="C5643" s="455">
        <v>10.119999999999999</v>
      </c>
      <c r="D5643" s="637">
        <f t="shared" si="188"/>
        <v>22.970793650793656</v>
      </c>
      <c r="E5643" s="637">
        <f t="shared" si="189"/>
        <v>33.41206349206351</v>
      </c>
    </row>
    <row r="5644" spans="1:5">
      <c r="A5644">
        <v>82313</v>
      </c>
      <c r="B5644">
        <v>2400</v>
      </c>
      <c r="C5644" s="455">
        <v>9.7579999999999991</v>
      </c>
      <c r="D5644" s="637">
        <f t="shared" si="188"/>
        <v>22.149111111111118</v>
      </c>
      <c r="E5644" s="637">
        <f t="shared" si="189"/>
        <v>32.21688888888891</v>
      </c>
    </row>
    <row r="5645" spans="1:5">
      <c r="A5645">
        <v>82413</v>
      </c>
      <c r="B5645">
        <v>100</v>
      </c>
      <c r="C5645" s="455">
        <v>10.180999999999999</v>
      </c>
      <c r="D5645" s="637">
        <f t="shared" si="188"/>
        <v>23.109253968253974</v>
      </c>
      <c r="E5645" s="637">
        <f t="shared" si="189"/>
        <v>33.613460317460337</v>
      </c>
    </row>
    <row r="5646" spans="1:5">
      <c r="A5646">
        <v>82413</v>
      </c>
      <c r="B5646">
        <v>200</v>
      </c>
      <c r="C5646" s="455">
        <v>9.7959999999999994</v>
      </c>
      <c r="D5646" s="637">
        <f t="shared" si="188"/>
        <v>22.235365079365085</v>
      </c>
      <c r="E5646" s="637">
        <f t="shared" si="189"/>
        <v>32.342349206349226</v>
      </c>
    </row>
    <row r="5647" spans="1:5">
      <c r="A5647">
        <v>82413</v>
      </c>
      <c r="B5647">
        <v>300</v>
      </c>
      <c r="C5647" s="455">
        <v>10.013</v>
      </c>
      <c r="D5647" s="637">
        <f t="shared" si="188"/>
        <v>22.72792063492064</v>
      </c>
      <c r="E5647" s="637">
        <f t="shared" si="189"/>
        <v>33.058793650793675</v>
      </c>
    </row>
    <row r="5648" spans="1:5">
      <c r="A5648">
        <v>82413</v>
      </c>
      <c r="B5648">
        <v>400</v>
      </c>
      <c r="C5648" s="455">
        <v>10.052</v>
      </c>
      <c r="D5648" s="637">
        <f t="shared" si="188"/>
        <v>22.81644444444445</v>
      </c>
      <c r="E5648" s="637">
        <f t="shared" si="189"/>
        <v>33.187555555555576</v>
      </c>
    </row>
    <row r="5649" spans="1:5">
      <c r="A5649">
        <v>82413</v>
      </c>
      <c r="B5649">
        <v>500</v>
      </c>
      <c r="C5649" s="455">
        <v>10.052</v>
      </c>
      <c r="D5649" s="637">
        <f t="shared" si="188"/>
        <v>22.81644444444445</v>
      </c>
      <c r="E5649" s="637">
        <f t="shared" si="189"/>
        <v>33.187555555555576</v>
      </c>
    </row>
    <row r="5650" spans="1:5">
      <c r="A5650">
        <v>82413</v>
      </c>
      <c r="B5650">
        <v>600</v>
      </c>
      <c r="C5650" s="455">
        <v>8.3729999999999993</v>
      </c>
      <c r="D5650" s="637">
        <f t="shared" si="188"/>
        <v>19.005380952380957</v>
      </c>
      <c r="E5650" s="637">
        <f t="shared" si="189"/>
        <v>27.644190476190492</v>
      </c>
    </row>
    <row r="5651" spans="1:5">
      <c r="A5651">
        <v>82413</v>
      </c>
      <c r="B5651">
        <v>700</v>
      </c>
      <c r="C5651" s="455">
        <v>3.0000000000000001E-3</v>
      </c>
      <c r="D5651" s="637">
        <f t="shared" si="188"/>
        <v>6.8095238095238122E-3</v>
      </c>
      <c r="E5651" s="637">
        <f t="shared" si="189"/>
        <v>9.904761904761911E-3</v>
      </c>
    </row>
    <row r="5652" spans="1:5">
      <c r="A5652">
        <v>82413</v>
      </c>
      <c r="B5652">
        <v>800</v>
      </c>
      <c r="C5652" s="455">
        <v>0</v>
      </c>
      <c r="D5652" s="637">
        <f t="shared" si="188"/>
        <v>0</v>
      </c>
      <c r="E5652" s="637">
        <f t="shared" si="189"/>
        <v>0</v>
      </c>
    </row>
    <row r="5653" spans="1:5">
      <c r="A5653">
        <v>82413</v>
      </c>
      <c r="B5653">
        <v>900</v>
      </c>
      <c r="C5653" s="455">
        <v>0</v>
      </c>
      <c r="D5653" s="637">
        <f t="shared" si="188"/>
        <v>0</v>
      </c>
      <c r="E5653" s="637">
        <f t="shared" si="189"/>
        <v>0</v>
      </c>
    </row>
    <row r="5654" spans="1:5">
      <c r="A5654">
        <v>82413</v>
      </c>
      <c r="B5654">
        <v>1000</v>
      </c>
      <c r="C5654" s="455">
        <v>0</v>
      </c>
      <c r="D5654" s="637">
        <f t="shared" si="188"/>
        <v>0</v>
      </c>
      <c r="E5654" s="637">
        <f t="shared" si="189"/>
        <v>0</v>
      </c>
    </row>
    <row r="5655" spans="1:5">
      <c r="A5655">
        <v>82413</v>
      </c>
      <c r="B5655">
        <v>1100</v>
      </c>
      <c r="C5655" s="455">
        <v>0</v>
      </c>
      <c r="D5655" s="637">
        <f t="shared" si="188"/>
        <v>0</v>
      </c>
      <c r="E5655" s="637">
        <f t="shared" si="189"/>
        <v>0</v>
      </c>
    </row>
    <row r="5656" spans="1:5">
      <c r="A5656">
        <v>82413</v>
      </c>
      <c r="B5656">
        <v>1200</v>
      </c>
      <c r="C5656" s="455">
        <v>0</v>
      </c>
      <c r="D5656" s="637">
        <f t="shared" si="188"/>
        <v>0</v>
      </c>
      <c r="E5656" s="637">
        <f t="shared" si="189"/>
        <v>0</v>
      </c>
    </row>
    <row r="5657" spans="1:5">
      <c r="A5657">
        <v>82413</v>
      </c>
      <c r="B5657">
        <v>1300</v>
      </c>
      <c r="C5657" s="455">
        <v>0</v>
      </c>
      <c r="D5657" s="637">
        <f t="shared" si="188"/>
        <v>0</v>
      </c>
      <c r="E5657" s="637">
        <f t="shared" si="189"/>
        <v>0</v>
      </c>
    </row>
    <row r="5658" spans="1:5">
      <c r="A5658">
        <v>82413</v>
      </c>
      <c r="B5658">
        <v>1400</v>
      </c>
      <c r="C5658" s="455">
        <v>0</v>
      </c>
      <c r="D5658" s="637">
        <f t="shared" si="188"/>
        <v>0</v>
      </c>
      <c r="E5658" s="637">
        <f t="shared" si="189"/>
        <v>0</v>
      </c>
    </row>
    <row r="5659" spans="1:5">
      <c r="A5659">
        <v>82413</v>
      </c>
      <c r="B5659">
        <v>1500</v>
      </c>
      <c r="C5659" s="455">
        <v>0</v>
      </c>
      <c r="D5659" s="637">
        <f t="shared" si="188"/>
        <v>0</v>
      </c>
      <c r="E5659" s="637">
        <f t="shared" si="189"/>
        <v>0</v>
      </c>
    </row>
    <row r="5660" spans="1:5">
      <c r="A5660">
        <v>82413</v>
      </c>
      <c r="B5660">
        <v>1600</v>
      </c>
      <c r="C5660" s="455">
        <v>0</v>
      </c>
      <c r="D5660" s="637">
        <f t="shared" si="188"/>
        <v>0</v>
      </c>
      <c r="E5660" s="637">
        <f t="shared" si="189"/>
        <v>0</v>
      </c>
    </row>
    <row r="5661" spans="1:5">
      <c r="A5661">
        <v>82413</v>
      </c>
      <c r="B5661">
        <v>1700</v>
      </c>
      <c r="C5661" s="455">
        <v>0</v>
      </c>
      <c r="D5661" s="637">
        <f t="shared" si="188"/>
        <v>0</v>
      </c>
      <c r="E5661" s="637">
        <f t="shared" si="189"/>
        <v>0</v>
      </c>
    </row>
    <row r="5662" spans="1:5">
      <c r="A5662">
        <v>82413</v>
      </c>
      <c r="B5662">
        <v>1800</v>
      </c>
      <c r="C5662" s="455">
        <v>0</v>
      </c>
      <c r="D5662" s="637">
        <f t="shared" si="188"/>
        <v>0</v>
      </c>
      <c r="E5662" s="637">
        <f t="shared" si="189"/>
        <v>0</v>
      </c>
    </row>
    <row r="5663" spans="1:5">
      <c r="A5663">
        <v>82413</v>
      </c>
      <c r="B5663">
        <v>1900</v>
      </c>
      <c r="C5663" s="455">
        <v>0.49299999999999999</v>
      </c>
      <c r="D5663" s="637">
        <f t="shared" si="188"/>
        <v>1.1190317460317465</v>
      </c>
      <c r="E5663" s="637">
        <f t="shared" si="189"/>
        <v>1.6276825396825407</v>
      </c>
    </row>
    <row r="5664" spans="1:5">
      <c r="A5664">
        <v>82413</v>
      </c>
      <c r="B5664">
        <v>2000</v>
      </c>
      <c r="C5664" s="455">
        <v>11.156000000000001</v>
      </c>
      <c r="D5664" s="637">
        <f t="shared" si="188"/>
        <v>25.322349206349216</v>
      </c>
      <c r="E5664" s="637">
        <f t="shared" si="189"/>
        <v>36.832507936507959</v>
      </c>
    </row>
    <row r="5665" spans="1:5">
      <c r="A5665">
        <v>82413</v>
      </c>
      <c r="B5665">
        <v>2100</v>
      </c>
      <c r="C5665" s="455">
        <v>10.074999999999999</v>
      </c>
      <c r="D5665" s="637">
        <f t="shared" si="188"/>
        <v>22.868650793650801</v>
      </c>
      <c r="E5665" s="637">
        <f t="shared" si="189"/>
        <v>33.263492063492087</v>
      </c>
    </row>
    <row r="5666" spans="1:5">
      <c r="A5666">
        <v>82413</v>
      </c>
      <c r="B5666">
        <v>2200</v>
      </c>
      <c r="C5666" s="455">
        <v>9.94</v>
      </c>
      <c r="D5666" s="637">
        <f t="shared" si="188"/>
        <v>22.562222222222228</v>
      </c>
      <c r="E5666" s="637">
        <f t="shared" si="189"/>
        <v>32.817777777777792</v>
      </c>
    </row>
    <row r="5667" spans="1:5">
      <c r="A5667">
        <v>82413</v>
      </c>
      <c r="B5667">
        <v>2300</v>
      </c>
      <c r="C5667" s="455">
        <v>9.8949999999999996</v>
      </c>
      <c r="D5667" s="637">
        <f t="shared" si="188"/>
        <v>22.460079365079373</v>
      </c>
      <c r="E5667" s="637">
        <f t="shared" si="189"/>
        <v>32.66920634920637</v>
      </c>
    </row>
    <row r="5668" spans="1:5">
      <c r="A5668">
        <v>82413</v>
      </c>
      <c r="B5668">
        <v>2400</v>
      </c>
      <c r="C5668" s="455">
        <v>10.147</v>
      </c>
      <c r="D5668" s="637">
        <f t="shared" si="188"/>
        <v>23.032079365079372</v>
      </c>
      <c r="E5668" s="637">
        <f t="shared" si="189"/>
        <v>33.50120634920637</v>
      </c>
    </row>
    <row r="5669" spans="1:5">
      <c r="A5669">
        <v>82513</v>
      </c>
      <c r="B5669">
        <v>100</v>
      </c>
      <c r="C5669" s="455">
        <v>10.202</v>
      </c>
      <c r="D5669" s="637">
        <f t="shared" si="188"/>
        <v>23.156920634920642</v>
      </c>
      <c r="E5669" s="637">
        <f t="shared" si="189"/>
        <v>33.68279365079367</v>
      </c>
    </row>
    <row r="5670" spans="1:5">
      <c r="A5670">
        <v>82513</v>
      </c>
      <c r="B5670">
        <v>200</v>
      </c>
      <c r="C5670" s="455">
        <v>10.210000000000001</v>
      </c>
      <c r="D5670" s="637">
        <f t="shared" ref="D5670:D5733" si="190">(C5670/(MAX($C$5093:$C$5836)))*$W$12</f>
        <v>23.175079365079373</v>
      </c>
      <c r="E5670" s="637">
        <f t="shared" ref="E5670:E5733" si="191">(C5670/(MAX($C$5093:$C$5836)))*$P$12</f>
        <v>33.709206349206376</v>
      </c>
    </row>
    <row r="5671" spans="1:5">
      <c r="A5671">
        <v>82513</v>
      </c>
      <c r="B5671">
        <v>300</v>
      </c>
      <c r="C5671" s="455">
        <v>10.066000000000001</v>
      </c>
      <c r="D5671" s="637">
        <f t="shared" si="190"/>
        <v>22.84822222222223</v>
      </c>
      <c r="E5671" s="637">
        <f t="shared" si="191"/>
        <v>33.233777777777796</v>
      </c>
    </row>
    <row r="5672" spans="1:5">
      <c r="A5672">
        <v>82513</v>
      </c>
      <c r="B5672">
        <v>400</v>
      </c>
      <c r="C5672" s="455">
        <v>10.066000000000001</v>
      </c>
      <c r="D5672" s="637">
        <f t="shared" si="190"/>
        <v>22.84822222222223</v>
      </c>
      <c r="E5672" s="637">
        <f t="shared" si="191"/>
        <v>33.233777777777796</v>
      </c>
    </row>
    <row r="5673" spans="1:5">
      <c r="A5673">
        <v>82513</v>
      </c>
      <c r="B5673">
        <v>500</v>
      </c>
      <c r="C5673" s="455">
        <v>10.099</v>
      </c>
      <c r="D5673" s="637">
        <f t="shared" si="190"/>
        <v>22.923126984126991</v>
      </c>
      <c r="E5673" s="637">
        <f t="shared" si="191"/>
        <v>33.342730158730177</v>
      </c>
    </row>
    <row r="5674" spans="1:5">
      <c r="A5674">
        <v>82513</v>
      </c>
      <c r="B5674">
        <v>600</v>
      </c>
      <c r="C5674" s="455">
        <v>9.5180000000000007</v>
      </c>
      <c r="D5674" s="637">
        <f t="shared" si="190"/>
        <v>21.604349206349216</v>
      </c>
      <c r="E5674" s="637">
        <f t="shared" si="191"/>
        <v>31.424507936507961</v>
      </c>
    </row>
    <row r="5675" spans="1:5">
      <c r="A5675">
        <v>82513</v>
      </c>
      <c r="B5675">
        <v>700</v>
      </c>
      <c r="C5675" s="455">
        <v>0.02</v>
      </c>
      <c r="D5675" s="637">
        <f t="shared" si="190"/>
        <v>4.5396825396825415E-2</v>
      </c>
      <c r="E5675" s="637">
        <f t="shared" si="191"/>
        <v>6.603174603174608E-2</v>
      </c>
    </row>
    <row r="5676" spans="1:5">
      <c r="A5676">
        <v>82513</v>
      </c>
      <c r="B5676">
        <v>800</v>
      </c>
      <c r="C5676" s="455">
        <v>0</v>
      </c>
      <c r="D5676" s="637">
        <f t="shared" si="190"/>
        <v>0</v>
      </c>
      <c r="E5676" s="637">
        <f t="shared" si="191"/>
        <v>0</v>
      </c>
    </row>
    <row r="5677" spans="1:5">
      <c r="A5677">
        <v>82513</v>
      </c>
      <c r="B5677">
        <v>900</v>
      </c>
      <c r="C5677" s="455">
        <v>0</v>
      </c>
      <c r="D5677" s="637">
        <f t="shared" si="190"/>
        <v>0</v>
      </c>
      <c r="E5677" s="637">
        <f t="shared" si="191"/>
        <v>0</v>
      </c>
    </row>
    <row r="5678" spans="1:5">
      <c r="A5678">
        <v>82513</v>
      </c>
      <c r="B5678">
        <v>1000</v>
      </c>
      <c r="C5678" s="455">
        <v>0</v>
      </c>
      <c r="D5678" s="637">
        <f t="shared" si="190"/>
        <v>0</v>
      </c>
      <c r="E5678" s="637">
        <f t="shared" si="191"/>
        <v>0</v>
      </c>
    </row>
    <row r="5679" spans="1:5">
      <c r="A5679">
        <v>82513</v>
      </c>
      <c r="B5679">
        <v>1100</v>
      </c>
      <c r="C5679" s="455">
        <v>0</v>
      </c>
      <c r="D5679" s="637">
        <f t="shared" si="190"/>
        <v>0</v>
      </c>
      <c r="E5679" s="637">
        <f t="shared" si="191"/>
        <v>0</v>
      </c>
    </row>
    <row r="5680" spans="1:5">
      <c r="A5680">
        <v>82513</v>
      </c>
      <c r="B5680">
        <v>1200</v>
      </c>
      <c r="C5680" s="455">
        <v>0</v>
      </c>
      <c r="D5680" s="637">
        <f t="shared" si="190"/>
        <v>0</v>
      </c>
      <c r="E5680" s="637">
        <f t="shared" si="191"/>
        <v>0</v>
      </c>
    </row>
    <row r="5681" spans="1:5">
      <c r="A5681">
        <v>82513</v>
      </c>
      <c r="B5681">
        <v>1300</v>
      </c>
      <c r="C5681" s="455">
        <v>0</v>
      </c>
      <c r="D5681" s="637">
        <f t="shared" si="190"/>
        <v>0</v>
      </c>
      <c r="E5681" s="637">
        <f t="shared" si="191"/>
        <v>0</v>
      </c>
    </row>
    <row r="5682" spans="1:5">
      <c r="A5682">
        <v>82513</v>
      </c>
      <c r="B5682">
        <v>1400</v>
      </c>
      <c r="C5682" s="455">
        <v>0</v>
      </c>
      <c r="D5682" s="637">
        <f t="shared" si="190"/>
        <v>0</v>
      </c>
      <c r="E5682" s="637">
        <f t="shared" si="191"/>
        <v>0</v>
      </c>
    </row>
    <row r="5683" spans="1:5">
      <c r="A5683">
        <v>82513</v>
      </c>
      <c r="B5683">
        <v>1500</v>
      </c>
      <c r="C5683" s="455">
        <v>0</v>
      </c>
      <c r="D5683" s="637">
        <f t="shared" si="190"/>
        <v>0</v>
      </c>
      <c r="E5683" s="637">
        <f t="shared" si="191"/>
        <v>0</v>
      </c>
    </row>
    <row r="5684" spans="1:5">
      <c r="A5684">
        <v>82513</v>
      </c>
      <c r="B5684">
        <v>1600</v>
      </c>
      <c r="C5684" s="455">
        <v>0</v>
      </c>
      <c r="D5684" s="637">
        <f t="shared" si="190"/>
        <v>0</v>
      </c>
      <c r="E5684" s="637">
        <f t="shared" si="191"/>
        <v>0</v>
      </c>
    </row>
    <row r="5685" spans="1:5">
      <c r="A5685">
        <v>82513</v>
      </c>
      <c r="B5685">
        <v>1700</v>
      </c>
      <c r="C5685" s="455">
        <v>0</v>
      </c>
      <c r="D5685" s="637">
        <f t="shared" si="190"/>
        <v>0</v>
      </c>
      <c r="E5685" s="637">
        <f t="shared" si="191"/>
        <v>0</v>
      </c>
    </row>
    <row r="5686" spans="1:5">
      <c r="A5686">
        <v>82513</v>
      </c>
      <c r="B5686">
        <v>1800</v>
      </c>
      <c r="C5686" s="455">
        <v>0</v>
      </c>
      <c r="D5686" s="637">
        <f t="shared" si="190"/>
        <v>0</v>
      </c>
      <c r="E5686" s="637">
        <f t="shared" si="191"/>
        <v>0</v>
      </c>
    </row>
    <row r="5687" spans="1:5">
      <c r="A5687">
        <v>82513</v>
      </c>
      <c r="B5687">
        <v>1900</v>
      </c>
      <c r="C5687" s="455">
        <v>0.51900000000000002</v>
      </c>
      <c r="D5687" s="637">
        <f t="shared" si="190"/>
        <v>1.1780476190476195</v>
      </c>
      <c r="E5687" s="637">
        <f t="shared" si="191"/>
        <v>1.7135238095238108</v>
      </c>
    </row>
    <row r="5688" spans="1:5">
      <c r="A5688">
        <v>82513</v>
      </c>
      <c r="B5688">
        <v>2000</v>
      </c>
      <c r="C5688" s="455">
        <v>12.324999999999999</v>
      </c>
      <c r="D5688" s="637">
        <f t="shared" si="190"/>
        <v>27.975793650793658</v>
      </c>
      <c r="E5688" s="637">
        <f t="shared" si="191"/>
        <v>40.692063492063518</v>
      </c>
    </row>
    <row r="5689" spans="1:5">
      <c r="A5689">
        <v>82513</v>
      </c>
      <c r="B5689">
        <v>2100</v>
      </c>
      <c r="C5689" s="455">
        <v>10.491</v>
      </c>
      <c r="D5689" s="637">
        <f t="shared" si="190"/>
        <v>23.812904761904768</v>
      </c>
      <c r="E5689" s="637">
        <f t="shared" si="191"/>
        <v>34.636952380952401</v>
      </c>
    </row>
    <row r="5690" spans="1:5">
      <c r="A5690">
        <v>82513</v>
      </c>
      <c r="B5690">
        <v>2200</v>
      </c>
      <c r="C5690" s="455">
        <v>9.9139999999999997</v>
      </c>
      <c r="D5690" s="637">
        <f t="shared" si="190"/>
        <v>22.503206349206355</v>
      </c>
      <c r="E5690" s="637">
        <f t="shared" si="191"/>
        <v>32.731936507936524</v>
      </c>
    </row>
    <row r="5691" spans="1:5">
      <c r="A5691">
        <v>82513</v>
      </c>
      <c r="B5691">
        <v>2300</v>
      </c>
      <c r="C5691" s="455">
        <v>9.9710000000000001</v>
      </c>
      <c r="D5691" s="637">
        <f t="shared" si="190"/>
        <v>22.632587301587311</v>
      </c>
      <c r="E5691" s="637">
        <f t="shared" si="191"/>
        <v>32.920126984127009</v>
      </c>
    </row>
    <row r="5692" spans="1:5">
      <c r="A5692">
        <v>82513</v>
      </c>
      <c r="B5692">
        <v>2400</v>
      </c>
      <c r="C5692" s="455">
        <v>10.127000000000001</v>
      </c>
      <c r="D5692" s="637">
        <f t="shared" si="190"/>
        <v>22.986682539682548</v>
      </c>
      <c r="E5692" s="637">
        <f t="shared" si="191"/>
        <v>33.435174603174623</v>
      </c>
    </row>
    <row r="5693" spans="1:5">
      <c r="A5693">
        <v>82613</v>
      </c>
      <c r="B5693">
        <v>100</v>
      </c>
      <c r="C5693" s="455">
        <v>10.228999999999999</v>
      </c>
      <c r="D5693" s="637">
        <f t="shared" si="190"/>
        <v>23.218206349206351</v>
      </c>
      <c r="E5693" s="637">
        <f t="shared" si="191"/>
        <v>33.771936507936523</v>
      </c>
    </row>
    <row r="5694" spans="1:5">
      <c r="A5694">
        <v>82613</v>
      </c>
      <c r="B5694">
        <v>200</v>
      </c>
      <c r="C5694" s="455">
        <v>9.8770000000000007</v>
      </c>
      <c r="D5694" s="637">
        <f t="shared" si="190"/>
        <v>22.419222222222231</v>
      </c>
      <c r="E5694" s="637">
        <f t="shared" si="191"/>
        <v>32.609777777777801</v>
      </c>
    </row>
    <row r="5695" spans="1:5">
      <c r="A5695">
        <v>82613</v>
      </c>
      <c r="B5695">
        <v>300</v>
      </c>
      <c r="C5695" s="455">
        <v>10.375</v>
      </c>
      <c r="D5695" s="637">
        <f t="shared" si="190"/>
        <v>23.549603174603181</v>
      </c>
      <c r="E5695" s="637">
        <f t="shared" si="191"/>
        <v>34.253968253968274</v>
      </c>
    </row>
    <row r="5696" spans="1:5">
      <c r="A5696">
        <v>82613</v>
      </c>
      <c r="B5696">
        <v>400</v>
      </c>
      <c r="C5696" s="455">
        <v>9.9770000000000003</v>
      </c>
      <c r="D5696" s="637">
        <f t="shared" si="190"/>
        <v>22.646206349206359</v>
      </c>
      <c r="E5696" s="637">
        <f t="shared" si="191"/>
        <v>32.93993650793653</v>
      </c>
    </row>
    <row r="5697" spans="1:5">
      <c r="A5697">
        <v>82613</v>
      </c>
      <c r="B5697">
        <v>500</v>
      </c>
      <c r="C5697" s="455">
        <v>10.156000000000001</v>
      </c>
      <c r="D5697" s="637">
        <f t="shared" si="190"/>
        <v>23.052507936507943</v>
      </c>
      <c r="E5697" s="637">
        <f t="shared" si="191"/>
        <v>33.530920634920655</v>
      </c>
    </row>
    <row r="5698" spans="1:5">
      <c r="A5698">
        <v>82613</v>
      </c>
      <c r="B5698">
        <v>600</v>
      </c>
      <c r="C5698" s="455">
        <v>10.116</v>
      </c>
      <c r="D5698" s="637">
        <f t="shared" si="190"/>
        <v>22.96171428571429</v>
      </c>
      <c r="E5698" s="637">
        <f t="shared" si="191"/>
        <v>33.39885714285716</v>
      </c>
    </row>
    <row r="5699" spans="1:5">
      <c r="A5699">
        <v>82613</v>
      </c>
      <c r="B5699">
        <v>700</v>
      </c>
      <c r="C5699" s="455">
        <v>13.845000000000001</v>
      </c>
      <c r="D5699" s="637">
        <f t="shared" si="190"/>
        <v>31.425952380952392</v>
      </c>
      <c r="E5699" s="637">
        <f t="shared" si="191"/>
        <v>45.710476190476221</v>
      </c>
    </row>
    <row r="5700" spans="1:5">
      <c r="A5700">
        <v>82613</v>
      </c>
      <c r="B5700">
        <v>800</v>
      </c>
      <c r="C5700" s="455">
        <v>1.5289999999999999</v>
      </c>
      <c r="D5700" s="637">
        <f t="shared" si="190"/>
        <v>3.4705873015873023</v>
      </c>
      <c r="E5700" s="637">
        <f t="shared" si="191"/>
        <v>5.0481269841269869</v>
      </c>
    </row>
    <row r="5701" spans="1:5">
      <c r="A5701">
        <v>82613</v>
      </c>
      <c r="B5701">
        <v>900</v>
      </c>
      <c r="C5701" s="455">
        <v>1.0649999999999999</v>
      </c>
      <c r="D5701" s="637">
        <f t="shared" si="190"/>
        <v>2.4173809523809529</v>
      </c>
      <c r="E5701" s="637">
        <f t="shared" si="191"/>
        <v>3.5161904761904781</v>
      </c>
    </row>
    <row r="5702" spans="1:5">
      <c r="A5702">
        <v>82613</v>
      </c>
      <c r="B5702">
        <v>1000</v>
      </c>
      <c r="C5702" s="455">
        <v>0.64300000000000002</v>
      </c>
      <c r="D5702" s="637">
        <f t="shared" si="190"/>
        <v>1.4595079365079371</v>
      </c>
      <c r="E5702" s="637">
        <f t="shared" si="191"/>
        <v>2.1229206349206362</v>
      </c>
    </row>
    <row r="5703" spans="1:5">
      <c r="A5703">
        <v>82613</v>
      </c>
      <c r="B5703">
        <v>1100</v>
      </c>
      <c r="C5703" s="455">
        <v>0</v>
      </c>
      <c r="D5703" s="637">
        <f t="shared" si="190"/>
        <v>0</v>
      </c>
      <c r="E5703" s="637">
        <f t="shared" si="191"/>
        <v>0</v>
      </c>
    </row>
    <row r="5704" spans="1:5">
      <c r="A5704">
        <v>82613</v>
      </c>
      <c r="B5704">
        <v>1200</v>
      </c>
      <c r="C5704" s="455">
        <v>0</v>
      </c>
      <c r="D5704" s="637">
        <f t="shared" si="190"/>
        <v>0</v>
      </c>
      <c r="E5704" s="637">
        <f t="shared" si="191"/>
        <v>0</v>
      </c>
    </row>
    <row r="5705" spans="1:5">
      <c r="A5705">
        <v>82613</v>
      </c>
      <c r="B5705">
        <v>1300</v>
      </c>
      <c r="C5705" s="455">
        <v>2.2269999999999999</v>
      </c>
      <c r="D5705" s="637">
        <f t="shared" si="190"/>
        <v>5.0549365079365094</v>
      </c>
      <c r="E5705" s="637">
        <f t="shared" si="191"/>
        <v>7.3526349206349249</v>
      </c>
    </row>
    <row r="5706" spans="1:5">
      <c r="A5706">
        <v>82613</v>
      </c>
      <c r="B5706">
        <v>1400</v>
      </c>
      <c r="C5706" s="455">
        <v>0</v>
      </c>
      <c r="D5706" s="637">
        <f t="shared" si="190"/>
        <v>0</v>
      </c>
      <c r="E5706" s="637">
        <f t="shared" si="191"/>
        <v>0</v>
      </c>
    </row>
    <row r="5707" spans="1:5">
      <c r="A5707">
        <v>82613</v>
      </c>
      <c r="B5707">
        <v>1500</v>
      </c>
      <c r="C5707" s="455">
        <v>0</v>
      </c>
      <c r="D5707" s="637">
        <f t="shared" si="190"/>
        <v>0</v>
      </c>
      <c r="E5707" s="637">
        <f t="shared" si="191"/>
        <v>0</v>
      </c>
    </row>
    <row r="5708" spans="1:5">
      <c r="A5708">
        <v>82613</v>
      </c>
      <c r="B5708">
        <v>1600</v>
      </c>
      <c r="C5708" s="455">
        <v>0</v>
      </c>
      <c r="D5708" s="637">
        <f t="shared" si="190"/>
        <v>0</v>
      </c>
      <c r="E5708" s="637">
        <f t="shared" si="191"/>
        <v>0</v>
      </c>
    </row>
    <row r="5709" spans="1:5">
      <c r="A5709">
        <v>82613</v>
      </c>
      <c r="B5709">
        <v>1700</v>
      </c>
      <c r="C5709" s="455">
        <v>0</v>
      </c>
      <c r="D5709" s="637">
        <f t="shared" si="190"/>
        <v>0</v>
      </c>
      <c r="E5709" s="637">
        <f t="shared" si="191"/>
        <v>0</v>
      </c>
    </row>
    <row r="5710" spans="1:5">
      <c r="A5710">
        <v>82613</v>
      </c>
      <c r="B5710">
        <v>1800</v>
      </c>
      <c r="C5710" s="455">
        <v>0</v>
      </c>
      <c r="D5710" s="637">
        <f t="shared" si="190"/>
        <v>0</v>
      </c>
      <c r="E5710" s="637">
        <f t="shared" si="191"/>
        <v>0</v>
      </c>
    </row>
    <row r="5711" spans="1:5">
      <c r="A5711">
        <v>82613</v>
      </c>
      <c r="B5711">
        <v>1900</v>
      </c>
      <c r="C5711" s="455">
        <v>1.2170000000000001</v>
      </c>
      <c r="D5711" s="637">
        <f t="shared" si="190"/>
        <v>2.7623968253968267</v>
      </c>
      <c r="E5711" s="637">
        <f t="shared" si="191"/>
        <v>4.018031746031749</v>
      </c>
    </row>
    <row r="5712" spans="1:5">
      <c r="A5712">
        <v>82613</v>
      </c>
      <c r="B5712">
        <v>2000</v>
      </c>
      <c r="C5712" s="455">
        <v>11.635</v>
      </c>
      <c r="D5712" s="637">
        <f t="shared" si="190"/>
        <v>26.409603174603181</v>
      </c>
      <c r="E5712" s="637">
        <f t="shared" si="191"/>
        <v>38.413968253968278</v>
      </c>
    </row>
    <row r="5713" spans="1:5">
      <c r="A5713">
        <v>82613</v>
      </c>
      <c r="B5713">
        <v>2100</v>
      </c>
      <c r="C5713" s="455">
        <v>9.9710000000000001</v>
      </c>
      <c r="D5713" s="637">
        <f t="shared" si="190"/>
        <v>22.632587301587311</v>
      </c>
      <c r="E5713" s="637">
        <f t="shared" si="191"/>
        <v>32.920126984127009</v>
      </c>
    </row>
    <row r="5714" spans="1:5">
      <c r="A5714">
        <v>82613</v>
      </c>
      <c r="B5714">
        <v>2200</v>
      </c>
      <c r="C5714" s="455">
        <v>10.115</v>
      </c>
      <c r="D5714" s="637">
        <f t="shared" si="190"/>
        <v>22.959444444444451</v>
      </c>
      <c r="E5714" s="637">
        <f t="shared" si="191"/>
        <v>33.395555555555575</v>
      </c>
    </row>
    <row r="5715" spans="1:5">
      <c r="A5715">
        <v>82613</v>
      </c>
      <c r="B5715">
        <v>2300</v>
      </c>
      <c r="C5715" s="455">
        <v>10.25</v>
      </c>
      <c r="D5715" s="637">
        <f t="shared" si="190"/>
        <v>23.265873015873023</v>
      </c>
      <c r="E5715" s="637">
        <f t="shared" si="191"/>
        <v>33.841269841269863</v>
      </c>
    </row>
    <row r="5716" spans="1:5">
      <c r="A5716">
        <v>82613</v>
      </c>
      <c r="B5716">
        <v>2400</v>
      </c>
      <c r="C5716" s="455">
        <v>10.085000000000001</v>
      </c>
      <c r="D5716" s="637">
        <f t="shared" si="190"/>
        <v>22.891349206349215</v>
      </c>
      <c r="E5716" s="637">
        <f t="shared" si="191"/>
        <v>33.296507936507957</v>
      </c>
    </row>
    <row r="5717" spans="1:5">
      <c r="A5717">
        <v>82713</v>
      </c>
      <c r="B5717">
        <v>100</v>
      </c>
      <c r="C5717" s="455">
        <v>10.326000000000001</v>
      </c>
      <c r="D5717" s="637">
        <f t="shared" si="190"/>
        <v>23.43838095238096</v>
      </c>
      <c r="E5717" s="637">
        <f t="shared" si="191"/>
        <v>34.092190476190503</v>
      </c>
    </row>
    <row r="5718" spans="1:5">
      <c r="A5718">
        <v>82713</v>
      </c>
      <c r="B5718">
        <v>200</v>
      </c>
      <c r="C5718" s="455">
        <v>10.186999999999999</v>
      </c>
      <c r="D5718" s="637">
        <f t="shared" si="190"/>
        <v>23.122873015873022</v>
      </c>
      <c r="E5718" s="637">
        <f t="shared" si="191"/>
        <v>33.633269841269858</v>
      </c>
    </row>
    <row r="5719" spans="1:5">
      <c r="A5719">
        <v>82713</v>
      </c>
      <c r="B5719">
        <v>300</v>
      </c>
      <c r="C5719" s="455">
        <v>10.125999999999999</v>
      </c>
      <c r="D5719" s="637">
        <f t="shared" si="190"/>
        <v>22.984412698412704</v>
      </c>
      <c r="E5719" s="637">
        <f t="shared" si="191"/>
        <v>33.43187301587303</v>
      </c>
    </row>
    <row r="5720" spans="1:5">
      <c r="A5720">
        <v>82713</v>
      </c>
      <c r="B5720">
        <v>400</v>
      </c>
      <c r="C5720" s="455">
        <v>10.233000000000001</v>
      </c>
      <c r="D5720" s="637">
        <f t="shared" si="190"/>
        <v>23.227285714285724</v>
      </c>
      <c r="E5720" s="637">
        <f t="shared" si="191"/>
        <v>33.78514285714288</v>
      </c>
    </row>
    <row r="5721" spans="1:5">
      <c r="A5721">
        <v>82713</v>
      </c>
      <c r="B5721">
        <v>500</v>
      </c>
      <c r="C5721" s="455">
        <v>10.225</v>
      </c>
      <c r="D5721" s="637">
        <f t="shared" si="190"/>
        <v>23.209126984126989</v>
      </c>
      <c r="E5721" s="637">
        <f t="shared" si="191"/>
        <v>33.758730158730181</v>
      </c>
    </row>
    <row r="5722" spans="1:5">
      <c r="A5722">
        <v>82713</v>
      </c>
      <c r="B5722">
        <v>600</v>
      </c>
      <c r="C5722" s="455">
        <v>8.8629999999999995</v>
      </c>
      <c r="D5722" s="637">
        <f t="shared" si="190"/>
        <v>20.117603174603179</v>
      </c>
      <c r="E5722" s="637">
        <f t="shared" si="191"/>
        <v>29.26196825396827</v>
      </c>
    </row>
    <row r="5723" spans="1:5">
      <c r="A5723">
        <v>82713</v>
      </c>
      <c r="B5723">
        <v>700</v>
      </c>
      <c r="C5723" s="455">
        <v>0.05</v>
      </c>
      <c r="D5723" s="637">
        <f t="shared" si="190"/>
        <v>0.11349206349206353</v>
      </c>
      <c r="E5723" s="637">
        <f t="shared" si="191"/>
        <v>0.16507936507936519</v>
      </c>
    </row>
    <row r="5724" spans="1:5">
      <c r="A5724">
        <v>82713</v>
      </c>
      <c r="B5724">
        <v>800</v>
      </c>
      <c r="C5724" s="455">
        <v>1E-3</v>
      </c>
      <c r="D5724" s="637">
        <f t="shared" si="190"/>
        <v>2.2698412698412703E-3</v>
      </c>
      <c r="E5724" s="637">
        <f t="shared" si="191"/>
        <v>3.3015873015873037E-3</v>
      </c>
    </row>
    <row r="5725" spans="1:5">
      <c r="A5725">
        <v>82713</v>
      </c>
      <c r="B5725">
        <v>900</v>
      </c>
      <c r="C5725" s="455">
        <v>0</v>
      </c>
      <c r="D5725" s="637">
        <f t="shared" si="190"/>
        <v>0</v>
      </c>
      <c r="E5725" s="637">
        <f t="shared" si="191"/>
        <v>0</v>
      </c>
    </row>
    <row r="5726" spans="1:5">
      <c r="A5726">
        <v>82713</v>
      </c>
      <c r="B5726">
        <v>1000</v>
      </c>
      <c r="C5726" s="455">
        <v>0</v>
      </c>
      <c r="D5726" s="637">
        <f t="shared" si="190"/>
        <v>0</v>
      </c>
      <c r="E5726" s="637">
        <f t="shared" si="191"/>
        <v>0</v>
      </c>
    </row>
    <row r="5727" spans="1:5">
      <c r="A5727">
        <v>82713</v>
      </c>
      <c r="B5727">
        <v>1100</v>
      </c>
      <c r="C5727" s="455">
        <v>0</v>
      </c>
      <c r="D5727" s="637">
        <f t="shared" si="190"/>
        <v>0</v>
      </c>
      <c r="E5727" s="637">
        <f t="shared" si="191"/>
        <v>0</v>
      </c>
    </row>
    <row r="5728" spans="1:5">
      <c r="A5728">
        <v>82713</v>
      </c>
      <c r="B5728">
        <v>1200</v>
      </c>
      <c r="C5728" s="455">
        <v>0</v>
      </c>
      <c r="D5728" s="637">
        <f t="shared" si="190"/>
        <v>0</v>
      </c>
      <c r="E5728" s="637">
        <f t="shared" si="191"/>
        <v>0</v>
      </c>
    </row>
    <row r="5729" spans="1:5">
      <c r="A5729">
        <v>82713</v>
      </c>
      <c r="B5729">
        <v>1300</v>
      </c>
      <c r="C5729" s="455">
        <v>0</v>
      </c>
      <c r="D5729" s="637">
        <f t="shared" si="190"/>
        <v>0</v>
      </c>
      <c r="E5729" s="637">
        <f t="shared" si="191"/>
        <v>0</v>
      </c>
    </row>
    <row r="5730" spans="1:5">
      <c r="A5730">
        <v>82713</v>
      </c>
      <c r="B5730">
        <v>1400</v>
      </c>
      <c r="C5730" s="455">
        <v>0</v>
      </c>
      <c r="D5730" s="637">
        <f t="shared" si="190"/>
        <v>0</v>
      </c>
      <c r="E5730" s="637">
        <f t="shared" si="191"/>
        <v>0</v>
      </c>
    </row>
    <row r="5731" spans="1:5">
      <c r="A5731">
        <v>82713</v>
      </c>
      <c r="B5731">
        <v>1500</v>
      </c>
      <c r="C5731" s="455">
        <v>0</v>
      </c>
      <c r="D5731" s="637">
        <f t="shared" si="190"/>
        <v>0</v>
      </c>
      <c r="E5731" s="637">
        <f t="shared" si="191"/>
        <v>0</v>
      </c>
    </row>
    <row r="5732" spans="1:5">
      <c r="A5732">
        <v>82713</v>
      </c>
      <c r="B5732">
        <v>1600</v>
      </c>
      <c r="C5732" s="455">
        <v>0</v>
      </c>
      <c r="D5732" s="637">
        <f t="shared" si="190"/>
        <v>0</v>
      </c>
      <c r="E5732" s="637">
        <f t="shared" si="191"/>
        <v>0</v>
      </c>
    </row>
    <row r="5733" spans="1:5">
      <c r="A5733">
        <v>82713</v>
      </c>
      <c r="B5733">
        <v>1700</v>
      </c>
      <c r="C5733" s="455">
        <v>0</v>
      </c>
      <c r="D5733" s="637">
        <f t="shared" si="190"/>
        <v>0</v>
      </c>
      <c r="E5733" s="637">
        <f t="shared" si="191"/>
        <v>0</v>
      </c>
    </row>
    <row r="5734" spans="1:5">
      <c r="A5734">
        <v>82713</v>
      </c>
      <c r="B5734">
        <v>1800</v>
      </c>
      <c r="C5734" s="455">
        <v>0</v>
      </c>
      <c r="D5734" s="637">
        <f t="shared" ref="D5734:D5797" si="192">(C5734/(MAX($C$5093:$C$5836)))*$W$12</f>
        <v>0</v>
      </c>
      <c r="E5734" s="637">
        <f t="shared" ref="E5734:E5797" si="193">(C5734/(MAX($C$5093:$C$5836)))*$P$12</f>
        <v>0</v>
      </c>
    </row>
    <row r="5735" spans="1:5">
      <c r="A5735">
        <v>82713</v>
      </c>
      <c r="B5735">
        <v>1900</v>
      </c>
      <c r="C5735" s="455">
        <v>5.9119999999999999</v>
      </c>
      <c r="D5735" s="637">
        <f t="shared" si="192"/>
        <v>13.419301587301591</v>
      </c>
      <c r="E5735" s="637">
        <f t="shared" si="193"/>
        <v>19.51898412698414</v>
      </c>
    </row>
    <row r="5736" spans="1:5">
      <c r="A5736">
        <v>82713</v>
      </c>
      <c r="B5736">
        <v>2000</v>
      </c>
      <c r="C5736" s="455">
        <v>10.566000000000001</v>
      </c>
      <c r="D5736" s="637">
        <f t="shared" si="192"/>
        <v>23.983142857142866</v>
      </c>
      <c r="E5736" s="637">
        <f t="shared" si="193"/>
        <v>34.884571428571455</v>
      </c>
    </row>
    <row r="5737" spans="1:5">
      <c r="A5737">
        <v>82713</v>
      </c>
      <c r="B5737">
        <v>2100</v>
      </c>
      <c r="C5737" s="455">
        <v>9.9429999999999996</v>
      </c>
      <c r="D5737" s="637">
        <f t="shared" si="192"/>
        <v>22.569031746031754</v>
      </c>
      <c r="E5737" s="637">
        <f t="shared" si="193"/>
        <v>32.827682539682563</v>
      </c>
    </row>
    <row r="5738" spans="1:5">
      <c r="A5738">
        <v>82713</v>
      </c>
      <c r="B5738">
        <v>2200</v>
      </c>
      <c r="C5738" s="455">
        <v>9.9380000000000006</v>
      </c>
      <c r="D5738" s="637">
        <f t="shared" si="192"/>
        <v>22.557682539682549</v>
      </c>
      <c r="E5738" s="637">
        <f t="shared" si="193"/>
        <v>32.811174603174628</v>
      </c>
    </row>
    <row r="5739" spans="1:5">
      <c r="A5739">
        <v>82713</v>
      </c>
      <c r="B5739">
        <v>2300</v>
      </c>
      <c r="C5739" s="455">
        <v>10.227</v>
      </c>
      <c r="D5739" s="637">
        <f t="shared" si="192"/>
        <v>23.213666666666676</v>
      </c>
      <c r="E5739" s="637">
        <f t="shared" si="193"/>
        <v>33.765333333333359</v>
      </c>
    </row>
    <row r="5740" spans="1:5">
      <c r="A5740">
        <v>82713</v>
      </c>
      <c r="B5740">
        <v>2400</v>
      </c>
      <c r="C5740" s="455">
        <v>10.114000000000001</v>
      </c>
      <c r="D5740" s="637">
        <f t="shared" si="192"/>
        <v>22.957174603174614</v>
      </c>
      <c r="E5740" s="637">
        <f t="shared" si="193"/>
        <v>33.392253968253996</v>
      </c>
    </row>
    <row r="5741" spans="1:5">
      <c r="A5741">
        <v>82813</v>
      </c>
      <c r="B5741">
        <v>100</v>
      </c>
      <c r="C5741" s="455">
        <v>10.002000000000001</v>
      </c>
      <c r="D5741" s="637">
        <f t="shared" si="192"/>
        <v>22.702952380952389</v>
      </c>
      <c r="E5741" s="637">
        <f t="shared" si="193"/>
        <v>33.022476190476212</v>
      </c>
    </row>
    <row r="5742" spans="1:5">
      <c r="A5742">
        <v>82813</v>
      </c>
      <c r="B5742">
        <v>200</v>
      </c>
      <c r="C5742" s="455">
        <v>10.183</v>
      </c>
      <c r="D5742" s="637">
        <f t="shared" si="192"/>
        <v>23.113793650793657</v>
      </c>
      <c r="E5742" s="637">
        <f t="shared" si="193"/>
        <v>33.620063492063515</v>
      </c>
    </row>
    <row r="5743" spans="1:5">
      <c r="A5743">
        <v>82813</v>
      </c>
      <c r="B5743">
        <v>300</v>
      </c>
      <c r="C5743" s="455">
        <v>10.124000000000001</v>
      </c>
      <c r="D5743" s="637">
        <f t="shared" si="192"/>
        <v>22.979873015873025</v>
      </c>
      <c r="E5743" s="637">
        <f t="shared" si="193"/>
        <v>33.425269841269866</v>
      </c>
    </row>
    <row r="5744" spans="1:5">
      <c r="A5744">
        <v>82813</v>
      </c>
      <c r="B5744">
        <v>400</v>
      </c>
      <c r="C5744" s="455">
        <v>10.525</v>
      </c>
      <c r="D5744" s="637">
        <f t="shared" si="192"/>
        <v>23.890079365079373</v>
      </c>
      <c r="E5744" s="637">
        <f t="shared" si="193"/>
        <v>34.749206349206368</v>
      </c>
    </row>
    <row r="5745" spans="1:5">
      <c r="A5745">
        <v>82813</v>
      </c>
      <c r="B5745">
        <v>500</v>
      </c>
      <c r="C5745" s="455">
        <v>10.214</v>
      </c>
      <c r="D5745" s="637">
        <f t="shared" si="192"/>
        <v>23.184158730158739</v>
      </c>
      <c r="E5745" s="637">
        <f t="shared" si="193"/>
        <v>33.722412698412718</v>
      </c>
    </row>
    <row r="5746" spans="1:5">
      <c r="A5746">
        <v>82813</v>
      </c>
      <c r="B5746">
        <v>600</v>
      </c>
      <c r="C5746" s="455">
        <v>11.942</v>
      </c>
      <c r="D5746" s="637">
        <f t="shared" si="192"/>
        <v>27.106444444444453</v>
      </c>
      <c r="E5746" s="637">
        <f t="shared" si="193"/>
        <v>39.427555555555578</v>
      </c>
    </row>
    <row r="5747" spans="1:5">
      <c r="A5747">
        <v>82813</v>
      </c>
      <c r="B5747">
        <v>700</v>
      </c>
      <c r="C5747" s="455">
        <v>7.258</v>
      </c>
      <c r="D5747" s="637">
        <f t="shared" si="192"/>
        <v>16.474507936507944</v>
      </c>
      <c r="E5747" s="637">
        <f t="shared" si="193"/>
        <v>23.962920634920653</v>
      </c>
    </row>
    <row r="5748" spans="1:5">
      <c r="A5748">
        <v>82813</v>
      </c>
      <c r="B5748">
        <v>800</v>
      </c>
      <c r="C5748" s="455">
        <v>0.54</v>
      </c>
      <c r="D5748" s="637">
        <f t="shared" si="192"/>
        <v>1.2257142857142862</v>
      </c>
      <c r="E5748" s="637">
        <f t="shared" si="193"/>
        <v>1.782857142857144</v>
      </c>
    </row>
    <row r="5749" spans="1:5">
      <c r="A5749">
        <v>82813</v>
      </c>
      <c r="B5749">
        <v>900</v>
      </c>
      <c r="C5749" s="455">
        <v>1E-3</v>
      </c>
      <c r="D5749" s="637">
        <f t="shared" si="192"/>
        <v>2.2698412698412703E-3</v>
      </c>
      <c r="E5749" s="637">
        <f t="shared" si="193"/>
        <v>3.3015873015873037E-3</v>
      </c>
    </row>
    <row r="5750" spans="1:5">
      <c r="A5750">
        <v>82813</v>
      </c>
      <c r="B5750">
        <v>1000</v>
      </c>
      <c r="C5750" s="455">
        <v>0</v>
      </c>
      <c r="D5750" s="637">
        <f t="shared" si="192"/>
        <v>0</v>
      </c>
      <c r="E5750" s="637">
        <f t="shared" si="193"/>
        <v>0</v>
      </c>
    </row>
    <row r="5751" spans="1:5">
      <c r="A5751">
        <v>82813</v>
      </c>
      <c r="B5751">
        <v>1100</v>
      </c>
      <c r="C5751" s="455">
        <v>0</v>
      </c>
      <c r="D5751" s="637">
        <f t="shared" si="192"/>
        <v>0</v>
      </c>
      <c r="E5751" s="637">
        <f t="shared" si="193"/>
        <v>0</v>
      </c>
    </row>
    <row r="5752" spans="1:5">
      <c r="A5752">
        <v>82813</v>
      </c>
      <c r="B5752">
        <v>1200</v>
      </c>
      <c r="C5752" s="455">
        <v>0</v>
      </c>
      <c r="D5752" s="637">
        <f t="shared" si="192"/>
        <v>0</v>
      </c>
      <c r="E5752" s="637">
        <f t="shared" si="193"/>
        <v>0</v>
      </c>
    </row>
    <row r="5753" spans="1:5">
      <c r="A5753">
        <v>82813</v>
      </c>
      <c r="B5753">
        <v>1300</v>
      </c>
      <c r="C5753" s="455">
        <v>0</v>
      </c>
      <c r="D5753" s="637">
        <f t="shared" si="192"/>
        <v>0</v>
      </c>
      <c r="E5753" s="637">
        <f t="shared" si="193"/>
        <v>0</v>
      </c>
    </row>
    <row r="5754" spans="1:5">
      <c r="A5754">
        <v>82813</v>
      </c>
      <c r="B5754">
        <v>1400</v>
      </c>
      <c r="C5754" s="455">
        <v>0</v>
      </c>
      <c r="D5754" s="637">
        <f t="shared" si="192"/>
        <v>0</v>
      </c>
      <c r="E5754" s="637">
        <f t="shared" si="193"/>
        <v>0</v>
      </c>
    </row>
    <row r="5755" spans="1:5">
      <c r="A5755">
        <v>82813</v>
      </c>
      <c r="B5755">
        <v>1500</v>
      </c>
      <c r="C5755" s="455">
        <v>0</v>
      </c>
      <c r="D5755" s="637">
        <f t="shared" si="192"/>
        <v>0</v>
      </c>
      <c r="E5755" s="637">
        <f t="shared" si="193"/>
        <v>0</v>
      </c>
    </row>
    <row r="5756" spans="1:5">
      <c r="A5756">
        <v>82813</v>
      </c>
      <c r="B5756">
        <v>1600</v>
      </c>
      <c r="C5756" s="455">
        <v>0</v>
      </c>
      <c r="D5756" s="637">
        <f t="shared" si="192"/>
        <v>0</v>
      </c>
      <c r="E5756" s="637">
        <f t="shared" si="193"/>
        <v>0</v>
      </c>
    </row>
    <row r="5757" spans="1:5">
      <c r="A5757">
        <v>82813</v>
      </c>
      <c r="B5757">
        <v>1700</v>
      </c>
      <c r="C5757" s="455">
        <v>0</v>
      </c>
      <c r="D5757" s="637">
        <f t="shared" si="192"/>
        <v>0</v>
      </c>
      <c r="E5757" s="637">
        <f t="shared" si="193"/>
        <v>0</v>
      </c>
    </row>
    <row r="5758" spans="1:5">
      <c r="A5758">
        <v>82813</v>
      </c>
      <c r="B5758">
        <v>1800</v>
      </c>
      <c r="C5758" s="455">
        <v>0</v>
      </c>
      <c r="D5758" s="637">
        <f t="shared" si="192"/>
        <v>0</v>
      </c>
      <c r="E5758" s="637">
        <f t="shared" si="193"/>
        <v>0</v>
      </c>
    </row>
    <row r="5759" spans="1:5">
      <c r="A5759">
        <v>82813</v>
      </c>
      <c r="B5759">
        <v>1900</v>
      </c>
      <c r="C5759" s="455">
        <v>1.6339999999999999</v>
      </c>
      <c r="D5759" s="637">
        <f t="shared" si="192"/>
        <v>3.7089206349206356</v>
      </c>
      <c r="E5759" s="637">
        <f t="shared" si="193"/>
        <v>5.3947936507936536</v>
      </c>
    </row>
    <row r="5760" spans="1:5">
      <c r="A5760">
        <v>82813</v>
      </c>
      <c r="B5760">
        <v>2000</v>
      </c>
      <c r="C5760" s="455">
        <v>11.455</v>
      </c>
      <c r="D5760" s="637">
        <f t="shared" si="192"/>
        <v>26.001031746031753</v>
      </c>
      <c r="E5760" s="637">
        <f t="shared" si="193"/>
        <v>37.81968253968256</v>
      </c>
    </row>
    <row r="5761" spans="1:5">
      <c r="A5761">
        <v>82813</v>
      </c>
      <c r="B5761">
        <v>2100</v>
      </c>
      <c r="C5761" s="455">
        <v>10.391</v>
      </c>
      <c r="D5761" s="637">
        <f t="shared" si="192"/>
        <v>23.585920634920644</v>
      </c>
      <c r="E5761" s="637">
        <f t="shared" si="193"/>
        <v>34.306793650793672</v>
      </c>
    </row>
    <row r="5762" spans="1:5">
      <c r="A5762">
        <v>82813</v>
      </c>
      <c r="B5762">
        <v>2200</v>
      </c>
      <c r="C5762" s="455">
        <v>10.013</v>
      </c>
      <c r="D5762" s="637">
        <f t="shared" si="192"/>
        <v>22.72792063492064</v>
      </c>
      <c r="E5762" s="637">
        <f t="shared" si="193"/>
        <v>33.058793650793675</v>
      </c>
    </row>
    <row r="5763" spans="1:5">
      <c r="A5763">
        <v>82813</v>
      </c>
      <c r="B5763">
        <v>2300</v>
      </c>
      <c r="C5763" s="455">
        <v>9.9969999999999999</v>
      </c>
      <c r="D5763" s="637">
        <f t="shared" si="192"/>
        <v>22.691603174603181</v>
      </c>
      <c r="E5763" s="637">
        <f t="shared" si="193"/>
        <v>33.005968253968277</v>
      </c>
    </row>
    <row r="5764" spans="1:5">
      <c r="A5764">
        <v>82813</v>
      </c>
      <c r="B5764">
        <v>2400</v>
      </c>
      <c r="C5764" s="455">
        <v>9.9309999999999992</v>
      </c>
      <c r="D5764" s="637">
        <f t="shared" si="192"/>
        <v>22.541793650793657</v>
      </c>
      <c r="E5764" s="637">
        <f t="shared" si="193"/>
        <v>32.788063492063507</v>
      </c>
    </row>
    <row r="5765" spans="1:5">
      <c r="A5765">
        <v>82913</v>
      </c>
      <c r="B5765">
        <v>100</v>
      </c>
      <c r="C5765" s="455">
        <v>10.191000000000001</v>
      </c>
      <c r="D5765" s="637">
        <f t="shared" si="192"/>
        <v>23.131952380952391</v>
      </c>
      <c r="E5765" s="637">
        <f t="shared" si="193"/>
        <v>33.646476190476214</v>
      </c>
    </row>
    <row r="5766" spans="1:5">
      <c r="A5766">
        <v>82913</v>
      </c>
      <c r="B5766">
        <v>200</v>
      </c>
      <c r="C5766" s="455">
        <v>9.9649999999999999</v>
      </c>
      <c r="D5766" s="637">
        <f t="shared" si="192"/>
        <v>22.618968253968262</v>
      </c>
      <c r="E5766" s="637">
        <f t="shared" si="193"/>
        <v>32.900317460317481</v>
      </c>
    </row>
    <row r="5767" spans="1:5">
      <c r="A5767">
        <v>82913</v>
      </c>
      <c r="B5767">
        <v>300</v>
      </c>
      <c r="C5767" s="455">
        <v>10.119999999999999</v>
      </c>
      <c r="D5767" s="637">
        <f t="shared" si="192"/>
        <v>22.970793650793656</v>
      </c>
      <c r="E5767" s="637">
        <f t="shared" si="193"/>
        <v>33.41206349206351</v>
      </c>
    </row>
    <row r="5768" spans="1:5">
      <c r="A5768">
        <v>82913</v>
      </c>
      <c r="B5768">
        <v>400</v>
      </c>
      <c r="C5768" s="455">
        <v>9.9450000000000003</v>
      </c>
      <c r="D5768" s="637">
        <f t="shared" si="192"/>
        <v>22.573571428571437</v>
      </c>
      <c r="E5768" s="637">
        <f t="shared" si="193"/>
        <v>32.834285714285741</v>
      </c>
    </row>
    <row r="5769" spans="1:5">
      <c r="A5769">
        <v>82913</v>
      </c>
      <c r="B5769">
        <v>500</v>
      </c>
      <c r="C5769" s="455">
        <v>9.8620000000000001</v>
      </c>
      <c r="D5769" s="637">
        <f t="shared" si="192"/>
        <v>22.385174603174612</v>
      </c>
      <c r="E5769" s="637">
        <f t="shared" si="193"/>
        <v>32.560253968253988</v>
      </c>
    </row>
    <row r="5770" spans="1:5">
      <c r="A5770">
        <v>82913</v>
      </c>
      <c r="B5770">
        <v>600</v>
      </c>
      <c r="C5770" s="455">
        <v>9.85</v>
      </c>
      <c r="D5770" s="637">
        <f t="shared" si="192"/>
        <v>22.357936507936515</v>
      </c>
      <c r="E5770" s="637">
        <f t="shared" si="193"/>
        <v>32.52063492063494</v>
      </c>
    </row>
    <row r="5771" spans="1:5">
      <c r="A5771">
        <v>82913</v>
      </c>
      <c r="B5771">
        <v>700</v>
      </c>
      <c r="C5771" s="455">
        <v>0.13100000000000001</v>
      </c>
      <c r="D5771" s="637">
        <f t="shared" si="192"/>
        <v>0.29734920634920642</v>
      </c>
      <c r="E5771" s="637">
        <f t="shared" si="193"/>
        <v>0.43250793650793679</v>
      </c>
    </row>
    <row r="5772" spans="1:5">
      <c r="A5772">
        <v>82913</v>
      </c>
      <c r="B5772">
        <v>800</v>
      </c>
      <c r="C5772" s="455">
        <v>0</v>
      </c>
      <c r="D5772" s="637">
        <f t="shared" si="192"/>
        <v>0</v>
      </c>
      <c r="E5772" s="637">
        <f t="shared" si="193"/>
        <v>0</v>
      </c>
    </row>
    <row r="5773" spans="1:5">
      <c r="A5773">
        <v>82913</v>
      </c>
      <c r="B5773">
        <v>900</v>
      </c>
      <c r="C5773" s="455">
        <v>0</v>
      </c>
      <c r="D5773" s="637">
        <f t="shared" si="192"/>
        <v>0</v>
      </c>
      <c r="E5773" s="637">
        <f t="shared" si="193"/>
        <v>0</v>
      </c>
    </row>
    <row r="5774" spans="1:5">
      <c r="A5774">
        <v>82913</v>
      </c>
      <c r="B5774">
        <v>1000</v>
      </c>
      <c r="C5774" s="455">
        <v>0</v>
      </c>
      <c r="D5774" s="637">
        <f t="shared" si="192"/>
        <v>0</v>
      </c>
      <c r="E5774" s="637">
        <f t="shared" si="193"/>
        <v>0</v>
      </c>
    </row>
    <row r="5775" spans="1:5">
      <c r="A5775">
        <v>82913</v>
      </c>
      <c r="B5775">
        <v>1100</v>
      </c>
      <c r="C5775" s="455">
        <v>0</v>
      </c>
      <c r="D5775" s="637">
        <f t="shared" si="192"/>
        <v>0</v>
      </c>
      <c r="E5775" s="637">
        <f t="shared" si="193"/>
        <v>0</v>
      </c>
    </row>
    <row r="5776" spans="1:5">
      <c r="A5776">
        <v>82913</v>
      </c>
      <c r="B5776">
        <v>1200</v>
      </c>
      <c r="C5776" s="455">
        <v>0</v>
      </c>
      <c r="D5776" s="637">
        <f t="shared" si="192"/>
        <v>0</v>
      </c>
      <c r="E5776" s="637">
        <f t="shared" si="193"/>
        <v>0</v>
      </c>
    </row>
    <row r="5777" spans="1:5">
      <c r="A5777">
        <v>82913</v>
      </c>
      <c r="B5777">
        <v>1300</v>
      </c>
      <c r="C5777" s="455">
        <v>0</v>
      </c>
      <c r="D5777" s="637">
        <f t="shared" si="192"/>
        <v>0</v>
      </c>
      <c r="E5777" s="637">
        <f t="shared" si="193"/>
        <v>0</v>
      </c>
    </row>
    <row r="5778" spans="1:5">
      <c r="A5778">
        <v>82913</v>
      </c>
      <c r="B5778">
        <v>1400</v>
      </c>
      <c r="C5778" s="455">
        <v>1E-3</v>
      </c>
      <c r="D5778" s="637">
        <f t="shared" si="192"/>
        <v>2.2698412698412703E-3</v>
      </c>
      <c r="E5778" s="637">
        <f t="shared" si="193"/>
        <v>3.3015873015873037E-3</v>
      </c>
    </row>
    <row r="5779" spans="1:5">
      <c r="A5779">
        <v>82913</v>
      </c>
      <c r="B5779">
        <v>1500</v>
      </c>
      <c r="C5779" s="455">
        <v>0</v>
      </c>
      <c r="D5779" s="637">
        <f t="shared" si="192"/>
        <v>0</v>
      </c>
      <c r="E5779" s="637">
        <f t="shared" si="193"/>
        <v>0</v>
      </c>
    </row>
    <row r="5780" spans="1:5">
      <c r="A5780">
        <v>82913</v>
      </c>
      <c r="B5780">
        <v>1600</v>
      </c>
      <c r="C5780" s="455">
        <v>0</v>
      </c>
      <c r="D5780" s="637">
        <f t="shared" si="192"/>
        <v>0</v>
      </c>
      <c r="E5780" s="637">
        <f t="shared" si="193"/>
        <v>0</v>
      </c>
    </row>
    <row r="5781" spans="1:5">
      <c r="A5781">
        <v>82913</v>
      </c>
      <c r="B5781">
        <v>1700</v>
      </c>
      <c r="C5781" s="455">
        <v>0</v>
      </c>
      <c r="D5781" s="637">
        <f t="shared" si="192"/>
        <v>0</v>
      </c>
      <c r="E5781" s="637">
        <f t="shared" si="193"/>
        <v>0</v>
      </c>
    </row>
    <row r="5782" spans="1:5">
      <c r="A5782">
        <v>82913</v>
      </c>
      <c r="B5782">
        <v>1800</v>
      </c>
      <c r="C5782" s="455">
        <v>0</v>
      </c>
      <c r="D5782" s="637">
        <f t="shared" si="192"/>
        <v>0</v>
      </c>
      <c r="E5782" s="637">
        <f t="shared" si="193"/>
        <v>0</v>
      </c>
    </row>
    <row r="5783" spans="1:5">
      <c r="A5783">
        <v>82913</v>
      </c>
      <c r="B5783">
        <v>1900</v>
      </c>
      <c r="C5783" s="455">
        <v>2.282</v>
      </c>
      <c r="D5783" s="637">
        <f t="shared" si="192"/>
        <v>5.1797777777777796</v>
      </c>
      <c r="E5783" s="637">
        <f t="shared" si="193"/>
        <v>7.534222222222227</v>
      </c>
    </row>
    <row r="5784" spans="1:5">
      <c r="A5784">
        <v>82913</v>
      </c>
      <c r="B5784">
        <v>2000</v>
      </c>
      <c r="C5784" s="455">
        <v>11.061</v>
      </c>
      <c r="D5784" s="637">
        <f t="shared" si="192"/>
        <v>25.106714285714293</v>
      </c>
      <c r="E5784" s="637">
        <f t="shared" si="193"/>
        <v>36.518857142857165</v>
      </c>
    </row>
    <row r="5785" spans="1:5">
      <c r="A5785">
        <v>82913</v>
      </c>
      <c r="B5785">
        <v>2100</v>
      </c>
      <c r="C5785" s="455">
        <v>10.164999999999999</v>
      </c>
      <c r="D5785" s="637">
        <f t="shared" si="192"/>
        <v>23.072936507936511</v>
      </c>
      <c r="E5785" s="637">
        <f t="shared" si="193"/>
        <v>33.560634920634939</v>
      </c>
    </row>
    <row r="5786" spans="1:5">
      <c r="A5786">
        <v>82913</v>
      </c>
      <c r="B5786">
        <v>2200</v>
      </c>
      <c r="C5786" s="455">
        <v>10.071999999999999</v>
      </c>
      <c r="D5786" s="637">
        <f t="shared" si="192"/>
        <v>22.861841269841275</v>
      </c>
      <c r="E5786" s="637">
        <f t="shared" si="193"/>
        <v>33.253587301587316</v>
      </c>
    </row>
    <row r="5787" spans="1:5">
      <c r="A5787">
        <v>82913</v>
      </c>
      <c r="B5787">
        <v>2300</v>
      </c>
      <c r="C5787" s="455">
        <v>10.073</v>
      </c>
      <c r="D5787" s="637">
        <f t="shared" si="192"/>
        <v>22.864111111111118</v>
      </c>
      <c r="E5787" s="637">
        <f t="shared" si="193"/>
        <v>33.256888888888909</v>
      </c>
    </row>
    <row r="5788" spans="1:5">
      <c r="A5788">
        <v>82913</v>
      </c>
      <c r="B5788">
        <v>2400</v>
      </c>
      <c r="C5788" s="455">
        <v>8.0630000000000006</v>
      </c>
      <c r="D5788" s="637">
        <f t="shared" si="192"/>
        <v>18.301730158730166</v>
      </c>
      <c r="E5788" s="637">
        <f t="shared" si="193"/>
        <v>26.620698412698431</v>
      </c>
    </row>
    <row r="5789" spans="1:5">
      <c r="A5789">
        <v>83013</v>
      </c>
      <c r="B5789">
        <v>100</v>
      </c>
      <c r="C5789" s="455">
        <v>6.7359999999999998</v>
      </c>
      <c r="D5789" s="637">
        <f t="shared" si="192"/>
        <v>15.289650793650798</v>
      </c>
      <c r="E5789" s="637">
        <f t="shared" si="193"/>
        <v>22.239492063492076</v>
      </c>
    </row>
    <row r="5790" spans="1:5">
      <c r="A5790">
        <v>83013</v>
      </c>
      <c r="B5790">
        <v>200</v>
      </c>
      <c r="C5790" s="455">
        <v>6.6310000000000002</v>
      </c>
      <c r="D5790" s="637">
        <f t="shared" si="192"/>
        <v>15.051317460317467</v>
      </c>
      <c r="E5790" s="637">
        <f t="shared" si="193"/>
        <v>21.892825396825412</v>
      </c>
    </row>
    <row r="5791" spans="1:5">
      <c r="A5791">
        <v>83013</v>
      </c>
      <c r="B5791">
        <v>300</v>
      </c>
      <c r="C5791" s="455">
        <v>6.71</v>
      </c>
      <c r="D5791" s="637">
        <f t="shared" si="192"/>
        <v>15.230634920634925</v>
      </c>
      <c r="E5791" s="637">
        <f t="shared" si="193"/>
        <v>22.153650793650808</v>
      </c>
    </row>
    <row r="5792" spans="1:5">
      <c r="A5792">
        <v>83013</v>
      </c>
      <c r="B5792">
        <v>400</v>
      </c>
      <c r="C5792" s="455">
        <v>6.81</v>
      </c>
      <c r="D5792" s="637">
        <f t="shared" si="192"/>
        <v>15.457619047619051</v>
      </c>
      <c r="E5792" s="637">
        <f t="shared" si="193"/>
        <v>22.483809523809537</v>
      </c>
    </row>
    <row r="5793" spans="1:5">
      <c r="A5793">
        <v>83013</v>
      </c>
      <c r="B5793">
        <v>500</v>
      </c>
      <c r="C5793" s="455">
        <v>6.59</v>
      </c>
      <c r="D5793" s="637">
        <f t="shared" si="192"/>
        <v>14.958253968253974</v>
      </c>
      <c r="E5793" s="637">
        <f t="shared" si="193"/>
        <v>21.757460317460332</v>
      </c>
    </row>
    <row r="5794" spans="1:5">
      <c r="A5794">
        <v>83013</v>
      </c>
      <c r="B5794">
        <v>600</v>
      </c>
      <c r="C5794" s="455">
        <v>7.3680000000000003</v>
      </c>
      <c r="D5794" s="637">
        <f t="shared" si="192"/>
        <v>16.724190476190483</v>
      </c>
      <c r="E5794" s="637">
        <f t="shared" si="193"/>
        <v>24.326095238095256</v>
      </c>
    </row>
    <row r="5795" spans="1:5">
      <c r="A5795">
        <v>83013</v>
      </c>
      <c r="B5795">
        <v>700</v>
      </c>
      <c r="C5795" s="455">
        <v>0.155</v>
      </c>
      <c r="D5795" s="637">
        <f t="shared" si="192"/>
        <v>0.35182539682539693</v>
      </c>
      <c r="E5795" s="637">
        <f t="shared" si="193"/>
        <v>0.51174603174603206</v>
      </c>
    </row>
    <row r="5796" spans="1:5">
      <c r="A5796">
        <v>83013</v>
      </c>
      <c r="B5796">
        <v>800</v>
      </c>
      <c r="C5796" s="455">
        <v>0</v>
      </c>
      <c r="D5796" s="637">
        <f t="shared" si="192"/>
        <v>0</v>
      </c>
      <c r="E5796" s="637">
        <f t="shared" si="193"/>
        <v>0</v>
      </c>
    </row>
    <row r="5797" spans="1:5">
      <c r="A5797">
        <v>83013</v>
      </c>
      <c r="B5797">
        <v>900</v>
      </c>
      <c r="C5797" s="455">
        <v>0</v>
      </c>
      <c r="D5797" s="637">
        <f t="shared" si="192"/>
        <v>0</v>
      </c>
      <c r="E5797" s="637">
        <f t="shared" si="193"/>
        <v>0</v>
      </c>
    </row>
    <row r="5798" spans="1:5">
      <c r="A5798">
        <v>83013</v>
      </c>
      <c r="B5798">
        <v>1000</v>
      </c>
      <c r="C5798" s="455">
        <v>0.28799999999999998</v>
      </c>
      <c r="D5798" s="637">
        <f t="shared" ref="D5798:D5836" si="194">(C5798/(MAX($C$5093:$C$5836)))*$W$12</f>
        <v>0.65371428571428591</v>
      </c>
      <c r="E5798" s="637">
        <f t="shared" ref="E5798:E5836" si="195">(C5798/(MAX($C$5093:$C$5836)))*$P$12</f>
        <v>0.9508571428571434</v>
      </c>
    </row>
    <row r="5799" spans="1:5">
      <c r="A5799">
        <v>83013</v>
      </c>
      <c r="B5799">
        <v>1100</v>
      </c>
      <c r="C5799" s="455">
        <v>0</v>
      </c>
      <c r="D5799" s="637">
        <f t="shared" si="194"/>
        <v>0</v>
      </c>
      <c r="E5799" s="637">
        <f t="shared" si="195"/>
        <v>0</v>
      </c>
    </row>
    <row r="5800" spans="1:5">
      <c r="A5800">
        <v>83013</v>
      </c>
      <c r="B5800">
        <v>1200</v>
      </c>
      <c r="C5800" s="455">
        <v>1E-3</v>
      </c>
      <c r="D5800" s="637">
        <f t="shared" si="194"/>
        <v>2.2698412698412703E-3</v>
      </c>
      <c r="E5800" s="637">
        <f t="shared" si="195"/>
        <v>3.3015873015873037E-3</v>
      </c>
    </row>
    <row r="5801" spans="1:5">
      <c r="A5801">
        <v>83013</v>
      </c>
      <c r="B5801">
        <v>1300</v>
      </c>
      <c r="C5801" s="455">
        <v>0</v>
      </c>
      <c r="D5801" s="637">
        <f t="shared" si="194"/>
        <v>0</v>
      </c>
      <c r="E5801" s="637">
        <f t="shared" si="195"/>
        <v>0</v>
      </c>
    </row>
    <row r="5802" spans="1:5">
      <c r="A5802">
        <v>83013</v>
      </c>
      <c r="B5802">
        <v>1400</v>
      </c>
      <c r="C5802" s="455">
        <v>0</v>
      </c>
      <c r="D5802" s="637">
        <f t="shared" si="194"/>
        <v>0</v>
      </c>
      <c r="E5802" s="637">
        <f t="shared" si="195"/>
        <v>0</v>
      </c>
    </row>
    <row r="5803" spans="1:5">
      <c r="A5803">
        <v>83013</v>
      </c>
      <c r="B5803">
        <v>1500</v>
      </c>
      <c r="C5803" s="455">
        <v>0</v>
      </c>
      <c r="D5803" s="637">
        <f t="shared" si="194"/>
        <v>0</v>
      </c>
      <c r="E5803" s="637">
        <f t="shared" si="195"/>
        <v>0</v>
      </c>
    </row>
    <row r="5804" spans="1:5">
      <c r="A5804">
        <v>83013</v>
      </c>
      <c r="B5804">
        <v>1600</v>
      </c>
      <c r="C5804" s="455">
        <v>0</v>
      </c>
      <c r="D5804" s="637">
        <f t="shared" si="194"/>
        <v>0</v>
      </c>
      <c r="E5804" s="637">
        <f t="shared" si="195"/>
        <v>0</v>
      </c>
    </row>
    <row r="5805" spans="1:5">
      <c r="A5805">
        <v>83013</v>
      </c>
      <c r="B5805">
        <v>1700</v>
      </c>
      <c r="C5805" s="455">
        <v>0</v>
      </c>
      <c r="D5805" s="637">
        <f t="shared" si="194"/>
        <v>0</v>
      </c>
      <c r="E5805" s="637">
        <f t="shared" si="195"/>
        <v>0</v>
      </c>
    </row>
    <row r="5806" spans="1:5">
      <c r="A5806">
        <v>83013</v>
      </c>
      <c r="B5806">
        <v>1800</v>
      </c>
      <c r="C5806" s="455">
        <v>1.3959999999999999</v>
      </c>
      <c r="D5806" s="637">
        <f t="shared" si="194"/>
        <v>3.1686984126984137</v>
      </c>
      <c r="E5806" s="637">
        <f t="shared" si="195"/>
        <v>4.6090158730158759</v>
      </c>
    </row>
    <row r="5807" spans="1:5">
      <c r="A5807">
        <v>83013</v>
      </c>
      <c r="B5807">
        <v>1900</v>
      </c>
      <c r="C5807" s="455">
        <v>13.042999999999999</v>
      </c>
      <c r="D5807" s="637">
        <f t="shared" si="194"/>
        <v>29.605539682539693</v>
      </c>
      <c r="E5807" s="637">
        <f t="shared" si="195"/>
        <v>43.062603174603204</v>
      </c>
    </row>
    <row r="5808" spans="1:5">
      <c r="A5808">
        <v>83013</v>
      </c>
      <c r="B5808">
        <v>2000</v>
      </c>
      <c r="C5808" s="455">
        <v>10.276</v>
      </c>
      <c r="D5808" s="637">
        <f t="shared" si="194"/>
        <v>23.324888888888896</v>
      </c>
      <c r="E5808" s="637">
        <f t="shared" si="195"/>
        <v>33.927111111111131</v>
      </c>
    </row>
    <row r="5809" spans="1:5">
      <c r="A5809">
        <v>83013</v>
      </c>
      <c r="B5809">
        <v>2100</v>
      </c>
      <c r="C5809" s="455">
        <v>10.051</v>
      </c>
      <c r="D5809" s="637">
        <f t="shared" si="194"/>
        <v>22.81417460317461</v>
      </c>
      <c r="E5809" s="637">
        <f t="shared" si="195"/>
        <v>33.184253968253991</v>
      </c>
    </row>
    <row r="5810" spans="1:5">
      <c r="A5810">
        <v>83013</v>
      </c>
      <c r="B5810">
        <v>2200</v>
      </c>
      <c r="C5810" s="455">
        <v>9.9740000000000002</v>
      </c>
      <c r="D5810" s="637">
        <f t="shared" si="194"/>
        <v>22.639396825396833</v>
      </c>
      <c r="E5810" s="637">
        <f t="shared" si="195"/>
        <v>32.930031746031766</v>
      </c>
    </row>
    <row r="5811" spans="1:5">
      <c r="A5811">
        <v>83013</v>
      </c>
      <c r="B5811">
        <v>2300</v>
      </c>
      <c r="C5811" s="455">
        <v>10.218</v>
      </c>
      <c r="D5811" s="637">
        <f t="shared" si="194"/>
        <v>23.193238095238105</v>
      </c>
      <c r="E5811" s="637">
        <f t="shared" si="195"/>
        <v>33.735619047619068</v>
      </c>
    </row>
    <row r="5812" spans="1:5">
      <c r="A5812">
        <v>83013</v>
      </c>
      <c r="B5812">
        <v>2400</v>
      </c>
      <c r="C5812" s="455">
        <v>10.17</v>
      </c>
      <c r="D5812" s="637">
        <f t="shared" si="194"/>
        <v>23.08428571428572</v>
      </c>
      <c r="E5812" s="637">
        <f t="shared" si="195"/>
        <v>33.577142857142874</v>
      </c>
    </row>
    <row r="5813" spans="1:5">
      <c r="A5813">
        <v>83113</v>
      </c>
      <c r="B5813">
        <v>100</v>
      </c>
      <c r="C5813" s="455">
        <v>10.209</v>
      </c>
      <c r="D5813" s="637">
        <f t="shared" si="194"/>
        <v>23.17280952380953</v>
      </c>
      <c r="E5813" s="637">
        <f t="shared" si="195"/>
        <v>33.705904761904783</v>
      </c>
    </row>
    <row r="5814" spans="1:5">
      <c r="A5814">
        <v>83113</v>
      </c>
      <c r="B5814">
        <v>200</v>
      </c>
      <c r="C5814" s="455">
        <v>10.319000000000001</v>
      </c>
      <c r="D5814" s="637">
        <f t="shared" si="194"/>
        <v>23.422492063492072</v>
      </c>
      <c r="E5814" s="637">
        <f t="shared" si="195"/>
        <v>34.069079365079389</v>
      </c>
    </row>
    <row r="5815" spans="1:5">
      <c r="A5815">
        <v>83113</v>
      </c>
      <c r="B5815">
        <v>300</v>
      </c>
      <c r="C5815" s="455">
        <v>10.02</v>
      </c>
      <c r="D5815" s="637">
        <f t="shared" si="194"/>
        <v>22.743809523809531</v>
      </c>
      <c r="E5815" s="637">
        <f t="shared" si="195"/>
        <v>33.081904761904781</v>
      </c>
    </row>
    <row r="5816" spans="1:5">
      <c r="A5816">
        <v>83113</v>
      </c>
      <c r="B5816">
        <v>400</v>
      </c>
      <c r="C5816" s="455">
        <v>10.198</v>
      </c>
      <c r="D5816" s="637">
        <f t="shared" si="194"/>
        <v>23.147841269841276</v>
      </c>
      <c r="E5816" s="637">
        <f t="shared" si="195"/>
        <v>33.66958730158732</v>
      </c>
    </row>
    <row r="5817" spans="1:5">
      <c r="A5817">
        <v>83113</v>
      </c>
      <c r="B5817">
        <v>500</v>
      </c>
      <c r="C5817" s="455">
        <v>9.9629999999999992</v>
      </c>
      <c r="D5817" s="637">
        <f t="shared" si="194"/>
        <v>22.614428571428576</v>
      </c>
      <c r="E5817" s="637">
        <f t="shared" si="195"/>
        <v>32.893714285714303</v>
      </c>
    </row>
    <row r="5818" spans="1:5">
      <c r="A5818">
        <v>83113</v>
      </c>
      <c r="B5818">
        <v>600</v>
      </c>
      <c r="C5818" s="455">
        <v>10.78</v>
      </c>
      <c r="D5818" s="637">
        <f t="shared" si="194"/>
        <v>24.468888888888895</v>
      </c>
      <c r="E5818" s="637">
        <f t="shared" si="195"/>
        <v>35.591111111111132</v>
      </c>
    </row>
    <row r="5819" spans="1:5">
      <c r="A5819">
        <v>83113</v>
      </c>
      <c r="B5819">
        <v>700</v>
      </c>
      <c r="C5819" s="455">
        <v>1.782</v>
      </c>
      <c r="D5819" s="637">
        <f t="shared" si="194"/>
        <v>4.0448571428571443</v>
      </c>
      <c r="E5819" s="637">
        <f t="shared" si="195"/>
        <v>5.883428571428575</v>
      </c>
    </row>
    <row r="5820" spans="1:5">
      <c r="A5820">
        <v>83113</v>
      </c>
      <c r="B5820">
        <v>800</v>
      </c>
      <c r="C5820" s="455">
        <v>0</v>
      </c>
      <c r="D5820" s="637">
        <f t="shared" si="194"/>
        <v>0</v>
      </c>
      <c r="E5820" s="637">
        <f t="shared" si="195"/>
        <v>0</v>
      </c>
    </row>
    <row r="5821" spans="1:5">
      <c r="A5821">
        <v>83113</v>
      </c>
      <c r="B5821">
        <v>900</v>
      </c>
      <c r="C5821" s="455">
        <v>1E-3</v>
      </c>
      <c r="D5821" s="637">
        <f t="shared" si="194"/>
        <v>2.2698412698412703E-3</v>
      </c>
      <c r="E5821" s="637">
        <f t="shared" si="195"/>
        <v>3.3015873015873037E-3</v>
      </c>
    </row>
    <row r="5822" spans="1:5">
      <c r="A5822">
        <v>83113</v>
      </c>
      <c r="B5822">
        <v>1000</v>
      </c>
      <c r="C5822" s="455">
        <v>0</v>
      </c>
      <c r="D5822" s="637">
        <f t="shared" si="194"/>
        <v>0</v>
      </c>
      <c r="E5822" s="637">
        <f t="shared" si="195"/>
        <v>0</v>
      </c>
    </row>
    <row r="5823" spans="1:5">
      <c r="A5823">
        <v>83113</v>
      </c>
      <c r="B5823">
        <v>1100</v>
      </c>
      <c r="C5823" s="455">
        <v>0</v>
      </c>
      <c r="D5823" s="637">
        <f t="shared" si="194"/>
        <v>0</v>
      </c>
      <c r="E5823" s="637">
        <f t="shared" si="195"/>
        <v>0</v>
      </c>
    </row>
    <row r="5824" spans="1:5">
      <c r="A5824">
        <v>83113</v>
      </c>
      <c r="B5824">
        <v>1200</v>
      </c>
      <c r="C5824" s="455">
        <v>0</v>
      </c>
      <c r="D5824" s="637">
        <f t="shared" si="194"/>
        <v>0</v>
      </c>
      <c r="E5824" s="637">
        <f t="shared" si="195"/>
        <v>0</v>
      </c>
    </row>
    <row r="5825" spans="1:5">
      <c r="A5825">
        <v>83113</v>
      </c>
      <c r="B5825">
        <v>1300</v>
      </c>
      <c r="C5825" s="455">
        <v>0</v>
      </c>
      <c r="D5825" s="637">
        <f t="shared" si="194"/>
        <v>0</v>
      </c>
      <c r="E5825" s="637">
        <f t="shared" si="195"/>
        <v>0</v>
      </c>
    </row>
    <row r="5826" spans="1:5">
      <c r="A5826">
        <v>83113</v>
      </c>
      <c r="B5826">
        <v>1400</v>
      </c>
      <c r="C5826" s="455">
        <v>0</v>
      </c>
      <c r="D5826" s="637">
        <f t="shared" si="194"/>
        <v>0</v>
      </c>
      <c r="E5826" s="637">
        <f t="shared" si="195"/>
        <v>0</v>
      </c>
    </row>
    <row r="5827" spans="1:5">
      <c r="A5827">
        <v>83113</v>
      </c>
      <c r="B5827">
        <v>1500</v>
      </c>
      <c r="C5827" s="455">
        <v>0</v>
      </c>
      <c r="D5827" s="637">
        <f t="shared" si="194"/>
        <v>0</v>
      </c>
      <c r="E5827" s="637">
        <f t="shared" si="195"/>
        <v>0</v>
      </c>
    </row>
    <row r="5828" spans="1:5">
      <c r="A5828">
        <v>83113</v>
      </c>
      <c r="B5828">
        <v>1600</v>
      </c>
      <c r="C5828" s="455">
        <v>0</v>
      </c>
      <c r="D5828" s="637">
        <f t="shared" si="194"/>
        <v>0</v>
      </c>
      <c r="E5828" s="637">
        <f t="shared" si="195"/>
        <v>0</v>
      </c>
    </row>
    <row r="5829" spans="1:5">
      <c r="A5829">
        <v>83113</v>
      </c>
      <c r="B5829">
        <v>1700</v>
      </c>
      <c r="C5829" s="455">
        <v>0</v>
      </c>
      <c r="D5829" s="637">
        <f t="shared" si="194"/>
        <v>0</v>
      </c>
      <c r="E5829" s="637">
        <f t="shared" si="195"/>
        <v>0</v>
      </c>
    </row>
    <row r="5830" spans="1:5">
      <c r="A5830">
        <v>83113</v>
      </c>
      <c r="B5830">
        <v>1800</v>
      </c>
      <c r="C5830" s="455">
        <v>2E-3</v>
      </c>
      <c r="D5830" s="637">
        <f t="shared" si="194"/>
        <v>4.5396825396825406E-3</v>
      </c>
      <c r="E5830" s="637">
        <f t="shared" si="195"/>
        <v>6.6031746031746073E-3</v>
      </c>
    </row>
    <row r="5831" spans="1:5">
      <c r="A5831">
        <v>83113</v>
      </c>
      <c r="B5831">
        <v>1900</v>
      </c>
      <c r="C5831" s="455">
        <v>8.1839999999999993</v>
      </c>
      <c r="D5831" s="637">
        <f t="shared" si="194"/>
        <v>18.576380952380958</v>
      </c>
      <c r="E5831" s="637">
        <f t="shared" si="195"/>
        <v>27.020190476190493</v>
      </c>
    </row>
    <row r="5832" spans="1:5">
      <c r="A5832">
        <v>83113</v>
      </c>
      <c r="B5832">
        <v>2000</v>
      </c>
      <c r="C5832" s="455">
        <v>10.696</v>
      </c>
      <c r="D5832" s="637">
        <f t="shared" si="194"/>
        <v>24.278222222222229</v>
      </c>
      <c r="E5832" s="637">
        <f t="shared" si="195"/>
        <v>35.313777777777801</v>
      </c>
    </row>
    <row r="5833" spans="1:5">
      <c r="A5833">
        <v>83113</v>
      </c>
      <c r="B5833">
        <v>2100</v>
      </c>
      <c r="C5833" s="455">
        <v>10.237</v>
      </c>
      <c r="D5833" s="637">
        <f t="shared" si="194"/>
        <v>23.236365079365086</v>
      </c>
      <c r="E5833" s="637">
        <f t="shared" si="195"/>
        <v>33.798349206349229</v>
      </c>
    </row>
    <row r="5834" spans="1:5">
      <c r="A5834">
        <v>83113</v>
      </c>
      <c r="B5834">
        <v>2200</v>
      </c>
      <c r="C5834" s="455">
        <v>10.054</v>
      </c>
      <c r="D5834" s="637">
        <f t="shared" si="194"/>
        <v>22.820984126984136</v>
      </c>
      <c r="E5834" s="637">
        <f t="shared" si="195"/>
        <v>33.194158730158755</v>
      </c>
    </row>
    <row r="5835" spans="1:5">
      <c r="A5835">
        <v>83113</v>
      </c>
      <c r="B5835">
        <v>2300</v>
      </c>
      <c r="C5835" s="455">
        <v>10.063000000000001</v>
      </c>
      <c r="D5835" s="637">
        <f t="shared" si="194"/>
        <v>22.841412698412707</v>
      </c>
      <c r="E5835" s="637">
        <f t="shared" si="195"/>
        <v>33.223873015873039</v>
      </c>
    </row>
    <row r="5836" spans="1:5">
      <c r="A5836" s="647">
        <v>83113</v>
      </c>
      <c r="B5836" s="647">
        <v>2400</v>
      </c>
      <c r="C5836" s="648">
        <v>10.192</v>
      </c>
      <c r="D5836" s="637">
        <f t="shared" si="194"/>
        <v>23.134222222222228</v>
      </c>
      <c r="E5836" s="645">
        <f t="shared" si="195"/>
        <v>33.6497777777778</v>
      </c>
    </row>
    <row r="5837" spans="1:5">
      <c r="A5837">
        <v>90113</v>
      </c>
      <c r="B5837">
        <v>100</v>
      </c>
      <c r="C5837" s="455">
        <v>10.090999999999999</v>
      </c>
      <c r="D5837" s="637">
        <f>(C5837/(MAX($C$5837:$C$6556)))*$W$13</f>
        <v>24.386583333333338</v>
      </c>
      <c r="E5837" s="637">
        <f>(C5837/(MAX($C$5837:$C$6556)))*$P$13</f>
        <v>33.876928571428586</v>
      </c>
    </row>
    <row r="5838" spans="1:5">
      <c r="A5838">
        <v>90113</v>
      </c>
      <c r="B5838">
        <v>200</v>
      </c>
      <c r="C5838" s="455">
        <v>10.098000000000001</v>
      </c>
      <c r="D5838" s="637">
        <f t="shared" ref="D5838:D5901" si="196">(C5838/(MAX($C$5837:$C$6556)))*$W$13</f>
        <v>24.403500000000008</v>
      </c>
      <c r="E5838" s="637">
        <f t="shared" ref="E5838:E5901" si="197">(C5838/(MAX($C$5837:$C$6556)))*$P$13</f>
        <v>33.900428571428591</v>
      </c>
    </row>
    <row r="5839" spans="1:5">
      <c r="A5839">
        <v>90113</v>
      </c>
      <c r="B5839">
        <v>300</v>
      </c>
      <c r="C5839" s="455">
        <v>9.9529999999999994</v>
      </c>
      <c r="D5839" s="637">
        <f t="shared" si="196"/>
        <v>24.053083333333337</v>
      </c>
      <c r="E5839" s="637">
        <f t="shared" si="197"/>
        <v>33.413642857142875</v>
      </c>
    </row>
    <row r="5840" spans="1:5">
      <c r="A5840">
        <v>90113</v>
      </c>
      <c r="B5840">
        <v>400</v>
      </c>
      <c r="C5840" s="455">
        <v>10.132</v>
      </c>
      <c r="D5840" s="637">
        <f t="shared" si="196"/>
        <v>24.485666666666674</v>
      </c>
      <c r="E5840" s="637">
        <f t="shared" si="197"/>
        <v>34.014571428571443</v>
      </c>
    </row>
    <row r="5841" spans="1:5">
      <c r="A5841">
        <v>90113</v>
      </c>
      <c r="B5841">
        <v>500</v>
      </c>
      <c r="C5841" s="455">
        <v>10.077999999999999</v>
      </c>
      <c r="D5841" s="637">
        <f t="shared" si="196"/>
        <v>24.355166666666669</v>
      </c>
      <c r="E5841" s="637">
        <f t="shared" si="197"/>
        <v>33.833285714285729</v>
      </c>
    </row>
    <row r="5842" spans="1:5">
      <c r="A5842">
        <v>90113</v>
      </c>
      <c r="B5842">
        <v>600</v>
      </c>
      <c r="C5842" s="455">
        <v>10.305999999999999</v>
      </c>
      <c r="D5842" s="637">
        <f t="shared" si="196"/>
        <v>24.906166666666671</v>
      </c>
      <c r="E5842" s="637">
        <f t="shared" si="197"/>
        <v>34.598714285714301</v>
      </c>
    </row>
    <row r="5843" spans="1:5">
      <c r="A5843">
        <v>90113</v>
      </c>
      <c r="B5843">
        <v>700</v>
      </c>
      <c r="C5843" s="455">
        <v>0.39</v>
      </c>
      <c r="D5843" s="637">
        <f t="shared" si="196"/>
        <v>0.94250000000000034</v>
      </c>
      <c r="E5843" s="637">
        <f t="shared" si="197"/>
        <v>1.3092857142857151</v>
      </c>
    </row>
    <row r="5844" spans="1:5">
      <c r="A5844">
        <v>90113</v>
      </c>
      <c r="B5844">
        <v>800</v>
      </c>
      <c r="C5844" s="455">
        <v>0</v>
      </c>
      <c r="D5844" s="637">
        <f t="shared" si="196"/>
        <v>0</v>
      </c>
      <c r="E5844" s="637">
        <f t="shared" si="197"/>
        <v>0</v>
      </c>
    </row>
    <row r="5845" spans="1:5">
      <c r="A5845">
        <v>90113</v>
      </c>
      <c r="B5845">
        <v>900</v>
      </c>
      <c r="C5845" s="455">
        <v>0</v>
      </c>
      <c r="D5845" s="637">
        <f t="shared" si="196"/>
        <v>0</v>
      </c>
      <c r="E5845" s="637">
        <f t="shared" si="197"/>
        <v>0</v>
      </c>
    </row>
    <row r="5846" spans="1:5">
      <c r="A5846">
        <v>90113</v>
      </c>
      <c r="B5846">
        <v>1000</v>
      </c>
      <c r="C5846" s="455">
        <v>0</v>
      </c>
      <c r="D5846" s="637">
        <f t="shared" si="196"/>
        <v>0</v>
      </c>
      <c r="E5846" s="637">
        <f t="shared" si="197"/>
        <v>0</v>
      </c>
    </row>
    <row r="5847" spans="1:5">
      <c r="A5847">
        <v>90113</v>
      </c>
      <c r="B5847">
        <v>1100</v>
      </c>
      <c r="C5847" s="455">
        <v>1E-3</v>
      </c>
      <c r="D5847" s="637">
        <f t="shared" si="196"/>
        <v>2.4166666666666672E-3</v>
      </c>
      <c r="E5847" s="637">
        <f t="shared" si="197"/>
        <v>3.3571428571428589E-3</v>
      </c>
    </row>
    <row r="5848" spans="1:5">
      <c r="A5848">
        <v>90113</v>
      </c>
      <c r="B5848">
        <v>1200</v>
      </c>
      <c r="C5848" s="455">
        <v>0</v>
      </c>
      <c r="D5848" s="637">
        <f t="shared" si="196"/>
        <v>0</v>
      </c>
      <c r="E5848" s="637">
        <f t="shared" si="197"/>
        <v>0</v>
      </c>
    </row>
    <row r="5849" spans="1:5">
      <c r="A5849">
        <v>90113</v>
      </c>
      <c r="B5849">
        <v>1300</v>
      </c>
      <c r="C5849" s="455">
        <v>0</v>
      </c>
      <c r="D5849" s="637">
        <f t="shared" si="196"/>
        <v>0</v>
      </c>
      <c r="E5849" s="637">
        <f t="shared" si="197"/>
        <v>0</v>
      </c>
    </row>
    <row r="5850" spans="1:5">
      <c r="A5850">
        <v>90113</v>
      </c>
      <c r="B5850">
        <v>1400</v>
      </c>
      <c r="C5850" s="455">
        <v>0</v>
      </c>
      <c r="D5850" s="637">
        <f t="shared" si="196"/>
        <v>0</v>
      </c>
      <c r="E5850" s="637">
        <f t="shared" si="197"/>
        <v>0</v>
      </c>
    </row>
    <row r="5851" spans="1:5">
      <c r="A5851">
        <v>90113</v>
      </c>
      <c r="B5851">
        <v>1500</v>
      </c>
      <c r="C5851" s="455">
        <v>0</v>
      </c>
      <c r="D5851" s="637">
        <f t="shared" si="196"/>
        <v>0</v>
      </c>
      <c r="E5851" s="637">
        <f t="shared" si="197"/>
        <v>0</v>
      </c>
    </row>
    <row r="5852" spans="1:5">
      <c r="A5852">
        <v>90113</v>
      </c>
      <c r="B5852">
        <v>1600</v>
      </c>
      <c r="C5852" s="455">
        <v>0</v>
      </c>
      <c r="D5852" s="637">
        <f t="shared" si="196"/>
        <v>0</v>
      </c>
      <c r="E5852" s="637">
        <f t="shared" si="197"/>
        <v>0</v>
      </c>
    </row>
    <row r="5853" spans="1:5">
      <c r="A5853">
        <v>90113</v>
      </c>
      <c r="B5853">
        <v>1700</v>
      </c>
      <c r="C5853" s="455">
        <v>9.0999999999999998E-2</v>
      </c>
      <c r="D5853" s="637">
        <f t="shared" si="196"/>
        <v>0.2199166666666667</v>
      </c>
      <c r="E5853" s="637">
        <f t="shared" si="197"/>
        <v>0.30550000000000016</v>
      </c>
    </row>
    <row r="5854" spans="1:5">
      <c r="A5854">
        <v>90113</v>
      </c>
      <c r="B5854">
        <v>1800</v>
      </c>
      <c r="C5854" s="455">
        <v>4.4999999999999998E-2</v>
      </c>
      <c r="D5854" s="637">
        <f t="shared" si="196"/>
        <v>0.10875000000000003</v>
      </c>
      <c r="E5854" s="637">
        <f t="shared" si="197"/>
        <v>0.15107142857142863</v>
      </c>
    </row>
    <row r="5855" spans="1:5">
      <c r="A5855">
        <v>90113</v>
      </c>
      <c r="B5855">
        <v>1900</v>
      </c>
      <c r="C5855" s="455">
        <v>11.446</v>
      </c>
      <c r="D5855" s="637">
        <f t="shared" si="196"/>
        <v>27.661166666666674</v>
      </c>
      <c r="E5855" s="637">
        <f t="shared" si="197"/>
        <v>38.425857142857161</v>
      </c>
    </row>
    <row r="5856" spans="1:5">
      <c r="A5856">
        <v>90113</v>
      </c>
      <c r="B5856">
        <v>2000</v>
      </c>
      <c r="C5856" s="455">
        <v>10.348000000000001</v>
      </c>
      <c r="D5856" s="637">
        <f t="shared" si="196"/>
        <v>25.007666666666676</v>
      </c>
      <c r="E5856" s="637">
        <f t="shared" si="197"/>
        <v>34.739714285714307</v>
      </c>
    </row>
    <row r="5857" spans="1:5">
      <c r="A5857">
        <v>90113</v>
      </c>
      <c r="B5857">
        <v>2100</v>
      </c>
      <c r="C5857" s="455">
        <v>9.9589999999999996</v>
      </c>
      <c r="D5857" s="637">
        <f t="shared" si="196"/>
        <v>24.067583333333339</v>
      </c>
      <c r="E5857" s="637">
        <f t="shared" si="197"/>
        <v>33.433785714285726</v>
      </c>
    </row>
    <row r="5858" spans="1:5">
      <c r="A5858">
        <v>90113</v>
      </c>
      <c r="B5858">
        <v>2200</v>
      </c>
      <c r="C5858" s="455">
        <v>10.119</v>
      </c>
      <c r="D5858" s="637">
        <f t="shared" si="196"/>
        <v>24.454250000000005</v>
      </c>
      <c r="E5858" s="637">
        <f t="shared" si="197"/>
        <v>33.970928571428587</v>
      </c>
    </row>
    <row r="5859" spans="1:5">
      <c r="A5859">
        <v>90113</v>
      </c>
      <c r="B5859">
        <v>2300</v>
      </c>
      <c r="C5859" s="455">
        <v>9.8420000000000005</v>
      </c>
      <c r="D5859" s="637">
        <f t="shared" si="196"/>
        <v>23.784833333333342</v>
      </c>
      <c r="E5859" s="637">
        <f t="shared" si="197"/>
        <v>33.041000000000018</v>
      </c>
    </row>
    <row r="5860" spans="1:5">
      <c r="A5860">
        <v>90113</v>
      </c>
      <c r="B5860">
        <v>2400</v>
      </c>
      <c r="C5860" s="455">
        <v>10.236000000000001</v>
      </c>
      <c r="D5860" s="637">
        <f t="shared" si="196"/>
        <v>24.737000000000009</v>
      </c>
      <c r="E5860" s="637">
        <f t="shared" si="197"/>
        <v>34.363714285714309</v>
      </c>
    </row>
    <row r="5861" spans="1:5">
      <c r="A5861">
        <v>90213</v>
      </c>
      <c r="B5861">
        <v>100</v>
      </c>
      <c r="C5861" s="455">
        <v>9.8130000000000006</v>
      </c>
      <c r="D5861" s="637">
        <f t="shared" si="196"/>
        <v>23.714750000000009</v>
      </c>
      <c r="E5861" s="637">
        <f t="shared" si="197"/>
        <v>32.943642857142876</v>
      </c>
    </row>
    <row r="5862" spans="1:5">
      <c r="A5862">
        <v>90213</v>
      </c>
      <c r="B5862">
        <v>200</v>
      </c>
      <c r="C5862" s="455">
        <v>10.221</v>
      </c>
      <c r="D5862" s="637">
        <f t="shared" si="196"/>
        <v>24.700750000000006</v>
      </c>
      <c r="E5862" s="637">
        <f t="shared" si="197"/>
        <v>34.313357142857157</v>
      </c>
    </row>
    <row r="5863" spans="1:5">
      <c r="A5863">
        <v>90213</v>
      </c>
      <c r="B5863">
        <v>300</v>
      </c>
      <c r="C5863" s="455">
        <v>10.064</v>
      </c>
      <c r="D5863" s="637">
        <f t="shared" si="196"/>
        <v>24.321333333333342</v>
      </c>
      <c r="E5863" s="637">
        <f t="shared" si="197"/>
        <v>33.786285714285732</v>
      </c>
    </row>
    <row r="5864" spans="1:5">
      <c r="A5864">
        <v>90213</v>
      </c>
      <c r="B5864">
        <v>400</v>
      </c>
      <c r="C5864" s="455">
        <v>9.9809999999999999</v>
      </c>
      <c r="D5864" s="637">
        <f t="shared" si="196"/>
        <v>24.120750000000005</v>
      </c>
      <c r="E5864" s="637">
        <f t="shared" si="197"/>
        <v>33.507642857142869</v>
      </c>
    </row>
    <row r="5865" spans="1:5">
      <c r="A5865">
        <v>90213</v>
      </c>
      <c r="B5865">
        <v>500</v>
      </c>
      <c r="C5865" s="455">
        <v>10.012</v>
      </c>
      <c r="D5865" s="637">
        <f t="shared" si="196"/>
        <v>24.195666666666675</v>
      </c>
      <c r="E5865" s="637">
        <f t="shared" si="197"/>
        <v>33.611714285714307</v>
      </c>
    </row>
    <row r="5866" spans="1:5">
      <c r="A5866">
        <v>90213</v>
      </c>
      <c r="B5866">
        <v>600</v>
      </c>
      <c r="C5866" s="455">
        <v>10.369</v>
      </c>
      <c r="D5866" s="637">
        <f t="shared" si="196"/>
        <v>25.058416666666673</v>
      </c>
      <c r="E5866" s="637">
        <f t="shared" si="197"/>
        <v>34.810214285714302</v>
      </c>
    </row>
    <row r="5867" spans="1:5">
      <c r="A5867">
        <v>90213</v>
      </c>
      <c r="B5867">
        <v>700</v>
      </c>
      <c r="C5867" s="455">
        <v>0.86599999999999999</v>
      </c>
      <c r="D5867" s="637">
        <f t="shared" si="196"/>
        <v>2.0928333333333335</v>
      </c>
      <c r="E5867" s="637">
        <f t="shared" si="197"/>
        <v>2.9072857142857154</v>
      </c>
    </row>
    <row r="5868" spans="1:5">
      <c r="A5868">
        <v>90213</v>
      </c>
      <c r="B5868">
        <v>800</v>
      </c>
      <c r="C5868" s="455">
        <v>1E-3</v>
      </c>
      <c r="D5868" s="637">
        <f t="shared" si="196"/>
        <v>2.4166666666666672E-3</v>
      </c>
      <c r="E5868" s="637">
        <f t="shared" si="197"/>
        <v>3.3571428571428589E-3</v>
      </c>
    </row>
    <row r="5869" spans="1:5">
      <c r="A5869">
        <v>90213</v>
      </c>
      <c r="B5869">
        <v>900</v>
      </c>
      <c r="C5869" s="455">
        <v>0</v>
      </c>
      <c r="D5869" s="637">
        <f t="shared" si="196"/>
        <v>0</v>
      </c>
      <c r="E5869" s="637">
        <f t="shared" si="197"/>
        <v>0</v>
      </c>
    </row>
    <row r="5870" spans="1:5">
      <c r="A5870">
        <v>90213</v>
      </c>
      <c r="B5870">
        <v>1000</v>
      </c>
      <c r="C5870" s="455">
        <v>0</v>
      </c>
      <c r="D5870" s="637">
        <f t="shared" si="196"/>
        <v>0</v>
      </c>
      <c r="E5870" s="637">
        <f t="shared" si="197"/>
        <v>0</v>
      </c>
    </row>
    <row r="5871" spans="1:5">
      <c r="A5871">
        <v>90213</v>
      </c>
      <c r="B5871">
        <v>1100</v>
      </c>
      <c r="C5871" s="455">
        <v>0</v>
      </c>
      <c r="D5871" s="637">
        <f t="shared" si="196"/>
        <v>0</v>
      </c>
      <c r="E5871" s="637">
        <f t="shared" si="197"/>
        <v>0</v>
      </c>
    </row>
    <row r="5872" spans="1:5">
      <c r="A5872">
        <v>90213</v>
      </c>
      <c r="B5872">
        <v>1200</v>
      </c>
      <c r="C5872" s="455">
        <v>0</v>
      </c>
      <c r="D5872" s="637">
        <f t="shared" si="196"/>
        <v>0</v>
      </c>
      <c r="E5872" s="637">
        <f t="shared" si="197"/>
        <v>0</v>
      </c>
    </row>
    <row r="5873" spans="1:5">
      <c r="A5873">
        <v>90213</v>
      </c>
      <c r="B5873">
        <v>1300</v>
      </c>
      <c r="C5873" s="455">
        <v>0</v>
      </c>
      <c r="D5873" s="637">
        <f t="shared" si="196"/>
        <v>0</v>
      </c>
      <c r="E5873" s="637">
        <f t="shared" si="197"/>
        <v>0</v>
      </c>
    </row>
    <row r="5874" spans="1:5">
      <c r="A5874">
        <v>90213</v>
      </c>
      <c r="B5874">
        <v>1400</v>
      </c>
      <c r="C5874" s="455">
        <v>0</v>
      </c>
      <c r="D5874" s="637">
        <f t="shared" si="196"/>
        <v>0</v>
      </c>
      <c r="E5874" s="637">
        <f t="shared" si="197"/>
        <v>0</v>
      </c>
    </row>
    <row r="5875" spans="1:5">
      <c r="A5875">
        <v>90213</v>
      </c>
      <c r="B5875">
        <v>1500</v>
      </c>
      <c r="C5875" s="455">
        <v>0</v>
      </c>
      <c r="D5875" s="637">
        <f t="shared" si="196"/>
        <v>0</v>
      </c>
      <c r="E5875" s="637">
        <f t="shared" si="197"/>
        <v>0</v>
      </c>
    </row>
    <row r="5876" spans="1:5">
      <c r="A5876">
        <v>90213</v>
      </c>
      <c r="B5876">
        <v>1600</v>
      </c>
      <c r="C5876" s="455">
        <v>1E-3</v>
      </c>
      <c r="D5876" s="637">
        <f t="shared" si="196"/>
        <v>2.4166666666666672E-3</v>
      </c>
      <c r="E5876" s="637">
        <f t="shared" si="197"/>
        <v>3.3571428571428589E-3</v>
      </c>
    </row>
    <row r="5877" spans="1:5">
      <c r="A5877">
        <v>90213</v>
      </c>
      <c r="B5877">
        <v>1700</v>
      </c>
      <c r="C5877" s="455">
        <v>0</v>
      </c>
      <c r="D5877" s="637">
        <f t="shared" si="196"/>
        <v>0</v>
      </c>
      <c r="E5877" s="637">
        <f t="shared" si="197"/>
        <v>0</v>
      </c>
    </row>
    <row r="5878" spans="1:5">
      <c r="A5878">
        <v>90213</v>
      </c>
      <c r="B5878">
        <v>1800</v>
      </c>
      <c r="C5878" s="455">
        <v>0</v>
      </c>
      <c r="D5878" s="637">
        <f t="shared" si="196"/>
        <v>0</v>
      </c>
      <c r="E5878" s="637">
        <f t="shared" si="197"/>
        <v>0</v>
      </c>
    </row>
    <row r="5879" spans="1:5">
      <c r="A5879">
        <v>90213</v>
      </c>
      <c r="B5879">
        <v>1900</v>
      </c>
      <c r="C5879" s="455">
        <v>4.2119999999999997</v>
      </c>
      <c r="D5879" s="637">
        <f t="shared" si="196"/>
        <v>10.179000000000004</v>
      </c>
      <c r="E5879" s="637">
        <f t="shared" si="197"/>
        <v>14.140285714285723</v>
      </c>
    </row>
    <row r="5880" spans="1:5">
      <c r="A5880">
        <v>90213</v>
      </c>
      <c r="B5880">
        <v>2000</v>
      </c>
      <c r="C5880" s="455">
        <v>11.263</v>
      </c>
      <c r="D5880" s="637">
        <f t="shared" si="196"/>
        <v>27.218916666666672</v>
      </c>
      <c r="E5880" s="637">
        <f t="shared" si="197"/>
        <v>37.811500000000017</v>
      </c>
    </row>
    <row r="5881" spans="1:5">
      <c r="A5881">
        <v>90213</v>
      </c>
      <c r="B5881">
        <v>2100</v>
      </c>
      <c r="C5881" s="455">
        <v>9.8390000000000004</v>
      </c>
      <c r="D5881" s="637">
        <f t="shared" si="196"/>
        <v>23.77758333333334</v>
      </c>
      <c r="E5881" s="637">
        <f t="shared" si="197"/>
        <v>33.030928571428589</v>
      </c>
    </row>
    <row r="5882" spans="1:5">
      <c r="A5882">
        <v>90213</v>
      </c>
      <c r="B5882">
        <v>2200</v>
      </c>
      <c r="C5882" s="455">
        <v>10.117000000000001</v>
      </c>
      <c r="D5882" s="637">
        <f t="shared" si="196"/>
        <v>24.449416666666675</v>
      </c>
      <c r="E5882" s="637">
        <f t="shared" si="197"/>
        <v>33.964214285714306</v>
      </c>
    </row>
    <row r="5883" spans="1:5">
      <c r="A5883">
        <v>90213</v>
      </c>
      <c r="B5883">
        <v>2300</v>
      </c>
      <c r="C5883" s="455">
        <v>9.9499999999999993</v>
      </c>
      <c r="D5883" s="637">
        <f t="shared" si="196"/>
        <v>24.045833333333338</v>
      </c>
      <c r="E5883" s="637">
        <f t="shared" si="197"/>
        <v>33.403571428571446</v>
      </c>
    </row>
    <row r="5884" spans="1:5">
      <c r="A5884">
        <v>90213</v>
      </c>
      <c r="B5884">
        <v>2400</v>
      </c>
      <c r="C5884" s="455">
        <v>9.9870000000000001</v>
      </c>
      <c r="D5884" s="637">
        <f t="shared" si="196"/>
        <v>24.13525000000001</v>
      </c>
      <c r="E5884" s="637">
        <f t="shared" si="197"/>
        <v>33.527785714285734</v>
      </c>
    </row>
    <row r="5885" spans="1:5">
      <c r="A5885">
        <v>90313</v>
      </c>
      <c r="B5885">
        <v>100</v>
      </c>
      <c r="C5885" s="455">
        <v>10.048</v>
      </c>
      <c r="D5885" s="637">
        <f t="shared" si="196"/>
        <v>24.282666666666675</v>
      </c>
      <c r="E5885" s="637">
        <f t="shared" si="197"/>
        <v>33.732571428571447</v>
      </c>
    </row>
    <row r="5886" spans="1:5">
      <c r="A5886">
        <v>90313</v>
      </c>
      <c r="B5886">
        <v>200</v>
      </c>
      <c r="C5886" s="455">
        <v>9.984</v>
      </c>
      <c r="D5886" s="637">
        <f t="shared" si="196"/>
        <v>24.128000000000007</v>
      </c>
      <c r="E5886" s="637">
        <f t="shared" si="197"/>
        <v>33.517714285714305</v>
      </c>
    </row>
    <row r="5887" spans="1:5">
      <c r="A5887">
        <v>90313</v>
      </c>
      <c r="B5887">
        <v>300</v>
      </c>
      <c r="C5887" s="455">
        <v>10.134</v>
      </c>
      <c r="D5887" s="637">
        <f t="shared" si="196"/>
        <v>24.490500000000008</v>
      </c>
      <c r="E5887" s="637">
        <f t="shared" si="197"/>
        <v>34.021285714285732</v>
      </c>
    </row>
    <row r="5888" spans="1:5">
      <c r="A5888">
        <v>90313</v>
      </c>
      <c r="B5888">
        <v>400</v>
      </c>
      <c r="C5888" s="455">
        <v>10.298</v>
      </c>
      <c r="D5888" s="637">
        <f t="shared" si="196"/>
        <v>24.886833333333339</v>
      </c>
      <c r="E5888" s="637">
        <f t="shared" si="197"/>
        <v>34.571857142857162</v>
      </c>
    </row>
    <row r="5889" spans="1:5">
      <c r="A5889">
        <v>90313</v>
      </c>
      <c r="B5889">
        <v>500</v>
      </c>
      <c r="C5889" s="455">
        <v>9.7949999999999999</v>
      </c>
      <c r="D5889" s="637">
        <f t="shared" si="196"/>
        <v>23.671250000000008</v>
      </c>
      <c r="E5889" s="637">
        <f t="shared" si="197"/>
        <v>32.883214285714303</v>
      </c>
    </row>
    <row r="5890" spans="1:5">
      <c r="A5890">
        <v>90313</v>
      </c>
      <c r="B5890">
        <v>600</v>
      </c>
      <c r="C5890" s="455">
        <v>11.029</v>
      </c>
      <c r="D5890" s="637">
        <f t="shared" si="196"/>
        <v>26.653416666666672</v>
      </c>
      <c r="E5890" s="637">
        <f t="shared" si="197"/>
        <v>37.025928571428594</v>
      </c>
    </row>
    <row r="5891" spans="1:5">
      <c r="A5891">
        <v>90313</v>
      </c>
      <c r="B5891">
        <v>700</v>
      </c>
      <c r="C5891" s="455">
        <v>0.91500000000000004</v>
      </c>
      <c r="D5891" s="637">
        <f t="shared" si="196"/>
        <v>2.2112500000000006</v>
      </c>
      <c r="E5891" s="637">
        <f t="shared" si="197"/>
        <v>3.0717857142857157</v>
      </c>
    </row>
    <row r="5892" spans="1:5">
      <c r="A5892">
        <v>90313</v>
      </c>
      <c r="B5892">
        <v>800</v>
      </c>
      <c r="C5892" s="455">
        <v>1E-3</v>
      </c>
      <c r="D5892" s="637">
        <f t="shared" si="196"/>
        <v>2.4166666666666672E-3</v>
      </c>
      <c r="E5892" s="637">
        <f t="shared" si="197"/>
        <v>3.3571428571428589E-3</v>
      </c>
    </row>
    <row r="5893" spans="1:5">
      <c r="A5893">
        <v>90313</v>
      </c>
      <c r="B5893">
        <v>900</v>
      </c>
      <c r="C5893" s="455">
        <v>0</v>
      </c>
      <c r="D5893" s="637">
        <f t="shared" si="196"/>
        <v>0</v>
      </c>
      <c r="E5893" s="637">
        <f t="shared" si="197"/>
        <v>0</v>
      </c>
    </row>
    <row r="5894" spans="1:5">
      <c r="A5894">
        <v>90313</v>
      </c>
      <c r="B5894">
        <v>1000</v>
      </c>
      <c r="C5894" s="455">
        <v>0</v>
      </c>
      <c r="D5894" s="637">
        <f t="shared" si="196"/>
        <v>0</v>
      </c>
      <c r="E5894" s="637">
        <f t="shared" si="197"/>
        <v>0</v>
      </c>
    </row>
    <row r="5895" spans="1:5">
      <c r="A5895">
        <v>90313</v>
      </c>
      <c r="B5895">
        <v>1100</v>
      </c>
      <c r="C5895" s="455">
        <v>0</v>
      </c>
      <c r="D5895" s="637">
        <f t="shared" si="196"/>
        <v>0</v>
      </c>
      <c r="E5895" s="637">
        <f t="shared" si="197"/>
        <v>0</v>
      </c>
    </row>
    <row r="5896" spans="1:5">
      <c r="A5896">
        <v>90313</v>
      </c>
      <c r="B5896">
        <v>1200</v>
      </c>
      <c r="C5896" s="455">
        <v>0</v>
      </c>
      <c r="D5896" s="637">
        <f t="shared" si="196"/>
        <v>0</v>
      </c>
      <c r="E5896" s="637">
        <f t="shared" si="197"/>
        <v>0</v>
      </c>
    </row>
    <row r="5897" spans="1:5">
      <c r="A5897">
        <v>90313</v>
      </c>
      <c r="B5897">
        <v>1300</v>
      </c>
      <c r="C5897" s="455">
        <v>0</v>
      </c>
      <c r="D5897" s="637">
        <f t="shared" si="196"/>
        <v>0</v>
      </c>
      <c r="E5897" s="637">
        <f t="shared" si="197"/>
        <v>0</v>
      </c>
    </row>
    <row r="5898" spans="1:5">
      <c r="A5898">
        <v>90313</v>
      </c>
      <c r="B5898">
        <v>1400</v>
      </c>
      <c r="C5898" s="455">
        <v>0</v>
      </c>
      <c r="D5898" s="637">
        <f t="shared" si="196"/>
        <v>0</v>
      </c>
      <c r="E5898" s="637">
        <f t="shared" si="197"/>
        <v>0</v>
      </c>
    </row>
    <row r="5899" spans="1:5">
      <c r="A5899">
        <v>90313</v>
      </c>
      <c r="B5899">
        <v>1500</v>
      </c>
      <c r="C5899" s="455">
        <v>0</v>
      </c>
      <c r="D5899" s="637">
        <f t="shared" si="196"/>
        <v>0</v>
      </c>
      <c r="E5899" s="637">
        <f t="shared" si="197"/>
        <v>0</v>
      </c>
    </row>
    <row r="5900" spans="1:5">
      <c r="A5900">
        <v>90313</v>
      </c>
      <c r="B5900">
        <v>1600</v>
      </c>
      <c r="C5900" s="455">
        <v>0</v>
      </c>
      <c r="D5900" s="637">
        <f t="shared" si="196"/>
        <v>0</v>
      </c>
      <c r="E5900" s="637">
        <f t="shared" si="197"/>
        <v>0</v>
      </c>
    </row>
    <row r="5901" spans="1:5">
      <c r="A5901">
        <v>90313</v>
      </c>
      <c r="B5901">
        <v>1700</v>
      </c>
      <c r="C5901" s="455">
        <v>0</v>
      </c>
      <c r="D5901" s="637">
        <f t="shared" si="196"/>
        <v>0</v>
      </c>
      <c r="E5901" s="637">
        <f t="shared" si="197"/>
        <v>0</v>
      </c>
    </row>
    <row r="5902" spans="1:5">
      <c r="A5902">
        <v>90313</v>
      </c>
      <c r="B5902">
        <v>1800</v>
      </c>
      <c r="C5902" s="455">
        <v>0</v>
      </c>
      <c r="D5902" s="637">
        <f t="shared" ref="D5902:D5965" si="198">(C5902/(MAX($C$5837:$C$6556)))*$W$13</f>
        <v>0</v>
      </c>
      <c r="E5902" s="637">
        <f t="shared" ref="E5902:E5965" si="199">(C5902/(MAX($C$5837:$C$6556)))*$P$13</f>
        <v>0</v>
      </c>
    </row>
    <row r="5903" spans="1:5">
      <c r="A5903">
        <v>90313</v>
      </c>
      <c r="B5903">
        <v>1900</v>
      </c>
      <c r="C5903" s="455">
        <v>4.0119999999999996</v>
      </c>
      <c r="D5903" s="637">
        <f t="shared" si="198"/>
        <v>9.6956666666666678</v>
      </c>
      <c r="E5903" s="637">
        <f t="shared" si="199"/>
        <v>13.468857142857148</v>
      </c>
    </row>
    <row r="5904" spans="1:5">
      <c r="A5904">
        <v>90313</v>
      </c>
      <c r="B5904">
        <v>2000</v>
      </c>
      <c r="C5904" s="455">
        <v>11.098000000000001</v>
      </c>
      <c r="D5904" s="637">
        <f t="shared" si="198"/>
        <v>26.820166666666676</v>
      </c>
      <c r="E5904" s="637">
        <f t="shared" si="199"/>
        <v>37.257571428571453</v>
      </c>
    </row>
    <row r="5905" spans="1:5">
      <c r="A5905">
        <v>90313</v>
      </c>
      <c r="B5905">
        <v>2100</v>
      </c>
      <c r="C5905" s="455">
        <v>9.9429999999999996</v>
      </c>
      <c r="D5905" s="637">
        <f t="shared" si="198"/>
        <v>24.028916666666671</v>
      </c>
      <c r="E5905" s="637">
        <f t="shared" si="199"/>
        <v>33.380071428571441</v>
      </c>
    </row>
    <row r="5906" spans="1:5">
      <c r="A5906">
        <v>90313</v>
      </c>
      <c r="B5906">
        <v>2200</v>
      </c>
      <c r="C5906" s="455">
        <v>10.074999999999999</v>
      </c>
      <c r="D5906" s="637">
        <f t="shared" si="198"/>
        <v>24.34791666666667</v>
      </c>
      <c r="E5906" s="637">
        <f t="shared" si="199"/>
        <v>33.8232142857143</v>
      </c>
    </row>
    <row r="5907" spans="1:5">
      <c r="A5907">
        <v>90313</v>
      </c>
      <c r="B5907">
        <v>2300</v>
      </c>
      <c r="C5907" s="455">
        <v>10.266999999999999</v>
      </c>
      <c r="D5907" s="637">
        <f t="shared" si="198"/>
        <v>24.811916666666672</v>
      </c>
      <c r="E5907" s="637">
        <f t="shared" si="199"/>
        <v>34.467785714285732</v>
      </c>
    </row>
    <row r="5908" spans="1:5">
      <c r="A5908">
        <v>90313</v>
      </c>
      <c r="B5908">
        <v>2400</v>
      </c>
      <c r="C5908" s="455">
        <v>9.9580000000000002</v>
      </c>
      <c r="D5908" s="637">
        <f t="shared" si="198"/>
        <v>24.065166666666673</v>
      </c>
      <c r="E5908" s="637">
        <f t="shared" si="199"/>
        <v>33.430428571428592</v>
      </c>
    </row>
    <row r="5909" spans="1:5">
      <c r="A5909">
        <v>90413</v>
      </c>
      <c r="B5909">
        <v>100</v>
      </c>
      <c r="C5909" s="455">
        <v>10.161</v>
      </c>
      <c r="D5909" s="637">
        <f t="shared" si="198"/>
        <v>24.555750000000007</v>
      </c>
      <c r="E5909" s="637">
        <f t="shared" si="199"/>
        <v>34.111928571428592</v>
      </c>
    </row>
    <row r="5910" spans="1:5">
      <c r="A5910">
        <v>90413</v>
      </c>
      <c r="B5910">
        <v>200</v>
      </c>
      <c r="C5910" s="455">
        <v>10.172000000000001</v>
      </c>
      <c r="D5910" s="637">
        <f t="shared" si="198"/>
        <v>24.582333333333342</v>
      </c>
      <c r="E5910" s="637">
        <f t="shared" si="199"/>
        <v>34.14885714285716</v>
      </c>
    </row>
    <row r="5911" spans="1:5">
      <c r="A5911">
        <v>90413</v>
      </c>
      <c r="B5911">
        <v>300</v>
      </c>
      <c r="C5911" s="455">
        <v>10.026</v>
      </c>
      <c r="D5911" s="637">
        <f t="shared" si="198"/>
        <v>24.229500000000005</v>
      </c>
      <c r="E5911" s="637">
        <f t="shared" si="199"/>
        <v>33.658714285714296</v>
      </c>
    </row>
    <row r="5912" spans="1:5">
      <c r="A5912">
        <v>90413</v>
      </c>
      <c r="B5912">
        <v>400</v>
      </c>
      <c r="C5912" s="455">
        <v>10.381</v>
      </c>
      <c r="D5912" s="637">
        <f t="shared" si="198"/>
        <v>25.087416666666677</v>
      </c>
      <c r="E5912" s="637">
        <f t="shared" si="199"/>
        <v>34.850500000000018</v>
      </c>
    </row>
    <row r="5913" spans="1:5">
      <c r="A5913">
        <v>90413</v>
      </c>
      <c r="B5913">
        <v>500</v>
      </c>
      <c r="C5913" s="455">
        <v>9.7989999999999995</v>
      </c>
      <c r="D5913" s="637">
        <f t="shared" si="198"/>
        <v>23.680916666666672</v>
      </c>
      <c r="E5913" s="637">
        <f t="shared" si="199"/>
        <v>32.896642857142872</v>
      </c>
    </row>
    <row r="5914" spans="1:5">
      <c r="A5914">
        <v>90413</v>
      </c>
      <c r="B5914">
        <v>600</v>
      </c>
      <c r="C5914" s="455">
        <v>10.311999999999999</v>
      </c>
      <c r="D5914" s="637">
        <f t="shared" si="198"/>
        <v>24.920666666666673</v>
      </c>
      <c r="E5914" s="637">
        <f t="shared" si="199"/>
        <v>34.618857142857159</v>
      </c>
    </row>
    <row r="5915" spans="1:5">
      <c r="A5915">
        <v>90413</v>
      </c>
      <c r="B5915">
        <v>700</v>
      </c>
      <c r="C5915" s="455">
        <v>6.7000000000000004E-2</v>
      </c>
      <c r="D5915" s="637">
        <f t="shared" si="198"/>
        <v>0.16191666666666674</v>
      </c>
      <c r="E5915" s="637">
        <f t="shared" si="199"/>
        <v>0.22492857142857159</v>
      </c>
    </row>
    <row r="5916" spans="1:5">
      <c r="A5916">
        <v>90413</v>
      </c>
      <c r="B5916">
        <v>800</v>
      </c>
      <c r="C5916" s="455">
        <v>0</v>
      </c>
      <c r="D5916" s="637">
        <f t="shared" si="198"/>
        <v>0</v>
      </c>
      <c r="E5916" s="637">
        <f t="shared" si="199"/>
        <v>0</v>
      </c>
    </row>
    <row r="5917" spans="1:5">
      <c r="A5917">
        <v>90413</v>
      </c>
      <c r="B5917">
        <v>900</v>
      </c>
      <c r="C5917" s="455">
        <v>0</v>
      </c>
      <c r="D5917" s="637">
        <f t="shared" si="198"/>
        <v>0</v>
      </c>
      <c r="E5917" s="637">
        <f t="shared" si="199"/>
        <v>0</v>
      </c>
    </row>
    <row r="5918" spans="1:5">
      <c r="A5918">
        <v>90413</v>
      </c>
      <c r="B5918">
        <v>1000</v>
      </c>
      <c r="C5918" s="455">
        <v>0</v>
      </c>
      <c r="D5918" s="637">
        <f t="shared" si="198"/>
        <v>0</v>
      </c>
      <c r="E5918" s="637">
        <f t="shared" si="199"/>
        <v>0</v>
      </c>
    </row>
    <row r="5919" spans="1:5">
      <c r="A5919">
        <v>90413</v>
      </c>
      <c r="B5919">
        <v>1100</v>
      </c>
      <c r="C5919" s="455">
        <v>1E-3</v>
      </c>
      <c r="D5919" s="637">
        <f t="shared" si="198"/>
        <v>2.4166666666666672E-3</v>
      </c>
      <c r="E5919" s="637">
        <f t="shared" si="199"/>
        <v>3.3571428571428589E-3</v>
      </c>
    </row>
    <row r="5920" spans="1:5">
      <c r="A5920">
        <v>90413</v>
      </c>
      <c r="B5920">
        <v>1200</v>
      </c>
      <c r="C5920" s="455">
        <v>0</v>
      </c>
      <c r="D5920" s="637">
        <f t="shared" si="198"/>
        <v>0</v>
      </c>
      <c r="E5920" s="637">
        <f t="shared" si="199"/>
        <v>0</v>
      </c>
    </row>
    <row r="5921" spans="1:5">
      <c r="A5921">
        <v>90413</v>
      </c>
      <c r="B5921">
        <v>1300</v>
      </c>
      <c r="C5921" s="455">
        <v>0</v>
      </c>
      <c r="D5921" s="637">
        <f t="shared" si="198"/>
        <v>0</v>
      </c>
      <c r="E5921" s="637">
        <f t="shared" si="199"/>
        <v>0</v>
      </c>
    </row>
    <row r="5922" spans="1:5">
      <c r="A5922">
        <v>90413</v>
      </c>
      <c r="B5922">
        <v>1400</v>
      </c>
      <c r="C5922" s="455">
        <v>0</v>
      </c>
      <c r="D5922" s="637">
        <f t="shared" si="198"/>
        <v>0</v>
      </c>
      <c r="E5922" s="637">
        <f t="shared" si="199"/>
        <v>0</v>
      </c>
    </row>
    <row r="5923" spans="1:5">
      <c r="A5923">
        <v>90413</v>
      </c>
      <c r="B5923">
        <v>1500</v>
      </c>
      <c r="C5923" s="455">
        <v>0</v>
      </c>
      <c r="D5923" s="637">
        <f t="shared" si="198"/>
        <v>0</v>
      </c>
      <c r="E5923" s="637">
        <f t="shared" si="199"/>
        <v>0</v>
      </c>
    </row>
    <row r="5924" spans="1:5">
      <c r="A5924">
        <v>90413</v>
      </c>
      <c r="B5924">
        <v>1600</v>
      </c>
      <c r="C5924" s="455">
        <v>0</v>
      </c>
      <c r="D5924" s="637">
        <f t="shared" si="198"/>
        <v>0</v>
      </c>
      <c r="E5924" s="637">
        <f t="shared" si="199"/>
        <v>0</v>
      </c>
    </row>
    <row r="5925" spans="1:5">
      <c r="A5925">
        <v>90413</v>
      </c>
      <c r="B5925">
        <v>1700</v>
      </c>
      <c r="C5925" s="455">
        <v>0</v>
      </c>
      <c r="D5925" s="637">
        <f t="shared" si="198"/>
        <v>0</v>
      </c>
      <c r="E5925" s="637">
        <f t="shared" si="199"/>
        <v>0</v>
      </c>
    </row>
    <row r="5926" spans="1:5">
      <c r="A5926">
        <v>90413</v>
      </c>
      <c r="B5926">
        <v>1800</v>
      </c>
      <c r="C5926" s="455">
        <v>0.63300000000000001</v>
      </c>
      <c r="D5926" s="637">
        <f t="shared" si="198"/>
        <v>1.5297500000000004</v>
      </c>
      <c r="E5926" s="637">
        <f t="shared" si="199"/>
        <v>2.1250714285714296</v>
      </c>
    </row>
    <row r="5927" spans="1:5">
      <c r="A5927">
        <v>90413</v>
      </c>
      <c r="B5927">
        <v>1900</v>
      </c>
      <c r="C5927" s="455">
        <v>7.88</v>
      </c>
      <c r="D5927" s="637">
        <f t="shared" si="198"/>
        <v>19.043333333333337</v>
      </c>
      <c r="E5927" s="637">
        <f t="shared" si="199"/>
        <v>26.454285714285724</v>
      </c>
    </row>
    <row r="5928" spans="1:5">
      <c r="A5928">
        <v>90413</v>
      </c>
      <c r="B5928">
        <v>2000</v>
      </c>
      <c r="C5928" s="455">
        <v>10.193</v>
      </c>
      <c r="D5928" s="637">
        <f t="shared" si="198"/>
        <v>24.633083333333339</v>
      </c>
      <c r="E5928" s="637">
        <f t="shared" si="199"/>
        <v>34.219357142857163</v>
      </c>
    </row>
    <row r="5929" spans="1:5">
      <c r="A5929">
        <v>90413</v>
      </c>
      <c r="B5929">
        <v>2100</v>
      </c>
      <c r="C5929" s="455">
        <v>9.9269999999999996</v>
      </c>
      <c r="D5929" s="637">
        <f t="shared" si="198"/>
        <v>23.990250000000007</v>
      </c>
      <c r="E5929" s="637">
        <f t="shared" si="199"/>
        <v>33.326357142857155</v>
      </c>
    </row>
    <row r="5930" spans="1:5">
      <c r="A5930">
        <v>90413</v>
      </c>
      <c r="B5930">
        <v>2200</v>
      </c>
      <c r="C5930" s="455">
        <v>10.074999999999999</v>
      </c>
      <c r="D5930" s="637">
        <f t="shared" si="198"/>
        <v>24.34791666666667</v>
      </c>
      <c r="E5930" s="637">
        <f t="shared" si="199"/>
        <v>33.8232142857143</v>
      </c>
    </row>
    <row r="5931" spans="1:5">
      <c r="A5931">
        <v>90413</v>
      </c>
      <c r="B5931">
        <v>2300</v>
      </c>
      <c r="C5931" s="455">
        <v>10.052</v>
      </c>
      <c r="D5931" s="637">
        <f t="shared" si="198"/>
        <v>24.292333333333339</v>
      </c>
      <c r="E5931" s="637">
        <f t="shared" si="199"/>
        <v>33.746000000000016</v>
      </c>
    </row>
    <row r="5932" spans="1:5">
      <c r="A5932">
        <v>90413</v>
      </c>
      <c r="B5932">
        <v>2400</v>
      </c>
      <c r="C5932" s="455">
        <v>9.8659999999999997</v>
      </c>
      <c r="D5932" s="637">
        <f t="shared" si="198"/>
        <v>23.842833333333338</v>
      </c>
      <c r="E5932" s="637">
        <f t="shared" si="199"/>
        <v>33.121571428571443</v>
      </c>
    </row>
    <row r="5933" spans="1:5">
      <c r="A5933">
        <v>90513</v>
      </c>
      <c r="B5933">
        <v>100</v>
      </c>
      <c r="C5933" s="455">
        <v>10.378</v>
      </c>
      <c r="D5933" s="637">
        <f t="shared" si="198"/>
        <v>25.080166666666674</v>
      </c>
      <c r="E5933" s="637">
        <f t="shared" si="199"/>
        <v>34.840428571428589</v>
      </c>
    </row>
    <row r="5934" spans="1:5">
      <c r="A5934">
        <v>90513</v>
      </c>
      <c r="B5934">
        <v>200</v>
      </c>
      <c r="C5934" s="455">
        <v>9.8369999999999997</v>
      </c>
      <c r="D5934" s="637">
        <f t="shared" si="198"/>
        <v>23.772750000000006</v>
      </c>
      <c r="E5934" s="637">
        <f t="shared" si="199"/>
        <v>33.024214285714301</v>
      </c>
    </row>
    <row r="5935" spans="1:5">
      <c r="A5935">
        <v>90513</v>
      </c>
      <c r="B5935">
        <v>300</v>
      </c>
      <c r="C5935" s="455">
        <v>10.156000000000001</v>
      </c>
      <c r="D5935" s="637">
        <f t="shared" si="198"/>
        <v>24.543666666666674</v>
      </c>
      <c r="E5935" s="637">
        <f t="shared" si="199"/>
        <v>34.095142857142875</v>
      </c>
    </row>
    <row r="5936" spans="1:5">
      <c r="A5936">
        <v>90513</v>
      </c>
      <c r="B5936">
        <v>400</v>
      </c>
      <c r="C5936" s="455">
        <v>10.015000000000001</v>
      </c>
      <c r="D5936" s="637">
        <f t="shared" si="198"/>
        <v>24.202916666666674</v>
      </c>
      <c r="E5936" s="637">
        <f t="shared" si="199"/>
        <v>33.621785714285735</v>
      </c>
    </row>
    <row r="5937" spans="1:5">
      <c r="A5937">
        <v>90513</v>
      </c>
      <c r="B5937">
        <v>500</v>
      </c>
      <c r="C5937" s="455">
        <v>9.7910000000000004</v>
      </c>
      <c r="D5937" s="637">
        <f t="shared" si="198"/>
        <v>23.66158333333334</v>
      </c>
      <c r="E5937" s="637">
        <f t="shared" si="199"/>
        <v>32.869785714285733</v>
      </c>
    </row>
    <row r="5938" spans="1:5">
      <c r="A5938">
        <v>90513</v>
      </c>
      <c r="B5938">
        <v>600</v>
      </c>
      <c r="C5938" s="455">
        <v>10.156000000000001</v>
      </c>
      <c r="D5938" s="637">
        <f t="shared" si="198"/>
        <v>24.543666666666674</v>
      </c>
      <c r="E5938" s="637">
        <f t="shared" si="199"/>
        <v>34.095142857142875</v>
      </c>
    </row>
    <row r="5939" spans="1:5">
      <c r="A5939">
        <v>90513</v>
      </c>
      <c r="B5939">
        <v>700</v>
      </c>
      <c r="C5939" s="455">
        <v>3.2000000000000001E-2</v>
      </c>
      <c r="D5939" s="637">
        <f t="shared" si="198"/>
        <v>7.7333333333333351E-2</v>
      </c>
      <c r="E5939" s="637">
        <f t="shared" si="199"/>
        <v>0.10742857142857148</v>
      </c>
    </row>
    <row r="5940" spans="1:5">
      <c r="A5940">
        <v>90513</v>
      </c>
      <c r="B5940">
        <v>800</v>
      </c>
      <c r="C5940" s="455">
        <v>0.108</v>
      </c>
      <c r="D5940" s="637">
        <f t="shared" si="198"/>
        <v>0.26100000000000007</v>
      </c>
      <c r="E5940" s="637">
        <f t="shared" si="199"/>
        <v>0.36257142857142871</v>
      </c>
    </row>
    <row r="5941" spans="1:5">
      <c r="A5941">
        <v>90513</v>
      </c>
      <c r="B5941">
        <v>900</v>
      </c>
      <c r="C5941" s="455">
        <v>0</v>
      </c>
      <c r="D5941" s="637">
        <f t="shared" si="198"/>
        <v>0</v>
      </c>
      <c r="E5941" s="637">
        <f t="shared" si="199"/>
        <v>0</v>
      </c>
    </row>
    <row r="5942" spans="1:5">
      <c r="A5942">
        <v>90513</v>
      </c>
      <c r="B5942">
        <v>1000</v>
      </c>
      <c r="C5942" s="455">
        <v>0</v>
      </c>
      <c r="D5942" s="637">
        <f t="shared" si="198"/>
        <v>0</v>
      </c>
      <c r="E5942" s="637">
        <f t="shared" si="199"/>
        <v>0</v>
      </c>
    </row>
    <row r="5943" spans="1:5">
      <c r="A5943">
        <v>90513</v>
      </c>
      <c r="B5943">
        <v>1100</v>
      </c>
      <c r="C5943" s="455">
        <v>0</v>
      </c>
      <c r="D5943" s="637">
        <f t="shared" si="198"/>
        <v>0</v>
      </c>
      <c r="E5943" s="637">
        <f t="shared" si="199"/>
        <v>0</v>
      </c>
    </row>
    <row r="5944" spans="1:5">
      <c r="A5944">
        <v>90513</v>
      </c>
      <c r="B5944">
        <v>1200</v>
      </c>
      <c r="C5944" s="455">
        <v>0</v>
      </c>
      <c r="D5944" s="637">
        <f t="shared" si="198"/>
        <v>0</v>
      </c>
      <c r="E5944" s="637">
        <f t="shared" si="199"/>
        <v>0</v>
      </c>
    </row>
    <row r="5945" spans="1:5">
      <c r="A5945">
        <v>90513</v>
      </c>
      <c r="B5945">
        <v>1300</v>
      </c>
      <c r="C5945" s="455">
        <v>0</v>
      </c>
      <c r="D5945" s="637">
        <f t="shared" si="198"/>
        <v>0</v>
      </c>
      <c r="E5945" s="637">
        <f t="shared" si="199"/>
        <v>0</v>
      </c>
    </row>
    <row r="5946" spans="1:5">
      <c r="A5946">
        <v>90513</v>
      </c>
      <c r="B5946">
        <v>1400</v>
      </c>
      <c r="C5946" s="455">
        <v>0</v>
      </c>
      <c r="D5946" s="637">
        <f t="shared" si="198"/>
        <v>0</v>
      </c>
      <c r="E5946" s="637">
        <f t="shared" si="199"/>
        <v>0</v>
      </c>
    </row>
    <row r="5947" spans="1:5">
      <c r="A5947">
        <v>90513</v>
      </c>
      <c r="B5947">
        <v>1500</v>
      </c>
      <c r="C5947" s="455">
        <v>0</v>
      </c>
      <c r="D5947" s="637">
        <f t="shared" si="198"/>
        <v>0</v>
      </c>
      <c r="E5947" s="637">
        <f t="shared" si="199"/>
        <v>0</v>
      </c>
    </row>
    <row r="5948" spans="1:5">
      <c r="A5948">
        <v>90513</v>
      </c>
      <c r="B5948">
        <v>1600</v>
      </c>
      <c r="C5948" s="455">
        <v>0</v>
      </c>
      <c r="D5948" s="637">
        <f t="shared" si="198"/>
        <v>0</v>
      </c>
      <c r="E5948" s="637">
        <f t="shared" si="199"/>
        <v>0</v>
      </c>
    </row>
    <row r="5949" spans="1:5">
      <c r="A5949">
        <v>90513</v>
      </c>
      <c r="B5949">
        <v>1700</v>
      </c>
      <c r="C5949" s="455">
        <v>0</v>
      </c>
      <c r="D5949" s="637">
        <f t="shared" si="198"/>
        <v>0</v>
      </c>
      <c r="E5949" s="637">
        <f t="shared" si="199"/>
        <v>0</v>
      </c>
    </row>
    <row r="5950" spans="1:5">
      <c r="A5950">
        <v>90513</v>
      </c>
      <c r="B5950">
        <v>1800</v>
      </c>
      <c r="C5950" s="455">
        <v>0</v>
      </c>
      <c r="D5950" s="637">
        <f t="shared" si="198"/>
        <v>0</v>
      </c>
      <c r="E5950" s="637">
        <f t="shared" si="199"/>
        <v>0</v>
      </c>
    </row>
    <row r="5951" spans="1:5">
      <c r="A5951">
        <v>90513</v>
      </c>
      <c r="B5951">
        <v>1900</v>
      </c>
      <c r="C5951" s="455">
        <v>5.5369999999999999</v>
      </c>
      <c r="D5951" s="637">
        <f t="shared" si="198"/>
        <v>13.381083333333336</v>
      </c>
      <c r="E5951" s="637">
        <f t="shared" si="199"/>
        <v>18.58850000000001</v>
      </c>
    </row>
    <row r="5952" spans="1:5">
      <c r="A5952">
        <v>90513</v>
      </c>
      <c r="B5952">
        <v>2000</v>
      </c>
      <c r="C5952" s="455">
        <v>10.968999999999999</v>
      </c>
      <c r="D5952" s="637">
        <f t="shared" si="198"/>
        <v>26.508416666666669</v>
      </c>
      <c r="E5952" s="637">
        <f t="shared" si="199"/>
        <v>36.824500000000015</v>
      </c>
    </row>
    <row r="5953" spans="1:5">
      <c r="A5953">
        <v>90513</v>
      </c>
      <c r="B5953">
        <v>2100</v>
      </c>
      <c r="C5953" s="455">
        <v>10.416</v>
      </c>
      <c r="D5953" s="637">
        <f t="shared" si="198"/>
        <v>25.172000000000008</v>
      </c>
      <c r="E5953" s="637">
        <f t="shared" si="199"/>
        <v>34.968000000000018</v>
      </c>
    </row>
    <row r="5954" spans="1:5">
      <c r="A5954">
        <v>90513</v>
      </c>
      <c r="B5954">
        <v>2200</v>
      </c>
      <c r="C5954" s="455">
        <v>9.9640000000000004</v>
      </c>
      <c r="D5954" s="637">
        <f t="shared" si="198"/>
        <v>24.079666666666675</v>
      </c>
      <c r="E5954" s="637">
        <f t="shared" si="199"/>
        <v>33.45057142857145</v>
      </c>
    </row>
    <row r="5955" spans="1:5">
      <c r="A5955">
        <v>90513</v>
      </c>
      <c r="B5955">
        <v>2300</v>
      </c>
      <c r="C5955" s="455">
        <v>10.478</v>
      </c>
      <c r="D5955" s="637">
        <f t="shared" si="198"/>
        <v>25.321833333333341</v>
      </c>
      <c r="E5955" s="637">
        <f t="shared" si="199"/>
        <v>35.176142857142878</v>
      </c>
    </row>
    <row r="5956" spans="1:5">
      <c r="A5956">
        <v>90513</v>
      </c>
      <c r="B5956">
        <v>2400</v>
      </c>
      <c r="C5956" s="455">
        <v>10.842000000000001</v>
      </c>
      <c r="D5956" s="637">
        <f t="shared" si="198"/>
        <v>26.20150000000001</v>
      </c>
      <c r="E5956" s="637">
        <f t="shared" si="199"/>
        <v>36.398142857142879</v>
      </c>
    </row>
    <row r="5957" spans="1:5">
      <c r="A5957">
        <v>90613</v>
      </c>
      <c r="B5957">
        <v>100</v>
      </c>
      <c r="C5957" s="455">
        <v>10.332000000000001</v>
      </c>
      <c r="D5957" s="637">
        <f t="shared" si="198"/>
        <v>24.969000000000008</v>
      </c>
      <c r="E5957" s="637">
        <f t="shared" si="199"/>
        <v>34.686000000000021</v>
      </c>
    </row>
    <row r="5958" spans="1:5">
      <c r="A5958">
        <v>90613</v>
      </c>
      <c r="B5958">
        <v>200</v>
      </c>
      <c r="C5958" s="455">
        <v>10.407999999999999</v>
      </c>
      <c r="D5958" s="637">
        <f t="shared" si="198"/>
        <v>25.152666666666672</v>
      </c>
      <c r="E5958" s="637">
        <f t="shared" si="199"/>
        <v>34.941142857142871</v>
      </c>
    </row>
    <row r="5959" spans="1:5">
      <c r="A5959">
        <v>90613</v>
      </c>
      <c r="B5959">
        <v>300</v>
      </c>
      <c r="C5959" s="455">
        <v>10.63</v>
      </c>
      <c r="D5959" s="637">
        <f t="shared" si="198"/>
        <v>25.689166666666676</v>
      </c>
      <c r="E5959" s="637">
        <f t="shared" si="199"/>
        <v>35.686428571428593</v>
      </c>
    </row>
    <row r="5960" spans="1:5">
      <c r="A5960">
        <v>90613</v>
      </c>
      <c r="B5960">
        <v>400</v>
      </c>
      <c r="C5960" s="455">
        <v>11.295</v>
      </c>
      <c r="D5960" s="637">
        <f t="shared" si="198"/>
        <v>27.296250000000008</v>
      </c>
      <c r="E5960" s="637">
        <f t="shared" si="199"/>
        <v>37.918928571428594</v>
      </c>
    </row>
    <row r="5961" spans="1:5">
      <c r="A5961">
        <v>90613</v>
      </c>
      <c r="B5961">
        <v>500</v>
      </c>
      <c r="C5961" s="455">
        <v>10.946999999999999</v>
      </c>
      <c r="D5961" s="637">
        <f t="shared" si="198"/>
        <v>26.455250000000003</v>
      </c>
      <c r="E5961" s="637">
        <f t="shared" si="199"/>
        <v>36.750642857142871</v>
      </c>
    </row>
    <row r="5962" spans="1:5">
      <c r="A5962">
        <v>90613</v>
      </c>
      <c r="B5962">
        <v>600</v>
      </c>
      <c r="C5962" s="455">
        <v>11.266999999999999</v>
      </c>
      <c r="D5962" s="637">
        <f t="shared" si="198"/>
        <v>27.22858333333334</v>
      </c>
      <c r="E5962" s="637">
        <f t="shared" si="199"/>
        <v>37.824928571428586</v>
      </c>
    </row>
    <row r="5963" spans="1:5">
      <c r="A5963">
        <v>90613</v>
      </c>
      <c r="B5963">
        <v>700</v>
      </c>
      <c r="C5963" s="455">
        <v>0.46899999999999997</v>
      </c>
      <c r="D5963" s="637">
        <f t="shared" si="198"/>
        <v>1.1334166666666667</v>
      </c>
      <c r="E5963" s="637">
        <f t="shared" si="199"/>
        <v>1.5745000000000007</v>
      </c>
    </row>
    <row r="5964" spans="1:5">
      <c r="A5964">
        <v>90613</v>
      </c>
      <c r="B5964">
        <v>800</v>
      </c>
      <c r="C5964" s="455">
        <v>0</v>
      </c>
      <c r="D5964" s="637">
        <f t="shared" si="198"/>
        <v>0</v>
      </c>
      <c r="E5964" s="637">
        <f t="shared" si="199"/>
        <v>0</v>
      </c>
    </row>
    <row r="5965" spans="1:5">
      <c r="A5965">
        <v>90613</v>
      </c>
      <c r="B5965">
        <v>900</v>
      </c>
      <c r="C5965" s="455">
        <v>0</v>
      </c>
      <c r="D5965" s="637">
        <f t="shared" si="198"/>
        <v>0</v>
      </c>
      <c r="E5965" s="637">
        <f t="shared" si="199"/>
        <v>0</v>
      </c>
    </row>
    <row r="5966" spans="1:5">
      <c r="A5966">
        <v>90613</v>
      </c>
      <c r="B5966">
        <v>1000</v>
      </c>
      <c r="C5966" s="455">
        <v>0</v>
      </c>
      <c r="D5966" s="637">
        <f t="shared" ref="D5966:D6029" si="200">(C5966/(MAX($C$5837:$C$6556)))*$W$13</f>
        <v>0</v>
      </c>
      <c r="E5966" s="637">
        <f t="shared" ref="E5966:E6029" si="201">(C5966/(MAX($C$5837:$C$6556)))*$P$13</f>
        <v>0</v>
      </c>
    </row>
    <row r="5967" spans="1:5">
      <c r="A5967">
        <v>90613</v>
      </c>
      <c r="B5967">
        <v>1100</v>
      </c>
      <c r="C5967" s="455">
        <v>0</v>
      </c>
      <c r="D5967" s="637">
        <f t="shared" si="200"/>
        <v>0</v>
      </c>
      <c r="E5967" s="637">
        <f t="shared" si="201"/>
        <v>0</v>
      </c>
    </row>
    <row r="5968" spans="1:5">
      <c r="A5968">
        <v>90613</v>
      </c>
      <c r="B5968">
        <v>1200</v>
      </c>
      <c r="C5968" s="455">
        <v>0</v>
      </c>
      <c r="D5968" s="637">
        <f t="shared" si="200"/>
        <v>0</v>
      </c>
      <c r="E5968" s="637">
        <f t="shared" si="201"/>
        <v>0</v>
      </c>
    </row>
    <row r="5969" spans="1:5">
      <c r="A5969">
        <v>90613</v>
      </c>
      <c r="B5969">
        <v>1300</v>
      </c>
      <c r="C5969" s="455">
        <v>0</v>
      </c>
      <c r="D5969" s="637">
        <f t="shared" si="200"/>
        <v>0</v>
      </c>
      <c r="E5969" s="637">
        <f t="shared" si="201"/>
        <v>0</v>
      </c>
    </row>
    <row r="5970" spans="1:5">
      <c r="A5970">
        <v>90613</v>
      </c>
      <c r="B5970">
        <v>1400</v>
      </c>
      <c r="C5970" s="455">
        <v>0</v>
      </c>
      <c r="D5970" s="637">
        <f t="shared" si="200"/>
        <v>0</v>
      </c>
      <c r="E5970" s="637">
        <f t="shared" si="201"/>
        <v>0</v>
      </c>
    </row>
    <row r="5971" spans="1:5">
      <c r="A5971">
        <v>90613</v>
      </c>
      <c r="B5971">
        <v>1500</v>
      </c>
      <c r="C5971" s="455">
        <v>0</v>
      </c>
      <c r="D5971" s="637">
        <f t="shared" si="200"/>
        <v>0</v>
      </c>
      <c r="E5971" s="637">
        <f t="shared" si="201"/>
        <v>0</v>
      </c>
    </row>
    <row r="5972" spans="1:5">
      <c r="A5972">
        <v>90613</v>
      </c>
      <c r="B5972">
        <v>1600</v>
      </c>
      <c r="C5972" s="455">
        <v>0</v>
      </c>
      <c r="D5972" s="637">
        <f t="shared" si="200"/>
        <v>0</v>
      </c>
      <c r="E5972" s="637">
        <f t="shared" si="201"/>
        <v>0</v>
      </c>
    </row>
    <row r="5973" spans="1:5">
      <c r="A5973">
        <v>90613</v>
      </c>
      <c r="B5973">
        <v>1700</v>
      </c>
      <c r="C5973" s="455">
        <v>0</v>
      </c>
      <c r="D5973" s="637">
        <f t="shared" si="200"/>
        <v>0</v>
      </c>
      <c r="E5973" s="637">
        <f t="shared" si="201"/>
        <v>0</v>
      </c>
    </row>
    <row r="5974" spans="1:5">
      <c r="A5974">
        <v>90613</v>
      </c>
      <c r="B5974">
        <v>1800</v>
      </c>
      <c r="C5974" s="455">
        <v>0</v>
      </c>
      <c r="D5974" s="637">
        <f t="shared" si="200"/>
        <v>0</v>
      </c>
      <c r="E5974" s="637">
        <f t="shared" si="201"/>
        <v>0</v>
      </c>
    </row>
    <row r="5975" spans="1:5">
      <c r="A5975">
        <v>90613</v>
      </c>
      <c r="B5975">
        <v>1900</v>
      </c>
      <c r="C5975" s="455">
        <v>7.19</v>
      </c>
      <c r="D5975" s="637">
        <f t="shared" si="200"/>
        <v>17.37583333333334</v>
      </c>
      <c r="E5975" s="637">
        <f t="shared" si="201"/>
        <v>24.137857142857154</v>
      </c>
    </row>
    <row r="5976" spans="1:5">
      <c r="A5976">
        <v>90613</v>
      </c>
      <c r="B5976">
        <v>2000</v>
      </c>
      <c r="C5976" s="455">
        <v>10.307</v>
      </c>
      <c r="D5976" s="637">
        <f t="shared" si="200"/>
        <v>24.908583333333343</v>
      </c>
      <c r="E5976" s="637">
        <f t="shared" si="201"/>
        <v>34.602071428571449</v>
      </c>
    </row>
    <row r="5977" spans="1:5">
      <c r="A5977">
        <v>90613</v>
      </c>
      <c r="B5977">
        <v>2100</v>
      </c>
      <c r="C5977" s="455">
        <v>10.180999999999999</v>
      </c>
      <c r="D5977" s="637">
        <f t="shared" si="200"/>
        <v>24.604083333333335</v>
      </c>
      <c r="E5977" s="637">
        <f t="shared" si="201"/>
        <v>34.17907142857144</v>
      </c>
    </row>
    <row r="5978" spans="1:5">
      <c r="A5978">
        <v>90613</v>
      </c>
      <c r="B5978">
        <v>2200</v>
      </c>
      <c r="C5978" s="455">
        <v>10.308999999999999</v>
      </c>
      <c r="D5978" s="637">
        <f t="shared" si="200"/>
        <v>24.913416666666674</v>
      </c>
      <c r="E5978" s="637">
        <f t="shared" si="201"/>
        <v>34.60878571428573</v>
      </c>
    </row>
    <row r="5979" spans="1:5">
      <c r="A5979">
        <v>90613</v>
      </c>
      <c r="B5979">
        <v>2300</v>
      </c>
      <c r="C5979" s="455">
        <v>10.122</v>
      </c>
      <c r="D5979" s="637">
        <f t="shared" si="200"/>
        <v>24.461500000000008</v>
      </c>
      <c r="E5979" s="637">
        <f t="shared" si="201"/>
        <v>33.981000000000016</v>
      </c>
    </row>
    <row r="5980" spans="1:5">
      <c r="A5980">
        <v>90613</v>
      </c>
      <c r="B5980">
        <v>2400</v>
      </c>
      <c r="C5980" s="455">
        <v>9.9670000000000005</v>
      </c>
      <c r="D5980" s="637">
        <f t="shared" si="200"/>
        <v>24.086916666666674</v>
      </c>
      <c r="E5980" s="637">
        <f t="shared" si="201"/>
        <v>33.460642857142879</v>
      </c>
    </row>
    <row r="5981" spans="1:5">
      <c r="A5981">
        <v>90713</v>
      </c>
      <c r="B5981">
        <v>100</v>
      </c>
      <c r="C5981" s="455">
        <v>10.018000000000001</v>
      </c>
      <c r="D5981" s="637">
        <f t="shared" si="200"/>
        <v>24.210166666666673</v>
      </c>
      <c r="E5981" s="637">
        <f t="shared" si="201"/>
        <v>33.631857142857164</v>
      </c>
    </row>
    <row r="5982" spans="1:5">
      <c r="A5982">
        <v>90713</v>
      </c>
      <c r="B5982">
        <v>200</v>
      </c>
      <c r="C5982" s="455">
        <v>10.061999999999999</v>
      </c>
      <c r="D5982" s="637">
        <f t="shared" si="200"/>
        <v>24.316500000000005</v>
      </c>
      <c r="E5982" s="637">
        <f t="shared" si="201"/>
        <v>33.779571428571444</v>
      </c>
    </row>
    <row r="5983" spans="1:5">
      <c r="A5983">
        <v>90713</v>
      </c>
      <c r="B5983">
        <v>300</v>
      </c>
      <c r="C5983" s="455">
        <v>10.205</v>
      </c>
      <c r="D5983" s="637">
        <f t="shared" si="200"/>
        <v>24.662083333333339</v>
      </c>
      <c r="E5983" s="637">
        <f t="shared" si="201"/>
        <v>34.259642857142872</v>
      </c>
    </row>
    <row r="5984" spans="1:5">
      <c r="A5984">
        <v>90713</v>
      </c>
      <c r="B5984">
        <v>400</v>
      </c>
      <c r="C5984" s="455">
        <v>9.8810000000000002</v>
      </c>
      <c r="D5984" s="637">
        <f t="shared" si="200"/>
        <v>23.879083333333337</v>
      </c>
      <c r="E5984" s="637">
        <f t="shared" si="201"/>
        <v>33.171928571428587</v>
      </c>
    </row>
    <row r="5985" spans="1:5">
      <c r="A5985">
        <v>90713</v>
      </c>
      <c r="B5985">
        <v>500</v>
      </c>
      <c r="C5985" s="455">
        <v>10.275</v>
      </c>
      <c r="D5985" s="637">
        <f t="shared" si="200"/>
        <v>24.831250000000004</v>
      </c>
      <c r="E5985" s="637">
        <f t="shared" si="201"/>
        <v>34.494642857142871</v>
      </c>
    </row>
    <row r="5986" spans="1:5">
      <c r="A5986">
        <v>90713</v>
      </c>
      <c r="B5986">
        <v>600</v>
      </c>
      <c r="C5986" s="455">
        <v>10.111000000000001</v>
      </c>
      <c r="D5986" s="637">
        <f t="shared" si="200"/>
        <v>24.434916666666673</v>
      </c>
      <c r="E5986" s="637">
        <f t="shared" si="201"/>
        <v>33.944071428571448</v>
      </c>
    </row>
    <row r="5987" spans="1:5">
      <c r="A5987">
        <v>90713</v>
      </c>
      <c r="B5987">
        <v>700</v>
      </c>
      <c r="C5987" s="455">
        <v>11.859</v>
      </c>
      <c r="D5987" s="637">
        <f t="shared" si="200"/>
        <v>28.659250000000007</v>
      </c>
      <c r="E5987" s="637">
        <f t="shared" si="201"/>
        <v>39.812357142857167</v>
      </c>
    </row>
    <row r="5988" spans="1:5">
      <c r="A5988">
        <v>90713</v>
      </c>
      <c r="B5988">
        <v>800</v>
      </c>
      <c r="C5988" s="455">
        <v>6.99</v>
      </c>
      <c r="D5988" s="637">
        <f t="shared" si="200"/>
        <v>16.892500000000005</v>
      </c>
      <c r="E5988" s="637">
        <f t="shared" si="201"/>
        <v>23.466428571428587</v>
      </c>
    </row>
    <row r="5989" spans="1:5">
      <c r="A5989">
        <v>90713</v>
      </c>
      <c r="B5989">
        <v>900</v>
      </c>
      <c r="C5989" s="455">
        <v>6.96</v>
      </c>
      <c r="D5989" s="637">
        <f t="shared" si="200"/>
        <v>16.820000000000004</v>
      </c>
      <c r="E5989" s="637">
        <f t="shared" si="201"/>
        <v>23.365714285714297</v>
      </c>
    </row>
    <row r="5990" spans="1:5">
      <c r="A5990">
        <v>90713</v>
      </c>
      <c r="B5990">
        <v>1000</v>
      </c>
      <c r="C5990" s="455">
        <v>2.456</v>
      </c>
      <c r="D5990" s="637">
        <f t="shared" si="200"/>
        <v>5.9353333333333351</v>
      </c>
      <c r="E5990" s="637">
        <f t="shared" si="201"/>
        <v>8.2451428571428611</v>
      </c>
    </row>
    <row r="5991" spans="1:5">
      <c r="A5991">
        <v>90713</v>
      </c>
      <c r="B5991">
        <v>1100</v>
      </c>
      <c r="C5991" s="455">
        <v>0</v>
      </c>
      <c r="D5991" s="637">
        <f t="shared" si="200"/>
        <v>0</v>
      </c>
      <c r="E5991" s="637">
        <f t="shared" si="201"/>
        <v>0</v>
      </c>
    </row>
    <row r="5992" spans="1:5">
      <c r="A5992">
        <v>90713</v>
      </c>
      <c r="B5992">
        <v>1200</v>
      </c>
      <c r="C5992" s="455">
        <v>0</v>
      </c>
      <c r="D5992" s="637">
        <f t="shared" si="200"/>
        <v>0</v>
      </c>
      <c r="E5992" s="637">
        <f t="shared" si="201"/>
        <v>0</v>
      </c>
    </row>
    <row r="5993" spans="1:5">
      <c r="A5993">
        <v>90713</v>
      </c>
      <c r="B5993">
        <v>1300</v>
      </c>
      <c r="C5993" s="455">
        <v>0</v>
      </c>
      <c r="D5993" s="637">
        <f t="shared" si="200"/>
        <v>0</v>
      </c>
      <c r="E5993" s="637">
        <f t="shared" si="201"/>
        <v>0</v>
      </c>
    </row>
    <row r="5994" spans="1:5">
      <c r="A5994">
        <v>90713</v>
      </c>
      <c r="B5994">
        <v>1400</v>
      </c>
      <c r="C5994" s="455">
        <v>0</v>
      </c>
      <c r="D5994" s="637">
        <f t="shared" si="200"/>
        <v>0</v>
      </c>
      <c r="E5994" s="637">
        <f t="shared" si="201"/>
        <v>0</v>
      </c>
    </row>
    <row r="5995" spans="1:5">
      <c r="A5995">
        <v>90713</v>
      </c>
      <c r="B5995">
        <v>1500</v>
      </c>
      <c r="C5995" s="455">
        <v>0</v>
      </c>
      <c r="D5995" s="637">
        <f t="shared" si="200"/>
        <v>0</v>
      </c>
      <c r="E5995" s="637">
        <f t="shared" si="201"/>
        <v>0</v>
      </c>
    </row>
    <row r="5996" spans="1:5">
      <c r="A5996">
        <v>90713</v>
      </c>
      <c r="B5996">
        <v>1600</v>
      </c>
      <c r="C5996" s="455">
        <v>0</v>
      </c>
      <c r="D5996" s="637">
        <f t="shared" si="200"/>
        <v>0</v>
      </c>
      <c r="E5996" s="637">
        <f t="shared" si="201"/>
        <v>0</v>
      </c>
    </row>
    <row r="5997" spans="1:5">
      <c r="A5997">
        <v>90713</v>
      </c>
      <c r="B5997">
        <v>1700</v>
      </c>
      <c r="C5997" s="455">
        <v>0</v>
      </c>
      <c r="D5997" s="637">
        <f t="shared" si="200"/>
        <v>0</v>
      </c>
      <c r="E5997" s="637">
        <f t="shared" si="201"/>
        <v>0</v>
      </c>
    </row>
    <row r="5998" spans="1:5">
      <c r="A5998">
        <v>90713</v>
      </c>
      <c r="B5998">
        <v>1800</v>
      </c>
      <c r="C5998" s="455">
        <v>0</v>
      </c>
      <c r="D5998" s="637">
        <f t="shared" si="200"/>
        <v>0</v>
      </c>
      <c r="E5998" s="637">
        <f t="shared" si="201"/>
        <v>0</v>
      </c>
    </row>
    <row r="5999" spans="1:5">
      <c r="A5999">
        <v>90713</v>
      </c>
      <c r="B5999">
        <v>1900</v>
      </c>
      <c r="C5999" s="455">
        <v>8.5370000000000008</v>
      </c>
      <c r="D5999" s="637">
        <f t="shared" si="200"/>
        <v>20.631083333333343</v>
      </c>
      <c r="E5999" s="637">
        <f t="shared" si="201"/>
        <v>28.659928571428591</v>
      </c>
    </row>
    <row r="6000" spans="1:5">
      <c r="A6000">
        <v>90713</v>
      </c>
      <c r="B6000">
        <v>2000</v>
      </c>
      <c r="C6000" s="455">
        <v>10.16</v>
      </c>
      <c r="D6000" s="637">
        <f t="shared" si="200"/>
        <v>24.553333333333342</v>
      </c>
      <c r="E6000" s="637">
        <f t="shared" si="201"/>
        <v>34.108571428571445</v>
      </c>
    </row>
    <row r="6001" spans="1:5">
      <c r="A6001">
        <v>90713</v>
      </c>
      <c r="B6001">
        <v>2100</v>
      </c>
      <c r="C6001" s="455">
        <v>9.99</v>
      </c>
      <c r="D6001" s="637">
        <f t="shared" si="200"/>
        <v>24.142500000000009</v>
      </c>
      <c r="E6001" s="637">
        <f t="shared" si="201"/>
        <v>33.537857142857163</v>
      </c>
    </row>
    <row r="6002" spans="1:5">
      <c r="A6002">
        <v>90713</v>
      </c>
      <c r="B6002">
        <v>2200</v>
      </c>
      <c r="C6002" s="455">
        <v>9.8369999999999997</v>
      </c>
      <c r="D6002" s="637">
        <f t="shared" si="200"/>
        <v>23.772750000000006</v>
      </c>
      <c r="E6002" s="637">
        <f t="shared" si="201"/>
        <v>33.024214285714301</v>
      </c>
    </row>
    <row r="6003" spans="1:5">
      <c r="A6003">
        <v>90713</v>
      </c>
      <c r="B6003">
        <v>2300</v>
      </c>
      <c r="C6003" s="455">
        <v>10.076000000000001</v>
      </c>
      <c r="D6003" s="637">
        <f t="shared" si="200"/>
        <v>24.350333333333342</v>
      </c>
      <c r="E6003" s="637">
        <f t="shared" si="201"/>
        <v>33.826571428571448</v>
      </c>
    </row>
    <row r="6004" spans="1:5">
      <c r="A6004">
        <v>90713</v>
      </c>
      <c r="B6004">
        <v>2400</v>
      </c>
      <c r="C6004" s="455">
        <v>10.058999999999999</v>
      </c>
      <c r="D6004" s="637">
        <f t="shared" si="200"/>
        <v>24.309250000000002</v>
      </c>
      <c r="E6004" s="637">
        <f t="shared" si="201"/>
        <v>33.769500000000015</v>
      </c>
    </row>
    <row r="6005" spans="1:5">
      <c r="A6005">
        <v>90813</v>
      </c>
      <c r="B6005">
        <v>100</v>
      </c>
      <c r="C6005" s="455">
        <v>9.9540000000000006</v>
      </c>
      <c r="D6005" s="637">
        <f t="shared" si="200"/>
        <v>24.055500000000009</v>
      </c>
      <c r="E6005" s="637">
        <f t="shared" si="201"/>
        <v>33.417000000000023</v>
      </c>
    </row>
    <row r="6006" spans="1:5">
      <c r="A6006">
        <v>90813</v>
      </c>
      <c r="B6006">
        <v>200</v>
      </c>
      <c r="C6006" s="455">
        <v>10.103999999999999</v>
      </c>
      <c r="D6006" s="637">
        <f t="shared" si="200"/>
        <v>24.418000000000003</v>
      </c>
      <c r="E6006" s="637">
        <f t="shared" si="201"/>
        <v>33.920571428571442</v>
      </c>
    </row>
    <row r="6007" spans="1:5">
      <c r="A6007">
        <v>90813</v>
      </c>
      <c r="B6007">
        <v>300</v>
      </c>
      <c r="C6007" s="455">
        <v>9.984</v>
      </c>
      <c r="D6007" s="637">
        <f t="shared" si="200"/>
        <v>24.128000000000007</v>
      </c>
      <c r="E6007" s="637">
        <f t="shared" si="201"/>
        <v>33.517714285714305</v>
      </c>
    </row>
    <row r="6008" spans="1:5">
      <c r="A6008">
        <v>90813</v>
      </c>
      <c r="B6008">
        <v>400</v>
      </c>
      <c r="C6008" s="455">
        <v>9.7919999999999998</v>
      </c>
      <c r="D6008" s="637">
        <f t="shared" si="200"/>
        <v>23.664000000000005</v>
      </c>
      <c r="E6008" s="637">
        <f t="shared" si="201"/>
        <v>32.873142857142874</v>
      </c>
    </row>
    <row r="6009" spans="1:5">
      <c r="A6009">
        <v>90813</v>
      </c>
      <c r="B6009">
        <v>500</v>
      </c>
      <c r="C6009" s="455">
        <v>10.19</v>
      </c>
      <c r="D6009" s="637">
        <f t="shared" si="200"/>
        <v>24.62583333333334</v>
      </c>
      <c r="E6009" s="637">
        <f t="shared" si="201"/>
        <v>34.209285714285734</v>
      </c>
    </row>
    <row r="6010" spans="1:5">
      <c r="A6010">
        <v>90813</v>
      </c>
      <c r="B6010">
        <v>600</v>
      </c>
      <c r="C6010" s="455">
        <v>10.602</v>
      </c>
      <c r="D6010" s="637">
        <f t="shared" si="200"/>
        <v>25.621500000000008</v>
      </c>
      <c r="E6010" s="637">
        <f t="shared" si="201"/>
        <v>35.592428571428592</v>
      </c>
    </row>
    <row r="6011" spans="1:5">
      <c r="A6011">
        <v>90813</v>
      </c>
      <c r="B6011">
        <v>700</v>
      </c>
      <c r="C6011" s="455">
        <v>0.84099999999999997</v>
      </c>
      <c r="D6011" s="637">
        <f t="shared" si="200"/>
        <v>2.0324166666666672</v>
      </c>
      <c r="E6011" s="637">
        <f t="shared" si="201"/>
        <v>2.8233571428571445</v>
      </c>
    </row>
    <row r="6012" spans="1:5">
      <c r="A6012">
        <v>90813</v>
      </c>
      <c r="B6012">
        <v>800</v>
      </c>
      <c r="C6012" s="455">
        <v>0</v>
      </c>
      <c r="D6012" s="637">
        <f t="shared" si="200"/>
        <v>0</v>
      </c>
      <c r="E6012" s="637">
        <f t="shared" si="201"/>
        <v>0</v>
      </c>
    </row>
    <row r="6013" spans="1:5">
      <c r="A6013">
        <v>90813</v>
      </c>
      <c r="B6013">
        <v>900</v>
      </c>
      <c r="C6013" s="455">
        <v>0</v>
      </c>
      <c r="D6013" s="637">
        <f t="shared" si="200"/>
        <v>0</v>
      </c>
      <c r="E6013" s="637">
        <f t="shared" si="201"/>
        <v>0</v>
      </c>
    </row>
    <row r="6014" spans="1:5">
      <c r="A6014">
        <v>90813</v>
      </c>
      <c r="B6014">
        <v>1000</v>
      </c>
      <c r="C6014" s="455">
        <v>1E-3</v>
      </c>
      <c r="D6014" s="637">
        <f t="shared" si="200"/>
        <v>2.4166666666666672E-3</v>
      </c>
      <c r="E6014" s="637">
        <f t="shared" si="201"/>
        <v>3.3571428571428589E-3</v>
      </c>
    </row>
    <row r="6015" spans="1:5">
      <c r="A6015">
        <v>90813</v>
      </c>
      <c r="B6015">
        <v>1100</v>
      </c>
      <c r="C6015" s="455">
        <v>0</v>
      </c>
      <c r="D6015" s="637">
        <f t="shared" si="200"/>
        <v>0</v>
      </c>
      <c r="E6015" s="637">
        <f t="shared" si="201"/>
        <v>0</v>
      </c>
    </row>
    <row r="6016" spans="1:5">
      <c r="A6016">
        <v>90813</v>
      </c>
      <c r="B6016">
        <v>1200</v>
      </c>
      <c r="C6016" s="455">
        <v>0</v>
      </c>
      <c r="D6016" s="637">
        <f t="shared" si="200"/>
        <v>0</v>
      </c>
      <c r="E6016" s="637">
        <f t="shared" si="201"/>
        <v>0</v>
      </c>
    </row>
    <row r="6017" spans="1:5">
      <c r="A6017">
        <v>90813</v>
      </c>
      <c r="B6017">
        <v>1300</v>
      </c>
      <c r="C6017" s="455">
        <v>0</v>
      </c>
      <c r="D6017" s="637">
        <f t="shared" si="200"/>
        <v>0</v>
      </c>
      <c r="E6017" s="637">
        <f t="shared" si="201"/>
        <v>0</v>
      </c>
    </row>
    <row r="6018" spans="1:5">
      <c r="A6018">
        <v>90813</v>
      </c>
      <c r="B6018">
        <v>1400</v>
      </c>
      <c r="C6018" s="455">
        <v>0</v>
      </c>
      <c r="D6018" s="637">
        <f t="shared" si="200"/>
        <v>0</v>
      </c>
      <c r="E6018" s="637">
        <f t="shared" si="201"/>
        <v>0</v>
      </c>
    </row>
    <row r="6019" spans="1:5">
      <c r="A6019">
        <v>90813</v>
      </c>
      <c r="B6019">
        <v>1500</v>
      </c>
      <c r="C6019" s="455">
        <v>0</v>
      </c>
      <c r="D6019" s="637">
        <f t="shared" si="200"/>
        <v>0</v>
      </c>
      <c r="E6019" s="637">
        <f t="shared" si="201"/>
        <v>0</v>
      </c>
    </row>
    <row r="6020" spans="1:5">
      <c r="A6020">
        <v>90813</v>
      </c>
      <c r="B6020">
        <v>1600</v>
      </c>
      <c r="C6020" s="455">
        <v>0.14399999999999999</v>
      </c>
      <c r="D6020" s="637">
        <f t="shared" si="200"/>
        <v>0.34800000000000003</v>
      </c>
      <c r="E6020" s="637">
        <f t="shared" si="201"/>
        <v>0.4834285714285716</v>
      </c>
    </row>
    <row r="6021" spans="1:5">
      <c r="A6021">
        <v>90813</v>
      </c>
      <c r="B6021">
        <v>1700</v>
      </c>
      <c r="C6021" s="455">
        <v>0</v>
      </c>
      <c r="D6021" s="637">
        <f t="shared" si="200"/>
        <v>0</v>
      </c>
      <c r="E6021" s="637">
        <f t="shared" si="201"/>
        <v>0</v>
      </c>
    </row>
    <row r="6022" spans="1:5">
      <c r="A6022">
        <v>90813</v>
      </c>
      <c r="B6022">
        <v>1800</v>
      </c>
      <c r="C6022" s="455">
        <v>7.1999999999999995E-2</v>
      </c>
      <c r="D6022" s="637">
        <f t="shared" si="200"/>
        <v>0.17400000000000002</v>
      </c>
      <c r="E6022" s="637">
        <f t="shared" si="201"/>
        <v>0.2417142857142858</v>
      </c>
    </row>
    <row r="6023" spans="1:5">
      <c r="A6023">
        <v>90813</v>
      </c>
      <c r="B6023">
        <v>1900</v>
      </c>
      <c r="C6023" s="455">
        <v>6.5259999999999998</v>
      </c>
      <c r="D6023" s="637">
        <f t="shared" si="200"/>
        <v>15.771166666666669</v>
      </c>
      <c r="E6023" s="637">
        <f t="shared" si="201"/>
        <v>21.908714285714296</v>
      </c>
    </row>
    <row r="6024" spans="1:5">
      <c r="A6024">
        <v>90813</v>
      </c>
      <c r="B6024">
        <v>2000</v>
      </c>
      <c r="C6024" s="455">
        <v>10.281000000000001</v>
      </c>
      <c r="D6024" s="637">
        <f t="shared" si="200"/>
        <v>24.84575000000001</v>
      </c>
      <c r="E6024" s="637">
        <f t="shared" si="201"/>
        <v>34.514785714285736</v>
      </c>
    </row>
    <row r="6025" spans="1:5">
      <c r="A6025">
        <v>90813</v>
      </c>
      <c r="B6025">
        <v>2100</v>
      </c>
      <c r="C6025" s="455">
        <v>10.130000000000001</v>
      </c>
      <c r="D6025" s="637">
        <f t="shared" si="200"/>
        <v>24.48083333333334</v>
      </c>
      <c r="E6025" s="637">
        <f t="shared" si="201"/>
        <v>34.007857142857162</v>
      </c>
    </row>
    <row r="6026" spans="1:5">
      <c r="A6026">
        <v>90813</v>
      </c>
      <c r="B6026">
        <v>2200</v>
      </c>
      <c r="C6026" s="455">
        <v>10.221</v>
      </c>
      <c r="D6026" s="637">
        <f t="shared" si="200"/>
        <v>24.700750000000006</v>
      </c>
      <c r="E6026" s="637">
        <f t="shared" si="201"/>
        <v>34.313357142857157</v>
      </c>
    </row>
    <row r="6027" spans="1:5">
      <c r="A6027">
        <v>90813</v>
      </c>
      <c r="B6027">
        <v>2300</v>
      </c>
      <c r="C6027" s="455">
        <v>10.127000000000001</v>
      </c>
      <c r="D6027" s="637">
        <f t="shared" si="200"/>
        <v>24.473583333333341</v>
      </c>
      <c r="E6027" s="637">
        <f t="shared" si="201"/>
        <v>33.997785714285733</v>
      </c>
    </row>
    <row r="6028" spans="1:5">
      <c r="A6028">
        <v>90813</v>
      </c>
      <c r="B6028">
        <v>2400</v>
      </c>
      <c r="C6028" s="455">
        <v>9.9700000000000006</v>
      </c>
      <c r="D6028" s="637">
        <f t="shared" si="200"/>
        <v>24.094166666666673</v>
      </c>
      <c r="E6028" s="637">
        <f t="shared" si="201"/>
        <v>33.470714285714308</v>
      </c>
    </row>
    <row r="6029" spans="1:5">
      <c r="A6029">
        <v>90913</v>
      </c>
      <c r="B6029">
        <v>100</v>
      </c>
      <c r="C6029" s="455">
        <v>10.263999999999999</v>
      </c>
      <c r="D6029" s="637">
        <f t="shared" si="200"/>
        <v>24.804666666666673</v>
      </c>
      <c r="E6029" s="637">
        <f t="shared" si="201"/>
        <v>34.457714285714303</v>
      </c>
    </row>
    <row r="6030" spans="1:5">
      <c r="A6030">
        <v>90913</v>
      </c>
      <c r="B6030">
        <v>200</v>
      </c>
      <c r="C6030" s="455">
        <v>9.8770000000000007</v>
      </c>
      <c r="D6030" s="637">
        <f t="shared" ref="D6030:D6093" si="202">(C6030/(MAX($C$5837:$C$6556)))*$W$13</f>
        <v>23.869416666666677</v>
      </c>
      <c r="E6030" s="637">
        <f t="shared" ref="E6030:E6093" si="203">(C6030/(MAX($C$5837:$C$6556)))*$P$13</f>
        <v>33.158500000000018</v>
      </c>
    </row>
    <row r="6031" spans="1:5">
      <c r="A6031">
        <v>90913</v>
      </c>
      <c r="B6031">
        <v>300</v>
      </c>
      <c r="C6031" s="455">
        <v>10.781000000000001</v>
      </c>
      <c r="D6031" s="637">
        <f t="shared" si="202"/>
        <v>26.054083333333342</v>
      </c>
      <c r="E6031" s="637">
        <f t="shared" si="203"/>
        <v>36.193357142857167</v>
      </c>
    </row>
    <row r="6032" spans="1:5">
      <c r="A6032">
        <v>90913</v>
      </c>
      <c r="B6032">
        <v>400</v>
      </c>
      <c r="C6032" s="455">
        <v>10.577999999999999</v>
      </c>
      <c r="D6032" s="637">
        <f t="shared" si="202"/>
        <v>25.563500000000008</v>
      </c>
      <c r="E6032" s="637">
        <f t="shared" si="203"/>
        <v>35.51185714285716</v>
      </c>
    </row>
    <row r="6033" spans="1:5">
      <c r="A6033">
        <v>90913</v>
      </c>
      <c r="B6033">
        <v>500</v>
      </c>
      <c r="C6033" s="455">
        <v>10.590999999999999</v>
      </c>
      <c r="D6033" s="637">
        <f t="shared" si="202"/>
        <v>25.59491666666667</v>
      </c>
      <c r="E6033" s="637">
        <f t="shared" si="203"/>
        <v>35.555500000000016</v>
      </c>
    </row>
    <row r="6034" spans="1:5">
      <c r="A6034">
        <v>90913</v>
      </c>
      <c r="B6034">
        <v>600</v>
      </c>
      <c r="C6034" s="455">
        <v>11.052</v>
      </c>
      <c r="D6034" s="637">
        <f t="shared" si="202"/>
        <v>26.709000000000007</v>
      </c>
      <c r="E6034" s="637">
        <f t="shared" si="203"/>
        <v>37.103142857142878</v>
      </c>
    </row>
    <row r="6035" spans="1:5">
      <c r="A6035">
        <v>90913</v>
      </c>
      <c r="B6035">
        <v>700</v>
      </c>
      <c r="C6035" s="455">
        <v>1.2490000000000001</v>
      </c>
      <c r="D6035" s="637">
        <f t="shared" si="202"/>
        <v>3.0184166666666679</v>
      </c>
      <c r="E6035" s="637">
        <f t="shared" si="203"/>
        <v>4.1930714285714314</v>
      </c>
    </row>
    <row r="6036" spans="1:5">
      <c r="A6036">
        <v>90913</v>
      </c>
      <c r="B6036">
        <v>800</v>
      </c>
      <c r="C6036" s="455">
        <v>1E-3</v>
      </c>
      <c r="D6036" s="637">
        <f t="shared" si="202"/>
        <v>2.4166666666666672E-3</v>
      </c>
      <c r="E6036" s="637">
        <f t="shared" si="203"/>
        <v>3.3571428571428589E-3</v>
      </c>
    </row>
    <row r="6037" spans="1:5">
      <c r="A6037">
        <v>90913</v>
      </c>
      <c r="B6037">
        <v>900</v>
      </c>
      <c r="C6037" s="455">
        <v>1E-3</v>
      </c>
      <c r="D6037" s="637">
        <f t="shared" si="202"/>
        <v>2.4166666666666672E-3</v>
      </c>
      <c r="E6037" s="637">
        <f t="shared" si="203"/>
        <v>3.3571428571428589E-3</v>
      </c>
    </row>
    <row r="6038" spans="1:5">
      <c r="A6038">
        <v>90913</v>
      </c>
      <c r="B6038">
        <v>1000</v>
      </c>
      <c r="C6038" s="455">
        <v>0.108</v>
      </c>
      <c r="D6038" s="637">
        <f t="shared" si="202"/>
        <v>0.26100000000000007</v>
      </c>
      <c r="E6038" s="637">
        <f t="shared" si="203"/>
        <v>0.36257142857142871</v>
      </c>
    </row>
    <row r="6039" spans="1:5">
      <c r="A6039">
        <v>90913</v>
      </c>
      <c r="B6039">
        <v>1100</v>
      </c>
      <c r="C6039" s="455">
        <v>0</v>
      </c>
      <c r="D6039" s="637">
        <f t="shared" si="202"/>
        <v>0</v>
      </c>
      <c r="E6039" s="637">
        <f t="shared" si="203"/>
        <v>0</v>
      </c>
    </row>
    <row r="6040" spans="1:5">
      <c r="A6040">
        <v>90913</v>
      </c>
      <c r="B6040">
        <v>1200</v>
      </c>
      <c r="C6040" s="455">
        <v>0</v>
      </c>
      <c r="D6040" s="637">
        <f t="shared" si="202"/>
        <v>0</v>
      </c>
      <c r="E6040" s="637">
        <f t="shared" si="203"/>
        <v>0</v>
      </c>
    </row>
    <row r="6041" spans="1:5">
      <c r="A6041">
        <v>90913</v>
      </c>
      <c r="B6041">
        <v>1300</v>
      </c>
      <c r="C6041" s="455">
        <v>0</v>
      </c>
      <c r="D6041" s="637">
        <f t="shared" si="202"/>
        <v>0</v>
      </c>
      <c r="E6041" s="637">
        <f t="shared" si="203"/>
        <v>0</v>
      </c>
    </row>
    <row r="6042" spans="1:5">
      <c r="A6042">
        <v>90913</v>
      </c>
      <c r="B6042">
        <v>1400</v>
      </c>
      <c r="C6042" s="455">
        <v>0</v>
      </c>
      <c r="D6042" s="637">
        <f t="shared" si="202"/>
        <v>0</v>
      </c>
      <c r="E6042" s="637">
        <f t="shared" si="203"/>
        <v>0</v>
      </c>
    </row>
    <row r="6043" spans="1:5">
      <c r="A6043">
        <v>90913</v>
      </c>
      <c r="B6043">
        <v>1500</v>
      </c>
      <c r="C6043" s="455">
        <v>0</v>
      </c>
      <c r="D6043" s="637">
        <f t="shared" si="202"/>
        <v>0</v>
      </c>
      <c r="E6043" s="637">
        <f t="shared" si="203"/>
        <v>0</v>
      </c>
    </row>
    <row r="6044" spans="1:5">
      <c r="A6044">
        <v>90913</v>
      </c>
      <c r="B6044">
        <v>1600</v>
      </c>
      <c r="C6044" s="455">
        <v>0</v>
      </c>
      <c r="D6044" s="637">
        <f t="shared" si="202"/>
        <v>0</v>
      </c>
      <c r="E6044" s="637">
        <f t="shared" si="203"/>
        <v>0</v>
      </c>
    </row>
    <row r="6045" spans="1:5">
      <c r="A6045">
        <v>90913</v>
      </c>
      <c r="B6045">
        <v>1700</v>
      </c>
      <c r="C6045" s="455">
        <v>0</v>
      </c>
      <c r="D6045" s="637">
        <f t="shared" si="202"/>
        <v>0</v>
      </c>
      <c r="E6045" s="637">
        <f t="shared" si="203"/>
        <v>0</v>
      </c>
    </row>
    <row r="6046" spans="1:5">
      <c r="A6046">
        <v>90913</v>
      </c>
      <c r="B6046">
        <v>1800</v>
      </c>
      <c r="C6046" s="455">
        <v>0</v>
      </c>
      <c r="D6046" s="637">
        <f t="shared" si="202"/>
        <v>0</v>
      </c>
      <c r="E6046" s="637">
        <f t="shared" si="203"/>
        <v>0</v>
      </c>
    </row>
    <row r="6047" spans="1:5">
      <c r="A6047">
        <v>90913</v>
      </c>
      <c r="B6047">
        <v>1900</v>
      </c>
      <c r="C6047" s="455">
        <v>8.1620000000000008</v>
      </c>
      <c r="D6047" s="637">
        <f t="shared" si="202"/>
        <v>19.72483333333334</v>
      </c>
      <c r="E6047" s="637">
        <f t="shared" si="203"/>
        <v>27.401000000000018</v>
      </c>
    </row>
    <row r="6048" spans="1:5">
      <c r="A6048">
        <v>90913</v>
      </c>
      <c r="B6048">
        <v>2000</v>
      </c>
      <c r="C6048" s="455">
        <v>9.9440000000000008</v>
      </c>
      <c r="D6048" s="637">
        <f t="shared" si="202"/>
        <v>24.031333333333343</v>
      </c>
      <c r="E6048" s="637">
        <f t="shared" si="203"/>
        <v>33.383428571428588</v>
      </c>
    </row>
    <row r="6049" spans="1:5">
      <c r="A6049">
        <v>90913</v>
      </c>
      <c r="B6049">
        <v>2100</v>
      </c>
      <c r="C6049" s="455">
        <v>9.9169999999999998</v>
      </c>
      <c r="D6049" s="637">
        <f t="shared" si="202"/>
        <v>23.966083333333337</v>
      </c>
      <c r="E6049" s="637">
        <f t="shared" si="203"/>
        <v>33.292785714285728</v>
      </c>
    </row>
    <row r="6050" spans="1:5">
      <c r="A6050">
        <v>90913</v>
      </c>
      <c r="B6050">
        <v>2200</v>
      </c>
      <c r="C6050" s="455">
        <v>10.02</v>
      </c>
      <c r="D6050" s="637">
        <f t="shared" si="202"/>
        <v>24.215000000000003</v>
      </c>
      <c r="E6050" s="637">
        <f t="shared" si="203"/>
        <v>33.638571428571446</v>
      </c>
    </row>
    <row r="6051" spans="1:5">
      <c r="A6051">
        <v>90913</v>
      </c>
      <c r="B6051">
        <v>2300</v>
      </c>
      <c r="C6051" s="455">
        <v>10.047000000000001</v>
      </c>
      <c r="D6051" s="637">
        <f t="shared" si="202"/>
        <v>24.280250000000006</v>
      </c>
      <c r="E6051" s="637">
        <f t="shared" si="203"/>
        <v>33.729214285714306</v>
      </c>
    </row>
    <row r="6052" spans="1:5">
      <c r="A6052">
        <v>90913</v>
      </c>
      <c r="B6052">
        <v>2400</v>
      </c>
      <c r="C6052" s="455">
        <v>9.8539999999999992</v>
      </c>
      <c r="D6052" s="637">
        <f t="shared" si="202"/>
        <v>23.813833333333339</v>
      </c>
      <c r="E6052" s="637">
        <f t="shared" si="203"/>
        <v>33.081285714285727</v>
      </c>
    </row>
    <row r="6053" spans="1:5">
      <c r="A6053">
        <v>91013</v>
      </c>
      <c r="B6053">
        <v>100</v>
      </c>
      <c r="C6053" s="455">
        <v>9.8659999999999997</v>
      </c>
      <c r="D6053" s="637">
        <f t="shared" si="202"/>
        <v>23.842833333333338</v>
      </c>
      <c r="E6053" s="637">
        <f t="shared" si="203"/>
        <v>33.121571428571443</v>
      </c>
    </row>
    <row r="6054" spans="1:5">
      <c r="A6054">
        <v>91013</v>
      </c>
      <c r="B6054">
        <v>200</v>
      </c>
      <c r="C6054" s="455">
        <v>10.053000000000001</v>
      </c>
      <c r="D6054" s="637">
        <f t="shared" si="202"/>
        <v>24.294750000000008</v>
      </c>
      <c r="E6054" s="637">
        <f t="shared" si="203"/>
        <v>33.749357142857164</v>
      </c>
    </row>
    <row r="6055" spans="1:5">
      <c r="A6055">
        <v>91013</v>
      </c>
      <c r="B6055">
        <v>300</v>
      </c>
      <c r="C6055" s="455">
        <v>10.051</v>
      </c>
      <c r="D6055" s="637">
        <f t="shared" si="202"/>
        <v>24.289916666666674</v>
      </c>
      <c r="E6055" s="637">
        <f t="shared" si="203"/>
        <v>33.742642857142876</v>
      </c>
    </row>
    <row r="6056" spans="1:5">
      <c r="A6056">
        <v>91013</v>
      </c>
      <c r="B6056">
        <v>400</v>
      </c>
      <c r="C6056" s="455">
        <v>10.007</v>
      </c>
      <c r="D6056" s="637">
        <f t="shared" si="202"/>
        <v>24.183583333333338</v>
      </c>
      <c r="E6056" s="637">
        <f t="shared" si="203"/>
        <v>33.594928571428589</v>
      </c>
    </row>
    <row r="6057" spans="1:5">
      <c r="A6057">
        <v>91013</v>
      </c>
      <c r="B6057">
        <v>500</v>
      </c>
      <c r="C6057" s="455">
        <v>9.8740000000000006</v>
      </c>
      <c r="D6057" s="637">
        <f t="shared" si="202"/>
        <v>23.862166666666674</v>
      </c>
      <c r="E6057" s="637">
        <f t="shared" si="203"/>
        <v>33.148428571428589</v>
      </c>
    </row>
    <row r="6058" spans="1:5">
      <c r="A6058">
        <v>91013</v>
      </c>
      <c r="B6058">
        <v>600</v>
      </c>
      <c r="C6058" s="455">
        <v>11.154999999999999</v>
      </c>
      <c r="D6058" s="637">
        <f t="shared" si="202"/>
        <v>26.957916666666673</v>
      </c>
      <c r="E6058" s="637">
        <f t="shared" si="203"/>
        <v>37.448928571428588</v>
      </c>
    </row>
    <row r="6059" spans="1:5">
      <c r="A6059">
        <v>91013</v>
      </c>
      <c r="B6059">
        <v>700</v>
      </c>
      <c r="C6059" s="455">
        <v>2.234</v>
      </c>
      <c r="D6059" s="637">
        <f t="shared" si="202"/>
        <v>5.3988333333333349</v>
      </c>
      <c r="E6059" s="637">
        <f t="shared" si="203"/>
        <v>7.499857142857147</v>
      </c>
    </row>
    <row r="6060" spans="1:5">
      <c r="A6060">
        <v>91013</v>
      </c>
      <c r="B6060">
        <v>800</v>
      </c>
      <c r="C6060" s="455">
        <v>0</v>
      </c>
      <c r="D6060" s="637">
        <f t="shared" si="202"/>
        <v>0</v>
      </c>
      <c r="E6060" s="637">
        <f t="shared" si="203"/>
        <v>0</v>
      </c>
    </row>
    <row r="6061" spans="1:5">
      <c r="A6061">
        <v>91013</v>
      </c>
      <c r="B6061">
        <v>900</v>
      </c>
      <c r="C6061" s="455">
        <v>1E-3</v>
      </c>
      <c r="D6061" s="637">
        <f t="shared" si="202"/>
        <v>2.4166666666666672E-3</v>
      </c>
      <c r="E6061" s="637">
        <f t="shared" si="203"/>
        <v>3.3571428571428589E-3</v>
      </c>
    </row>
    <row r="6062" spans="1:5">
      <c r="A6062">
        <v>91013</v>
      </c>
      <c r="B6062">
        <v>1000</v>
      </c>
      <c r="C6062" s="455">
        <v>0</v>
      </c>
      <c r="D6062" s="637">
        <f t="shared" si="202"/>
        <v>0</v>
      </c>
      <c r="E6062" s="637">
        <f t="shared" si="203"/>
        <v>0</v>
      </c>
    </row>
    <row r="6063" spans="1:5">
      <c r="A6063">
        <v>91013</v>
      </c>
      <c r="B6063">
        <v>1100</v>
      </c>
      <c r="C6063" s="455">
        <v>0</v>
      </c>
      <c r="D6063" s="637">
        <f t="shared" si="202"/>
        <v>0</v>
      </c>
      <c r="E6063" s="637">
        <f t="shared" si="203"/>
        <v>0</v>
      </c>
    </row>
    <row r="6064" spans="1:5">
      <c r="A6064">
        <v>91013</v>
      </c>
      <c r="B6064">
        <v>1200</v>
      </c>
      <c r="C6064" s="455">
        <v>0</v>
      </c>
      <c r="D6064" s="637">
        <f t="shared" si="202"/>
        <v>0</v>
      </c>
      <c r="E6064" s="637">
        <f t="shared" si="203"/>
        <v>0</v>
      </c>
    </row>
    <row r="6065" spans="1:5">
      <c r="A6065">
        <v>91013</v>
      </c>
      <c r="B6065">
        <v>1300</v>
      </c>
      <c r="C6065" s="455">
        <v>0</v>
      </c>
      <c r="D6065" s="637">
        <f t="shared" si="202"/>
        <v>0</v>
      </c>
      <c r="E6065" s="637">
        <f t="shared" si="203"/>
        <v>0</v>
      </c>
    </row>
    <row r="6066" spans="1:5">
      <c r="A6066">
        <v>91013</v>
      </c>
      <c r="B6066">
        <v>1400</v>
      </c>
      <c r="C6066" s="455">
        <v>0</v>
      </c>
      <c r="D6066" s="637">
        <f t="shared" si="202"/>
        <v>0</v>
      </c>
      <c r="E6066" s="637">
        <f t="shared" si="203"/>
        <v>0</v>
      </c>
    </row>
    <row r="6067" spans="1:5">
      <c r="A6067">
        <v>91013</v>
      </c>
      <c r="B6067">
        <v>1500</v>
      </c>
      <c r="C6067" s="455">
        <v>0</v>
      </c>
      <c r="D6067" s="637">
        <f t="shared" si="202"/>
        <v>0</v>
      </c>
      <c r="E6067" s="637">
        <f t="shared" si="203"/>
        <v>0</v>
      </c>
    </row>
    <row r="6068" spans="1:5">
      <c r="A6068">
        <v>91013</v>
      </c>
      <c r="B6068">
        <v>1600</v>
      </c>
      <c r="C6068" s="455">
        <v>0</v>
      </c>
      <c r="D6068" s="637">
        <f t="shared" si="202"/>
        <v>0</v>
      </c>
      <c r="E6068" s="637">
        <f t="shared" si="203"/>
        <v>0</v>
      </c>
    </row>
    <row r="6069" spans="1:5">
      <c r="A6069">
        <v>91013</v>
      </c>
      <c r="B6069">
        <v>1700</v>
      </c>
      <c r="C6069" s="455">
        <v>0</v>
      </c>
      <c r="D6069" s="637">
        <f t="shared" si="202"/>
        <v>0</v>
      </c>
      <c r="E6069" s="637">
        <f t="shared" si="203"/>
        <v>0</v>
      </c>
    </row>
    <row r="6070" spans="1:5">
      <c r="A6070">
        <v>91013</v>
      </c>
      <c r="B6070">
        <v>1800</v>
      </c>
      <c r="C6070" s="455">
        <v>0</v>
      </c>
      <c r="D6070" s="637">
        <f t="shared" si="202"/>
        <v>0</v>
      </c>
      <c r="E6070" s="637">
        <f t="shared" si="203"/>
        <v>0</v>
      </c>
    </row>
    <row r="6071" spans="1:5">
      <c r="A6071">
        <v>91013</v>
      </c>
      <c r="B6071">
        <v>1900</v>
      </c>
      <c r="C6071" s="455">
        <v>7.47</v>
      </c>
      <c r="D6071" s="637">
        <f t="shared" si="202"/>
        <v>18.052500000000002</v>
      </c>
      <c r="E6071" s="637">
        <f t="shared" si="203"/>
        <v>25.077857142857152</v>
      </c>
    </row>
    <row r="6072" spans="1:5">
      <c r="A6072">
        <v>91013</v>
      </c>
      <c r="B6072">
        <v>2000</v>
      </c>
      <c r="C6072" s="455">
        <v>10.15</v>
      </c>
      <c r="D6072" s="637">
        <f t="shared" si="202"/>
        <v>24.529166666666672</v>
      </c>
      <c r="E6072" s="637">
        <f t="shared" si="203"/>
        <v>34.075000000000017</v>
      </c>
    </row>
    <row r="6073" spans="1:5">
      <c r="A6073">
        <v>91013</v>
      </c>
      <c r="B6073">
        <v>2100</v>
      </c>
      <c r="C6073" s="455">
        <v>10.023999999999999</v>
      </c>
      <c r="D6073" s="637">
        <f t="shared" si="202"/>
        <v>24.224666666666671</v>
      </c>
      <c r="E6073" s="637">
        <f t="shared" si="203"/>
        <v>33.652000000000015</v>
      </c>
    </row>
    <row r="6074" spans="1:5">
      <c r="A6074">
        <v>91013</v>
      </c>
      <c r="B6074">
        <v>2200</v>
      </c>
      <c r="C6074" s="455">
        <v>10.180999999999999</v>
      </c>
      <c r="D6074" s="637">
        <f t="shared" si="202"/>
        <v>24.604083333333335</v>
      </c>
      <c r="E6074" s="637">
        <f t="shared" si="203"/>
        <v>34.17907142857144</v>
      </c>
    </row>
    <row r="6075" spans="1:5">
      <c r="A6075">
        <v>91013</v>
      </c>
      <c r="B6075">
        <v>2300</v>
      </c>
      <c r="C6075" s="455">
        <v>10.3</v>
      </c>
      <c r="D6075" s="637">
        <f t="shared" si="202"/>
        <v>24.891666666666676</v>
      </c>
      <c r="E6075" s="637">
        <f t="shared" si="203"/>
        <v>34.57857142857145</v>
      </c>
    </row>
    <row r="6076" spans="1:5">
      <c r="A6076">
        <v>91013</v>
      </c>
      <c r="B6076">
        <v>2400</v>
      </c>
      <c r="C6076" s="455">
        <v>10.084</v>
      </c>
      <c r="D6076" s="637">
        <f t="shared" si="202"/>
        <v>24.369666666666674</v>
      </c>
      <c r="E6076" s="637">
        <f t="shared" si="203"/>
        <v>33.853428571428587</v>
      </c>
    </row>
    <row r="6077" spans="1:5">
      <c r="A6077">
        <v>91113</v>
      </c>
      <c r="B6077">
        <v>100</v>
      </c>
      <c r="C6077" s="455">
        <v>10.159000000000001</v>
      </c>
      <c r="D6077" s="637">
        <f t="shared" si="202"/>
        <v>24.550916666666673</v>
      </c>
      <c r="E6077" s="637">
        <f t="shared" si="203"/>
        <v>34.105214285714304</v>
      </c>
    </row>
    <row r="6078" spans="1:5">
      <c r="A6078">
        <v>91113</v>
      </c>
      <c r="B6078">
        <v>200</v>
      </c>
      <c r="C6078" s="455">
        <v>10.183</v>
      </c>
      <c r="D6078" s="637">
        <f t="shared" si="202"/>
        <v>24.608916666666673</v>
      </c>
      <c r="E6078" s="637">
        <f t="shared" si="203"/>
        <v>34.185785714285728</v>
      </c>
    </row>
    <row r="6079" spans="1:5">
      <c r="A6079">
        <v>91113</v>
      </c>
      <c r="B6079">
        <v>300</v>
      </c>
      <c r="C6079" s="455">
        <v>10.271000000000001</v>
      </c>
      <c r="D6079" s="637">
        <f t="shared" si="202"/>
        <v>24.821583333333344</v>
      </c>
      <c r="E6079" s="637">
        <f t="shared" si="203"/>
        <v>34.481214285714309</v>
      </c>
    </row>
    <row r="6080" spans="1:5">
      <c r="A6080">
        <v>91113</v>
      </c>
      <c r="B6080">
        <v>400</v>
      </c>
      <c r="C6080" s="455">
        <v>10.130000000000001</v>
      </c>
      <c r="D6080" s="637">
        <f t="shared" si="202"/>
        <v>24.48083333333334</v>
      </c>
      <c r="E6080" s="637">
        <f t="shared" si="203"/>
        <v>34.007857142857162</v>
      </c>
    </row>
    <row r="6081" spans="1:5">
      <c r="A6081">
        <v>91113</v>
      </c>
      <c r="B6081">
        <v>500</v>
      </c>
      <c r="C6081" s="455">
        <v>10.127000000000001</v>
      </c>
      <c r="D6081" s="637">
        <f t="shared" si="202"/>
        <v>24.473583333333341</v>
      </c>
      <c r="E6081" s="637">
        <f t="shared" si="203"/>
        <v>33.997785714285733</v>
      </c>
    </row>
    <row r="6082" spans="1:5">
      <c r="A6082">
        <v>91113</v>
      </c>
      <c r="B6082">
        <v>600</v>
      </c>
      <c r="C6082" s="455">
        <v>10.494</v>
      </c>
      <c r="D6082" s="637">
        <f t="shared" si="202"/>
        <v>25.360500000000009</v>
      </c>
      <c r="E6082" s="637">
        <f t="shared" si="203"/>
        <v>35.229857142857163</v>
      </c>
    </row>
    <row r="6083" spans="1:5">
      <c r="A6083">
        <v>91113</v>
      </c>
      <c r="B6083">
        <v>700</v>
      </c>
      <c r="C6083" s="455">
        <v>1.921</v>
      </c>
      <c r="D6083" s="637">
        <f t="shared" si="202"/>
        <v>4.6424166666666675</v>
      </c>
      <c r="E6083" s="637">
        <f t="shared" si="203"/>
        <v>6.4490714285714317</v>
      </c>
    </row>
    <row r="6084" spans="1:5">
      <c r="A6084">
        <v>91113</v>
      </c>
      <c r="B6084">
        <v>800</v>
      </c>
      <c r="C6084" s="455">
        <v>1E-3</v>
      </c>
      <c r="D6084" s="637">
        <f t="shared" si="202"/>
        <v>2.4166666666666672E-3</v>
      </c>
      <c r="E6084" s="637">
        <f t="shared" si="203"/>
        <v>3.3571428571428589E-3</v>
      </c>
    </row>
    <row r="6085" spans="1:5">
      <c r="A6085">
        <v>91113</v>
      </c>
      <c r="B6085">
        <v>900</v>
      </c>
      <c r="C6085" s="455">
        <v>0</v>
      </c>
      <c r="D6085" s="637">
        <f t="shared" si="202"/>
        <v>0</v>
      </c>
      <c r="E6085" s="637">
        <f t="shared" si="203"/>
        <v>0</v>
      </c>
    </row>
    <row r="6086" spans="1:5">
      <c r="A6086">
        <v>91113</v>
      </c>
      <c r="B6086">
        <v>1000</v>
      </c>
      <c r="C6086" s="455">
        <v>0</v>
      </c>
      <c r="D6086" s="637">
        <f t="shared" si="202"/>
        <v>0</v>
      </c>
      <c r="E6086" s="637">
        <f t="shared" si="203"/>
        <v>0</v>
      </c>
    </row>
    <row r="6087" spans="1:5">
      <c r="A6087">
        <v>91113</v>
      </c>
      <c r="B6087">
        <v>1100</v>
      </c>
      <c r="C6087" s="455">
        <v>0</v>
      </c>
      <c r="D6087" s="637">
        <f t="shared" si="202"/>
        <v>0</v>
      </c>
      <c r="E6087" s="637">
        <f t="shared" si="203"/>
        <v>0</v>
      </c>
    </row>
    <row r="6088" spans="1:5">
      <c r="A6088">
        <v>91113</v>
      </c>
      <c r="B6088">
        <v>1200</v>
      </c>
      <c r="C6088" s="455">
        <v>0</v>
      </c>
      <c r="D6088" s="637">
        <f t="shared" si="202"/>
        <v>0</v>
      </c>
      <c r="E6088" s="637">
        <f t="shared" si="203"/>
        <v>0</v>
      </c>
    </row>
    <row r="6089" spans="1:5">
      <c r="A6089">
        <v>91113</v>
      </c>
      <c r="B6089">
        <v>1300</v>
      </c>
      <c r="C6089" s="455">
        <v>0</v>
      </c>
      <c r="D6089" s="637">
        <f t="shared" si="202"/>
        <v>0</v>
      </c>
      <c r="E6089" s="637">
        <f t="shared" si="203"/>
        <v>0</v>
      </c>
    </row>
    <row r="6090" spans="1:5">
      <c r="A6090">
        <v>91113</v>
      </c>
      <c r="B6090">
        <v>1400</v>
      </c>
      <c r="C6090" s="455">
        <v>0</v>
      </c>
      <c r="D6090" s="637">
        <f t="shared" si="202"/>
        <v>0</v>
      </c>
      <c r="E6090" s="637">
        <f t="shared" si="203"/>
        <v>0</v>
      </c>
    </row>
    <row r="6091" spans="1:5">
      <c r="A6091">
        <v>91113</v>
      </c>
      <c r="B6091">
        <v>1500</v>
      </c>
      <c r="C6091" s="455">
        <v>0</v>
      </c>
      <c r="D6091" s="637">
        <f t="shared" si="202"/>
        <v>0</v>
      </c>
      <c r="E6091" s="637">
        <f t="shared" si="203"/>
        <v>0</v>
      </c>
    </row>
    <row r="6092" spans="1:5">
      <c r="A6092">
        <v>91113</v>
      </c>
      <c r="B6092">
        <v>1600</v>
      </c>
      <c r="C6092" s="455">
        <v>3.0000000000000001E-3</v>
      </c>
      <c r="D6092" s="637">
        <f t="shared" si="202"/>
        <v>7.2500000000000021E-3</v>
      </c>
      <c r="E6092" s="637">
        <f t="shared" si="203"/>
        <v>1.0071428571428577E-2</v>
      </c>
    </row>
    <row r="6093" spans="1:5">
      <c r="A6093">
        <v>91113</v>
      </c>
      <c r="B6093">
        <v>1700</v>
      </c>
      <c r="C6093" s="455">
        <v>0</v>
      </c>
      <c r="D6093" s="637">
        <f t="shared" si="202"/>
        <v>0</v>
      </c>
      <c r="E6093" s="637">
        <f t="shared" si="203"/>
        <v>0</v>
      </c>
    </row>
    <row r="6094" spans="1:5">
      <c r="A6094">
        <v>91113</v>
      </c>
      <c r="B6094">
        <v>1800</v>
      </c>
      <c r="C6094" s="455">
        <v>0</v>
      </c>
      <c r="D6094" s="637">
        <f t="shared" ref="D6094:D6157" si="204">(C6094/(MAX($C$5837:$C$6556)))*$W$13</f>
        <v>0</v>
      </c>
      <c r="E6094" s="637">
        <f t="shared" ref="E6094:E6157" si="205">(C6094/(MAX($C$5837:$C$6556)))*$P$13</f>
        <v>0</v>
      </c>
    </row>
    <row r="6095" spans="1:5">
      <c r="A6095">
        <v>91113</v>
      </c>
      <c r="B6095">
        <v>1900</v>
      </c>
      <c r="C6095" s="455">
        <v>5.5970000000000004</v>
      </c>
      <c r="D6095" s="637">
        <f t="shared" si="204"/>
        <v>13.526083333333338</v>
      </c>
      <c r="E6095" s="637">
        <f t="shared" si="205"/>
        <v>18.789928571428582</v>
      </c>
    </row>
    <row r="6096" spans="1:5">
      <c r="A6096">
        <v>91113</v>
      </c>
      <c r="B6096">
        <v>2000</v>
      </c>
      <c r="C6096" s="455">
        <v>10.186999999999999</v>
      </c>
      <c r="D6096" s="637">
        <f t="shared" si="204"/>
        <v>24.618583333333341</v>
      </c>
      <c r="E6096" s="637">
        <f t="shared" si="205"/>
        <v>34.199214285714305</v>
      </c>
    </row>
    <row r="6097" spans="1:5">
      <c r="A6097">
        <v>91113</v>
      </c>
      <c r="B6097">
        <v>2100</v>
      </c>
      <c r="C6097" s="455">
        <v>9.9990000000000006</v>
      </c>
      <c r="D6097" s="637">
        <f t="shared" si="204"/>
        <v>24.16425000000001</v>
      </c>
      <c r="E6097" s="637">
        <f t="shared" si="205"/>
        <v>33.56807142857145</v>
      </c>
    </row>
    <row r="6098" spans="1:5">
      <c r="A6098">
        <v>91113</v>
      </c>
      <c r="B6098">
        <v>2200</v>
      </c>
      <c r="C6098" s="455">
        <v>10.257999999999999</v>
      </c>
      <c r="D6098" s="637">
        <f t="shared" si="204"/>
        <v>24.790166666666671</v>
      </c>
      <c r="E6098" s="637">
        <f t="shared" si="205"/>
        <v>34.437571428571445</v>
      </c>
    </row>
    <row r="6099" spans="1:5">
      <c r="A6099">
        <v>91113</v>
      </c>
      <c r="B6099">
        <v>2300</v>
      </c>
      <c r="C6099" s="455">
        <v>9.9710000000000001</v>
      </c>
      <c r="D6099" s="637">
        <f t="shared" si="204"/>
        <v>24.096583333333342</v>
      </c>
      <c r="E6099" s="637">
        <f t="shared" si="205"/>
        <v>33.474071428571449</v>
      </c>
    </row>
    <row r="6100" spans="1:5">
      <c r="A6100">
        <v>91113</v>
      </c>
      <c r="B6100">
        <v>2400</v>
      </c>
      <c r="C6100" s="455">
        <v>10.298</v>
      </c>
      <c r="D6100" s="637">
        <f t="shared" si="204"/>
        <v>24.886833333333339</v>
      </c>
      <c r="E6100" s="637">
        <f t="shared" si="205"/>
        <v>34.571857142857162</v>
      </c>
    </row>
    <row r="6101" spans="1:5">
      <c r="A6101">
        <v>91213</v>
      </c>
      <c r="B6101">
        <v>100</v>
      </c>
      <c r="C6101" s="455">
        <v>10.052</v>
      </c>
      <c r="D6101" s="637">
        <f t="shared" si="204"/>
        <v>24.292333333333339</v>
      </c>
      <c r="E6101" s="637">
        <f t="shared" si="205"/>
        <v>33.746000000000016</v>
      </c>
    </row>
    <row r="6102" spans="1:5">
      <c r="A6102">
        <v>91213</v>
      </c>
      <c r="B6102">
        <v>200</v>
      </c>
      <c r="C6102" s="455">
        <v>10.061</v>
      </c>
      <c r="D6102" s="637">
        <f t="shared" si="204"/>
        <v>24.31408333333334</v>
      </c>
      <c r="E6102" s="637">
        <f t="shared" si="205"/>
        <v>33.776214285714303</v>
      </c>
    </row>
    <row r="6103" spans="1:5">
      <c r="A6103">
        <v>91213</v>
      </c>
      <c r="B6103">
        <v>300</v>
      </c>
      <c r="C6103" s="455">
        <v>10.47</v>
      </c>
      <c r="D6103" s="637">
        <f t="shared" si="204"/>
        <v>25.302500000000009</v>
      </c>
      <c r="E6103" s="637">
        <f t="shared" si="205"/>
        <v>35.149285714285732</v>
      </c>
    </row>
    <row r="6104" spans="1:5">
      <c r="A6104">
        <v>91213</v>
      </c>
      <c r="B6104">
        <v>400</v>
      </c>
      <c r="C6104" s="455">
        <v>10.125</v>
      </c>
      <c r="D6104" s="637">
        <f t="shared" si="204"/>
        <v>24.468750000000007</v>
      </c>
      <c r="E6104" s="637">
        <f t="shared" si="205"/>
        <v>33.991071428571445</v>
      </c>
    </row>
    <row r="6105" spans="1:5">
      <c r="A6105">
        <v>91213</v>
      </c>
      <c r="B6105">
        <v>500</v>
      </c>
      <c r="C6105" s="455">
        <v>10.089</v>
      </c>
      <c r="D6105" s="637">
        <f t="shared" si="204"/>
        <v>24.381750000000007</v>
      </c>
      <c r="E6105" s="637">
        <f t="shared" si="205"/>
        <v>33.870214285714304</v>
      </c>
    </row>
    <row r="6106" spans="1:5">
      <c r="A6106">
        <v>91213</v>
      </c>
      <c r="B6106">
        <v>600</v>
      </c>
      <c r="C6106" s="455">
        <v>10.029999999999999</v>
      </c>
      <c r="D6106" s="637">
        <f t="shared" si="204"/>
        <v>24.239166666666669</v>
      </c>
      <c r="E6106" s="637">
        <f t="shared" si="205"/>
        <v>33.672142857142873</v>
      </c>
    </row>
    <row r="6107" spans="1:5">
      <c r="A6107">
        <v>91213</v>
      </c>
      <c r="B6107">
        <v>700</v>
      </c>
      <c r="C6107" s="455">
        <v>4.032</v>
      </c>
      <c r="D6107" s="637">
        <f t="shared" si="204"/>
        <v>9.7440000000000033</v>
      </c>
      <c r="E6107" s="637">
        <f t="shared" si="205"/>
        <v>13.536000000000007</v>
      </c>
    </row>
    <row r="6108" spans="1:5">
      <c r="A6108">
        <v>91213</v>
      </c>
      <c r="B6108">
        <v>800</v>
      </c>
      <c r="C6108" s="455">
        <v>1E-3</v>
      </c>
      <c r="D6108" s="637">
        <f t="shared" si="204"/>
        <v>2.4166666666666672E-3</v>
      </c>
      <c r="E6108" s="637">
        <f t="shared" si="205"/>
        <v>3.3571428571428589E-3</v>
      </c>
    </row>
    <row r="6109" spans="1:5">
      <c r="A6109">
        <v>91213</v>
      </c>
      <c r="B6109">
        <v>900</v>
      </c>
      <c r="C6109" s="455">
        <v>1E-3</v>
      </c>
      <c r="D6109" s="637">
        <f t="shared" si="204"/>
        <v>2.4166666666666672E-3</v>
      </c>
      <c r="E6109" s="637">
        <f t="shared" si="205"/>
        <v>3.3571428571428589E-3</v>
      </c>
    </row>
    <row r="6110" spans="1:5">
      <c r="A6110">
        <v>91213</v>
      </c>
      <c r="B6110">
        <v>1000</v>
      </c>
      <c r="C6110" s="455">
        <v>0</v>
      </c>
      <c r="D6110" s="637">
        <f t="shared" si="204"/>
        <v>0</v>
      </c>
      <c r="E6110" s="637">
        <f t="shared" si="205"/>
        <v>0</v>
      </c>
    </row>
    <row r="6111" spans="1:5">
      <c r="A6111">
        <v>91213</v>
      </c>
      <c r="B6111">
        <v>1100</v>
      </c>
      <c r="C6111" s="455">
        <v>0</v>
      </c>
      <c r="D6111" s="637">
        <f t="shared" si="204"/>
        <v>0</v>
      </c>
      <c r="E6111" s="637">
        <f t="shared" si="205"/>
        <v>0</v>
      </c>
    </row>
    <row r="6112" spans="1:5">
      <c r="A6112">
        <v>91213</v>
      </c>
      <c r="B6112">
        <v>1200</v>
      </c>
      <c r="C6112" s="455">
        <v>0</v>
      </c>
      <c r="D6112" s="637">
        <f t="shared" si="204"/>
        <v>0</v>
      </c>
      <c r="E6112" s="637">
        <f t="shared" si="205"/>
        <v>0</v>
      </c>
    </row>
    <row r="6113" spans="1:5">
      <c r="A6113">
        <v>91213</v>
      </c>
      <c r="B6113">
        <v>1300</v>
      </c>
      <c r="C6113" s="455">
        <v>0</v>
      </c>
      <c r="D6113" s="637">
        <f t="shared" si="204"/>
        <v>0</v>
      </c>
      <c r="E6113" s="637">
        <f t="shared" si="205"/>
        <v>0</v>
      </c>
    </row>
    <row r="6114" spans="1:5">
      <c r="A6114">
        <v>91213</v>
      </c>
      <c r="B6114">
        <v>1400</v>
      </c>
      <c r="C6114" s="455">
        <v>0</v>
      </c>
      <c r="D6114" s="637">
        <f t="shared" si="204"/>
        <v>0</v>
      </c>
      <c r="E6114" s="637">
        <f t="shared" si="205"/>
        <v>0</v>
      </c>
    </row>
    <row r="6115" spans="1:5">
      <c r="A6115">
        <v>91213</v>
      </c>
      <c r="B6115">
        <v>1500</v>
      </c>
      <c r="C6115" s="455">
        <v>0</v>
      </c>
      <c r="D6115" s="637">
        <f t="shared" si="204"/>
        <v>0</v>
      </c>
      <c r="E6115" s="637">
        <f t="shared" si="205"/>
        <v>0</v>
      </c>
    </row>
    <row r="6116" spans="1:5">
      <c r="A6116">
        <v>91213</v>
      </c>
      <c r="B6116">
        <v>1600</v>
      </c>
      <c r="C6116" s="455">
        <v>0</v>
      </c>
      <c r="D6116" s="637">
        <f t="shared" si="204"/>
        <v>0</v>
      </c>
      <c r="E6116" s="637">
        <f t="shared" si="205"/>
        <v>0</v>
      </c>
    </row>
    <row r="6117" spans="1:5">
      <c r="A6117">
        <v>91213</v>
      </c>
      <c r="B6117">
        <v>1700</v>
      </c>
      <c r="C6117" s="455">
        <v>0</v>
      </c>
      <c r="D6117" s="637">
        <f t="shared" si="204"/>
        <v>0</v>
      </c>
      <c r="E6117" s="637">
        <f t="shared" si="205"/>
        <v>0</v>
      </c>
    </row>
    <row r="6118" spans="1:5">
      <c r="A6118">
        <v>91213</v>
      </c>
      <c r="B6118">
        <v>1800</v>
      </c>
      <c r="C6118" s="455">
        <v>0</v>
      </c>
      <c r="D6118" s="637">
        <f t="shared" si="204"/>
        <v>0</v>
      </c>
      <c r="E6118" s="637">
        <f t="shared" si="205"/>
        <v>0</v>
      </c>
    </row>
    <row r="6119" spans="1:5">
      <c r="A6119">
        <v>91213</v>
      </c>
      <c r="B6119">
        <v>1900</v>
      </c>
      <c r="C6119" s="455">
        <v>6.4240000000000004</v>
      </c>
      <c r="D6119" s="637">
        <f t="shared" si="204"/>
        <v>15.524666666666672</v>
      </c>
      <c r="E6119" s="637">
        <f t="shared" si="205"/>
        <v>21.566285714285726</v>
      </c>
    </row>
    <row r="6120" spans="1:5">
      <c r="A6120">
        <v>91213</v>
      </c>
      <c r="B6120">
        <v>2000</v>
      </c>
      <c r="C6120" s="455">
        <v>9.8840000000000003</v>
      </c>
      <c r="D6120" s="637">
        <f t="shared" si="204"/>
        <v>23.886333333333344</v>
      </c>
      <c r="E6120" s="637">
        <f t="shared" si="205"/>
        <v>33.182000000000023</v>
      </c>
    </row>
    <row r="6121" spans="1:5">
      <c r="A6121">
        <v>91213</v>
      </c>
      <c r="B6121">
        <v>2100</v>
      </c>
      <c r="C6121" s="455">
        <v>9.891</v>
      </c>
      <c r="D6121" s="637">
        <f t="shared" si="204"/>
        <v>23.903250000000007</v>
      </c>
      <c r="E6121" s="637">
        <f t="shared" si="205"/>
        <v>33.205500000000015</v>
      </c>
    </row>
    <row r="6122" spans="1:5">
      <c r="A6122">
        <v>91213</v>
      </c>
      <c r="B6122">
        <v>2200</v>
      </c>
      <c r="C6122" s="455">
        <v>10.044</v>
      </c>
      <c r="D6122" s="637">
        <f t="shared" si="204"/>
        <v>24.273000000000007</v>
      </c>
      <c r="E6122" s="637">
        <f t="shared" si="205"/>
        <v>33.719142857142877</v>
      </c>
    </row>
    <row r="6123" spans="1:5">
      <c r="A6123">
        <v>91213</v>
      </c>
      <c r="B6123">
        <v>2300</v>
      </c>
      <c r="C6123" s="455">
        <v>10.192</v>
      </c>
      <c r="D6123" s="637">
        <f t="shared" si="204"/>
        <v>24.630666666666674</v>
      </c>
      <c r="E6123" s="637">
        <f t="shared" si="205"/>
        <v>34.216000000000015</v>
      </c>
    </row>
    <row r="6124" spans="1:5">
      <c r="A6124">
        <v>91213</v>
      </c>
      <c r="B6124">
        <v>2400</v>
      </c>
      <c r="C6124" s="455">
        <v>10.148999999999999</v>
      </c>
      <c r="D6124" s="637">
        <f t="shared" si="204"/>
        <v>24.526750000000003</v>
      </c>
      <c r="E6124" s="637">
        <f t="shared" si="205"/>
        <v>34.071642857142869</v>
      </c>
    </row>
    <row r="6125" spans="1:5">
      <c r="A6125">
        <v>91313</v>
      </c>
      <c r="B6125">
        <v>100</v>
      </c>
      <c r="C6125" s="455">
        <v>9.9450000000000003</v>
      </c>
      <c r="D6125" s="637">
        <f t="shared" si="204"/>
        <v>24.033750000000008</v>
      </c>
      <c r="E6125" s="637">
        <f t="shared" si="205"/>
        <v>33.386785714285736</v>
      </c>
    </row>
    <row r="6126" spans="1:5">
      <c r="A6126">
        <v>91313</v>
      </c>
      <c r="B6126">
        <v>200</v>
      </c>
      <c r="C6126" s="455">
        <v>9.8919999999999995</v>
      </c>
      <c r="D6126" s="637">
        <f t="shared" si="204"/>
        <v>23.905666666666672</v>
      </c>
      <c r="E6126" s="637">
        <f t="shared" si="205"/>
        <v>33.208857142857156</v>
      </c>
    </row>
    <row r="6127" spans="1:5">
      <c r="A6127">
        <v>91313</v>
      </c>
      <c r="B6127">
        <v>300</v>
      </c>
      <c r="C6127" s="455">
        <v>9.8740000000000006</v>
      </c>
      <c r="D6127" s="637">
        <f t="shared" si="204"/>
        <v>23.862166666666674</v>
      </c>
      <c r="E6127" s="637">
        <f t="shared" si="205"/>
        <v>33.148428571428589</v>
      </c>
    </row>
    <row r="6128" spans="1:5">
      <c r="A6128">
        <v>91313</v>
      </c>
      <c r="B6128">
        <v>400</v>
      </c>
      <c r="C6128" s="455">
        <v>10.048</v>
      </c>
      <c r="D6128" s="637">
        <f t="shared" si="204"/>
        <v>24.282666666666675</v>
      </c>
      <c r="E6128" s="637">
        <f t="shared" si="205"/>
        <v>33.732571428571447</v>
      </c>
    </row>
    <row r="6129" spans="1:5">
      <c r="A6129">
        <v>91313</v>
      </c>
      <c r="B6129">
        <v>500</v>
      </c>
      <c r="C6129" s="455">
        <v>10.02</v>
      </c>
      <c r="D6129" s="637">
        <f t="shared" si="204"/>
        <v>24.215000000000003</v>
      </c>
      <c r="E6129" s="637">
        <f t="shared" si="205"/>
        <v>33.638571428571446</v>
      </c>
    </row>
    <row r="6130" spans="1:5">
      <c r="A6130">
        <v>91313</v>
      </c>
      <c r="B6130">
        <v>600</v>
      </c>
      <c r="C6130" s="455">
        <v>10.96</v>
      </c>
      <c r="D6130" s="637">
        <f t="shared" si="204"/>
        <v>26.486666666666675</v>
      </c>
      <c r="E6130" s="637">
        <f t="shared" si="205"/>
        <v>36.794285714285735</v>
      </c>
    </row>
    <row r="6131" spans="1:5">
      <c r="A6131">
        <v>91313</v>
      </c>
      <c r="B6131">
        <v>700</v>
      </c>
      <c r="C6131" s="455">
        <v>3.1539999999999999</v>
      </c>
      <c r="D6131" s="637">
        <f t="shared" si="204"/>
        <v>7.6221666666666676</v>
      </c>
      <c r="E6131" s="637">
        <f t="shared" si="205"/>
        <v>10.588428571428576</v>
      </c>
    </row>
    <row r="6132" spans="1:5">
      <c r="A6132">
        <v>91313</v>
      </c>
      <c r="B6132">
        <v>800</v>
      </c>
      <c r="C6132" s="455">
        <v>1E-3</v>
      </c>
      <c r="D6132" s="637">
        <f t="shared" si="204"/>
        <v>2.4166666666666672E-3</v>
      </c>
      <c r="E6132" s="637">
        <f t="shared" si="205"/>
        <v>3.3571428571428589E-3</v>
      </c>
    </row>
    <row r="6133" spans="1:5">
      <c r="A6133">
        <v>91313</v>
      </c>
      <c r="B6133">
        <v>900</v>
      </c>
      <c r="C6133" s="455">
        <v>0</v>
      </c>
      <c r="D6133" s="637">
        <f t="shared" si="204"/>
        <v>0</v>
      </c>
      <c r="E6133" s="637">
        <f t="shared" si="205"/>
        <v>0</v>
      </c>
    </row>
    <row r="6134" spans="1:5">
      <c r="A6134">
        <v>91313</v>
      </c>
      <c r="B6134">
        <v>1000</v>
      </c>
      <c r="C6134" s="455">
        <v>0</v>
      </c>
      <c r="D6134" s="637">
        <f t="shared" si="204"/>
        <v>0</v>
      </c>
      <c r="E6134" s="637">
        <f t="shared" si="205"/>
        <v>0</v>
      </c>
    </row>
    <row r="6135" spans="1:5">
      <c r="A6135">
        <v>91313</v>
      </c>
      <c r="B6135">
        <v>1100</v>
      </c>
      <c r="C6135" s="455">
        <v>0</v>
      </c>
      <c r="D6135" s="637">
        <f t="shared" si="204"/>
        <v>0</v>
      </c>
      <c r="E6135" s="637">
        <f t="shared" si="205"/>
        <v>0</v>
      </c>
    </row>
    <row r="6136" spans="1:5">
      <c r="A6136">
        <v>91313</v>
      </c>
      <c r="B6136">
        <v>1200</v>
      </c>
      <c r="C6136" s="455">
        <v>0</v>
      </c>
      <c r="D6136" s="637">
        <f t="shared" si="204"/>
        <v>0</v>
      </c>
      <c r="E6136" s="637">
        <f t="shared" si="205"/>
        <v>0</v>
      </c>
    </row>
    <row r="6137" spans="1:5">
      <c r="A6137">
        <v>91313</v>
      </c>
      <c r="B6137">
        <v>1300</v>
      </c>
      <c r="C6137" s="455">
        <v>0</v>
      </c>
      <c r="D6137" s="637">
        <f t="shared" si="204"/>
        <v>0</v>
      </c>
      <c r="E6137" s="637">
        <f t="shared" si="205"/>
        <v>0</v>
      </c>
    </row>
    <row r="6138" spans="1:5">
      <c r="A6138">
        <v>91313</v>
      </c>
      <c r="B6138">
        <v>1400</v>
      </c>
      <c r="C6138" s="455">
        <v>0</v>
      </c>
      <c r="D6138" s="637">
        <f t="shared" si="204"/>
        <v>0</v>
      </c>
      <c r="E6138" s="637">
        <f t="shared" si="205"/>
        <v>0</v>
      </c>
    </row>
    <row r="6139" spans="1:5">
      <c r="A6139">
        <v>91313</v>
      </c>
      <c r="B6139">
        <v>1500</v>
      </c>
      <c r="C6139" s="455">
        <v>0</v>
      </c>
      <c r="D6139" s="637">
        <f t="shared" si="204"/>
        <v>0</v>
      </c>
      <c r="E6139" s="637">
        <f t="shared" si="205"/>
        <v>0</v>
      </c>
    </row>
    <row r="6140" spans="1:5">
      <c r="A6140">
        <v>91313</v>
      </c>
      <c r="B6140">
        <v>1600</v>
      </c>
      <c r="C6140" s="455">
        <v>0</v>
      </c>
      <c r="D6140" s="637">
        <f t="shared" si="204"/>
        <v>0</v>
      </c>
      <c r="E6140" s="637">
        <f t="shared" si="205"/>
        <v>0</v>
      </c>
    </row>
    <row r="6141" spans="1:5">
      <c r="A6141">
        <v>91313</v>
      </c>
      <c r="B6141">
        <v>1700</v>
      </c>
      <c r="C6141" s="455">
        <v>0</v>
      </c>
      <c r="D6141" s="637">
        <f t="shared" si="204"/>
        <v>0</v>
      </c>
      <c r="E6141" s="637">
        <f t="shared" si="205"/>
        <v>0</v>
      </c>
    </row>
    <row r="6142" spans="1:5">
      <c r="A6142">
        <v>91313</v>
      </c>
      <c r="B6142">
        <v>1800</v>
      </c>
      <c r="C6142" s="455">
        <v>2.1000000000000001E-2</v>
      </c>
      <c r="D6142" s="637">
        <f t="shared" si="204"/>
        <v>5.0750000000000017E-2</v>
      </c>
      <c r="E6142" s="637">
        <f t="shared" si="205"/>
        <v>7.0500000000000049E-2</v>
      </c>
    </row>
    <row r="6143" spans="1:5">
      <c r="A6143">
        <v>91313</v>
      </c>
      <c r="B6143">
        <v>1900</v>
      </c>
      <c r="C6143" s="455">
        <v>9.1549999999999994</v>
      </c>
      <c r="D6143" s="637">
        <f t="shared" si="204"/>
        <v>22.124583333333337</v>
      </c>
      <c r="E6143" s="637">
        <f t="shared" si="205"/>
        <v>30.73464285714287</v>
      </c>
    </row>
    <row r="6144" spans="1:5">
      <c r="A6144">
        <v>91313</v>
      </c>
      <c r="B6144">
        <v>2000</v>
      </c>
      <c r="C6144" s="455">
        <v>10.461</v>
      </c>
      <c r="D6144" s="637">
        <f t="shared" si="204"/>
        <v>25.280750000000008</v>
      </c>
      <c r="E6144" s="637">
        <f t="shared" si="205"/>
        <v>35.119071428571445</v>
      </c>
    </row>
    <row r="6145" spans="1:5">
      <c r="A6145">
        <v>91313</v>
      </c>
      <c r="B6145">
        <v>2100</v>
      </c>
      <c r="C6145" s="455">
        <v>10.894</v>
      </c>
      <c r="D6145" s="637">
        <f t="shared" si="204"/>
        <v>26.327166666666674</v>
      </c>
      <c r="E6145" s="637">
        <f t="shared" si="205"/>
        <v>36.572714285714305</v>
      </c>
    </row>
    <row r="6146" spans="1:5">
      <c r="A6146">
        <v>91313</v>
      </c>
      <c r="B6146">
        <v>2200</v>
      </c>
      <c r="C6146" s="455">
        <v>10.661</v>
      </c>
      <c r="D6146" s="637">
        <f t="shared" si="204"/>
        <v>25.764083333333339</v>
      </c>
      <c r="E6146" s="637">
        <f t="shared" si="205"/>
        <v>35.790500000000016</v>
      </c>
    </row>
    <row r="6147" spans="1:5">
      <c r="A6147">
        <v>91313</v>
      </c>
      <c r="B6147">
        <v>2300</v>
      </c>
      <c r="C6147" s="455">
        <v>10.698</v>
      </c>
      <c r="D6147" s="637">
        <f t="shared" si="204"/>
        <v>25.853500000000007</v>
      </c>
      <c r="E6147" s="637">
        <f t="shared" si="205"/>
        <v>35.914714285714304</v>
      </c>
    </row>
    <row r="6148" spans="1:5">
      <c r="A6148">
        <v>91313</v>
      </c>
      <c r="B6148">
        <v>2400</v>
      </c>
      <c r="C6148" s="455">
        <v>10.336</v>
      </c>
      <c r="D6148" s="637">
        <f t="shared" si="204"/>
        <v>24.978666666666676</v>
      </c>
      <c r="E6148" s="637">
        <f t="shared" si="205"/>
        <v>34.699428571428591</v>
      </c>
    </row>
    <row r="6149" spans="1:5">
      <c r="A6149">
        <v>91413</v>
      </c>
      <c r="B6149">
        <v>100</v>
      </c>
      <c r="C6149" s="455">
        <v>10.632999999999999</v>
      </c>
      <c r="D6149" s="637">
        <f t="shared" si="204"/>
        <v>25.696416666666671</v>
      </c>
      <c r="E6149" s="637">
        <f t="shared" si="205"/>
        <v>35.696500000000015</v>
      </c>
    </row>
    <row r="6150" spans="1:5">
      <c r="A6150">
        <v>91413</v>
      </c>
      <c r="B6150">
        <v>200</v>
      </c>
      <c r="C6150" s="455">
        <v>11.086</v>
      </c>
      <c r="D6150" s="637">
        <f t="shared" si="204"/>
        <v>26.791166666666673</v>
      </c>
      <c r="E6150" s="637">
        <f t="shared" si="205"/>
        <v>37.21728571428573</v>
      </c>
    </row>
    <row r="6151" spans="1:5">
      <c r="A6151">
        <v>91413</v>
      </c>
      <c r="B6151">
        <v>300</v>
      </c>
      <c r="C6151" s="455">
        <v>11.218</v>
      </c>
      <c r="D6151" s="637">
        <f t="shared" si="204"/>
        <v>27.110166666666672</v>
      </c>
      <c r="E6151" s="637">
        <f t="shared" si="205"/>
        <v>37.660428571428589</v>
      </c>
    </row>
    <row r="6152" spans="1:5">
      <c r="A6152">
        <v>91413</v>
      </c>
      <c r="B6152">
        <v>400</v>
      </c>
      <c r="C6152" s="455">
        <v>11.065</v>
      </c>
      <c r="D6152" s="637">
        <f t="shared" si="204"/>
        <v>26.740416666666672</v>
      </c>
      <c r="E6152" s="637">
        <f t="shared" si="205"/>
        <v>37.146785714285734</v>
      </c>
    </row>
    <row r="6153" spans="1:5">
      <c r="A6153">
        <v>91413</v>
      </c>
      <c r="B6153">
        <v>500</v>
      </c>
      <c r="C6153" s="455">
        <v>10.808999999999999</v>
      </c>
      <c r="D6153" s="637">
        <f t="shared" si="204"/>
        <v>26.121750000000006</v>
      </c>
      <c r="E6153" s="637">
        <f t="shared" si="205"/>
        <v>36.287357142857161</v>
      </c>
    </row>
    <row r="6154" spans="1:5">
      <c r="A6154">
        <v>91413</v>
      </c>
      <c r="B6154">
        <v>600</v>
      </c>
      <c r="C6154" s="455">
        <v>11.582000000000001</v>
      </c>
      <c r="D6154" s="637">
        <f t="shared" si="204"/>
        <v>27.989833333333344</v>
      </c>
      <c r="E6154" s="637">
        <f t="shared" si="205"/>
        <v>38.882428571428598</v>
      </c>
    </row>
    <row r="6155" spans="1:5">
      <c r="A6155">
        <v>91413</v>
      </c>
      <c r="B6155">
        <v>700</v>
      </c>
      <c r="C6155" s="455">
        <v>1.4350000000000001</v>
      </c>
      <c r="D6155" s="637">
        <f t="shared" si="204"/>
        <v>3.4679166666666674</v>
      </c>
      <c r="E6155" s="637">
        <f t="shared" si="205"/>
        <v>4.8175000000000026</v>
      </c>
    </row>
    <row r="6156" spans="1:5">
      <c r="A6156">
        <v>91413</v>
      </c>
      <c r="B6156">
        <v>800</v>
      </c>
      <c r="C6156" s="455">
        <v>1E-3</v>
      </c>
      <c r="D6156" s="637">
        <f t="shared" si="204"/>
        <v>2.4166666666666672E-3</v>
      </c>
      <c r="E6156" s="637">
        <f t="shared" si="205"/>
        <v>3.3571428571428589E-3</v>
      </c>
    </row>
    <row r="6157" spans="1:5">
      <c r="A6157">
        <v>91413</v>
      </c>
      <c r="B6157">
        <v>900</v>
      </c>
      <c r="C6157" s="455">
        <v>0</v>
      </c>
      <c r="D6157" s="637">
        <f t="shared" si="204"/>
        <v>0</v>
      </c>
      <c r="E6157" s="637">
        <f t="shared" si="205"/>
        <v>0</v>
      </c>
    </row>
    <row r="6158" spans="1:5">
      <c r="A6158">
        <v>91413</v>
      </c>
      <c r="B6158">
        <v>1000</v>
      </c>
      <c r="C6158" s="455">
        <v>0</v>
      </c>
      <c r="D6158" s="637">
        <f t="shared" ref="D6158:D6221" si="206">(C6158/(MAX($C$5837:$C$6556)))*$W$13</f>
        <v>0</v>
      </c>
      <c r="E6158" s="637">
        <f t="shared" ref="E6158:E6221" si="207">(C6158/(MAX($C$5837:$C$6556)))*$P$13</f>
        <v>0</v>
      </c>
    </row>
    <row r="6159" spans="1:5">
      <c r="A6159">
        <v>91413</v>
      </c>
      <c r="B6159">
        <v>1100</v>
      </c>
      <c r="C6159" s="455">
        <v>0</v>
      </c>
      <c r="D6159" s="637">
        <f t="shared" si="206"/>
        <v>0</v>
      </c>
      <c r="E6159" s="637">
        <f t="shared" si="207"/>
        <v>0</v>
      </c>
    </row>
    <row r="6160" spans="1:5">
      <c r="A6160">
        <v>91413</v>
      </c>
      <c r="B6160">
        <v>1200</v>
      </c>
      <c r="C6160" s="455">
        <v>0</v>
      </c>
      <c r="D6160" s="637">
        <f t="shared" si="206"/>
        <v>0</v>
      </c>
      <c r="E6160" s="637">
        <f t="shared" si="207"/>
        <v>0</v>
      </c>
    </row>
    <row r="6161" spans="1:5">
      <c r="A6161">
        <v>91413</v>
      </c>
      <c r="B6161">
        <v>1300</v>
      </c>
      <c r="C6161" s="455">
        <v>0</v>
      </c>
      <c r="D6161" s="637">
        <f t="shared" si="206"/>
        <v>0</v>
      </c>
      <c r="E6161" s="637">
        <f t="shared" si="207"/>
        <v>0</v>
      </c>
    </row>
    <row r="6162" spans="1:5">
      <c r="A6162">
        <v>91413</v>
      </c>
      <c r="B6162">
        <v>1400</v>
      </c>
      <c r="C6162" s="455">
        <v>0</v>
      </c>
      <c r="D6162" s="637">
        <f t="shared" si="206"/>
        <v>0</v>
      </c>
      <c r="E6162" s="637">
        <f t="shared" si="207"/>
        <v>0</v>
      </c>
    </row>
    <row r="6163" spans="1:5">
      <c r="A6163">
        <v>91413</v>
      </c>
      <c r="B6163">
        <v>1500</v>
      </c>
      <c r="C6163" s="455">
        <v>0</v>
      </c>
      <c r="D6163" s="637">
        <f t="shared" si="206"/>
        <v>0</v>
      </c>
      <c r="E6163" s="637">
        <f t="shared" si="207"/>
        <v>0</v>
      </c>
    </row>
    <row r="6164" spans="1:5">
      <c r="A6164">
        <v>91413</v>
      </c>
      <c r="B6164">
        <v>1600</v>
      </c>
      <c r="C6164" s="455">
        <v>0</v>
      </c>
      <c r="D6164" s="637">
        <f t="shared" si="206"/>
        <v>0</v>
      </c>
      <c r="E6164" s="637">
        <f t="shared" si="207"/>
        <v>0</v>
      </c>
    </row>
    <row r="6165" spans="1:5">
      <c r="A6165">
        <v>91413</v>
      </c>
      <c r="B6165">
        <v>1700</v>
      </c>
      <c r="C6165" s="455">
        <v>1.4E-2</v>
      </c>
      <c r="D6165" s="637">
        <f t="shared" si="206"/>
        <v>3.383333333333334E-2</v>
      </c>
      <c r="E6165" s="637">
        <f t="shared" si="207"/>
        <v>4.7000000000000028E-2</v>
      </c>
    </row>
    <row r="6166" spans="1:5">
      <c r="A6166">
        <v>91413</v>
      </c>
      <c r="B6166">
        <v>1800</v>
      </c>
      <c r="C6166" s="455">
        <v>0</v>
      </c>
      <c r="D6166" s="637">
        <f t="shared" si="206"/>
        <v>0</v>
      </c>
      <c r="E6166" s="637">
        <f t="shared" si="207"/>
        <v>0</v>
      </c>
    </row>
    <row r="6167" spans="1:5">
      <c r="A6167">
        <v>91413</v>
      </c>
      <c r="B6167">
        <v>1900</v>
      </c>
      <c r="C6167" s="455">
        <v>7.3159999999999998</v>
      </c>
      <c r="D6167" s="637">
        <f t="shared" si="206"/>
        <v>17.680333333333337</v>
      </c>
      <c r="E6167" s="637">
        <f t="shared" si="207"/>
        <v>24.560857142857156</v>
      </c>
    </row>
    <row r="6168" spans="1:5">
      <c r="A6168">
        <v>91413</v>
      </c>
      <c r="B6168">
        <v>2000</v>
      </c>
      <c r="C6168" s="455">
        <v>9.9380000000000006</v>
      </c>
      <c r="D6168" s="637">
        <f t="shared" si="206"/>
        <v>24.016833333333341</v>
      </c>
      <c r="E6168" s="637">
        <f t="shared" si="207"/>
        <v>33.363285714285738</v>
      </c>
    </row>
    <row r="6169" spans="1:5">
      <c r="A6169">
        <v>91413</v>
      </c>
      <c r="B6169">
        <v>2100</v>
      </c>
      <c r="C6169" s="455">
        <v>10.162000000000001</v>
      </c>
      <c r="D6169" s="637">
        <f t="shared" si="206"/>
        <v>24.558166666666672</v>
      </c>
      <c r="E6169" s="637">
        <f t="shared" si="207"/>
        <v>34.115285714285733</v>
      </c>
    </row>
    <row r="6170" spans="1:5">
      <c r="A6170">
        <v>91413</v>
      </c>
      <c r="B6170">
        <v>2200</v>
      </c>
      <c r="C6170" s="455">
        <v>10.134</v>
      </c>
      <c r="D6170" s="637">
        <f t="shared" si="206"/>
        <v>24.490500000000008</v>
      </c>
      <c r="E6170" s="637">
        <f t="shared" si="207"/>
        <v>34.021285714285732</v>
      </c>
    </row>
    <row r="6171" spans="1:5">
      <c r="A6171">
        <v>91413</v>
      </c>
      <c r="B6171">
        <v>2300</v>
      </c>
      <c r="C6171" s="455">
        <v>9.9079999999999995</v>
      </c>
      <c r="D6171" s="637">
        <f t="shared" si="206"/>
        <v>23.94433333333334</v>
      </c>
      <c r="E6171" s="637">
        <f t="shared" si="207"/>
        <v>33.262571428571441</v>
      </c>
    </row>
    <row r="6172" spans="1:5">
      <c r="A6172">
        <v>91413</v>
      </c>
      <c r="B6172">
        <v>2400</v>
      </c>
      <c r="C6172" s="455">
        <v>9.9480000000000004</v>
      </c>
      <c r="D6172" s="637">
        <f t="shared" si="206"/>
        <v>24.041000000000007</v>
      </c>
      <c r="E6172" s="637">
        <f t="shared" si="207"/>
        <v>33.396857142857165</v>
      </c>
    </row>
    <row r="6173" spans="1:5">
      <c r="A6173">
        <v>91513</v>
      </c>
      <c r="B6173">
        <v>100</v>
      </c>
      <c r="C6173" s="455">
        <v>9.9540000000000006</v>
      </c>
      <c r="D6173" s="637">
        <f t="shared" si="206"/>
        <v>24.055500000000009</v>
      </c>
      <c r="E6173" s="637">
        <f t="shared" si="207"/>
        <v>33.417000000000023</v>
      </c>
    </row>
    <row r="6174" spans="1:5">
      <c r="A6174">
        <v>91513</v>
      </c>
      <c r="B6174">
        <v>200</v>
      </c>
      <c r="C6174" s="455">
        <v>10.172000000000001</v>
      </c>
      <c r="D6174" s="637">
        <f t="shared" si="206"/>
        <v>24.582333333333342</v>
      </c>
      <c r="E6174" s="637">
        <f t="shared" si="207"/>
        <v>34.14885714285716</v>
      </c>
    </row>
    <row r="6175" spans="1:5">
      <c r="A6175">
        <v>91513</v>
      </c>
      <c r="B6175">
        <v>300</v>
      </c>
      <c r="C6175" s="455">
        <v>10.552</v>
      </c>
      <c r="D6175" s="637">
        <f t="shared" si="206"/>
        <v>25.500666666666675</v>
      </c>
      <c r="E6175" s="637">
        <f t="shared" si="207"/>
        <v>35.424571428571447</v>
      </c>
    </row>
    <row r="6176" spans="1:5">
      <c r="A6176">
        <v>91513</v>
      </c>
      <c r="B6176">
        <v>400</v>
      </c>
      <c r="C6176" s="455">
        <v>10.173</v>
      </c>
      <c r="D6176" s="637">
        <f t="shared" si="206"/>
        <v>24.584750000000007</v>
      </c>
      <c r="E6176" s="637">
        <f t="shared" si="207"/>
        <v>34.152214285714301</v>
      </c>
    </row>
    <row r="6177" spans="1:5">
      <c r="A6177">
        <v>91513</v>
      </c>
      <c r="B6177">
        <v>500</v>
      </c>
      <c r="C6177" s="455">
        <v>10.243</v>
      </c>
      <c r="D6177" s="637">
        <f t="shared" si="206"/>
        <v>24.753916666666672</v>
      </c>
      <c r="E6177" s="637">
        <f t="shared" si="207"/>
        <v>34.3872142857143</v>
      </c>
    </row>
    <row r="6178" spans="1:5">
      <c r="A6178">
        <v>91513</v>
      </c>
      <c r="B6178">
        <v>600</v>
      </c>
      <c r="C6178" s="455">
        <v>10.91</v>
      </c>
      <c r="D6178" s="637">
        <f t="shared" si="206"/>
        <v>26.365833333333342</v>
      </c>
      <c r="E6178" s="637">
        <f t="shared" si="207"/>
        <v>36.62642857142859</v>
      </c>
    </row>
    <row r="6179" spans="1:5">
      <c r="A6179">
        <v>91513</v>
      </c>
      <c r="B6179">
        <v>700</v>
      </c>
      <c r="C6179" s="455">
        <v>2.39</v>
      </c>
      <c r="D6179" s="637">
        <f t="shared" si="206"/>
        <v>5.7758333333333356</v>
      </c>
      <c r="E6179" s="637">
        <f t="shared" si="207"/>
        <v>8.023571428571433</v>
      </c>
    </row>
    <row r="6180" spans="1:5">
      <c r="A6180">
        <v>91513</v>
      </c>
      <c r="B6180">
        <v>800</v>
      </c>
      <c r="C6180" s="455">
        <v>0</v>
      </c>
      <c r="D6180" s="637">
        <f t="shared" si="206"/>
        <v>0</v>
      </c>
      <c r="E6180" s="637">
        <f t="shared" si="207"/>
        <v>0</v>
      </c>
    </row>
    <row r="6181" spans="1:5">
      <c r="A6181">
        <v>91513</v>
      </c>
      <c r="B6181">
        <v>900</v>
      </c>
      <c r="C6181" s="455">
        <v>0</v>
      </c>
      <c r="D6181" s="637">
        <f t="shared" si="206"/>
        <v>0</v>
      </c>
      <c r="E6181" s="637">
        <f t="shared" si="207"/>
        <v>0</v>
      </c>
    </row>
    <row r="6182" spans="1:5">
      <c r="A6182">
        <v>91513</v>
      </c>
      <c r="B6182">
        <v>1000</v>
      </c>
      <c r="C6182" s="455">
        <v>8.9999999999999993E-3</v>
      </c>
      <c r="D6182" s="637">
        <f t="shared" si="206"/>
        <v>2.1750000000000002E-2</v>
      </c>
      <c r="E6182" s="637">
        <f t="shared" si="207"/>
        <v>3.0214285714285725E-2</v>
      </c>
    </row>
    <row r="6183" spans="1:5">
      <c r="A6183">
        <v>91513</v>
      </c>
      <c r="B6183">
        <v>1100</v>
      </c>
      <c r="C6183" s="455">
        <v>0</v>
      </c>
      <c r="D6183" s="637">
        <f t="shared" si="206"/>
        <v>0</v>
      </c>
      <c r="E6183" s="637">
        <f t="shared" si="207"/>
        <v>0</v>
      </c>
    </row>
    <row r="6184" spans="1:5">
      <c r="A6184">
        <v>91513</v>
      </c>
      <c r="B6184">
        <v>1200</v>
      </c>
      <c r="C6184" s="455">
        <v>0</v>
      </c>
      <c r="D6184" s="637">
        <f t="shared" si="206"/>
        <v>0</v>
      </c>
      <c r="E6184" s="637">
        <f t="shared" si="207"/>
        <v>0</v>
      </c>
    </row>
    <row r="6185" spans="1:5">
      <c r="A6185">
        <v>91513</v>
      </c>
      <c r="B6185">
        <v>1300</v>
      </c>
      <c r="C6185" s="455">
        <v>0</v>
      </c>
      <c r="D6185" s="637">
        <f t="shared" si="206"/>
        <v>0</v>
      </c>
      <c r="E6185" s="637">
        <f t="shared" si="207"/>
        <v>0</v>
      </c>
    </row>
    <row r="6186" spans="1:5">
      <c r="A6186">
        <v>91513</v>
      </c>
      <c r="B6186">
        <v>1400</v>
      </c>
      <c r="C6186" s="455">
        <v>0</v>
      </c>
      <c r="D6186" s="637">
        <f t="shared" si="206"/>
        <v>0</v>
      </c>
      <c r="E6186" s="637">
        <f t="shared" si="207"/>
        <v>0</v>
      </c>
    </row>
    <row r="6187" spans="1:5">
      <c r="A6187">
        <v>91513</v>
      </c>
      <c r="B6187">
        <v>1500</v>
      </c>
      <c r="C6187" s="455">
        <v>0</v>
      </c>
      <c r="D6187" s="637">
        <f t="shared" si="206"/>
        <v>0</v>
      </c>
      <c r="E6187" s="637">
        <f t="shared" si="207"/>
        <v>0</v>
      </c>
    </row>
    <row r="6188" spans="1:5">
      <c r="A6188">
        <v>91513</v>
      </c>
      <c r="B6188">
        <v>1600</v>
      </c>
      <c r="C6188" s="455">
        <v>0</v>
      </c>
      <c r="D6188" s="637">
        <f t="shared" si="206"/>
        <v>0</v>
      </c>
      <c r="E6188" s="637">
        <f t="shared" si="207"/>
        <v>0</v>
      </c>
    </row>
    <row r="6189" spans="1:5">
      <c r="A6189">
        <v>91513</v>
      </c>
      <c r="B6189">
        <v>1700</v>
      </c>
      <c r="C6189" s="455">
        <v>4.0000000000000001E-3</v>
      </c>
      <c r="D6189" s="637">
        <f t="shared" si="206"/>
        <v>9.6666666666666689E-3</v>
      </c>
      <c r="E6189" s="637">
        <f t="shared" si="207"/>
        <v>1.3428571428571436E-2</v>
      </c>
    </row>
    <row r="6190" spans="1:5">
      <c r="A6190">
        <v>91513</v>
      </c>
      <c r="B6190">
        <v>1800</v>
      </c>
      <c r="C6190" s="455">
        <v>4.2089999999999996</v>
      </c>
      <c r="D6190" s="637">
        <f t="shared" si="206"/>
        <v>10.171750000000001</v>
      </c>
      <c r="E6190" s="637">
        <f t="shared" si="207"/>
        <v>14.13021428571429</v>
      </c>
    </row>
    <row r="6191" spans="1:5">
      <c r="A6191">
        <v>91513</v>
      </c>
      <c r="B6191">
        <v>1900</v>
      </c>
      <c r="C6191" s="455">
        <v>13.364000000000001</v>
      </c>
      <c r="D6191" s="637">
        <f t="shared" si="206"/>
        <v>32.296333333333344</v>
      </c>
      <c r="E6191" s="637">
        <f t="shared" si="207"/>
        <v>44.864857142857169</v>
      </c>
    </row>
    <row r="6192" spans="1:5">
      <c r="A6192">
        <v>91513</v>
      </c>
      <c r="B6192">
        <v>2000</v>
      </c>
      <c r="C6192" s="455">
        <v>10.093999999999999</v>
      </c>
      <c r="D6192" s="637">
        <f t="shared" si="206"/>
        <v>24.393833333333337</v>
      </c>
      <c r="E6192" s="637">
        <f t="shared" si="207"/>
        <v>33.887000000000015</v>
      </c>
    </row>
    <row r="6193" spans="1:5">
      <c r="A6193">
        <v>91513</v>
      </c>
      <c r="B6193">
        <v>2100</v>
      </c>
      <c r="C6193" s="455">
        <v>10.087</v>
      </c>
      <c r="D6193" s="637">
        <f t="shared" si="206"/>
        <v>24.376916666666673</v>
      </c>
      <c r="E6193" s="637">
        <f t="shared" si="207"/>
        <v>33.863500000000016</v>
      </c>
    </row>
    <row r="6194" spans="1:5">
      <c r="A6194">
        <v>91513</v>
      </c>
      <c r="B6194">
        <v>2200</v>
      </c>
      <c r="C6194" s="455">
        <v>10.182</v>
      </c>
      <c r="D6194" s="637">
        <f t="shared" si="206"/>
        <v>24.606500000000008</v>
      </c>
      <c r="E6194" s="637">
        <f t="shared" si="207"/>
        <v>34.182428571428588</v>
      </c>
    </row>
    <row r="6195" spans="1:5">
      <c r="A6195">
        <v>91513</v>
      </c>
      <c r="B6195">
        <v>2300</v>
      </c>
      <c r="C6195" s="455">
        <v>10.141999999999999</v>
      </c>
      <c r="D6195" s="637">
        <f t="shared" si="206"/>
        <v>24.50983333333334</v>
      </c>
      <c r="E6195" s="637">
        <f t="shared" si="207"/>
        <v>34.048142857142878</v>
      </c>
    </row>
    <row r="6196" spans="1:5">
      <c r="A6196">
        <v>91513</v>
      </c>
      <c r="B6196">
        <v>2400</v>
      </c>
      <c r="C6196" s="455">
        <v>10.206</v>
      </c>
      <c r="D6196" s="637">
        <f t="shared" si="206"/>
        <v>24.664500000000007</v>
      </c>
      <c r="E6196" s="637">
        <f t="shared" si="207"/>
        <v>34.263000000000019</v>
      </c>
    </row>
    <row r="6197" spans="1:5">
      <c r="A6197">
        <v>91613</v>
      </c>
      <c r="B6197">
        <v>100</v>
      </c>
      <c r="C6197" s="455">
        <v>10.130000000000001</v>
      </c>
      <c r="D6197" s="637">
        <f t="shared" si="206"/>
        <v>24.48083333333334</v>
      </c>
      <c r="E6197" s="637">
        <f t="shared" si="207"/>
        <v>34.007857142857162</v>
      </c>
    </row>
    <row r="6198" spans="1:5">
      <c r="A6198">
        <v>91613</v>
      </c>
      <c r="B6198">
        <v>200</v>
      </c>
      <c r="C6198" s="455">
        <v>9.9489999999999998</v>
      </c>
      <c r="D6198" s="637">
        <f t="shared" si="206"/>
        <v>24.043416666666673</v>
      </c>
      <c r="E6198" s="637">
        <f t="shared" si="207"/>
        <v>33.400214285714299</v>
      </c>
    </row>
    <row r="6199" spans="1:5">
      <c r="A6199">
        <v>91613</v>
      </c>
      <c r="B6199">
        <v>300</v>
      </c>
      <c r="C6199" s="455">
        <v>10.266</v>
      </c>
      <c r="D6199" s="637">
        <f t="shared" si="206"/>
        <v>24.809500000000007</v>
      </c>
      <c r="E6199" s="637">
        <f t="shared" si="207"/>
        <v>34.464428571428591</v>
      </c>
    </row>
    <row r="6200" spans="1:5">
      <c r="A6200">
        <v>91613</v>
      </c>
      <c r="B6200">
        <v>400</v>
      </c>
      <c r="C6200" s="455">
        <v>9.89</v>
      </c>
      <c r="D6200" s="637">
        <f t="shared" si="206"/>
        <v>23.900833333333342</v>
      </c>
      <c r="E6200" s="637">
        <f t="shared" si="207"/>
        <v>33.202142857142874</v>
      </c>
    </row>
    <row r="6201" spans="1:5">
      <c r="A6201">
        <v>91613</v>
      </c>
      <c r="B6201">
        <v>500</v>
      </c>
      <c r="C6201" s="455">
        <v>10.143000000000001</v>
      </c>
      <c r="D6201" s="637">
        <f t="shared" si="206"/>
        <v>24.512250000000005</v>
      </c>
      <c r="E6201" s="637">
        <f t="shared" si="207"/>
        <v>34.051500000000019</v>
      </c>
    </row>
    <row r="6202" spans="1:5">
      <c r="A6202">
        <v>91613</v>
      </c>
      <c r="B6202">
        <v>600</v>
      </c>
      <c r="C6202" s="455">
        <v>10.218</v>
      </c>
      <c r="D6202" s="637">
        <f t="shared" si="206"/>
        <v>24.693500000000007</v>
      </c>
      <c r="E6202" s="637">
        <f t="shared" si="207"/>
        <v>34.303285714285728</v>
      </c>
    </row>
    <row r="6203" spans="1:5">
      <c r="A6203">
        <v>91613</v>
      </c>
      <c r="B6203">
        <v>700</v>
      </c>
      <c r="C6203" s="455">
        <v>5.1459999999999999</v>
      </c>
      <c r="D6203" s="637">
        <f t="shared" si="206"/>
        <v>12.43616666666667</v>
      </c>
      <c r="E6203" s="637">
        <f t="shared" si="207"/>
        <v>17.275857142857152</v>
      </c>
    </row>
    <row r="6204" spans="1:5">
      <c r="A6204">
        <v>91613</v>
      </c>
      <c r="B6204">
        <v>800</v>
      </c>
      <c r="C6204" s="455">
        <v>0.14499999999999999</v>
      </c>
      <c r="D6204" s="637">
        <f t="shared" si="206"/>
        <v>0.35041666666666671</v>
      </c>
      <c r="E6204" s="637">
        <f t="shared" si="207"/>
        <v>0.48678571428571449</v>
      </c>
    </row>
    <row r="6205" spans="1:5">
      <c r="A6205">
        <v>91613</v>
      </c>
      <c r="B6205">
        <v>900</v>
      </c>
      <c r="C6205" s="455">
        <v>0</v>
      </c>
      <c r="D6205" s="637">
        <f t="shared" si="206"/>
        <v>0</v>
      </c>
      <c r="E6205" s="637">
        <f t="shared" si="207"/>
        <v>0</v>
      </c>
    </row>
    <row r="6206" spans="1:5">
      <c r="A6206">
        <v>91613</v>
      </c>
      <c r="B6206">
        <v>1000</v>
      </c>
      <c r="C6206" s="455">
        <v>1E-3</v>
      </c>
      <c r="D6206" s="637">
        <f t="shared" si="206"/>
        <v>2.4166666666666672E-3</v>
      </c>
      <c r="E6206" s="637">
        <f t="shared" si="207"/>
        <v>3.3571428571428589E-3</v>
      </c>
    </row>
    <row r="6207" spans="1:5">
      <c r="A6207">
        <v>91613</v>
      </c>
      <c r="B6207">
        <v>1100</v>
      </c>
      <c r="C6207" s="455">
        <v>0</v>
      </c>
      <c r="D6207" s="637">
        <f t="shared" si="206"/>
        <v>0</v>
      </c>
      <c r="E6207" s="637">
        <f t="shared" si="207"/>
        <v>0</v>
      </c>
    </row>
    <row r="6208" spans="1:5">
      <c r="A6208">
        <v>91613</v>
      </c>
      <c r="B6208">
        <v>1200</v>
      </c>
      <c r="C6208" s="455">
        <v>1E-3</v>
      </c>
      <c r="D6208" s="637">
        <f t="shared" si="206"/>
        <v>2.4166666666666672E-3</v>
      </c>
      <c r="E6208" s="637">
        <f t="shared" si="207"/>
        <v>3.3571428571428589E-3</v>
      </c>
    </row>
    <row r="6209" spans="1:5">
      <c r="A6209">
        <v>91613</v>
      </c>
      <c r="B6209">
        <v>1300</v>
      </c>
      <c r="C6209" s="455">
        <v>0</v>
      </c>
      <c r="D6209" s="637">
        <f t="shared" si="206"/>
        <v>0</v>
      </c>
      <c r="E6209" s="637">
        <f t="shared" si="207"/>
        <v>0</v>
      </c>
    </row>
    <row r="6210" spans="1:5">
      <c r="A6210">
        <v>91613</v>
      </c>
      <c r="B6210">
        <v>1400</v>
      </c>
      <c r="C6210" s="455">
        <v>1E-3</v>
      </c>
      <c r="D6210" s="637">
        <f t="shared" si="206"/>
        <v>2.4166666666666672E-3</v>
      </c>
      <c r="E6210" s="637">
        <f t="shared" si="207"/>
        <v>3.3571428571428589E-3</v>
      </c>
    </row>
    <row r="6211" spans="1:5">
      <c r="A6211">
        <v>91613</v>
      </c>
      <c r="B6211">
        <v>1500</v>
      </c>
      <c r="C6211" s="455">
        <v>0</v>
      </c>
      <c r="D6211" s="637">
        <f t="shared" si="206"/>
        <v>0</v>
      </c>
      <c r="E6211" s="637">
        <f t="shared" si="207"/>
        <v>0</v>
      </c>
    </row>
    <row r="6212" spans="1:5">
      <c r="A6212">
        <v>91613</v>
      </c>
      <c r="B6212">
        <v>1600</v>
      </c>
      <c r="C6212" s="455">
        <v>0</v>
      </c>
      <c r="D6212" s="637">
        <f t="shared" si="206"/>
        <v>0</v>
      </c>
      <c r="E6212" s="637">
        <f t="shared" si="207"/>
        <v>0</v>
      </c>
    </row>
    <row r="6213" spans="1:5">
      <c r="A6213">
        <v>91613</v>
      </c>
      <c r="B6213">
        <v>1700</v>
      </c>
      <c r="C6213" s="455">
        <v>0</v>
      </c>
      <c r="D6213" s="637">
        <f t="shared" si="206"/>
        <v>0</v>
      </c>
      <c r="E6213" s="637">
        <f t="shared" si="207"/>
        <v>0</v>
      </c>
    </row>
    <row r="6214" spans="1:5">
      <c r="A6214">
        <v>91613</v>
      </c>
      <c r="B6214">
        <v>1800</v>
      </c>
      <c r="C6214" s="455">
        <v>1E-3</v>
      </c>
      <c r="D6214" s="637">
        <f t="shared" si="206"/>
        <v>2.4166666666666672E-3</v>
      </c>
      <c r="E6214" s="637">
        <f t="shared" si="207"/>
        <v>3.3571428571428589E-3</v>
      </c>
    </row>
    <row r="6215" spans="1:5">
      <c r="A6215">
        <v>91613</v>
      </c>
      <c r="B6215">
        <v>1900</v>
      </c>
      <c r="C6215" s="455">
        <v>8.7080000000000002</v>
      </c>
      <c r="D6215" s="637">
        <f t="shared" si="206"/>
        <v>21.044333333333341</v>
      </c>
      <c r="E6215" s="637">
        <f t="shared" si="207"/>
        <v>29.234000000000016</v>
      </c>
    </row>
    <row r="6216" spans="1:5">
      <c r="A6216">
        <v>91613</v>
      </c>
      <c r="B6216">
        <v>2000</v>
      </c>
      <c r="C6216" s="455">
        <v>10.25</v>
      </c>
      <c r="D6216" s="637">
        <f t="shared" si="206"/>
        <v>24.770833333333339</v>
      </c>
      <c r="E6216" s="637">
        <f t="shared" si="207"/>
        <v>34.410714285714306</v>
      </c>
    </row>
    <row r="6217" spans="1:5">
      <c r="A6217">
        <v>91613</v>
      </c>
      <c r="B6217">
        <v>2100</v>
      </c>
      <c r="C6217" s="455">
        <v>10.404999999999999</v>
      </c>
      <c r="D6217" s="637">
        <f t="shared" si="206"/>
        <v>25.145416666666673</v>
      </c>
      <c r="E6217" s="637">
        <f t="shared" si="207"/>
        <v>34.931071428571443</v>
      </c>
    </row>
    <row r="6218" spans="1:5">
      <c r="A6218">
        <v>91613</v>
      </c>
      <c r="B6218">
        <v>2200</v>
      </c>
      <c r="C6218" s="455">
        <v>10.837999999999999</v>
      </c>
      <c r="D6218" s="637">
        <f t="shared" si="206"/>
        <v>26.191833333333339</v>
      </c>
      <c r="E6218" s="637">
        <f t="shared" si="207"/>
        <v>36.384714285714303</v>
      </c>
    </row>
    <row r="6219" spans="1:5">
      <c r="A6219">
        <v>91613</v>
      </c>
      <c r="B6219">
        <v>2300</v>
      </c>
      <c r="C6219" s="455">
        <v>10.523999999999999</v>
      </c>
      <c r="D6219" s="637">
        <f t="shared" si="206"/>
        <v>25.433000000000003</v>
      </c>
      <c r="E6219" s="637">
        <f t="shared" si="207"/>
        <v>35.330571428571446</v>
      </c>
    </row>
    <row r="6220" spans="1:5">
      <c r="A6220">
        <v>91613</v>
      </c>
      <c r="B6220">
        <v>2400</v>
      </c>
      <c r="C6220" s="455">
        <v>11.048</v>
      </c>
      <c r="D6220" s="637">
        <f t="shared" si="206"/>
        <v>26.699333333333339</v>
      </c>
      <c r="E6220" s="637">
        <f t="shared" si="207"/>
        <v>37.089714285714308</v>
      </c>
    </row>
    <row r="6221" spans="1:5">
      <c r="A6221">
        <v>91713</v>
      </c>
      <c r="B6221">
        <v>100</v>
      </c>
      <c r="C6221" s="455">
        <v>11.236000000000001</v>
      </c>
      <c r="D6221" s="637">
        <f t="shared" si="206"/>
        <v>27.153666666666677</v>
      </c>
      <c r="E6221" s="637">
        <f t="shared" si="207"/>
        <v>37.720857142857163</v>
      </c>
    </row>
    <row r="6222" spans="1:5">
      <c r="A6222">
        <v>91713</v>
      </c>
      <c r="B6222">
        <v>200</v>
      </c>
      <c r="C6222" s="455">
        <v>11.026999999999999</v>
      </c>
      <c r="D6222" s="637">
        <f t="shared" ref="D6222:D6285" si="208">(C6222/(MAX($C$5837:$C$6556)))*$W$13</f>
        <v>26.648583333333338</v>
      </c>
      <c r="E6222" s="637">
        <f t="shared" ref="E6222:E6285" si="209">(C6222/(MAX($C$5837:$C$6556)))*$P$13</f>
        <v>37.019214285714298</v>
      </c>
    </row>
    <row r="6223" spans="1:5">
      <c r="A6223">
        <v>91713</v>
      </c>
      <c r="B6223">
        <v>300</v>
      </c>
      <c r="C6223" s="455">
        <v>11.32</v>
      </c>
      <c r="D6223" s="637">
        <f t="shared" si="208"/>
        <v>27.356666666666676</v>
      </c>
      <c r="E6223" s="637">
        <f t="shared" si="209"/>
        <v>38.002857142857167</v>
      </c>
    </row>
    <row r="6224" spans="1:5">
      <c r="A6224">
        <v>91713</v>
      </c>
      <c r="B6224">
        <v>400</v>
      </c>
      <c r="C6224" s="455">
        <v>11.374000000000001</v>
      </c>
      <c r="D6224" s="637">
        <f t="shared" si="208"/>
        <v>27.487166666666674</v>
      </c>
      <c r="E6224" s="637">
        <f t="shared" si="209"/>
        <v>38.184142857142881</v>
      </c>
    </row>
    <row r="6225" spans="1:5">
      <c r="A6225">
        <v>91713</v>
      </c>
      <c r="B6225">
        <v>500</v>
      </c>
      <c r="C6225" s="455">
        <v>10.984</v>
      </c>
      <c r="D6225" s="637">
        <f t="shared" si="208"/>
        <v>26.544666666666675</v>
      </c>
      <c r="E6225" s="637">
        <f t="shared" si="209"/>
        <v>36.874857142857159</v>
      </c>
    </row>
    <row r="6226" spans="1:5">
      <c r="A6226">
        <v>91713</v>
      </c>
      <c r="B6226">
        <v>600</v>
      </c>
      <c r="C6226" s="455">
        <v>11.794</v>
      </c>
      <c r="D6226" s="637">
        <f t="shared" si="208"/>
        <v>28.502166666666675</v>
      </c>
      <c r="E6226" s="637">
        <f t="shared" si="209"/>
        <v>39.594142857142877</v>
      </c>
    </row>
    <row r="6227" spans="1:5">
      <c r="A6227">
        <v>91713</v>
      </c>
      <c r="B6227">
        <v>700</v>
      </c>
      <c r="C6227" s="455">
        <v>2.129</v>
      </c>
      <c r="D6227" s="637">
        <f t="shared" si="208"/>
        <v>5.1450833333333348</v>
      </c>
      <c r="E6227" s="637">
        <f t="shared" si="209"/>
        <v>7.1473571428571461</v>
      </c>
    </row>
    <row r="6228" spans="1:5">
      <c r="A6228">
        <v>91713</v>
      </c>
      <c r="B6228">
        <v>800</v>
      </c>
      <c r="C6228" s="455">
        <v>1E-3</v>
      </c>
      <c r="D6228" s="637">
        <f t="shared" si="208"/>
        <v>2.4166666666666672E-3</v>
      </c>
      <c r="E6228" s="637">
        <f t="shared" si="209"/>
        <v>3.3571428571428589E-3</v>
      </c>
    </row>
    <row r="6229" spans="1:5">
      <c r="A6229">
        <v>91713</v>
      </c>
      <c r="B6229">
        <v>900</v>
      </c>
      <c r="C6229" s="455">
        <v>0</v>
      </c>
      <c r="D6229" s="637">
        <f t="shared" si="208"/>
        <v>0</v>
      </c>
      <c r="E6229" s="637">
        <f t="shared" si="209"/>
        <v>0</v>
      </c>
    </row>
    <row r="6230" spans="1:5">
      <c r="A6230">
        <v>91713</v>
      </c>
      <c r="B6230">
        <v>1000</v>
      </c>
      <c r="C6230" s="455">
        <v>0</v>
      </c>
      <c r="D6230" s="637">
        <f t="shared" si="208"/>
        <v>0</v>
      </c>
      <c r="E6230" s="637">
        <f t="shared" si="209"/>
        <v>0</v>
      </c>
    </row>
    <row r="6231" spans="1:5">
      <c r="A6231">
        <v>91713</v>
      </c>
      <c r="B6231">
        <v>1100</v>
      </c>
      <c r="C6231" s="455">
        <v>0</v>
      </c>
      <c r="D6231" s="637">
        <f t="shared" si="208"/>
        <v>0</v>
      </c>
      <c r="E6231" s="637">
        <f t="shared" si="209"/>
        <v>0</v>
      </c>
    </row>
    <row r="6232" spans="1:5">
      <c r="A6232">
        <v>91713</v>
      </c>
      <c r="B6232">
        <v>1200</v>
      </c>
      <c r="C6232" s="455">
        <v>0</v>
      </c>
      <c r="D6232" s="637">
        <f t="shared" si="208"/>
        <v>0</v>
      </c>
      <c r="E6232" s="637">
        <f t="shared" si="209"/>
        <v>0</v>
      </c>
    </row>
    <row r="6233" spans="1:5">
      <c r="A6233">
        <v>91713</v>
      </c>
      <c r="B6233">
        <v>1300</v>
      </c>
      <c r="C6233" s="455">
        <v>0</v>
      </c>
      <c r="D6233" s="637">
        <f t="shared" si="208"/>
        <v>0</v>
      </c>
      <c r="E6233" s="637">
        <f t="shared" si="209"/>
        <v>0</v>
      </c>
    </row>
    <row r="6234" spans="1:5">
      <c r="A6234">
        <v>91713</v>
      </c>
      <c r="B6234">
        <v>1400</v>
      </c>
      <c r="C6234" s="455">
        <v>0</v>
      </c>
      <c r="D6234" s="637">
        <f t="shared" si="208"/>
        <v>0</v>
      </c>
      <c r="E6234" s="637">
        <f t="shared" si="209"/>
        <v>0</v>
      </c>
    </row>
    <row r="6235" spans="1:5">
      <c r="A6235">
        <v>91713</v>
      </c>
      <c r="B6235">
        <v>1500</v>
      </c>
      <c r="C6235" s="455">
        <v>0</v>
      </c>
      <c r="D6235" s="637">
        <f t="shared" si="208"/>
        <v>0</v>
      </c>
      <c r="E6235" s="637">
        <f t="shared" si="209"/>
        <v>0</v>
      </c>
    </row>
    <row r="6236" spans="1:5">
      <c r="A6236">
        <v>91713</v>
      </c>
      <c r="B6236">
        <v>1600</v>
      </c>
      <c r="C6236" s="455">
        <v>0</v>
      </c>
      <c r="D6236" s="637">
        <f t="shared" si="208"/>
        <v>0</v>
      </c>
      <c r="E6236" s="637">
        <f t="shared" si="209"/>
        <v>0</v>
      </c>
    </row>
    <row r="6237" spans="1:5">
      <c r="A6237">
        <v>91713</v>
      </c>
      <c r="B6237">
        <v>1700</v>
      </c>
      <c r="C6237" s="455">
        <v>0</v>
      </c>
      <c r="D6237" s="637">
        <f t="shared" si="208"/>
        <v>0</v>
      </c>
      <c r="E6237" s="637">
        <f t="shared" si="209"/>
        <v>0</v>
      </c>
    </row>
    <row r="6238" spans="1:5">
      <c r="A6238">
        <v>91713</v>
      </c>
      <c r="B6238">
        <v>1800</v>
      </c>
      <c r="C6238" s="455">
        <v>0</v>
      </c>
      <c r="D6238" s="637">
        <f t="shared" si="208"/>
        <v>0</v>
      </c>
      <c r="E6238" s="637">
        <f t="shared" si="209"/>
        <v>0</v>
      </c>
    </row>
    <row r="6239" spans="1:5">
      <c r="A6239">
        <v>91713</v>
      </c>
      <c r="B6239">
        <v>1900</v>
      </c>
      <c r="C6239" s="455">
        <v>9.7569999999999997</v>
      </c>
      <c r="D6239" s="637">
        <f t="shared" si="208"/>
        <v>23.579416666666674</v>
      </c>
      <c r="E6239" s="637">
        <f t="shared" si="209"/>
        <v>32.755642857142874</v>
      </c>
    </row>
    <row r="6240" spans="1:5">
      <c r="A6240">
        <v>91713</v>
      </c>
      <c r="B6240">
        <v>2000</v>
      </c>
      <c r="C6240" s="455">
        <v>10.321</v>
      </c>
      <c r="D6240" s="637">
        <f t="shared" si="208"/>
        <v>24.942416666666674</v>
      </c>
      <c r="E6240" s="637">
        <f t="shared" si="209"/>
        <v>34.649071428571446</v>
      </c>
    </row>
    <row r="6241" spans="1:5">
      <c r="A6241">
        <v>91713</v>
      </c>
      <c r="B6241">
        <v>2100</v>
      </c>
      <c r="C6241" s="455">
        <v>10.085000000000001</v>
      </c>
      <c r="D6241" s="637">
        <f t="shared" si="208"/>
        <v>24.37208333333334</v>
      </c>
      <c r="E6241" s="637">
        <f t="shared" si="209"/>
        <v>33.856785714285735</v>
      </c>
    </row>
    <row r="6242" spans="1:5">
      <c r="A6242">
        <v>91713</v>
      </c>
      <c r="B6242">
        <v>2200</v>
      </c>
      <c r="C6242" s="455">
        <v>10.224</v>
      </c>
      <c r="D6242" s="637">
        <f t="shared" si="208"/>
        <v>24.708000000000006</v>
      </c>
      <c r="E6242" s="637">
        <f t="shared" si="209"/>
        <v>34.323428571428586</v>
      </c>
    </row>
    <row r="6243" spans="1:5">
      <c r="A6243">
        <v>91713</v>
      </c>
      <c r="B6243">
        <v>2300</v>
      </c>
      <c r="C6243" s="455">
        <v>10.409000000000001</v>
      </c>
      <c r="D6243" s="637">
        <f t="shared" si="208"/>
        <v>25.155083333333341</v>
      </c>
      <c r="E6243" s="637">
        <f t="shared" si="209"/>
        <v>34.944500000000019</v>
      </c>
    </row>
    <row r="6244" spans="1:5">
      <c r="A6244">
        <v>91713</v>
      </c>
      <c r="B6244">
        <v>2400</v>
      </c>
      <c r="C6244" s="455">
        <v>10.654999999999999</v>
      </c>
      <c r="D6244" s="637">
        <f t="shared" si="208"/>
        <v>25.749583333333341</v>
      </c>
      <c r="E6244" s="637">
        <f t="shared" si="209"/>
        <v>35.770357142857158</v>
      </c>
    </row>
    <row r="6245" spans="1:5">
      <c r="A6245">
        <v>91813</v>
      </c>
      <c r="B6245">
        <v>100</v>
      </c>
      <c r="C6245" s="455">
        <v>10.662000000000001</v>
      </c>
      <c r="D6245" s="637">
        <f t="shared" si="208"/>
        <v>25.766500000000011</v>
      </c>
      <c r="E6245" s="637">
        <f t="shared" si="209"/>
        <v>35.793857142857163</v>
      </c>
    </row>
    <row r="6246" spans="1:5">
      <c r="A6246">
        <v>91813</v>
      </c>
      <c r="B6246">
        <v>200</v>
      </c>
      <c r="C6246" s="455">
        <v>10.661</v>
      </c>
      <c r="D6246" s="637">
        <f t="shared" si="208"/>
        <v>25.764083333333339</v>
      </c>
      <c r="E6246" s="637">
        <f t="shared" si="209"/>
        <v>35.790500000000016</v>
      </c>
    </row>
    <row r="6247" spans="1:5">
      <c r="A6247">
        <v>91813</v>
      </c>
      <c r="B6247">
        <v>300</v>
      </c>
      <c r="C6247" s="455">
        <v>10.986000000000001</v>
      </c>
      <c r="D6247" s="637">
        <f t="shared" si="208"/>
        <v>26.549500000000009</v>
      </c>
      <c r="E6247" s="637">
        <f t="shared" si="209"/>
        <v>36.881571428571448</v>
      </c>
    </row>
    <row r="6248" spans="1:5">
      <c r="A6248">
        <v>91813</v>
      </c>
      <c r="B6248">
        <v>400</v>
      </c>
      <c r="C6248" s="455">
        <v>11.167</v>
      </c>
      <c r="D6248" s="637">
        <f t="shared" si="208"/>
        <v>26.986916666666673</v>
      </c>
      <c r="E6248" s="637">
        <f t="shared" si="209"/>
        <v>37.489214285714304</v>
      </c>
    </row>
    <row r="6249" spans="1:5">
      <c r="A6249">
        <v>91813</v>
      </c>
      <c r="B6249">
        <v>500</v>
      </c>
      <c r="C6249" s="455">
        <v>10.976000000000001</v>
      </c>
      <c r="D6249" s="637">
        <f t="shared" si="208"/>
        <v>26.525333333333339</v>
      </c>
      <c r="E6249" s="637">
        <f t="shared" si="209"/>
        <v>36.84800000000002</v>
      </c>
    </row>
    <row r="6250" spans="1:5">
      <c r="A6250">
        <v>91813</v>
      </c>
      <c r="B6250">
        <v>600</v>
      </c>
      <c r="C6250" s="455">
        <v>11.497999999999999</v>
      </c>
      <c r="D6250" s="637">
        <f t="shared" si="208"/>
        <v>27.786833333333341</v>
      </c>
      <c r="E6250" s="637">
        <f t="shared" si="209"/>
        <v>38.600428571428594</v>
      </c>
    </row>
    <row r="6251" spans="1:5">
      <c r="A6251">
        <v>91813</v>
      </c>
      <c r="B6251">
        <v>700</v>
      </c>
      <c r="C6251" s="455">
        <v>2.476</v>
      </c>
      <c r="D6251" s="637">
        <f t="shared" si="208"/>
        <v>5.983666666666668</v>
      </c>
      <c r="E6251" s="637">
        <f t="shared" si="209"/>
        <v>8.3122857142857178</v>
      </c>
    </row>
    <row r="6252" spans="1:5">
      <c r="A6252">
        <v>91813</v>
      </c>
      <c r="B6252">
        <v>800</v>
      </c>
      <c r="C6252" s="455">
        <v>0.108</v>
      </c>
      <c r="D6252" s="637">
        <f t="shared" si="208"/>
        <v>0.26100000000000007</v>
      </c>
      <c r="E6252" s="637">
        <f t="shared" si="209"/>
        <v>0.36257142857142871</v>
      </c>
    </row>
    <row r="6253" spans="1:5">
      <c r="A6253">
        <v>91813</v>
      </c>
      <c r="B6253">
        <v>900</v>
      </c>
      <c r="C6253" s="455">
        <v>0</v>
      </c>
      <c r="D6253" s="637">
        <f t="shared" si="208"/>
        <v>0</v>
      </c>
      <c r="E6253" s="637">
        <f t="shared" si="209"/>
        <v>0</v>
      </c>
    </row>
    <row r="6254" spans="1:5">
      <c r="A6254">
        <v>91813</v>
      </c>
      <c r="B6254">
        <v>1000</v>
      </c>
      <c r="C6254" s="455">
        <v>0</v>
      </c>
      <c r="D6254" s="637">
        <f t="shared" si="208"/>
        <v>0</v>
      </c>
      <c r="E6254" s="637">
        <f t="shared" si="209"/>
        <v>0</v>
      </c>
    </row>
    <row r="6255" spans="1:5">
      <c r="A6255">
        <v>91813</v>
      </c>
      <c r="B6255">
        <v>1100</v>
      </c>
      <c r="C6255" s="455">
        <v>0</v>
      </c>
      <c r="D6255" s="637">
        <f t="shared" si="208"/>
        <v>0</v>
      </c>
      <c r="E6255" s="637">
        <f t="shared" si="209"/>
        <v>0</v>
      </c>
    </row>
    <row r="6256" spans="1:5">
      <c r="A6256">
        <v>91813</v>
      </c>
      <c r="B6256">
        <v>1200</v>
      </c>
      <c r="C6256" s="455">
        <v>0</v>
      </c>
      <c r="D6256" s="637">
        <f t="shared" si="208"/>
        <v>0</v>
      </c>
      <c r="E6256" s="637">
        <f t="shared" si="209"/>
        <v>0</v>
      </c>
    </row>
    <row r="6257" spans="1:5">
      <c r="A6257">
        <v>91813</v>
      </c>
      <c r="B6257">
        <v>1300</v>
      </c>
      <c r="C6257" s="455">
        <v>0</v>
      </c>
      <c r="D6257" s="637">
        <f t="shared" si="208"/>
        <v>0</v>
      </c>
      <c r="E6257" s="637">
        <f t="shared" si="209"/>
        <v>0</v>
      </c>
    </row>
    <row r="6258" spans="1:5">
      <c r="A6258">
        <v>91813</v>
      </c>
      <c r="B6258">
        <v>1400</v>
      </c>
      <c r="C6258" s="455">
        <v>0</v>
      </c>
      <c r="D6258" s="637">
        <f t="shared" si="208"/>
        <v>0</v>
      </c>
      <c r="E6258" s="637">
        <f t="shared" si="209"/>
        <v>0</v>
      </c>
    </row>
    <row r="6259" spans="1:5">
      <c r="A6259">
        <v>91813</v>
      </c>
      <c r="B6259">
        <v>1500</v>
      </c>
      <c r="C6259" s="455">
        <v>0</v>
      </c>
      <c r="D6259" s="637">
        <f t="shared" si="208"/>
        <v>0</v>
      </c>
      <c r="E6259" s="637">
        <f t="shared" si="209"/>
        <v>0</v>
      </c>
    </row>
    <row r="6260" spans="1:5">
      <c r="A6260">
        <v>91813</v>
      </c>
      <c r="B6260">
        <v>1600</v>
      </c>
      <c r="C6260" s="455">
        <v>0</v>
      </c>
      <c r="D6260" s="637">
        <f t="shared" si="208"/>
        <v>0</v>
      </c>
      <c r="E6260" s="637">
        <f t="shared" si="209"/>
        <v>0</v>
      </c>
    </row>
    <row r="6261" spans="1:5">
      <c r="A6261">
        <v>91813</v>
      </c>
      <c r="B6261">
        <v>1700</v>
      </c>
      <c r="C6261" s="455">
        <v>0</v>
      </c>
      <c r="D6261" s="637">
        <f t="shared" si="208"/>
        <v>0</v>
      </c>
      <c r="E6261" s="637">
        <f t="shared" si="209"/>
        <v>0</v>
      </c>
    </row>
    <row r="6262" spans="1:5">
      <c r="A6262">
        <v>91813</v>
      </c>
      <c r="B6262">
        <v>1800</v>
      </c>
      <c r="C6262" s="455">
        <v>4.0000000000000001E-3</v>
      </c>
      <c r="D6262" s="637">
        <f t="shared" si="208"/>
        <v>9.6666666666666689E-3</v>
      </c>
      <c r="E6262" s="637">
        <f t="shared" si="209"/>
        <v>1.3428571428571436E-2</v>
      </c>
    </row>
    <row r="6263" spans="1:5">
      <c r="A6263">
        <v>91813</v>
      </c>
      <c r="B6263">
        <v>1900</v>
      </c>
      <c r="C6263" s="455">
        <v>9.6340000000000003</v>
      </c>
      <c r="D6263" s="637">
        <f t="shared" si="208"/>
        <v>23.282166666666672</v>
      </c>
      <c r="E6263" s="637">
        <f t="shared" si="209"/>
        <v>32.342714285714301</v>
      </c>
    </row>
    <row r="6264" spans="1:5">
      <c r="A6264">
        <v>91813</v>
      </c>
      <c r="B6264">
        <v>2000</v>
      </c>
      <c r="C6264" s="455">
        <v>9.7880000000000003</v>
      </c>
      <c r="D6264" s="637">
        <f t="shared" si="208"/>
        <v>23.654333333333341</v>
      </c>
      <c r="E6264" s="637">
        <f t="shared" si="209"/>
        <v>32.859714285714304</v>
      </c>
    </row>
    <row r="6265" spans="1:5">
      <c r="A6265">
        <v>91813</v>
      </c>
      <c r="B6265">
        <v>2100</v>
      </c>
      <c r="C6265" s="455">
        <v>10.445</v>
      </c>
      <c r="D6265" s="637">
        <f t="shared" si="208"/>
        <v>25.242083333333341</v>
      </c>
      <c r="E6265" s="637">
        <f t="shared" si="209"/>
        <v>35.06535714285716</v>
      </c>
    </row>
    <row r="6266" spans="1:5">
      <c r="A6266">
        <v>91813</v>
      </c>
      <c r="B6266">
        <v>2200</v>
      </c>
      <c r="C6266" s="455">
        <v>10.010999999999999</v>
      </c>
      <c r="D6266" s="637">
        <f t="shared" si="208"/>
        <v>24.193250000000003</v>
      </c>
      <c r="E6266" s="637">
        <f t="shared" si="209"/>
        <v>33.608357142857159</v>
      </c>
    </row>
    <row r="6267" spans="1:5">
      <c r="A6267">
        <v>91813</v>
      </c>
      <c r="B6267">
        <v>2300</v>
      </c>
      <c r="C6267" s="455">
        <v>9.9819999999999993</v>
      </c>
      <c r="D6267" s="637">
        <f t="shared" si="208"/>
        <v>24.12316666666667</v>
      </c>
      <c r="E6267" s="637">
        <f t="shared" si="209"/>
        <v>33.511000000000017</v>
      </c>
    </row>
    <row r="6268" spans="1:5">
      <c r="A6268">
        <v>91813</v>
      </c>
      <c r="B6268">
        <v>2400</v>
      </c>
      <c r="C6268" s="455">
        <v>10.093</v>
      </c>
      <c r="D6268" s="637">
        <f t="shared" si="208"/>
        <v>24.391416666666675</v>
      </c>
      <c r="E6268" s="637">
        <f t="shared" si="209"/>
        <v>33.883642857142874</v>
      </c>
    </row>
    <row r="6269" spans="1:5">
      <c r="A6269">
        <v>91913</v>
      </c>
      <c r="B6269">
        <v>100</v>
      </c>
      <c r="C6269" s="455">
        <v>10.228999999999999</v>
      </c>
      <c r="D6269" s="637">
        <f t="shared" si="208"/>
        <v>24.720083333333339</v>
      </c>
      <c r="E6269" s="637">
        <f t="shared" si="209"/>
        <v>34.340214285714303</v>
      </c>
    </row>
    <row r="6270" spans="1:5">
      <c r="A6270">
        <v>91913</v>
      </c>
      <c r="B6270">
        <v>200</v>
      </c>
      <c r="C6270" s="455">
        <v>9.9329999999999998</v>
      </c>
      <c r="D6270" s="637">
        <f t="shared" si="208"/>
        <v>24.004750000000005</v>
      </c>
      <c r="E6270" s="637">
        <f t="shared" si="209"/>
        <v>33.346500000000013</v>
      </c>
    </row>
    <row r="6271" spans="1:5">
      <c r="A6271">
        <v>91913</v>
      </c>
      <c r="B6271">
        <v>300</v>
      </c>
      <c r="C6271" s="455">
        <v>10.119999999999999</v>
      </c>
      <c r="D6271" s="637">
        <f t="shared" si="208"/>
        <v>24.456666666666671</v>
      </c>
      <c r="E6271" s="637">
        <f t="shared" si="209"/>
        <v>33.974285714285728</v>
      </c>
    </row>
    <row r="6272" spans="1:5">
      <c r="A6272">
        <v>91913</v>
      </c>
      <c r="B6272">
        <v>400</v>
      </c>
      <c r="C6272" s="455">
        <v>10.552</v>
      </c>
      <c r="D6272" s="637">
        <f t="shared" si="208"/>
        <v>25.500666666666675</v>
      </c>
      <c r="E6272" s="637">
        <f t="shared" si="209"/>
        <v>35.424571428571447</v>
      </c>
    </row>
    <row r="6273" spans="1:5">
      <c r="A6273">
        <v>91913</v>
      </c>
      <c r="B6273">
        <v>500</v>
      </c>
      <c r="C6273" s="455">
        <v>10.012</v>
      </c>
      <c r="D6273" s="637">
        <f t="shared" si="208"/>
        <v>24.195666666666675</v>
      </c>
      <c r="E6273" s="637">
        <f t="shared" si="209"/>
        <v>33.611714285714307</v>
      </c>
    </row>
    <row r="6274" spans="1:5">
      <c r="A6274">
        <v>91913</v>
      </c>
      <c r="B6274">
        <v>600</v>
      </c>
      <c r="C6274" s="455">
        <v>10.848000000000001</v>
      </c>
      <c r="D6274" s="637">
        <f t="shared" si="208"/>
        <v>26.216000000000008</v>
      </c>
      <c r="E6274" s="637">
        <f t="shared" si="209"/>
        <v>36.418285714285737</v>
      </c>
    </row>
    <row r="6275" spans="1:5">
      <c r="A6275">
        <v>91913</v>
      </c>
      <c r="B6275">
        <v>700</v>
      </c>
      <c r="C6275" s="455">
        <v>2.6240000000000001</v>
      </c>
      <c r="D6275" s="637">
        <f t="shared" si="208"/>
        <v>6.3413333333333348</v>
      </c>
      <c r="E6275" s="637">
        <f t="shared" si="209"/>
        <v>8.8091428571428612</v>
      </c>
    </row>
    <row r="6276" spans="1:5">
      <c r="A6276">
        <v>91913</v>
      </c>
      <c r="B6276">
        <v>800</v>
      </c>
      <c r="C6276" s="455">
        <v>0</v>
      </c>
      <c r="D6276" s="637">
        <f t="shared" si="208"/>
        <v>0</v>
      </c>
      <c r="E6276" s="637">
        <f t="shared" si="209"/>
        <v>0</v>
      </c>
    </row>
    <row r="6277" spans="1:5">
      <c r="A6277">
        <v>91913</v>
      </c>
      <c r="B6277">
        <v>900</v>
      </c>
      <c r="C6277" s="455">
        <v>0</v>
      </c>
      <c r="D6277" s="637">
        <f t="shared" si="208"/>
        <v>0</v>
      </c>
      <c r="E6277" s="637">
        <f t="shared" si="209"/>
        <v>0</v>
      </c>
    </row>
    <row r="6278" spans="1:5">
      <c r="A6278">
        <v>91913</v>
      </c>
      <c r="B6278">
        <v>1000</v>
      </c>
      <c r="C6278" s="455">
        <v>0</v>
      </c>
      <c r="D6278" s="637">
        <f t="shared" si="208"/>
        <v>0</v>
      </c>
      <c r="E6278" s="637">
        <f t="shared" si="209"/>
        <v>0</v>
      </c>
    </row>
    <row r="6279" spans="1:5">
      <c r="A6279">
        <v>91913</v>
      </c>
      <c r="B6279">
        <v>1100</v>
      </c>
      <c r="C6279" s="455">
        <v>0</v>
      </c>
      <c r="D6279" s="637">
        <f t="shared" si="208"/>
        <v>0</v>
      </c>
      <c r="E6279" s="637">
        <f t="shared" si="209"/>
        <v>0</v>
      </c>
    </row>
    <row r="6280" spans="1:5">
      <c r="A6280">
        <v>91913</v>
      </c>
      <c r="B6280">
        <v>1200</v>
      </c>
      <c r="C6280" s="455">
        <v>0</v>
      </c>
      <c r="D6280" s="637">
        <f t="shared" si="208"/>
        <v>0</v>
      </c>
      <c r="E6280" s="637">
        <f t="shared" si="209"/>
        <v>0</v>
      </c>
    </row>
    <row r="6281" spans="1:5">
      <c r="A6281">
        <v>91913</v>
      </c>
      <c r="B6281">
        <v>1300</v>
      </c>
      <c r="C6281" s="455">
        <v>0</v>
      </c>
      <c r="D6281" s="637">
        <f t="shared" si="208"/>
        <v>0</v>
      </c>
      <c r="E6281" s="637">
        <f t="shared" si="209"/>
        <v>0</v>
      </c>
    </row>
    <row r="6282" spans="1:5">
      <c r="A6282">
        <v>91913</v>
      </c>
      <c r="B6282">
        <v>1400</v>
      </c>
      <c r="C6282" s="455">
        <v>0</v>
      </c>
      <c r="D6282" s="637">
        <f t="shared" si="208"/>
        <v>0</v>
      </c>
      <c r="E6282" s="637">
        <f t="shared" si="209"/>
        <v>0</v>
      </c>
    </row>
    <row r="6283" spans="1:5">
      <c r="A6283">
        <v>91913</v>
      </c>
      <c r="B6283">
        <v>1500</v>
      </c>
      <c r="C6283" s="455">
        <v>0</v>
      </c>
      <c r="D6283" s="637">
        <f t="shared" si="208"/>
        <v>0</v>
      </c>
      <c r="E6283" s="637">
        <f t="shared" si="209"/>
        <v>0</v>
      </c>
    </row>
    <row r="6284" spans="1:5">
      <c r="A6284">
        <v>91913</v>
      </c>
      <c r="B6284">
        <v>1600</v>
      </c>
      <c r="C6284" s="455">
        <v>0</v>
      </c>
      <c r="D6284" s="637">
        <f t="shared" si="208"/>
        <v>0</v>
      </c>
      <c r="E6284" s="637">
        <f t="shared" si="209"/>
        <v>0</v>
      </c>
    </row>
    <row r="6285" spans="1:5">
      <c r="A6285">
        <v>91913</v>
      </c>
      <c r="B6285">
        <v>1700</v>
      </c>
      <c r="C6285" s="455">
        <v>0</v>
      </c>
      <c r="D6285" s="637">
        <f t="shared" si="208"/>
        <v>0</v>
      </c>
      <c r="E6285" s="637">
        <f t="shared" si="209"/>
        <v>0</v>
      </c>
    </row>
    <row r="6286" spans="1:5">
      <c r="A6286">
        <v>91913</v>
      </c>
      <c r="B6286">
        <v>1800</v>
      </c>
      <c r="C6286" s="455">
        <v>0.17</v>
      </c>
      <c r="D6286" s="637">
        <f t="shared" ref="D6286:D6349" si="210">(C6286/(MAX($C$5837:$C$6556)))*$W$13</f>
        <v>0.41083333333333344</v>
      </c>
      <c r="E6286" s="637">
        <f t="shared" ref="E6286:E6349" si="211">(C6286/(MAX($C$5837:$C$6556)))*$P$13</f>
        <v>0.57071428571428606</v>
      </c>
    </row>
    <row r="6287" spans="1:5">
      <c r="A6287">
        <v>91913</v>
      </c>
      <c r="B6287">
        <v>1900</v>
      </c>
      <c r="C6287" s="455">
        <v>10.177</v>
      </c>
      <c r="D6287" s="637">
        <f t="shared" si="210"/>
        <v>24.594416666666675</v>
      </c>
      <c r="E6287" s="637">
        <f t="shared" si="211"/>
        <v>34.165642857142878</v>
      </c>
    </row>
    <row r="6288" spans="1:5">
      <c r="A6288">
        <v>91913</v>
      </c>
      <c r="B6288">
        <v>2000</v>
      </c>
      <c r="C6288" s="455">
        <v>10.065</v>
      </c>
      <c r="D6288" s="637">
        <f t="shared" si="210"/>
        <v>24.323750000000004</v>
      </c>
      <c r="E6288" s="637">
        <f t="shared" si="211"/>
        <v>33.789642857142873</v>
      </c>
    </row>
    <row r="6289" spans="1:5">
      <c r="A6289">
        <v>91913</v>
      </c>
      <c r="B6289">
        <v>2100</v>
      </c>
      <c r="C6289" s="455">
        <v>10.183</v>
      </c>
      <c r="D6289" s="637">
        <f t="shared" si="210"/>
        <v>24.608916666666673</v>
      </c>
      <c r="E6289" s="637">
        <f t="shared" si="211"/>
        <v>34.185785714285728</v>
      </c>
    </row>
    <row r="6290" spans="1:5">
      <c r="A6290">
        <v>91913</v>
      </c>
      <c r="B6290">
        <v>2200</v>
      </c>
      <c r="C6290" s="455">
        <v>9.9809999999999999</v>
      </c>
      <c r="D6290" s="637">
        <f t="shared" si="210"/>
        <v>24.120750000000005</v>
      </c>
      <c r="E6290" s="637">
        <f t="shared" si="211"/>
        <v>33.507642857142869</v>
      </c>
    </row>
    <row r="6291" spans="1:5">
      <c r="A6291">
        <v>91913</v>
      </c>
      <c r="B6291">
        <v>2300</v>
      </c>
      <c r="C6291" s="455">
        <v>10.146000000000001</v>
      </c>
      <c r="D6291" s="637">
        <f t="shared" si="210"/>
        <v>24.519500000000008</v>
      </c>
      <c r="E6291" s="637">
        <f t="shared" si="211"/>
        <v>34.061571428571447</v>
      </c>
    </row>
    <row r="6292" spans="1:5">
      <c r="A6292">
        <v>91913</v>
      </c>
      <c r="B6292">
        <v>2400</v>
      </c>
      <c r="C6292" s="455">
        <v>10.074</v>
      </c>
      <c r="D6292" s="637">
        <f t="shared" si="210"/>
        <v>24.345500000000008</v>
      </c>
      <c r="E6292" s="637">
        <f t="shared" si="211"/>
        <v>33.81985714285716</v>
      </c>
    </row>
    <row r="6293" spans="1:5">
      <c r="A6293">
        <v>92013</v>
      </c>
      <c r="B6293">
        <v>100</v>
      </c>
      <c r="C6293" s="455">
        <v>10.042999999999999</v>
      </c>
      <c r="D6293" s="637">
        <f t="shared" si="210"/>
        <v>24.270583333333338</v>
      </c>
      <c r="E6293" s="637">
        <f t="shared" si="211"/>
        <v>33.71578571428573</v>
      </c>
    </row>
    <row r="6294" spans="1:5">
      <c r="A6294">
        <v>92013</v>
      </c>
      <c r="B6294">
        <v>200</v>
      </c>
      <c r="C6294" s="455">
        <v>9.9410000000000007</v>
      </c>
      <c r="D6294" s="637">
        <f t="shared" si="210"/>
        <v>24.024083333333341</v>
      </c>
      <c r="E6294" s="637">
        <f t="shared" si="211"/>
        <v>33.373357142857166</v>
      </c>
    </row>
    <row r="6295" spans="1:5">
      <c r="A6295">
        <v>92013</v>
      </c>
      <c r="B6295">
        <v>300</v>
      </c>
      <c r="C6295" s="455">
        <v>10.051</v>
      </c>
      <c r="D6295" s="637">
        <f t="shared" si="210"/>
        <v>24.289916666666674</v>
      </c>
      <c r="E6295" s="637">
        <f t="shared" si="211"/>
        <v>33.742642857142876</v>
      </c>
    </row>
    <row r="6296" spans="1:5">
      <c r="A6296">
        <v>92013</v>
      </c>
      <c r="B6296">
        <v>400</v>
      </c>
      <c r="C6296" s="455">
        <v>10.311</v>
      </c>
      <c r="D6296" s="637">
        <f t="shared" si="210"/>
        <v>24.918250000000004</v>
      </c>
      <c r="E6296" s="637">
        <f t="shared" si="211"/>
        <v>34.615500000000019</v>
      </c>
    </row>
    <row r="6297" spans="1:5">
      <c r="A6297">
        <v>92013</v>
      </c>
      <c r="B6297">
        <v>500</v>
      </c>
      <c r="C6297" s="455">
        <v>9.89</v>
      </c>
      <c r="D6297" s="637">
        <f t="shared" si="210"/>
        <v>23.900833333333342</v>
      </c>
      <c r="E6297" s="637">
        <f t="shared" si="211"/>
        <v>33.202142857142874</v>
      </c>
    </row>
    <row r="6298" spans="1:5">
      <c r="A6298">
        <v>92013</v>
      </c>
      <c r="B6298">
        <v>600</v>
      </c>
      <c r="C6298" s="455">
        <v>9.9870000000000001</v>
      </c>
      <c r="D6298" s="637">
        <f t="shared" si="210"/>
        <v>24.13525000000001</v>
      </c>
      <c r="E6298" s="637">
        <f t="shared" si="211"/>
        <v>33.527785714285734</v>
      </c>
    </row>
    <row r="6299" spans="1:5">
      <c r="A6299">
        <v>92013</v>
      </c>
      <c r="B6299">
        <v>700</v>
      </c>
      <c r="C6299" s="455">
        <v>7.21</v>
      </c>
      <c r="D6299" s="637">
        <f t="shared" si="210"/>
        <v>17.424166666666672</v>
      </c>
      <c r="E6299" s="637">
        <f t="shared" si="211"/>
        <v>24.205000000000013</v>
      </c>
    </row>
    <row r="6300" spans="1:5">
      <c r="A6300">
        <v>92013</v>
      </c>
      <c r="B6300">
        <v>800</v>
      </c>
      <c r="C6300" s="455">
        <v>0</v>
      </c>
      <c r="D6300" s="637">
        <f t="shared" si="210"/>
        <v>0</v>
      </c>
      <c r="E6300" s="637">
        <f t="shared" si="211"/>
        <v>0</v>
      </c>
    </row>
    <row r="6301" spans="1:5">
      <c r="A6301">
        <v>92013</v>
      </c>
      <c r="B6301">
        <v>900</v>
      </c>
      <c r="C6301" s="455">
        <v>0</v>
      </c>
      <c r="D6301" s="637">
        <f t="shared" si="210"/>
        <v>0</v>
      </c>
      <c r="E6301" s="637">
        <f t="shared" si="211"/>
        <v>0</v>
      </c>
    </row>
    <row r="6302" spans="1:5">
      <c r="A6302">
        <v>92013</v>
      </c>
      <c r="B6302">
        <v>1000</v>
      </c>
      <c r="C6302" s="455">
        <v>0</v>
      </c>
      <c r="D6302" s="637">
        <f t="shared" si="210"/>
        <v>0</v>
      </c>
      <c r="E6302" s="637">
        <f t="shared" si="211"/>
        <v>0</v>
      </c>
    </row>
    <row r="6303" spans="1:5">
      <c r="A6303">
        <v>92013</v>
      </c>
      <c r="B6303">
        <v>1100</v>
      </c>
      <c r="C6303" s="455">
        <v>0</v>
      </c>
      <c r="D6303" s="637">
        <f t="shared" si="210"/>
        <v>0</v>
      </c>
      <c r="E6303" s="637">
        <f t="shared" si="211"/>
        <v>0</v>
      </c>
    </row>
    <row r="6304" spans="1:5">
      <c r="A6304">
        <v>92013</v>
      </c>
      <c r="B6304">
        <v>1200</v>
      </c>
      <c r="C6304" s="455">
        <v>0</v>
      </c>
      <c r="D6304" s="637">
        <f t="shared" si="210"/>
        <v>0</v>
      </c>
      <c r="E6304" s="637">
        <f t="shared" si="211"/>
        <v>0</v>
      </c>
    </row>
    <row r="6305" spans="1:5">
      <c r="A6305">
        <v>92013</v>
      </c>
      <c r="B6305">
        <v>1300</v>
      </c>
      <c r="C6305" s="455">
        <v>0</v>
      </c>
      <c r="D6305" s="637">
        <f t="shared" si="210"/>
        <v>0</v>
      </c>
      <c r="E6305" s="637">
        <f t="shared" si="211"/>
        <v>0</v>
      </c>
    </row>
    <row r="6306" spans="1:5">
      <c r="A6306">
        <v>92013</v>
      </c>
      <c r="B6306">
        <v>1400</v>
      </c>
      <c r="C6306" s="455">
        <v>0</v>
      </c>
      <c r="D6306" s="637">
        <f t="shared" si="210"/>
        <v>0</v>
      </c>
      <c r="E6306" s="637">
        <f t="shared" si="211"/>
        <v>0</v>
      </c>
    </row>
    <row r="6307" spans="1:5">
      <c r="A6307">
        <v>92013</v>
      </c>
      <c r="B6307">
        <v>1500</v>
      </c>
      <c r="C6307" s="455">
        <v>0</v>
      </c>
      <c r="D6307" s="637">
        <f t="shared" si="210"/>
        <v>0</v>
      </c>
      <c r="E6307" s="637">
        <f t="shared" si="211"/>
        <v>0</v>
      </c>
    </row>
    <row r="6308" spans="1:5">
      <c r="A6308">
        <v>92013</v>
      </c>
      <c r="B6308">
        <v>1600</v>
      </c>
      <c r="C6308" s="455">
        <v>0</v>
      </c>
      <c r="D6308" s="637">
        <f t="shared" si="210"/>
        <v>0</v>
      </c>
      <c r="E6308" s="637">
        <f t="shared" si="211"/>
        <v>0</v>
      </c>
    </row>
    <row r="6309" spans="1:5">
      <c r="A6309">
        <v>92013</v>
      </c>
      <c r="B6309">
        <v>1700</v>
      </c>
      <c r="C6309" s="455">
        <v>0</v>
      </c>
      <c r="D6309" s="637">
        <f t="shared" si="210"/>
        <v>0</v>
      </c>
      <c r="E6309" s="637">
        <f t="shared" si="211"/>
        <v>0</v>
      </c>
    </row>
    <row r="6310" spans="1:5">
      <c r="A6310">
        <v>92013</v>
      </c>
      <c r="B6310">
        <v>1800</v>
      </c>
      <c r="C6310" s="455">
        <v>2.3079999999999998</v>
      </c>
      <c r="D6310" s="637">
        <f t="shared" si="210"/>
        <v>5.5776666666666674</v>
      </c>
      <c r="E6310" s="637">
        <f t="shared" si="211"/>
        <v>7.7482857142857178</v>
      </c>
    </row>
    <row r="6311" spans="1:5">
      <c r="A6311">
        <v>92013</v>
      </c>
      <c r="B6311">
        <v>1900</v>
      </c>
      <c r="C6311" s="455">
        <v>10.651</v>
      </c>
      <c r="D6311" s="637">
        <f t="shared" si="210"/>
        <v>25.739916666666673</v>
      </c>
      <c r="E6311" s="637">
        <f t="shared" si="211"/>
        <v>35.756928571428588</v>
      </c>
    </row>
    <row r="6312" spans="1:5">
      <c r="A6312">
        <v>92013</v>
      </c>
      <c r="B6312">
        <v>2000</v>
      </c>
      <c r="C6312" s="455">
        <v>9.9969999999999999</v>
      </c>
      <c r="D6312" s="637">
        <f t="shared" si="210"/>
        <v>24.159416666666672</v>
      </c>
      <c r="E6312" s="637">
        <f t="shared" si="211"/>
        <v>33.561357142857155</v>
      </c>
    </row>
    <row r="6313" spans="1:5">
      <c r="A6313">
        <v>92013</v>
      </c>
      <c r="B6313">
        <v>2100</v>
      </c>
      <c r="C6313" s="455">
        <v>10.006</v>
      </c>
      <c r="D6313" s="637">
        <f t="shared" si="210"/>
        <v>24.181166666666673</v>
      </c>
      <c r="E6313" s="637">
        <f t="shared" si="211"/>
        <v>33.591571428571449</v>
      </c>
    </row>
    <row r="6314" spans="1:5">
      <c r="A6314">
        <v>92013</v>
      </c>
      <c r="B6314">
        <v>2200</v>
      </c>
      <c r="C6314" s="455">
        <v>10.122999999999999</v>
      </c>
      <c r="D6314" s="637">
        <f t="shared" si="210"/>
        <v>24.46391666666667</v>
      </c>
      <c r="E6314" s="637">
        <f t="shared" si="211"/>
        <v>33.984357142857156</v>
      </c>
    </row>
    <row r="6315" spans="1:5">
      <c r="A6315">
        <v>92013</v>
      </c>
      <c r="B6315">
        <v>2300</v>
      </c>
      <c r="C6315" s="455">
        <v>10.327</v>
      </c>
      <c r="D6315" s="637">
        <f t="shared" si="210"/>
        <v>24.956916666666672</v>
      </c>
      <c r="E6315" s="637">
        <f t="shared" si="211"/>
        <v>34.669214285714304</v>
      </c>
    </row>
    <row r="6316" spans="1:5">
      <c r="A6316">
        <v>92013</v>
      </c>
      <c r="B6316">
        <v>2400</v>
      </c>
      <c r="C6316" s="455">
        <v>10.012</v>
      </c>
      <c r="D6316" s="637">
        <f t="shared" si="210"/>
        <v>24.195666666666675</v>
      </c>
      <c r="E6316" s="637">
        <f t="shared" si="211"/>
        <v>33.611714285714307</v>
      </c>
    </row>
    <row r="6317" spans="1:5">
      <c r="A6317">
        <v>92113</v>
      </c>
      <c r="B6317">
        <v>100</v>
      </c>
      <c r="C6317" s="455">
        <v>9.9350000000000005</v>
      </c>
      <c r="D6317" s="637">
        <f t="shared" si="210"/>
        <v>24.009583333333342</v>
      </c>
      <c r="E6317" s="637">
        <f t="shared" si="211"/>
        <v>33.353214285714309</v>
      </c>
    </row>
    <row r="6318" spans="1:5">
      <c r="A6318">
        <v>92113</v>
      </c>
      <c r="B6318">
        <v>200</v>
      </c>
      <c r="C6318" s="455">
        <v>10.103</v>
      </c>
      <c r="D6318" s="637">
        <f t="shared" si="210"/>
        <v>24.415583333333341</v>
      </c>
      <c r="E6318" s="637">
        <f t="shared" si="211"/>
        <v>33.917214285714302</v>
      </c>
    </row>
    <row r="6319" spans="1:5">
      <c r="A6319">
        <v>92113</v>
      </c>
      <c r="B6319">
        <v>300</v>
      </c>
      <c r="C6319" s="455">
        <v>10.375</v>
      </c>
      <c r="D6319" s="637">
        <f t="shared" si="210"/>
        <v>25.072916666666671</v>
      </c>
      <c r="E6319" s="637">
        <f t="shared" si="211"/>
        <v>34.83035714285716</v>
      </c>
    </row>
    <row r="6320" spans="1:5">
      <c r="A6320">
        <v>92113</v>
      </c>
      <c r="B6320">
        <v>400</v>
      </c>
      <c r="C6320" s="455">
        <v>10.24</v>
      </c>
      <c r="D6320" s="637">
        <f t="shared" si="210"/>
        <v>24.746666666666673</v>
      </c>
      <c r="E6320" s="637">
        <f t="shared" si="211"/>
        <v>34.377142857142871</v>
      </c>
    </row>
    <row r="6321" spans="1:5">
      <c r="A6321">
        <v>92113</v>
      </c>
      <c r="B6321">
        <v>500</v>
      </c>
      <c r="C6321" s="455">
        <v>10.398999999999999</v>
      </c>
      <c r="D6321" s="637">
        <f t="shared" si="210"/>
        <v>25.130916666666671</v>
      </c>
      <c r="E6321" s="637">
        <f t="shared" si="211"/>
        <v>34.910928571428585</v>
      </c>
    </row>
    <row r="6322" spans="1:5">
      <c r="A6322">
        <v>92113</v>
      </c>
      <c r="B6322">
        <v>600</v>
      </c>
      <c r="C6322" s="455">
        <v>10.817</v>
      </c>
      <c r="D6322" s="637">
        <f t="shared" si="210"/>
        <v>26.141083333333341</v>
      </c>
      <c r="E6322" s="637">
        <f t="shared" si="211"/>
        <v>36.314214285714307</v>
      </c>
    </row>
    <row r="6323" spans="1:5">
      <c r="A6323">
        <v>92113</v>
      </c>
      <c r="B6323">
        <v>700</v>
      </c>
      <c r="C6323" s="455">
        <v>12.2</v>
      </c>
      <c r="D6323" s="637">
        <f t="shared" si="210"/>
        <v>29.483333333333338</v>
      </c>
      <c r="E6323" s="637">
        <f t="shared" si="211"/>
        <v>40.957142857142877</v>
      </c>
    </row>
    <row r="6324" spans="1:5">
      <c r="A6324">
        <v>92113</v>
      </c>
      <c r="B6324">
        <v>800</v>
      </c>
      <c r="C6324" s="455">
        <v>0.93100000000000005</v>
      </c>
      <c r="D6324" s="637">
        <f t="shared" si="210"/>
        <v>2.2499166666666675</v>
      </c>
      <c r="E6324" s="637">
        <f t="shared" si="211"/>
        <v>3.1255000000000019</v>
      </c>
    </row>
    <row r="6325" spans="1:5">
      <c r="A6325">
        <v>92113</v>
      </c>
      <c r="B6325">
        <v>900</v>
      </c>
      <c r="C6325" s="455">
        <v>1.2999999999999999E-2</v>
      </c>
      <c r="D6325" s="637">
        <f t="shared" si="210"/>
        <v>3.1416666666666676E-2</v>
      </c>
      <c r="E6325" s="637">
        <f t="shared" si="211"/>
        <v>4.3642857142857164E-2</v>
      </c>
    </row>
    <row r="6326" spans="1:5">
      <c r="A6326">
        <v>92113</v>
      </c>
      <c r="B6326">
        <v>1000</v>
      </c>
      <c r="C6326" s="455">
        <v>0</v>
      </c>
      <c r="D6326" s="637">
        <f t="shared" si="210"/>
        <v>0</v>
      </c>
      <c r="E6326" s="637">
        <f t="shared" si="211"/>
        <v>0</v>
      </c>
    </row>
    <row r="6327" spans="1:5">
      <c r="A6327">
        <v>92113</v>
      </c>
      <c r="B6327">
        <v>1100</v>
      </c>
      <c r="C6327" s="455">
        <v>0</v>
      </c>
      <c r="D6327" s="637">
        <f t="shared" si="210"/>
        <v>0</v>
      </c>
      <c r="E6327" s="637">
        <f t="shared" si="211"/>
        <v>0</v>
      </c>
    </row>
    <row r="6328" spans="1:5">
      <c r="A6328">
        <v>92113</v>
      </c>
      <c r="B6328">
        <v>1200</v>
      </c>
      <c r="C6328" s="455">
        <v>0</v>
      </c>
      <c r="D6328" s="637">
        <f t="shared" si="210"/>
        <v>0</v>
      </c>
      <c r="E6328" s="637">
        <f t="shared" si="211"/>
        <v>0</v>
      </c>
    </row>
    <row r="6329" spans="1:5">
      <c r="A6329">
        <v>92113</v>
      </c>
      <c r="B6329">
        <v>1300</v>
      </c>
      <c r="C6329" s="455">
        <v>0</v>
      </c>
      <c r="D6329" s="637">
        <f t="shared" si="210"/>
        <v>0</v>
      </c>
      <c r="E6329" s="637">
        <f t="shared" si="211"/>
        <v>0</v>
      </c>
    </row>
    <row r="6330" spans="1:5">
      <c r="A6330">
        <v>92113</v>
      </c>
      <c r="B6330">
        <v>1400</v>
      </c>
      <c r="C6330" s="455">
        <v>0</v>
      </c>
      <c r="D6330" s="637">
        <f t="shared" si="210"/>
        <v>0</v>
      </c>
      <c r="E6330" s="637">
        <f t="shared" si="211"/>
        <v>0</v>
      </c>
    </row>
    <row r="6331" spans="1:5">
      <c r="A6331">
        <v>92113</v>
      </c>
      <c r="B6331">
        <v>1500</v>
      </c>
      <c r="C6331" s="455">
        <v>0</v>
      </c>
      <c r="D6331" s="637">
        <f t="shared" si="210"/>
        <v>0</v>
      </c>
      <c r="E6331" s="637">
        <f t="shared" si="211"/>
        <v>0</v>
      </c>
    </row>
    <row r="6332" spans="1:5">
      <c r="A6332">
        <v>92113</v>
      </c>
      <c r="B6332">
        <v>1600</v>
      </c>
      <c r="C6332" s="455">
        <v>1E-3</v>
      </c>
      <c r="D6332" s="637">
        <f t="shared" si="210"/>
        <v>2.4166666666666672E-3</v>
      </c>
      <c r="E6332" s="637">
        <f t="shared" si="211"/>
        <v>3.3571428571428589E-3</v>
      </c>
    </row>
    <row r="6333" spans="1:5">
      <c r="A6333">
        <v>92113</v>
      </c>
      <c r="B6333">
        <v>1700</v>
      </c>
      <c r="C6333" s="455">
        <v>0</v>
      </c>
      <c r="D6333" s="637">
        <f t="shared" si="210"/>
        <v>0</v>
      </c>
      <c r="E6333" s="637">
        <f t="shared" si="211"/>
        <v>0</v>
      </c>
    </row>
    <row r="6334" spans="1:5">
      <c r="A6334">
        <v>92113</v>
      </c>
      <c r="B6334">
        <v>1800</v>
      </c>
      <c r="C6334" s="455">
        <v>8.9999999999999993E-3</v>
      </c>
      <c r="D6334" s="637">
        <f t="shared" si="210"/>
        <v>2.1750000000000002E-2</v>
      </c>
      <c r="E6334" s="637">
        <f t="shared" si="211"/>
        <v>3.0214285714285725E-2</v>
      </c>
    </row>
    <row r="6335" spans="1:5">
      <c r="A6335">
        <v>92113</v>
      </c>
      <c r="B6335">
        <v>1900</v>
      </c>
      <c r="C6335" s="455">
        <v>10.166</v>
      </c>
      <c r="D6335" s="637">
        <f t="shared" si="210"/>
        <v>24.56783333333334</v>
      </c>
      <c r="E6335" s="637">
        <f t="shared" si="211"/>
        <v>34.128714285714302</v>
      </c>
    </row>
    <row r="6336" spans="1:5">
      <c r="A6336">
        <v>92113</v>
      </c>
      <c r="B6336">
        <v>2000</v>
      </c>
      <c r="C6336" s="455">
        <v>10.084</v>
      </c>
      <c r="D6336" s="637">
        <f t="shared" si="210"/>
        <v>24.369666666666674</v>
      </c>
      <c r="E6336" s="637">
        <f t="shared" si="211"/>
        <v>33.853428571428587</v>
      </c>
    </row>
    <row r="6337" spans="1:5">
      <c r="A6337">
        <v>92113</v>
      </c>
      <c r="B6337">
        <v>2100</v>
      </c>
      <c r="C6337" s="455">
        <v>10.362</v>
      </c>
      <c r="D6337" s="637">
        <f t="shared" si="210"/>
        <v>25.041500000000006</v>
      </c>
      <c r="E6337" s="637">
        <f t="shared" si="211"/>
        <v>34.786714285714304</v>
      </c>
    </row>
    <row r="6338" spans="1:5">
      <c r="A6338">
        <v>92113</v>
      </c>
      <c r="B6338">
        <v>2200</v>
      </c>
      <c r="C6338" s="455">
        <v>10.417</v>
      </c>
      <c r="D6338" s="637">
        <f t="shared" si="210"/>
        <v>25.174416666666673</v>
      </c>
      <c r="E6338" s="637">
        <f t="shared" si="211"/>
        <v>34.971357142857158</v>
      </c>
    </row>
    <row r="6339" spans="1:5">
      <c r="A6339">
        <v>92113</v>
      </c>
      <c r="B6339">
        <v>2300</v>
      </c>
      <c r="C6339" s="455">
        <v>10.712999999999999</v>
      </c>
      <c r="D6339" s="637">
        <f t="shared" si="210"/>
        <v>25.889750000000006</v>
      </c>
      <c r="E6339" s="637">
        <f t="shared" si="211"/>
        <v>35.965071428571449</v>
      </c>
    </row>
    <row r="6340" spans="1:5">
      <c r="A6340">
        <v>92113</v>
      </c>
      <c r="B6340">
        <v>2400</v>
      </c>
      <c r="C6340" s="455">
        <v>10.795999999999999</v>
      </c>
      <c r="D6340" s="637">
        <f t="shared" si="210"/>
        <v>26.090333333333337</v>
      </c>
      <c r="E6340" s="637">
        <f t="shared" si="211"/>
        <v>36.243714285714304</v>
      </c>
    </row>
    <row r="6341" spans="1:5">
      <c r="A6341">
        <v>92213</v>
      </c>
      <c r="B6341">
        <v>100</v>
      </c>
      <c r="C6341" s="455">
        <v>10.625</v>
      </c>
      <c r="D6341" s="637">
        <f t="shared" si="210"/>
        <v>25.677083333333339</v>
      </c>
      <c r="E6341" s="637">
        <f t="shared" si="211"/>
        <v>35.669642857142875</v>
      </c>
    </row>
    <row r="6342" spans="1:5">
      <c r="A6342">
        <v>92213</v>
      </c>
      <c r="B6342">
        <v>200</v>
      </c>
      <c r="C6342" s="455">
        <v>10.321</v>
      </c>
      <c r="D6342" s="637">
        <f t="shared" si="210"/>
        <v>24.942416666666674</v>
      </c>
      <c r="E6342" s="637">
        <f t="shared" si="211"/>
        <v>34.649071428571446</v>
      </c>
    </row>
    <row r="6343" spans="1:5">
      <c r="A6343">
        <v>92213</v>
      </c>
      <c r="B6343">
        <v>300</v>
      </c>
      <c r="C6343" s="455">
        <v>10.849</v>
      </c>
      <c r="D6343" s="637">
        <f t="shared" si="210"/>
        <v>26.218416666666677</v>
      </c>
      <c r="E6343" s="637">
        <f t="shared" si="211"/>
        <v>36.421642857142878</v>
      </c>
    </row>
    <row r="6344" spans="1:5">
      <c r="A6344">
        <v>92213</v>
      </c>
      <c r="B6344">
        <v>400</v>
      </c>
      <c r="C6344" s="455">
        <v>11.067</v>
      </c>
      <c r="D6344" s="637">
        <f t="shared" si="210"/>
        <v>26.745250000000006</v>
      </c>
      <c r="E6344" s="637">
        <f t="shared" si="211"/>
        <v>37.153500000000015</v>
      </c>
    </row>
    <row r="6345" spans="1:5">
      <c r="A6345">
        <v>92213</v>
      </c>
      <c r="B6345">
        <v>500</v>
      </c>
      <c r="C6345" s="455">
        <v>10.847</v>
      </c>
      <c r="D6345" s="637">
        <f t="shared" si="210"/>
        <v>26.213583333333339</v>
      </c>
      <c r="E6345" s="637">
        <f t="shared" si="211"/>
        <v>36.41492857142859</v>
      </c>
    </row>
    <row r="6346" spans="1:5">
      <c r="A6346">
        <v>92213</v>
      </c>
      <c r="B6346">
        <v>600</v>
      </c>
      <c r="C6346" s="455">
        <v>11.188000000000001</v>
      </c>
      <c r="D6346" s="637">
        <f t="shared" si="210"/>
        <v>27.037666666666677</v>
      </c>
      <c r="E6346" s="637">
        <f t="shared" si="211"/>
        <v>37.559714285714307</v>
      </c>
    </row>
    <row r="6347" spans="1:5">
      <c r="A6347">
        <v>92213</v>
      </c>
      <c r="B6347">
        <v>700</v>
      </c>
      <c r="C6347" s="455">
        <v>3.9689999999999999</v>
      </c>
      <c r="D6347" s="637">
        <f t="shared" si="210"/>
        <v>9.5917500000000029</v>
      </c>
      <c r="E6347" s="637">
        <f t="shared" si="211"/>
        <v>13.324500000000008</v>
      </c>
    </row>
    <row r="6348" spans="1:5">
      <c r="A6348">
        <v>92213</v>
      </c>
      <c r="B6348">
        <v>800</v>
      </c>
      <c r="C6348" s="455">
        <v>1E-3</v>
      </c>
      <c r="D6348" s="637">
        <f t="shared" si="210"/>
        <v>2.4166666666666672E-3</v>
      </c>
      <c r="E6348" s="637">
        <f t="shared" si="211"/>
        <v>3.3571428571428589E-3</v>
      </c>
    </row>
    <row r="6349" spans="1:5">
      <c r="A6349">
        <v>92213</v>
      </c>
      <c r="B6349">
        <v>900</v>
      </c>
      <c r="C6349" s="455">
        <v>0</v>
      </c>
      <c r="D6349" s="637">
        <f t="shared" si="210"/>
        <v>0</v>
      </c>
      <c r="E6349" s="637">
        <f t="shared" si="211"/>
        <v>0</v>
      </c>
    </row>
    <row r="6350" spans="1:5">
      <c r="A6350">
        <v>92213</v>
      </c>
      <c r="B6350">
        <v>1000</v>
      </c>
      <c r="C6350" s="455">
        <v>0</v>
      </c>
      <c r="D6350" s="637">
        <f t="shared" ref="D6350:D6413" si="212">(C6350/(MAX($C$5837:$C$6556)))*$W$13</f>
        <v>0</v>
      </c>
      <c r="E6350" s="637">
        <f t="shared" ref="E6350:E6413" si="213">(C6350/(MAX($C$5837:$C$6556)))*$P$13</f>
        <v>0</v>
      </c>
    </row>
    <row r="6351" spans="1:5">
      <c r="A6351">
        <v>92213</v>
      </c>
      <c r="B6351">
        <v>1100</v>
      </c>
      <c r="C6351" s="455">
        <v>1E-3</v>
      </c>
      <c r="D6351" s="637">
        <f t="shared" si="212"/>
        <v>2.4166666666666672E-3</v>
      </c>
      <c r="E6351" s="637">
        <f t="shared" si="213"/>
        <v>3.3571428571428589E-3</v>
      </c>
    </row>
    <row r="6352" spans="1:5">
      <c r="A6352">
        <v>92213</v>
      </c>
      <c r="B6352">
        <v>1200</v>
      </c>
      <c r="C6352" s="455">
        <v>0</v>
      </c>
      <c r="D6352" s="637">
        <f t="shared" si="212"/>
        <v>0</v>
      </c>
      <c r="E6352" s="637">
        <f t="shared" si="213"/>
        <v>0</v>
      </c>
    </row>
    <row r="6353" spans="1:5">
      <c r="A6353">
        <v>92213</v>
      </c>
      <c r="B6353">
        <v>1300</v>
      </c>
      <c r="C6353" s="455">
        <v>1E-3</v>
      </c>
      <c r="D6353" s="637">
        <f t="shared" si="212"/>
        <v>2.4166666666666672E-3</v>
      </c>
      <c r="E6353" s="637">
        <f t="shared" si="213"/>
        <v>3.3571428571428589E-3</v>
      </c>
    </row>
    <row r="6354" spans="1:5">
      <c r="A6354">
        <v>92213</v>
      </c>
      <c r="B6354">
        <v>1400</v>
      </c>
      <c r="C6354" s="455">
        <v>0</v>
      </c>
      <c r="D6354" s="637">
        <f t="shared" si="212"/>
        <v>0</v>
      </c>
      <c r="E6354" s="637">
        <f t="shared" si="213"/>
        <v>0</v>
      </c>
    </row>
    <row r="6355" spans="1:5">
      <c r="A6355">
        <v>92213</v>
      </c>
      <c r="B6355">
        <v>1500</v>
      </c>
      <c r="C6355" s="455">
        <v>0</v>
      </c>
      <c r="D6355" s="637">
        <f t="shared" si="212"/>
        <v>0</v>
      </c>
      <c r="E6355" s="637">
        <f t="shared" si="213"/>
        <v>0</v>
      </c>
    </row>
    <row r="6356" spans="1:5">
      <c r="A6356">
        <v>92213</v>
      </c>
      <c r="B6356">
        <v>1600</v>
      </c>
      <c r="C6356" s="455">
        <v>0</v>
      </c>
      <c r="D6356" s="637">
        <f t="shared" si="212"/>
        <v>0</v>
      </c>
      <c r="E6356" s="637">
        <f t="shared" si="213"/>
        <v>0</v>
      </c>
    </row>
    <row r="6357" spans="1:5">
      <c r="A6357">
        <v>92213</v>
      </c>
      <c r="B6357">
        <v>1700</v>
      </c>
      <c r="C6357" s="455">
        <v>0</v>
      </c>
      <c r="D6357" s="637">
        <f t="shared" si="212"/>
        <v>0</v>
      </c>
      <c r="E6357" s="637">
        <f t="shared" si="213"/>
        <v>0</v>
      </c>
    </row>
    <row r="6358" spans="1:5">
      <c r="A6358">
        <v>92213</v>
      </c>
      <c r="B6358">
        <v>1800</v>
      </c>
      <c r="C6358" s="455">
        <v>0.14199999999999999</v>
      </c>
      <c r="D6358" s="637">
        <f t="shared" si="212"/>
        <v>0.34316666666666673</v>
      </c>
      <c r="E6358" s="637">
        <f t="shared" si="213"/>
        <v>0.47671428571428592</v>
      </c>
    </row>
    <row r="6359" spans="1:5">
      <c r="A6359">
        <v>92213</v>
      </c>
      <c r="B6359">
        <v>1900</v>
      </c>
      <c r="C6359" s="455">
        <v>11.632999999999999</v>
      </c>
      <c r="D6359" s="637">
        <f t="shared" si="212"/>
        <v>28.113083333333339</v>
      </c>
      <c r="E6359" s="637">
        <f t="shared" si="213"/>
        <v>39.053642857142876</v>
      </c>
    </row>
    <row r="6360" spans="1:5">
      <c r="A6360">
        <v>92213</v>
      </c>
      <c r="B6360">
        <v>2000</v>
      </c>
      <c r="C6360" s="455">
        <v>10.48</v>
      </c>
      <c r="D6360" s="637">
        <f t="shared" si="212"/>
        <v>25.326666666666675</v>
      </c>
      <c r="E6360" s="637">
        <f t="shared" si="213"/>
        <v>35.182857142857159</v>
      </c>
    </row>
    <row r="6361" spans="1:5">
      <c r="A6361">
        <v>92213</v>
      </c>
      <c r="B6361">
        <v>2100</v>
      </c>
      <c r="C6361" s="455">
        <v>10.746</v>
      </c>
      <c r="D6361" s="637">
        <f t="shared" si="212"/>
        <v>25.969500000000011</v>
      </c>
      <c r="E6361" s="637">
        <f t="shared" si="213"/>
        <v>36.075857142857167</v>
      </c>
    </row>
    <row r="6362" spans="1:5">
      <c r="A6362">
        <v>92213</v>
      </c>
      <c r="B6362">
        <v>2200</v>
      </c>
      <c r="C6362" s="455">
        <v>10.678000000000001</v>
      </c>
      <c r="D6362" s="637">
        <f t="shared" si="212"/>
        <v>25.805166666666675</v>
      </c>
      <c r="E6362" s="637">
        <f t="shared" si="213"/>
        <v>35.847571428571449</v>
      </c>
    </row>
    <row r="6363" spans="1:5">
      <c r="A6363">
        <v>92213</v>
      </c>
      <c r="B6363">
        <v>2300</v>
      </c>
      <c r="C6363" s="455">
        <v>10.561</v>
      </c>
      <c r="D6363" s="637">
        <f t="shared" si="212"/>
        <v>25.522416666666675</v>
      </c>
      <c r="E6363" s="637">
        <f t="shared" si="213"/>
        <v>35.454785714285734</v>
      </c>
    </row>
    <row r="6364" spans="1:5">
      <c r="A6364">
        <v>92213</v>
      </c>
      <c r="B6364">
        <v>2400</v>
      </c>
      <c r="C6364" s="455">
        <v>10.839</v>
      </c>
      <c r="D6364" s="637">
        <f t="shared" si="212"/>
        <v>26.194250000000007</v>
      </c>
      <c r="E6364" s="637">
        <f t="shared" si="213"/>
        <v>36.38807142857145</v>
      </c>
    </row>
    <row r="6365" spans="1:5">
      <c r="A6365">
        <v>92313</v>
      </c>
      <c r="B6365">
        <v>100</v>
      </c>
      <c r="C6365" s="455">
        <v>10.478</v>
      </c>
      <c r="D6365" s="637">
        <f t="shared" si="212"/>
        <v>25.321833333333341</v>
      </c>
      <c r="E6365" s="637">
        <f t="shared" si="213"/>
        <v>35.176142857142878</v>
      </c>
    </row>
    <row r="6366" spans="1:5">
      <c r="A6366">
        <v>92313</v>
      </c>
      <c r="B6366">
        <v>200</v>
      </c>
      <c r="C6366" s="455">
        <v>10.554</v>
      </c>
      <c r="D6366" s="637">
        <f t="shared" si="212"/>
        <v>25.505500000000008</v>
      </c>
      <c r="E6366" s="637">
        <f t="shared" si="213"/>
        <v>35.431285714285735</v>
      </c>
    </row>
    <row r="6367" spans="1:5">
      <c r="A6367">
        <v>92313</v>
      </c>
      <c r="B6367">
        <v>300</v>
      </c>
      <c r="C6367" s="455">
        <v>10.664</v>
      </c>
      <c r="D6367" s="637">
        <f t="shared" si="212"/>
        <v>25.771333333333338</v>
      </c>
      <c r="E6367" s="637">
        <f t="shared" si="213"/>
        <v>35.800571428571445</v>
      </c>
    </row>
    <row r="6368" spans="1:5">
      <c r="A6368">
        <v>92313</v>
      </c>
      <c r="B6368">
        <v>400</v>
      </c>
      <c r="C6368" s="455">
        <v>10.912000000000001</v>
      </c>
      <c r="D6368" s="637">
        <f t="shared" si="212"/>
        <v>26.370666666666676</v>
      </c>
      <c r="E6368" s="637">
        <f t="shared" si="213"/>
        <v>36.633142857142879</v>
      </c>
    </row>
    <row r="6369" spans="1:5">
      <c r="A6369">
        <v>92313</v>
      </c>
      <c r="B6369">
        <v>500</v>
      </c>
      <c r="C6369" s="455">
        <v>10.938000000000001</v>
      </c>
      <c r="D6369" s="637">
        <f t="shared" si="212"/>
        <v>26.433500000000009</v>
      </c>
      <c r="E6369" s="637">
        <f t="shared" si="213"/>
        <v>36.720428571428592</v>
      </c>
    </row>
    <row r="6370" spans="1:5">
      <c r="A6370">
        <v>92313</v>
      </c>
      <c r="B6370">
        <v>600</v>
      </c>
      <c r="C6370" s="455">
        <v>10.842000000000001</v>
      </c>
      <c r="D6370" s="637">
        <f t="shared" si="212"/>
        <v>26.20150000000001</v>
      </c>
      <c r="E6370" s="637">
        <f t="shared" si="213"/>
        <v>36.398142857142879</v>
      </c>
    </row>
    <row r="6371" spans="1:5">
      <c r="A6371">
        <v>92313</v>
      </c>
      <c r="B6371">
        <v>700</v>
      </c>
      <c r="C6371" s="455">
        <v>4.0090000000000003</v>
      </c>
      <c r="D6371" s="637">
        <f t="shared" si="212"/>
        <v>9.6884166666666687</v>
      </c>
      <c r="E6371" s="637">
        <f t="shared" si="213"/>
        <v>13.458785714285721</v>
      </c>
    </row>
    <row r="6372" spans="1:5">
      <c r="A6372">
        <v>92313</v>
      </c>
      <c r="B6372">
        <v>800</v>
      </c>
      <c r="C6372" s="455">
        <v>0</v>
      </c>
      <c r="D6372" s="637">
        <f t="shared" si="212"/>
        <v>0</v>
      </c>
      <c r="E6372" s="637">
        <f t="shared" si="213"/>
        <v>0</v>
      </c>
    </row>
    <row r="6373" spans="1:5">
      <c r="A6373">
        <v>92313</v>
      </c>
      <c r="B6373">
        <v>900</v>
      </c>
      <c r="C6373" s="455">
        <v>0</v>
      </c>
      <c r="D6373" s="637">
        <f t="shared" si="212"/>
        <v>0</v>
      </c>
      <c r="E6373" s="637">
        <f t="shared" si="213"/>
        <v>0</v>
      </c>
    </row>
    <row r="6374" spans="1:5">
      <c r="A6374">
        <v>92313</v>
      </c>
      <c r="B6374">
        <v>1000</v>
      </c>
      <c r="C6374" s="455">
        <v>0</v>
      </c>
      <c r="D6374" s="637">
        <f t="shared" si="212"/>
        <v>0</v>
      </c>
      <c r="E6374" s="637">
        <f t="shared" si="213"/>
        <v>0</v>
      </c>
    </row>
    <row r="6375" spans="1:5">
      <c r="A6375">
        <v>92313</v>
      </c>
      <c r="B6375">
        <v>1100</v>
      </c>
      <c r="C6375" s="455">
        <v>0</v>
      </c>
      <c r="D6375" s="637">
        <f t="shared" si="212"/>
        <v>0</v>
      </c>
      <c r="E6375" s="637">
        <f t="shared" si="213"/>
        <v>0</v>
      </c>
    </row>
    <row r="6376" spans="1:5">
      <c r="A6376">
        <v>92313</v>
      </c>
      <c r="B6376">
        <v>1200</v>
      </c>
      <c r="C6376" s="455">
        <v>0</v>
      </c>
      <c r="D6376" s="637">
        <f t="shared" si="212"/>
        <v>0</v>
      </c>
      <c r="E6376" s="637">
        <f t="shared" si="213"/>
        <v>0</v>
      </c>
    </row>
    <row r="6377" spans="1:5">
      <c r="A6377">
        <v>92313</v>
      </c>
      <c r="B6377">
        <v>1300</v>
      </c>
      <c r="C6377" s="455">
        <v>0</v>
      </c>
      <c r="D6377" s="637">
        <f t="shared" si="212"/>
        <v>0</v>
      </c>
      <c r="E6377" s="637">
        <f t="shared" si="213"/>
        <v>0</v>
      </c>
    </row>
    <row r="6378" spans="1:5">
      <c r="A6378">
        <v>92313</v>
      </c>
      <c r="B6378">
        <v>1400</v>
      </c>
      <c r="C6378" s="455">
        <v>0</v>
      </c>
      <c r="D6378" s="637">
        <f t="shared" si="212"/>
        <v>0</v>
      </c>
      <c r="E6378" s="637">
        <f t="shared" si="213"/>
        <v>0</v>
      </c>
    </row>
    <row r="6379" spans="1:5">
      <c r="A6379">
        <v>92313</v>
      </c>
      <c r="B6379">
        <v>1500</v>
      </c>
      <c r="C6379" s="455">
        <v>0</v>
      </c>
      <c r="D6379" s="637">
        <f t="shared" si="212"/>
        <v>0</v>
      </c>
      <c r="E6379" s="637">
        <f t="shared" si="213"/>
        <v>0</v>
      </c>
    </row>
    <row r="6380" spans="1:5">
      <c r="A6380">
        <v>92313</v>
      </c>
      <c r="B6380">
        <v>1600</v>
      </c>
      <c r="C6380" s="455">
        <v>0</v>
      </c>
      <c r="D6380" s="637">
        <f t="shared" si="212"/>
        <v>0</v>
      </c>
      <c r="E6380" s="637">
        <f t="shared" si="213"/>
        <v>0</v>
      </c>
    </row>
    <row r="6381" spans="1:5">
      <c r="A6381">
        <v>92313</v>
      </c>
      <c r="B6381">
        <v>1700</v>
      </c>
      <c r="C6381" s="455">
        <v>0</v>
      </c>
      <c r="D6381" s="637">
        <f t="shared" si="212"/>
        <v>0</v>
      </c>
      <c r="E6381" s="637">
        <f t="shared" si="213"/>
        <v>0</v>
      </c>
    </row>
    <row r="6382" spans="1:5">
      <c r="A6382">
        <v>92313</v>
      </c>
      <c r="B6382">
        <v>1800</v>
      </c>
      <c r="C6382" s="455">
        <v>4.5999999999999999E-2</v>
      </c>
      <c r="D6382" s="637">
        <f t="shared" si="212"/>
        <v>0.11116666666666671</v>
      </c>
      <c r="E6382" s="637">
        <f t="shared" si="213"/>
        <v>0.15442857142857153</v>
      </c>
    </row>
    <row r="6383" spans="1:5">
      <c r="A6383">
        <v>92313</v>
      </c>
      <c r="B6383">
        <v>1900</v>
      </c>
      <c r="C6383" s="455">
        <v>10.853999999999999</v>
      </c>
      <c r="D6383" s="637">
        <f t="shared" si="212"/>
        <v>26.230500000000006</v>
      </c>
      <c r="E6383" s="637">
        <f t="shared" si="213"/>
        <v>36.438428571428588</v>
      </c>
    </row>
    <row r="6384" spans="1:5">
      <c r="A6384">
        <v>92313</v>
      </c>
      <c r="B6384">
        <v>2000</v>
      </c>
      <c r="C6384" s="455">
        <v>10.183999999999999</v>
      </c>
      <c r="D6384" s="637">
        <f t="shared" si="212"/>
        <v>24.611333333333341</v>
      </c>
      <c r="E6384" s="637">
        <f t="shared" si="213"/>
        <v>34.189142857142876</v>
      </c>
    </row>
    <row r="6385" spans="1:5">
      <c r="A6385">
        <v>92313</v>
      </c>
      <c r="B6385">
        <v>2100</v>
      </c>
      <c r="C6385" s="455">
        <v>10.413</v>
      </c>
      <c r="D6385" s="637">
        <f t="shared" si="212"/>
        <v>25.164750000000009</v>
      </c>
      <c r="E6385" s="637">
        <f t="shared" si="213"/>
        <v>34.957928571428589</v>
      </c>
    </row>
    <row r="6386" spans="1:5">
      <c r="A6386">
        <v>92313</v>
      </c>
      <c r="B6386">
        <v>2200</v>
      </c>
      <c r="C6386" s="455">
        <v>10.577</v>
      </c>
      <c r="D6386" s="637">
        <f t="shared" si="212"/>
        <v>25.56108333333334</v>
      </c>
      <c r="E6386" s="637">
        <f t="shared" si="213"/>
        <v>35.508500000000019</v>
      </c>
    </row>
    <row r="6387" spans="1:5">
      <c r="A6387">
        <v>92313</v>
      </c>
      <c r="B6387">
        <v>2300</v>
      </c>
      <c r="C6387" s="455">
        <v>10.326000000000001</v>
      </c>
      <c r="D6387" s="637">
        <f t="shared" si="212"/>
        <v>24.95450000000001</v>
      </c>
      <c r="E6387" s="637">
        <f t="shared" si="213"/>
        <v>34.665857142857163</v>
      </c>
    </row>
    <row r="6388" spans="1:5">
      <c r="A6388">
        <v>92313</v>
      </c>
      <c r="B6388">
        <v>2400</v>
      </c>
      <c r="C6388" s="455">
        <v>10.590999999999999</v>
      </c>
      <c r="D6388" s="637">
        <f t="shared" si="212"/>
        <v>25.59491666666667</v>
      </c>
      <c r="E6388" s="637">
        <f t="shared" si="213"/>
        <v>35.555500000000016</v>
      </c>
    </row>
    <row r="6389" spans="1:5">
      <c r="A6389">
        <v>92413</v>
      </c>
      <c r="B6389">
        <v>100</v>
      </c>
      <c r="C6389" s="455">
        <v>11.335000000000001</v>
      </c>
      <c r="D6389" s="637">
        <f t="shared" si="212"/>
        <v>27.392916666666675</v>
      </c>
      <c r="E6389" s="637">
        <f t="shared" si="213"/>
        <v>38.053214285714304</v>
      </c>
    </row>
    <row r="6390" spans="1:5">
      <c r="A6390">
        <v>92413</v>
      </c>
      <c r="B6390">
        <v>200</v>
      </c>
      <c r="C6390" s="455">
        <v>11.097</v>
      </c>
      <c r="D6390" s="637">
        <f t="shared" si="212"/>
        <v>26.817750000000007</v>
      </c>
      <c r="E6390" s="637">
        <f t="shared" si="213"/>
        <v>37.254214285714305</v>
      </c>
    </row>
    <row r="6391" spans="1:5">
      <c r="A6391">
        <v>92413</v>
      </c>
      <c r="B6391">
        <v>300</v>
      </c>
      <c r="C6391" s="455">
        <v>11.246</v>
      </c>
      <c r="D6391" s="637">
        <f t="shared" si="212"/>
        <v>27.177833333333343</v>
      </c>
      <c r="E6391" s="637">
        <f t="shared" si="213"/>
        <v>37.754428571428591</v>
      </c>
    </row>
    <row r="6392" spans="1:5">
      <c r="A6392">
        <v>92413</v>
      </c>
      <c r="B6392">
        <v>400</v>
      </c>
      <c r="C6392" s="455">
        <v>11.064</v>
      </c>
      <c r="D6392" s="637">
        <f t="shared" si="212"/>
        <v>26.738000000000007</v>
      </c>
      <c r="E6392" s="637">
        <f t="shared" si="213"/>
        <v>37.143428571428593</v>
      </c>
    </row>
    <row r="6393" spans="1:5">
      <c r="A6393">
        <v>92413</v>
      </c>
      <c r="B6393">
        <v>500</v>
      </c>
      <c r="C6393" s="455">
        <v>11.051</v>
      </c>
      <c r="D6393" s="637">
        <f t="shared" si="212"/>
        <v>26.706583333333342</v>
      </c>
      <c r="E6393" s="637">
        <f t="shared" si="213"/>
        <v>37.09978571428573</v>
      </c>
    </row>
    <row r="6394" spans="1:5">
      <c r="A6394">
        <v>92413</v>
      </c>
      <c r="B6394">
        <v>600</v>
      </c>
      <c r="C6394" s="455">
        <v>11.12</v>
      </c>
      <c r="D6394" s="637">
        <f t="shared" si="212"/>
        <v>26.873333333333338</v>
      </c>
      <c r="E6394" s="637">
        <f t="shared" si="213"/>
        <v>37.331428571428589</v>
      </c>
    </row>
    <row r="6395" spans="1:5">
      <c r="A6395">
        <v>92413</v>
      </c>
      <c r="B6395">
        <v>700</v>
      </c>
      <c r="C6395" s="455">
        <v>4.1319999999999997</v>
      </c>
      <c r="D6395" s="637">
        <f t="shared" si="212"/>
        <v>9.9856666666666687</v>
      </c>
      <c r="E6395" s="637">
        <f t="shared" si="213"/>
        <v>13.871714285714292</v>
      </c>
    </row>
    <row r="6396" spans="1:5">
      <c r="A6396">
        <v>92413</v>
      </c>
      <c r="B6396">
        <v>800</v>
      </c>
      <c r="C6396" s="455">
        <v>0</v>
      </c>
      <c r="D6396" s="637">
        <f t="shared" si="212"/>
        <v>0</v>
      </c>
      <c r="E6396" s="637">
        <f t="shared" si="213"/>
        <v>0</v>
      </c>
    </row>
    <row r="6397" spans="1:5">
      <c r="A6397">
        <v>92413</v>
      </c>
      <c r="B6397">
        <v>900</v>
      </c>
      <c r="C6397" s="455">
        <v>0</v>
      </c>
      <c r="D6397" s="637">
        <f t="shared" si="212"/>
        <v>0</v>
      </c>
      <c r="E6397" s="637">
        <f t="shared" si="213"/>
        <v>0</v>
      </c>
    </row>
    <row r="6398" spans="1:5">
      <c r="A6398">
        <v>92413</v>
      </c>
      <c r="B6398">
        <v>1000</v>
      </c>
      <c r="C6398" s="455">
        <v>0</v>
      </c>
      <c r="D6398" s="637">
        <f t="shared" si="212"/>
        <v>0</v>
      </c>
      <c r="E6398" s="637">
        <f t="shared" si="213"/>
        <v>0</v>
      </c>
    </row>
    <row r="6399" spans="1:5">
      <c r="A6399">
        <v>92413</v>
      </c>
      <c r="B6399">
        <v>1100</v>
      </c>
      <c r="C6399" s="455">
        <v>0</v>
      </c>
      <c r="D6399" s="637">
        <f t="shared" si="212"/>
        <v>0</v>
      </c>
      <c r="E6399" s="637">
        <f t="shared" si="213"/>
        <v>0</v>
      </c>
    </row>
    <row r="6400" spans="1:5">
      <c r="A6400">
        <v>92413</v>
      </c>
      <c r="B6400">
        <v>1200</v>
      </c>
      <c r="C6400" s="455">
        <v>0</v>
      </c>
      <c r="D6400" s="637">
        <f t="shared" si="212"/>
        <v>0</v>
      </c>
      <c r="E6400" s="637">
        <f t="shared" si="213"/>
        <v>0</v>
      </c>
    </row>
    <row r="6401" spans="1:5">
      <c r="A6401">
        <v>92413</v>
      </c>
      <c r="B6401">
        <v>1300</v>
      </c>
      <c r="C6401" s="455">
        <v>0</v>
      </c>
      <c r="D6401" s="637">
        <f t="shared" si="212"/>
        <v>0</v>
      </c>
      <c r="E6401" s="637">
        <f t="shared" si="213"/>
        <v>0</v>
      </c>
    </row>
    <row r="6402" spans="1:5">
      <c r="A6402">
        <v>92413</v>
      </c>
      <c r="B6402">
        <v>1400</v>
      </c>
      <c r="C6402" s="455">
        <v>0</v>
      </c>
      <c r="D6402" s="637">
        <f t="shared" si="212"/>
        <v>0</v>
      </c>
      <c r="E6402" s="637">
        <f t="shared" si="213"/>
        <v>0</v>
      </c>
    </row>
    <row r="6403" spans="1:5">
      <c r="A6403">
        <v>92413</v>
      </c>
      <c r="B6403">
        <v>1500</v>
      </c>
      <c r="C6403" s="455">
        <v>0</v>
      </c>
      <c r="D6403" s="637">
        <f t="shared" si="212"/>
        <v>0</v>
      </c>
      <c r="E6403" s="637">
        <f t="shared" si="213"/>
        <v>0</v>
      </c>
    </row>
    <row r="6404" spans="1:5">
      <c r="A6404">
        <v>92413</v>
      </c>
      <c r="B6404">
        <v>1600</v>
      </c>
      <c r="C6404" s="455">
        <v>0</v>
      </c>
      <c r="D6404" s="637">
        <f t="shared" si="212"/>
        <v>0</v>
      </c>
      <c r="E6404" s="637">
        <f t="shared" si="213"/>
        <v>0</v>
      </c>
    </row>
    <row r="6405" spans="1:5">
      <c r="A6405">
        <v>92413</v>
      </c>
      <c r="B6405">
        <v>1700</v>
      </c>
      <c r="C6405" s="455">
        <v>0</v>
      </c>
      <c r="D6405" s="637">
        <f t="shared" si="212"/>
        <v>0</v>
      </c>
      <c r="E6405" s="637">
        <f t="shared" si="213"/>
        <v>0</v>
      </c>
    </row>
    <row r="6406" spans="1:5">
      <c r="A6406">
        <v>92413</v>
      </c>
      <c r="B6406">
        <v>1800</v>
      </c>
      <c r="C6406" s="455">
        <v>6.9000000000000006E-2</v>
      </c>
      <c r="D6406" s="637">
        <f t="shared" si="212"/>
        <v>0.16675000000000004</v>
      </c>
      <c r="E6406" s="637">
        <f t="shared" si="213"/>
        <v>0.23164285714285726</v>
      </c>
    </row>
    <row r="6407" spans="1:5">
      <c r="A6407">
        <v>92413</v>
      </c>
      <c r="B6407">
        <v>1900</v>
      </c>
      <c r="C6407" s="455">
        <v>11.4</v>
      </c>
      <c r="D6407" s="637">
        <f t="shared" si="212"/>
        <v>27.550000000000008</v>
      </c>
      <c r="E6407" s="637">
        <f t="shared" si="213"/>
        <v>38.271428571428594</v>
      </c>
    </row>
    <row r="6408" spans="1:5">
      <c r="A6408">
        <v>92413</v>
      </c>
      <c r="B6408">
        <v>2000</v>
      </c>
      <c r="C6408" s="455">
        <v>10.289</v>
      </c>
      <c r="D6408" s="637">
        <f t="shared" si="212"/>
        <v>24.865083333333338</v>
      </c>
      <c r="E6408" s="637">
        <f t="shared" si="213"/>
        <v>34.541642857142875</v>
      </c>
    </row>
    <row r="6409" spans="1:5">
      <c r="A6409">
        <v>92413</v>
      </c>
      <c r="B6409">
        <v>2100</v>
      </c>
      <c r="C6409" s="455">
        <v>10.129</v>
      </c>
      <c r="D6409" s="637">
        <f t="shared" si="212"/>
        <v>24.478416666666675</v>
      </c>
      <c r="E6409" s="637">
        <f t="shared" si="213"/>
        <v>34.004500000000021</v>
      </c>
    </row>
    <row r="6410" spans="1:5">
      <c r="A6410">
        <v>92413</v>
      </c>
      <c r="B6410">
        <v>2200</v>
      </c>
      <c r="C6410" s="455">
        <v>9.9659999999999993</v>
      </c>
      <c r="D6410" s="637">
        <f t="shared" si="212"/>
        <v>24.084500000000006</v>
      </c>
      <c r="E6410" s="637">
        <f t="shared" si="213"/>
        <v>33.457285714285732</v>
      </c>
    </row>
    <row r="6411" spans="1:5">
      <c r="A6411">
        <v>92413</v>
      </c>
      <c r="B6411">
        <v>2300</v>
      </c>
      <c r="C6411" s="455">
        <v>10.186999999999999</v>
      </c>
      <c r="D6411" s="637">
        <f t="shared" si="212"/>
        <v>24.618583333333341</v>
      </c>
      <c r="E6411" s="637">
        <f t="shared" si="213"/>
        <v>34.199214285714305</v>
      </c>
    </row>
    <row r="6412" spans="1:5">
      <c r="A6412">
        <v>92413</v>
      </c>
      <c r="B6412">
        <v>2400</v>
      </c>
      <c r="C6412" s="455">
        <v>10.557</v>
      </c>
      <c r="D6412" s="637">
        <f t="shared" si="212"/>
        <v>25.512750000000008</v>
      </c>
      <c r="E6412" s="637">
        <f t="shared" si="213"/>
        <v>35.441357142857164</v>
      </c>
    </row>
    <row r="6413" spans="1:5">
      <c r="A6413">
        <v>92513</v>
      </c>
      <c r="B6413">
        <v>100</v>
      </c>
      <c r="C6413" s="455">
        <v>10.678000000000001</v>
      </c>
      <c r="D6413" s="637">
        <f t="shared" si="212"/>
        <v>25.805166666666675</v>
      </c>
      <c r="E6413" s="637">
        <f t="shared" si="213"/>
        <v>35.847571428571449</v>
      </c>
    </row>
    <row r="6414" spans="1:5">
      <c r="A6414">
        <v>92513</v>
      </c>
      <c r="B6414">
        <v>200</v>
      </c>
      <c r="C6414" s="455">
        <v>10.667999999999999</v>
      </c>
      <c r="D6414" s="637">
        <f t="shared" ref="D6414:D6477" si="214">(C6414/(MAX($C$5837:$C$6556)))*$W$13</f>
        <v>25.781000000000006</v>
      </c>
      <c r="E6414" s="637">
        <f t="shared" ref="E6414:E6477" si="215">(C6414/(MAX($C$5837:$C$6556)))*$P$13</f>
        <v>35.814000000000014</v>
      </c>
    </row>
    <row r="6415" spans="1:5">
      <c r="A6415">
        <v>92513</v>
      </c>
      <c r="B6415">
        <v>300</v>
      </c>
      <c r="C6415" s="455">
        <v>10.75</v>
      </c>
      <c r="D6415" s="637">
        <f t="shared" si="214"/>
        <v>25.979166666666671</v>
      </c>
      <c r="E6415" s="637">
        <f t="shared" si="215"/>
        <v>36.08928571428573</v>
      </c>
    </row>
    <row r="6416" spans="1:5">
      <c r="A6416">
        <v>92513</v>
      </c>
      <c r="B6416">
        <v>400</v>
      </c>
      <c r="C6416" s="455">
        <v>10.987</v>
      </c>
      <c r="D6416" s="637">
        <f t="shared" si="214"/>
        <v>26.551916666666674</v>
      </c>
      <c r="E6416" s="637">
        <f t="shared" si="215"/>
        <v>36.884928571428588</v>
      </c>
    </row>
    <row r="6417" spans="1:5">
      <c r="A6417">
        <v>92513</v>
      </c>
      <c r="B6417">
        <v>500</v>
      </c>
      <c r="C6417" s="455">
        <v>11.23</v>
      </c>
      <c r="D6417" s="637">
        <f t="shared" si="214"/>
        <v>27.139166666666675</v>
      </c>
      <c r="E6417" s="637">
        <f t="shared" si="215"/>
        <v>37.700714285714305</v>
      </c>
    </row>
    <row r="6418" spans="1:5">
      <c r="A6418">
        <v>92513</v>
      </c>
      <c r="B6418">
        <v>600</v>
      </c>
      <c r="C6418" s="455">
        <v>10.867000000000001</v>
      </c>
      <c r="D6418" s="637">
        <f t="shared" si="214"/>
        <v>26.261916666666675</v>
      </c>
      <c r="E6418" s="637">
        <f t="shared" si="215"/>
        <v>36.482071428571452</v>
      </c>
    </row>
    <row r="6419" spans="1:5">
      <c r="A6419">
        <v>92513</v>
      </c>
      <c r="B6419">
        <v>700</v>
      </c>
      <c r="C6419" s="455">
        <v>4.484</v>
      </c>
      <c r="D6419" s="637">
        <f t="shared" si="214"/>
        <v>10.836333333333336</v>
      </c>
      <c r="E6419" s="637">
        <f t="shared" si="215"/>
        <v>15.053428571428579</v>
      </c>
    </row>
    <row r="6420" spans="1:5">
      <c r="A6420">
        <v>92513</v>
      </c>
      <c r="B6420">
        <v>800</v>
      </c>
      <c r="C6420" s="455">
        <v>0</v>
      </c>
      <c r="D6420" s="637">
        <f t="shared" si="214"/>
        <v>0</v>
      </c>
      <c r="E6420" s="637">
        <f t="shared" si="215"/>
        <v>0</v>
      </c>
    </row>
    <row r="6421" spans="1:5">
      <c r="A6421">
        <v>92513</v>
      </c>
      <c r="B6421">
        <v>900</v>
      </c>
      <c r="C6421" s="455">
        <v>0</v>
      </c>
      <c r="D6421" s="637">
        <f t="shared" si="214"/>
        <v>0</v>
      </c>
      <c r="E6421" s="637">
        <f t="shared" si="215"/>
        <v>0</v>
      </c>
    </row>
    <row r="6422" spans="1:5">
      <c r="A6422">
        <v>92513</v>
      </c>
      <c r="B6422">
        <v>1000</v>
      </c>
      <c r="C6422" s="455">
        <v>0</v>
      </c>
      <c r="D6422" s="637">
        <f t="shared" si="214"/>
        <v>0</v>
      </c>
      <c r="E6422" s="637">
        <f t="shared" si="215"/>
        <v>0</v>
      </c>
    </row>
    <row r="6423" spans="1:5">
      <c r="A6423">
        <v>92513</v>
      </c>
      <c r="B6423">
        <v>1100</v>
      </c>
      <c r="C6423" s="455">
        <v>0</v>
      </c>
      <c r="D6423" s="637">
        <f t="shared" si="214"/>
        <v>0</v>
      </c>
      <c r="E6423" s="637">
        <f t="shared" si="215"/>
        <v>0</v>
      </c>
    </row>
    <row r="6424" spans="1:5">
      <c r="A6424">
        <v>92513</v>
      </c>
      <c r="B6424">
        <v>1200</v>
      </c>
      <c r="C6424" s="455">
        <v>0</v>
      </c>
      <c r="D6424" s="637">
        <f t="shared" si="214"/>
        <v>0</v>
      </c>
      <c r="E6424" s="637">
        <f t="shared" si="215"/>
        <v>0</v>
      </c>
    </row>
    <row r="6425" spans="1:5">
      <c r="A6425">
        <v>92513</v>
      </c>
      <c r="B6425">
        <v>1300</v>
      </c>
      <c r="C6425" s="455">
        <v>0</v>
      </c>
      <c r="D6425" s="637">
        <f t="shared" si="214"/>
        <v>0</v>
      </c>
      <c r="E6425" s="637">
        <f t="shared" si="215"/>
        <v>0</v>
      </c>
    </row>
    <row r="6426" spans="1:5">
      <c r="A6426">
        <v>92513</v>
      </c>
      <c r="B6426">
        <v>1400</v>
      </c>
      <c r="C6426" s="455">
        <v>0</v>
      </c>
      <c r="D6426" s="637">
        <f t="shared" si="214"/>
        <v>0</v>
      </c>
      <c r="E6426" s="637">
        <f t="shared" si="215"/>
        <v>0</v>
      </c>
    </row>
    <row r="6427" spans="1:5">
      <c r="A6427">
        <v>92513</v>
      </c>
      <c r="B6427">
        <v>1500</v>
      </c>
      <c r="C6427" s="455">
        <v>0</v>
      </c>
      <c r="D6427" s="637">
        <f t="shared" si="214"/>
        <v>0</v>
      </c>
      <c r="E6427" s="637">
        <f t="shared" si="215"/>
        <v>0</v>
      </c>
    </row>
    <row r="6428" spans="1:5">
      <c r="A6428">
        <v>92513</v>
      </c>
      <c r="B6428">
        <v>1600</v>
      </c>
      <c r="C6428" s="455">
        <v>0</v>
      </c>
      <c r="D6428" s="637">
        <f t="shared" si="214"/>
        <v>0</v>
      </c>
      <c r="E6428" s="637">
        <f t="shared" si="215"/>
        <v>0</v>
      </c>
    </row>
    <row r="6429" spans="1:5">
      <c r="A6429">
        <v>92513</v>
      </c>
      <c r="B6429">
        <v>1700</v>
      </c>
      <c r="C6429" s="455">
        <v>0</v>
      </c>
      <c r="D6429" s="637">
        <f t="shared" si="214"/>
        <v>0</v>
      </c>
      <c r="E6429" s="637">
        <f t="shared" si="215"/>
        <v>0</v>
      </c>
    </row>
    <row r="6430" spans="1:5">
      <c r="A6430">
        <v>92513</v>
      </c>
      <c r="B6430">
        <v>1800</v>
      </c>
      <c r="C6430" s="455">
        <v>1.0999999999999999E-2</v>
      </c>
      <c r="D6430" s="637">
        <f t="shared" si="214"/>
        <v>2.6583333333333337E-2</v>
      </c>
      <c r="E6430" s="637">
        <f t="shared" si="215"/>
        <v>3.6928571428571443E-2</v>
      </c>
    </row>
    <row r="6431" spans="1:5">
      <c r="A6431">
        <v>92513</v>
      </c>
      <c r="B6431">
        <v>1900</v>
      </c>
      <c r="C6431" s="455">
        <v>11.794</v>
      </c>
      <c r="D6431" s="637">
        <f t="shared" si="214"/>
        <v>28.502166666666675</v>
      </c>
      <c r="E6431" s="637">
        <f t="shared" si="215"/>
        <v>39.594142857142877</v>
      </c>
    </row>
    <row r="6432" spans="1:5">
      <c r="A6432">
        <v>92513</v>
      </c>
      <c r="B6432">
        <v>2000</v>
      </c>
      <c r="C6432" s="455">
        <v>10.237</v>
      </c>
      <c r="D6432" s="637">
        <f t="shared" si="214"/>
        <v>24.739416666666674</v>
      </c>
      <c r="E6432" s="637">
        <f t="shared" si="215"/>
        <v>34.367071428571442</v>
      </c>
    </row>
    <row r="6433" spans="1:5">
      <c r="A6433">
        <v>92513</v>
      </c>
      <c r="B6433">
        <v>2100</v>
      </c>
      <c r="C6433" s="455">
        <v>10.108000000000001</v>
      </c>
      <c r="D6433" s="637">
        <f t="shared" si="214"/>
        <v>24.427666666666674</v>
      </c>
      <c r="E6433" s="637">
        <f t="shared" si="215"/>
        <v>33.934000000000019</v>
      </c>
    </row>
    <row r="6434" spans="1:5">
      <c r="A6434">
        <v>92513</v>
      </c>
      <c r="B6434">
        <v>2200</v>
      </c>
      <c r="C6434" s="455">
        <v>10.260999999999999</v>
      </c>
      <c r="D6434" s="637">
        <f t="shared" si="214"/>
        <v>24.797416666666674</v>
      </c>
      <c r="E6434" s="637">
        <f t="shared" si="215"/>
        <v>34.447642857142874</v>
      </c>
    </row>
    <row r="6435" spans="1:5">
      <c r="A6435">
        <v>92513</v>
      </c>
      <c r="B6435">
        <v>2300</v>
      </c>
      <c r="C6435" s="455">
        <v>10.154</v>
      </c>
      <c r="D6435" s="637">
        <f t="shared" si="214"/>
        <v>24.53883333333334</v>
      </c>
      <c r="E6435" s="637">
        <f t="shared" si="215"/>
        <v>34.088428571428587</v>
      </c>
    </row>
    <row r="6436" spans="1:5">
      <c r="A6436">
        <v>92513</v>
      </c>
      <c r="B6436">
        <v>2400</v>
      </c>
      <c r="C6436" s="455">
        <v>10.153</v>
      </c>
      <c r="D6436" s="637">
        <f t="shared" si="214"/>
        <v>24.536416666666675</v>
      </c>
      <c r="E6436" s="637">
        <f t="shared" si="215"/>
        <v>34.085071428571446</v>
      </c>
    </row>
    <row r="6437" spans="1:5">
      <c r="A6437">
        <v>92613</v>
      </c>
      <c r="B6437">
        <v>100</v>
      </c>
      <c r="C6437" s="455">
        <v>10.042</v>
      </c>
      <c r="D6437" s="637">
        <f t="shared" si="214"/>
        <v>24.268166666666673</v>
      </c>
      <c r="E6437" s="637">
        <f t="shared" si="215"/>
        <v>33.712428571428589</v>
      </c>
    </row>
    <row r="6438" spans="1:5">
      <c r="A6438">
        <v>92613</v>
      </c>
      <c r="B6438">
        <v>200</v>
      </c>
      <c r="C6438" s="455">
        <v>10.029999999999999</v>
      </c>
      <c r="D6438" s="637">
        <f t="shared" si="214"/>
        <v>24.239166666666669</v>
      </c>
      <c r="E6438" s="637">
        <f t="shared" si="215"/>
        <v>33.672142857142873</v>
      </c>
    </row>
    <row r="6439" spans="1:5">
      <c r="A6439">
        <v>92613</v>
      </c>
      <c r="B6439">
        <v>300</v>
      </c>
      <c r="C6439" s="455">
        <v>10.192</v>
      </c>
      <c r="D6439" s="637">
        <f t="shared" si="214"/>
        <v>24.630666666666674</v>
      </c>
      <c r="E6439" s="637">
        <f t="shared" si="215"/>
        <v>34.216000000000015</v>
      </c>
    </row>
    <row r="6440" spans="1:5">
      <c r="A6440">
        <v>92613</v>
      </c>
      <c r="B6440">
        <v>400</v>
      </c>
      <c r="C6440" s="455">
        <v>9.8650000000000002</v>
      </c>
      <c r="D6440" s="637">
        <f t="shared" si="214"/>
        <v>23.840416666666673</v>
      </c>
      <c r="E6440" s="637">
        <f t="shared" si="215"/>
        <v>33.118214285714302</v>
      </c>
    </row>
    <row r="6441" spans="1:5">
      <c r="A6441">
        <v>92613</v>
      </c>
      <c r="B6441">
        <v>500</v>
      </c>
      <c r="C6441" s="455">
        <v>10.037000000000001</v>
      </c>
      <c r="D6441" s="637">
        <f t="shared" si="214"/>
        <v>24.25608333333334</v>
      </c>
      <c r="E6441" s="637">
        <f t="shared" si="215"/>
        <v>33.695642857142879</v>
      </c>
    </row>
    <row r="6442" spans="1:5">
      <c r="A6442">
        <v>92613</v>
      </c>
      <c r="B6442">
        <v>600</v>
      </c>
      <c r="C6442" s="455">
        <v>10.398999999999999</v>
      </c>
      <c r="D6442" s="637">
        <f t="shared" si="214"/>
        <v>25.130916666666671</v>
      </c>
      <c r="E6442" s="637">
        <f t="shared" si="215"/>
        <v>34.910928571428585</v>
      </c>
    </row>
    <row r="6443" spans="1:5">
      <c r="A6443">
        <v>92613</v>
      </c>
      <c r="B6443">
        <v>700</v>
      </c>
      <c r="C6443" s="455">
        <v>3.8929999999999998</v>
      </c>
      <c r="D6443" s="637">
        <f t="shared" si="214"/>
        <v>9.4080833333333356</v>
      </c>
      <c r="E6443" s="637">
        <f t="shared" si="215"/>
        <v>13.069357142857148</v>
      </c>
    </row>
    <row r="6444" spans="1:5">
      <c r="A6444">
        <v>92613</v>
      </c>
      <c r="B6444">
        <v>800</v>
      </c>
      <c r="C6444" s="455">
        <v>1E-3</v>
      </c>
      <c r="D6444" s="637">
        <f t="shared" si="214"/>
        <v>2.4166666666666672E-3</v>
      </c>
      <c r="E6444" s="637">
        <f t="shared" si="215"/>
        <v>3.3571428571428589E-3</v>
      </c>
    </row>
    <row r="6445" spans="1:5">
      <c r="A6445">
        <v>92613</v>
      </c>
      <c r="B6445">
        <v>900</v>
      </c>
      <c r="C6445" s="455">
        <v>0</v>
      </c>
      <c r="D6445" s="637">
        <f t="shared" si="214"/>
        <v>0</v>
      </c>
      <c r="E6445" s="637">
        <f t="shared" si="215"/>
        <v>0</v>
      </c>
    </row>
    <row r="6446" spans="1:5">
      <c r="A6446">
        <v>92613</v>
      </c>
      <c r="B6446">
        <v>1000</v>
      </c>
      <c r="C6446" s="455">
        <v>0.30599999999999999</v>
      </c>
      <c r="D6446" s="637">
        <f t="shared" si="214"/>
        <v>0.73950000000000016</v>
      </c>
      <c r="E6446" s="637">
        <f t="shared" si="215"/>
        <v>1.0272857142857148</v>
      </c>
    </row>
    <row r="6447" spans="1:5">
      <c r="A6447">
        <v>92613</v>
      </c>
      <c r="B6447">
        <v>1100</v>
      </c>
      <c r="C6447" s="455">
        <v>0</v>
      </c>
      <c r="D6447" s="637">
        <f t="shared" si="214"/>
        <v>0</v>
      </c>
      <c r="E6447" s="637">
        <f t="shared" si="215"/>
        <v>0</v>
      </c>
    </row>
    <row r="6448" spans="1:5">
      <c r="A6448">
        <v>92613</v>
      </c>
      <c r="B6448">
        <v>1200</v>
      </c>
      <c r="C6448" s="455">
        <v>1.2E-2</v>
      </c>
      <c r="D6448" s="637">
        <f t="shared" si="214"/>
        <v>2.9000000000000008E-2</v>
      </c>
      <c r="E6448" s="637">
        <f t="shared" si="215"/>
        <v>4.0285714285714307E-2</v>
      </c>
    </row>
    <row r="6449" spans="1:5">
      <c r="A6449">
        <v>92613</v>
      </c>
      <c r="B6449">
        <v>1300</v>
      </c>
      <c r="C6449" s="455">
        <v>0</v>
      </c>
      <c r="D6449" s="637">
        <f t="shared" si="214"/>
        <v>0</v>
      </c>
      <c r="E6449" s="637">
        <f t="shared" si="215"/>
        <v>0</v>
      </c>
    </row>
    <row r="6450" spans="1:5">
      <c r="A6450">
        <v>92613</v>
      </c>
      <c r="B6450">
        <v>1400</v>
      </c>
      <c r="C6450" s="455">
        <v>0.09</v>
      </c>
      <c r="D6450" s="637">
        <f t="shared" si="214"/>
        <v>0.21750000000000005</v>
      </c>
      <c r="E6450" s="637">
        <f t="shared" si="215"/>
        <v>0.30214285714285727</v>
      </c>
    </row>
    <row r="6451" spans="1:5">
      <c r="A6451">
        <v>92613</v>
      </c>
      <c r="B6451">
        <v>1500</v>
      </c>
      <c r="C6451" s="455">
        <v>0</v>
      </c>
      <c r="D6451" s="637">
        <f t="shared" si="214"/>
        <v>0</v>
      </c>
      <c r="E6451" s="637">
        <f t="shared" si="215"/>
        <v>0</v>
      </c>
    </row>
    <row r="6452" spans="1:5">
      <c r="A6452">
        <v>92613</v>
      </c>
      <c r="B6452">
        <v>1600</v>
      </c>
      <c r="C6452" s="455">
        <v>0</v>
      </c>
      <c r="D6452" s="637">
        <f t="shared" si="214"/>
        <v>0</v>
      </c>
      <c r="E6452" s="637">
        <f t="shared" si="215"/>
        <v>0</v>
      </c>
    </row>
    <row r="6453" spans="1:5">
      <c r="A6453">
        <v>92613</v>
      </c>
      <c r="B6453">
        <v>1700</v>
      </c>
      <c r="C6453" s="455">
        <v>0</v>
      </c>
      <c r="D6453" s="637">
        <f t="shared" si="214"/>
        <v>0</v>
      </c>
      <c r="E6453" s="637">
        <f t="shared" si="215"/>
        <v>0</v>
      </c>
    </row>
    <row r="6454" spans="1:5">
      <c r="A6454">
        <v>92613</v>
      </c>
      <c r="B6454">
        <v>1800</v>
      </c>
      <c r="C6454" s="455">
        <v>0.70799999999999996</v>
      </c>
      <c r="D6454" s="637">
        <f t="shared" si="214"/>
        <v>1.7110000000000003</v>
      </c>
      <c r="E6454" s="637">
        <f t="shared" si="215"/>
        <v>2.3768571428571437</v>
      </c>
    </row>
    <row r="6455" spans="1:5">
      <c r="A6455">
        <v>92613</v>
      </c>
      <c r="B6455">
        <v>1900</v>
      </c>
      <c r="C6455" s="455">
        <v>11.866</v>
      </c>
      <c r="D6455" s="637">
        <f t="shared" si="214"/>
        <v>28.676166666666674</v>
      </c>
      <c r="E6455" s="637">
        <f t="shared" si="215"/>
        <v>39.835857142857165</v>
      </c>
    </row>
    <row r="6456" spans="1:5">
      <c r="A6456">
        <v>92613</v>
      </c>
      <c r="B6456">
        <v>2000</v>
      </c>
      <c r="C6456" s="455">
        <v>9.8010000000000002</v>
      </c>
      <c r="D6456" s="637">
        <f t="shared" si="214"/>
        <v>23.685750000000006</v>
      </c>
      <c r="E6456" s="637">
        <f t="shared" si="215"/>
        <v>32.903357142857161</v>
      </c>
    </row>
    <row r="6457" spans="1:5">
      <c r="A6457">
        <v>92613</v>
      </c>
      <c r="B6457">
        <v>2100</v>
      </c>
      <c r="C6457" s="455">
        <v>9.9670000000000005</v>
      </c>
      <c r="D6457" s="637">
        <f t="shared" si="214"/>
        <v>24.086916666666674</v>
      </c>
      <c r="E6457" s="637">
        <f t="shared" si="215"/>
        <v>33.460642857142879</v>
      </c>
    </row>
    <row r="6458" spans="1:5">
      <c r="A6458">
        <v>92613</v>
      </c>
      <c r="B6458">
        <v>2200</v>
      </c>
      <c r="C6458" s="455">
        <v>10.132</v>
      </c>
      <c r="D6458" s="637">
        <f t="shared" si="214"/>
        <v>24.485666666666674</v>
      </c>
      <c r="E6458" s="637">
        <f t="shared" si="215"/>
        <v>34.014571428571443</v>
      </c>
    </row>
    <row r="6459" spans="1:5">
      <c r="A6459">
        <v>92613</v>
      </c>
      <c r="B6459">
        <v>2300</v>
      </c>
      <c r="C6459" s="455">
        <v>10.225</v>
      </c>
      <c r="D6459" s="637">
        <f t="shared" si="214"/>
        <v>24.710416666666674</v>
      </c>
      <c r="E6459" s="637">
        <f t="shared" si="215"/>
        <v>34.326785714285734</v>
      </c>
    </row>
    <row r="6460" spans="1:5">
      <c r="A6460">
        <v>92613</v>
      </c>
      <c r="B6460">
        <v>2400</v>
      </c>
      <c r="C6460" s="455">
        <v>9.7919999999999998</v>
      </c>
      <c r="D6460" s="637">
        <f t="shared" si="214"/>
        <v>23.664000000000005</v>
      </c>
      <c r="E6460" s="637">
        <f t="shared" si="215"/>
        <v>32.873142857142874</v>
      </c>
    </row>
    <row r="6461" spans="1:5">
      <c r="A6461">
        <v>92713</v>
      </c>
      <c r="B6461">
        <v>100</v>
      </c>
      <c r="C6461" s="455">
        <v>10.012</v>
      </c>
      <c r="D6461" s="637">
        <f t="shared" si="214"/>
        <v>24.195666666666675</v>
      </c>
      <c r="E6461" s="637">
        <f t="shared" si="215"/>
        <v>33.611714285714307</v>
      </c>
    </row>
    <row r="6462" spans="1:5">
      <c r="A6462">
        <v>92713</v>
      </c>
      <c r="B6462">
        <v>200</v>
      </c>
      <c r="C6462" s="455">
        <v>10.234</v>
      </c>
      <c r="D6462" s="637">
        <f t="shared" si="214"/>
        <v>24.732166666666672</v>
      </c>
      <c r="E6462" s="637">
        <f t="shared" si="215"/>
        <v>34.357000000000021</v>
      </c>
    </row>
    <row r="6463" spans="1:5">
      <c r="A6463">
        <v>92713</v>
      </c>
      <c r="B6463">
        <v>300</v>
      </c>
      <c r="C6463" s="455">
        <v>10.125999999999999</v>
      </c>
      <c r="D6463" s="637">
        <f t="shared" si="214"/>
        <v>24.471166666666669</v>
      </c>
      <c r="E6463" s="637">
        <f t="shared" si="215"/>
        <v>33.994428571428585</v>
      </c>
    </row>
    <row r="6464" spans="1:5">
      <c r="A6464">
        <v>92713</v>
      </c>
      <c r="B6464">
        <v>400</v>
      </c>
      <c r="C6464" s="455">
        <v>10.151999999999999</v>
      </c>
      <c r="D6464" s="637">
        <f t="shared" si="214"/>
        <v>24.534000000000002</v>
      </c>
      <c r="E6464" s="637">
        <f t="shared" si="215"/>
        <v>34.081714285714298</v>
      </c>
    </row>
    <row r="6465" spans="1:5">
      <c r="A6465">
        <v>92713</v>
      </c>
      <c r="B6465">
        <v>500</v>
      </c>
      <c r="C6465" s="455">
        <v>10.257999999999999</v>
      </c>
      <c r="D6465" s="637">
        <f t="shared" si="214"/>
        <v>24.790166666666671</v>
      </c>
      <c r="E6465" s="637">
        <f t="shared" si="215"/>
        <v>34.437571428571445</v>
      </c>
    </row>
    <row r="6466" spans="1:5">
      <c r="A6466">
        <v>92713</v>
      </c>
      <c r="B6466">
        <v>600</v>
      </c>
      <c r="C6466" s="455">
        <v>10.086</v>
      </c>
      <c r="D6466" s="637">
        <f t="shared" si="214"/>
        <v>24.374500000000008</v>
      </c>
      <c r="E6466" s="637">
        <f t="shared" si="215"/>
        <v>33.860142857142876</v>
      </c>
    </row>
    <row r="6467" spans="1:5">
      <c r="A6467">
        <v>92713</v>
      </c>
      <c r="B6467">
        <v>700</v>
      </c>
      <c r="C6467" s="455">
        <v>6.1059999999999999</v>
      </c>
      <c r="D6467" s="637">
        <f t="shared" si="214"/>
        <v>14.756166666666671</v>
      </c>
      <c r="E6467" s="637">
        <f t="shared" si="215"/>
        <v>20.498714285714296</v>
      </c>
    </row>
    <row r="6468" spans="1:5">
      <c r="A6468">
        <v>92713</v>
      </c>
      <c r="B6468">
        <v>800</v>
      </c>
      <c r="C6468" s="455">
        <v>2E-3</v>
      </c>
      <c r="D6468" s="637">
        <f t="shared" si="214"/>
        <v>4.8333333333333344E-3</v>
      </c>
      <c r="E6468" s="637">
        <f t="shared" si="215"/>
        <v>6.7142857142857178E-3</v>
      </c>
    </row>
    <row r="6469" spans="1:5">
      <c r="A6469">
        <v>92713</v>
      </c>
      <c r="B6469">
        <v>900</v>
      </c>
      <c r="C6469" s="455">
        <v>0</v>
      </c>
      <c r="D6469" s="637">
        <f t="shared" si="214"/>
        <v>0</v>
      </c>
      <c r="E6469" s="637">
        <f t="shared" si="215"/>
        <v>0</v>
      </c>
    </row>
    <row r="6470" spans="1:5">
      <c r="A6470">
        <v>92713</v>
      </c>
      <c r="B6470">
        <v>1000</v>
      </c>
      <c r="C6470" s="455">
        <v>0</v>
      </c>
      <c r="D6470" s="637">
        <f t="shared" si="214"/>
        <v>0</v>
      </c>
      <c r="E6470" s="637">
        <f t="shared" si="215"/>
        <v>0</v>
      </c>
    </row>
    <row r="6471" spans="1:5">
      <c r="A6471">
        <v>92713</v>
      </c>
      <c r="B6471">
        <v>1100</v>
      </c>
      <c r="C6471" s="455">
        <v>0</v>
      </c>
      <c r="D6471" s="637">
        <f t="shared" si="214"/>
        <v>0</v>
      </c>
      <c r="E6471" s="637">
        <f t="shared" si="215"/>
        <v>0</v>
      </c>
    </row>
    <row r="6472" spans="1:5">
      <c r="A6472">
        <v>92713</v>
      </c>
      <c r="B6472">
        <v>1200</v>
      </c>
      <c r="C6472" s="455">
        <v>0.16200000000000001</v>
      </c>
      <c r="D6472" s="637">
        <f t="shared" si="214"/>
        <v>0.39150000000000013</v>
      </c>
      <c r="E6472" s="637">
        <f t="shared" si="215"/>
        <v>0.54385714285714315</v>
      </c>
    </row>
    <row r="6473" spans="1:5">
      <c r="A6473">
        <v>92713</v>
      </c>
      <c r="B6473">
        <v>1300</v>
      </c>
      <c r="C6473" s="455">
        <v>0</v>
      </c>
      <c r="D6473" s="637">
        <f t="shared" si="214"/>
        <v>0</v>
      </c>
      <c r="E6473" s="637">
        <f t="shared" si="215"/>
        <v>0</v>
      </c>
    </row>
    <row r="6474" spans="1:5">
      <c r="A6474">
        <v>92713</v>
      </c>
      <c r="B6474">
        <v>1400</v>
      </c>
      <c r="C6474" s="455">
        <v>0</v>
      </c>
      <c r="D6474" s="637">
        <f t="shared" si="214"/>
        <v>0</v>
      </c>
      <c r="E6474" s="637">
        <f t="shared" si="215"/>
        <v>0</v>
      </c>
    </row>
    <row r="6475" spans="1:5">
      <c r="A6475">
        <v>92713</v>
      </c>
      <c r="B6475">
        <v>1500</v>
      </c>
      <c r="C6475" s="455">
        <v>0</v>
      </c>
      <c r="D6475" s="637">
        <f t="shared" si="214"/>
        <v>0</v>
      </c>
      <c r="E6475" s="637">
        <f t="shared" si="215"/>
        <v>0</v>
      </c>
    </row>
    <row r="6476" spans="1:5">
      <c r="A6476">
        <v>92713</v>
      </c>
      <c r="B6476">
        <v>1600</v>
      </c>
      <c r="C6476" s="455">
        <v>0</v>
      </c>
      <c r="D6476" s="637">
        <f t="shared" si="214"/>
        <v>0</v>
      </c>
      <c r="E6476" s="637">
        <f t="shared" si="215"/>
        <v>0</v>
      </c>
    </row>
    <row r="6477" spans="1:5">
      <c r="A6477">
        <v>92713</v>
      </c>
      <c r="B6477">
        <v>1700</v>
      </c>
      <c r="C6477" s="455">
        <v>0</v>
      </c>
      <c r="D6477" s="637">
        <f t="shared" si="214"/>
        <v>0</v>
      </c>
      <c r="E6477" s="637">
        <f t="shared" si="215"/>
        <v>0</v>
      </c>
    </row>
    <row r="6478" spans="1:5">
      <c r="A6478">
        <v>92713</v>
      </c>
      <c r="B6478">
        <v>1800</v>
      </c>
      <c r="C6478" s="455">
        <v>0.60499999999999998</v>
      </c>
      <c r="D6478" s="637">
        <f t="shared" ref="D6478:D6541" si="216">(C6478/(MAX($C$5837:$C$6556)))*$W$13</f>
        <v>1.4620833333333338</v>
      </c>
      <c r="E6478" s="637">
        <f t="shared" ref="E6478:E6541" si="217">(C6478/(MAX($C$5837:$C$6556)))*$P$13</f>
        <v>2.0310714285714297</v>
      </c>
    </row>
    <row r="6479" spans="1:5">
      <c r="A6479">
        <v>92713</v>
      </c>
      <c r="B6479">
        <v>1900</v>
      </c>
      <c r="C6479" s="455">
        <v>11.430999999999999</v>
      </c>
      <c r="D6479" s="637">
        <f t="shared" si="216"/>
        <v>27.624916666666671</v>
      </c>
      <c r="E6479" s="637">
        <f t="shared" si="217"/>
        <v>38.375500000000017</v>
      </c>
    </row>
    <row r="6480" spans="1:5">
      <c r="A6480">
        <v>92713</v>
      </c>
      <c r="B6480">
        <v>2000</v>
      </c>
      <c r="C6480" s="455">
        <v>10.084</v>
      </c>
      <c r="D6480" s="637">
        <f t="shared" si="216"/>
        <v>24.369666666666674</v>
      </c>
      <c r="E6480" s="637">
        <f t="shared" si="217"/>
        <v>33.853428571428587</v>
      </c>
    </row>
    <row r="6481" spans="1:5">
      <c r="A6481">
        <v>92713</v>
      </c>
      <c r="B6481">
        <v>2100</v>
      </c>
      <c r="C6481" s="455">
        <v>10.118</v>
      </c>
      <c r="D6481" s="637">
        <f t="shared" si="216"/>
        <v>24.45183333333334</v>
      </c>
      <c r="E6481" s="637">
        <f t="shared" si="217"/>
        <v>33.967571428571446</v>
      </c>
    </row>
    <row r="6482" spans="1:5">
      <c r="A6482">
        <v>92713</v>
      </c>
      <c r="B6482">
        <v>2200</v>
      </c>
      <c r="C6482" s="455">
        <v>10.051</v>
      </c>
      <c r="D6482" s="637">
        <f t="shared" si="216"/>
        <v>24.289916666666674</v>
      </c>
      <c r="E6482" s="637">
        <f t="shared" si="217"/>
        <v>33.742642857142876</v>
      </c>
    </row>
    <row r="6483" spans="1:5">
      <c r="A6483">
        <v>92713</v>
      </c>
      <c r="B6483">
        <v>2300</v>
      </c>
      <c r="C6483" s="455">
        <v>10.237</v>
      </c>
      <c r="D6483" s="637">
        <f t="shared" si="216"/>
        <v>24.739416666666674</v>
      </c>
      <c r="E6483" s="637">
        <f t="shared" si="217"/>
        <v>34.367071428571442</v>
      </c>
    </row>
    <row r="6484" spans="1:5">
      <c r="A6484">
        <v>92713</v>
      </c>
      <c r="B6484">
        <v>2400</v>
      </c>
      <c r="C6484" s="455">
        <v>9.9369999999999994</v>
      </c>
      <c r="D6484" s="637">
        <f t="shared" si="216"/>
        <v>24.014416666666673</v>
      </c>
      <c r="E6484" s="637">
        <f t="shared" si="217"/>
        <v>33.35992857142859</v>
      </c>
    </row>
    <row r="6485" spans="1:5">
      <c r="A6485">
        <v>92813</v>
      </c>
      <c r="B6485">
        <v>100</v>
      </c>
      <c r="C6485" s="455">
        <v>10.012</v>
      </c>
      <c r="D6485" s="637">
        <f t="shared" si="216"/>
        <v>24.195666666666675</v>
      </c>
      <c r="E6485" s="637">
        <f t="shared" si="217"/>
        <v>33.611714285714307</v>
      </c>
    </row>
    <row r="6486" spans="1:5">
      <c r="A6486">
        <v>92813</v>
      </c>
      <c r="B6486">
        <v>200</v>
      </c>
      <c r="C6486" s="455">
        <v>10.089</v>
      </c>
      <c r="D6486" s="637">
        <f t="shared" si="216"/>
        <v>24.381750000000007</v>
      </c>
      <c r="E6486" s="637">
        <f t="shared" si="217"/>
        <v>33.870214285714304</v>
      </c>
    </row>
    <row r="6487" spans="1:5">
      <c r="A6487">
        <v>92813</v>
      </c>
      <c r="B6487">
        <v>300</v>
      </c>
      <c r="C6487" s="455">
        <v>10.202</v>
      </c>
      <c r="D6487" s="637">
        <f t="shared" si="216"/>
        <v>24.65483333333334</v>
      </c>
      <c r="E6487" s="637">
        <f t="shared" si="217"/>
        <v>34.249571428571443</v>
      </c>
    </row>
    <row r="6488" spans="1:5">
      <c r="A6488">
        <v>92813</v>
      </c>
      <c r="B6488">
        <v>400</v>
      </c>
      <c r="C6488" s="455">
        <v>10.795</v>
      </c>
      <c r="D6488" s="637">
        <f t="shared" si="216"/>
        <v>26.087916666666672</v>
      </c>
      <c r="E6488" s="637">
        <f t="shared" si="217"/>
        <v>36.240357142857157</v>
      </c>
    </row>
    <row r="6489" spans="1:5">
      <c r="A6489">
        <v>92813</v>
      </c>
      <c r="B6489">
        <v>500</v>
      </c>
      <c r="C6489" s="455">
        <v>9.657</v>
      </c>
      <c r="D6489" s="637">
        <f t="shared" si="216"/>
        <v>23.337750000000007</v>
      </c>
      <c r="E6489" s="637">
        <f t="shared" si="217"/>
        <v>32.419928571428592</v>
      </c>
    </row>
    <row r="6490" spans="1:5">
      <c r="A6490">
        <v>92813</v>
      </c>
      <c r="B6490">
        <v>600</v>
      </c>
      <c r="C6490" s="455">
        <v>10.723000000000001</v>
      </c>
      <c r="D6490" s="637">
        <f t="shared" si="216"/>
        <v>25.913916666666676</v>
      </c>
      <c r="E6490" s="637">
        <f t="shared" si="217"/>
        <v>35.998642857142876</v>
      </c>
    </row>
    <row r="6491" spans="1:5">
      <c r="A6491">
        <v>92813</v>
      </c>
      <c r="B6491">
        <v>700</v>
      </c>
      <c r="C6491" s="455">
        <v>5.806</v>
      </c>
      <c r="D6491" s="637">
        <f t="shared" si="216"/>
        <v>14.031166666666669</v>
      </c>
      <c r="E6491" s="637">
        <f t="shared" si="217"/>
        <v>19.491571428571437</v>
      </c>
    </row>
    <row r="6492" spans="1:5">
      <c r="A6492">
        <v>92813</v>
      </c>
      <c r="B6492">
        <v>800</v>
      </c>
      <c r="C6492" s="455">
        <v>1E-3</v>
      </c>
      <c r="D6492" s="637">
        <f t="shared" si="216"/>
        <v>2.4166666666666672E-3</v>
      </c>
      <c r="E6492" s="637">
        <f t="shared" si="217"/>
        <v>3.3571428571428589E-3</v>
      </c>
    </row>
    <row r="6493" spans="1:5">
      <c r="A6493">
        <v>92813</v>
      </c>
      <c r="B6493">
        <v>900</v>
      </c>
      <c r="C6493" s="455">
        <v>1E-3</v>
      </c>
      <c r="D6493" s="637">
        <f t="shared" si="216"/>
        <v>2.4166666666666672E-3</v>
      </c>
      <c r="E6493" s="637">
        <f t="shared" si="217"/>
        <v>3.3571428571428589E-3</v>
      </c>
    </row>
    <row r="6494" spans="1:5">
      <c r="A6494">
        <v>92813</v>
      </c>
      <c r="B6494">
        <v>1000</v>
      </c>
      <c r="C6494" s="455">
        <v>0</v>
      </c>
      <c r="D6494" s="637">
        <f t="shared" si="216"/>
        <v>0</v>
      </c>
      <c r="E6494" s="637">
        <f t="shared" si="217"/>
        <v>0</v>
      </c>
    </row>
    <row r="6495" spans="1:5">
      <c r="A6495">
        <v>92813</v>
      </c>
      <c r="B6495">
        <v>1100</v>
      </c>
      <c r="C6495" s="455">
        <v>0</v>
      </c>
      <c r="D6495" s="637">
        <f t="shared" si="216"/>
        <v>0</v>
      </c>
      <c r="E6495" s="637">
        <f t="shared" si="217"/>
        <v>0</v>
      </c>
    </row>
    <row r="6496" spans="1:5">
      <c r="A6496">
        <v>92813</v>
      </c>
      <c r="B6496">
        <v>1200</v>
      </c>
      <c r="C6496" s="455">
        <v>0</v>
      </c>
      <c r="D6496" s="637">
        <f t="shared" si="216"/>
        <v>0</v>
      </c>
      <c r="E6496" s="637">
        <f t="shared" si="217"/>
        <v>0</v>
      </c>
    </row>
    <row r="6497" spans="1:5">
      <c r="A6497">
        <v>92813</v>
      </c>
      <c r="B6497">
        <v>1300</v>
      </c>
      <c r="C6497" s="455">
        <v>0</v>
      </c>
      <c r="D6497" s="637">
        <f t="shared" si="216"/>
        <v>0</v>
      </c>
      <c r="E6497" s="637">
        <f t="shared" si="217"/>
        <v>0</v>
      </c>
    </row>
    <row r="6498" spans="1:5">
      <c r="A6498">
        <v>92813</v>
      </c>
      <c r="B6498">
        <v>1400</v>
      </c>
      <c r="C6498" s="455">
        <v>0</v>
      </c>
      <c r="D6498" s="637">
        <f t="shared" si="216"/>
        <v>0</v>
      </c>
      <c r="E6498" s="637">
        <f t="shared" si="217"/>
        <v>0</v>
      </c>
    </row>
    <row r="6499" spans="1:5">
      <c r="A6499">
        <v>92813</v>
      </c>
      <c r="B6499">
        <v>1500</v>
      </c>
      <c r="C6499" s="455">
        <v>0</v>
      </c>
      <c r="D6499" s="637">
        <f t="shared" si="216"/>
        <v>0</v>
      </c>
      <c r="E6499" s="637">
        <f t="shared" si="217"/>
        <v>0</v>
      </c>
    </row>
    <row r="6500" spans="1:5">
      <c r="A6500">
        <v>92813</v>
      </c>
      <c r="B6500">
        <v>1600</v>
      </c>
      <c r="C6500" s="455">
        <v>0</v>
      </c>
      <c r="D6500" s="637">
        <f t="shared" si="216"/>
        <v>0</v>
      </c>
      <c r="E6500" s="637">
        <f t="shared" si="217"/>
        <v>0</v>
      </c>
    </row>
    <row r="6501" spans="1:5">
      <c r="A6501">
        <v>92813</v>
      </c>
      <c r="B6501">
        <v>1700</v>
      </c>
      <c r="C6501" s="455">
        <v>0</v>
      </c>
      <c r="D6501" s="637">
        <f t="shared" si="216"/>
        <v>0</v>
      </c>
      <c r="E6501" s="637">
        <f t="shared" si="217"/>
        <v>0</v>
      </c>
    </row>
    <row r="6502" spans="1:5">
      <c r="A6502">
        <v>92813</v>
      </c>
      <c r="B6502">
        <v>1800</v>
      </c>
      <c r="C6502" s="455">
        <v>0.90100000000000002</v>
      </c>
      <c r="D6502" s="637">
        <f t="shared" si="216"/>
        <v>2.1774166666666672</v>
      </c>
      <c r="E6502" s="637">
        <f t="shared" si="217"/>
        <v>3.024785714285716</v>
      </c>
    </row>
    <row r="6503" spans="1:5">
      <c r="A6503">
        <v>92813</v>
      </c>
      <c r="B6503">
        <v>1900</v>
      </c>
      <c r="C6503" s="455">
        <v>12.214</v>
      </c>
      <c r="D6503" s="637">
        <f t="shared" si="216"/>
        <v>29.517166666666675</v>
      </c>
      <c r="E6503" s="637">
        <f t="shared" si="217"/>
        <v>41.004142857142881</v>
      </c>
    </row>
    <row r="6504" spans="1:5">
      <c r="A6504">
        <v>92813</v>
      </c>
      <c r="B6504">
        <v>2000</v>
      </c>
      <c r="C6504" s="455">
        <v>10.151</v>
      </c>
      <c r="D6504" s="637">
        <f t="shared" si="216"/>
        <v>24.531583333333341</v>
      </c>
      <c r="E6504" s="637">
        <f t="shared" si="217"/>
        <v>34.078357142857158</v>
      </c>
    </row>
    <row r="6505" spans="1:5">
      <c r="A6505">
        <v>92813</v>
      </c>
      <c r="B6505">
        <v>2100</v>
      </c>
      <c r="C6505" s="455">
        <v>10.57</v>
      </c>
      <c r="D6505" s="637">
        <f t="shared" si="216"/>
        <v>25.544166666666673</v>
      </c>
      <c r="E6505" s="637">
        <f t="shared" si="217"/>
        <v>35.485000000000021</v>
      </c>
    </row>
    <row r="6506" spans="1:5">
      <c r="A6506">
        <v>92813</v>
      </c>
      <c r="B6506">
        <v>2200</v>
      </c>
      <c r="C6506" s="455">
        <v>10.157</v>
      </c>
      <c r="D6506" s="637">
        <f t="shared" si="216"/>
        <v>24.546083333333339</v>
      </c>
      <c r="E6506" s="637">
        <f t="shared" si="217"/>
        <v>34.098500000000016</v>
      </c>
    </row>
    <row r="6507" spans="1:5">
      <c r="A6507">
        <v>92813</v>
      </c>
      <c r="B6507">
        <v>2300</v>
      </c>
      <c r="C6507" s="455">
        <v>10.210000000000001</v>
      </c>
      <c r="D6507" s="637">
        <f t="shared" si="216"/>
        <v>24.674166666666675</v>
      </c>
      <c r="E6507" s="637">
        <f t="shared" si="217"/>
        <v>34.276428571428596</v>
      </c>
    </row>
    <row r="6508" spans="1:5">
      <c r="A6508">
        <v>92813</v>
      </c>
      <c r="B6508">
        <v>2400</v>
      </c>
      <c r="C6508" s="455">
        <v>10.478</v>
      </c>
      <c r="D6508" s="637">
        <f t="shared" si="216"/>
        <v>25.321833333333341</v>
      </c>
      <c r="E6508" s="637">
        <f t="shared" si="217"/>
        <v>35.176142857142878</v>
      </c>
    </row>
    <row r="6509" spans="1:5">
      <c r="A6509">
        <v>92913</v>
      </c>
      <c r="B6509">
        <v>100</v>
      </c>
      <c r="C6509" s="455">
        <v>10.135999999999999</v>
      </c>
      <c r="D6509" s="637">
        <f t="shared" si="216"/>
        <v>24.495333333333338</v>
      </c>
      <c r="E6509" s="637">
        <f t="shared" si="217"/>
        <v>34.028000000000013</v>
      </c>
    </row>
    <row r="6510" spans="1:5">
      <c r="A6510">
        <v>92913</v>
      </c>
      <c r="B6510">
        <v>200</v>
      </c>
      <c r="C6510" s="455">
        <v>10.304</v>
      </c>
      <c r="D6510" s="637">
        <f t="shared" si="216"/>
        <v>24.901333333333341</v>
      </c>
      <c r="E6510" s="637">
        <f t="shared" si="217"/>
        <v>34.592000000000013</v>
      </c>
    </row>
    <row r="6511" spans="1:5">
      <c r="A6511">
        <v>92913</v>
      </c>
      <c r="B6511">
        <v>300</v>
      </c>
      <c r="C6511" s="455">
        <v>10.398</v>
      </c>
      <c r="D6511" s="637">
        <f t="shared" si="216"/>
        <v>25.128500000000006</v>
      </c>
      <c r="E6511" s="637">
        <f t="shared" si="217"/>
        <v>34.907571428571444</v>
      </c>
    </row>
    <row r="6512" spans="1:5">
      <c r="A6512">
        <v>92913</v>
      </c>
      <c r="B6512">
        <v>400</v>
      </c>
      <c r="C6512" s="455">
        <v>10.375999999999999</v>
      </c>
      <c r="D6512" s="637">
        <f t="shared" si="216"/>
        <v>25.07533333333334</v>
      </c>
      <c r="E6512" s="637">
        <f t="shared" si="217"/>
        <v>34.833714285714301</v>
      </c>
    </row>
    <row r="6513" spans="1:5">
      <c r="A6513">
        <v>92913</v>
      </c>
      <c r="B6513">
        <v>500</v>
      </c>
      <c r="C6513" s="455">
        <v>10.36</v>
      </c>
      <c r="D6513" s="637">
        <f t="shared" si="216"/>
        <v>25.036666666666672</v>
      </c>
      <c r="E6513" s="637">
        <f t="shared" si="217"/>
        <v>34.780000000000015</v>
      </c>
    </row>
    <row r="6514" spans="1:5">
      <c r="A6514">
        <v>92913</v>
      </c>
      <c r="B6514">
        <v>600</v>
      </c>
      <c r="C6514" s="455">
        <v>10.422000000000001</v>
      </c>
      <c r="D6514" s="637">
        <f t="shared" si="216"/>
        <v>25.186500000000009</v>
      </c>
      <c r="E6514" s="637">
        <f t="shared" si="217"/>
        <v>34.988142857142876</v>
      </c>
    </row>
    <row r="6515" spans="1:5">
      <c r="A6515">
        <v>92913</v>
      </c>
      <c r="B6515">
        <v>700</v>
      </c>
      <c r="C6515" s="455">
        <v>4.665</v>
      </c>
      <c r="D6515" s="637">
        <f t="shared" si="216"/>
        <v>11.273750000000003</v>
      </c>
      <c r="E6515" s="637">
        <f t="shared" si="217"/>
        <v>15.661071428571436</v>
      </c>
    </row>
    <row r="6516" spans="1:5">
      <c r="A6516">
        <v>92913</v>
      </c>
      <c r="B6516">
        <v>800</v>
      </c>
      <c r="C6516" s="455">
        <v>0</v>
      </c>
      <c r="D6516" s="637">
        <f t="shared" si="216"/>
        <v>0</v>
      </c>
      <c r="E6516" s="637">
        <f t="shared" si="217"/>
        <v>0</v>
      </c>
    </row>
    <row r="6517" spans="1:5">
      <c r="A6517">
        <v>92913</v>
      </c>
      <c r="B6517">
        <v>900</v>
      </c>
      <c r="C6517" s="455">
        <v>0</v>
      </c>
      <c r="D6517" s="637">
        <f t="shared" si="216"/>
        <v>0</v>
      </c>
      <c r="E6517" s="637">
        <f t="shared" si="217"/>
        <v>0</v>
      </c>
    </row>
    <row r="6518" spans="1:5">
      <c r="A6518">
        <v>92913</v>
      </c>
      <c r="B6518">
        <v>1000</v>
      </c>
      <c r="C6518" s="455">
        <v>0</v>
      </c>
      <c r="D6518" s="637">
        <f t="shared" si="216"/>
        <v>0</v>
      </c>
      <c r="E6518" s="637">
        <f t="shared" si="217"/>
        <v>0</v>
      </c>
    </row>
    <row r="6519" spans="1:5">
      <c r="A6519">
        <v>92913</v>
      </c>
      <c r="B6519">
        <v>1100</v>
      </c>
      <c r="C6519" s="455">
        <v>0</v>
      </c>
      <c r="D6519" s="637">
        <f t="shared" si="216"/>
        <v>0</v>
      </c>
      <c r="E6519" s="637">
        <f t="shared" si="217"/>
        <v>0</v>
      </c>
    </row>
    <row r="6520" spans="1:5">
      <c r="A6520">
        <v>92913</v>
      </c>
      <c r="B6520">
        <v>1200</v>
      </c>
      <c r="C6520" s="455">
        <v>0</v>
      </c>
      <c r="D6520" s="637">
        <f t="shared" si="216"/>
        <v>0</v>
      </c>
      <c r="E6520" s="637">
        <f t="shared" si="217"/>
        <v>0</v>
      </c>
    </row>
    <row r="6521" spans="1:5">
      <c r="A6521">
        <v>92913</v>
      </c>
      <c r="B6521">
        <v>1300</v>
      </c>
      <c r="C6521" s="455">
        <v>0</v>
      </c>
      <c r="D6521" s="637">
        <f t="shared" si="216"/>
        <v>0</v>
      </c>
      <c r="E6521" s="637">
        <f t="shared" si="217"/>
        <v>0</v>
      </c>
    </row>
    <row r="6522" spans="1:5">
      <c r="A6522">
        <v>92913</v>
      </c>
      <c r="B6522">
        <v>1400</v>
      </c>
      <c r="C6522" s="455">
        <v>0</v>
      </c>
      <c r="D6522" s="637">
        <f t="shared" si="216"/>
        <v>0</v>
      </c>
      <c r="E6522" s="637">
        <f t="shared" si="217"/>
        <v>0</v>
      </c>
    </row>
    <row r="6523" spans="1:5">
      <c r="A6523">
        <v>92913</v>
      </c>
      <c r="B6523">
        <v>1500</v>
      </c>
      <c r="C6523" s="455">
        <v>0</v>
      </c>
      <c r="D6523" s="637">
        <f t="shared" si="216"/>
        <v>0</v>
      </c>
      <c r="E6523" s="637">
        <f t="shared" si="217"/>
        <v>0</v>
      </c>
    </row>
    <row r="6524" spans="1:5">
      <c r="A6524">
        <v>92913</v>
      </c>
      <c r="B6524">
        <v>1600</v>
      </c>
      <c r="C6524" s="455">
        <v>0</v>
      </c>
      <c r="D6524" s="637">
        <f t="shared" si="216"/>
        <v>0</v>
      </c>
      <c r="E6524" s="637">
        <f t="shared" si="217"/>
        <v>0</v>
      </c>
    </row>
    <row r="6525" spans="1:5">
      <c r="A6525">
        <v>92913</v>
      </c>
      <c r="B6525">
        <v>1700</v>
      </c>
      <c r="C6525" s="455">
        <v>0</v>
      </c>
      <c r="D6525" s="637">
        <f t="shared" si="216"/>
        <v>0</v>
      </c>
      <c r="E6525" s="637">
        <f t="shared" si="217"/>
        <v>0</v>
      </c>
    </row>
    <row r="6526" spans="1:5">
      <c r="A6526">
        <v>92913</v>
      </c>
      <c r="B6526">
        <v>1800</v>
      </c>
      <c r="C6526" s="455">
        <v>2.6120000000000001</v>
      </c>
      <c r="D6526" s="637">
        <f t="shared" si="216"/>
        <v>6.3123333333333358</v>
      </c>
      <c r="E6526" s="637">
        <f t="shared" si="217"/>
        <v>8.7688571428571471</v>
      </c>
    </row>
    <row r="6527" spans="1:5">
      <c r="A6527">
        <v>92913</v>
      </c>
      <c r="B6527">
        <v>1900</v>
      </c>
      <c r="C6527" s="455">
        <v>11.788</v>
      </c>
      <c r="D6527" s="637">
        <f t="shared" si="216"/>
        <v>28.487666666666676</v>
      </c>
      <c r="E6527" s="637">
        <f t="shared" si="217"/>
        <v>39.574000000000019</v>
      </c>
    </row>
    <row r="6528" spans="1:5">
      <c r="A6528">
        <v>92913</v>
      </c>
      <c r="B6528">
        <v>2000</v>
      </c>
      <c r="C6528" s="455">
        <v>9.9710000000000001</v>
      </c>
      <c r="D6528" s="637">
        <f t="shared" si="216"/>
        <v>24.096583333333342</v>
      </c>
      <c r="E6528" s="637">
        <f t="shared" si="217"/>
        <v>33.474071428571449</v>
      </c>
    </row>
    <row r="6529" spans="1:5">
      <c r="A6529">
        <v>92913</v>
      </c>
      <c r="B6529">
        <v>2100</v>
      </c>
      <c r="C6529" s="455">
        <v>10.382999999999999</v>
      </c>
      <c r="D6529" s="637">
        <f t="shared" si="216"/>
        <v>25.092250000000003</v>
      </c>
      <c r="E6529" s="637">
        <f t="shared" si="217"/>
        <v>34.857214285714299</v>
      </c>
    </row>
    <row r="6530" spans="1:5">
      <c r="A6530">
        <v>92913</v>
      </c>
      <c r="B6530">
        <v>2200</v>
      </c>
      <c r="C6530" s="455">
        <v>9.9870000000000001</v>
      </c>
      <c r="D6530" s="637">
        <f t="shared" si="216"/>
        <v>24.13525000000001</v>
      </c>
      <c r="E6530" s="637">
        <f t="shared" si="217"/>
        <v>33.527785714285734</v>
      </c>
    </row>
    <row r="6531" spans="1:5">
      <c r="A6531">
        <v>92913</v>
      </c>
      <c r="B6531">
        <v>2300</v>
      </c>
      <c r="C6531" s="455">
        <v>10.202</v>
      </c>
      <c r="D6531" s="637">
        <f t="shared" si="216"/>
        <v>24.65483333333334</v>
      </c>
      <c r="E6531" s="637">
        <f t="shared" si="217"/>
        <v>34.249571428571443</v>
      </c>
    </row>
    <row r="6532" spans="1:5">
      <c r="A6532">
        <v>92913</v>
      </c>
      <c r="B6532">
        <v>2400</v>
      </c>
      <c r="C6532" s="455">
        <v>10.132</v>
      </c>
      <c r="D6532" s="637">
        <f t="shared" si="216"/>
        <v>24.485666666666674</v>
      </c>
      <c r="E6532" s="637">
        <f t="shared" si="217"/>
        <v>34.014571428571443</v>
      </c>
    </row>
    <row r="6533" spans="1:5">
      <c r="A6533">
        <v>93013</v>
      </c>
      <c r="B6533">
        <v>100</v>
      </c>
      <c r="C6533" s="455">
        <v>10.119999999999999</v>
      </c>
      <c r="D6533" s="637">
        <f t="shared" si="216"/>
        <v>24.456666666666671</v>
      </c>
      <c r="E6533" s="637">
        <f t="shared" si="217"/>
        <v>33.974285714285728</v>
      </c>
    </row>
    <row r="6534" spans="1:5">
      <c r="A6534">
        <v>93013</v>
      </c>
      <c r="B6534">
        <v>200</v>
      </c>
      <c r="C6534" s="455">
        <v>9.8689999999999998</v>
      </c>
      <c r="D6534" s="637">
        <f t="shared" si="216"/>
        <v>23.850083333333338</v>
      </c>
      <c r="E6534" s="637">
        <f t="shared" si="217"/>
        <v>33.131642857142872</v>
      </c>
    </row>
    <row r="6535" spans="1:5">
      <c r="A6535">
        <v>93013</v>
      </c>
      <c r="B6535">
        <v>300</v>
      </c>
      <c r="C6535" s="455">
        <v>10.188000000000001</v>
      </c>
      <c r="D6535" s="637">
        <f t="shared" si="216"/>
        <v>24.621000000000006</v>
      </c>
      <c r="E6535" s="637">
        <f t="shared" si="217"/>
        <v>34.202571428571446</v>
      </c>
    </row>
    <row r="6536" spans="1:5">
      <c r="A6536">
        <v>93013</v>
      </c>
      <c r="B6536">
        <v>400</v>
      </c>
      <c r="C6536" s="455">
        <v>9.859</v>
      </c>
      <c r="D6536" s="637">
        <f t="shared" si="216"/>
        <v>23.825916666666672</v>
      </c>
      <c r="E6536" s="637">
        <f t="shared" si="217"/>
        <v>33.098071428571444</v>
      </c>
    </row>
    <row r="6537" spans="1:5">
      <c r="A6537">
        <v>93013</v>
      </c>
      <c r="B6537">
        <v>500</v>
      </c>
      <c r="C6537" s="455">
        <v>10.308999999999999</v>
      </c>
      <c r="D6537" s="637">
        <f t="shared" si="216"/>
        <v>24.913416666666674</v>
      </c>
      <c r="E6537" s="637">
        <f t="shared" si="217"/>
        <v>34.60878571428573</v>
      </c>
    </row>
    <row r="6538" spans="1:5">
      <c r="A6538">
        <v>93013</v>
      </c>
      <c r="B6538">
        <v>600</v>
      </c>
      <c r="C6538" s="455">
        <v>10.577999999999999</v>
      </c>
      <c r="D6538" s="637">
        <f t="shared" si="216"/>
        <v>25.563500000000008</v>
      </c>
      <c r="E6538" s="637">
        <f t="shared" si="217"/>
        <v>35.51185714285716</v>
      </c>
    </row>
    <row r="6539" spans="1:5">
      <c r="A6539">
        <v>93013</v>
      </c>
      <c r="B6539">
        <v>700</v>
      </c>
      <c r="C6539" s="455">
        <v>11.754</v>
      </c>
      <c r="D6539" s="637">
        <f t="shared" si="216"/>
        <v>28.405500000000004</v>
      </c>
      <c r="E6539" s="637">
        <f t="shared" si="217"/>
        <v>39.45985714285716</v>
      </c>
    </row>
    <row r="6540" spans="1:5">
      <c r="A6540">
        <v>93013</v>
      </c>
      <c r="B6540">
        <v>800</v>
      </c>
      <c r="C6540" s="455">
        <v>2.7679999999999998</v>
      </c>
      <c r="D6540" s="637">
        <f t="shared" si="216"/>
        <v>6.6893333333333347</v>
      </c>
      <c r="E6540" s="637">
        <f t="shared" si="217"/>
        <v>9.2925714285714331</v>
      </c>
    </row>
    <row r="6541" spans="1:5">
      <c r="A6541">
        <v>93013</v>
      </c>
      <c r="B6541">
        <v>900</v>
      </c>
      <c r="C6541" s="455">
        <v>0</v>
      </c>
      <c r="D6541" s="637">
        <f t="shared" si="216"/>
        <v>0</v>
      </c>
      <c r="E6541" s="637">
        <f t="shared" si="217"/>
        <v>0</v>
      </c>
    </row>
    <row r="6542" spans="1:5">
      <c r="A6542">
        <v>93013</v>
      </c>
      <c r="B6542">
        <v>1000</v>
      </c>
      <c r="C6542" s="455">
        <v>0</v>
      </c>
      <c r="D6542" s="637">
        <f t="shared" ref="D6542:D6556" si="218">(C6542/(MAX($C$5837:$C$6556)))*$W$13</f>
        <v>0</v>
      </c>
      <c r="E6542" s="637">
        <f t="shared" ref="E6542:E6556" si="219">(C6542/(MAX($C$5837:$C$6556)))*$P$13</f>
        <v>0</v>
      </c>
    </row>
    <row r="6543" spans="1:5">
      <c r="A6543">
        <v>93013</v>
      </c>
      <c r="B6543">
        <v>1100</v>
      </c>
      <c r="C6543" s="455">
        <v>1E-3</v>
      </c>
      <c r="D6543" s="637">
        <f t="shared" si="218"/>
        <v>2.4166666666666672E-3</v>
      </c>
      <c r="E6543" s="637">
        <f t="shared" si="219"/>
        <v>3.3571428571428589E-3</v>
      </c>
    </row>
    <row r="6544" spans="1:5">
      <c r="A6544">
        <v>93013</v>
      </c>
      <c r="B6544">
        <v>1200</v>
      </c>
      <c r="C6544" s="455">
        <v>0</v>
      </c>
      <c r="D6544" s="637">
        <f t="shared" si="218"/>
        <v>0</v>
      </c>
      <c r="E6544" s="637">
        <f t="shared" si="219"/>
        <v>0</v>
      </c>
    </row>
    <row r="6545" spans="1:5">
      <c r="A6545">
        <v>93013</v>
      </c>
      <c r="B6545">
        <v>1300</v>
      </c>
      <c r="C6545" s="455">
        <v>0</v>
      </c>
      <c r="D6545" s="637">
        <f t="shared" si="218"/>
        <v>0</v>
      </c>
      <c r="E6545" s="637">
        <f t="shared" si="219"/>
        <v>0</v>
      </c>
    </row>
    <row r="6546" spans="1:5">
      <c r="A6546">
        <v>93013</v>
      </c>
      <c r="B6546">
        <v>1400</v>
      </c>
      <c r="C6546" s="455">
        <v>0</v>
      </c>
      <c r="D6546" s="637">
        <f t="shared" si="218"/>
        <v>0</v>
      </c>
      <c r="E6546" s="637">
        <f t="shared" si="219"/>
        <v>0</v>
      </c>
    </row>
    <row r="6547" spans="1:5">
      <c r="A6547">
        <v>93013</v>
      </c>
      <c r="B6547">
        <v>1500</v>
      </c>
      <c r="C6547" s="455">
        <v>0</v>
      </c>
      <c r="D6547" s="637">
        <f t="shared" si="218"/>
        <v>0</v>
      </c>
      <c r="E6547" s="637">
        <f t="shared" si="219"/>
        <v>0</v>
      </c>
    </row>
    <row r="6548" spans="1:5">
      <c r="A6548">
        <v>93013</v>
      </c>
      <c r="B6548">
        <v>1600</v>
      </c>
      <c r="C6548" s="455">
        <v>1E-3</v>
      </c>
      <c r="D6548" s="637">
        <f t="shared" si="218"/>
        <v>2.4166666666666672E-3</v>
      </c>
      <c r="E6548" s="637">
        <f t="shared" si="219"/>
        <v>3.3571428571428589E-3</v>
      </c>
    </row>
    <row r="6549" spans="1:5">
      <c r="A6549">
        <v>93013</v>
      </c>
      <c r="B6549">
        <v>1700</v>
      </c>
      <c r="C6549" s="455">
        <v>0</v>
      </c>
      <c r="D6549" s="637">
        <f t="shared" si="218"/>
        <v>0</v>
      </c>
      <c r="E6549" s="637">
        <f t="shared" si="219"/>
        <v>0</v>
      </c>
    </row>
    <row r="6550" spans="1:5">
      <c r="A6550">
        <v>93013</v>
      </c>
      <c r="B6550">
        <v>1800</v>
      </c>
      <c r="C6550" s="455">
        <v>3.0190000000000001</v>
      </c>
      <c r="D6550" s="637">
        <f t="shared" si="218"/>
        <v>7.2959166666666695</v>
      </c>
      <c r="E6550" s="637">
        <f t="shared" si="219"/>
        <v>10.135214285714291</v>
      </c>
    </row>
    <row r="6551" spans="1:5">
      <c r="A6551">
        <v>93013</v>
      </c>
      <c r="B6551">
        <v>1900</v>
      </c>
      <c r="C6551" s="455">
        <v>11.378</v>
      </c>
      <c r="D6551" s="637">
        <f t="shared" si="218"/>
        <v>27.496833333333342</v>
      </c>
      <c r="E6551" s="637">
        <f t="shared" si="219"/>
        <v>38.19757142857145</v>
      </c>
    </row>
    <row r="6552" spans="1:5">
      <c r="A6552">
        <v>93013</v>
      </c>
      <c r="B6552">
        <v>2000</v>
      </c>
      <c r="C6552" s="455">
        <v>10.111000000000001</v>
      </c>
      <c r="D6552" s="637">
        <f t="shared" si="218"/>
        <v>24.434916666666673</v>
      </c>
      <c r="E6552" s="637">
        <f t="shared" si="219"/>
        <v>33.944071428571448</v>
      </c>
    </row>
    <row r="6553" spans="1:5">
      <c r="A6553">
        <v>93013</v>
      </c>
      <c r="B6553">
        <v>2100</v>
      </c>
      <c r="C6553" s="455">
        <v>10.151</v>
      </c>
      <c r="D6553" s="637">
        <f t="shared" si="218"/>
        <v>24.531583333333341</v>
      </c>
      <c r="E6553" s="637">
        <f t="shared" si="219"/>
        <v>34.078357142857158</v>
      </c>
    </row>
    <row r="6554" spans="1:5">
      <c r="A6554">
        <v>93013</v>
      </c>
      <c r="B6554">
        <v>2200</v>
      </c>
      <c r="C6554" s="455">
        <v>10.250999999999999</v>
      </c>
      <c r="D6554" s="637">
        <f t="shared" si="218"/>
        <v>24.773250000000004</v>
      </c>
      <c r="E6554" s="637">
        <f t="shared" si="219"/>
        <v>34.414071428571447</v>
      </c>
    </row>
    <row r="6555" spans="1:5">
      <c r="A6555">
        <v>93013</v>
      </c>
      <c r="B6555">
        <v>2300</v>
      </c>
      <c r="C6555" s="455">
        <v>10.417</v>
      </c>
      <c r="D6555" s="637">
        <f t="shared" si="218"/>
        <v>25.174416666666673</v>
      </c>
      <c r="E6555" s="637">
        <f t="shared" si="219"/>
        <v>34.971357142857158</v>
      </c>
    </row>
    <row r="6556" spans="1:5">
      <c r="A6556" s="647">
        <v>93013</v>
      </c>
      <c r="B6556" s="647">
        <v>2400</v>
      </c>
      <c r="C6556" s="648">
        <v>10.228</v>
      </c>
      <c r="D6556" s="637">
        <f t="shared" si="218"/>
        <v>24.717666666666673</v>
      </c>
      <c r="E6556" s="645">
        <f t="shared" si="219"/>
        <v>34.336857142857163</v>
      </c>
    </row>
    <row r="6557" spans="1:5">
      <c r="A6557">
        <v>100113</v>
      </c>
      <c r="B6557">
        <v>100</v>
      </c>
      <c r="C6557" s="455">
        <v>10.507</v>
      </c>
      <c r="D6557" s="637">
        <f>(C6557/(MAX($C$6557:$C$7300)))*$W$14</f>
        <v>26.934611111111114</v>
      </c>
      <c r="E6557" s="637">
        <f>(C6557/(MAX($C$6557:$C$7300)))*$P$14</f>
        <v>35.857222222222248</v>
      </c>
    </row>
    <row r="6558" spans="1:5">
      <c r="A6558">
        <v>100113</v>
      </c>
      <c r="B6558">
        <v>200</v>
      </c>
      <c r="C6558" s="455">
        <v>10.349</v>
      </c>
      <c r="D6558" s="637">
        <f t="shared" ref="D6558:D6621" si="220">(C6558/(MAX($C$6557:$C$7300)))*$W$14</f>
        <v>26.529579365079371</v>
      </c>
      <c r="E6558" s="637">
        <f t="shared" ref="E6558:E6621" si="221">(C6558/(MAX($C$6557:$C$7300)))*$P$14</f>
        <v>35.318015873015895</v>
      </c>
    </row>
    <row r="6559" spans="1:5">
      <c r="A6559">
        <v>100113</v>
      </c>
      <c r="B6559">
        <v>300</v>
      </c>
      <c r="C6559" s="455">
        <v>10.547000000000001</v>
      </c>
      <c r="D6559" s="637">
        <f t="shared" si="220"/>
        <v>27.037150793650799</v>
      </c>
      <c r="E6559" s="637">
        <f t="shared" si="221"/>
        <v>35.99373015873018</v>
      </c>
    </row>
    <row r="6560" spans="1:5">
      <c r="A6560">
        <v>100113</v>
      </c>
      <c r="B6560">
        <v>400</v>
      </c>
      <c r="C6560" s="455">
        <v>10.534000000000001</v>
      </c>
      <c r="D6560" s="637">
        <f t="shared" si="220"/>
        <v>27.003825396825402</v>
      </c>
      <c r="E6560" s="637">
        <f t="shared" si="221"/>
        <v>35.949365079365101</v>
      </c>
    </row>
    <row r="6561" spans="1:5">
      <c r="A6561">
        <v>100113</v>
      </c>
      <c r="B6561">
        <v>500</v>
      </c>
      <c r="C6561" s="455">
        <v>10.285</v>
      </c>
      <c r="D6561" s="637">
        <f t="shared" si="220"/>
        <v>26.365515873015877</v>
      </c>
      <c r="E6561" s="637">
        <f t="shared" si="221"/>
        <v>35.099603174603196</v>
      </c>
    </row>
    <row r="6562" spans="1:5">
      <c r="A6562">
        <v>100113</v>
      </c>
      <c r="B6562">
        <v>600</v>
      </c>
      <c r="C6562" s="455">
        <v>10.166</v>
      </c>
      <c r="D6562" s="637">
        <f t="shared" si="220"/>
        <v>26.060460317460322</v>
      </c>
      <c r="E6562" s="637">
        <f t="shared" si="221"/>
        <v>34.693492063492087</v>
      </c>
    </row>
    <row r="6563" spans="1:5">
      <c r="A6563">
        <v>100113</v>
      </c>
      <c r="B6563">
        <v>700</v>
      </c>
      <c r="C6563" s="455">
        <v>6.0940000000000003</v>
      </c>
      <c r="D6563" s="637">
        <f t="shared" si="220"/>
        <v>15.62192063492064</v>
      </c>
      <c r="E6563" s="637">
        <f t="shared" si="221"/>
        <v>20.796984126984142</v>
      </c>
    </row>
    <row r="6564" spans="1:5">
      <c r="A6564">
        <v>100113</v>
      </c>
      <c r="B6564">
        <v>800</v>
      </c>
      <c r="C6564" s="455">
        <v>1E-3</v>
      </c>
      <c r="D6564" s="637">
        <f t="shared" si="220"/>
        <v>2.5634920634920642E-3</v>
      </c>
      <c r="E6564" s="637">
        <f t="shared" si="221"/>
        <v>3.4126984126984154E-3</v>
      </c>
    </row>
    <row r="6565" spans="1:5">
      <c r="A6565">
        <v>100113</v>
      </c>
      <c r="B6565">
        <v>900</v>
      </c>
      <c r="C6565" s="455">
        <v>0</v>
      </c>
      <c r="D6565" s="637">
        <f t="shared" si="220"/>
        <v>0</v>
      </c>
      <c r="E6565" s="637">
        <f t="shared" si="221"/>
        <v>0</v>
      </c>
    </row>
    <row r="6566" spans="1:5">
      <c r="A6566">
        <v>100113</v>
      </c>
      <c r="B6566">
        <v>1000</v>
      </c>
      <c r="C6566" s="455">
        <v>0</v>
      </c>
      <c r="D6566" s="637">
        <f t="shared" si="220"/>
        <v>0</v>
      </c>
      <c r="E6566" s="637">
        <f t="shared" si="221"/>
        <v>0</v>
      </c>
    </row>
    <row r="6567" spans="1:5">
      <c r="A6567">
        <v>100113</v>
      </c>
      <c r="B6567">
        <v>1100</v>
      </c>
      <c r="C6567" s="455">
        <v>0</v>
      </c>
      <c r="D6567" s="637">
        <f t="shared" si="220"/>
        <v>0</v>
      </c>
      <c r="E6567" s="637">
        <f t="shared" si="221"/>
        <v>0</v>
      </c>
    </row>
    <row r="6568" spans="1:5">
      <c r="A6568">
        <v>100113</v>
      </c>
      <c r="B6568">
        <v>1200</v>
      </c>
      <c r="C6568" s="455">
        <v>0</v>
      </c>
      <c r="D6568" s="637">
        <f t="shared" si="220"/>
        <v>0</v>
      </c>
      <c r="E6568" s="637">
        <f t="shared" si="221"/>
        <v>0</v>
      </c>
    </row>
    <row r="6569" spans="1:5">
      <c r="A6569">
        <v>100113</v>
      </c>
      <c r="B6569">
        <v>1300</v>
      </c>
      <c r="C6569" s="455">
        <v>0</v>
      </c>
      <c r="D6569" s="637">
        <f t="shared" si="220"/>
        <v>0</v>
      </c>
      <c r="E6569" s="637">
        <f t="shared" si="221"/>
        <v>0</v>
      </c>
    </row>
    <row r="6570" spans="1:5">
      <c r="A6570">
        <v>100113</v>
      </c>
      <c r="B6570">
        <v>1400</v>
      </c>
      <c r="C6570" s="455">
        <v>0</v>
      </c>
      <c r="D6570" s="637">
        <f t="shared" si="220"/>
        <v>0</v>
      </c>
      <c r="E6570" s="637">
        <f t="shared" si="221"/>
        <v>0</v>
      </c>
    </row>
    <row r="6571" spans="1:5">
      <c r="A6571">
        <v>100113</v>
      </c>
      <c r="B6571">
        <v>1500</v>
      </c>
      <c r="C6571" s="455">
        <v>0</v>
      </c>
      <c r="D6571" s="637">
        <f t="shared" si="220"/>
        <v>0</v>
      </c>
      <c r="E6571" s="637">
        <f t="shared" si="221"/>
        <v>0</v>
      </c>
    </row>
    <row r="6572" spans="1:5">
      <c r="A6572">
        <v>100113</v>
      </c>
      <c r="B6572">
        <v>1600</v>
      </c>
      <c r="C6572" s="455">
        <v>0</v>
      </c>
      <c r="D6572" s="637">
        <f t="shared" si="220"/>
        <v>0</v>
      </c>
      <c r="E6572" s="637">
        <f t="shared" si="221"/>
        <v>0</v>
      </c>
    </row>
    <row r="6573" spans="1:5">
      <c r="A6573">
        <v>100113</v>
      </c>
      <c r="B6573">
        <v>1700</v>
      </c>
      <c r="C6573" s="455">
        <v>0</v>
      </c>
      <c r="D6573" s="637">
        <f t="shared" si="220"/>
        <v>0</v>
      </c>
      <c r="E6573" s="637">
        <f t="shared" si="221"/>
        <v>0</v>
      </c>
    </row>
    <row r="6574" spans="1:5">
      <c r="A6574">
        <v>100113</v>
      </c>
      <c r="B6574">
        <v>1800</v>
      </c>
      <c r="C6574" s="455">
        <v>1.6240000000000001</v>
      </c>
      <c r="D6574" s="637">
        <f t="shared" si="220"/>
        <v>4.1631111111111121</v>
      </c>
      <c r="E6574" s="637">
        <f t="shared" si="221"/>
        <v>5.542222222222227</v>
      </c>
    </row>
    <row r="6575" spans="1:5">
      <c r="A6575">
        <v>100113</v>
      </c>
      <c r="B6575">
        <v>1900</v>
      </c>
      <c r="C6575" s="455">
        <v>11.343</v>
      </c>
      <c r="D6575" s="637">
        <f t="shared" si="220"/>
        <v>29.07769047619048</v>
      </c>
      <c r="E6575" s="637">
        <f t="shared" si="221"/>
        <v>38.710238095238118</v>
      </c>
    </row>
    <row r="6576" spans="1:5">
      <c r="A6576">
        <v>100113</v>
      </c>
      <c r="B6576">
        <v>2000</v>
      </c>
      <c r="C6576" s="455">
        <v>10.023999999999999</v>
      </c>
      <c r="D6576" s="637">
        <f t="shared" si="220"/>
        <v>25.696444444444449</v>
      </c>
      <c r="E6576" s="637">
        <f t="shared" si="221"/>
        <v>34.208888888888907</v>
      </c>
    </row>
    <row r="6577" spans="1:5">
      <c r="A6577">
        <v>100113</v>
      </c>
      <c r="B6577">
        <v>2100</v>
      </c>
      <c r="C6577" s="455">
        <v>9.7919999999999998</v>
      </c>
      <c r="D6577" s="637">
        <f t="shared" si="220"/>
        <v>25.101714285714291</v>
      </c>
      <c r="E6577" s="637">
        <f t="shared" si="221"/>
        <v>33.417142857142885</v>
      </c>
    </row>
    <row r="6578" spans="1:5">
      <c r="A6578">
        <v>100113</v>
      </c>
      <c r="B6578">
        <v>2200</v>
      </c>
      <c r="C6578" s="455">
        <v>10.175000000000001</v>
      </c>
      <c r="D6578" s="637">
        <f t="shared" si="220"/>
        <v>26.083531746031753</v>
      </c>
      <c r="E6578" s="637">
        <f t="shared" si="221"/>
        <v>34.724206349206376</v>
      </c>
    </row>
    <row r="6579" spans="1:5">
      <c r="A6579">
        <v>100113</v>
      </c>
      <c r="B6579">
        <v>2300</v>
      </c>
      <c r="C6579" s="455">
        <v>10.228</v>
      </c>
      <c r="D6579" s="637">
        <f t="shared" si="220"/>
        <v>26.219396825396831</v>
      </c>
      <c r="E6579" s="637">
        <f t="shared" si="221"/>
        <v>34.905079365079388</v>
      </c>
    </row>
    <row r="6580" spans="1:5">
      <c r="A6580">
        <v>100113</v>
      </c>
      <c r="B6580">
        <v>2400</v>
      </c>
      <c r="C6580" s="455">
        <v>10.193</v>
      </c>
      <c r="D6580" s="637">
        <f t="shared" si="220"/>
        <v>26.129674603174607</v>
      </c>
      <c r="E6580" s="637">
        <f t="shared" si="221"/>
        <v>34.785634920634941</v>
      </c>
    </row>
    <row r="6581" spans="1:5">
      <c r="A6581">
        <v>100213</v>
      </c>
      <c r="B6581">
        <v>100</v>
      </c>
      <c r="C6581" s="455">
        <v>10.234999999999999</v>
      </c>
      <c r="D6581" s="637">
        <f t="shared" si="220"/>
        <v>26.237341269841274</v>
      </c>
      <c r="E6581" s="637">
        <f t="shared" si="221"/>
        <v>34.928968253968279</v>
      </c>
    </row>
    <row r="6582" spans="1:5">
      <c r="A6582">
        <v>100213</v>
      </c>
      <c r="B6582">
        <v>200</v>
      </c>
      <c r="C6582" s="455">
        <v>10.465</v>
      </c>
      <c r="D6582" s="637">
        <f t="shared" si="220"/>
        <v>26.826944444444447</v>
      </c>
      <c r="E6582" s="637">
        <f t="shared" si="221"/>
        <v>35.71388888888891</v>
      </c>
    </row>
    <row r="6583" spans="1:5">
      <c r="A6583">
        <v>100213</v>
      </c>
      <c r="B6583">
        <v>300</v>
      </c>
      <c r="C6583" s="455">
        <v>10.412000000000001</v>
      </c>
      <c r="D6583" s="637">
        <f t="shared" si="220"/>
        <v>26.691079365079375</v>
      </c>
      <c r="E6583" s="637">
        <f t="shared" si="221"/>
        <v>35.533015873015898</v>
      </c>
    </row>
    <row r="6584" spans="1:5">
      <c r="A6584">
        <v>100213</v>
      </c>
      <c r="B6584">
        <v>400</v>
      </c>
      <c r="C6584" s="455">
        <v>10.394</v>
      </c>
      <c r="D6584" s="637">
        <f t="shared" si="220"/>
        <v>26.64493650793651</v>
      </c>
      <c r="E6584" s="637">
        <f t="shared" si="221"/>
        <v>35.471587301587327</v>
      </c>
    </row>
    <row r="6585" spans="1:5">
      <c r="A6585">
        <v>100213</v>
      </c>
      <c r="B6585">
        <v>500</v>
      </c>
      <c r="C6585" s="455">
        <v>10.15</v>
      </c>
      <c r="D6585" s="637">
        <f t="shared" si="220"/>
        <v>26.019444444444453</v>
      </c>
      <c r="E6585" s="637">
        <f t="shared" si="221"/>
        <v>34.638888888888914</v>
      </c>
    </row>
    <row r="6586" spans="1:5">
      <c r="A6586">
        <v>100213</v>
      </c>
      <c r="B6586">
        <v>600</v>
      </c>
      <c r="C6586" s="455">
        <v>10.212999999999999</v>
      </c>
      <c r="D6586" s="637">
        <f t="shared" si="220"/>
        <v>26.180944444444446</v>
      </c>
      <c r="E6586" s="637">
        <f t="shared" si="221"/>
        <v>34.85388888888891</v>
      </c>
    </row>
    <row r="6587" spans="1:5">
      <c r="A6587">
        <v>100213</v>
      </c>
      <c r="B6587">
        <v>700</v>
      </c>
      <c r="C6587" s="455">
        <v>9.8290000000000006</v>
      </c>
      <c r="D6587" s="637">
        <f t="shared" si="220"/>
        <v>25.196563492063497</v>
      </c>
      <c r="E6587" s="637">
        <f t="shared" si="221"/>
        <v>33.543412698412723</v>
      </c>
    </row>
    <row r="6588" spans="1:5">
      <c r="A6588">
        <v>100213</v>
      </c>
      <c r="B6588">
        <v>800</v>
      </c>
      <c r="C6588" s="455">
        <v>0.108</v>
      </c>
      <c r="D6588" s="637">
        <f t="shared" si="220"/>
        <v>0.27685714285714291</v>
      </c>
      <c r="E6588" s="637">
        <f t="shared" si="221"/>
        <v>0.36857142857142877</v>
      </c>
    </row>
    <row r="6589" spans="1:5">
      <c r="A6589">
        <v>100213</v>
      </c>
      <c r="B6589">
        <v>900</v>
      </c>
      <c r="C6589" s="455">
        <v>0</v>
      </c>
      <c r="D6589" s="637">
        <f t="shared" si="220"/>
        <v>0</v>
      </c>
      <c r="E6589" s="637">
        <f t="shared" si="221"/>
        <v>0</v>
      </c>
    </row>
    <row r="6590" spans="1:5">
      <c r="A6590">
        <v>100213</v>
      </c>
      <c r="B6590">
        <v>1000</v>
      </c>
      <c r="C6590" s="455">
        <v>0</v>
      </c>
      <c r="D6590" s="637">
        <f t="shared" si="220"/>
        <v>0</v>
      </c>
      <c r="E6590" s="637">
        <f t="shared" si="221"/>
        <v>0</v>
      </c>
    </row>
    <row r="6591" spans="1:5">
      <c r="A6591">
        <v>100213</v>
      </c>
      <c r="B6591">
        <v>1100</v>
      </c>
      <c r="C6591" s="455">
        <v>0</v>
      </c>
      <c r="D6591" s="637">
        <f t="shared" si="220"/>
        <v>0</v>
      </c>
      <c r="E6591" s="637">
        <f t="shared" si="221"/>
        <v>0</v>
      </c>
    </row>
    <row r="6592" spans="1:5">
      <c r="A6592">
        <v>100213</v>
      </c>
      <c r="B6592">
        <v>1200</v>
      </c>
      <c r="C6592" s="455">
        <v>0</v>
      </c>
      <c r="D6592" s="637">
        <f t="shared" si="220"/>
        <v>0</v>
      </c>
      <c r="E6592" s="637">
        <f t="shared" si="221"/>
        <v>0</v>
      </c>
    </row>
    <row r="6593" spans="1:5">
      <c r="A6593">
        <v>100213</v>
      </c>
      <c r="B6593">
        <v>1300</v>
      </c>
      <c r="C6593" s="455">
        <v>0</v>
      </c>
      <c r="D6593" s="637">
        <f t="shared" si="220"/>
        <v>0</v>
      </c>
      <c r="E6593" s="637">
        <f t="shared" si="221"/>
        <v>0</v>
      </c>
    </row>
    <row r="6594" spans="1:5">
      <c r="A6594">
        <v>100213</v>
      </c>
      <c r="B6594">
        <v>1400</v>
      </c>
      <c r="C6594" s="455">
        <v>0</v>
      </c>
      <c r="D6594" s="637">
        <f t="shared" si="220"/>
        <v>0</v>
      </c>
      <c r="E6594" s="637">
        <f t="shared" si="221"/>
        <v>0</v>
      </c>
    </row>
    <row r="6595" spans="1:5">
      <c r="A6595">
        <v>100213</v>
      </c>
      <c r="B6595">
        <v>1500</v>
      </c>
      <c r="C6595" s="455">
        <v>0</v>
      </c>
      <c r="D6595" s="637">
        <f t="shared" si="220"/>
        <v>0</v>
      </c>
      <c r="E6595" s="637">
        <f t="shared" si="221"/>
        <v>0</v>
      </c>
    </row>
    <row r="6596" spans="1:5">
      <c r="A6596">
        <v>100213</v>
      </c>
      <c r="B6596">
        <v>1600</v>
      </c>
      <c r="C6596" s="455">
        <v>0</v>
      </c>
      <c r="D6596" s="637">
        <f t="shared" si="220"/>
        <v>0</v>
      </c>
      <c r="E6596" s="637">
        <f t="shared" si="221"/>
        <v>0</v>
      </c>
    </row>
    <row r="6597" spans="1:5">
      <c r="A6597">
        <v>100213</v>
      </c>
      <c r="B6597">
        <v>1700</v>
      </c>
      <c r="C6597" s="455">
        <v>1E-3</v>
      </c>
      <c r="D6597" s="637">
        <f t="shared" si="220"/>
        <v>2.5634920634920642E-3</v>
      </c>
      <c r="E6597" s="637">
        <f t="shared" si="221"/>
        <v>3.4126984126984154E-3</v>
      </c>
    </row>
    <row r="6598" spans="1:5">
      <c r="A6598">
        <v>100213</v>
      </c>
      <c r="B6598">
        <v>1800</v>
      </c>
      <c r="C6598" s="455">
        <v>2.0790000000000002</v>
      </c>
      <c r="D6598" s="637">
        <f t="shared" si="220"/>
        <v>5.3295000000000021</v>
      </c>
      <c r="E6598" s="637">
        <f t="shared" si="221"/>
        <v>7.095000000000006</v>
      </c>
    </row>
    <row r="6599" spans="1:5">
      <c r="A6599">
        <v>100213</v>
      </c>
      <c r="B6599">
        <v>1900</v>
      </c>
      <c r="C6599" s="455">
        <v>12.093999999999999</v>
      </c>
      <c r="D6599" s="637">
        <f t="shared" si="220"/>
        <v>31.002873015873018</v>
      </c>
      <c r="E6599" s="637">
        <f t="shared" si="221"/>
        <v>41.273174603174631</v>
      </c>
    </row>
    <row r="6600" spans="1:5">
      <c r="A6600">
        <v>100213</v>
      </c>
      <c r="B6600">
        <v>2000</v>
      </c>
      <c r="C6600" s="455">
        <v>10.215999999999999</v>
      </c>
      <c r="D6600" s="637">
        <f t="shared" si="220"/>
        <v>26.188634920634922</v>
      </c>
      <c r="E6600" s="637">
        <f t="shared" si="221"/>
        <v>34.864126984127005</v>
      </c>
    </row>
    <row r="6601" spans="1:5">
      <c r="A6601">
        <v>100213</v>
      </c>
      <c r="B6601">
        <v>2100</v>
      </c>
      <c r="C6601" s="455">
        <v>9.9190000000000005</v>
      </c>
      <c r="D6601" s="637">
        <f t="shared" si="220"/>
        <v>25.427277777777785</v>
      </c>
      <c r="E6601" s="637">
        <f t="shared" si="221"/>
        <v>33.85055555555558</v>
      </c>
    </row>
    <row r="6602" spans="1:5">
      <c r="A6602">
        <v>100213</v>
      </c>
      <c r="B6602">
        <v>2200</v>
      </c>
      <c r="C6602" s="455">
        <v>10.14</v>
      </c>
      <c r="D6602" s="637">
        <f t="shared" si="220"/>
        <v>25.993809523809528</v>
      </c>
      <c r="E6602" s="637">
        <f t="shared" si="221"/>
        <v>34.604761904761929</v>
      </c>
    </row>
    <row r="6603" spans="1:5">
      <c r="A6603">
        <v>100213</v>
      </c>
      <c r="B6603">
        <v>2300</v>
      </c>
      <c r="C6603" s="455">
        <v>10.121</v>
      </c>
      <c r="D6603" s="637">
        <f t="shared" si="220"/>
        <v>25.945103174603183</v>
      </c>
      <c r="E6603" s="637">
        <f t="shared" si="221"/>
        <v>34.539920634920662</v>
      </c>
    </row>
    <row r="6604" spans="1:5">
      <c r="A6604">
        <v>100213</v>
      </c>
      <c r="B6604">
        <v>2400</v>
      </c>
      <c r="C6604" s="455">
        <v>10.013</v>
      </c>
      <c r="D6604" s="637">
        <f t="shared" si="220"/>
        <v>25.668246031746037</v>
      </c>
      <c r="E6604" s="637">
        <f t="shared" si="221"/>
        <v>34.171349206349227</v>
      </c>
    </row>
    <row r="6605" spans="1:5">
      <c r="A6605">
        <v>100313</v>
      </c>
      <c r="B6605">
        <v>100</v>
      </c>
      <c r="C6605" s="455">
        <v>10.052</v>
      </c>
      <c r="D6605" s="637">
        <f t="shared" si="220"/>
        <v>25.768222222222224</v>
      </c>
      <c r="E6605" s="637">
        <f t="shared" si="221"/>
        <v>34.304444444444464</v>
      </c>
    </row>
    <row r="6606" spans="1:5">
      <c r="A6606">
        <v>100313</v>
      </c>
      <c r="B6606">
        <v>200</v>
      </c>
      <c r="C6606" s="455">
        <v>10.132</v>
      </c>
      <c r="D6606" s="637">
        <f t="shared" si="220"/>
        <v>25.973301587301588</v>
      </c>
      <c r="E6606" s="637">
        <f t="shared" si="221"/>
        <v>34.577460317460336</v>
      </c>
    </row>
    <row r="6607" spans="1:5">
      <c r="A6607">
        <v>100313</v>
      </c>
      <c r="B6607">
        <v>300</v>
      </c>
      <c r="C6607" s="455">
        <v>10.414999999999999</v>
      </c>
      <c r="D6607" s="637">
        <f t="shared" si="220"/>
        <v>26.698769841269844</v>
      </c>
      <c r="E6607" s="637">
        <f t="shared" si="221"/>
        <v>35.543253968253993</v>
      </c>
    </row>
    <row r="6608" spans="1:5">
      <c r="A6608">
        <v>100313</v>
      </c>
      <c r="B6608">
        <v>400</v>
      </c>
      <c r="C6608" s="455">
        <v>10.411</v>
      </c>
      <c r="D6608" s="637">
        <f t="shared" si="220"/>
        <v>26.688515873015877</v>
      </c>
      <c r="E6608" s="637">
        <f t="shared" si="221"/>
        <v>35.529603174603196</v>
      </c>
    </row>
    <row r="6609" spans="1:5">
      <c r="A6609">
        <v>100313</v>
      </c>
      <c r="B6609">
        <v>500</v>
      </c>
      <c r="C6609" s="455">
        <v>10.401</v>
      </c>
      <c r="D6609" s="637">
        <f t="shared" si="220"/>
        <v>26.662880952380959</v>
      </c>
      <c r="E6609" s="637">
        <f t="shared" si="221"/>
        <v>35.495476190476218</v>
      </c>
    </row>
    <row r="6610" spans="1:5">
      <c r="A6610">
        <v>100313</v>
      </c>
      <c r="B6610">
        <v>600</v>
      </c>
      <c r="C6610" s="455">
        <v>10.131</v>
      </c>
      <c r="D6610" s="637">
        <f t="shared" si="220"/>
        <v>25.970738095238101</v>
      </c>
      <c r="E6610" s="637">
        <f t="shared" si="221"/>
        <v>34.57404761904764</v>
      </c>
    </row>
    <row r="6611" spans="1:5">
      <c r="A6611">
        <v>100313</v>
      </c>
      <c r="B6611">
        <v>700</v>
      </c>
      <c r="C6611" s="455">
        <v>5.2080000000000002</v>
      </c>
      <c r="D6611" s="637">
        <f t="shared" si="220"/>
        <v>13.350666666666669</v>
      </c>
      <c r="E6611" s="637">
        <f t="shared" si="221"/>
        <v>17.773333333333344</v>
      </c>
    </row>
    <row r="6612" spans="1:5">
      <c r="A6612">
        <v>100313</v>
      </c>
      <c r="B6612">
        <v>800</v>
      </c>
      <c r="C6612" s="455">
        <v>0</v>
      </c>
      <c r="D6612" s="637">
        <f t="shared" si="220"/>
        <v>0</v>
      </c>
      <c r="E6612" s="637">
        <f t="shared" si="221"/>
        <v>0</v>
      </c>
    </row>
    <row r="6613" spans="1:5">
      <c r="A6613">
        <v>100313</v>
      </c>
      <c r="B6613">
        <v>900</v>
      </c>
      <c r="C6613" s="455">
        <v>0</v>
      </c>
      <c r="D6613" s="637">
        <f t="shared" si="220"/>
        <v>0</v>
      </c>
      <c r="E6613" s="637">
        <f t="shared" si="221"/>
        <v>0</v>
      </c>
    </row>
    <row r="6614" spans="1:5">
      <c r="A6614">
        <v>100313</v>
      </c>
      <c r="B6614">
        <v>1000</v>
      </c>
      <c r="C6614" s="455">
        <v>0</v>
      </c>
      <c r="D6614" s="637">
        <f t="shared" si="220"/>
        <v>0</v>
      </c>
      <c r="E6614" s="637">
        <f t="shared" si="221"/>
        <v>0</v>
      </c>
    </row>
    <row r="6615" spans="1:5">
      <c r="A6615">
        <v>100313</v>
      </c>
      <c r="B6615">
        <v>1100</v>
      </c>
      <c r="C6615" s="455">
        <v>0</v>
      </c>
      <c r="D6615" s="637">
        <f t="shared" si="220"/>
        <v>0</v>
      </c>
      <c r="E6615" s="637">
        <f t="shared" si="221"/>
        <v>0</v>
      </c>
    </row>
    <row r="6616" spans="1:5">
      <c r="A6616">
        <v>100313</v>
      </c>
      <c r="B6616">
        <v>1200</v>
      </c>
      <c r="C6616" s="455">
        <v>0</v>
      </c>
      <c r="D6616" s="637">
        <f t="shared" si="220"/>
        <v>0</v>
      </c>
      <c r="E6616" s="637">
        <f t="shared" si="221"/>
        <v>0</v>
      </c>
    </row>
    <row r="6617" spans="1:5">
      <c r="A6617">
        <v>100313</v>
      </c>
      <c r="B6617">
        <v>1300</v>
      </c>
      <c r="C6617" s="455">
        <v>0</v>
      </c>
      <c r="D6617" s="637">
        <f t="shared" si="220"/>
        <v>0</v>
      </c>
      <c r="E6617" s="637">
        <f t="shared" si="221"/>
        <v>0</v>
      </c>
    </row>
    <row r="6618" spans="1:5">
      <c r="A6618">
        <v>100313</v>
      </c>
      <c r="B6618">
        <v>1400</v>
      </c>
      <c r="C6618" s="455">
        <v>0</v>
      </c>
      <c r="D6618" s="637">
        <f t="shared" si="220"/>
        <v>0</v>
      </c>
      <c r="E6618" s="637">
        <f t="shared" si="221"/>
        <v>0</v>
      </c>
    </row>
    <row r="6619" spans="1:5">
      <c r="A6619">
        <v>100313</v>
      </c>
      <c r="B6619">
        <v>1500</v>
      </c>
      <c r="C6619" s="455">
        <v>0</v>
      </c>
      <c r="D6619" s="637">
        <f t="shared" si="220"/>
        <v>0</v>
      </c>
      <c r="E6619" s="637">
        <f t="shared" si="221"/>
        <v>0</v>
      </c>
    </row>
    <row r="6620" spans="1:5">
      <c r="A6620">
        <v>100313</v>
      </c>
      <c r="B6620">
        <v>1600</v>
      </c>
      <c r="C6620" s="455">
        <v>0</v>
      </c>
      <c r="D6620" s="637">
        <f t="shared" si="220"/>
        <v>0</v>
      </c>
      <c r="E6620" s="637">
        <f t="shared" si="221"/>
        <v>0</v>
      </c>
    </row>
    <row r="6621" spans="1:5">
      <c r="A6621">
        <v>100313</v>
      </c>
      <c r="B6621">
        <v>1700</v>
      </c>
      <c r="C6621" s="455">
        <v>0</v>
      </c>
      <c r="D6621" s="637">
        <f t="shared" si="220"/>
        <v>0</v>
      </c>
      <c r="E6621" s="637">
        <f t="shared" si="221"/>
        <v>0</v>
      </c>
    </row>
    <row r="6622" spans="1:5">
      <c r="A6622">
        <v>100313</v>
      </c>
      <c r="B6622">
        <v>1800</v>
      </c>
      <c r="C6622" s="455">
        <v>3.456</v>
      </c>
      <c r="D6622" s="637">
        <f t="shared" ref="D6622:D6685" si="222">(C6622/(MAX($C$6557:$C$7300)))*$W$14</f>
        <v>8.8594285714285732</v>
      </c>
      <c r="E6622" s="637">
        <f t="shared" ref="E6622:E6685" si="223">(C6622/(MAX($C$6557:$C$7300)))*$P$14</f>
        <v>11.794285714285721</v>
      </c>
    </row>
    <row r="6623" spans="1:5">
      <c r="A6623">
        <v>100313</v>
      </c>
      <c r="B6623">
        <v>1900</v>
      </c>
      <c r="C6623" s="455">
        <v>11.209</v>
      </c>
      <c r="D6623" s="637">
        <f t="shared" si="222"/>
        <v>28.734182539682543</v>
      </c>
      <c r="E6623" s="637">
        <f t="shared" si="223"/>
        <v>38.252936507936532</v>
      </c>
    </row>
    <row r="6624" spans="1:5">
      <c r="A6624">
        <v>100313</v>
      </c>
      <c r="B6624">
        <v>2000</v>
      </c>
      <c r="C6624" s="455">
        <v>9.782</v>
      </c>
      <c r="D6624" s="637">
        <f t="shared" si="222"/>
        <v>25.076079365079369</v>
      </c>
      <c r="E6624" s="637">
        <f t="shared" si="223"/>
        <v>33.383015873015893</v>
      </c>
    </row>
    <row r="6625" spans="1:5">
      <c r="A6625">
        <v>100313</v>
      </c>
      <c r="B6625">
        <v>2100</v>
      </c>
      <c r="C6625" s="455">
        <v>10.183</v>
      </c>
      <c r="D6625" s="637">
        <f t="shared" si="222"/>
        <v>26.104039682539685</v>
      </c>
      <c r="E6625" s="637">
        <f t="shared" si="223"/>
        <v>34.751507936507956</v>
      </c>
    </row>
    <row r="6626" spans="1:5">
      <c r="A6626">
        <v>100313</v>
      </c>
      <c r="B6626">
        <v>2200</v>
      </c>
      <c r="C6626" s="455">
        <v>9.9629999999999992</v>
      </c>
      <c r="D6626" s="637">
        <f t="shared" si="222"/>
        <v>25.54007142857143</v>
      </c>
      <c r="E6626" s="637">
        <f t="shared" si="223"/>
        <v>34.000714285714302</v>
      </c>
    </row>
    <row r="6627" spans="1:5">
      <c r="A6627">
        <v>100313</v>
      </c>
      <c r="B6627">
        <v>2300</v>
      </c>
      <c r="C6627" s="455">
        <v>10.028</v>
      </c>
      <c r="D6627" s="637">
        <f t="shared" si="222"/>
        <v>25.706698412698419</v>
      </c>
      <c r="E6627" s="637">
        <f t="shared" si="223"/>
        <v>34.222539682539711</v>
      </c>
    </row>
    <row r="6628" spans="1:5">
      <c r="A6628">
        <v>100313</v>
      </c>
      <c r="B6628">
        <v>2400</v>
      </c>
      <c r="C6628" s="455">
        <v>9.9930000000000003</v>
      </c>
      <c r="D6628" s="637">
        <f t="shared" si="222"/>
        <v>25.616976190476194</v>
      </c>
      <c r="E6628" s="637">
        <f t="shared" si="223"/>
        <v>34.103095238095264</v>
      </c>
    </row>
    <row r="6629" spans="1:5">
      <c r="A6629">
        <v>100413</v>
      </c>
      <c r="B6629">
        <v>100</v>
      </c>
      <c r="C6629" s="455">
        <v>10.16</v>
      </c>
      <c r="D6629" s="637">
        <f t="shared" si="222"/>
        <v>26.045079365079371</v>
      </c>
      <c r="E6629" s="637">
        <f t="shared" si="223"/>
        <v>34.673015873015899</v>
      </c>
    </row>
    <row r="6630" spans="1:5">
      <c r="A6630">
        <v>100413</v>
      </c>
      <c r="B6630">
        <v>200</v>
      </c>
      <c r="C6630" s="455">
        <v>9.9860000000000007</v>
      </c>
      <c r="D6630" s="637">
        <f t="shared" si="222"/>
        <v>25.599031746031752</v>
      </c>
      <c r="E6630" s="637">
        <f t="shared" si="223"/>
        <v>34.079206349206373</v>
      </c>
    </row>
    <row r="6631" spans="1:5">
      <c r="A6631">
        <v>100413</v>
      </c>
      <c r="B6631">
        <v>300</v>
      </c>
      <c r="C6631" s="455">
        <v>10.302</v>
      </c>
      <c r="D6631" s="637">
        <f t="shared" si="222"/>
        <v>26.40909523809524</v>
      </c>
      <c r="E6631" s="637">
        <f t="shared" si="223"/>
        <v>35.157619047619072</v>
      </c>
    </row>
    <row r="6632" spans="1:5">
      <c r="A6632">
        <v>100413</v>
      </c>
      <c r="B6632">
        <v>400</v>
      </c>
      <c r="C6632" s="455">
        <v>10.018000000000001</v>
      </c>
      <c r="D6632" s="637">
        <f t="shared" si="222"/>
        <v>25.681063492063497</v>
      </c>
      <c r="E6632" s="637">
        <f t="shared" si="223"/>
        <v>34.188412698412719</v>
      </c>
    </row>
    <row r="6633" spans="1:5">
      <c r="A6633">
        <v>100413</v>
      </c>
      <c r="B6633">
        <v>500</v>
      </c>
      <c r="C6633" s="455">
        <v>10.428000000000001</v>
      </c>
      <c r="D6633" s="637">
        <f t="shared" si="222"/>
        <v>26.732095238095244</v>
      </c>
      <c r="E6633" s="637">
        <f t="shared" si="223"/>
        <v>35.587619047619079</v>
      </c>
    </row>
    <row r="6634" spans="1:5">
      <c r="A6634">
        <v>100413</v>
      </c>
      <c r="B6634">
        <v>600</v>
      </c>
      <c r="C6634" s="455">
        <v>10.558999999999999</v>
      </c>
      <c r="D6634" s="637">
        <f t="shared" si="222"/>
        <v>27.067912698412702</v>
      </c>
      <c r="E6634" s="637">
        <f t="shared" si="223"/>
        <v>36.034682539682564</v>
      </c>
    </row>
    <row r="6635" spans="1:5">
      <c r="A6635">
        <v>100413</v>
      </c>
      <c r="B6635">
        <v>700</v>
      </c>
      <c r="C6635" s="455">
        <v>11.122</v>
      </c>
      <c r="D6635" s="637">
        <f t="shared" si="222"/>
        <v>28.511158730158733</v>
      </c>
      <c r="E6635" s="637">
        <f t="shared" si="223"/>
        <v>37.956031746031769</v>
      </c>
    </row>
    <row r="6636" spans="1:5">
      <c r="A6636">
        <v>100413</v>
      </c>
      <c r="B6636">
        <v>800</v>
      </c>
      <c r="C6636" s="455">
        <v>1.804</v>
      </c>
      <c r="D6636" s="637">
        <f t="shared" si="222"/>
        <v>4.6245396825396829</v>
      </c>
      <c r="E6636" s="637">
        <f t="shared" si="223"/>
        <v>6.1565079365079409</v>
      </c>
    </row>
    <row r="6637" spans="1:5">
      <c r="A6637">
        <v>100413</v>
      </c>
      <c r="B6637">
        <v>900</v>
      </c>
      <c r="C6637" s="455">
        <v>0.36</v>
      </c>
      <c r="D6637" s="637">
        <f t="shared" si="222"/>
        <v>0.92285714285714304</v>
      </c>
      <c r="E6637" s="637">
        <f t="shared" si="223"/>
        <v>1.2285714285714293</v>
      </c>
    </row>
    <row r="6638" spans="1:5">
      <c r="A6638">
        <v>100413</v>
      </c>
      <c r="B6638">
        <v>1000</v>
      </c>
      <c r="C6638" s="455">
        <v>0.97199999999999998</v>
      </c>
      <c r="D6638" s="637">
        <f t="shared" si="222"/>
        <v>2.491714285714286</v>
      </c>
      <c r="E6638" s="637">
        <f t="shared" si="223"/>
        <v>3.3171428571428589</v>
      </c>
    </row>
    <row r="6639" spans="1:5">
      <c r="A6639">
        <v>100413</v>
      </c>
      <c r="B6639">
        <v>1100</v>
      </c>
      <c r="C6639" s="455">
        <v>0.28799999999999998</v>
      </c>
      <c r="D6639" s="637">
        <f t="shared" si="222"/>
        <v>0.73828571428571432</v>
      </c>
      <c r="E6639" s="637">
        <f t="shared" si="223"/>
        <v>0.98285714285714343</v>
      </c>
    </row>
    <row r="6640" spans="1:5">
      <c r="A6640">
        <v>100413</v>
      </c>
      <c r="B6640">
        <v>1200</v>
      </c>
      <c r="C6640" s="455">
        <v>1.0999999999999999E-2</v>
      </c>
      <c r="D6640" s="637">
        <f t="shared" si="222"/>
        <v>2.8198412698412702E-2</v>
      </c>
      <c r="E6640" s="637">
        <f t="shared" si="223"/>
        <v>3.7539682539682567E-2</v>
      </c>
    </row>
    <row r="6641" spans="1:5">
      <c r="A6641">
        <v>100413</v>
      </c>
      <c r="B6641">
        <v>1300</v>
      </c>
      <c r="C6641" s="455">
        <v>0</v>
      </c>
      <c r="D6641" s="637">
        <f t="shared" si="222"/>
        <v>0</v>
      </c>
      <c r="E6641" s="637">
        <f t="shared" si="223"/>
        <v>0</v>
      </c>
    </row>
    <row r="6642" spans="1:5">
      <c r="A6642">
        <v>100413</v>
      </c>
      <c r="B6642">
        <v>1400</v>
      </c>
      <c r="C6642" s="455">
        <v>0</v>
      </c>
      <c r="D6642" s="637">
        <f t="shared" si="222"/>
        <v>0</v>
      </c>
      <c r="E6642" s="637">
        <f t="shared" si="223"/>
        <v>0</v>
      </c>
    </row>
    <row r="6643" spans="1:5">
      <c r="A6643">
        <v>100413</v>
      </c>
      <c r="B6643">
        <v>1500</v>
      </c>
      <c r="C6643" s="455">
        <v>0</v>
      </c>
      <c r="D6643" s="637">
        <f t="shared" si="222"/>
        <v>0</v>
      </c>
      <c r="E6643" s="637">
        <f t="shared" si="223"/>
        <v>0</v>
      </c>
    </row>
    <row r="6644" spans="1:5">
      <c r="A6644">
        <v>100413</v>
      </c>
      <c r="B6644">
        <v>1600</v>
      </c>
      <c r="C6644" s="455">
        <v>0</v>
      </c>
      <c r="D6644" s="637">
        <f t="shared" si="222"/>
        <v>0</v>
      </c>
      <c r="E6644" s="637">
        <f t="shared" si="223"/>
        <v>0</v>
      </c>
    </row>
    <row r="6645" spans="1:5">
      <c r="A6645">
        <v>100413</v>
      </c>
      <c r="B6645">
        <v>1700</v>
      </c>
      <c r="C6645" s="455">
        <v>5.0000000000000001E-3</v>
      </c>
      <c r="D6645" s="637">
        <f t="shared" si="222"/>
        <v>1.2817460317460319E-2</v>
      </c>
      <c r="E6645" s="637">
        <f t="shared" si="223"/>
        <v>1.7063492063492076E-2</v>
      </c>
    </row>
    <row r="6646" spans="1:5">
      <c r="A6646">
        <v>100413</v>
      </c>
      <c r="B6646">
        <v>1800</v>
      </c>
      <c r="C6646" s="455">
        <v>7.6059999999999999</v>
      </c>
      <c r="D6646" s="637">
        <f t="shared" si="222"/>
        <v>19.497920634920639</v>
      </c>
      <c r="E6646" s="637">
        <f t="shared" si="223"/>
        <v>25.956984126984143</v>
      </c>
    </row>
    <row r="6647" spans="1:5">
      <c r="A6647">
        <v>100413</v>
      </c>
      <c r="B6647">
        <v>1900</v>
      </c>
      <c r="C6647" s="455">
        <v>10.237</v>
      </c>
      <c r="D6647" s="637">
        <f t="shared" si="222"/>
        <v>26.242468253968259</v>
      </c>
      <c r="E6647" s="637">
        <f t="shared" si="223"/>
        <v>34.935793650793677</v>
      </c>
    </row>
    <row r="6648" spans="1:5">
      <c r="A6648">
        <v>100413</v>
      </c>
      <c r="B6648">
        <v>2000</v>
      </c>
      <c r="C6648" s="455">
        <v>9.8469999999999995</v>
      </c>
      <c r="D6648" s="637">
        <f t="shared" si="222"/>
        <v>25.242706349206351</v>
      </c>
      <c r="E6648" s="637">
        <f t="shared" si="223"/>
        <v>33.604841269841287</v>
      </c>
    </row>
    <row r="6649" spans="1:5">
      <c r="A6649">
        <v>100413</v>
      </c>
      <c r="B6649">
        <v>2100</v>
      </c>
      <c r="C6649" s="455">
        <v>9.9090000000000007</v>
      </c>
      <c r="D6649" s="637">
        <f t="shared" si="222"/>
        <v>25.401642857142864</v>
      </c>
      <c r="E6649" s="637">
        <f t="shared" si="223"/>
        <v>33.816428571428595</v>
      </c>
    </row>
    <row r="6650" spans="1:5">
      <c r="A6650">
        <v>100413</v>
      </c>
      <c r="B6650">
        <v>2200</v>
      </c>
      <c r="C6650" s="455">
        <v>10.114000000000001</v>
      </c>
      <c r="D6650" s="637">
        <f t="shared" si="222"/>
        <v>25.927158730158737</v>
      </c>
      <c r="E6650" s="637">
        <f t="shared" si="223"/>
        <v>34.516031746031771</v>
      </c>
    </row>
    <row r="6651" spans="1:5">
      <c r="A6651">
        <v>100413</v>
      </c>
      <c r="B6651">
        <v>2300</v>
      </c>
      <c r="C6651" s="455">
        <v>9.94</v>
      </c>
      <c r="D6651" s="637">
        <f t="shared" si="222"/>
        <v>25.481111111111115</v>
      </c>
      <c r="E6651" s="637">
        <f t="shared" si="223"/>
        <v>33.922222222222246</v>
      </c>
    </row>
    <row r="6652" spans="1:5">
      <c r="A6652">
        <v>100413</v>
      </c>
      <c r="B6652">
        <v>2400</v>
      </c>
      <c r="C6652" s="455">
        <v>10.254</v>
      </c>
      <c r="D6652" s="637">
        <f t="shared" si="222"/>
        <v>26.286047619047622</v>
      </c>
      <c r="E6652" s="637">
        <f t="shared" si="223"/>
        <v>34.993809523809546</v>
      </c>
    </row>
    <row r="6653" spans="1:5">
      <c r="A6653">
        <v>100513</v>
      </c>
      <c r="B6653">
        <v>100</v>
      </c>
      <c r="C6653" s="455">
        <v>10.130000000000001</v>
      </c>
      <c r="D6653" s="637">
        <f t="shared" si="222"/>
        <v>25.96817460317461</v>
      </c>
      <c r="E6653" s="637">
        <f t="shared" si="223"/>
        <v>34.570634920634951</v>
      </c>
    </row>
    <row r="6654" spans="1:5">
      <c r="A6654">
        <v>100513</v>
      </c>
      <c r="B6654">
        <v>200</v>
      </c>
      <c r="C6654" s="455">
        <v>10.016999999999999</v>
      </c>
      <c r="D6654" s="637">
        <f t="shared" si="222"/>
        <v>25.678500000000003</v>
      </c>
      <c r="E6654" s="637">
        <f t="shared" si="223"/>
        <v>34.185000000000024</v>
      </c>
    </row>
    <row r="6655" spans="1:5">
      <c r="A6655">
        <v>100513</v>
      </c>
      <c r="B6655">
        <v>300</v>
      </c>
      <c r="C6655" s="455">
        <v>9.9450000000000003</v>
      </c>
      <c r="D6655" s="637">
        <f t="shared" si="222"/>
        <v>25.493928571428576</v>
      </c>
      <c r="E6655" s="637">
        <f t="shared" si="223"/>
        <v>33.939285714285738</v>
      </c>
    </row>
    <row r="6656" spans="1:5">
      <c r="A6656">
        <v>100513</v>
      </c>
      <c r="B6656">
        <v>400</v>
      </c>
      <c r="C6656" s="455">
        <v>10.199</v>
      </c>
      <c r="D6656" s="637">
        <f t="shared" si="222"/>
        <v>26.145055555555562</v>
      </c>
      <c r="E6656" s="637">
        <f t="shared" si="223"/>
        <v>34.806111111111136</v>
      </c>
    </row>
    <row r="6657" spans="1:5">
      <c r="A6657">
        <v>100513</v>
      </c>
      <c r="B6657">
        <v>500</v>
      </c>
      <c r="C6657" s="455">
        <v>10.051</v>
      </c>
      <c r="D6657" s="637">
        <f t="shared" si="222"/>
        <v>25.765658730158734</v>
      </c>
      <c r="E6657" s="637">
        <f t="shared" si="223"/>
        <v>34.301031746031768</v>
      </c>
    </row>
    <row r="6658" spans="1:5">
      <c r="A6658">
        <v>100513</v>
      </c>
      <c r="B6658">
        <v>600</v>
      </c>
      <c r="C6658" s="455">
        <v>9.8309999999999995</v>
      </c>
      <c r="D6658" s="637">
        <f t="shared" si="222"/>
        <v>25.201690476190478</v>
      </c>
      <c r="E6658" s="637">
        <f t="shared" si="223"/>
        <v>33.550238095238115</v>
      </c>
    </row>
    <row r="6659" spans="1:5">
      <c r="A6659">
        <v>100513</v>
      </c>
      <c r="B6659">
        <v>700</v>
      </c>
      <c r="C6659" s="455">
        <v>11.978999999999999</v>
      </c>
      <c r="D6659" s="637">
        <f t="shared" si="222"/>
        <v>30.708071428571429</v>
      </c>
      <c r="E6659" s="637">
        <f t="shared" si="223"/>
        <v>40.880714285714312</v>
      </c>
    </row>
    <row r="6660" spans="1:5">
      <c r="A6660">
        <v>100513</v>
      </c>
      <c r="B6660">
        <v>800</v>
      </c>
      <c r="C6660" s="455">
        <v>0.80800000000000005</v>
      </c>
      <c r="D6660" s="637">
        <f t="shared" si="222"/>
        <v>2.0713015873015879</v>
      </c>
      <c r="E6660" s="637">
        <f t="shared" si="223"/>
        <v>2.7574603174603194</v>
      </c>
    </row>
    <row r="6661" spans="1:5">
      <c r="A6661">
        <v>100513</v>
      </c>
      <c r="B6661">
        <v>900</v>
      </c>
      <c r="C6661" s="455">
        <v>0</v>
      </c>
      <c r="D6661" s="637">
        <f t="shared" si="222"/>
        <v>0</v>
      </c>
      <c r="E6661" s="637">
        <f t="shared" si="223"/>
        <v>0</v>
      </c>
    </row>
    <row r="6662" spans="1:5">
      <c r="A6662">
        <v>100513</v>
      </c>
      <c r="B6662">
        <v>1000</v>
      </c>
      <c r="C6662" s="455">
        <v>0</v>
      </c>
      <c r="D6662" s="637">
        <f t="shared" si="222"/>
        <v>0</v>
      </c>
      <c r="E6662" s="637">
        <f t="shared" si="223"/>
        <v>0</v>
      </c>
    </row>
    <row r="6663" spans="1:5">
      <c r="A6663">
        <v>100513</v>
      </c>
      <c r="B6663">
        <v>1100</v>
      </c>
      <c r="C6663" s="455">
        <v>0</v>
      </c>
      <c r="D6663" s="637">
        <f t="shared" si="222"/>
        <v>0</v>
      </c>
      <c r="E6663" s="637">
        <f t="shared" si="223"/>
        <v>0</v>
      </c>
    </row>
    <row r="6664" spans="1:5">
      <c r="A6664">
        <v>100513</v>
      </c>
      <c r="B6664">
        <v>1200</v>
      </c>
      <c r="C6664" s="455">
        <v>0</v>
      </c>
      <c r="D6664" s="637">
        <f t="shared" si="222"/>
        <v>0</v>
      </c>
      <c r="E6664" s="637">
        <f t="shared" si="223"/>
        <v>0</v>
      </c>
    </row>
    <row r="6665" spans="1:5">
      <c r="A6665">
        <v>100513</v>
      </c>
      <c r="B6665">
        <v>1300</v>
      </c>
      <c r="C6665" s="455">
        <v>0</v>
      </c>
      <c r="D6665" s="637">
        <f t="shared" si="222"/>
        <v>0</v>
      </c>
      <c r="E6665" s="637">
        <f t="shared" si="223"/>
        <v>0</v>
      </c>
    </row>
    <row r="6666" spans="1:5">
      <c r="A6666">
        <v>100513</v>
      </c>
      <c r="B6666">
        <v>1400</v>
      </c>
      <c r="C6666" s="455">
        <v>0</v>
      </c>
      <c r="D6666" s="637">
        <f t="shared" si="222"/>
        <v>0</v>
      </c>
      <c r="E6666" s="637">
        <f t="shared" si="223"/>
        <v>0</v>
      </c>
    </row>
    <row r="6667" spans="1:5">
      <c r="A6667">
        <v>100513</v>
      </c>
      <c r="B6667">
        <v>1500</v>
      </c>
      <c r="C6667" s="455">
        <v>0</v>
      </c>
      <c r="D6667" s="637">
        <f t="shared" si="222"/>
        <v>0</v>
      </c>
      <c r="E6667" s="637">
        <f t="shared" si="223"/>
        <v>0</v>
      </c>
    </row>
    <row r="6668" spans="1:5">
      <c r="A6668">
        <v>100513</v>
      </c>
      <c r="B6668">
        <v>1600</v>
      </c>
      <c r="C6668" s="455">
        <v>0</v>
      </c>
      <c r="D6668" s="637">
        <f t="shared" si="222"/>
        <v>0</v>
      </c>
      <c r="E6668" s="637">
        <f t="shared" si="223"/>
        <v>0</v>
      </c>
    </row>
    <row r="6669" spans="1:5">
      <c r="A6669">
        <v>100513</v>
      </c>
      <c r="B6669">
        <v>1700</v>
      </c>
      <c r="C6669" s="455">
        <v>1E-3</v>
      </c>
      <c r="D6669" s="637">
        <f t="shared" si="222"/>
        <v>2.5634920634920642E-3</v>
      </c>
      <c r="E6669" s="637">
        <f t="shared" si="223"/>
        <v>3.4126984126984154E-3</v>
      </c>
    </row>
    <row r="6670" spans="1:5">
      <c r="A6670">
        <v>100513</v>
      </c>
      <c r="B6670">
        <v>1800</v>
      </c>
      <c r="C6670" s="455">
        <v>7.8940000000000001</v>
      </c>
      <c r="D6670" s="637">
        <f t="shared" si="222"/>
        <v>20.236206349206356</v>
      </c>
      <c r="E6670" s="637">
        <f t="shared" si="223"/>
        <v>26.939841269841292</v>
      </c>
    </row>
    <row r="6671" spans="1:5">
      <c r="A6671">
        <v>100513</v>
      </c>
      <c r="B6671">
        <v>1900</v>
      </c>
      <c r="C6671" s="455">
        <v>10.167</v>
      </c>
      <c r="D6671" s="637">
        <f t="shared" si="222"/>
        <v>26.063023809523813</v>
      </c>
      <c r="E6671" s="637">
        <f t="shared" si="223"/>
        <v>34.696904761904783</v>
      </c>
    </row>
    <row r="6672" spans="1:5">
      <c r="A6672">
        <v>100513</v>
      </c>
      <c r="B6672">
        <v>2000</v>
      </c>
      <c r="C6672" s="455">
        <v>10.103</v>
      </c>
      <c r="D6672" s="637">
        <f t="shared" si="222"/>
        <v>25.898960317460318</v>
      </c>
      <c r="E6672" s="637">
        <f t="shared" si="223"/>
        <v>34.478492063492084</v>
      </c>
    </row>
    <row r="6673" spans="1:5">
      <c r="A6673">
        <v>100513</v>
      </c>
      <c r="B6673">
        <v>2100</v>
      </c>
      <c r="C6673" s="455">
        <v>10.289</v>
      </c>
      <c r="D6673" s="637">
        <f t="shared" si="222"/>
        <v>26.375769841269843</v>
      </c>
      <c r="E6673" s="637">
        <f t="shared" si="223"/>
        <v>35.113253968253993</v>
      </c>
    </row>
    <row r="6674" spans="1:5">
      <c r="A6674">
        <v>100513</v>
      </c>
      <c r="B6674">
        <v>2200</v>
      </c>
      <c r="C6674" s="455">
        <v>10.102</v>
      </c>
      <c r="D6674" s="637">
        <f t="shared" si="222"/>
        <v>25.896396825396831</v>
      </c>
      <c r="E6674" s="637">
        <f t="shared" si="223"/>
        <v>34.475079365079388</v>
      </c>
    </row>
    <row r="6675" spans="1:5">
      <c r="A6675">
        <v>100513</v>
      </c>
      <c r="B6675">
        <v>2300</v>
      </c>
      <c r="C6675" s="455">
        <v>10.340999999999999</v>
      </c>
      <c r="D6675" s="637">
        <f t="shared" si="222"/>
        <v>26.509071428571431</v>
      </c>
      <c r="E6675" s="637">
        <f t="shared" si="223"/>
        <v>35.290714285714309</v>
      </c>
    </row>
    <row r="6676" spans="1:5">
      <c r="A6676">
        <v>100513</v>
      </c>
      <c r="B6676">
        <v>2400</v>
      </c>
      <c r="C6676" s="455">
        <v>10.215999999999999</v>
      </c>
      <c r="D6676" s="637">
        <f t="shared" si="222"/>
        <v>26.188634920634922</v>
      </c>
      <c r="E6676" s="637">
        <f t="shared" si="223"/>
        <v>34.864126984127005</v>
      </c>
    </row>
    <row r="6677" spans="1:5">
      <c r="A6677">
        <v>100613</v>
      </c>
      <c r="B6677">
        <v>100</v>
      </c>
      <c r="C6677" s="455">
        <v>10.037000000000001</v>
      </c>
      <c r="D6677" s="637">
        <f t="shared" si="222"/>
        <v>25.729769841269849</v>
      </c>
      <c r="E6677" s="637">
        <f t="shared" si="223"/>
        <v>34.253253968253993</v>
      </c>
    </row>
    <row r="6678" spans="1:5">
      <c r="A6678">
        <v>100613</v>
      </c>
      <c r="B6678">
        <v>200</v>
      </c>
      <c r="C6678" s="455">
        <v>10.172000000000001</v>
      </c>
      <c r="D6678" s="637">
        <f t="shared" si="222"/>
        <v>26.075841269841277</v>
      </c>
      <c r="E6678" s="637">
        <f t="shared" si="223"/>
        <v>34.713968253968282</v>
      </c>
    </row>
    <row r="6679" spans="1:5">
      <c r="A6679">
        <v>100613</v>
      </c>
      <c r="B6679">
        <v>300</v>
      </c>
      <c r="C6679" s="455">
        <v>10.244999999999999</v>
      </c>
      <c r="D6679" s="637">
        <f t="shared" si="222"/>
        <v>26.262976190476191</v>
      </c>
      <c r="E6679" s="637">
        <f t="shared" si="223"/>
        <v>34.963095238095256</v>
      </c>
    </row>
    <row r="6680" spans="1:5">
      <c r="A6680">
        <v>100613</v>
      </c>
      <c r="B6680">
        <v>400</v>
      </c>
      <c r="C6680" s="455">
        <v>10.032999999999999</v>
      </c>
      <c r="D6680" s="637">
        <f t="shared" si="222"/>
        <v>25.719515873015876</v>
      </c>
      <c r="E6680" s="637">
        <f t="shared" si="223"/>
        <v>34.239603174603197</v>
      </c>
    </row>
    <row r="6681" spans="1:5">
      <c r="A6681">
        <v>100613</v>
      </c>
      <c r="B6681">
        <v>500</v>
      </c>
      <c r="C6681" s="455">
        <v>10.414999999999999</v>
      </c>
      <c r="D6681" s="637">
        <f t="shared" si="222"/>
        <v>26.698769841269844</v>
      </c>
      <c r="E6681" s="637">
        <f t="shared" si="223"/>
        <v>35.543253968253993</v>
      </c>
    </row>
    <row r="6682" spans="1:5">
      <c r="A6682">
        <v>100613</v>
      </c>
      <c r="B6682">
        <v>600</v>
      </c>
      <c r="C6682" s="455">
        <v>10.608000000000001</v>
      </c>
      <c r="D6682" s="637">
        <f t="shared" si="222"/>
        <v>27.193523809523818</v>
      </c>
      <c r="E6682" s="637">
        <f t="shared" si="223"/>
        <v>36.201904761904792</v>
      </c>
    </row>
    <row r="6683" spans="1:5">
      <c r="A6683">
        <v>100613</v>
      </c>
      <c r="B6683">
        <v>700</v>
      </c>
      <c r="C6683" s="455">
        <v>12.335000000000001</v>
      </c>
      <c r="D6683" s="637">
        <f t="shared" si="222"/>
        <v>31.62067460317461</v>
      </c>
      <c r="E6683" s="637">
        <f t="shared" si="223"/>
        <v>42.09563492063495</v>
      </c>
    </row>
    <row r="6684" spans="1:5">
      <c r="A6684">
        <v>100613</v>
      </c>
      <c r="B6684">
        <v>800</v>
      </c>
      <c r="C6684" s="455">
        <v>7.42</v>
      </c>
      <c r="D6684" s="637">
        <f t="shared" si="222"/>
        <v>19.021111111111114</v>
      </c>
      <c r="E6684" s="637">
        <f t="shared" si="223"/>
        <v>25.322222222222237</v>
      </c>
    </row>
    <row r="6685" spans="1:5">
      <c r="A6685">
        <v>100613</v>
      </c>
      <c r="B6685">
        <v>900</v>
      </c>
      <c r="C6685" s="455">
        <v>1.9E-2</v>
      </c>
      <c r="D6685" s="637">
        <f t="shared" si="222"/>
        <v>4.8706349206349218E-2</v>
      </c>
      <c r="E6685" s="637">
        <f t="shared" si="223"/>
        <v>6.484126984126988E-2</v>
      </c>
    </row>
    <row r="6686" spans="1:5">
      <c r="A6686">
        <v>100613</v>
      </c>
      <c r="B6686">
        <v>1000</v>
      </c>
      <c r="C6686" s="455">
        <v>0</v>
      </c>
      <c r="D6686" s="637">
        <f t="shared" ref="D6686:D6749" si="224">(C6686/(MAX($C$6557:$C$7300)))*$W$14</f>
        <v>0</v>
      </c>
      <c r="E6686" s="637">
        <f t="shared" ref="E6686:E6749" si="225">(C6686/(MAX($C$6557:$C$7300)))*$P$14</f>
        <v>0</v>
      </c>
    </row>
    <row r="6687" spans="1:5">
      <c r="A6687">
        <v>100613</v>
      </c>
      <c r="B6687">
        <v>1100</v>
      </c>
      <c r="C6687" s="455">
        <v>0</v>
      </c>
      <c r="D6687" s="637">
        <f t="shared" si="224"/>
        <v>0</v>
      </c>
      <c r="E6687" s="637">
        <f t="shared" si="225"/>
        <v>0</v>
      </c>
    </row>
    <row r="6688" spans="1:5">
      <c r="A6688">
        <v>100613</v>
      </c>
      <c r="B6688">
        <v>1200</v>
      </c>
      <c r="C6688" s="455">
        <v>0</v>
      </c>
      <c r="D6688" s="637">
        <f t="shared" si="224"/>
        <v>0</v>
      </c>
      <c r="E6688" s="637">
        <f t="shared" si="225"/>
        <v>0</v>
      </c>
    </row>
    <row r="6689" spans="1:5">
      <c r="A6689">
        <v>100613</v>
      </c>
      <c r="B6689">
        <v>1300</v>
      </c>
      <c r="C6689" s="455">
        <v>0</v>
      </c>
      <c r="D6689" s="637">
        <f t="shared" si="224"/>
        <v>0</v>
      </c>
      <c r="E6689" s="637">
        <f t="shared" si="225"/>
        <v>0</v>
      </c>
    </row>
    <row r="6690" spans="1:5">
      <c r="A6690">
        <v>100613</v>
      </c>
      <c r="B6690">
        <v>1400</v>
      </c>
      <c r="C6690" s="455">
        <v>1E-3</v>
      </c>
      <c r="D6690" s="637">
        <f t="shared" si="224"/>
        <v>2.5634920634920642E-3</v>
      </c>
      <c r="E6690" s="637">
        <f t="shared" si="225"/>
        <v>3.4126984126984154E-3</v>
      </c>
    </row>
    <row r="6691" spans="1:5">
      <c r="A6691">
        <v>100613</v>
      </c>
      <c r="B6691">
        <v>1500</v>
      </c>
      <c r="C6691" s="455">
        <v>0</v>
      </c>
      <c r="D6691" s="637">
        <f t="shared" si="224"/>
        <v>0</v>
      </c>
      <c r="E6691" s="637">
        <f t="shared" si="225"/>
        <v>0</v>
      </c>
    </row>
    <row r="6692" spans="1:5">
      <c r="A6692">
        <v>100613</v>
      </c>
      <c r="B6692">
        <v>1600</v>
      </c>
      <c r="C6692" s="455">
        <v>0</v>
      </c>
      <c r="D6692" s="637">
        <f t="shared" si="224"/>
        <v>0</v>
      </c>
      <c r="E6692" s="637">
        <f t="shared" si="225"/>
        <v>0</v>
      </c>
    </row>
    <row r="6693" spans="1:5">
      <c r="A6693">
        <v>100613</v>
      </c>
      <c r="B6693">
        <v>1700</v>
      </c>
      <c r="C6693" s="455">
        <v>0</v>
      </c>
      <c r="D6693" s="637">
        <f t="shared" si="224"/>
        <v>0</v>
      </c>
      <c r="E6693" s="637">
        <f t="shared" si="225"/>
        <v>0</v>
      </c>
    </row>
    <row r="6694" spans="1:5">
      <c r="A6694">
        <v>100613</v>
      </c>
      <c r="B6694">
        <v>1800</v>
      </c>
      <c r="C6694" s="455">
        <v>6.5750000000000002</v>
      </c>
      <c r="D6694" s="637">
        <f t="shared" si="224"/>
        <v>16.854960317460321</v>
      </c>
      <c r="E6694" s="637">
        <f t="shared" si="225"/>
        <v>22.438492063492081</v>
      </c>
    </row>
    <row r="6695" spans="1:5">
      <c r="A6695">
        <v>100613</v>
      </c>
      <c r="B6695">
        <v>1900</v>
      </c>
      <c r="C6695" s="455">
        <v>9.8019999999999996</v>
      </c>
      <c r="D6695" s="637">
        <f t="shared" si="224"/>
        <v>25.127349206349209</v>
      </c>
      <c r="E6695" s="637">
        <f t="shared" si="225"/>
        <v>33.451269841269863</v>
      </c>
    </row>
    <row r="6696" spans="1:5">
      <c r="A6696">
        <v>100613</v>
      </c>
      <c r="B6696">
        <v>2000</v>
      </c>
      <c r="C6696" s="455">
        <v>10.225</v>
      </c>
      <c r="D6696" s="637">
        <f t="shared" si="224"/>
        <v>26.211706349206352</v>
      </c>
      <c r="E6696" s="637">
        <f t="shared" si="225"/>
        <v>34.894841269841294</v>
      </c>
    </row>
    <row r="6697" spans="1:5">
      <c r="A6697">
        <v>100613</v>
      </c>
      <c r="B6697">
        <v>2100</v>
      </c>
      <c r="C6697" s="455">
        <v>10.039</v>
      </c>
      <c r="D6697" s="637">
        <f t="shared" si="224"/>
        <v>25.734896825396831</v>
      </c>
      <c r="E6697" s="637">
        <f t="shared" si="225"/>
        <v>34.260079365079392</v>
      </c>
    </row>
    <row r="6698" spans="1:5">
      <c r="A6698">
        <v>100613</v>
      </c>
      <c r="B6698">
        <v>2200</v>
      </c>
      <c r="C6698" s="455">
        <v>10.137</v>
      </c>
      <c r="D6698" s="637">
        <f t="shared" si="224"/>
        <v>25.986119047619052</v>
      </c>
      <c r="E6698" s="637">
        <f t="shared" si="225"/>
        <v>34.594523809523835</v>
      </c>
    </row>
    <row r="6699" spans="1:5">
      <c r="A6699">
        <v>100613</v>
      </c>
      <c r="B6699">
        <v>2300</v>
      </c>
      <c r="C6699" s="455">
        <v>10.39</v>
      </c>
      <c r="D6699" s="637">
        <f t="shared" si="224"/>
        <v>26.634682539682547</v>
      </c>
      <c r="E6699" s="637">
        <f t="shared" si="225"/>
        <v>35.457936507936537</v>
      </c>
    </row>
    <row r="6700" spans="1:5">
      <c r="A6700">
        <v>100613</v>
      </c>
      <c r="B6700">
        <v>2400</v>
      </c>
      <c r="C6700" s="455">
        <v>9.734</v>
      </c>
      <c r="D6700" s="637">
        <f t="shared" si="224"/>
        <v>24.953031746031748</v>
      </c>
      <c r="E6700" s="637">
        <f t="shared" si="225"/>
        <v>33.219206349206367</v>
      </c>
    </row>
    <row r="6701" spans="1:5">
      <c r="A6701">
        <v>100713</v>
      </c>
      <c r="B6701">
        <v>100</v>
      </c>
      <c r="C6701" s="455">
        <v>10.534000000000001</v>
      </c>
      <c r="D6701" s="637">
        <f t="shared" si="224"/>
        <v>27.003825396825402</v>
      </c>
      <c r="E6701" s="637">
        <f t="shared" si="225"/>
        <v>35.949365079365101</v>
      </c>
    </row>
    <row r="6702" spans="1:5">
      <c r="A6702">
        <v>100713</v>
      </c>
      <c r="B6702">
        <v>200</v>
      </c>
      <c r="C6702" s="455">
        <v>10.724</v>
      </c>
      <c r="D6702" s="637">
        <f t="shared" si="224"/>
        <v>27.490888888888893</v>
      </c>
      <c r="E6702" s="637">
        <f t="shared" si="225"/>
        <v>36.597777777777807</v>
      </c>
    </row>
    <row r="6703" spans="1:5">
      <c r="A6703">
        <v>100713</v>
      </c>
      <c r="B6703">
        <v>300</v>
      </c>
      <c r="C6703" s="455">
        <v>9.9540000000000006</v>
      </c>
      <c r="D6703" s="637">
        <f t="shared" si="224"/>
        <v>25.517000000000007</v>
      </c>
      <c r="E6703" s="637">
        <f t="shared" si="225"/>
        <v>33.970000000000027</v>
      </c>
    </row>
    <row r="6704" spans="1:5">
      <c r="A6704">
        <v>100713</v>
      </c>
      <c r="B6704">
        <v>400</v>
      </c>
      <c r="C6704" s="455">
        <v>10.622999999999999</v>
      </c>
      <c r="D6704" s="637">
        <f t="shared" si="224"/>
        <v>27.231976190476193</v>
      </c>
      <c r="E6704" s="637">
        <f t="shared" si="225"/>
        <v>36.253095238095256</v>
      </c>
    </row>
    <row r="6705" spans="1:5">
      <c r="A6705">
        <v>100713</v>
      </c>
      <c r="B6705">
        <v>500</v>
      </c>
      <c r="C6705" s="455">
        <v>10.622999999999999</v>
      </c>
      <c r="D6705" s="637">
        <f t="shared" si="224"/>
        <v>27.231976190476193</v>
      </c>
      <c r="E6705" s="637">
        <f t="shared" si="225"/>
        <v>36.253095238095256</v>
      </c>
    </row>
    <row r="6706" spans="1:5">
      <c r="A6706">
        <v>100713</v>
      </c>
      <c r="B6706">
        <v>600</v>
      </c>
      <c r="C6706" s="455">
        <v>10.112</v>
      </c>
      <c r="D6706" s="637">
        <f t="shared" si="224"/>
        <v>25.922031746031752</v>
      </c>
      <c r="E6706" s="637">
        <f t="shared" si="225"/>
        <v>34.509206349206373</v>
      </c>
    </row>
    <row r="6707" spans="1:5">
      <c r="A6707">
        <v>100713</v>
      </c>
      <c r="B6707">
        <v>700</v>
      </c>
      <c r="C6707" s="455">
        <v>10.628</v>
      </c>
      <c r="D6707" s="637">
        <f t="shared" si="224"/>
        <v>27.244793650793657</v>
      </c>
      <c r="E6707" s="637">
        <f t="shared" si="225"/>
        <v>36.270158730158755</v>
      </c>
    </row>
    <row r="6708" spans="1:5">
      <c r="A6708">
        <v>100713</v>
      </c>
      <c r="B6708">
        <v>800</v>
      </c>
      <c r="C6708" s="455">
        <v>1.375</v>
      </c>
      <c r="D6708" s="637">
        <f t="shared" si="224"/>
        <v>3.5248015873015879</v>
      </c>
      <c r="E6708" s="637">
        <f t="shared" si="225"/>
        <v>4.6924603174603208</v>
      </c>
    </row>
    <row r="6709" spans="1:5">
      <c r="A6709">
        <v>100713</v>
      </c>
      <c r="B6709">
        <v>900</v>
      </c>
      <c r="C6709" s="455">
        <v>8.9999999999999993E-3</v>
      </c>
      <c r="D6709" s="637">
        <f t="shared" si="224"/>
        <v>2.3071428571428573E-2</v>
      </c>
      <c r="E6709" s="637">
        <f t="shared" si="225"/>
        <v>3.0714285714285732E-2</v>
      </c>
    </row>
    <row r="6710" spans="1:5">
      <c r="A6710">
        <v>100713</v>
      </c>
      <c r="B6710">
        <v>1000</v>
      </c>
      <c r="C6710" s="455">
        <v>0</v>
      </c>
      <c r="D6710" s="637">
        <f t="shared" si="224"/>
        <v>0</v>
      </c>
      <c r="E6710" s="637">
        <f t="shared" si="225"/>
        <v>0</v>
      </c>
    </row>
    <row r="6711" spans="1:5">
      <c r="A6711">
        <v>100713</v>
      </c>
      <c r="B6711">
        <v>1100</v>
      </c>
      <c r="C6711" s="455">
        <v>0</v>
      </c>
      <c r="D6711" s="637">
        <f t="shared" si="224"/>
        <v>0</v>
      </c>
      <c r="E6711" s="637">
        <f t="shared" si="225"/>
        <v>0</v>
      </c>
    </row>
    <row r="6712" spans="1:5">
      <c r="A6712">
        <v>100713</v>
      </c>
      <c r="B6712">
        <v>1200</v>
      </c>
      <c r="C6712" s="455">
        <v>9.8000000000000004E-2</v>
      </c>
      <c r="D6712" s="637">
        <f t="shared" si="224"/>
        <v>0.25122222222222229</v>
      </c>
      <c r="E6712" s="637">
        <f t="shared" si="225"/>
        <v>0.33444444444444471</v>
      </c>
    </row>
    <row r="6713" spans="1:5">
      <c r="A6713">
        <v>100713</v>
      </c>
      <c r="B6713">
        <v>1300</v>
      </c>
      <c r="C6713" s="455">
        <v>1.1879999999999999</v>
      </c>
      <c r="D6713" s="637">
        <f t="shared" si="224"/>
        <v>3.0454285714285718</v>
      </c>
      <c r="E6713" s="637">
        <f t="shared" si="225"/>
        <v>4.0542857142857169</v>
      </c>
    </row>
    <row r="6714" spans="1:5">
      <c r="A6714">
        <v>100713</v>
      </c>
      <c r="B6714">
        <v>1400</v>
      </c>
      <c r="C6714" s="455">
        <v>1.512</v>
      </c>
      <c r="D6714" s="637">
        <f t="shared" si="224"/>
        <v>3.8760000000000008</v>
      </c>
      <c r="E6714" s="637">
        <f t="shared" si="225"/>
        <v>5.1600000000000037</v>
      </c>
    </row>
    <row r="6715" spans="1:5">
      <c r="A6715">
        <v>100713</v>
      </c>
      <c r="B6715">
        <v>1500</v>
      </c>
      <c r="C6715" s="455">
        <v>1.62</v>
      </c>
      <c r="D6715" s="637">
        <f t="shared" si="224"/>
        <v>4.1528571428571439</v>
      </c>
      <c r="E6715" s="637">
        <f t="shared" si="225"/>
        <v>5.5285714285714329</v>
      </c>
    </row>
    <row r="6716" spans="1:5">
      <c r="A6716">
        <v>100713</v>
      </c>
      <c r="B6716">
        <v>1600</v>
      </c>
      <c r="C6716" s="455">
        <v>1.512</v>
      </c>
      <c r="D6716" s="637">
        <f t="shared" si="224"/>
        <v>3.8760000000000008</v>
      </c>
      <c r="E6716" s="637">
        <f t="shared" si="225"/>
        <v>5.1600000000000037</v>
      </c>
    </row>
    <row r="6717" spans="1:5">
      <c r="A6717">
        <v>100713</v>
      </c>
      <c r="B6717">
        <v>1700</v>
      </c>
      <c r="C6717" s="455">
        <v>0.49099999999999999</v>
      </c>
      <c r="D6717" s="637">
        <f t="shared" si="224"/>
        <v>1.2586746031746034</v>
      </c>
      <c r="E6717" s="637">
        <f t="shared" si="225"/>
        <v>1.6756349206349219</v>
      </c>
    </row>
    <row r="6718" spans="1:5">
      <c r="A6718">
        <v>100713</v>
      </c>
      <c r="B6718">
        <v>1800</v>
      </c>
      <c r="C6718" s="455">
        <v>5.1459999999999999</v>
      </c>
      <c r="D6718" s="637">
        <f t="shared" si="224"/>
        <v>13.191730158730159</v>
      </c>
      <c r="E6718" s="637">
        <f t="shared" si="225"/>
        <v>17.561746031746043</v>
      </c>
    </row>
    <row r="6719" spans="1:5">
      <c r="A6719">
        <v>100713</v>
      </c>
      <c r="B6719">
        <v>1900</v>
      </c>
      <c r="C6719" s="455">
        <v>10.378</v>
      </c>
      <c r="D6719" s="637">
        <f t="shared" si="224"/>
        <v>26.603920634920637</v>
      </c>
      <c r="E6719" s="637">
        <f t="shared" si="225"/>
        <v>35.416984126984154</v>
      </c>
    </row>
    <row r="6720" spans="1:5">
      <c r="A6720">
        <v>100713</v>
      </c>
      <c r="B6720">
        <v>2000</v>
      </c>
      <c r="C6720" s="455">
        <v>10.331</v>
      </c>
      <c r="D6720" s="637">
        <f t="shared" si="224"/>
        <v>26.48343650793651</v>
      </c>
      <c r="E6720" s="637">
        <f t="shared" si="225"/>
        <v>35.256587301587324</v>
      </c>
    </row>
    <row r="6721" spans="1:5">
      <c r="A6721">
        <v>100713</v>
      </c>
      <c r="B6721">
        <v>2100</v>
      </c>
      <c r="C6721" s="455">
        <v>10.805999999999999</v>
      </c>
      <c r="D6721" s="637">
        <f t="shared" si="224"/>
        <v>27.701095238095242</v>
      </c>
      <c r="E6721" s="637">
        <f t="shared" si="225"/>
        <v>36.877619047619071</v>
      </c>
    </row>
    <row r="6722" spans="1:5">
      <c r="A6722">
        <v>100713</v>
      </c>
      <c r="B6722">
        <v>2200</v>
      </c>
      <c r="C6722" s="455">
        <v>10.327</v>
      </c>
      <c r="D6722" s="637">
        <f t="shared" si="224"/>
        <v>26.473182539682544</v>
      </c>
      <c r="E6722" s="637">
        <f t="shared" si="225"/>
        <v>35.242936507936534</v>
      </c>
    </row>
    <row r="6723" spans="1:5">
      <c r="A6723">
        <v>100713</v>
      </c>
      <c r="B6723">
        <v>2300</v>
      </c>
      <c r="C6723" s="455">
        <v>10.472</v>
      </c>
      <c r="D6723" s="637">
        <f t="shared" si="224"/>
        <v>26.844888888888892</v>
      </c>
      <c r="E6723" s="637">
        <f t="shared" si="225"/>
        <v>35.737777777777801</v>
      </c>
    </row>
    <row r="6724" spans="1:5">
      <c r="A6724">
        <v>100713</v>
      </c>
      <c r="B6724">
        <v>2400</v>
      </c>
      <c r="C6724" s="455">
        <v>10.847</v>
      </c>
      <c r="D6724" s="637">
        <f t="shared" si="224"/>
        <v>27.806198412698414</v>
      </c>
      <c r="E6724" s="637">
        <f t="shared" si="225"/>
        <v>37.017539682539706</v>
      </c>
    </row>
    <row r="6725" spans="1:5">
      <c r="A6725">
        <v>100813</v>
      </c>
      <c r="B6725">
        <v>100</v>
      </c>
      <c r="C6725" s="455">
        <v>10.888</v>
      </c>
      <c r="D6725" s="637">
        <f t="shared" si="224"/>
        <v>27.911301587301594</v>
      </c>
      <c r="E6725" s="637">
        <f t="shared" si="225"/>
        <v>37.157460317460341</v>
      </c>
    </row>
    <row r="6726" spans="1:5">
      <c r="A6726">
        <v>100813</v>
      </c>
      <c r="B6726">
        <v>200</v>
      </c>
      <c r="C6726" s="455">
        <v>11.065</v>
      </c>
      <c r="D6726" s="637">
        <f t="shared" si="224"/>
        <v>28.365039682539685</v>
      </c>
      <c r="E6726" s="637">
        <f t="shared" si="225"/>
        <v>37.761507936507961</v>
      </c>
    </row>
    <row r="6727" spans="1:5">
      <c r="A6727">
        <v>100813</v>
      </c>
      <c r="B6727">
        <v>300</v>
      </c>
      <c r="C6727" s="455">
        <v>11.3</v>
      </c>
      <c r="D6727" s="637">
        <f t="shared" si="224"/>
        <v>28.967460317460326</v>
      </c>
      <c r="E6727" s="637">
        <f t="shared" si="225"/>
        <v>38.563492063492092</v>
      </c>
    </row>
    <row r="6728" spans="1:5">
      <c r="A6728">
        <v>100813</v>
      </c>
      <c r="B6728">
        <v>400</v>
      </c>
      <c r="C6728" s="455">
        <v>11.278</v>
      </c>
      <c r="D6728" s="637">
        <f t="shared" si="224"/>
        <v>28.911063492063498</v>
      </c>
      <c r="E6728" s="637">
        <f t="shared" si="225"/>
        <v>38.488412698412724</v>
      </c>
    </row>
    <row r="6729" spans="1:5">
      <c r="A6729">
        <v>100813</v>
      </c>
      <c r="B6729">
        <v>500</v>
      </c>
      <c r="C6729" s="455">
        <v>10.872</v>
      </c>
      <c r="D6729" s="637">
        <f t="shared" si="224"/>
        <v>27.870285714285718</v>
      </c>
      <c r="E6729" s="637">
        <f t="shared" si="225"/>
        <v>37.102857142857168</v>
      </c>
    </row>
    <row r="6730" spans="1:5">
      <c r="A6730">
        <v>100813</v>
      </c>
      <c r="B6730">
        <v>600</v>
      </c>
      <c r="C6730" s="455">
        <v>10.972</v>
      </c>
      <c r="D6730" s="637">
        <f t="shared" si="224"/>
        <v>28.126634920634924</v>
      </c>
      <c r="E6730" s="637">
        <f t="shared" si="225"/>
        <v>37.444126984127003</v>
      </c>
    </row>
    <row r="6731" spans="1:5">
      <c r="A6731">
        <v>100813</v>
      </c>
      <c r="B6731">
        <v>700</v>
      </c>
      <c r="C6731" s="455">
        <v>6.7960000000000003</v>
      </c>
      <c r="D6731" s="637">
        <f t="shared" si="224"/>
        <v>17.421492063492067</v>
      </c>
      <c r="E6731" s="637">
        <f t="shared" si="225"/>
        <v>23.19269841269843</v>
      </c>
    </row>
    <row r="6732" spans="1:5">
      <c r="A6732">
        <v>100813</v>
      </c>
      <c r="B6732">
        <v>800</v>
      </c>
      <c r="C6732" s="455">
        <v>1E-3</v>
      </c>
      <c r="D6732" s="637">
        <f t="shared" si="224"/>
        <v>2.5634920634920642E-3</v>
      </c>
      <c r="E6732" s="637">
        <f t="shared" si="225"/>
        <v>3.4126984126984154E-3</v>
      </c>
    </row>
    <row r="6733" spans="1:5">
      <c r="A6733">
        <v>100813</v>
      </c>
      <c r="B6733">
        <v>900</v>
      </c>
      <c r="C6733" s="455">
        <v>0</v>
      </c>
      <c r="D6733" s="637">
        <f t="shared" si="224"/>
        <v>0</v>
      </c>
      <c r="E6733" s="637">
        <f t="shared" si="225"/>
        <v>0</v>
      </c>
    </row>
    <row r="6734" spans="1:5">
      <c r="A6734">
        <v>100813</v>
      </c>
      <c r="B6734">
        <v>1000</v>
      </c>
      <c r="C6734" s="455">
        <v>0</v>
      </c>
      <c r="D6734" s="637">
        <f t="shared" si="224"/>
        <v>0</v>
      </c>
      <c r="E6734" s="637">
        <f t="shared" si="225"/>
        <v>0</v>
      </c>
    </row>
    <row r="6735" spans="1:5">
      <c r="A6735">
        <v>100813</v>
      </c>
      <c r="B6735">
        <v>1100</v>
      </c>
      <c r="C6735" s="455">
        <v>0</v>
      </c>
      <c r="D6735" s="637">
        <f t="shared" si="224"/>
        <v>0</v>
      </c>
      <c r="E6735" s="637">
        <f t="shared" si="225"/>
        <v>0</v>
      </c>
    </row>
    <row r="6736" spans="1:5">
      <c r="A6736">
        <v>100813</v>
      </c>
      <c r="B6736">
        <v>1200</v>
      </c>
      <c r="C6736" s="455">
        <v>0</v>
      </c>
      <c r="D6736" s="637">
        <f t="shared" si="224"/>
        <v>0</v>
      </c>
      <c r="E6736" s="637">
        <f t="shared" si="225"/>
        <v>0</v>
      </c>
    </row>
    <row r="6737" spans="1:5">
      <c r="A6737">
        <v>100813</v>
      </c>
      <c r="B6737">
        <v>1300</v>
      </c>
      <c r="C6737" s="455">
        <v>0</v>
      </c>
      <c r="D6737" s="637">
        <f t="shared" si="224"/>
        <v>0</v>
      </c>
      <c r="E6737" s="637">
        <f t="shared" si="225"/>
        <v>0</v>
      </c>
    </row>
    <row r="6738" spans="1:5">
      <c r="A6738">
        <v>100813</v>
      </c>
      <c r="B6738">
        <v>1400</v>
      </c>
      <c r="C6738" s="455">
        <v>0</v>
      </c>
      <c r="D6738" s="637">
        <f t="shared" si="224"/>
        <v>0</v>
      </c>
      <c r="E6738" s="637">
        <f t="shared" si="225"/>
        <v>0</v>
      </c>
    </row>
    <row r="6739" spans="1:5">
      <c r="A6739">
        <v>100813</v>
      </c>
      <c r="B6739">
        <v>1500</v>
      </c>
      <c r="C6739" s="455">
        <v>0</v>
      </c>
      <c r="D6739" s="637">
        <f t="shared" si="224"/>
        <v>0</v>
      </c>
      <c r="E6739" s="637">
        <f t="shared" si="225"/>
        <v>0</v>
      </c>
    </row>
    <row r="6740" spans="1:5">
      <c r="A6740">
        <v>100813</v>
      </c>
      <c r="B6740">
        <v>1600</v>
      </c>
      <c r="C6740" s="455">
        <v>0</v>
      </c>
      <c r="D6740" s="637">
        <f t="shared" si="224"/>
        <v>0</v>
      </c>
      <c r="E6740" s="637">
        <f t="shared" si="225"/>
        <v>0</v>
      </c>
    </row>
    <row r="6741" spans="1:5">
      <c r="A6741">
        <v>100813</v>
      </c>
      <c r="B6741">
        <v>1700</v>
      </c>
      <c r="C6741" s="455">
        <v>0</v>
      </c>
      <c r="D6741" s="637">
        <f t="shared" si="224"/>
        <v>0</v>
      </c>
      <c r="E6741" s="637">
        <f t="shared" si="225"/>
        <v>0</v>
      </c>
    </row>
    <row r="6742" spans="1:5">
      <c r="A6742">
        <v>100813</v>
      </c>
      <c r="B6742">
        <v>1800</v>
      </c>
      <c r="C6742" s="455">
        <v>4.5990000000000002</v>
      </c>
      <c r="D6742" s="637">
        <f t="shared" si="224"/>
        <v>11.789500000000002</v>
      </c>
      <c r="E6742" s="637">
        <f t="shared" si="225"/>
        <v>15.695000000000011</v>
      </c>
    </row>
    <row r="6743" spans="1:5">
      <c r="A6743">
        <v>100813</v>
      </c>
      <c r="B6743">
        <v>1900</v>
      </c>
      <c r="C6743" s="455">
        <v>10.983000000000001</v>
      </c>
      <c r="D6743" s="637">
        <f t="shared" si="224"/>
        <v>28.15483333333334</v>
      </c>
      <c r="E6743" s="637">
        <f t="shared" si="225"/>
        <v>37.48166666666669</v>
      </c>
    </row>
    <row r="6744" spans="1:5">
      <c r="A6744">
        <v>100813</v>
      </c>
      <c r="B6744">
        <v>2000</v>
      </c>
      <c r="C6744" s="455">
        <v>10.074999999999999</v>
      </c>
      <c r="D6744" s="637">
        <f t="shared" si="224"/>
        <v>25.827182539682543</v>
      </c>
      <c r="E6744" s="637">
        <f t="shared" si="225"/>
        <v>34.382936507936527</v>
      </c>
    </row>
    <row r="6745" spans="1:5">
      <c r="A6745">
        <v>100813</v>
      </c>
      <c r="B6745">
        <v>2100</v>
      </c>
      <c r="C6745" s="455">
        <v>10.074</v>
      </c>
      <c r="D6745" s="637">
        <f t="shared" si="224"/>
        <v>25.824619047619052</v>
      </c>
      <c r="E6745" s="637">
        <f t="shared" si="225"/>
        <v>34.379523809523832</v>
      </c>
    </row>
    <row r="6746" spans="1:5">
      <c r="A6746">
        <v>100813</v>
      </c>
      <c r="B6746">
        <v>2200</v>
      </c>
      <c r="C6746" s="455">
        <v>9.8960000000000008</v>
      </c>
      <c r="D6746" s="637">
        <f t="shared" si="224"/>
        <v>25.368317460317463</v>
      </c>
      <c r="E6746" s="637">
        <f t="shared" si="225"/>
        <v>33.772063492063516</v>
      </c>
    </row>
    <row r="6747" spans="1:5">
      <c r="A6747">
        <v>100813</v>
      </c>
      <c r="B6747">
        <v>2300</v>
      </c>
      <c r="C6747" s="455">
        <v>10.302</v>
      </c>
      <c r="D6747" s="637">
        <f t="shared" si="224"/>
        <v>26.40909523809524</v>
      </c>
      <c r="E6747" s="637">
        <f t="shared" si="225"/>
        <v>35.157619047619072</v>
      </c>
    </row>
    <row r="6748" spans="1:5">
      <c r="A6748">
        <v>100813</v>
      </c>
      <c r="B6748">
        <v>2400</v>
      </c>
      <c r="C6748" s="455">
        <v>10.933999999999999</v>
      </c>
      <c r="D6748" s="637">
        <f t="shared" si="224"/>
        <v>28.029222222222224</v>
      </c>
      <c r="E6748" s="637">
        <f t="shared" si="225"/>
        <v>37.314444444444469</v>
      </c>
    </row>
    <row r="6749" spans="1:5">
      <c r="A6749">
        <v>100913</v>
      </c>
      <c r="B6749">
        <v>100</v>
      </c>
      <c r="C6749" s="455">
        <v>10.55</v>
      </c>
      <c r="D6749" s="637">
        <f t="shared" si="224"/>
        <v>27.044841269841278</v>
      </c>
      <c r="E6749" s="637">
        <f t="shared" si="225"/>
        <v>36.003968253968281</v>
      </c>
    </row>
    <row r="6750" spans="1:5">
      <c r="A6750">
        <v>100913</v>
      </c>
      <c r="B6750">
        <v>200</v>
      </c>
      <c r="C6750" s="455">
        <v>10.632</v>
      </c>
      <c r="D6750" s="637">
        <f t="shared" ref="D6750:D6813" si="226">(C6750/(MAX($C$6557:$C$7300)))*$W$14</f>
        <v>27.255047619047623</v>
      </c>
      <c r="E6750" s="637">
        <f t="shared" ref="E6750:E6813" si="227">(C6750/(MAX($C$6557:$C$7300)))*$P$14</f>
        <v>36.283809523809545</v>
      </c>
    </row>
    <row r="6751" spans="1:5">
      <c r="A6751">
        <v>100913</v>
      </c>
      <c r="B6751">
        <v>300</v>
      </c>
      <c r="C6751" s="455">
        <v>10.888</v>
      </c>
      <c r="D6751" s="637">
        <f t="shared" si="226"/>
        <v>27.911301587301594</v>
      </c>
      <c r="E6751" s="637">
        <f t="shared" si="227"/>
        <v>37.157460317460341</v>
      </c>
    </row>
    <row r="6752" spans="1:5">
      <c r="A6752">
        <v>100913</v>
      </c>
      <c r="B6752">
        <v>400</v>
      </c>
      <c r="C6752" s="455">
        <v>11.323</v>
      </c>
      <c r="D6752" s="637">
        <f t="shared" si="226"/>
        <v>29.02642063492064</v>
      </c>
      <c r="E6752" s="637">
        <f t="shared" si="227"/>
        <v>38.641984126984156</v>
      </c>
    </row>
    <row r="6753" spans="1:5">
      <c r="A6753">
        <v>100913</v>
      </c>
      <c r="B6753">
        <v>500</v>
      </c>
      <c r="C6753" s="455">
        <v>10.986000000000001</v>
      </c>
      <c r="D6753" s="637">
        <f t="shared" si="226"/>
        <v>28.162523809523815</v>
      </c>
      <c r="E6753" s="637">
        <f t="shared" si="227"/>
        <v>37.491904761904792</v>
      </c>
    </row>
    <row r="6754" spans="1:5">
      <c r="A6754">
        <v>100913</v>
      </c>
      <c r="B6754">
        <v>600</v>
      </c>
      <c r="C6754" s="455">
        <v>11.01</v>
      </c>
      <c r="D6754" s="637">
        <f t="shared" si="226"/>
        <v>28.224047619047624</v>
      </c>
      <c r="E6754" s="637">
        <f t="shared" si="227"/>
        <v>37.573809523809551</v>
      </c>
    </row>
    <row r="6755" spans="1:5">
      <c r="A6755">
        <v>100913</v>
      </c>
      <c r="B6755">
        <v>700</v>
      </c>
      <c r="C6755" s="455">
        <v>7.2149999999999999</v>
      </c>
      <c r="D6755" s="637">
        <f t="shared" si="226"/>
        <v>18.495595238095241</v>
      </c>
      <c r="E6755" s="637">
        <f t="shared" si="227"/>
        <v>24.622619047619065</v>
      </c>
    </row>
    <row r="6756" spans="1:5">
      <c r="A6756">
        <v>100913</v>
      </c>
      <c r="B6756">
        <v>800</v>
      </c>
      <c r="C6756" s="455">
        <v>0</v>
      </c>
      <c r="D6756" s="637">
        <f t="shared" si="226"/>
        <v>0</v>
      </c>
      <c r="E6756" s="637">
        <f t="shared" si="227"/>
        <v>0</v>
      </c>
    </row>
    <row r="6757" spans="1:5">
      <c r="A6757">
        <v>100913</v>
      </c>
      <c r="B6757">
        <v>900</v>
      </c>
      <c r="C6757" s="455">
        <v>0</v>
      </c>
      <c r="D6757" s="637">
        <f t="shared" si="226"/>
        <v>0</v>
      </c>
      <c r="E6757" s="637">
        <f t="shared" si="227"/>
        <v>0</v>
      </c>
    </row>
    <row r="6758" spans="1:5">
      <c r="A6758">
        <v>100913</v>
      </c>
      <c r="B6758">
        <v>1000</v>
      </c>
      <c r="C6758" s="455">
        <v>0</v>
      </c>
      <c r="D6758" s="637">
        <f t="shared" si="226"/>
        <v>0</v>
      </c>
      <c r="E6758" s="637">
        <f t="shared" si="227"/>
        <v>0</v>
      </c>
    </row>
    <row r="6759" spans="1:5">
      <c r="A6759">
        <v>100913</v>
      </c>
      <c r="B6759">
        <v>1100</v>
      </c>
      <c r="C6759" s="455">
        <v>0</v>
      </c>
      <c r="D6759" s="637">
        <f t="shared" si="226"/>
        <v>0</v>
      </c>
      <c r="E6759" s="637">
        <f t="shared" si="227"/>
        <v>0</v>
      </c>
    </row>
    <row r="6760" spans="1:5">
      <c r="A6760">
        <v>100913</v>
      </c>
      <c r="B6760">
        <v>1200</v>
      </c>
      <c r="C6760" s="455">
        <v>0</v>
      </c>
      <c r="D6760" s="637">
        <f t="shared" si="226"/>
        <v>0</v>
      </c>
      <c r="E6760" s="637">
        <f t="shared" si="227"/>
        <v>0</v>
      </c>
    </row>
    <row r="6761" spans="1:5">
      <c r="A6761">
        <v>100913</v>
      </c>
      <c r="B6761">
        <v>1300</v>
      </c>
      <c r="C6761" s="455">
        <v>0</v>
      </c>
      <c r="D6761" s="637">
        <f t="shared" si="226"/>
        <v>0</v>
      </c>
      <c r="E6761" s="637">
        <f t="shared" si="227"/>
        <v>0</v>
      </c>
    </row>
    <row r="6762" spans="1:5">
      <c r="A6762">
        <v>100913</v>
      </c>
      <c r="B6762">
        <v>1400</v>
      </c>
      <c r="C6762" s="455">
        <v>0</v>
      </c>
      <c r="D6762" s="637">
        <f t="shared" si="226"/>
        <v>0</v>
      </c>
      <c r="E6762" s="637">
        <f t="shared" si="227"/>
        <v>0</v>
      </c>
    </row>
    <row r="6763" spans="1:5">
      <c r="A6763">
        <v>100913</v>
      </c>
      <c r="B6763">
        <v>1500</v>
      </c>
      <c r="C6763" s="455">
        <v>0</v>
      </c>
      <c r="D6763" s="637">
        <f t="shared" si="226"/>
        <v>0</v>
      </c>
      <c r="E6763" s="637">
        <f t="shared" si="227"/>
        <v>0</v>
      </c>
    </row>
    <row r="6764" spans="1:5">
      <c r="A6764">
        <v>100913</v>
      </c>
      <c r="B6764">
        <v>1600</v>
      </c>
      <c r="C6764" s="455">
        <v>0</v>
      </c>
      <c r="D6764" s="637">
        <f t="shared" si="226"/>
        <v>0</v>
      </c>
      <c r="E6764" s="637">
        <f t="shared" si="227"/>
        <v>0</v>
      </c>
    </row>
    <row r="6765" spans="1:5">
      <c r="A6765">
        <v>100913</v>
      </c>
      <c r="B6765">
        <v>1700</v>
      </c>
      <c r="C6765" s="455">
        <v>0</v>
      </c>
      <c r="D6765" s="637">
        <f t="shared" si="226"/>
        <v>0</v>
      </c>
      <c r="E6765" s="637">
        <f t="shared" si="227"/>
        <v>0</v>
      </c>
    </row>
    <row r="6766" spans="1:5">
      <c r="A6766">
        <v>100913</v>
      </c>
      <c r="B6766">
        <v>1800</v>
      </c>
      <c r="C6766" s="455">
        <v>5.2130000000000001</v>
      </c>
      <c r="D6766" s="637">
        <f t="shared" si="226"/>
        <v>13.36348412698413</v>
      </c>
      <c r="E6766" s="637">
        <f t="shared" si="227"/>
        <v>17.790396825396837</v>
      </c>
    </row>
    <row r="6767" spans="1:5">
      <c r="A6767">
        <v>100913</v>
      </c>
      <c r="B6767">
        <v>1900</v>
      </c>
      <c r="C6767" s="455">
        <v>10.613</v>
      </c>
      <c r="D6767" s="637">
        <f t="shared" si="226"/>
        <v>27.206341269841275</v>
      </c>
      <c r="E6767" s="637">
        <f t="shared" si="227"/>
        <v>36.218968253968278</v>
      </c>
    </row>
    <row r="6768" spans="1:5">
      <c r="A6768">
        <v>100913</v>
      </c>
      <c r="B6768">
        <v>2000</v>
      </c>
      <c r="C6768" s="455">
        <v>10.039999999999999</v>
      </c>
      <c r="D6768" s="637">
        <f t="shared" si="226"/>
        <v>25.737460317460318</v>
      </c>
      <c r="E6768" s="637">
        <f t="shared" si="227"/>
        <v>34.263492063492087</v>
      </c>
    </row>
    <row r="6769" spans="1:5">
      <c r="A6769">
        <v>100913</v>
      </c>
      <c r="B6769">
        <v>2100</v>
      </c>
      <c r="C6769" s="455">
        <v>10.077</v>
      </c>
      <c r="D6769" s="637">
        <f t="shared" si="226"/>
        <v>25.832309523809528</v>
      </c>
      <c r="E6769" s="637">
        <f t="shared" si="227"/>
        <v>34.389761904761926</v>
      </c>
    </row>
    <row r="6770" spans="1:5">
      <c r="A6770">
        <v>100913</v>
      </c>
      <c r="B6770">
        <v>2200</v>
      </c>
      <c r="C6770" s="455">
        <v>10.287000000000001</v>
      </c>
      <c r="D6770" s="637">
        <f t="shared" si="226"/>
        <v>26.370642857142862</v>
      </c>
      <c r="E6770" s="637">
        <f t="shared" si="227"/>
        <v>35.106428571428594</v>
      </c>
    </row>
    <row r="6771" spans="1:5">
      <c r="A6771">
        <v>100913</v>
      </c>
      <c r="B6771">
        <v>2300</v>
      </c>
      <c r="C6771" s="455">
        <v>10.587</v>
      </c>
      <c r="D6771" s="637">
        <f t="shared" si="226"/>
        <v>27.139690476190481</v>
      </c>
      <c r="E6771" s="637">
        <f t="shared" si="227"/>
        <v>36.13023809523812</v>
      </c>
    </row>
    <row r="6772" spans="1:5">
      <c r="A6772">
        <v>100913</v>
      </c>
      <c r="B6772">
        <v>2400</v>
      </c>
      <c r="C6772" s="455">
        <v>10.778</v>
      </c>
      <c r="D6772" s="637">
        <f t="shared" si="226"/>
        <v>27.629317460317466</v>
      </c>
      <c r="E6772" s="637">
        <f t="shared" si="227"/>
        <v>36.782063492063514</v>
      </c>
    </row>
    <row r="6773" spans="1:5">
      <c r="A6773">
        <v>101013</v>
      </c>
      <c r="B6773">
        <v>100</v>
      </c>
      <c r="C6773" s="455">
        <v>10.714</v>
      </c>
      <c r="D6773" s="637">
        <f t="shared" si="226"/>
        <v>27.465253968253972</v>
      </c>
      <c r="E6773" s="637">
        <f t="shared" si="227"/>
        <v>36.563650793650815</v>
      </c>
    </row>
    <row r="6774" spans="1:5">
      <c r="A6774">
        <v>101013</v>
      </c>
      <c r="B6774">
        <v>200</v>
      </c>
      <c r="C6774" s="455">
        <v>10.599</v>
      </c>
      <c r="D6774" s="637">
        <f t="shared" si="226"/>
        <v>27.170452380952387</v>
      </c>
      <c r="E6774" s="637">
        <f t="shared" si="227"/>
        <v>36.171190476190503</v>
      </c>
    </row>
    <row r="6775" spans="1:5">
      <c r="A6775">
        <v>101013</v>
      </c>
      <c r="B6775">
        <v>300</v>
      </c>
      <c r="C6775" s="455">
        <v>11.055999999999999</v>
      </c>
      <c r="D6775" s="637">
        <f t="shared" si="226"/>
        <v>28.341968253968258</v>
      </c>
      <c r="E6775" s="637">
        <f t="shared" si="227"/>
        <v>37.730793650793672</v>
      </c>
    </row>
    <row r="6776" spans="1:5">
      <c r="A6776">
        <v>101013</v>
      </c>
      <c r="B6776">
        <v>400</v>
      </c>
      <c r="C6776" s="455">
        <v>11.32</v>
      </c>
      <c r="D6776" s="637">
        <f t="shared" si="226"/>
        <v>29.018730158730165</v>
      </c>
      <c r="E6776" s="637">
        <f t="shared" si="227"/>
        <v>38.631746031746061</v>
      </c>
    </row>
    <row r="6777" spans="1:5">
      <c r="A6777">
        <v>101013</v>
      </c>
      <c r="B6777">
        <v>500</v>
      </c>
      <c r="C6777" s="455">
        <v>10.987</v>
      </c>
      <c r="D6777" s="637">
        <f t="shared" si="226"/>
        <v>28.165087301587306</v>
      </c>
      <c r="E6777" s="637">
        <f t="shared" si="227"/>
        <v>37.495317460317487</v>
      </c>
    </row>
    <row r="6778" spans="1:5">
      <c r="A6778">
        <v>101013</v>
      </c>
      <c r="B6778">
        <v>600</v>
      </c>
      <c r="C6778" s="455">
        <v>10.898999999999999</v>
      </c>
      <c r="D6778" s="637">
        <f t="shared" si="226"/>
        <v>27.939500000000002</v>
      </c>
      <c r="E6778" s="637">
        <f t="shared" si="227"/>
        <v>37.195000000000022</v>
      </c>
    </row>
    <row r="6779" spans="1:5">
      <c r="A6779">
        <v>101013</v>
      </c>
      <c r="B6779">
        <v>700</v>
      </c>
      <c r="C6779" s="455">
        <v>8.6310000000000002</v>
      </c>
      <c r="D6779" s="637">
        <f t="shared" si="226"/>
        <v>22.125500000000002</v>
      </c>
      <c r="E6779" s="637">
        <f t="shared" si="227"/>
        <v>29.45500000000002</v>
      </c>
    </row>
    <row r="6780" spans="1:5">
      <c r="A6780">
        <v>101013</v>
      </c>
      <c r="B6780">
        <v>800</v>
      </c>
      <c r="C6780" s="455">
        <v>0</v>
      </c>
      <c r="D6780" s="637">
        <f t="shared" si="226"/>
        <v>0</v>
      </c>
      <c r="E6780" s="637">
        <f t="shared" si="227"/>
        <v>0</v>
      </c>
    </row>
    <row r="6781" spans="1:5">
      <c r="A6781">
        <v>101013</v>
      </c>
      <c r="B6781">
        <v>900</v>
      </c>
      <c r="C6781" s="455">
        <v>0</v>
      </c>
      <c r="D6781" s="637">
        <f t="shared" si="226"/>
        <v>0</v>
      </c>
      <c r="E6781" s="637">
        <f t="shared" si="227"/>
        <v>0</v>
      </c>
    </row>
    <row r="6782" spans="1:5">
      <c r="A6782">
        <v>101013</v>
      </c>
      <c r="B6782">
        <v>1000</v>
      </c>
      <c r="C6782" s="455">
        <v>0</v>
      </c>
      <c r="D6782" s="637">
        <f t="shared" si="226"/>
        <v>0</v>
      </c>
      <c r="E6782" s="637">
        <f t="shared" si="227"/>
        <v>0</v>
      </c>
    </row>
    <row r="6783" spans="1:5">
      <c r="A6783">
        <v>101013</v>
      </c>
      <c r="B6783">
        <v>1100</v>
      </c>
      <c r="C6783" s="455">
        <v>0</v>
      </c>
      <c r="D6783" s="637">
        <f t="shared" si="226"/>
        <v>0</v>
      </c>
      <c r="E6783" s="637">
        <f t="shared" si="227"/>
        <v>0</v>
      </c>
    </row>
    <row r="6784" spans="1:5">
      <c r="A6784">
        <v>101013</v>
      </c>
      <c r="B6784">
        <v>1200</v>
      </c>
      <c r="C6784" s="455">
        <v>0.108</v>
      </c>
      <c r="D6784" s="637">
        <f t="shared" si="226"/>
        <v>0.27685714285714291</v>
      </c>
      <c r="E6784" s="637">
        <f t="shared" si="227"/>
        <v>0.36857142857142877</v>
      </c>
    </row>
    <row r="6785" spans="1:5">
      <c r="A6785">
        <v>101013</v>
      </c>
      <c r="B6785">
        <v>1300</v>
      </c>
      <c r="C6785" s="455">
        <v>0</v>
      </c>
      <c r="D6785" s="637">
        <f t="shared" si="226"/>
        <v>0</v>
      </c>
      <c r="E6785" s="637">
        <f t="shared" si="227"/>
        <v>0</v>
      </c>
    </row>
    <row r="6786" spans="1:5">
      <c r="A6786">
        <v>101013</v>
      </c>
      <c r="B6786">
        <v>1400</v>
      </c>
      <c r="C6786" s="455">
        <v>0</v>
      </c>
      <c r="D6786" s="637">
        <f t="shared" si="226"/>
        <v>0</v>
      </c>
      <c r="E6786" s="637">
        <f t="shared" si="227"/>
        <v>0</v>
      </c>
    </row>
    <row r="6787" spans="1:5">
      <c r="A6787">
        <v>101013</v>
      </c>
      <c r="B6787">
        <v>1500</v>
      </c>
      <c r="C6787" s="455">
        <v>0</v>
      </c>
      <c r="D6787" s="637">
        <f t="shared" si="226"/>
        <v>0</v>
      </c>
      <c r="E6787" s="637">
        <f t="shared" si="227"/>
        <v>0</v>
      </c>
    </row>
    <row r="6788" spans="1:5">
      <c r="A6788">
        <v>101013</v>
      </c>
      <c r="B6788">
        <v>1600</v>
      </c>
      <c r="C6788" s="455">
        <v>0</v>
      </c>
      <c r="D6788" s="637">
        <f t="shared" si="226"/>
        <v>0</v>
      </c>
      <c r="E6788" s="637">
        <f t="shared" si="227"/>
        <v>0</v>
      </c>
    </row>
    <row r="6789" spans="1:5">
      <c r="A6789">
        <v>101013</v>
      </c>
      <c r="B6789">
        <v>1700</v>
      </c>
      <c r="C6789" s="455">
        <v>0</v>
      </c>
      <c r="D6789" s="637">
        <f t="shared" si="226"/>
        <v>0</v>
      </c>
      <c r="E6789" s="637">
        <f t="shared" si="227"/>
        <v>0</v>
      </c>
    </row>
    <row r="6790" spans="1:5">
      <c r="A6790">
        <v>101013</v>
      </c>
      <c r="B6790">
        <v>1800</v>
      </c>
      <c r="C6790" s="455">
        <v>3.0880000000000001</v>
      </c>
      <c r="D6790" s="637">
        <f t="shared" si="226"/>
        <v>7.9160634920634934</v>
      </c>
      <c r="E6790" s="637">
        <f t="shared" si="227"/>
        <v>10.538412698412705</v>
      </c>
    </row>
    <row r="6791" spans="1:5">
      <c r="A6791">
        <v>101013</v>
      </c>
      <c r="B6791">
        <v>1900</v>
      </c>
      <c r="C6791" s="455">
        <v>10.587999999999999</v>
      </c>
      <c r="D6791" s="637">
        <f t="shared" si="226"/>
        <v>27.142253968253971</v>
      </c>
      <c r="E6791" s="637">
        <f t="shared" si="227"/>
        <v>36.133650793650816</v>
      </c>
    </row>
    <row r="6792" spans="1:5">
      <c r="A6792">
        <v>101013</v>
      </c>
      <c r="B6792">
        <v>2000</v>
      </c>
      <c r="C6792" s="455">
        <v>10.332000000000001</v>
      </c>
      <c r="D6792" s="637">
        <f t="shared" si="226"/>
        <v>26.486000000000008</v>
      </c>
      <c r="E6792" s="637">
        <f t="shared" si="227"/>
        <v>35.260000000000026</v>
      </c>
    </row>
    <row r="6793" spans="1:5">
      <c r="A6793">
        <v>101013</v>
      </c>
      <c r="B6793">
        <v>2100</v>
      </c>
      <c r="C6793" s="455">
        <v>10</v>
      </c>
      <c r="D6793" s="637">
        <f t="shared" si="226"/>
        <v>25.63492063492064</v>
      </c>
      <c r="E6793" s="637">
        <f t="shared" si="227"/>
        <v>34.126984126984148</v>
      </c>
    </row>
    <row r="6794" spans="1:5">
      <c r="A6794">
        <v>101013</v>
      </c>
      <c r="B6794">
        <v>2200</v>
      </c>
      <c r="C6794" s="455">
        <v>10.19</v>
      </c>
      <c r="D6794" s="637">
        <f t="shared" si="226"/>
        <v>26.121984126984131</v>
      </c>
      <c r="E6794" s="637">
        <f t="shared" si="227"/>
        <v>34.775396825396847</v>
      </c>
    </row>
    <row r="6795" spans="1:5">
      <c r="A6795">
        <v>101013</v>
      </c>
      <c r="B6795">
        <v>2300</v>
      </c>
      <c r="C6795" s="455">
        <v>9.93</v>
      </c>
      <c r="D6795" s="637">
        <f t="shared" si="226"/>
        <v>25.455476190476194</v>
      </c>
      <c r="E6795" s="637">
        <f t="shared" si="227"/>
        <v>33.888095238095261</v>
      </c>
    </row>
    <row r="6796" spans="1:5">
      <c r="A6796">
        <v>101013</v>
      </c>
      <c r="B6796">
        <v>2400</v>
      </c>
      <c r="C6796" s="455">
        <v>10.698</v>
      </c>
      <c r="D6796" s="637">
        <f t="shared" si="226"/>
        <v>27.424238095238099</v>
      </c>
      <c r="E6796" s="637">
        <f t="shared" si="227"/>
        <v>36.509047619047642</v>
      </c>
    </row>
    <row r="6797" spans="1:5">
      <c r="A6797">
        <v>101113</v>
      </c>
      <c r="B6797">
        <v>100</v>
      </c>
      <c r="C6797" s="455">
        <v>10.743</v>
      </c>
      <c r="D6797" s="637">
        <f t="shared" si="226"/>
        <v>27.539595238095242</v>
      </c>
      <c r="E6797" s="637">
        <f t="shared" si="227"/>
        <v>36.662619047619074</v>
      </c>
    </row>
    <row r="6798" spans="1:5">
      <c r="A6798">
        <v>101113</v>
      </c>
      <c r="B6798">
        <v>200</v>
      </c>
      <c r="C6798" s="455">
        <v>10.93</v>
      </c>
      <c r="D6798" s="637">
        <f t="shared" si="226"/>
        <v>28.018968253968261</v>
      </c>
      <c r="E6798" s="637">
        <f t="shared" si="227"/>
        <v>37.300793650793679</v>
      </c>
    </row>
    <row r="6799" spans="1:5">
      <c r="A6799">
        <v>101113</v>
      </c>
      <c r="B6799">
        <v>300</v>
      </c>
      <c r="C6799" s="455">
        <v>10.715</v>
      </c>
      <c r="D6799" s="637">
        <f t="shared" si="226"/>
        <v>27.467817460317466</v>
      </c>
      <c r="E6799" s="637">
        <f t="shared" si="227"/>
        <v>36.567063492063518</v>
      </c>
    </row>
    <row r="6800" spans="1:5">
      <c r="A6800">
        <v>101113</v>
      </c>
      <c r="B6800">
        <v>400</v>
      </c>
      <c r="C6800" s="455">
        <v>10.974</v>
      </c>
      <c r="D6800" s="637">
        <f t="shared" si="226"/>
        <v>28.131761904761909</v>
      </c>
      <c r="E6800" s="637">
        <f t="shared" si="227"/>
        <v>37.450952380952408</v>
      </c>
    </row>
    <row r="6801" spans="1:5">
      <c r="A6801">
        <v>101113</v>
      </c>
      <c r="B6801">
        <v>500</v>
      </c>
      <c r="C6801" s="455">
        <v>11.03</v>
      </c>
      <c r="D6801" s="637">
        <f t="shared" si="226"/>
        <v>28.275317460317464</v>
      </c>
      <c r="E6801" s="637">
        <f t="shared" si="227"/>
        <v>37.642063492063514</v>
      </c>
    </row>
    <row r="6802" spans="1:5">
      <c r="A6802">
        <v>101113</v>
      </c>
      <c r="B6802">
        <v>600</v>
      </c>
      <c r="C6802" s="455">
        <v>11.071</v>
      </c>
      <c r="D6802" s="637">
        <f t="shared" si="226"/>
        <v>28.38042063492064</v>
      </c>
      <c r="E6802" s="637">
        <f t="shared" si="227"/>
        <v>37.781984126984149</v>
      </c>
    </row>
    <row r="6803" spans="1:5">
      <c r="A6803">
        <v>101113</v>
      </c>
      <c r="B6803">
        <v>700</v>
      </c>
      <c r="C6803" s="455">
        <v>9.609</v>
      </c>
      <c r="D6803" s="637">
        <f t="shared" si="226"/>
        <v>24.632595238095242</v>
      </c>
      <c r="E6803" s="637">
        <f t="shared" si="227"/>
        <v>32.79261904761907</v>
      </c>
    </row>
    <row r="6804" spans="1:5">
      <c r="A6804">
        <v>101113</v>
      </c>
      <c r="B6804">
        <v>800</v>
      </c>
      <c r="C6804" s="455">
        <v>2.4E-2</v>
      </c>
      <c r="D6804" s="637">
        <f t="shared" si="226"/>
        <v>6.1523809523809536E-2</v>
      </c>
      <c r="E6804" s="637">
        <f t="shared" si="227"/>
        <v>8.1904761904761966E-2</v>
      </c>
    </row>
    <row r="6805" spans="1:5">
      <c r="A6805">
        <v>101113</v>
      </c>
      <c r="B6805">
        <v>900</v>
      </c>
      <c r="C6805" s="455">
        <v>0.32400000000000001</v>
      </c>
      <c r="D6805" s="637">
        <f t="shared" si="226"/>
        <v>0.83057142857142874</v>
      </c>
      <c r="E6805" s="637">
        <f t="shared" si="227"/>
        <v>1.1057142857142865</v>
      </c>
    </row>
    <row r="6806" spans="1:5">
      <c r="A6806">
        <v>101113</v>
      </c>
      <c r="B6806">
        <v>1000</v>
      </c>
      <c r="C6806" s="455">
        <v>0.54</v>
      </c>
      <c r="D6806" s="637">
        <f t="shared" si="226"/>
        <v>1.3842857142857146</v>
      </c>
      <c r="E6806" s="637">
        <f t="shared" si="227"/>
        <v>1.8428571428571441</v>
      </c>
    </row>
    <row r="6807" spans="1:5">
      <c r="A6807">
        <v>101113</v>
      </c>
      <c r="B6807">
        <v>1100</v>
      </c>
      <c r="C6807" s="455">
        <v>0.432</v>
      </c>
      <c r="D6807" s="637">
        <f t="shared" si="226"/>
        <v>1.1074285714285717</v>
      </c>
      <c r="E6807" s="637">
        <f t="shared" si="227"/>
        <v>1.4742857142857151</v>
      </c>
    </row>
    <row r="6808" spans="1:5">
      <c r="A6808">
        <v>101113</v>
      </c>
      <c r="B6808">
        <v>1200</v>
      </c>
      <c r="C6808" s="455">
        <v>0.432</v>
      </c>
      <c r="D6808" s="637">
        <f t="shared" si="226"/>
        <v>1.1074285714285717</v>
      </c>
      <c r="E6808" s="637">
        <f t="shared" si="227"/>
        <v>1.4742857142857151</v>
      </c>
    </row>
    <row r="6809" spans="1:5">
      <c r="A6809">
        <v>101113</v>
      </c>
      <c r="B6809">
        <v>1300</v>
      </c>
      <c r="C6809" s="455">
        <v>0.432</v>
      </c>
      <c r="D6809" s="637">
        <f t="shared" si="226"/>
        <v>1.1074285714285717</v>
      </c>
      <c r="E6809" s="637">
        <f t="shared" si="227"/>
        <v>1.4742857142857151</v>
      </c>
    </row>
    <row r="6810" spans="1:5">
      <c r="A6810">
        <v>101113</v>
      </c>
      <c r="B6810">
        <v>1400</v>
      </c>
      <c r="C6810" s="455">
        <v>0.432</v>
      </c>
      <c r="D6810" s="637">
        <f t="shared" si="226"/>
        <v>1.1074285714285717</v>
      </c>
      <c r="E6810" s="637">
        <f t="shared" si="227"/>
        <v>1.4742857142857151</v>
      </c>
    </row>
    <row r="6811" spans="1:5">
      <c r="A6811">
        <v>101113</v>
      </c>
      <c r="B6811">
        <v>1500</v>
      </c>
      <c r="C6811" s="455">
        <v>0.432</v>
      </c>
      <c r="D6811" s="637">
        <f t="shared" si="226"/>
        <v>1.1074285714285717</v>
      </c>
      <c r="E6811" s="637">
        <f t="shared" si="227"/>
        <v>1.4742857142857151</v>
      </c>
    </row>
    <row r="6812" spans="1:5">
      <c r="A6812">
        <v>101113</v>
      </c>
      <c r="B6812">
        <v>1600</v>
      </c>
      <c r="C6812" s="455">
        <v>0.432</v>
      </c>
      <c r="D6812" s="637">
        <f t="shared" si="226"/>
        <v>1.1074285714285717</v>
      </c>
      <c r="E6812" s="637">
        <f t="shared" si="227"/>
        <v>1.4742857142857151</v>
      </c>
    </row>
    <row r="6813" spans="1:5">
      <c r="A6813">
        <v>101113</v>
      </c>
      <c r="B6813">
        <v>1700</v>
      </c>
      <c r="C6813" s="455">
        <v>0.432</v>
      </c>
      <c r="D6813" s="637">
        <f t="shared" si="226"/>
        <v>1.1074285714285717</v>
      </c>
      <c r="E6813" s="637">
        <f t="shared" si="227"/>
        <v>1.4742857142857151</v>
      </c>
    </row>
    <row r="6814" spans="1:5">
      <c r="A6814">
        <v>101113</v>
      </c>
      <c r="B6814">
        <v>1800</v>
      </c>
      <c r="C6814" s="455">
        <v>6.149</v>
      </c>
      <c r="D6814" s="637">
        <f t="shared" ref="D6814:D6877" si="228">(C6814/(MAX($C$6557:$C$7300)))*$W$14</f>
        <v>15.762912698412702</v>
      </c>
      <c r="E6814" s="637">
        <f t="shared" ref="E6814:E6877" si="229">(C6814/(MAX($C$6557:$C$7300)))*$P$14</f>
        <v>20.984682539682552</v>
      </c>
    </row>
    <row r="6815" spans="1:5">
      <c r="A6815">
        <v>101113</v>
      </c>
      <c r="B6815">
        <v>1900</v>
      </c>
      <c r="C6815" s="455">
        <v>10.457000000000001</v>
      </c>
      <c r="D6815" s="637">
        <f t="shared" si="228"/>
        <v>26.806436507936514</v>
      </c>
      <c r="E6815" s="637">
        <f t="shared" si="229"/>
        <v>35.686587301587331</v>
      </c>
    </row>
    <row r="6816" spans="1:5">
      <c r="A6816">
        <v>101113</v>
      </c>
      <c r="B6816">
        <v>2000</v>
      </c>
      <c r="C6816" s="455">
        <v>9.8620000000000001</v>
      </c>
      <c r="D6816" s="637">
        <f t="shared" si="228"/>
        <v>25.281158730158733</v>
      </c>
      <c r="E6816" s="637">
        <f t="shared" si="229"/>
        <v>33.656031746031772</v>
      </c>
    </row>
    <row r="6817" spans="1:5">
      <c r="A6817">
        <v>101113</v>
      </c>
      <c r="B6817">
        <v>2100</v>
      </c>
      <c r="C6817" s="455">
        <v>9.9559999999999995</v>
      </c>
      <c r="D6817" s="637">
        <f t="shared" si="228"/>
        <v>25.522126984126988</v>
      </c>
      <c r="E6817" s="637">
        <f t="shared" si="229"/>
        <v>33.976825396825419</v>
      </c>
    </row>
    <row r="6818" spans="1:5">
      <c r="A6818">
        <v>101113</v>
      </c>
      <c r="B6818">
        <v>2200</v>
      </c>
      <c r="C6818" s="455">
        <v>10.124000000000001</v>
      </c>
      <c r="D6818" s="637">
        <f t="shared" si="228"/>
        <v>25.952793650793655</v>
      </c>
      <c r="E6818" s="637">
        <f t="shared" si="229"/>
        <v>34.550158730158756</v>
      </c>
    </row>
    <row r="6819" spans="1:5">
      <c r="A6819">
        <v>101113</v>
      </c>
      <c r="B6819">
        <v>2300</v>
      </c>
      <c r="C6819" s="455">
        <v>9.8940000000000001</v>
      </c>
      <c r="D6819" s="637">
        <f t="shared" si="228"/>
        <v>25.363190476190479</v>
      </c>
      <c r="E6819" s="637">
        <f t="shared" si="229"/>
        <v>33.765238095238118</v>
      </c>
    </row>
    <row r="6820" spans="1:5">
      <c r="A6820">
        <v>101113</v>
      </c>
      <c r="B6820">
        <v>2400</v>
      </c>
      <c r="C6820" s="455">
        <v>10.297000000000001</v>
      </c>
      <c r="D6820" s="637">
        <f t="shared" si="228"/>
        <v>26.396277777777783</v>
      </c>
      <c r="E6820" s="637">
        <f t="shared" si="229"/>
        <v>35.140555555555579</v>
      </c>
    </row>
    <row r="6821" spans="1:5">
      <c r="A6821">
        <v>101213</v>
      </c>
      <c r="B6821">
        <v>100</v>
      </c>
      <c r="C6821" s="455">
        <v>10.478999999999999</v>
      </c>
      <c r="D6821" s="637">
        <f t="shared" si="228"/>
        <v>26.862833333333338</v>
      </c>
      <c r="E6821" s="637">
        <f t="shared" si="229"/>
        <v>35.761666666666692</v>
      </c>
    </row>
    <row r="6822" spans="1:5">
      <c r="A6822">
        <v>101213</v>
      </c>
      <c r="B6822">
        <v>200</v>
      </c>
      <c r="C6822" s="455">
        <v>10.624000000000001</v>
      </c>
      <c r="D6822" s="637">
        <f t="shared" si="228"/>
        <v>27.23453968253969</v>
      </c>
      <c r="E6822" s="637">
        <f t="shared" si="229"/>
        <v>36.256507936507965</v>
      </c>
    </row>
    <row r="6823" spans="1:5">
      <c r="A6823">
        <v>101213</v>
      </c>
      <c r="B6823">
        <v>300</v>
      </c>
      <c r="C6823" s="455">
        <v>10.651</v>
      </c>
      <c r="D6823" s="637">
        <f t="shared" si="228"/>
        <v>27.303753968253972</v>
      </c>
      <c r="E6823" s="637">
        <f t="shared" si="229"/>
        <v>36.348650793650819</v>
      </c>
    </row>
    <row r="6824" spans="1:5">
      <c r="A6824">
        <v>101213</v>
      </c>
      <c r="B6824">
        <v>400</v>
      </c>
      <c r="C6824" s="455">
        <v>11.247</v>
      </c>
      <c r="D6824" s="637">
        <f t="shared" si="228"/>
        <v>28.831595238095243</v>
      </c>
      <c r="E6824" s="637">
        <f t="shared" si="229"/>
        <v>38.382619047619073</v>
      </c>
    </row>
    <row r="6825" spans="1:5">
      <c r="A6825">
        <v>101213</v>
      </c>
      <c r="B6825">
        <v>500</v>
      </c>
      <c r="C6825" s="455">
        <v>11.175000000000001</v>
      </c>
      <c r="D6825" s="637">
        <f t="shared" si="228"/>
        <v>28.647023809523816</v>
      </c>
      <c r="E6825" s="637">
        <f t="shared" si="229"/>
        <v>38.136904761904788</v>
      </c>
    </row>
    <row r="6826" spans="1:5">
      <c r="A6826">
        <v>101213</v>
      </c>
      <c r="B6826">
        <v>600</v>
      </c>
      <c r="C6826" s="455">
        <v>10.988</v>
      </c>
      <c r="D6826" s="637">
        <f t="shared" si="228"/>
        <v>28.1676507936508</v>
      </c>
      <c r="E6826" s="637">
        <f t="shared" si="229"/>
        <v>37.498730158730183</v>
      </c>
    </row>
    <row r="6827" spans="1:5">
      <c r="A6827">
        <v>101213</v>
      </c>
      <c r="B6827">
        <v>700</v>
      </c>
      <c r="C6827" s="455">
        <v>8.3930000000000007</v>
      </c>
      <c r="D6827" s="637">
        <f t="shared" si="228"/>
        <v>21.515388888888893</v>
      </c>
      <c r="E6827" s="637">
        <f t="shared" si="229"/>
        <v>28.642777777777798</v>
      </c>
    </row>
    <row r="6828" spans="1:5">
      <c r="A6828">
        <v>101213</v>
      </c>
      <c r="B6828">
        <v>800</v>
      </c>
      <c r="C6828" s="455">
        <v>0.434</v>
      </c>
      <c r="D6828" s="637">
        <f t="shared" si="228"/>
        <v>1.1125555555555557</v>
      </c>
      <c r="E6828" s="637">
        <f t="shared" si="229"/>
        <v>1.4811111111111122</v>
      </c>
    </row>
    <row r="6829" spans="1:5">
      <c r="A6829">
        <v>101213</v>
      </c>
      <c r="B6829">
        <v>900</v>
      </c>
      <c r="C6829" s="455">
        <v>0.432</v>
      </c>
      <c r="D6829" s="637">
        <f t="shared" si="228"/>
        <v>1.1074285714285717</v>
      </c>
      <c r="E6829" s="637">
        <f t="shared" si="229"/>
        <v>1.4742857142857151</v>
      </c>
    </row>
    <row r="6830" spans="1:5">
      <c r="A6830">
        <v>101213</v>
      </c>
      <c r="B6830">
        <v>1000</v>
      </c>
      <c r="C6830" s="455">
        <v>0.54</v>
      </c>
      <c r="D6830" s="637">
        <f t="shared" si="228"/>
        <v>1.3842857142857146</v>
      </c>
      <c r="E6830" s="637">
        <f t="shared" si="229"/>
        <v>1.8428571428571441</v>
      </c>
    </row>
    <row r="6831" spans="1:5">
      <c r="A6831">
        <v>101213</v>
      </c>
      <c r="B6831">
        <v>1100</v>
      </c>
      <c r="C6831" s="455">
        <v>0.432</v>
      </c>
      <c r="D6831" s="637">
        <f t="shared" si="228"/>
        <v>1.1074285714285717</v>
      </c>
      <c r="E6831" s="637">
        <f t="shared" si="229"/>
        <v>1.4742857142857151</v>
      </c>
    </row>
    <row r="6832" spans="1:5">
      <c r="A6832">
        <v>101213</v>
      </c>
      <c r="B6832">
        <v>1200</v>
      </c>
      <c r="C6832" s="455">
        <v>0.432</v>
      </c>
      <c r="D6832" s="637">
        <f t="shared" si="228"/>
        <v>1.1074285714285717</v>
      </c>
      <c r="E6832" s="637">
        <f t="shared" si="229"/>
        <v>1.4742857142857151</v>
      </c>
    </row>
    <row r="6833" spans="1:5">
      <c r="A6833">
        <v>101213</v>
      </c>
      <c r="B6833">
        <v>1300</v>
      </c>
      <c r="C6833" s="455">
        <v>0.54</v>
      </c>
      <c r="D6833" s="637">
        <f t="shared" si="228"/>
        <v>1.3842857142857146</v>
      </c>
      <c r="E6833" s="637">
        <f t="shared" si="229"/>
        <v>1.8428571428571441</v>
      </c>
    </row>
    <row r="6834" spans="1:5">
      <c r="A6834">
        <v>101213</v>
      </c>
      <c r="B6834">
        <v>1400</v>
      </c>
      <c r="C6834" s="455">
        <v>0.432</v>
      </c>
      <c r="D6834" s="637">
        <f t="shared" si="228"/>
        <v>1.1074285714285717</v>
      </c>
      <c r="E6834" s="637">
        <f t="shared" si="229"/>
        <v>1.4742857142857151</v>
      </c>
    </row>
    <row r="6835" spans="1:5">
      <c r="A6835">
        <v>101213</v>
      </c>
      <c r="B6835">
        <v>1500</v>
      </c>
      <c r="C6835" s="455">
        <v>0.432</v>
      </c>
      <c r="D6835" s="637">
        <f t="shared" si="228"/>
        <v>1.1074285714285717</v>
      </c>
      <c r="E6835" s="637">
        <f t="shared" si="229"/>
        <v>1.4742857142857151</v>
      </c>
    </row>
    <row r="6836" spans="1:5">
      <c r="A6836">
        <v>101213</v>
      </c>
      <c r="B6836">
        <v>1600</v>
      </c>
      <c r="C6836" s="455">
        <v>0.54</v>
      </c>
      <c r="D6836" s="637">
        <f t="shared" si="228"/>
        <v>1.3842857142857146</v>
      </c>
      <c r="E6836" s="637">
        <f t="shared" si="229"/>
        <v>1.8428571428571441</v>
      </c>
    </row>
    <row r="6837" spans="1:5">
      <c r="A6837">
        <v>101213</v>
      </c>
      <c r="B6837">
        <v>1700</v>
      </c>
      <c r="C6837" s="455">
        <v>0.432</v>
      </c>
      <c r="D6837" s="637">
        <f t="shared" si="228"/>
        <v>1.1074285714285717</v>
      </c>
      <c r="E6837" s="637">
        <f t="shared" si="229"/>
        <v>1.4742857142857151</v>
      </c>
    </row>
    <row r="6838" spans="1:5">
      <c r="A6838">
        <v>101213</v>
      </c>
      <c r="B6838">
        <v>1800</v>
      </c>
      <c r="C6838" s="455">
        <v>7.1319999999999997</v>
      </c>
      <c r="D6838" s="637">
        <f t="shared" si="228"/>
        <v>18.282825396825402</v>
      </c>
      <c r="E6838" s="637">
        <f t="shared" si="229"/>
        <v>24.339365079365095</v>
      </c>
    </row>
    <row r="6839" spans="1:5">
      <c r="A6839">
        <v>101213</v>
      </c>
      <c r="B6839">
        <v>1900</v>
      </c>
      <c r="C6839" s="455">
        <v>10.387</v>
      </c>
      <c r="D6839" s="637">
        <f t="shared" si="228"/>
        <v>26.626992063492068</v>
      </c>
      <c r="E6839" s="637">
        <f t="shared" si="229"/>
        <v>35.447698412698436</v>
      </c>
    </row>
    <row r="6840" spans="1:5">
      <c r="A6840">
        <v>101213</v>
      </c>
      <c r="B6840">
        <v>2000</v>
      </c>
      <c r="C6840" s="455">
        <v>10.061999999999999</v>
      </c>
      <c r="D6840" s="637">
        <f t="shared" si="228"/>
        <v>25.793857142857146</v>
      </c>
      <c r="E6840" s="637">
        <f t="shared" si="229"/>
        <v>34.338571428571449</v>
      </c>
    </row>
    <row r="6841" spans="1:5">
      <c r="A6841">
        <v>101213</v>
      </c>
      <c r="B6841">
        <v>2100</v>
      </c>
      <c r="C6841" s="455">
        <v>10.387</v>
      </c>
      <c r="D6841" s="637">
        <f t="shared" si="228"/>
        <v>26.626992063492068</v>
      </c>
      <c r="E6841" s="637">
        <f t="shared" si="229"/>
        <v>35.447698412698436</v>
      </c>
    </row>
    <row r="6842" spans="1:5">
      <c r="A6842">
        <v>101213</v>
      </c>
      <c r="B6842">
        <v>2200</v>
      </c>
      <c r="C6842" s="455">
        <v>10.012</v>
      </c>
      <c r="D6842" s="637">
        <f t="shared" si="228"/>
        <v>25.665682539682546</v>
      </c>
      <c r="E6842" s="637">
        <f t="shared" si="229"/>
        <v>34.167936507936538</v>
      </c>
    </row>
    <row r="6843" spans="1:5">
      <c r="A6843">
        <v>101213</v>
      </c>
      <c r="B6843">
        <v>2300</v>
      </c>
      <c r="C6843" s="455">
        <v>10.058</v>
      </c>
      <c r="D6843" s="637">
        <f t="shared" si="228"/>
        <v>25.783603174603179</v>
      </c>
      <c r="E6843" s="637">
        <f t="shared" si="229"/>
        <v>34.324920634920659</v>
      </c>
    </row>
    <row r="6844" spans="1:5">
      <c r="A6844">
        <v>101213</v>
      </c>
      <c r="B6844">
        <v>2400</v>
      </c>
      <c r="C6844" s="455">
        <v>10.411</v>
      </c>
      <c r="D6844" s="637">
        <f t="shared" si="228"/>
        <v>26.688515873015877</v>
      </c>
      <c r="E6844" s="637">
        <f t="shared" si="229"/>
        <v>35.529603174603196</v>
      </c>
    </row>
    <row r="6845" spans="1:5">
      <c r="A6845">
        <v>101313</v>
      </c>
      <c r="B6845">
        <v>100</v>
      </c>
      <c r="C6845" s="455">
        <v>10.061999999999999</v>
      </c>
      <c r="D6845" s="637">
        <f t="shared" si="228"/>
        <v>25.793857142857146</v>
      </c>
      <c r="E6845" s="637">
        <f t="shared" si="229"/>
        <v>34.338571428571449</v>
      </c>
    </row>
    <row r="6846" spans="1:5">
      <c r="A6846">
        <v>101313</v>
      </c>
      <c r="B6846">
        <v>200</v>
      </c>
      <c r="C6846" s="455">
        <v>10.202</v>
      </c>
      <c r="D6846" s="637">
        <f t="shared" si="228"/>
        <v>26.152746031746037</v>
      </c>
      <c r="E6846" s="637">
        <f t="shared" si="229"/>
        <v>34.81634920634923</v>
      </c>
    </row>
    <row r="6847" spans="1:5">
      <c r="A6847">
        <v>101313</v>
      </c>
      <c r="B6847">
        <v>300</v>
      </c>
      <c r="C6847" s="455">
        <v>9.9559999999999995</v>
      </c>
      <c r="D6847" s="637">
        <f t="shared" si="228"/>
        <v>25.522126984126988</v>
      </c>
      <c r="E6847" s="637">
        <f t="shared" si="229"/>
        <v>33.976825396825419</v>
      </c>
    </row>
    <row r="6848" spans="1:5">
      <c r="A6848">
        <v>101313</v>
      </c>
      <c r="B6848">
        <v>400</v>
      </c>
      <c r="C6848" s="455">
        <v>10.207000000000001</v>
      </c>
      <c r="D6848" s="637">
        <f t="shared" si="228"/>
        <v>26.165563492063498</v>
      </c>
      <c r="E6848" s="637">
        <f t="shared" si="229"/>
        <v>34.833412698412722</v>
      </c>
    </row>
    <row r="6849" spans="1:5">
      <c r="A6849">
        <v>101313</v>
      </c>
      <c r="B6849">
        <v>500</v>
      </c>
      <c r="C6849" s="455">
        <v>10.260999999999999</v>
      </c>
      <c r="D6849" s="637">
        <f t="shared" si="228"/>
        <v>26.303992063492064</v>
      </c>
      <c r="E6849" s="637">
        <f t="shared" si="229"/>
        <v>35.017698412698429</v>
      </c>
    </row>
    <row r="6850" spans="1:5">
      <c r="A6850">
        <v>101313</v>
      </c>
      <c r="B6850">
        <v>600</v>
      </c>
      <c r="C6850" s="455">
        <v>10.138999999999999</v>
      </c>
      <c r="D6850" s="637">
        <f t="shared" si="228"/>
        <v>25.991246031746037</v>
      </c>
      <c r="E6850" s="637">
        <f t="shared" si="229"/>
        <v>34.601349206349227</v>
      </c>
    </row>
    <row r="6851" spans="1:5">
      <c r="A6851">
        <v>101313</v>
      </c>
      <c r="B6851">
        <v>700</v>
      </c>
      <c r="C6851" s="455">
        <v>11.2</v>
      </c>
      <c r="D6851" s="637">
        <f t="shared" si="228"/>
        <v>28.711111111111116</v>
      </c>
      <c r="E6851" s="637">
        <f t="shared" si="229"/>
        <v>38.22222222222225</v>
      </c>
    </row>
    <row r="6852" spans="1:5">
      <c r="A6852">
        <v>101313</v>
      </c>
      <c r="B6852">
        <v>800</v>
      </c>
      <c r="C6852" s="455">
        <v>1.3839999999999999</v>
      </c>
      <c r="D6852" s="637">
        <f t="shared" si="228"/>
        <v>3.5478730158730163</v>
      </c>
      <c r="E6852" s="637">
        <f t="shared" si="229"/>
        <v>4.7231746031746056</v>
      </c>
    </row>
    <row r="6853" spans="1:5">
      <c r="A6853">
        <v>101313</v>
      </c>
      <c r="B6853">
        <v>900</v>
      </c>
      <c r="C6853" s="455">
        <v>0.432</v>
      </c>
      <c r="D6853" s="637">
        <f t="shared" si="228"/>
        <v>1.1074285714285717</v>
      </c>
      <c r="E6853" s="637">
        <f t="shared" si="229"/>
        <v>1.4742857142857151</v>
      </c>
    </row>
    <row r="6854" spans="1:5">
      <c r="A6854">
        <v>101313</v>
      </c>
      <c r="B6854">
        <v>1000</v>
      </c>
      <c r="C6854" s="455">
        <v>0.432</v>
      </c>
      <c r="D6854" s="637">
        <f t="shared" si="228"/>
        <v>1.1074285714285717</v>
      </c>
      <c r="E6854" s="637">
        <f t="shared" si="229"/>
        <v>1.4742857142857151</v>
      </c>
    </row>
    <row r="6855" spans="1:5">
      <c r="A6855">
        <v>101313</v>
      </c>
      <c r="B6855">
        <v>1100</v>
      </c>
      <c r="C6855" s="455">
        <v>0.54</v>
      </c>
      <c r="D6855" s="637">
        <f t="shared" si="228"/>
        <v>1.3842857142857146</v>
      </c>
      <c r="E6855" s="637">
        <f t="shared" si="229"/>
        <v>1.8428571428571441</v>
      </c>
    </row>
    <row r="6856" spans="1:5">
      <c r="A6856">
        <v>101313</v>
      </c>
      <c r="B6856">
        <v>1200</v>
      </c>
      <c r="C6856" s="455">
        <v>0.432</v>
      </c>
      <c r="D6856" s="637">
        <f t="shared" si="228"/>
        <v>1.1074285714285717</v>
      </c>
      <c r="E6856" s="637">
        <f t="shared" si="229"/>
        <v>1.4742857142857151</v>
      </c>
    </row>
    <row r="6857" spans="1:5">
      <c r="A6857">
        <v>101313</v>
      </c>
      <c r="B6857">
        <v>1300</v>
      </c>
      <c r="C6857" s="455">
        <v>0.432</v>
      </c>
      <c r="D6857" s="637">
        <f t="shared" si="228"/>
        <v>1.1074285714285717</v>
      </c>
      <c r="E6857" s="637">
        <f t="shared" si="229"/>
        <v>1.4742857142857151</v>
      </c>
    </row>
    <row r="6858" spans="1:5">
      <c r="A6858">
        <v>101313</v>
      </c>
      <c r="B6858">
        <v>1400</v>
      </c>
      <c r="C6858" s="455">
        <v>0.54</v>
      </c>
      <c r="D6858" s="637">
        <f t="shared" si="228"/>
        <v>1.3842857142857146</v>
      </c>
      <c r="E6858" s="637">
        <f t="shared" si="229"/>
        <v>1.8428571428571441</v>
      </c>
    </row>
    <row r="6859" spans="1:5">
      <c r="A6859">
        <v>101313</v>
      </c>
      <c r="B6859">
        <v>1500</v>
      </c>
      <c r="C6859" s="455">
        <v>0.437</v>
      </c>
      <c r="D6859" s="637">
        <f t="shared" si="228"/>
        <v>1.1202460317460319</v>
      </c>
      <c r="E6859" s="637">
        <f t="shared" si="229"/>
        <v>1.4913492063492073</v>
      </c>
    </row>
    <row r="6860" spans="1:5">
      <c r="A6860">
        <v>101313</v>
      </c>
      <c r="B6860">
        <v>1600</v>
      </c>
      <c r="C6860" s="455">
        <v>0.54</v>
      </c>
      <c r="D6860" s="637">
        <f t="shared" si="228"/>
        <v>1.3842857142857146</v>
      </c>
      <c r="E6860" s="637">
        <f t="shared" si="229"/>
        <v>1.8428571428571441</v>
      </c>
    </row>
    <row r="6861" spans="1:5">
      <c r="A6861">
        <v>101313</v>
      </c>
      <c r="B6861">
        <v>1700</v>
      </c>
      <c r="C6861" s="455">
        <v>0.44600000000000001</v>
      </c>
      <c r="D6861" s="637">
        <f t="shared" si="228"/>
        <v>1.1433174603174605</v>
      </c>
      <c r="E6861" s="637">
        <f t="shared" si="229"/>
        <v>1.522063492063493</v>
      </c>
    </row>
    <row r="6862" spans="1:5">
      <c r="A6862">
        <v>101313</v>
      </c>
      <c r="B6862">
        <v>1800</v>
      </c>
      <c r="C6862" s="455">
        <v>8.5079999999999991</v>
      </c>
      <c r="D6862" s="637">
        <f t="shared" si="228"/>
        <v>21.810190476190478</v>
      </c>
      <c r="E6862" s="637">
        <f t="shared" si="229"/>
        <v>29.035238095238114</v>
      </c>
    </row>
    <row r="6863" spans="1:5">
      <c r="A6863">
        <v>101313</v>
      </c>
      <c r="B6863">
        <v>1900</v>
      </c>
      <c r="C6863" s="455">
        <v>9.8239999999999998</v>
      </c>
      <c r="D6863" s="637">
        <f t="shared" si="228"/>
        <v>25.183746031746036</v>
      </c>
      <c r="E6863" s="637">
        <f t="shared" si="229"/>
        <v>33.526349206349231</v>
      </c>
    </row>
    <row r="6864" spans="1:5">
      <c r="A6864">
        <v>101313</v>
      </c>
      <c r="B6864">
        <v>2000</v>
      </c>
      <c r="C6864" s="455">
        <v>10.007999999999999</v>
      </c>
      <c r="D6864" s="637">
        <f t="shared" si="228"/>
        <v>25.655428571428576</v>
      </c>
      <c r="E6864" s="637">
        <f t="shared" si="229"/>
        <v>34.154285714285734</v>
      </c>
    </row>
    <row r="6865" spans="1:5">
      <c r="A6865">
        <v>101313</v>
      </c>
      <c r="B6865">
        <v>2100</v>
      </c>
      <c r="C6865" s="455">
        <v>10.018000000000001</v>
      </c>
      <c r="D6865" s="637">
        <f t="shared" si="228"/>
        <v>25.681063492063497</v>
      </c>
      <c r="E6865" s="637">
        <f t="shared" si="229"/>
        <v>34.188412698412719</v>
      </c>
    </row>
    <row r="6866" spans="1:5">
      <c r="A6866">
        <v>101313</v>
      </c>
      <c r="B6866">
        <v>2200</v>
      </c>
      <c r="C6866" s="455">
        <v>10.239000000000001</v>
      </c>
      <c r="D6866" s="637">
        <f t="shared" si="228"/>
        <v>26.247595238095247</v>
      </c>
      <c r="E6866" s="637">
        <f t="shared" si="229"/>
        <v>34.942619047619075</v>
      </c>
    </row>
    <row r="6867" spans="1:5">
      <c r="A6867">
        <v>101313</v>
      </c>
      <c r="B6867">
        <v>2300</v>
      </c>
      <c r="C6867" s="455">
        <v>10.028</v>
      </c>
      <c r="D6867" s="637">
        <f t="shared" si="228"/>
        <v>25.706698412698419</v>
      </c>
      <c r="E6867" s="637">
        <f t="shared" si="229"/>
        <v>34.222539682539711</v>
      </c>
    </row>
    <row r="6868" spans="1:5">
      <c r="A6868">
        <v>101313</v>
      </c>
      <c r="B6868">
        <v>2400</v>
      </c>
      <c r="C6868" s="455">
        <v>10.92</v>
      </c>
      <c r="D6868" s="637">
        <f t="shared" si="228"/>
        <v>27.993333333333339</v>
      </c>
      <c r="E6868" s="637">
        <f t="shared" si="229"/>
        <v>37.266666666666694</v>
      </c>
    </row>
    <row r="6869" spans="1:5">
      <c r="A6869">
        <v>101413</v>
      </c>
      <c r="B6869">
        <v>100</v>
      </c>
      <c r="C6869" s="455">
        <v>10.829000000000001</v>
      </c>
      <c r="D6869" s="637">
        <f t="shared" si="228"/>
        <v>27.76005555555556</v>
      </c>
      <c r="E6869" s="637">
        <f t="shared" si="229"/>
        <v>36.956111111111134</v>
      </c>
    </row>
    <row r="6870" spans="1:5">
      <c r="A6870">
        <v>101413</v>
      </c>
      <c r="B6870">
        <v>200</v>
      </c>
      <c r="C6870" s="455">
        <v>10.493</v>
      </c>
      <c r="D6870" s="637">
        <f t="shared" si="228"/>
        <v>26.898722222222229</v>
      </c>
      <c r="E6870" s="637">
        <f t="shared" si="229"/>
        <v>35.809444444444473</v>
      </c>
    </row>
    <row r="6871" spans="1:5">
      <c r="A6871">
        <v>101413</v>
      </c>
      <c r="B6871">
        <v>300</v>
      </c>
      <c r="C6871" s="455">
        <v>10.928000000000001</v>
      </c>
      <c r="D6871" s="637">
        <f t="shared" si="228"/>
        <v>28.013841269841279</v>
      </c>
      <c r="E6871" s="637">
        <f t="shared" si="229"/>
        <v>37.293968253968281</v>
      </c>
    </row>
    <row r="6872" spans="1:5">
      <c r="A6872">
        <v>101413</v>
      </c>
      <c r="B6872">
        <v>400</v>
      </c>
      <c r="C6872" s="455">
        <v>11.164</v>
      </c>
      <c r="D6872" s="637">
        <f t="shared" si="228"/>
        <v>28.6188253968254</v>
      </c>
      <c r="E6872" s="637">
        <f t="shared" si="229"/>
        <v>38.099365079365107</v>
      </c>
    </row>
    <row r="6873" spans="1:5">
      <c r="A6873">
        <v>101413</v>
      </c>
      <c r="B6873">
        <v>500</v>
      </c>
      <c r="C6873" s="455">
        <v>11.396000000000001</v>
      </c>
      <c r="D6873" s="637">
        <f t="shared" si="228"/>
        <v>29.213555555555562</v>
      </c>
      <c r="E6873" s="637">
        <f t="shared" si="229"/>
        <v>38.891111111111137</v>
      </c>
    </row>
    <row r="6874" spans="1:5">
      <c r="A6874">
        <v>101413</v>
      </c>
      <c r="B6874">
        <v>600</v>
      </c>
      <c r="C6874" s="455">
        <v>11.135999999999999</v>
      </c>
      <c r="D6874" s="637">
        <f t="shared" si="228"/>
        <v>28.547047619047621</v>
      </c>
      <c r="E6874" s="637">
        <f t="shared" si="229"/>
        <v>38.003809523809544</v>
      </c>
    </row>
    <row r="6875" spans="1:5">
      <c r="A6875">
        <v>101413</v>
      </c>
      <c r="B6875">
        <v>700</v>
      </c>
      <c r="C6875" s="455">
        <v>8.8339999999999996</v>
      </c>
      <c r="D6875" s="637">
        <f t="shared" si="228"/>
        <v>22.645888888888891</v>
      </c>
      <c r="E6875" s="637">
        <f t="shared" si="229"/>
        <v>30.147777777777794</v>
      </c>
    </row>
    <row r="6876" spans="1:5">
      <c r="A6876">
        <v>101413</v>
      </c>
      <c r="B6876">
        <v>800</v>
      </c>
      <c r="C6876" s="455">
        <v>0.435</v>
      </c>
      <c r="D6876" s="637">
        <f t="shared" si="228"/>
        <v>1.1151190476190478</v>
      </c>
      <c r="E6876" s="637">
        <f t="shared" si="229"/>
        <v>1.4845238095238105</v>
      </c>
    </row>
    <row r="6877" spans="1:5">
      <c r="A6877">
        <v>101413</v>
      </c>
      <c r="B6877">
        <v>900</v>
      </c>
      <c r="C6877" s="455">
        <v>0.54</v>
      </c>
      <c r="D6877" s="637">
        <f t="shared" si="228"/>
        <v>1.3842857142857146</v>
      </c>
      <c r="E6877" s="637">
        <f t="shared" si="229"/>
        <v>1.8428571428571441</v>
      </c>
    </row>
    <row r="6878" spans="1:5">
      <c r="A6878">
        <v>101413</v>
      </c>
      <c r="B6878">
        <v>1000</v>
      </c>
      <c r="C6878" s="455">
        <v>0.432</v>
      </c>
      <c r="D6878" s="637">
        <f t="shared" ref="D6878:D6941" si="230">(C6878/(MAX($C$6557:$C$7300)))*$W$14</f>
        <v>1.1074285714285717</v>
      </c>
      <c r="E6878" s="637">
        <f t="shared" ref="E6878:E6941" si="231">(C6878/(MAX($C$6557:$C$7300)))*$P$14</f>
        <v>1.4742857142857151</v>
      </c>
    </row>
    <row r="6879" spans="1:5">
      <c r="A6879">
        <v>101413</v>
      </c>
      <c r="B6879">
        <v>1100</v>
      </c>
      <c r="C6879" s="455">
        <v>0.432</v>
      </c>
      <c r="D6879" s="637">
        <f t="shared" si="230"/>
        <v>1.1074285714285717</v>
      </c>
      <c r="E6879" s="637">
        <f t="shared" si="231"/>
        <v>1.4742857142857151</v>
      </c>
    </row>
    <row r="6880" spans="1:5">
      <c r="A6880">
        <v>101413</v>
      </c>
      <c r="B6880">
        <v>1200</v>
      </c>
      <c r="C6880" s="455">
        <v>0.54</v>
      </c>
      <c r="D6880" s="637">
        <f t="shared" si="230"/>
        <v>1.3842857142857146</v>
      </c>
      <c r="E6880" s="637">
        <f t="shared" si="231"/>
        <v>1.8428571428571441</v>
      </c>
    </row>
    <row r="6881" spans="1:5">
      <c r="A6881">
        <v>101413</v>
      </c>
      <c r="B6881">
        <v>1300</v>
      </c>
      <c r="C6881" s="455">
        <v>0.432</v>
      </c>
      <c r="D6881" s="637">
        <f t="shared" si="230"/>
        <v>1.1074285714285717</v>
      </c>
      <c r="E6881" s="637">
        <f t="shared" si="231"/>
        <v>1.4742857142857151</v>
      </c>
    </row>
    <row r="6882" spans="1:5">
      <c r="A6882">
        <v>101413</v>
      </c>
      <c r="B6882">
        <v>1400</v>
      </c>
      <c r="C6882" s="455">
        <v>0.432</v>
      </c>
      <c r="D6882" s="637">
        <f t="shared" si="230"/>
        <v>1.1074285714285717</v>
      </c>
      <c r="E6882" s="637">
        <f t="shared" si="231"/>
        <v>1.4742857142857151</v>
      </c>
    </row>
    <row r="6883" spans="1:5">
      <c r="A6883">
        <v>101413</v>
      </c>
      <c r="B6883">
        <v>1500</v>
      </c>
      <c r="C6883" s="455">
        <v>0.54</v>
      </c>
      <c r="D6883" s="637">
        <f t="shared" si="230"/>
        <v>1.3842857142857146</v>
      </c>
      <c r="E6883" s="637">
        <f t="shared" si="231"/>
        <v>1.8428571428571441</v>
      </c>
    </row>
    <row r="6884" spans="1:5">
      <c r="A6884">
        <v>101413</v>
      </c>
      <c r="B6884">
        <v>1600</v>
      </c>
      <c r="C6884" s="455">
        <v>0.432</v>
      </c>
      <c r="D6884" s="637">
        <f t="shared" si="230"/>
        <v>1.1074285714285717</v>
      </c>
      <c r="E6884" s="637">
        <f t="shared" si="231"/>
        <v>1.4742857142857151</v>
      </c>
    </row>
    <row r="6885" spans="1:5">
      <c r="A6885">
        <v>101413</v>
      </c>
      <c r="B6885">
        <v>1700</v>
      </c>
      <c r="C6885" s="455">
        <v>0.54100000000000004</v>
      </c>
      <c r="D6885" s="637">
        <f t="shared" si="230"/>
        <v>1.3868492063492068</v>
      </c>
      <c r="E6885" s="637">
        <f t="shared" si="231"/>
        <v>1.8462698412698428</v>
      </c>
    </row>
    <row r="6886" spans="1:5">
      <c r="A6886">
        <v>101413</v>
      </c>
      <c r="B6886">
        <v>1800</v>
      </c>
      <c r="C6886" s="455">
        <v>7.8029999999999999</v>
      </c>
      <c r="D6886" s="637">
        <f t="shared" si="230"/>
        <v>20.002928571428573</v>
      </c>
      <c r="E6886" s="637">
        <f t="shared" si="231"/>
        <v>26.629285714285732</v>
      </c>
    </row>
    <row r="6887" spans="1:5">
      <c r="A6887">
        <v>101413</v>
      </c>
      <c r="B6887">
        <v>1900</v>
      </c>
      <c r="C6887" s="455">
        <v>9.8699999999999992</v>
      </c>
      <c r="D6887" s="637">
        <f t="shared" si="230"/>
        <v>25.301666666666669</v>
      </c>
      <c r="E6887" s="637">
        <f t="shared" si="231"/>
        <v>33.683333333333358</v>
      </c>
    </row>
    <row r="6888" spans="1:5">
      <c r="A6888">
        <v>101413</v>
      </c>
      <c r="B6888">
        <v>2000</v>
      </c>
      <c r="C6888" s="455">
        <v>10.308999999999999</v>
      </c>
      <c r="D6888" s="637">
        <f t="shared" si="230"/>
        <v>26.427039682539686</v>
      </c>
      <c r="E6888" s="637">
        <f t="shared" si="231"/>
        <v>35.181507936507955</v>
      </c>
    </row>
    <row r="6889" spans="1:5">
      <c r="A6889">
        <v>101413</v>
      </c>
      <c r="B6889">
        <v>2100</v>
      </c>
      <c r="C6889" s="455">
        <v>10.082000000000001</v>
      </c>
      <c r="D6889" s="637">
        <f t="shared" si="230"/>
        <v>25.845126984126988</v>
      </c>
      <c r="E6889" s="637">
        <f t="shared" si="231"/>
        <v>34.406825396825425</v>
      </c>
    </row>
    <row r="6890" spans="1:5">
      <c r="A6890">
        <v>101413</v>
      </c>
      <c r="B6890">
        <v>2200</v>
      </c>
      <c r="C6890" s="455">
        <v>10.518000000000001</v>
      </c>
      <c r="D6890" s="637">
        <f t="shared" si="230"/>
        <v>26.962809523809529</v>
      </c>
      <c r="E6890" s="637">
        <f t="shared" si="231"/>
        <v>35.894761904761928</v>
      </c>
    </row>
    <row r="6891" spans="1:5">
      <c r="A6891">
        <v>101413</v>
      </c>
      <c r="B6891">
        <v>2300</v>
      </c>
      <c r="C6891" s="455">
        <v>10.885</v>
      </c>
      <c r="D6891" s="637">
        <f t="shared" si="230"/>
        <v>27.903611111111115</v>
      </c>
      <c r="E6891" s="637">
        <f t="shared" si="231"/>
        <v>37.147222222222247</v>
      </c>
    </row>
    <row r="6892" spans="1:5">
      <c r="A6892">
        <v>101413</v>
      </c>
      <c r="B6892">
        <v>2400</v>
      </c>
      <c r="C6892" s="455">
        <v>10.461</v>
      </c>
      <c r="D6892" s="637">
        <f t="shared" si="230"/>
        <v>26.816690476190484</v>
      </c>
      <c r="E6892" s="637">
        <f t="shared" si="231"/>
        <v>35.70023809523812</v>
      </c>
    </row>
    <row r="6893" spans="1:5">
      <c r="A6893">
        <v>101513</v>
      </c>
      <c r="B6893">
        <v>100</v>
      </c>
      <c r="C6893" s="455">
        <v>10.673</v>
      </c>
      <c r="D6893" s="637">
        <f t="shared" si="230"/>
        <v>27.360150793650799</v>
      </c>
      <c r="E6893" s="637">
        <f t="shared" si="231"/>
        <v>36.423730158730187</v>
      </c>
    </row>
    <row r="6894" spans="1:5">
      <c r="A6894">
        <v>101513</v>
      </c>
      <c r="B6894">
        <v>200</v>
      </c>
      <c r="C6894" s="455">
        <v>10.840999999999999</v>
      </c>
      <c r="D6894" s="637">
        <f t="shared" si="230"/>
        <v>27.790817460317463</v>
      </c>
      <c r="E6894" s="637">
        <f t="shared" si="231"/>
        <v>36.997063492063511</v>
      </c>
    </row>
    <row r="6895" spans="1:5">
      <c r="A6895">
        <v>101513</v>
      </c>
      <c r="B6895">
        <v>300</v>
      </c>
      <c r="C6895" s="455">
        <v>11.111000000000001</v>
      </c>
      <c r="D6895" s="637">
        <f t="shared" si="230"/>
        <v>28.482960317460325</v>
      </c>
      <c r="E6895" s="637">
        <f t="shared" si="231"/>
        <v>37.918492063492089</v>
      </c>
    </row>
    <row r="6896" spans="1:5">
      <c r="A6896">
        <v>101513</v>
      </c>
      <c r="B6896">
        <v>400</v>
      </c>
      <c r="C6896" s="455">
        <v>11.143000000000001</v>
      </c>
      <c r="D6896" s="637">
        <f t="shared" si="230"/>
        <v>28.564992063492067</v>
      </c>
      <c r="E6896" s="637">
        <f t="shared" si="231"/>
        <v>38.027698412698442</v>
      </c>
    </row>
    <row r="6897" spans="1:5">
      <c r="A6897">
        <v>101513</v>
      </c>
      <c r="B6897">
        <v>500</v>
      </c>
      <c r="C6897" s="455">
        <v>10.808999999999999</v>
      </c>
      <c r="D6897" s="637">
        <f t="shared" si="230"/>
        <v>27.708785714285717</v>
      </c>
      <c r="E6897" s="637">
        <f t="shared" si="231"/>
        <v>36.887857142857165</v>
      </c>
    </row>
    <row r="6898" spans="1:5">
      <c r="A6898">
        <v>101513</v>
      </c>
      <c r="B6898">
        <v>600</v>
      </c>
      <c r="C6898" s="455">
        <v>11.055999999999999</v>
      </c>
      <c r="D6898" s="637">
        <f t="shared" si="230"/>
        <v>28.341968253968258</v>
      </c>
      <c r="E6898" s="637">
        <f t="shared" si="231"/>
        <v>37.730793650793672</v>
      </c>
    </row>
    <row r="6899" spans="1:5">
      <c r="A6899">
        <v>101513</v>
      </c>
      <c r="B6899">
        <v>700</v>
      </c>
      <c r="C6899" s="455">
        <v>9.4540000000000006</v>
      </c>
      <c r="D6899" s="637">
        <f t="shared" si="230"/>
        <v>24.235253968253975</v>
      </c>
      <c r="E6899" s="637">
        <f t="shared" si="231"/>
        <v>32.263650793650818</v>
      </c>
    </row>
    <row r="6900" spans="1:5">
      <c r="A6900">
        <v>101513</v>
      </c>
      <c r="B6900">
        <v>800</v>
      </c>
      <c r="C6900" s="455">
        <v>0.32700000000000001</v>
      </c>
      <c r="D6900" s="637">
        <f t="shared" si="230"/>
        <v>0.83826190476190499</v>
      </c>
      <c r="E6900" s="637">
        <f t="shared" si="231"/>
        <v>1.1159523809523817</v>
      </c>
    </row>
    <row r="6901" spans="1:5">
      <c r="A6901">
        <v>101513</v>
      </c>
      <c r="B6901">
        <v>900</v>
      </c>
      <c r="C6901" s="455">
        <v>0.432</v>
      </c>
      <c r="D6901" s="637">
        <f t="shared" si="230"/>
        <v>1.1074285714285717</v>
      </c>
      <c r="E6901" s="637">
        <f t="shared" si="231"/>
        <v>1.4742857142857151</v>
      </c>
    </row>
    <row r="6902" spans="1:5">
      <c r="A6902">
        <v>101513</v>
      </c>
      <c r="B6902">
        <v>1000</v>
      </c>
      <c r="C6902" s="455">
        <v>0.432</v>
      </c>
      <c r="D6902" s="637">
        <f t="shared" si="230"/>
        <v>1.1074285714285717</v>
      </c>
      <c r="E6902" s="637">
        <f t="shared" si="231"/>
        <v>1.4742857142857151</v>
      </c>
    </row>
    <row r="6903" spans="1:5">
      <c r="A6903">
        <v>101513</v>
      </c>
      <c r="B6903">
        <v>1100</v>
      </c>
      <c r="C6903" s="455">
        <v>0.32400000000000001</v>
      </c>
      <c r="D6903" s="637">
        <f t="shared" si="230"/>
        <v>0.83057142857142874</v>
      </c>
      <c r="E6903" s="637">
        <f t="shared" si="231"/>
        <v>1.1057142857142865</v>
      </c>
    </row>
    <row r="6904" spans="1:5">
      <c r="A6904">
        <v>101513</v>
      </c>
      <c r="B6904">
        <v>1200</v>
      </c>
      <c r="C6904" s="455">
        <v>0.432</v>
      </c>
      <c r="D6904" s="637">
        <f t="shared" si="230"/>
        <v>1.1074285714285717</v>
      </c>
      <c r="E6904" s="637">
        <f t="shared" si="231"/>
        <v>1.4742857142857151</v>
      </c>
    </row>
    <row r="6905" spans="1:5">
      <c r="A6905">
        <v>101513</v>
      </c>
      <c r="B6905">
        <v>1300</v>
      </c>
      <c r="C6905" s="455">
        <v>0.32400000000000001</v>
      </c>
      <c r="D6905" s="637">
        <f t="shared" si="230"/>
        <v>0.83057142857142874</v>
      </c>
      <c r="E6905" s="637">
        <f t="shared" si="231"/>
        <v>1.1057142857142865</v>
      </c>
    </row>
    <row r="6906" spans="1:5">
      <c r="A6906">
        <v>101513</v>
      </c>
      <c r="B6906">
        <v>1400</v>
      </c>
      <c r="C6906" s="455">
        <v>0.432</v>
      </c>
      <c r="D6906" s="637">
        <f t="shared" si="230"/>
        <v>1.1074285714285717</v>
      </c>
      <c r="E6906" s="637">
        <f t="shared" si="231"/>
        <v>1.4742857142857151</v>
      </c>
    </row>
    <row r="6907" spans="1:5">
      <c r="A6907">
        <v>101513</v>
      </c>
      <c r="B6907">
        <v>1500</v>
      </c>
      <c r="C6907" s="455">
        <v>0.432</v>
      </c>
      <c r="D6907" s="637">
        <f t="shared" si="230"/>
        <v>1.1074285714285717</v>
      </c>
      <c r="E6907" s="637">
        <f t="shared" si="231"/>
        <v>1.4742857142857151</v>
      </c>
    </row>
    <row r="6908" spans="1:5">
      <c r="A6908">
        <v>101513</v>
      </c>
      <c r="B6908">
        <v>1600</v>
      </c>
      <c r="C6908" s="455">
        <v>0.108</v>
      </c>
      <c r="D6908" s="637">
        <f t="shared" si="230"/>
        <v>0.27685714285714291</v>
      </c>
      <c r="E6908" s="637">
        <f t="shared" si="231"/>
        <v>0.36857142857142877</v>
      </c>
    </row>
    <row r="6909" spans="1:5">
      <c r="A6909">
        <v>101513</v>
      </c>
      <c r="B6909">
        <v>1700</v>
      </c>
      <c r="C6909" s="455">
        <v>5.1999999999999998E-2</v>
      </c>
      <c r="D6909" s="637">
        <f t="shared" si="230"/>
        <v>0.13330158730158731</v>
      </c>
      <c r="E6909" s="637">
        <f t="shared" si="231"/>
        <v>0.17746031746031757</v>
      </c>
    </row>
    <row r="6910" spans="1:5">
      <c r="A6910">
        <v>101513</v>
      </c>
      <c r="B6910">
        <v>1800</v>
      </c>
      <c r="C6910" s="455">
        <v>12.054</v>
      </c>
      <c r="D6910" s="637">
        <f t="shared" si="230"/>
        <v>30.900333333333339</v>
      </c>
      <c r="E6910" s="637">
        <f t="shared" si="231"/>
        <v>41.136666666666692</v>
      </c>
    </row>
    <row r="6911" spans="1:5">
      <c r="A6911">
        <v>101513</v>
      </c>
      <c r="B6911">
        <v>1900</v>
      </c>
      <c r="C6911" s="455">
        <v>9.827</v>
      </c>
      <c r="D6911" s="637">
        <f t="shared" si="230"/>
        <v>25.191436507936512</v>
      </c>
      <c r="E6911" s="637">
        <f t="shared" si="231"/>
        <v>33.536587301587325</v>
      </c>
    </row>
    <row r="6912" spans="1:5">
      <c r="A6912">
        <v>101513</v>
      </c>
      <c r="B6912">
        <v>2000</v>
      </c>
      <c r="C6912" s="455">
        <v>9.9619999999999997</v>
      </c>
      <c r="D6912" s="637">
        <f t="shared" si="230"/>
        <v>25.537507936507939</v>
      </c>
      <c r="E6912" s="637">
        <f t="shared" si="231"/>
        <v>33.997301587301607</v>
      </c>
    </row>
    <row r="6913" spans="1:5">
      <c r="A6913">
        <v>101513</v>
      </c>
      <c r="B6913">
        <v>2100</v>
      </c>
      <c r="C6913" s="455">
        <v>10.288</v>
      </c>
      <c r="D6913" s="637">
        <f t="shared" si="230"/>
        <v>26.373206349206356</v>
      </c>
      <c r="E6913" s="637">
        <f t="shared" si="231"/>
        <v>35.109841269841297</v>
      </c>
    </row>
    <row r="6914" spans="1:5">
      <c r="A6914">
        <v>101513</v>
      </c>
      <c r="B6914">
        <v>2200</v>
      </c>
      <c r="C6914" s="455">
        <v>9.8620000000000001</v>
      </c>
      <c r="D6914" s="637">
        <f t="shared" si="230"/>
        <v>25.281158730158733</v>
      </c>
      <c r="E6914" s="637">
        <f t="shared" si="231"/>
        <v>33.656031746031772</v>
      </c>
    </row>
    <row r="6915" spans="1:5">
      <c r="A6915">
        <v>101513</v>
      </c>
      <c r="B6915">
        <v>2300</v>
      </c>
      <c r="C6915" s="455">
        <v>9.9280000000000008</v>
      </c>
      <c r="D6915" s="637">
        <f t="shared" si="230"/>
        <v>25.450349206349212</v>
      </c>
      <c r="E6915" s="637">
        <f t="shared" si="231"/>
        <v>33.881269841269869</v>
      </c>
    </row>
    <row r="6916" spans="1:5">
      <c r="A6916">
        <v>101513</v>
      </c>
      <c r="B6916">
        <v>2400</v>
      </c>
      <c r="C6916" s="455">
        <v>9.8879999999999999</v>
      </c>
      <c r="D6916" s="637">
        <f t="shared" si="230"/>
        <v>25.347809523809531</v>
      </c>
      <c r="E6916" s="637">
        <f t="shared" si="231"/>
        <v>33.74476190476193</v>
      </c>
    </row>
    <row r="6917" spans="1:5">
      <c r="A6917">
        <v>101613</v>
      </c>
      <c r="B6917">
        <v>100</v>
      </c>
      <c r="C6917" s="455">
        <v>10.27</v>
      </c>
      <c r="D6917" s="637">
        <f t="shared" si="230"/>
        <v>26.327063492063498</v>
      </c>
      <c r="E6917" s="637">
        <f t="shared" si="231"/>
        <v>35.048412698412726</v>
      </c>
    </row>
    <row r="6918" spans="1:5">
      <c r="A6918">
        <v>101613</v>
      </c>
      <c r="B6918">
        <v>200</v>
      </c>
      <c r="C6918" s="455">
        <v>9.9420000000000002</v>
      </c>
      <c r="D6918" s="637">
        <f t="shared" si="230"/>
        <v>25.4862380952381</v>
      </c>
      <c r="E6918" s="637">
        <f t="shared" si="231"/>
        <v>33.929047619047644</v>
      </c>
    </row>
    <row r="6919" spans="1:5">
      <c r="A6919">
        <v>101613</v>
      </c>
      <c r="B6919">
        <v>300</v>
      </c>
      <c r="C6919" s="455">
        <v>10.821</v>
      </c>
      <c r="D6919" s="637">
        <f t="shared" si="230"/>
        <v>27.73954761904762</v>
      </c>
      <c r="E6919" s="637">
        <f t="shared" si="231"/>
        <v>36.928809523809548</v>
      </c>
    </row>
    <row r="6920" spans="1:5">
      <c r="A6920">
        <v>101613</v>
      </c>
      <c r="B6920">
        <v>400</v>
      </c>
      <c r="C6920" s="455">
        <v>10.861000000000001</v>
      </c>
      <c r="D6920" s="637">
        <f t="shared" si="230"/>
        <v>27.842087301587309</v>
      </c>
      <c r="E6920" s="637">
        <f t="shared" si="231"/>
        <v>37.065317460317488</v>
      </c>
    </row>
    <row r="6921" spans="1:5">
      <c r="A6921">
        <v>101613</v>
      </c>
      <c r="B6921">
        <v>500</v>
      </c>
      <c r="C6921" s="455">
        <v>10.554</v>
      </c>
      <c r="D6921" s="637">
        <f t="shared" si="230"/>
        <v>27.055095238095241</v>
      </c>
      <c r="E6921" s="637">
        <f t="shared" si="231"/>
        <v>36.017619047619071</v>
      </c>
    </row>
    <row r="6922" spans="1:5">
      <c r="A6922">
        <v>101613</v>
      </c>
      <c r="B6922">
        <v>600</v>
      </c>
      <c r="C6922" s="455">
        <v>10.515000000000001</v>
      </c>
      <c r="D6922" s="637">
        <f t="shared" si="230"/>
        <v>26.955119047619053</v>
      </c>
      <c r="E6922" s="637">
        <f t="shared" si="231"/>
        <v>35.884523809523834</v>
      </c>
    </row>
    <row r="6923" spans="1:5">
      <c r="A6923">
        <v>101613</v>
      </c>
      <c r="B6923">
        <v>700</v>
      </c>
      <c r="C6923" s="455">
        <v>10.414999999999999</v>
      </c>
      <c r="D6923" s="637">
        <f t="shared" si="230"/>
        <v>26.698769841269844</v>
      </c>
      <c r="E6923" s="637">
        <f t="shared" si="231"/>
        <v>35.543253968253993</v>
      </c>
    </row>
    <row r="6924" spans="1:5">
      <c r="A6924">
        <v>101613</v>
      </c>
      <c r="B6924">
        <v>800</v>
      </c>
      <c r="C6924" s="455">
        <v>1.0999999999999999E-2</v>
      </c>
      <c r="D6924" s="637">
        <f t="shared" si="230"/>
        <v>2.8198412698412702E-2</v>
      </c>
      <c r="E6924" s="637">
        <f t="shared" si="231"/>
        <v>3.7539682539682567E-2</v>
      </c>
    </row>
    <row r="6925" spans="1:5">
      <c r="A6925">
        <v>101613</v>
      </c>
      <c r="B6925">
        <v>900</v>
      </c>
      <c r="C6925" s="455">
        <v>0</v>
      </c>
      <c r="D6925" s="637">
        <f t="shared" si="230"/>
        <v>0</v>
      </c>
      <c r="E6925" s="637">
        <f t="shared" si="231"/>
        <v>0</v>
      </c>
    </row>
    <row r="6926" spans="1:5">
      <c r="A6926">
        <v>101613</v>
      </c>
      <c r="B6926">
        <v>1000</v>
      </c>
      <c r="C6926" s="455">
        <v>1E-3</v>
      </c>
      <c r="D6926" s="637">
        <f t="shared" si="230"/>
        <v>2.5634920634920642E-3</v>
      </c>
      <c r="E6926" s="637">
        <f t="shared" si="231"/>
        <v>3.4126984126984154E-3</v>
      </c>
    </row>
    <row r="6927" spans="1:5">
      <c r="A6927">
        <v>101613</v>
      </c>
      <c r="B6927">
        <v>1100</v>
      </c>
      <c r="C6927" s="455">
        <v>0</v>
      </c>
      <c r="D6927" s="637">
        <f t="shared" si="230"/>
        <v>0</v>
      </c>
      <c r="E6927" s="637">
        <f t="shared" si="231"/>
        <v>0</v>
      </c>
    </row>
    <row r="6928" spans="1:5">
      <c r="A6928">
        <v>101613</v>
      </c>
      <c r="B6928">
        <v>1200</v>
      </c>
      <c r="C6928" s="455">
        <v>0</v>
      </c>
      <c r="D6928" s="637">
        <f t="shared" si="230"/>
        <v>0</v>
      </c>
      <c r="E6928" s="637">
        <f t="shared" si="231"/>
        <v>0</v>
      </c>
    </row>
    <row r="6929" spans="1:5">
      <c r="A6929">
        <v>101613</v>
      </c>
      <c r="B6929">
        <v>1300</v>
      </c>
      <c r="C6929" s="455">
        <v>0</v>
      </c>
      <c r="D6929" s="637">
        <f t="shared" si="230"/>
        <v>0</v>
      </c>
      <c r="E6929" s="637">
        <f t="shared" si="231"/>
        <v>0</v>
      </c>
    </row>
    <row r="6930" spans="1:5">
      <c r="A6930">
        <v>101613</v>
      </c>
      <c r="B6930">
        <v>1400</v>
      </c>
      <c r="C6930" s="455">
        <v>0</v>
      </c>
      <c r="D6930" s="637">
        <f t="shared" si="230"/>
        <v>0</v>
      </c>
      <c r="E6930" s="637">
        <f t="shared" si="231"/>
        <v>0</v>
      </c>
    </row>
    <row r="6931" spans="1:5">
      <c r="A6931">
        <v>101613</v>
      </c>
      <c r="B6931">
        <v>1500</v>
      </c>
      <c r="C6931" s="455">
        <v>0</v>
      </c>
      <c r="D6931" s="637">
        <f t="shared" si="230"/>
        <v>0</v>
      </c>
      <c r="E6931" s="637">
        <f t="shared" si="231"/>
        <v>0</v>
      </c>
    </row>
    <row r="6932" spans="1:5">
      <c r="A6932">
        <v>101613</v>
      </c>
      <c r="B6932">
        <v>1600</v>
      </c>
      <c r="C6932" s="455">
        <v>0</v>
      </c>
      <c r="D6932" s="637">
        <f t="shared" si="230"/>
        <v>0</v>
      </c>
      <c r="E6932" s="637">
        <f t="shared" si="231"/>
        <v>0</v>
      </c>
    </row>
    <row r="6933" spans="1:5">
      <c r="A6933">
        <v>101613</v>
      </c>
      <c r="B6933">
        <v>1700</v>
      </c>
      <c r="C6933" s="455">
        <v>0</v>
      </c>
      <c r="D6933" s="637">
        <f t="shared" si="230"/>
        <v>0</v>
      </c>
      <c r="E6933" s="637">
        <f t="shared" si="231"/>
        <v>0</v>
      </c>
    </row>
    <row r="6934" spans="1:5">
      <c r="A6934">
        <v>101613</v>
      </c>
      <c r="B6934">
        <v>1800</v>
      </c>
      <c r="C6934" s="455">
        <v>7.016</v>
      </c>
      <c r="D6934" s="637">
        <f t="shared" si="230"/>
        <v>17.985460317460323</v>
      </c>
      <c r="E6934" s="637">
        <f t="shared" si="231"/>
        <v>23.943492063492084</v>
      </c>
    </row>
    <row r="6935" spans="1:5">
      <c r="A6935">
        <v>101613</v>
      </c>
      <c r="B6935">
        <v>1900</v>
      </c>
      <c r="C6935" s="455">
        <v>9.85</v>
      </c>
      <c r="D6935" s="637">
        <f t="shared" si="230"/>
        <v>25.25039682539683</v>
      </c>
      <c r="E6935" s="637">
        <f t="shared" si="231"/>
        <v>33.615079365079389</v>
      </c>
    </row>
    <row r="6936" spans="1:5">
      <c r="A6936">
        <v>101613</v>
      </c>
      <c r="B6936">
        <v>2000</v>
      </c>
      <c r="C6936" s="455">
        <v>10.038</v>
      </c>
      <c r="D6936" s="637">
        <f t="shared" si="230"/>
        <v>25.732333333333337</v>
      </c>
      <c r="E6936" s="637">
        <f t="shared" si="231"/>
        <v>34.256666666666689</v>
      </c>
    </row>
    <row r="6937" spans="1:5">
      <c r="A6937">
        <v>101613</v>
      </c>
      <c r="B6937">
        <v>2100</v>
      </c>
      <c r="C6937" s="455">
        <v>10.013999999999999</v>
      </c>
      <c r="D6937" s="637">
        <f t="shared" si="230"/>
        <v>25.670809523809524</v>
      </c>
      <c r="E6937" s="637">
        <f t="shared" si="231"/>
        <v>34.174761904761922</v>
      </c>
    </row>
    <row r="6938" spans="1:5">
      <c r="A6938">
        <v>101613</v>
      </c>
      <c r="B6938">
        <v>2200</v>
      </c>
      <c r="C6938" s="455">
        <v>9.6980000000000004</v>
      </c>
      <c r="D6938" s="637">
        <f t="shared" si="230"/>
        <v>24.860746031746036</v>
      </c>
      <c r="E6938" s="637">
        <f t="shared" si="231"/>
        <v>33.096349206349231</v>
      </c>
    </row>
    <row r="6939" spans="1:5">
      <c r="A6939">
        <v>101613</v>
      </c>
      <c r="B6939">
        <v>2300</v>
      </c>
      <c r="C6939" s="455">
        <v>10.026999999999999</v>
      </c>
      <c r="D6939" s="637">
        <f t="shared" si="230"/>
        <v>25.704134920634921</v>
      </c>
      <c r="E6939" s="637">
        <f t="shared" si="231"/>
        <v>34.219126984127001</v>
      </c>
    </row>
    <row r="6940" spans="1:5">
      <c r="A6940">
        <v>101613</v>
      </c>
      <c r="B6940">
        <v>2400</v>
      </c>
      <c r="C6940" s="455">
        <v>10.101000000000001</v>
      </c>
      <c r="D6940" s="637">
        <f t="shared" si="230"/>
        <v>25.89383333333334</v>
      </c>
      <c r="E6940" s="637">
        <f t="shared" si="231"/>
        <v>34.471666666666692</v>
      </c>
    </row>
    <row r="6941" spans="1:5">
      <c r="A6941">
        <v>101713</v>
      </c>
      <c r="B6941">
        <v>100</v>
      </c>
      <c r="C6941" s="455">
        <v>10.403</v>
      </c>
      <c r="D6941" s="637">
        <f t="shared" si="230"/>
        <v>26.668007936507944</v>
      </c>
      <c r="E6941" s="637">
        <f t="shared" si="231"/>
        <v>35.502301587301616</v>
      </c>
    </row>
    <row r="6942" spans="1:5">
      <c r="A6942">
        <v>101713</v>
      </c>
      <c r="B6942">
        <v>200</v>
      </c>
      <c r="C6942" s="455">
        <v>10.220000000000001</v>
      </c>
      <c r="D6942" s="637">
        <f t="shared" ref="D6942:D7005" si="232">(C6942/(MAX($C$6557:$C$7300)))*$W$14</f>
        <v>26.198888888888895</v>
      </c>
      <c r="E6942" s="637">
        <f t="shared" ref="E6942:E7005" si="233">(C6942/(MAX($C$6557:$C$7300)))*$P$14</f>
        <v>34.877777777777801</v>
      </c>
    </row>
    <row r="6943" spans="1:5">
      <c r="A6943">
        <v>101713</v>
      </c>
      <c r="B6943">
        <v>300</v>
      </c>
      <c r="C6943" s="455">
        <v>10.333</v>
      </c>
      <c r="D6943" s="637">
        <f t="shared" si="232"/>
        <v>26.488563492063498</v>
      </c>
      <c r="E6943" s="637">
        <f t="shared" si="233"/>
        <v>35.263412698412722</v>
      </c>
    </row>
    <row r="6944" spans="1:5">
      <c r="A6944">
        <v>101713</v>
      </c>
      <c r="B6944">
        <v>400</v>
      </c>
      <c r="C6944" s="455">
        <v>10.875</v>
      </c>
      <c r="D6944" s="637">
        <f t="shared" si="232"/>
        <v>27.877976190476197</v>
      </c>
      <c r="E6944" s="637">
        <f t="shared" si="233"/>
        <v>37.113095238095262</v>
      </c>
    </row>
    <row r="6945" spans="1:5">
      <c r="A6945">
        <v>101713</v>
      </c>
      <c r="B6945">
        <v>500</v>
      </c>
      <c r="C6945" s="455">
        <v>10.326000000000001</v>
      </c>
      <c r="D6945" s="637">
        <f t="shared" si="232"/>
        <v>26.470619047619053</v>
      </c>
      <c r="E6945" s="637">
        <f t="shared" si="233"/>
        <v>35.239523809523838</v>
      </c>
    </row>
    <row r="6946" spans="1:5">
      <c r="A6946">
        <v>101713</v>
      </c>
      <c r="B6946">
        <v>600</v>
      </c>
      <c r="C6946" s="455">
        <v>10.523</v>
      </c>
      <c r="D6946" s="637">
        <f t="shared" si="232"/>
        <v>26.975626984126986</v>
      </c>
      <c r="E6946" s="637">
        <f t="shared" si="233"/>
        <v>35.911825396825421</v>
      </c>
    </row>
    <row r="6947" spans="1:5">
      <c r="A6947">
        <v>101713</v>
      </c>
      <c r="B6947">
        <v>700</v>
      </c>
      <c r="C6947" s="455">
        <v>8.6120000000000001</v>
      </c>
      <c r="D6947" s="637">
        <f t="shared" si="232"/>
        <v>22.076793650793658</v>
      </c>
      <c r="E6947" s="637">
        <f t="shared" si="233"/>
        <v>29.390158730158753</v>
      </c>
    </row>
    <row r="6948" spans="1:5">
      <c r="A6948">
        <v>101713</v>
      </c>
      <c r="B6948">
        <v>800</v>
      </c>
      <c r="C6948" s="455">
        <v>1.2999999999999999E-2</v>
      </c>
      <c r="D6948" s="637">
        <f t="shared" si="232"/>
        <v>3.3325396825396827E-2</v>
      </c>
      <c r="E6948" s="637">
        <f t="shared" si="233"/>
        <v>4.4365079365079392E-2</v>
      </c>
    </row>
    <row r="6949" spans="1:5">
      <c r="A6949">
        <v>101713</v>
      </c>
      <c r="B6949">
        <v>900</v>
      </c>
      <c r="C6949" s="455">
        <v>0</v>
      </c>
      <c r="D6949" s="637">
        <f t="shared" si="232"/>
        <v>0</v>
      </c>
      <c r="E6949" s="637">
        <f t="shared" si="233"/>
        <v>0</v>
      </c>
    </row>
    <row r="6950" spans="1:5">
      <c r="A6950">
        <v>101713</v>
      </c>
      <c r="B6950">
        <v>1000</v>
      </c>
      <c r="C6950" s="455">
        <v>0</v>
      </c>
      <c r="D6950" s="637">
        <f t="shared" si="232"/>
        <v>0</v>
      </c>
      <c r="E6950" s="637">
        <f t="shared" si="233"/>
        <v>0</v>
      </c>
    </row>
    <row r="6951" spans="1:5">
      <c r="A6951">
        <v>101713</v>
      </c>
      <c r="B6951">
        <v>1100</v>
      </c>
      <c r="C6951" s="455">
        <v>1E-3</v>
      </c>
      <c r="D6951" s="637">
        <f t="shared" si="232"/>
        <v>2.5634920634920642E-3</v>
      </c>
      <c r="E6951" s="637">
        <f t="shared" si="233"/>
        <v>3.4126984126984154E-3</v>
      </c>
    </row>
    <row r="6952" spans="1:5">
      <c r="A6952">
        <v>101713</v>
      </c>
      <c r="B6952">
        <v>1200</v>
      </c>
      <c r="C6952" s="455">
        <v>0</v>
      </c>
      <c r="D6952" s="637">
        <f t="shared" si="232"/>
        <v>0</v>
      </c>
      <c r="E6952" s="637">
        <f t="shared" si="233"/>
        <v>0</v>
      </c>
    </row>
    <row r="6953" spans="1:5">
      <c r="A6953">
        <v>101713</v>
      </c>
      <c r="B6953">
        <v>1300</v>
      </c>
      <c r="C6953" s="455">
        <v>1E-3</v>
      </c>
      <c r="D6953" s="637">
        <f t="shared" si="232"/>
        <v>2.5634920634920642E-3</v>
      </c>
      <c r="E6953" s="637">
        <f t="shared" si="233"/>
        <v>3.4126984126984154E-3</v>
      </c>
    </row>
    <row r="6954" spans="1:5">
      <c r="A6954">
        <v>101713</v>
      </c>
      <c r="B6954">
        <v>1400</v>
      </c>
      <c r="C6954" s="455">
        <v>0</v>
      </c>
      <c r="D6954" s="637">
        <f t="shared" si="232"/>
        <v>0</v>
      </c>
      <c r="E6954" s="637">
        <f t="shared" si="233"/>
        <v>0</v>
      </c>
    </row>
    <row r="6955" spans="1:5">
      <c r="A6955">
        <v>101713</v>
      </c>
      <c r="B6955">
        <v>1500</v>
      </c>
      <c r="C6955" s="455">
        <v>0</v>
      </c>
      <c r="D6955" s="637">
        <f t="shared" si="232"/>
        <v>0</v>
      </c>
      <c r="E6955" s="637">
        <f t="shared" si="233"/>
        <v>0</v>
      </c>
    </row>
    <row r="6956" spans="1:5">
      <c r="A6956">
        <v>101713</v>
      </c>
      <c r="B6956">
        <v>1600</v>
      </c>
      <c r="C6956" s="455">
        <v>0.373</v>
      </c>
      <c r="D6956" s="637">
        <f t="shared" si="232"/>
        <v>0.95618253968253986</v>
      </c>
      <c r="E6956" s="637">
        <f t="shared" si="233"/>
        <v>1.2729365079365087</v>
      </c>
    </row>
    <row r="6957" spans="1:5">
      <c r="A6957">
        <v>101713</v>
      </c>
      <c r="B6957">
        <v>1700</v>
      </c>
      <c r="C6957" s="455">
        <v>11.984</v>
      </c>
      <c r="D6957" s="637">
        <f t="shared" si="232"/>
        <v>30.720888888888894</v>
      </c>
      <c r="E6957" s="637">
        <f t="shared" si="233"/>
        <v>40.897777777777804</v>
      </c>
    </row>
    <row r="6958" spans="1:5">
      <c r="A6958">
        <v>101713</v>
      </c>
      <c r="B6958">
        <v>1800</v>
      </c>
      <c r="C6958" s="455">
        <v>11.901999999999999</v>
      </c>
      <c r="D6958" s="637">
        <f t="shared" si="232"/>
        <v>30.510682539682545</v>
      </c>
      <c r="E6958" s="637">
        <f t="shared" si="233"/>
        <v>40.617936507936534</v>
      </c>
    </row>
    <row r="6959" spans="1:5">
      <c r="A6959">
        <v>101713</v>
      </c>
      <c r="B6959">
        <v>1900</v>
      </c>
      <c r="C6959" s="455">
        <v>9.8719999999999999</v>
      </c>
      <c r="D6959" s="637">
        <f t="shared" si="232"/>
        <v>25.306793650793658</v>
      </c>
      <c r="E6959" s="637">
        <f t="shared" si="233"/>
        <v>33.690158730158757</v>
      </c>
    </row>
    <row r="6960" spans="1:5">
      <c r="A6960">
        <v>101713</v>
      </c>
      <c r="B6960">
        <v>2000</v>
      </c>
      <c r="C6960" s="455">
        <v>10.116</v>
      </c>
      <c r="D6960" s="637">
        <f t="shared" si="232"/>
        <v>25.932285714285715</v>
      </c>
      <c r="E6960" s="637">
        <f t="shared" si="233"/>
        <v>34.522857142857163</v>
      </c>
    </row>
    <row r="6961" spans="1:5">
      <c r="A6961">
        <v>101713</v>
      </c>
      <c r="B6961">
        <v>2100</v>
      </c>
      <c r="C6961" s="455">
        <v>9.9350000000000005</v>
      </c>
      <c r="D6961" s="637">
        <f t="shared" si="232"/>
        <v>25.468293650793658</v>
      </c>
      <c r="E6961" s="637">
        <f t="shared" si="233"/>
        <v>33.905158730158753</v>
      </c>
    </row>
    <row r="6962" spans="1:5">
      <c r="A6962">
        <v>101713</v>
      </c>
      <c r="B6962">
        <v>2200</v>
      </c>
      <c r="C6962" s="455">
        <v>10.534000000000001</v>
      </c>
      <c r="D6962" s="637">
        <f t="shared" si="232"/>
        <v>27.003825396825402</v>
      </c>
      <c r="E6962" s="637">
        <f t="shared" si="233"/>
        <v>35.949365079365101</v>
      </c>
    </row>
    <row r="6963" spans="1:5">
      <c r="A6963">
        <v>101713</v>
      </c>
      <c r="B6963">
        <v>2300</v>
      </c>
      <c r="C6963" s="455">
        <v>9.9629999999999992</v>
      </c>
      <c r="D6963" s="637">
        <f t="shared" si="232"/>
        <v>25.54007142857143</v>
      </c>
      <c r="E6963" s="637">
        <f t="shared" si="233"/>
        <v>34.000714285714302</v>
      </c>
    </row>
    <row r="6964" spans="1:5">
      <c r="A6964">
        <v>101713</v>
      </c>
      <c r="B6964">
        <v>2400</v>
      </c>
      <c r="C6964" s="455">
        <v>10.61</v>
      </c>
      <c r="D6964" s="637">
        <f t="shared" si="232"/>
        <v>27.198650793650799</v>
      </c>
      <c r="E6964" s="637">
        <f t="shared" si="233"/>
        <v>36.208730158730184</v>
      </c>
    </row>
    <row r="6965" spans="1:5">
      <c r="A6965">
        <v>101813</v>
      </c>
      <c r="B6965">
        <v>100</v>
      </c>
      <c r="C6965" s="455">
        <v>10.393000000000001</v>
      </c>
      <c r="D6965" s="637">
        <f t="shared" si="232"/>
        <v>26.642373015873023</v>
      </c>
      <c r="E6965" s="637">
        <f t="shared" si="233"/>
        <v>35.468174603174631</v>
      </c>
    </row>
    <row r="6966" spans="1:5">
      <c r="A6966">
        <v>101813</v>
      </c>
      <c r="B6966">
        <v>200</v>
      </c>
      <c r="C6966" s="455">
        <v>11.227</v>
      </c>
      <c r="D6966" s="637">
        <f t="shared" si="232"/>
        <v>28.7803253968254</v>
      </c>
      <c r="E6966" s="637">
        <f t="shared" si="233"/>
        <v>38.314365079365103</v>
      </c>
    </row>
    <row r="6967" spans="1:5">
      <c r="A6967">
        <v>101813</v>
      </c>
      <c r="B6967">
        <v>300</v>
      </c>
      <c r="C6967" s="455">
        <v>11.393000000000001</v>
      </c>
      <c r="D6967" s="637">
        <f t="shared" si="232"/>
        <v>29.205865079365086</v>
      </c>
      <c r="E6967" s="637">
        <f t="shared" si="233"/>
        <v>38.880873015873043</v>
      </c>
    </row>
    <row r="6968" spans="1:5">
      <c r="A6968">
        <v>101813</v>
      </c>
      <c r="B6968">
        <v>400</v>
      </c>
      <c r="C6968" s="455">
        <v>11.189</v>
      </c>
      <c r="D6968" s="637">
        <f t="shared" si="232"/>
        <v>28.682912698412704</v>
      </c>
      <c r="E6968" s="637">
        <f t="shared" si="233"/>
        <v>38.184682539682562</v>
      </c>
    </row>
    <row r="6969" spans="1:5">
      <c r="A6969">
        <v>101813</v>
      </c>
      <c r="B6969">
        <v>500</v>
      </c>
      <c r="C6969" s="455">
        <v>11.009</v>
      </c>
      <c r="D6969" s="637">
        <f t="shared" si="232"/>
        <v>28.221484126984134</v>
      </c>
      <c r="E6969" s="637">
        <f t="shared" si="233"/>
        <v>37.570396825396848</v>
      </c>
    </row>
    <row r="6970" spans="1:5">
      <c r="A6970">
        <v>101813</v>
      </c>
      <c r="B6970">
        <v>600</v>
      </c>
      <c r="C6970" s="455">
        <v>10.609</v>
      </c>
      <c r="D6970" s="637">
        <f t="shared" si="232"/>
        <v>27.196087301587305</v>
      </c>
      <c r="E6970" s="637">
        <f t="shared" si="233"/>
        <v>36.205317460317481</v>
      </c>
    </row>
    <row r="6971" spans="1:5">
      <c r="A6971">
        <v>101813</v>
      </c>
      <c r="B6971">
        <v>700</v>
      </c>
      <c r="C6971" s="455">
        <v>8.9600000000000009</v>
      </c>
      <c r="D6971" s="637">
        <f t="shared" si="232"/>
        <v>22.968888888888895</v>
      </c>
      <c r="E6971" s="637">
        <f t="shared" si="233"/>
        <v>30.577777777777801</v>
      </c>
    </row>
    <row r="6972" spans="1:5">
      <c r="A6972">
        <v>101813</v>
      </c>
      <c r="B6972">
        <v>800</v>
      </c>
      <c r="C6972" s="455">
        <v>7.0000000000000001E-3</v>
      </c>
      <c r="D6972" s="637">
        <f t="shared" si="232"/>
        <v>1.794444444444445E-2</v>
      </c>
      <c r="E6972" s="637">
        <f t="shared" si="233"/>
        <v>2.3888888888888907E-2</v>
      </c>
    </row>
    <row r="6973" spans="1:5">
      <c r="A6973">
        <v>101813</v>
      </c>
      <c r="B6973">
        <v>900</v>
      </c>
      <c r="C6973" s="455">
        <v>0</v>
      </c>
      <c r="D6973" s="637">
        <f t="shared" si="232"/>
        <v>0</v>
      </c>
      <c r="E6973" s="637">
        <f t="shared" si="233"/>
        <v>0</v>
      </c>
    </row>
    <row r="6974" spans="1:5">
      <c r="A6974">
        <v>101813</v>
      </c>
      <c r="B6974">
        <v>1000</v>
      </c>
      <c r="C6974" s="455">
        <v>0</v>
      </c>
      <c r="D6974" s="637">
        <f t="shared" si="232"/>
        <v>0</v>
      </c>
      <c r="E6974" s="637">
        <f t="shared" si="233"/>
        <v>0</v>
      </c>
    </row>
    <row r="6975" spans="1:5">
      <c r="A6975">
        <v>101813</v>
      </c>
      <c r="B6975">
        <v>1100</v>
      </c>
      <c r="C6975" s="455">
        <v>1E-3</v>
      </c>
      <c r="D6975" s="637">
        <f t="shared" si="232"/>
        <v>2.5634920634920642E-3</v>
      </c>
      <c r="E6975" s="637">
        <f t="shared" si="233"/>
        <v>3.4126984126984154E-3</v>
      </c>
    </row>
    <row r="6976" spans="1:5">
      <c r="A6976">
        <v>101813</v>
      </c>
      <c r="B6976">
        <v>1200</v>
      </c>
      <c r="C6976" s="455">
        <v>0</v>
      </c>
      <c r="D6976" s="637">
        <f t="shared" si="232"/>
        <v>0</v>
      </c>
      <c r="E6976" s="637">
        <f t="shared" si="233"/>
        <v>0</v>
      </c>
    </row>
    <row r="6977" spans="1:5">
      <c r="A6977">
        <v>101813</v>
      </c>
      <c r="B6977">
        <v>1300</v>
      </c>
      <c r="C6977" s="455">
        <v>1E-3</v>
      </c>
      <c r="D6977" s="637">
        <f t="shared" si="232"/>
        <v>2.5634920634920642E-3</v>
      </c>
      <c r="E6977" s="637">
        <f t="shared" si="233"/>
        <v>3.4126984126984154E-3</v>
      </c>
    </row>
    <row r="6978" spans="1:5">
      <c r="A6978">
        <v>101813</v>
      </c>
      <c r="B6978">
        <v>1400</v>
      </c>
      <c r="C6978" s="455">
        <v>0</v>
      </c>
      <c r="D6978" s="637">
        <f t="shared" si="232"/>
        <v>0</v>
      </c>
      <c r="E6978" s="637">
        <f t="shared" si="233"/>
        <v>0</v>
      </c>
    </row>
    <row r="6979" spans="1:5">
      <c r="A6979">
        <v>101813</v>
      </c>
      <c r="B6979">
        <v>1500</v>
      </c>
      <c r="C6979" s="455">
        <v>0</v>
      </c>
      <c r="D6979" s="637">
        <f t="shared" si="232"/>
        <v>0</v>
      </c>
      <c r="E6979" s="637">
        <f t="shared" si="233"/>
        <v>0</v>
      </c>
    </row>
    <row r="6980" spans="1:5">
      <c r="A6980">
        <v>101813</v>
      </c>
      <c r="B6980">
        <v>1600</v>
      </c>
      <c r="C6980" s="455">
        <v>0</v>
      </c>
      <c r="D6980" s="637">
        <f t="shared" si="232"/>
        <v>0</v>
      </c>
      <c r="E6980" s="637">
        <f t="shared" si="233"/>
        <v>0</v>
      </c>
    </row>
    <row r="6981" spans="1:5">
      <c r="A6981">
        <v>101813</v>
      </c>
      <c r="B6981">
        <v>1700</v>
      </c>
      <c r="C6981" s="455">
        <v>0</v>
      </c>
      <c r="D6981" s="637">
        <f t="shared" si="232"/>
        <v>0</v>
      </c>
      <c r="E6981" s="637">
        <f t="shared" si="233"/>
        <v>0</v>
      </c>
    </row>
    <row r="6982" spans="1:5">
      <c r="A6982">
        <v>101813</v>
      </c>
      <c r="B6982">
        <v>1800</v>
      </c>
      <c r="C6982" s="455">
        <v>7.883</v>
      </c>
      <c r="D6982" s="637">
        <f t="shared" si="232"/>
        <v>20.20800793650794</v>
      </c>
      <c r="E6982" s="637">
        <f t="shared" si="233"/>
        <v>26.902301587301604</v>
      </c>
    </row>
    <row r="6983" spans="1:5">
      <c r="A6983">
        <v>101813</v>
      </c>
      <c r="B6983">
        <v>1900</v>
      </c>
      <c r="C6983" s="455">
        <v>9.6880000000000006</v>
      </c>
      <c r="D6983" s="637">
        <f t="shared" si="232"/>
        <v>24.835111111111118</v>
      </c>
      <c r="E6983" s="637">
        <f t="shared" si="233"/>
        <v>33.062222222222246</v>
      </c>
    </row>
    <row r="6984" spans="1:5">
      <c r="A6984">
        <v>101813</v>
      </c>
      <c r="B6984">
        <v>2000</v>
      </c>
      <c r="C6984" s="455">
        <v>10.034000000000001</v>
      </c>
      <c r="D6984" s="637">
        <f t="shared" si="232"/>
        <v>25.722079365079374</v>
      </c>
      <c r="E6984" s="637">
        <f t="shared" si="233"/>
        <v>34.243015873015899</v>
      </c>
    </row>
    <row r="6985" spans="1:5">
      <c r="A6985">
        <v>101813</v>
      </c>
      <c r="B6985">
        <v>2100</v>
      </c>
      <c r="C6985" s="455">
        <v>10.506</v>
      </c>
      <c r="D6985" s="637">
        <f t="shared" si="232"/>
        <v>26.932047619047626</v>
      </c>
      <c r="E6985" s="637">
        <f t="shared" si="233"/>
        <v>35.853809523809552</v>
      </c>
    </row>
    <row r="6986" spans="1:5">
      <c r="A6986">
        <v>101813</v>
      </c>
      <c r="B6986">
        <v>2200</v>
      </c>
      <c r="C6986" s="455">
        <v>10.721</v>
      </c>
      <c r="D6986" s="637">
        <f t="shared" si="232"/>
        <v>27.483198412698421</v>
      </c>
      <c r="E6986" s="637">
        <f t="shared" si="233"/>
        <v>36.587539682539713</v>
      </c>
    </row>
    <row r="6987" spans="1:5">
      <c r="A6987">
        <v>101813</v>
      </c>
      <c r="B6987">
        <v>2300</v>
      </c>
      <c r="C6987" s="455">
        <v>10.624000000000001</v>
      </c>
      <c r="D6987" s="637">
        <f t="shared" si="232"/>
        <v>27.23453968253969</v>
      </c>
      <c r="E6987" s="637">
        <f t="shared" si="233"/>
        <v>36.256507936507965</v>
      </c>
    </row>
    <row r="6988" spans="1:5">
      <c r="A6988">
        <v>101813</v>
      </c>
      <c r="B6988">
        <v>2400</v>
      </c>
      <c r="C6988" s="455">
        <v>10.417</v>
      </c>
      <c r="D6988" s="637">
        <f t="shared" si="232"/>
        <v>26.703896825396832</v>
      </c>
      <c r="E6988" s="637">
        <f t="shared" si="233"/>
        <v>35.550079365079391</v>
      </c>
    </row>
    <row r="6989" spans="1:5">
      <c r="A6989">
        <v>101913</v>
      </c>
      <c r="B6989">
        <v>100</v>
      </c>
      <c r="C6989" s="455">
        <v>11.349</v>
      </c>
      <c r="D6989" s="637">
        <f t="shared" si="232"/>
        <v>29.093071428571434</v>
      </c>
      <c r="E6989" s="637">
        <f t="shared" si="233"/>
        <v>38.730714285714313</v>
      </c>
    </row>
    <row r="6990" spans="1:5">
      <c r="A6990">
        <v>101913</v>
      </c>
      <c r="B6990">
        <v>200</v>
      </c>
      <c r="C6990" s="455">
        <v>10.920999999999999</v>
      </c>
      <c r="D6990" s="637">
        <f t="shared" si="232"/>
        <v>27.995896825396827</v>
      </c>
      <c r="E6990" s="637">
        <f t="shared" si="233"/>
        <v>37.27007936507939</v>
      </c>
    </row>
    <row r="6991" spans="1:5">
      <c r="A6991">
        <v>101913</v>
      </c>
      <c r="B6991">
        <v>300</v>
      </c>
      <c r="C6991" s="455">
        <v>11.137</v>
      </c>
      <c r="D6991" s="637">
        <f t="shared" si="232"/>
        <v>28.549611111111119</v>
      </c>
      <c r="E6991" s="637">
        <f t="shared" si="233"/>
        <v>38.007222222222254</v>
      </c>
    </row>
    <row r="6992" spans="1:5">
      <c r="A6992">
        <v>101913</v>
      </c>
      <c r="B6992">
        <v>400</v>
      </c>
      <c r="C6992" s="455">
        <v>11.311999999999999</v>
      </c>
      <c r="D6992" s="637">
        <f t="shared" si="232"/>
        <v>28.998222222222225</v>
      </c>
      <c r="E6992" s="637">
        <f t="shared" si="233"/>
        <v>38.604444444444468</v>
      </c>
    </row>
    <row r="6993" spans="1:5">
      <c r="A6993">
        <v>101913</v>
      </c>
      <c r="B6993">
        <v>500</v>
      </c>
      <c r="C6993" s="455">
        <v>10.843</v>
      </c>
      <c r="D6993" s="637">
        <f t="shared" si="232"/>
        <v>27.795944444444448</v>
      </c>
      <c r="E6993" s="637">
        <f t="shared" si="233"/>
        <v>37.003888888888909</v>
      </c>
    </row>
    <row r="6994" spans="1:5">
      <c r="A6994">
        <v>101913</v>
      </c>
      <c r="B6994">
        <v>600</v>
      </c>
      <c r="C6994" s="455">
        <v>11.016</v>
      </c>
      <c r="D6994" s="637">
        <f t="shared" si="232"/>
        <v>28.239428571428576</v>
      </c>
      <c r="E6994" s="637">
        <f t="shared" si="233"/>
        <v>37.594285714285739</v>
      </c>
    </row>
    <row r="6995" spans="1:5">
      <c r="A6995">
        <v>101913</v>
      </c>
      <c r="B6995">
        <v>700</v>
      </c>
      <c r="C6995" s="455">
        <v>9.7129999999999992</v>
      </c>
      <c r="D6995" s="637">
        <f t="shared" si="232"/>
        <v>24.899198412698414</v>
      </c>
      <c r="E6995" s="637">
        <f t="shared" si="233"/>
        <v>33.147539682539701</v>
      </c>
    </row>
    <row r="6996" spans="1:5">
      <c r="A6996">
        <v>101913</v>
      </c>
      <c r="B6996">
        <v>800</v>
      </c>
      <c r="C6996" s="455">
        <v>1.2999999999999999E-2</v>
      </c>
      <c r="D6996" s="637">
        <f t="shared" si="232"/>
        <v>3.3325396825396827E-2</v>
      </c>
      <c r="E6996" s="637">
        <f t="shared" si="233"/>
        <v>4.4365079365079392E-2</v>
      </c>
    </row>
    <row r="6997" spans="1:5">
      <c r="A6997">
        <v>101913</v>
      </c>
      <c r="B6997">
        <v>900</v>
      </c>
      <c r="C6997" s="455">
        <v>0</v>
      </c>
      <c r="D6997" s="637">
        <f t="shared" si="232"/>
        <v>0</v>
      </c>
      <c r="E6997" s="637">
        <f t="shared" si="233"/>
        <v>0</v>
      </c>
    </row>
    <row r="6998" spans="1:5">
      <c r="A6998">
        <v>101913</v>
      </c>
      <c r="B6998">
        <v>1000</v>
      </c>
      <c r="C6998" s="455">
        <v>0</v>
      </c>
      <c r="D6998" s="637">
        <f t="shared" si="232"/>
        <v>0</v>
      </c>
      <c r="E6998" s="637">
        <f t="shared" si="233"/>
        <v>0</v>
      </c>
    </row>
    <row r="6999" spans="1:5">
      <c r="A6999">
        <v>101913</v>
      </c>
      <c r="B6999">
        <v>1100</v>
      </c>
      <c r="C6999" s="455">
        <v>0</v>
      </c>
      <c r="D6999" s="637">
        <f t="shared" si="232"/>
        <v>0</v>
      </c>
      <c r="E6999" s="637">
        <f t="shared" si="233"/>
        <v>0</v>
      </c>
    </row>
    <row r="7000" spans="1:5">
      <c r="A7000">
        <v>101913</v>
      </c>
      <c r="B7000">
        <v>1200</v>
      </c>
      <c r="C7000" s="455">
        <v>0</v>
      </c>
      <c r="D7000" s="637">
        <f t="shared" si="232"/>
        <v>0</v>
      </c>
      <c r="E7000" s="637">
        <f t="shared" si="233"/>
        <v>0</v>
      </c>
    </row>
    <row r="7001" spans="1:5">
      <c r="A7001">
        <v>101913</v>
      </c>
      <c r="B7001">
        <v>1300</v>
      </c>
      <c r="C7001" s="455">
        <v>0</v>
      </c>
      <c r="D7001" s="637">
        <f t="shared" si="232"/>
        <v>0</v>
      </c>
      <c r="E7001" s="637">
        <f t="shared" si="233"/>
        <v>0</v>
      </c>
    </row>
    <row r="7002" spans="1:5">
      <c r="A7002">
        <v>101913</v>
      </c>
      <c r="B7002">
        <v>1400</v>
      </c>
      <c r="C7002" s="455">
        <v>0</v>
      </c>
      <c r="D7002" s="637">
        <f t="shared" si="232"/>
        <v>0</v>
      </c>
      <c r="E7002" s="637">
        <f t="shared" si="233"/>
        <v>0</v>
      </c>
    </row>
    <row r="7003" spans="1:5">
      <c r="A7003">
        <v>101913</v>
      </c>
      <c r="B7003">
        <v>1500</v>
      </c>
      <c r="C7003" s="455">
        <v>0</v>
      </c>
      <c r="D7003" s="637">
        <f t="shared" si="232"/>
        <v>0</v>
      </c>
      <c r="E7003" s="637">
        <f t="shared" si="233"/>
        <v>0</v>
      </c>
    </row>
    <row r="7004" spans="1:5">
      <c r="A7004">
        <v>101913</v>
      </c>
      <c r="B7004">
        <v>1600</v>
      </c>
      <c r="C7004" s="455">
        <v>1.7999999999999999E-2</v>
      </c>
      <c r="D7004" s="637">
        <f t="shared" si="232"/>
        <v>4.6142857142857145E-2</v>
      </c>
      <c r="E7004" s="637">
        <f t="shared" si="233"/>
        <v>6.1428571428571464E-2</v>
      </c>
    </row>
    <row r="7005" spans="1:5">
      <c r="A7005">
        <v>101913</v>
      </c>
      <c r="B7005">
        <v>1700</v>
      </c>
      <c r="C7005" s="455">
        <v>3.3210000000000002</v>
      </c>
      <c r="D7005" s="637">
        <f t="shared" si="232"/>
        <v>8.5133571428571457</v>
      </c>
      <c r="E7005" s="637">
        <f t="shared" si="233"/>
        <v>11.333571428571437</v>
      </c>
    </row>
    <row r="7006" spans="1:5">
      <c r="A7006">
        <v>101913</v>
      </c>
      <c r="B7006">
        <v>1800</v>
      </c>
      <c r="C7006" s="455">
        <v>11.617000000000001</v>
      </c>
      <c r="D7006" s="637">
        <f t="shared" ref="D7006:D7069" si="234">(C7006/(MAX($C$6557:$C$7300)))*$W$14</f>
        <v>29.780087301587312</v>
      </c>
      <c r="E7006" s="637">
        <f t="shared" ref="E7006:E7069" si="235">(C7006/(MAX($C$6557:$C$7300)))*$P$14</f>
        <v>39.645317460317493</v>
      </c>
    </row>
    <row r="7007" spans="1:5">
      <c r="A7007">
        <v>101913</v>
      </c>
      <c r="B7007">
        <v>1900</v>
      </c>
      <c r="C7007" s="455">
        <v>10.595000000000001</v>
      </c>
      <c r="D7007" s="637">
        <f t="shared" si="234"/>
        <v>27.160198412698421</v>
      </c>
      <c r="E7007" s="637">
        <f t="shared" si="235"/>
        <v>36.157539682539706</v>
      </c>
    </row>
    <row r="7008" spans="1:5">
      <c r="A7008">
        <v>101913</v>
      </c>
      <c r="B7008">
        <v>2000</v>
      </c>
      <c r="C7008" s="455">
        <v>10.922000000000001</v>
      </c>
      <c r="D7008" s="637">
        <f t="shared" si="234"/>
        <v>27.998460317460324</v>
      </c>
      <c r="E7008" s="637">
        <f t="shared" si="235"/>
        <v>37.273492063492093</v>
      </c>
    </row>
    <row r="7009" spans="1:5">
      <c r="A7009">
        <v>101913</v>
      </c>
      <c r="B7009">
        <v>2100</v>
      </c>
      <c r="C7009" s="455">
        <v>11.211</v>
      </c>
      <c r="D7009" s="637">
        <f t="shared" si="234"/>
        <v>28.739309523809531</v>
      </c>
      <c r="E7009" s="637">
        <f t="shared" si="235"/>
        <v>38.25976190476193</v>
      </c>
    </row>
    <row r="7010" spans="1:5">
      <c r="A7010">
        <v>101913</v>
      </c>
      <c r="B7010">
        <v>2200</v>
      </c>
      <c r="C7010" s="455">
        <v>11.11</v>
      </c>
      <c r="D7010" s="637">
        <f t="shared" si="234"/>
        <v>28.480396825396827</v>
      </c>
      <c r="E7010" s="637">
        <f t="shared" si="235"/>
        <v>37.915079365079386</v>
      </c>
    </row>
    <row r="7011" spans="1:5">
      <c r="A7011">
        <v>101913</v>
      </c>
      <c r="B7011">
        <v>2300</v>
      </c>
      <c r="C7011" s="455">
        <v>11.244</v>
      </c>
      <c r="D7011" s="637">
        <f t="shared" si="234"/>
        <v>28.823904761904767</v>
      </c>
      <c r="E7011" s="637">
        <f t="shared" si="235"/>
        <v>38.372380952380979</v>
      </c>
    </row>
    <row r="7012" spans="1:5">
      <c r="A7012">
        <v>101913</v>
      </c>
      <c r="B7012">
        <v>2400</v>
      </c>
      <c r="C7012" s="455">
        <v>10.996</v>
      </c>
      <c r="D7012" s="637">
        <f t="shared" si="234"/>
        <v>28.188158730158737</v>
      </c>
      <c r="E7012" s="637">
        <f t="shared" si="235"/>
        <v>37.526031746031769</v>
      </c>
    </row>
    <row r="7013" spans="1:5">
      <c r="A7013">
        <v>102013</v>
      </c>
      <c r="B7013">
        <v>100</v>
      </c>
      <c r="C7013" s="455">
        <v>11.362</v>
      </c>
      <c r="D7013" s="637">
        <f t="shared" si="234"/>
        <v>29.126396825396832</v>
      </c>
      <c r="E7013" s="637">
        <f t="shared" si="235"/>
        <v>38.775079365079392</v>
      </c>
    </row>
    <row r="7014" spans="1:5">
      <c r="A7014">
        <v>102013</v>
      </c>
      <c r="B7014">
        <v>200</v>
      </c>
      <c r="C7014" s="455">
        <v>11.417999999999999</v>
      </c>
      <c r="D7014" s="637">
        <f t="shared" si="234"/>
        <v>29.269952380952382</v>
      </c>
      <c r="E7014" s="637">
        <f t="shared" si="235"/>
        <v>38.966190476190498</v>
      </c>
    </row>
    <row r="7015" spans="1:5">
      <c r="A7015">
        <v>102013</v>
      </c>
      <c r="B7015">
        <v>300</v>
      </c>
      <c r="C7015" s="455">
        <v>11.502000000000001</v>
      </c>
      <c r="D7015" s="637">
        <f t="shared" si="234"/>
        <v>29.48528571428572</v>
      </c>
      <c r="E7015" s="637">
        <f t="shared" si="235"/>
        <v>39.252857142857174</v>
      </c>
    </row>
    <row r="7016" spans="1:5">
      <c r="A7016">
        <v>102013</v>
      </c>
      <c r="B7016">
        <v>400</v>
      </c>
      <c r="C7016" s="455">
        <v>11.722</v>
      </c>
      <c r="D7016" s="637">
        <f t="shared" si="234"/>
        <v>30.049253968253971</v>
      </c>
      <c r="E7016" s="637">
        <f t="shared" si="235"/>
        <v>40.00365079365082</v>
      </c>
    </row>
    <row r="7017" spans="1:5">
      <c r="A7017">
        <v>102013</v>
      </c>
      <c r="B7017">
        <v>500</v>
      </c>
      <c r="C7017" s="455">
        <v>11.43</v>
      </c>
      <c r="D7017" s="637">
        <f t="shared" si="234"/>
        <v>29.300714285714289</v>
      </c>
      <c r="E7017" s="637">
        <f t="shared" si="235"/>
        <v>39.007142857142881</v>
      </c>
    </row>
    <row r="7018" spans="1:5">
      <c r="A7018">
        <v>102013</v>
      </c>
      <c r="B7018">
        <v>600</v>
      </c>
      <c r="C7018" s="455">
        <v>11.439</v>
      </c>
      <c r="D7018" s="637">
        <f t="shared" si="234"/>
        <v>29.323785714285719</v>
      </c>
      <c r="E7018" s="637">
        <f t="shared" si="235"/>
        <v>39.03785714285717</v>
      </c>
    </row>
    <row r="7019" spans="1:5">
      <c r="A7019">
        <v>102013</v>
      </c>
      <c r="B7019">
        <v>700</v>
      </c>
      <c r="C7019" s="455">
        <v>10.81</v>
      </c>
      <c r="D7019" s="637">
        <f t="shared" si="234"/>
        <v>27.711349206349215</v>
      </c>
      <c r="E7019" s="637">
        <f t="shared" si="235"/>
        <v>36.891269841269867</v>
      </c>
    </row>
    <row r="7020" spans="1:5">
      <c r="A7020">
        <v>102013</v>
      </c>
      <c r="B7020">
        <v>800</v>
      </c>
      <c r="C7020" s="455">
        <v>9.1999999999999998E-2</v>
      </c>
      <c r="D7020" s="637">
        <f t="shared" si="234"/>
        <v>0.23584126984126988</v>
      </c>
      <c r="E7020" s="637">
        <f t="shared" si="235"/>
        <v>0.31396825396825417</v>
      </c>
    </row>
    <row r="7021" spans="1:5">
      <c r="A7021">
        <v>102013</v>
      </c>
      <c r="B7021">
        <v>900</v>
      </c>
      <c r="C7021" s="455">
        <v>0</v>
      </c>
      <c r="D7021" s="637">
        <f t="shared" si="234"/>
        <v>0</v>
      </c>
      <c r="E7021" s="637">
        <f t="shared" si="235"/>
        <v>0</v>
      </c>
    </row>
    <row r="7022" spans="1:5">
      <c r="A7022">
        <v>102013</v>
      </c>
      <c r="B7022">
        <v>1000</v>
      </c>
      <c r="C7022" s="455">
        <v>0</v>
      </c>
      <c r="D7022" s="637">
        <f t="shared" si="234"/>
        <v>0</v>
      </c>
      <c r="E7022" s="637">
        <f t="shared" si="235"/>
        <v>0</v>
      </c>
    </row>
    <row r="7023" spans="1:5">
      <c r="A7023">
        <v>102013</v>
      </c>
      <c r="B7023">
        <v>1100</v>
      </c>
      <c r="C7023" s="455">
        <v>0</v>
      </c>
      <c r="D7023" s="637">
        <f t="shared" si="234"/>
        <v>0</v>
      </c>
      <c r="E7023" s="637">
        <f t="shared" si="235"/>
        <v>0</v>
      </c>
    </row>
    <row r="7024" spans="1:5">
      <c r="A7024">
        <v>102013</v>
      </c>
      <c r="B7024">
        <v>1200</v>
      </c>
      <c r="C7024" s="455">
        <v>0</v>
      </c>
      <c r="D7024" s="637">
        <f t="shared" si="234"/>
        <v>0</v>
      </c>
      <c r="E7024" s="637">
        <f t="shared" si="235"/>
        <v>0</v>
      </c>
    </row>
    <row r="7025" spans="1:5">
      <c r="A7025">
        <v>102013</v>
      </c>
      <c r="B7025">
        <v>1300</v>
      </c>
      <c r="C7025" s="455">
        <v>0</v>
      </c>
      <c r="D7025" s="637">
        <f t="shared" si="234"/>
        <v>0</v>
      </c>
      <c r="E7025" s="637">
        <f t="shared" si="235"/>
        <v>0</v>
      </c>
    </row>
    <row r="7026" spans="1:5">
      <c r="A7026">
        <v>102013</v>
      </c>
      <c r="B7026">
        <v>1400</v>
      </c>
      <c r="C7026" s="455">
        <v>0</v>
      </c>
      <c r="D7026" s="637">
        <f t="shared" si="234"/>
        <v>0</v>
      </c>
      <c r="E7026" s="637">
        <f t="shared" si="235"/>
        <v>0</v>
      </c>
    </row>
    <row r="7027" spans="1:5">
      <c r="A7027">
        <v>102013</v>
      </c>
      <c r="B7027">
        <v>1500</v>
      </c>
      <c r="C7027" s="455">
        <v>0</v>
      </c>
      <c r="D7027" s="637">
        <f t="shared" si="234"/>
        <v>0</v>
      </c>
      <c r="E7027" s="637">
        <f t="shared" si="235"/>
        <v>0</v>
      </c>
    </row>
    <row r="7028" spans="1:5">
      <c r="A7028">
        <v>102013</v>
      </c>
      <c r="B7028">
        <v>1600</v>
      </c>
      <c r="C7028" s="455">
        <v>0</v>
      </c>
      <c r="D7028" s="637">
        <f t="shared" si="234"/>
        <v>0</v>
      </c>
      <c r="E7028" s="637">
        <f t="shared" si="235"/>
        <v>0</v>
      </c>
    </row>
    <row r="7029" spans="1:5">
      <c r="A7029">
        <v>102013</v>
      </c>
      <c r="B7029">
        <v>1700</v>
      </c>
      <c r="C7029" s="455">
        <v>0</v>
      </c>
      <c r="D7029" s="637">
        <f t="shared" si="234"/>
        <v>0</v>
      </c>
      <c r="E7029" s="637">
        <f t="shared" si="235"/>
        <v>0</v>
      </c>
    </row>
    <row r="7030" spans="1:5">
      <c r="A7030">
        <v>102013</v>
      </c>
      <c r="B7030">
        <v>1800</v>
      </c>
      <c r="C7030" s="455">
        <v>9.4949999999999992</v>
      </c>
      <c r="D7030" s="637">
        <f t="shared" si="234"/>
        <v>24.340357142857147</v>
      </c>
      <c r="E7030" s="637">
        <f t="shared" si="235"/>
        <v>32.403571428571446</v>
      </c>
    </row>
    <row r="7031" spans="1:5">
      <c r="A7031">
        <v>102013</v>
      </c>
      <c r="B7031">
        <v>1900</v>
      </c>
      <c r="C7031" s="455">
        <v>10.234</v>
      </c>
      <c r="D7031" s="637">
        <f t="shared" si="234"/>
        <v>26.234777777777779</v>
      </c>
      <c r="E7031" s="637">
        <f t="shared" si="235"/>
        <v>34.925555555555576</v>
      </c>
    </row>
    <row r="7032" spans="1:5">
      <c r="A7032">
        <v>102013</v>
      </c>
      <c r="B7032">
        <v>2000</v>
      </c>
      <c r="C7032" s="455">
        <v>10.602</v>
      </c>
      <c r="D7032" s="637">
        <f t="shared" si="234"/>
        <v>27.178142857142863</v>
      </c>
      <c r="E7032" s="637">
        <f t="shared" si="235"/>
        <v>36.181428571428597</v>
      </c>
    </row>
    <row r="7033" spans="1:5">
      <c r="A7033">
        <v>102013</v>
      </c>
      <c r="B7033">
        <v>2100</v>
      </c>
      <c r="C7033" s="455">
        <v>10.747999999999999</v>
      </c>
      <c r="D7033" s="637">
        <f t="shared" si="234"/>
        <v>27.552412698412702</v>
      </c>
      <c r="E7033" s="637">
        <f t="shared" si="235"/>
        <v>36.679682539682567</v>
      </c>
    </row>
    <row r="7034" spans="1:5">
      <c r="A7034">
        <v>102013</v>
      </c>
      <c r="B7034">
        <v>2200</v>
      </c>
      <c r="C7034" s="455">
        <v>10.888</v>
      </c>
      <c r="D7034" s="637">
        <f t="shared" si="234"/>
        <v>27.911301587301594</v>
      </c>
      <c r="E7034" s="637">
        <f t="shared" si="235"/>
        <v>37.157460317460341</v>
      </c>
    </row>
    <row r="7035" spans="1:5">
      <c r="A7035">
        <v>102013</v>
      </c>
      <c r="B7035">
        <v>2300</v>
      </c>
      <c r="C7035" s="455">
        <v>11.321999999999999</v>
      </c>
      <c r="D7035" s="637">
        <f t="shared" si="234"/>
        <v>29.023857142857146</v>
      </c>
      <c r="E7035" s="637">
        <f t="shared" si="235"/>
        <v>38.638571428571453</v>
      </c>
    </row>
    <row r="7036" spans="1:5">
      <c r="A7036">
        <v>102013</v>
      </c>
      <c r="B7036">
        <v>2400</v>
      </c>
      <c r="C7036" s="455">
        <v>10.917999999999999</v>
      </c>
      <c r="D7036" s="637">
        <f t="shared" si="234"/>
        <v>27.988206349206351</v>
      </c>
      <c r="E7036" s="637">
        <f t="shared" si="235"/>
        <v>37.259841269841296</v>
      </c>
    </row>
    <row r="7037" spans="1:5">
      <c r="A7037">
        <v>102113</v>
      </c>
      <c r="B7037">
        <v>100</v>
      </c>
      <c r="C7037" s="455">
        <v>10.92</v>
      </c>
      <c r="D7037" s="637">
        <f t="shared" si="234"/>
        <v>27.993333333333339</v>
      </c>
      <c r="E7037" s="637">
        <f t="shared" si="235"/>
        <v>37.266666666666694</v>
      </c>
    </row>
    <row r="7038" spans="1:5">
      <c r="A7038">
        <v>102113</v>
      </c>
      <c r="B7038">
        <v>200</v>
      </c>
      <c r="C7038" s="455">
        <v>10.563000000000001</v>
      </c>
      <c r="D7038" s="637">
        <f t="shared" si="234"/>
        <v>27.078166666666675</v>
      </c>
      <c r="E7038" s="637">
        <f t="shared" si="235"/>
        <v>36.04833333333336</v>
      </c>
    </row>
    <row r="7039" spans="1:5">
      <c r="A7039">
        <v>102113</v>
      </c>
      <c r="B7039">
        <v>300</v>
      </c>
      <c r="C7039" s="455">
        <v>10.673</v>
      </c>
      <c r="D7039" s="637">
        <f t="shared" si="234"/>
        <v>27.360150793650799</v>
      </c>
      <c r="E7039" s="637">
        <f t="shared" si="235"/>
        <v>36.423730158730187</v>
      </c>
    </row>
    <row r="7040" spans="1:5">
      <c r="A7040">
        <v>102113</v>
      </c>
      <c r="B7040">
        <v>400</v>
      </c>
      <c r="C7040" s="455">
        <v>11.208</v>
      </c>
      <c r="D7040" s="637">
        <f t="shared" si="234"/>
        <v>28.731619047619056</v>
      </c>
      <c r="E7040" s="637">
        <f t="shared" si="235"/>
        <v>38.249523809523836</v>
      </c>
    </row>
    <row r="7041" spans="1:5">
      <c r="A7041">
        <v>102113</v>
      </c>
      <c r="B7041">
        <v>500</v>
      </c>
      <c r="C7041" s="455">
        <v>11.02</v>
      </c>
      <c r="D7041" s="637">
        <f t="shared" si="234"/>
        <v>28.249682539682542</v>
      </c>
      <c r="E7041" s="637">
        <f t="shared" si="235"/>
        <v>37.607936507936529</v>
      </c>
    </row>
    <row r="7042" spans="1:5">
      <c r="A7042">
        <v>102113</v>
      </c>
      <c r="B7042">
        <v>600</v>
      </c>
      <c r="C7042" s="455">
        <v>10.755000000000001</v>
      </c>
      <c r="D7042" s="637">
        <f t="shared" si="234"/>
        <v>27.570357142857151</v>
      </c>
      <c r="E7042" s="637">
        <f t="shared" si="235"/>
        <v>36.703571428571458</v>
      </c>
    </row>
    <row r="7043" spans="1:5">
      <c r="A7043">
        <v>102113</v>
      </c>
      <c r="B7043">
        <v>700</v>
      </c>
      <c r="C7043" s="455">
        <v>11.747</v>
      </c>
      <c r="D7043" s="637">
        <f t="shared" si="234"/>
        <v>30.113341269841275</v>
      </c>
      <c r="E7043" s="637">
        <f t="shared" si="235"/>
        <v>40.088968253968282</v>
      </c>
    </row>
    <row r="7044" spans="1:5">
      <c r="A7044">
        <v>102113</v>
      </c>
      <c r="B7044">
        <v>800</v>
      </c>
      <c r="C7044" s="455">
        <v>0.495</v>
      </c>
      <c r="D7044" s="637">
        <f t="shared" si="234"/>
        <v>1.2689285714285716</v>
      </c>
      <c r="E7044" s="637">
        <f t="shared" si="235"/>
        <v>1.6892857142857154</v>
      </c>
    </row>
    <row r="7045" spans="1:5">
      <c r="A7045">
        <v>102113</v>
      </c>
      <c r="B7045">
        <v>900</v>
      </c>
      <c r="C7045" s="455">
        <v>0</v>
      </c>
      <c r="D7045" s="637">
        <f t="shared" si="234"/>
        <v>0</v>
      </c>
      <c r="E7045" s="637">
        <f t="shared" si="235"/>
        <v>0</v>
      </c>
    </row>
    <row r="7046" spans="1:5">
      <c r="A7046">
        <v>102113</v>
      </c>
      <c r="B7046">
        <v>1000</v>
      </c>
      <c r="C7046" s="455">
        <v>0</v>
      </c>
      <c r="D7046" s="637">
        <f t="shared" si="234"/>
        <v>0</v>
      </c>
      <c r="E7046" s="637">
        <f t="shared" si="235"/>
        <v>0</v>
      </c>
    </row>
    <row r="7047" spans="1:5">
      <c r="A7047">
        <v>102113</v>
      </c>
      <c r="B7047">
        <v>1100</v>
      </c>
      <c r="C7047" s="455">
        <v>0</v>
      </c>
      <c r="D7047" s="637">
        <f t="shared" si="234"/>
        <v>0</v>
      </c>
      <c r="E7047" s="637">
        <f t="shared" si="235"/>
        <v>0</v>
      </c>
    </row>
    <row r="7048" spans="1:5">
      <c r="A7048">
        <v>102113</v>
      </c>
      <c r="B7048">
        <v>1200</v>
      </c>
      <c r="C7048" s="455">
        <v>0</v>
      </c>
      <c r="D7048" s="637">
        <f t="shared" si="234"/>
        <v>0</v>
      </c>
      <c r="E7048" s="637">
        <f t="shared" si="235"/>
        <v>0</v>
      </c>
    </row>
    <row r="7049" spans="1:5">
      <c r="A7049">
        <v>102113</v>
      </c>
      <c r="B7049">
        <v>1300</v>
      </c>
      <c r="C7049" s="455">
        <v>0</v>
      </c>
      <c r="D7049" s="637">
        <f t="shared" si="234"/>
        <v>0</v>
      </c>
      <c r="E7049" s="637">
        <f t="shared" si="235"/>
        <v>0</v>
      </c>
    </row>
    <row r="7050" spans="1:5">
      <c r="A7050">
        <v>102113</v>
      </c>
      <c r="B7050">
        <v>1400</v>
      </c>
      <c r="C7050" s="455">
        <v>0</v>
      </c>
      <c r="D7050" s="637">
        <f t="shared" si="234"/>
        <v>0</v>
      </c>
      <c r="E7050" s="637">
        <f t="shared" si="235"/>
        <v>0</v>
      </c>
    </row>
    <row r="7051" spans="1:5">
      <c r="A7051">
        <v>102113</v>
      </c>
      <c r="B7051">
        <v>1500</v>
      </c>
      <c r="C7051" s="455">
        <v>0</v>
      </c>
      <c r="D7051" s="637">
        <f t="shared" si="234"/>
        <v>0</v>
      </c>
      <c r="E7051" s="637">
        <f t="shared" si="235"/>
        <v>0</v>
      </c>
    </row>
    <row r="7052" spans="1:5">
      <c r="A7052">
        <v>102113</v>
      </c>
      <c r="B7052">
        <v>1600</v>
      </c>
      <c r="C7052" s="455">
        <v>0.38700000000000001</v>
      </c>
      <c r="D7052" s="637">
        <f t="shared" si="234"/>
        <v>0.99207142857142883</v>
      </c>
      <c r="E7052" s="637">
        <f t="shared" si="235"/>
        <v>1.3207142857142866</v>
      </c>
    </row>
    <row r="7053" spans="1:5">
      <c r="A7053">
        <v>102113</v>
      </c>
      <c r="B7053">
        <v>1700</v>
      </c>
      <c r="C7053" s="455">
        <v>6.9589999999999996</v>
      </c>
      <c r="D7053" s="637">
        <f t="shared" si="234"/>
        <v>17.839341269841274</v>
      </c>
      <c r="E7053" s="637">
        <f t="shared" si="235"/>
        <v>23.748968253968268</v>
      </c>
    </row>
    <row r="7054" spans="1:5">
      <c r="A7054">
        <v>102113</v>
      </c>
      <c r="B7054">
        <v>1800</v>
      </c>
      <c r="C7054" s="455">
        <v>12.199</v>
      </c>
      <c r="D7054" s="637">
        <f t="shared" si="234"/>
        <v>31.272039682539685</v>
      </c>
      <c r="E7054" s="637">
        <f t="shared" si="235"/>
        <v>41.631507936507965</v>
      </c>
    </row>
    <row r="7055" spans="1:5">
      <c r="A7055">
        <v>102113</v>
      </c>
      <c r="B7055">
        <v>1900</v>
      </c>
      <c r="C7055" s="455">
        <v>10.044</v>
      </c>
      <c r="D7055" s="637">
        <f t="shared" si="234"/>
        <v>25.747714285714292</v>
      </c>
      <c r="E7055" s="637">
        <f t="shared" si="235"/>
        <v>34.277142857142884</v>
      </c>
    </row>
    <row r="7056" spans="1:5">
      <c r="A7056">
        <v>102113</v>
      </c>
      <c r="B7056">
        <v>2000</v>
      </c>
      <c r="C7056" s="455">
        <v>10.72</v>
      </c>
      <c r="D7056" s="637">
        <f t="shared" si="234"/>
        <v>27.480634920634927</v>
      </c>
      <c r="E7056" s="637">
        <f t="shared" si="235"/>
        <v>36.58412698412701</v>
      </c>
    </row>
    <row r="7057" spans="1:5">
      <c r="A7057">
        <v>102113</v>
      </c>
      <c r="B7057">
        <v>2100</v>
      </c>
      <c r="C7057" s="455">
        <v>10.615</v>
      </c>
      <c r="D7057" s="637">
        <f t="shared" si="234"/>
        <v>27.21146825396826</v>
      </c>
      <c r="E7057" s="637">
        <f t="shared" si="235"/>
        <v>36.225793650793676</v>
      </c>
    </row>
    <row r="7058" spans="1:5">
      <c r="A7058">
        <v>102113</v>
      </c>
      <c r="B7058">
        <v>2200</v>
      </c>
      <c r="C7058" s="455">
        <v>10.401999999999999</v>
      </c>
      <c r="D7058" s="637">
        <f t="shared" si="234"/>
        <v>26.665444444444447</v>
      </c>
      <c r="E7058" s="637">
        <f t="shared" si="235"/>
        <v>35.498888888888914</v>
      </c>
    </row>
    <row r="7059" spans="1:5">
      <c r="A7059">
        <v>102113</v>
      </c>
      <c r="B7059">
        <v>2300</v>
      </c>
      <c r="C7059" s="455">
        <v>10.952</v>
      </c>
      <c r="D7059" s="637">
        <f t="shared" si="234"/>
        <v>28.075365079365081</v>
      </c>
      <c r="E7059" s="637">
        <f t="shared" si="235"/>
        <v>37.37587301587304</v>
      </c>
    </row>
    <row r="7060" spans="1:5">
      <c r="A7060">
        <v>102113</v>
      </c>
      <c r="B7060">
        <v>2400</v>
      </c>
      <c r="C7060" s="455">
        <v>11.356</v>
      </c>
      <c r="D7060" s="637">
        <f t="shared" si="234"/>
        <v>29.111015873015877</v>
      </c>
      <c r="E7060" s="637">
        <f t="shared" si="235"/>
        <v>38.754603174603197</v>
      </c>
    </row>
    <row r="7061" spans="1:5">
      <c r="A7061">
        <v>102213</v>
      </c>
      <c r="B7061">
        <v>100</v>
      </c>
      <c r="C7061" s="455">
        <v>10.994</v>
      </c>
      <c r="D7061" s="637">
        <f t="shared" si="234"/>
        <v>28.183031746031748</v>
      </c>
      <c r="E7061" s="637">
        <f t="shared" si="235"/>
        <v>37.519206349206371</v>
      </c>
    </row>
    <row r="7062" spans="1:5">
      <c r="A7062">
        <v>102213</v>
      </c>
      <c r="B7062">
        <v>200</v>
      </c>
      <c r="C7062" s="455">
        <v>11.391</v>
      </c>
      <c r="D7062" s="637">
        <f t="shared" si="234"/>
        <v>29.200738095238101</v>
      </c>
      <c r="E7062" s="637">
        <f t="shared" si="235"/>
        <v>38.874047619047644</v>
      </c>
    </row>
    <row r="7063" spans="1:5">
      <c r="A7063">
        <v>102213</v>
      </c>
      <c r="B7063">
        <v>300</v>
      </c>
      <c r="C7063" s="455">
        <v>11.178000000000001</v>
      </c>
      <c r="D7063" s="637">
        <f t="shared" si="234"/>
        <v>28.654714285714292</v>
      </c>
      <c r="E7063" s="637">
        <f t="shared" si="235"/>
        <v>38.147142857142882</v>
      </c>
    </row>
    <row r="7064" spans="1:5">
      <c r="A7064">
        <v>102213</v>
      </c>
      <c r="B7064">
        <v>400</v>
      </c>
      <c r="C7064" s="455">
        <v>11.106999999999999</v>
      </c>
      <c r="D7064" s="637">
        <f t="shared" si="234"/>
        <v>28.472706349206351</v>
      </c>
      <c r="E7064" s="637">
        <f t="shared" si="235"/>
        <v>37.904841269841292</v>
      </c>
    </row>
    <row r="7065" spans="1:5">
      <c r="A7065">
        <v>102213</v>
      </c>
      <c r="B7065">
        <v>500</v>
      </c>
      <c r="C7065" s="455">
        <v>11.327999999999999</v>
      </c>
      <c r="D7065" s="637">
        <f t="shared" si="234"/>
        <v>29.039238095238101</v>
      </c>
      <c r="E7065" s="637">
        <f t="shared" si="235"/>
        <v>38.659047619047648</v>
      </c>
    </row>
    <row r="7066" spans="1:5">
      <c r="A7066">
        <v>102213</v>
      </c>
      <c r="B7066">
        <v>600</v>
      </c>
      <c r="C7066" s="455">
        <v>10.972</v>
      </c>
      <c r="D7066" s="637">
        <f t="shared" si="234"/>
        <v>28.126634920634924</v>
      </c>
      <c r="E7066" s="637">
        <f t="shared" si="235"/>
        <v>37.444126984127003</v>
      </c>
    </row>
    <row r="7067" spans="1:5">
      <c r="A7067">
        <v>102213</v>
      </c>
      <c r="B7067">
        <v>700</v>
      </c>
      <c r="C7067" s="455">
        <v>10.544</v>
      </c>
      <c r="D7067" s="637">
        <f t="shared" si="234"/>
        <v>27.029460317460323</v>
      </c>
      <c r="E7067" s="637">
        <f t="shared" si="235"/>
        <v>35.983492063492093</v>
      </c>
    </row>
    <row r="7068" spans="1:5">
      <c r="A7068">
        <v>102213</v>
      </c>
      <c r="B7068">
        <v>800</v>
      </c>
      <c r="C7068" s="455">
        <v>2.9000000000000001E-2</v>
      </c>
      <c r="D7068" s="637">
        <f t="shared" si="234"/>
        <v>7.4341269841269861E-2</v>
      </c>
      <c r="E7068" s="637">
        <f t="shared" si="235"/>
        <v>9.8968253968254052E-2</v>
      </c>
    </row>
    <row r="7069" spans="1:5">
      <c r="A7069">
        <v>102213</v>
      </c>
      <c r="B7069">
        <v>900</v>
      </c>
      <c r="C7069" s="455">
        <v>0</v>
      </c>
      <c r="D7069" s="637">
        <f t="shared" si="234"/>
        <v>0</v>
      </c>
      <c r="E7069" s="637">
        <f t="shared" si="235"/>
        <v>0</v>
      </c>
    </row>
    <row r="7070" spans="1:5">
      <c r="A7070">
        <v>102213</v>
      </c>
      <c r="B7070">
        <v>1000</v>
      </c>
      <c r="C7070" s="455">
        <v>0</v>
      </c>
      <c r="D7070" s="637">
        <f t="shared" ref="D7070:D7133" si="236">(C7070/(MAX($C$6557:$C$7300)))*$W$14</f>
        <v>0</v>
      </c>
      <c r="E7070" s="637">
        <f t="shared" ref="E7070:E7133" si="237">(C7070/(MAX($C$6557:$C$7300)))*$P$14</f>
        <v>0</v>
      </c>
    </row>
    <row r="7071" spans="1:5">
      <c r="A7071">
        <v>102213</v>
      </c>
      <c r="B7071">
        <v>1100</v>
      </c>
      <c r="C7071" s="455">
        <v>1E-3</v>
      </c>
      <c r="D7071" s="637">
        <f t="shared" si="236"/>
        <v>2.5634920634920642E-3</v>
      </c>
      <c r="E7071" s="637">
        <f t="shared" si="237"/>
        <v>3.4126984126984154E-3</v>
      </c>
    </row>
    <row r="7072" spans="1:5">
      <c r="A7072">
        <v>102213</v>
      </c>
      <c r="B7072">
        <v>1200</v>
      </c>
      <c r="C7072" s="455">
        <v>0</v>
      </c>
      <c r="D7072" s="637">
        <f t="shared" si="236"/>
        <v>0</v>
      </c>
      <c r="E7072" s="637">
        <f t="shared" si="237"/>
        <v>0</v>
      </c>
    </row>
    <row r="7073" spans="1:5">
      <c r="A7073">
        <v>102213</v>
      </c>
      <c r="B7073">
        <v>1300</v>
      </c>
      <c r="C7073" s="455">
        <v>0</v>
      </c>
      <c r="D7073" s="637">
        <f t="shared" si="236"/>
        <v>0</v>
      </c>
      <c r="E7073" s="637">
        <f t="shared" si="237"/>
        <v>0</v>
      </c>
    </row>
    <row r="7074" spans="1:5">
      <c r="A7074">
        <v>102213</v>
      </c>
      <c r="B7074">
        <v>1400</v>
      </c>
      <c r="C7074" s="455">
        <v>0</v>
      </c>
      <c r="D7074" s="637">
        <f t="shared" si="236"/>
        <v>0</v>
      </c>
      <c r="E7074" s="637">
        <f t="shared" si="237"/>
        <v>0</v>
      </c>
    </row>
    <row r="7075" spans="1:5">
      <c r="A7075">
        <v>102213</v>
      </c>
      <c r="B7075">
        <v>1500</v>
      </c>
      <c r="C7075" s="455">
        <v>0</v>
      </c>
      <c r="D7075" s="637">
        <f t="shared" si="236"/>
        <v>0</v>
      </c>
      <c r="E7075" s="637">
        <f t="shared" si="237"/>
        <v>0</v>
      </c>
    </row>
    <row r="7076" spans="1:5">
      <c r="A7076">
        <v>102213</v>
      </c>
      <c r="B7076">
        <v>1600</v>
      </c>
      <c r="C7076" s="455">
        <v>0</v>
      </c>
      <c r="D7076" s="637">
        <f t="shared" si="236"/>
        <v>0</v>
      </c>
      <c r="E7076" s="637">
        <f t="shared" si="237"/>
        <v>0</v>
      </c>
    </row>
    <row r="7077" spans="1:5">
      <c r="A7077">
        <v>102213</v>
      </c>
      <c r="B7077">
        <v>1700</v>
      </c>
      <c r="C7077" s="455">
        <v>1E-3</v>
      </c>
      <c r="D7077" s="637">
        <f t="shared" si="236"/>
        <v>2.5634920634920642E-3</v>
      </c>
      <c r="E7077" s="637">
        <f t="shared" si="237"/>
        <v>3.4126984126984154E-3</v>
      </c>
    </row>
    <row r="7078" spans="1:5">
      <c r="A7078">
        <v>102213</v>
      </c>
      <c r="B7078">
        <v>1800</v>
      </c>
      <c r="C7078" s="455">
        <v>10.204000000000001</v>
      </c>
      <c r="D7078" s="637">
        <f t="shared" si="236"/>
        <v>26.157873015873022</v>
      </c>
      <c r="E7078" s="637">
        <f t="shared" si="237"/>
        <v>34.823174603174628</v>
      </c>
    </row>
    <row r="7079" spans="1:5">
      <c r="A7079">
        <v>102213</v>
      </c>
      <c r="B7079">
        <v>1900</v>
      </c>
      <c r="C7079" s="455">
        <v>10.577</v>
      </c>
      <c r="D7079" s="637">
        <f t="shared" si="236"/>
        <v>27.114055555555563</v>
      </c>
      <c r="E7079" s="637">
        <f t="shared" si="237"/>
        <v>36.096111111111135</v>
      </c>
    </row>
    <row r="7080" spans="1:5">
      <c r="A7080">
        <v>102213</v>
      </c>
      <c r="B7080">
        <v>2000</v>
      </c>
      <c r="C7080" s="455">
        <v>11.09</v>
      </c>
      <c r="D7080" s="637">
        <f t="shared" si="236"/>
        <v>28.429126984126992</v>
      </c>
      <c r="E7080" s="637">
        <f t="shared" si="237"/>
        <v>37.846825396825423</v>
      </c>
    </row>
    <row r="7081" spans="1:5">
      <c r="A7081">
        <v>102213</v>
      </c>
      <c r="B7081">
        <v>2100</v>
      </c>
      <c r="C7081" s="455">
        <v>11.196999999999999</v>
      </c>
      <c r="D7081" s="637">
        <f t="shared" si="236"/>
        <v>28.70342063492064</v>
      </c>
      <c r="E7081" s="637">
        <f t="shared" si="237"/>
        <v>38.211984126984156</v>
      </c>
    </row>
    <row r="7082" spans="1:5">
      <c r="A7082">
        <v>102213</v>
      </c>
      <c r="B7082">
        <v>2200</v>
      </c>
      <c r="C7082" s="455">
        <v>11.089</v>
      </c>
      <c r="D7082" s="637">
        <f t="shared" si="236"/>
        <v>28.426563492063497</v>
      </c>
      <c r="E7082" s="637">
        <f t="shared" si="237"/>
        <v>37.843412698412727</v>
      </c>
    </row>
    <row r="7083" spans="1:5">
      <c r="A7083">
        <v>102213</v>
      </c>
      <c r="B7083">
        <v>2300</v>
      </c>
      <c r="C7083" s="455">
        <v>11.191000000000001</v>
      </c>
      <c r="D7083" s="637">
        <f t="shared" si="236"/>
        <v>28.688039682539689</v>
      </c>
      <c r="E7083" s="637">
        <f t="shared" si="237"/>
        <v>38.191507936507968</v>
      </c>
    </row>
    <row r="7084" spans="1:5">
      <c r="A7084">
        <v>102213</v>
      </c>
      <c r="B7084">
        <v>2400</v>
      </c>
      <c r="C7084" s="455">
        <v>10.987</v>
      </c>
      <c r="D7084" s="637">
        <f t="shared" si="236"/>
        <v>28.165087301587306</v>
      </c>
      <c r="E7084" s="637">
        <f t="shared" si="237"/>
        <v>37.495317460317487</v>
      </c>
    </row>
    <row r="7085" spans="1:5">
      <c r="A7085">
        <v>102313</v>
      </c>
      <c r="B7085">
        <v>100</v>
      </c>
      <c r="C7085" s="455">
        <v>11.239000000000001</v>
      </c>
      <c r="D7085" s="637">
        <f t="shared" si="236"/>
        <v>28.81108730158731</v>
      </c>
      <c r="E7085" s="637">
        <f t="shared" si="237"/>
        <v>38.355317460317494</v>
      </c>
    </row>
    <row r="7086" spans="1:5">
      <c r="A7086">
        <v>102313</v>
      </c>
      <c r="B7086">
        <v>200</v>
      </c>
      <c r="C7086" s="455">
        <v>11.35</v>
      </c>
      <c r="D7086" s="637">
        <f t="shared" si="236"/>
        <v>29.095634920634922</v>
      </c>
      <c r="E7086" s="637">
        <f t="shared" si="237"/>
        <v>38.734126984127009</v>
      </c>
    </row>
    <row r="7087" spans="1:5">
      <c r="A7087">
        <v>102313</v>
      </c>
      <c r="B7087">
        <v>300</v>
      </c>
      <c r="C7087" s="455">
        <v>11.068</v>
      </c>
      <c r="D7087" s="637">
        <f t="shared" si="236"/>
        <v>28.372730158730164</v>
      </c>
      <c r="E7087" s="637">
        <f t="shared" si="237"/>
        <v>37.771746031746055</v>
      </c>
    </row>
    <row r="7088" spans="1:5">
      <c r="A7088">
        <v>102313</v>
      </c>
      <c r="B7088">
        <v>400</v>
      </c>
      <c r="C7088" s="455">
        <v>11.391</v>
      </c>
      <c r="D7088" s="637">
        <f t="shared" si="236"/>
        <v>29.200738095238101</v>
      </c>
      <c r="E7088" s="637">
        <f t="shared" si="237"/>
        <v>38.874047619047644</v>
      </c>
    </row>
    <row r="7089" spans="1:5">
      <c r="A7089">
        <v>102313</v>
      </c>
      <c r="B7089">
        <v>500</v>
      </c>
      <c r="C7089" s="455">
        <v>11.058999999999999</v>
      </c>
      <c r="D7089" s="637">
        <f t="shared" si="236"/>
        <v>28.349658730158733</v>
      </c>
      <c r="E7089" s="637">
        <f t="shared" si="237"/>
        <v>37.741031746031766</v>
      </c>
    </row>
    <row r="7090" spans="1:5">
      <c r="A7090">
        <v>102313</v>
      </c>
      <c r="B7090">
        <v>600</v>
      </c>
      <c r="C7090" s="455">
        <v>10.863</v>
      </c>
      <c r="D7090" s="637">
        <f t="shared" si="236"/>
        <v>27.847214285714287</v>
      </c>
      <c r="E7090" s="637">
        <f t="shared" si="237"/>
        <v>37.072142857142879</v>
      </c>
    </row>
    <row r="7091" spans="1:5">
      <c r="A7091">
        <v>102313</v>
      </c>
      <c r="B7091">
        <v>700</v>
      </c>
      <c r="C7091" s="455">
        <v>11.827</v>
      </c>
      <c r="D7091" s="637">
        <f t="shared" si="236"/>
        <v>30.318420634920638</v>
      </c>
      <c r="E7091" s="637">
        <f t="shared" si="237"/>
        <v>40.361984126984154</v>
      </c>
    </row>
    <row r="7092" spans="1:5">
      <c r="A7092">
        <v>102313</v>
      </c>
      <c r="B7092">
        <v>800</v>
      </c>
      <c r="C7092" s="455">
        <v>0.193</v>
      </c>
      <c r="D7092" s="637">
        <f t="shared" si="236"/>
        <v>0.49475396825396833</v>
      </c>
      <c r="E7092" s="637">
        <f t="shared" si="237"/>
        <v>0.65865079365079404</v>
      </c>
    </row>
    <row r="7093" spans="1:5">
      <c r="A7093">
        <v>102313</v>
      </c>
      <c r="B7093">
        <v>900</v>
      </c>
      <c r="C7093" s="455">
        <v>0</v>
      </c>
      <c r="D7093" s="637">
        <f t="shared" si="236"/>
        <v>0</v>
      </c>
      <c r="E7093" s="637">
        <f t="shared" si="237"/>
        <v>0</v>
      </c>
    </row>
    <row r="7094" spans="1:5">
      <c r="A7094">
        <v>102313</v>
      </c>
      <c r="B7094">
        <v>1000</v>
      </c>
      <c r="C7094" s="455">
        <v>0</v>
      </c>
      <c r="D7094" s="637">
        <f t="shared" si="236"/>
        <v>0</v>
      </c>
      <c r="E7094" s="637">
        <f t="shared" si="237"/>
        <v>0</v>
      </c>
    </row>
    <row r="7095" spans="1:5">
      <c r="A7095">
        <v>102313</v>
      </c>
      <c r="B7095">
        <v>1100</v>
      </c>
      <c r="C7095" s="455">
        <v>0</v>
      </c>
      <c r="D7095" s="637">
        <f t="shared" si="236"/>
        <v>0</v>
      </c>
      <c r="E7095" s="637">
        <f t="shared" si="237"/>
        <v>0</v>
      </c>
    </row>
    <row r="7096" spans="1:5">
      <c r="A7096">
        <v>102313</v>
      </c>
      <c r="B7096">
        <v>1200</v>
      </c>
      <c r="C7096" s="455">
        <v>0</v>
      </c>
      <c r="D7096" s="637">
        <f t="shared" si="236"/>
        <v>0</v>
      </c>
      <c r="E7096" s="637">
        <f t="shared" si="237"/>
        <v>0</v>
      </c>
    </row>
    <row r="7097" spans="1:5">
      <c r="A7097">
        <v>102313</v>
      </c>
      <c r="B7097">
        <v>1300</v>
      </c>
      <c r="C7097" s="455">
        <v>0</v>
      </c>
      <c r="D7097" s="637">
        <f t="shared" si="236"/>
        <v>0</v>
      </c>
      <c r="E7097" s="637">
        <f t="shared" si="237"/>
        <v>0</v>
      </c>
    </row>
    <row r="7098" spans="1:5">
      <c r="A7098">
        <v>102313</v>
      </c>
      <c r="B7098">
        <v>1400</v>
      </c>
      <c r="C7098" s="455">
        <v>0</v>
      </c>
      <c r="D7098" s="637">
        <f t="shared" si="236"/>
        <v>0</v>
      </c>
      <c r="E7098" s="637">
        <f t="shared" si="237"/>
        <v>0</v>
      </c>
    </row>
    <row r="7099" spans="1:5">
      <c r="A7099">
        <v>102313</v>
      </c>
      <c r="B7099">
        <v>1500</v>
      </c>
      <c r="C7099" s="455">
        <v>0</v>
      </c>
      <c r="D7099" s="637">
        <f t="shared" si="236"/>
        <v>0</v>
      </c>
      <c r="E7099" s="637">
        <f t="shared" si="237"/>
        <v>0</v>
      </c>
    </row>
    <row r="7100" spans="1:5">
      <c r="A7100">
        <v>102313</v>
      </c>
      <c r="B7100">
        <v>1600</v>
      </c>
      <c r="C7100" s="455">
        <v>0</v>
      </c>
      <c r="D7100" s="637">
        <f t="shared" si="236"/>
        <v>0</v>
      </c>
      <c r="E7100" s="637">
        <f t="shared" si="237"/>
        <v>0</v>
      </c>
    </row>
    <row r="7101" spans="1:5">
      <c r="A7101">
        <v>102313</v>
      </c>
      <c r="B7101">
        <v>1700</v>
      </c>
      <c r="C7101" s="455">
        <v>7.0000000000000001E-3</v>
      </c>
      <c r="D7101" s="637">
        <f t="shared" si="236"/>
        <v>1.794444444444445E-2</v>
      </c>
      <c r="E7101" s="637">
        <f t="shared" si="237"/>
        <v>2.3888888888888907E-2</v>
      </c>
    </row>
    <row r="7102" spans="1:5">
      <c r="A7102">
        <v>102313</v>
      </c>
      <c r="B7102">
        <v>1800</v>
      </c>
      <c r="C7102" s="455">
        <v>10.368</v>
      </c>
      <c r="D7102" s="637">
        <f t="shared" si="236"/>
        <v>26.57828571428572</v>
      </c>
      <c r="E7102" s="637">
        <f t="shared" si="237"/>
        <v>35.382857142857169</v>
      </c>
    </row>
    <row r="7103" spans="1:5">
      <c r="A7103">
        <v>102313</v>
      </c>
      <c r="B7103">
        <v>1900</v>
      </c>
      <c r="C7103" s="455">
        <v>10.6</v>
      </c>
      <c r="D7103" s="637">
        <f t="shared" si="236"/>
        <v>27.173015873015878</v>
      </c>
      <c r="E7103" s="637">
        <f t="shared" si="237"/>
        <v>36.174603174603199</v>
      </c>
    </row>
    <row r="7104" spans="1:5">
      <c r="A7104">
        <v>102313</v>
      </c>
      <c r="B7104">
        <v>2000</v>
      </c>
      <c r="C7104" s="455">
        <v>11.363</v>
      </c>
      <c r="D7104" s="637">
        <f t="shared" si="236"/>
        <v>29.128960317460319</v>
      </c>
      <c r="E7104" s="637">
        <f t="shared" si="237"/>
        <v>38.778492063492088</v>
      </c>
    </row>
    <row r="7105" spans="1:5">
      <c r="A7105">
        <v>102313</v>
      </c>
      <c r="B7105">
        <v>2100</v>
      </c>
      <c r="C7105" s="455">
        <v>11.368</v>
      </c>
      <c r="D7105" s="637">
        <f t="shared" si="236"/>
        <v>29.141777777777786</v>
      </c>
      <c r="E7105" s="637">
        <f t="shared" si="237"/>
        <v>38.795555555555588</v>
      </c>
    </row>
    <row r="7106" spans="1:5">
      <c r="A7106">
        <v>102313</v>
      </c>
      <c r="B7106">
        <v>2200</v>
      </c>
      <c r="C7106" s="455">
        <v>11.365</v>
      </c>
      <c r="D7106" s="637">
        <f t="shared" si="236"/>
        <v>29.134087301587307</v>
      </c>
      <c r="E7106" s="637">
        <f t="shared" si="237"/>
        <v>38.785317460317486</v>
      </c>
    </row>
    <row r="7107" spans="1:5">
      <c r="A7107">
        <v>102313</v>
      </c>
      <c r="B7107">
        <v>2300</v>
      </c>
      <c r="C7107" s="455">
        <v>10.968</v>
      </c>
      <c r="D7107" s="637">
        <f t="shared" si="236"/>
        <v>28.116380952380958</v>
      </c>
      <c r="E7107" s="637">
        <f t="shared" si="237"/>
        <v>37.43047619047622</v>
      </c>
    </row>
    <row r="7108" spans="1:5">
      <c r="A7108">
        <v>102313</v>
      </c>
      <c r="B7108">
        <v>2400</v>
      </c>
      <c r="C7108" s="455">
        <v>11.224</v>
      </c>
      <c r="D7108" s="637">
        <f t="shared" si="236"/>
        <v>28.772634920634928</v>
      </c>
      <c r="E7108" s="637">
        <f t="shared" si="237"/>
        <v>38.304126984127009</v>
      </c>
    </row>
    <row r="7109" spans="1:5">
      <c r="A7109">
        <v>102413</v>
      </c>
      <c r="B7109">
        <v>100</v>
      </c>
      <c r="C7109" s="455">
        <v>11.352</v>
      </c>
      <c r="D7109" s="637">
        <f t="shared" si="236"/>
        <v>29.10076190476191</v>
      </c>
      <c r="E7109" s="637">
        <f t="shared" si="237"/>
        <v>38.740952380952407</v>
      </c>
    </row>
    <row r="7110" spans="1:5">
      <c r="A7110">
        <v>102413</v>
      </c>
      <c r="B7110">
        <v>200</v>
      </c>
      <c r="C7110" s="455">
        <v>11.353999999999999</v>
      </c>
      <c r="D7110" s="637">
        <f t="shared" si="236"/>
        <v>29.105888888888892</v>
      </c>
      <c r="E7110" s="637">
        <f t="shared" si="237"/>
        <v>38.747777777777799</v>
      </c>
    </row>
    <row r="7111" spans="1:5">
      <c r="A7111">
        <v>102413</v>
      </c>
      <c r="B7111">
        <v>300</v>
      </c>
      <c r="C7111" s="455">
        <v>11.173</v>
      </c>
      <c r="D7111" s="637">
        <f t="shared" si="236"/>
        <v>28.641896825396831</v>
      </c>
      <c r="E7111" s="637">
        <f t="shared" si="237"/>
        <v>38.130079365079389</v>
      </c>
    </row>
    <row r="7112" spans="1:5">
      <c r="A7112">
        <v>102413</v>
      </c>
      <c r="B7112">
        <v>400</v>
      </c>
      <c r="C7112" s="455">
        <v>11.35</v>
      </c>
      <c r="D7112" s="637">
        <f t="shared" si="236"/>
        <v>29.095634920634922</v>
      </c>
      <c r="E7112" s="637">
        <f t="shared" si="237"/>
        <v>38.734126984127009</v>
      </c>
    </row>
    <row r="7113" spans="1:5">
      <c r="A7113">
        <v>102413</v>
      </c>
      <c r="B7113">
        <v>500</v>
      </c>
      <c r="C7113" s="455">
        <v>11.202999999999999</v>
      </c>
      <c r="D7113" s="637">
        <f t="shared" si="236"/>
        <v>28.718801587301591</v>
      </c>
      <c r="E7113" s="637">
        <f t="shared" si="237"/>
        <v>38.232460317460337</v>
      </c>
    </row>
    <row r="7114" spans="1:5">
      <c r="A7114">
        <v>102413</v>
      </c>
      <c r="B7114">
        <v>600</v>
      </c>
      <c r="C7114" s="455">
        <v>10.946</v>
      </c>
      <c r="D7114" s="637">
        <f t="shared" si="236"/>
        <v>28.059984126984133</v>
      </c>
      <c r="E7114" s="637">
        <f t="shared" si="237"/>
        <v>37.355396825396852</v>
      </c>
    </row>
    <row r="7115" spans="1:5">
      <c r="A7115">
        <v>102413</v>
      </c>
      <c r="B7115">
        <v>700</v>
      </c>
      <c r="C7115" s="455">
        <v>10.445</v>
      </c>
      <c r="D7115" s="637">
        <f t="shared" si="236"/>
        <v>26.775674603174608</v>
      </c>
      <c r="E7115" s="637">
        <f t="shared" si="237"/>
        <v>35.645634920634947</v>
      </c>
    </row>
    <row r="7116" spans="1:5">
      <c r="A7116">
        <v>102413</v>
      </c>
      <c r="B7116">
        <v>800</v>
      </c>
      <c r="C7116" s="455">
        <v>1.7000000000000001E-2</v>
      </c>
      <c r="D7116" s="637">
        <f t="shared" si="236"/>
        <v>4.3579365079365086E-2</v>
      </c>
      <c r="E7116" s="637">
        <f t="shared" si="237"/>
        <v>5.8015873015873055E-2</v>
      </c>
    </row>
    <row r="7117" spans="1:5">
      <c r="A7117">
        <v>102413</v>
      </c>
      <c r="B7117">
        <v>900</v>
      </c>
      <c r="C7117" s="455">
        <v>2E-3</v>
      </c>
      <c r="D7117" s="637">
        <f t="shared" si="236"/>
        <v>5.1269841269841283E-3</v>
      </c>
      <c r="E7117" s="637">
        <f t="shared" si="237"/>
        <v>6.8253968253968308E-3</v>
      </c>
    </row>
    <row r="7118" spans="1:5">
      <c r="A7118">
        <v>102413</v>
      </c>
      <c r="B7118">
        <v>1000</v>
      </c>
      <c r="C7118" s="455">
        <v>0</v>
      </c>
      <c r="D7118" s="637">
        <f t="shared" si="236"/>
        <v>0</v>
      </c>
      <c r="E7118" s="637">
        <f t="shared" si="237"/>
        <v>0</v>
      </c>
    </row>
    <row r="7119" spans="1:5">
      <c r="A7119">
        <v>102413</v>
      </c>
      <c r="B7119">
        <v>1100</v>
      </c>
      <c r="C7119" s="455">
        <v>0</v>
      </c>
      <c r="D7119" s="637">
        <f t="shared" si="236"/>
        <v>0</v>
      </c>
      <c r="E7119" s="637">
        <f t="shared" si="237"/>
        <v>0</v>
      </c>
    </row>
    <row r="7120" spans="1:5">
      <c r="A7120">
        <v>102413</v>
      </c>
      <c r="B7120">
        <v>1200</v>
      </c>
      <c r="C7120" s="455">
        <v>0</v>
      </c>
      <c r="D7120" s="637">
        <f t="shared" si="236"/>
        <v>0</v>
      </c>
      <c r="E7120" s="637">
        <f t="shared" si="237"/>
        <v>0</v>
      </c>
    </row>
    <row r="7121" spans="1:5">
      <c r="A7121">
        <v>102413</v>
      </c>
      <c r="B7121">
        <v>1300</v>
      </c>
      <c r="C7121" s="455">
        <v>0</v>
      </c>
      <c r="D7121" s="637">
        <f t="shared" si="236"/>
        <v>0</v>
      </c>
      <c r="E7121" s="637">
        <f t="shared" si="237"/>
        <v>0</v>
      </c>
    </row>
    <row r="7122" spans="1:5">
      <c r="A7122">
        <v>102413</v>
      </c>
      <c r="B7122">
        <v>1400</v>
      </c>
      <c r="C7122" s="455">
        <v>0</v>
      </c>
      <c r="D7122" s="637">
        <f t="shared" si="236"/>
        <v>0</v>
      </c>
      <c r="E7122" s="637">
        <f t="shared" si="237"/>
        <v>0</v>
      </c>
    </row>
    <row r="7123" spans="1:5">
      <c r="A7123">
        <v>102413</v>
      </c>
      <c r="B7123">
        <v>1500</v>
      </c>
      <c r="C7123" s="455">
        <v>0</v>
      </c>
      <c r="D7123" s="637">
        <f t="shared" si="236"/>
        <v>0</v>
      </c>
      <c r="E7123" s="637">
        <f t="shared" si="237"/>
        <v>0</v>
      </c>
    </row>
    <row r="7124" spans="1:5">
      <c r="A7124">
        <v>102413</v>
      </c>
      <c r="B7124">
        <v>1600</v>
      </c>
      <c r="C7124" s="455">
        <v>0</v>
      </c>
      <c r="D7124" s="637">
        <f t="shared" si="236"/>
        <v>0</v>
      </c>
      <c r="E7124" s="637">
        <f t="shared" si="237"/>
        <v>0</v>
      </c>
    </row>
    <row r="7125" spans="1:5">
      <c r="A7125">
        <v>102413</v>
      </c>
      <c r="B7125">
        <v>1700</v>
      </c>
      <c r="C7125" s="455">
        <v>3.0000000000000001E-3</v>
      </c>
      <c r="D7125" s="637">
        <f t="shared" si="236"/>
        <v>7.690476190476192E-3</v>
      </c>
      <c r="E7125" s="637">
        <f t="shared" si="237"/>
        <v>1.0238095238095246E-2</v>
      </c>
    </row>
    <row r="7126" spans="1:5">
      <c r="A7126">
        <v>102413</v>
      </c>
      <c r="B7126">
        <v>1800</v>
      </c>
      <c r="C7126" s="455">
        <v>10.986000000000001</v>
      </c>
      <c r="D7126" s="637">
        <f t="shared" si="236"/>
        <v>28.162523809523815</v>
      </c>
      <c r="E7126" s="637">
        <f t="shared" si="237"/>
        <v>37.491904761904792</v>
      </c>
    </row>
    <row r="7127" spans="1:5">
      <c r="A7127">
        <v>102413</v>
      </c>
      <c r="B7127">
        <v>1900</v>
      </c>
      <c r="C7127" s="455">
        <v>10.145</v>
      </c>
      <c r="D7127" s="637">
        <f t="shared" si="236"/>
        <v>26.006626984126985</v>
      </c>
      <c r="E7127" s="637">
        <f t="shared" si="237"/>
        <v>34.621825396825415</v>
      </c>
    </row>
    <row r="7128" spans="1:5">
      <c r="A7128">
        <v>102413</v>
      </c>
      <c r="B7128">
        <v>2000</v>
      </c>
      <c r="C7128" s="455">
        <v>11.182</v>
      </c>
      <c r="D7128" s="637">
        <f t="shared" si="236"/>
        <v>28.664968253968262</v>
      </c>
      <c r="E7128" s="637">
        <f t="shared" si="237"/>
        <v>38.160793650793678</v>
      </c>
    </row>
    <row r="7129" spans="1:5">
      <c r="A7129">
        <v>102413</v>
      </c>
      <c r="B7129">
        <v>2100</v>
      </c>
      <c r="C7129" s="455">
        <v>11.228</v>
      </c>
      <c r="D7129" s="637">
        <f t="shared" si="236"/>
        <v>28.782888888888895</v>
      </c>
      <c r="E7129" s="637">
        <f t="shared" si="237"/>
        <v>38.317777777777806</v>
      </c>
    </row>
    <row r="7130" spans="1:5">
      <c r="A7130">
        <v>102413</v>
      </c>
      <c r="B7130">
        <v>2200</v>
      </c>
      <c r="C7130" s="455">
        <v>11.159000000000001</v>
      </c>
      <c r="D7130" s="637">
        <f t="shared" si="236"/>
        <v>28.606007936507943</v>
      </c>
      <c r="E7130" s="637">
        <f t="shared" si="237"/>
        <v>38.082301587301615</v>
      </c>
    </row>
    <row r="7131" spans="1:5">
      <c r="A7131">
        <v>102413</v>
      </c>
      <c r="B7131">
        <v>2300</v>
      </c>
      <c r="C7131" s="455">
        <v>11.269</v>
      </c>
      <c r="D7131" s="637">
        <f t="shared" si="236"/>
        <v>28.887992063492067</v>
      </c>
      <c r="E7131" s="637">
        <f t="shared" si="237"/>
        <v>38.457698412698441</v>
      </c>
    </row>
    <row r="7132" spans="1:5">
      <c r="A7132">
        <v>102413</v>
      </c>
      <c r="B7132">
        <v>2400</v>
      </c>
      <c r="C7132" s="455">
        <v>11.175000000000001</v>
      </c>
      <c r="D7132" s="637">
        <f t="shared" si="236"/>
        <v>28.647023809523816</v>
      </c>
      <c r="E7132" s="637">
        <f t="shared" si="237"/>
        <v>38.136904761904788</v>
      </c>
    </row>
    <row r="7133" spans="1:5">
      <c r="A7133">
        <v>102513</v>
      </c>
      <c r="B7133">
        <v>100</v>
      </c>
      <c r="C7133" s="455">
        <v>11.247999999999999</v>
      </c>
      <c r="D7133" s="637">
        <f t="shared" si="236"/>
        <v>28.834158730158734</v>
      </c>
      <c r="E7133" s="637">
        <f t="shared" si="237"/>
        <v>38.386031746031769</v>
      </c>
    </row>
    <row r="7134" spans="1:5">
      <c r="A7134">
        <v>102513</v>
      </c>
      <c r="B7134">
        <v>200</v>
      </c>
      <c r="C7134" s="455">
        <v>11.423</v>
      </c>
      <c r="D7134" s="637">
        <f t="shared" ref="D7134:D7197" si="238">(C7134/(MAX($C$6557:$C$7300)))*$W$14</f>
        <v>29.282769841269847</v>
      </c>
      <c r="E7134" s="637">
        <f t="shared" ref="E7134:E7197" si="239">(C7134/(MAX($C$6557:$C$7300)))*$P$14</f>
        <v>38.98325396825399</v>
      </c>
    </row>
    <row r="7135" spans="1:5">
      <c r="A7135">
        <v>102513</v>
      </c>
      <c r="B7135">
        <v>300</v>
      </c>
      <c r="C7135" s="455">
        <v>11.175000000000001</v>
      </c>
      <c r="D7135" s="637">
        <f t="shared" si="238"/>
        <v>28.647023809523816</v>
      </c>
      <c r="E7135" s="637">
        <f t="shared" si="239"/>
        <v>38.136904761904788</v>
      </c>
    </row>
    <row r="7136" spans="1:5">
      <c r="A7136">
        <v>102513</v>
      </c>
      <c r="B7136">
        <v>400</v>
      </c>
      <c r="C7136" s="455">
        <v>11.188000000000001</v>
      </c>
      <c r="D7136" s="637">
        <f t="shared" si="238"/>
        <v>28.680349206349213</v>
      </c>
      <c r="E7136" s="637">
        <f t="shared" si="239"/>
        <v>38.181269841269874</v>
      </c>
    </row>
    <row r="7137" spans="1:5">
      <c r="A7137">
        <v>102513</v>
      </c>
      <c r="B7137">
        <v>500</v>
      </c>
      <c r="C7137" s="455">
        <v>11.362</v>
      </c>
      <c r="D7137" s="637">
        <f t="shared" si="238"/>
        <v>29.126396825396832</v>
      </c>
      <c r="E7137" s="637">
        <f t="shared" si="239"/>
        <v>38.775079365079392</v>
      </c>
    </row>
    <row r="7138" spans="1:5">
      <c r="A7138">
        <v>102513</v>
      </c>
      <c r="B7138">
        <v>600</v>
      </c>
      <c r="C7138" s="455">
        <v>10.840999999999999</v>
      </c>
      <c r="D7138" s="637">
        <f t="shared" si="238"/>
        <v>27.790817460317463</v>
      </c>
      <c r="E7138" s="637">
        <f t="shared" si="239"/>
        <v>36.997063492063511</v>
      </c>
    </row>
    <row r="7139" spans="1:5">
      <c r="A7139">
        <v>102513</v>
      </c>
      <c r="B7139">
        <v>700</v>
      </c>
      <c r="C7139" s="455">
        <v>10.811</v>
      </c>
      <c r="D7139" s="637">
        <f t="shared" si="238"/>
        <v>27.713912698412702</v>
      </c>
      <c r="E7139" s="637">
        <f t="shared" si="239"/>
        <v>36.894682539682563</v>
      </c>
    </row>
    <row r="7140" spans="1:5">
      <c r="A7140">
        <v>102513</v>
      </c>
      <c r="B7140">
        <v>800</v>
      </c>
      <c r="C7140" s="455">
        <v>4.5999999999999999E-2</v>
      </c>
      <c r="D7140" s="637">
        <f t="shared" si="238"/>
        <v>0.11792063492063494</v>
      </c>
      <c r="E7140" s="637">
        <f t="shared" si="239"/>
        <v>0.15698412698412709</v>
      </c>
    </row>
    <row r="7141" spans="1:5">
      <c r="A7141">
        <v>102513</v>
      </c>
      <c r="B7141">
        <v>900</v>
      </c>
      <c r="C7141" s="455">
        <v>0</v>
      </c>
      <c r="D7141" s="637">
        <f t="shared" si="238"/>
        <v>0</v>
      </c>
      <c r="E7141" s="637">
        <f t="shared" si="239"/>
        <v>0</v>
      </c>
    </row>
    <row r="7142" spans="1:5">
      <c r="A7142">
        <v>102513</v>
      </c>
      <c r="B7142">
        <v>1000</v>
      </c>
      <c r="C7142" s="455">
        <v>1E-3</v>
      </c>
      <c r="D7142" s="637">
        <f t="shared" si="238"/>
        <v>2.5634920634920642E-3</v>
      </c>
      <c r="E7142" s="637">
        <f t="shared" si="239"/>
        <v>3.4126984126984154E-3</v>
      </c>
    </row>
    <row r="7143" spans="1:5">
      <c r="A7143">
        <v>102513</v>
      </c>
      <c r="B7143">
        <v>1100</v>
      </c>
      <c r="C7143" s="455">
        <v>0</v>
      </c>
      <c r="D7143" s="637">
        <f t="shared" si="238"/>
        <v>0</v>
      </c>
      <c r="E7143" s="637">
        <f t="shared" si="239"/>
        <v>0</v>
      </c>
    </row>
    <row r="7144" spans="1:5">
      <c r="A7144">
        <v>102513</v>
      </c>
      <c r="B7144">
        <v>1200</v>
      </c>
      <c r="C7144" s="455">
        <v>0</v>
      </c>
      <c r="D7144" s="637">
        <f t="shared" si="238"/>
        <v>0</v>
      </c>
      <c r="E7144" s="637">
        <f t="shared" si="239"/>
        <v>0</v>
      </c>
    </row>
    <row r="7145" spans="1:5">
      <c r="A7145">
        <v>102513</v>
      </c>
      <c r="B7145">
        <v>1300</v>
      </c>
      <c r="C7145" s="455">
        <v>0</v>
      </c>
      <c r="D7145" s="637">
        <f t="shared" si="238"/>
        <v>0</v>
      </c>
      <c r="E7145" s="637">
        <f t="shared" si="239"/>
        <v>0</v>
      </c>
    </row>
    <row r="7146" spans="1:5">
      <c r="A7146">
        <v>102513</v>
      </c>
      <c r="B7146">
        <v>1400</v>
      </c>
      <c r="C7146" s="455">
        <v>0</v>
      </c>
      <c r="D7146" s="637">
        <f t="shared" si="238"/>
        <v>0</v>
      </c>
      <c r="E7146" s="637">
        <f t="shared" si="239"/>
        <v>0</v>
      </c>
    </row>
    <row r="7147" spans="1:5">
      <c r="A7147">
        <v>102513</v>
      </c>
      <c r="B7147">
        <v>1500</v>
      </c>
      <c r="C7147" s="455">
        <v>0</v>
      </c>
      <c r="D7147" s="637">
        <f t="shared" si="238"/>
        <v>0</v>
      </c>
      <c r="E7147" s="637">
        <f t="shared" si="239"/>
        <v>0</v>
      </c>
    </row>
    <row r="7148" spans="1:5">
      <c r="A7148">
        <v>102513</v>
      </c>
      <c r="B7148">
        <v>1600</v>
      </c>
      <c r="C7148" s="455">
        <v>1E-3</v>
      </c>
      <c r="D7148" s="637">
        <f t="shared" si="238"/>
        <v>2.5634920634920642E-3</v>
      </c>
      <c r="E7148" s="637">
        <f t="shared" si="239"/>
        <v>3.4126984126984154E-3</v>
      </c>
    </row>
    <row r="7149" spans="1:5">
      <c r="A7149">
        <v>102513</v>
      </c>
      <c r="B7149">
        <v>1700</v>
      </c>
      <c r="C7149" s="455">
        <v>1.5269999999999999</v>
      </c>
      <c r="D7149" s="637">
        <f t="shared" si="238"/>
        <v>3.9144523809523815</v>
      </c>
      <c r="E7149" s="637">
        <f t="shared" si="239"/>
        <v>5.2111904761904793</v>
      </c>
    </row>
    <row r="7150" spans="1:5">
      <c r="A7150">
        <v>102513</v>
      </c>
      <c r="B7150">
        <v>1800</v>
      </c>
      <c r="C7150" s="455">
        <v>12.090999999999999</v>
      </c>
      <c r="D7150" s="637">
        <f t="shared" si="238"/>
        <v>30.995182539682546</v>
      </c>
      <c r="E7150" s="637">
        <f t="shared" si="239"/>
        <v>41.262936507936537</v>
      </c>
    </row>
    <row r="7151" spans="1:5">
      <c r="A7151">
        <v>102513</v>
      </c>
      <c r="B7151">
        <v>1900</v>
      </c>
      <c r="C7151" s="455">
        <v>10.827</v>
      </c>
      <c r="D7151" s="637">
        <f t="shared" si="238"/>
        <v>27.754928571428575</v>
      </c>
      <c r="E7151" s="637">
        <f t="shared" si="239"/>
        <v>36.949285714285736</v>
      </c>
    </row>
    <row r="7152" spans="1:5">
      <c r="A7152">
        <v>102513</v>
      </c>
      <c r="B7152">
        <v>2000</v>
      </c>
      <c r="C7152" s="455">
        <v>11.085000000000001</v>
      </c>
      <c r="D7152" s="637">
        <f t="shared" si="238"/>
        <v>28.416309523809531</v>
      </c>
      <c r="E7152" s="637">
        <f t="shared" si="239"/>
        <v>37.829761904761931</v>
      </c>
    </row>
    <row r="7153" spans="1:5">
      <c r="A7153">
        <v>102513</v>
      </c>
      <c r="B7153">
        <v>2100</v>
      </c>
      <c r="C7153" s="455">
        <v>11.079000000000001</v>
      </c>
      <c r="D7153" s="637">
        <f t="shared" si="238"/>
        <v>28.40092857142858</v>
      </c>
      <c r="E7153" s="637">
        <f t="shared" si="239"/>
        <v>37.809285714285743</v>
      </c>
    </row>
    <row r="7154" spans="1:5">
      <c r="A7154">
        <v>102513</v>
      </c>
      <c r="B7154">
        <v>2200</v>
      </c>
      <c r="C7154" s="455">
        <v>11.163</v>
      </c>
      <c r="D7154" s="637">
        <f t="shared" si="238"/>
        <v>28.61626190476191</v>
      </c>
      <c r="E7154" s="637">
        <f t="shared" si="239"/>
        <v>38.095952380952404</v>
      </c>
    </row>
    <row r="7155" spans="1:5">
      <c r="A7155">
        <v>102513</v>
      </c>
      <c r="B7155">
        <v>2300</v>
      </c>
      <c r="C7155" s="455">
        <v>11.125</v>
      </c>
      <c r="D7155" s="637">
        <f t="shared" si="238"/>
        <v>28.518849206349209</v>
      </c>
      <c r="E7155" s="637">
        <f t="shared" si="239"/>
        <v>37.966269841269863</v>
      </c>
    </row>
    <row r="7156" spans="1:5">
      <c r="A7156">
        <v>102513</v>
      </c>
      <c r="B7156">
        <v>2400</v>
      </c>
      <c r="C7156" s="455">
        <v>11.092000000000001</v>
      </c>
      <c r="D7156" s="637">
        <f t="shared" si="238"/>
        <v>28.434253968253977</v>
      </c>
      <c r="E7156" s="637">
        <f t="shared" si="239"/>
        <v>37.853650793650822</v>
      </c>
    </row>
    <row r="7157" spans="1:5">
      <c r="A7157">
        <v>102613</v>
      </c>
      <c r="B7157">
        <v>100</v>
      </c>
      <c r="C7157" s="455">
        <v>11.321999999999999</v>
      </c>
      <c r="D7157" s="637">
        <f t="shared" si="238"/>
        <v>29.023857142857146</v>
      </c>
      <c r="E7157" s="637">
        <f t="shared" si="239"/>
        <v>38.638571428571453</v>
      </c>
    </row>
    <row r="7158" spans="1:5">
      <c r="A7158">
        <v>102613</v>
      </c>
      <c r="B7158">
        <v>200</v>
      </c>
      <c r="C7158" s="455">
        <v>11.182</v>
      </c>
      <c r="D7158" s="637">
        <f t="shared" si="238"/>
        <v>28.664968253968262</v>
      </c>
      <c r="E7158" s="637">
        <f t="shared" si="239"/>
        <v>38.160793650793678</v>
      </c>
    </row>
    <row r="7159" spans="1:5">
      <c r="A7159">
        <v>102613</v>
      </c>
      <c r="B7159">
        <v>300</v>
      </c>
      <c r="C7159" s="455">
        <v>11.289</v>
      </c>
      <c r="D7159" s="637">
        <f t="shared" si="238"/>
        <v>28.93926190476191</v>
      </c>
      <c r="E7159" s="637">
        <f t="shared" si="239"/>
        <v>38.525952380952404</v>
      </c>
    </row>
    <row r="7160" spans="1:5">
      <c r="A7160">
        <v>102613</v>
      </c>
      <c r="B7160">
        <v>400</v>
      </c>
      <c r="C7160" s="455">
        <v>11.363</v>
      </c>
      <c r="D7160" s="637">
        <f t="shared" si="238"/>
        <v>29.128960317460319</v>
      </c>
      <c r="E7160" s="637">
        <f t="shared" si="239"/>
        <v>38.778492063492088</v>
      </c>
    </row>
    <row r="7161" spans="1:5">
      <c r="A7161">
        <v>102613</v>
      </c>
      <c r="B7161">
        <v>500</v>
      </c>
      <c r="C7161" s="455">
        <v>10.996</v>
      </c>
      <c r="D7161" s="637">
        <f t="shared" si="238"/>
        <v>28.188158730158737</v>
      </c>
      <c r="E7161" s="637">
        <f t="shared" si="239"/>
        <v>37.526031746031769</v>
      </c>
    </row>
    <row r="7162" spans="1:5">
      <c r="A7162">
        <v>102613</v>
      </c>
      <c r="B7162">
        <v>600</v>
      </c>
      <c r="C7162" s="455">
        <v>11.163</v>
      </c>
      <c r="D7162" s="637">
        <f t="shared" si="238"/>
        <v>28.61626190476191</v>
      </c>
      <c r="E7162" s="637">
        <f t="shared" si="239"/>
        <v>38.095952380952404</v>
      </c>
    </row>
    <row r="7163" spans="1:5">
      <c r="A7163">
        <v>102613</v>
      </c>
      <c r="B7163">
        <v>700</v>
      </c>
      <c r="C7163" s="455">
        <v>12.683</v>
      </c>
      <c r="D7163" s="637">
        <f t="shared" si="238"/>
        <v>32.512769841269844</v>
      </c>
      <c r="E7163" s="637">
        <f t="shared" si="239"/>
        <v>43.283253968253995</v>
      </c>
    </row>
    <row r="7164" spans="1:5">
      <c r="A7164">
        <v>102613</v>
      </c>
      <c r="B7164">
        <v>800</v>
      </c>
      <c r="C7164" s="455">
        <v>11.286</v>
      </c>
      <c r="D7164" s="637">
        <f t="shared" si="238"/>
        <v>28.931571428571434</v>
      </c>
      <c r="E7164" s="637">
        <f t="shared" si="239"/>
        <v>38.51571428571431</v>
      </c>
    </row>
    <row r="7165" spans="1:5">
      <c r="A7165">
        <v>102613</v>
      </c>
      <c r="B7165">
        <v>900</v>
      </c>
      <c r="C7165" s="455">
        <v>0.63</v>
      </c>
      <c r="D7165" s="637">
        <f t="shared" si="238"/>
        <v>1.6150000000000002</v>
      </c>
      <c r="E7165" s="637">
        <f t="shared" si="239"/>
        <v>2.1500000000000012</v>
      </c>
    </row>
    <row r="7166" spans="1:5">
      <c r="A7166">
        <v>102613</v>
      </c>
      <c r="B7166">
        <v>1000</v>
      </c>
      <c r="C7166" s="455">
        <v>8.9999999999999993E-3</v>
      </c>
      <c r="D7166" s="637">
        <f t="shared" si="238"/>
        <v>2.3071428571428573E-2</v>
      </c>
      <c r="E7166" s="637">
        <f t="shared" si="239"/>
        <v>3.0714285714285732E-2</v>
      </c>
    </row>
    <row r="7167" spans="1:5">
      <c r="A7167">
        <v>102613</v>
      </c>
      <c r="B7167">
        <v>1100</v>
      </c>
      <c r="C7167" s="455">
        <v>1E-3</v>
      </c>
      <c r="D7167" s="637">
        <f t="shared" si="238"/>
        <v>2.5634920634920642E-3</v>
      </c>
      <c r="E7167" s="637">
        <f t="shared" si="239"/>
        <v>3.4126984126984154E-3</v>
      </c>
    </row>
    <row r="7168" spans="1:5">
      <c r="A7168">
        <v>102613</v>
      </c>
      <c r="B7168">
        <v>1200</v>
      </c>
      <c r="C7168" s="455">
        <v>0</v>
      </c>
      <c r="D7168" s="637">
        <f t="shared" si="238"/>
        <v>0</v>
      </c>
      <c r="E7168" s="637">
        <f t="shared" si="239"/>
        <v>0</v>
      </c>
    </row>
    <row r="7169" spans="1:5">
      <c r="A7169">
        <v>102613</v>
      </c>
      <c r="B7169">
        <v>1300</v>
      </c>
      <c r="C7169" s="455">
        <v>1E-3</v>
      </c>
      <c r="D7169" s="637">
        <f t="shared" si="238"/>
        <v>2.5634920634920642E-3</v>
      </c>
      <c r="E7169" s="637">
        <f t="shared" si="239"/>
        <v>3.4126984126984154E-3</v>
      </c>
    </row>
    <row r="7170" spans="1:5">
      <c r="A7170">
        <v>102613</v>
      </c>
      <c r="B7170">
        <v>1400</v>
      </c>
      <c r="C7170" s="455">
        <v>0</v>
      </c>
      <c r="D7170" s="637">
        <f t="shared" si="238"/>
        <v>0</v>
      </c>
      <c r="E7170" s="637">
        <f t="shared" si="239"/>
        <v>0</v>
      </c>
    </row>
    <row r="7171" spans="1:5">
      <c r="A7171">
        <v>102613</v>
      </c>
      <c r="B7171">
        <v>1500</v>
      </c>
      <c r="C7171" s="455">
        <v>0</v>
      </c>
      <c r="D7171" s="637">
        <f t="shared" si="238"/>
        <v>0</v>
      </c>
      <c r="E7171" s="637">
        <f t="shared" si="239"/>
        <v>0</v>
      </c>
    </row>
    <row r="7172" spans="1:5">
      <c r="A7172">
        <v>102613</v>
      </c>
      <c r="B7172">
        <v>1600</v>
      </c>
      <c r="C7172" s="455">
        <v>6.0000000000000001E-3</v>
      </c>
      <c r="D7172" s="637">
        <f t="shared" si="238"/>
        <v>1.5380952380952384E-2</v>
      </c>
      <c r="E7172" s="637">
        <f t="shared" si="239"/>
        <v>2.0476190476190492E-2</v>
      </c>
    </row>
    <row r="7173" spans="1:5">
      <c r="A7173">
        <v>102613</v>
      </c>
      <c r="B7173">
        <v>1700</v>
      </c>
      <c r="C7173" s="455">
        <v>1.895</v>
      </c>
      <c r="D7173" s="637">
        <f t="shared" si="238"/>
        <v>4.8578174603174613</v>
      </c>
      <c r="E7173" s="637">
        <f t="shared" si="239"/>
        <v>6.4670634920634962</v>
      </c>
    </row>
    <row r="7174" spans="1:5">
      <c r="A7174">
        <v>102613</v>
      </c>
      <c r="B7174">
        <v>1800</v>
      </c>
      <c r="C7174" s="455">
        <v>12.715999999999999</v>
      </c>
      <c r="D7174" s="637">
        <f t="shared" si="238"/>
        <v>32.597365079365083</v>
      </c>
      <c r="E7174" s="637">
        <f t="shared" si="239"/>
        <v>43.395873015873043</v>
      </c>
    </row>
    <row r="7175" spans="1:5">
      <c r="A7175">
        <v>102613</v>
      </c>
      <c r="B7175">
        <v>1900</v>
      </c>
      <c r="C7175" s="455">
        <v>10.958</v>
      </c>
      <c r="D7175" s="637">
        <f t="shared" si="238"/>
        <v>28.090746031746036</v>
      </c>
      <c r="E7175" s="637">
        <f t="shared" si="239"/>
        <v>37.396349206349228</v>
      </c>
    </row>
    <row r="7176" spans="1:5">
      <c r="A7176">
        <v>102613</v>
      </c>
      <c r="B7176">
        <v>2000</v>
      </c>
      <c r="C7176" s="455">
        <v>11.454000000000001</v>
      </c>
      <c r="D7176" s="637">
        <f t="shared" si="238"/>
        <v>29.362238095238101</v>
      </c>
      <c r="E7176" s="637">
        <f t="shared" si="239"/>
        <v>39.089047619047648</v>
      </c>
    </row>
    <row r="7177" spans="1:5">
      <c r="A7177">
        <v>102613</v>
      </c>
      <c r="B7177">
        <v>2100</v>
      </c>
      <c r="C7177" s="455">
        <v>11.244999999999999</v>
      </c>
      <c r="D7177" s="637">
        <f t="shared" si="238"/>
        <v>28.826468253968258</v>
      </c>
      <c r="E7177" s="637">
        <f t="shared" si="239"/>
        <v>38.375793650793675</v>
      </c>
    </row>
    <row r="7178" spans="1:5">
      <c r="A7178">
        <v>102613</v>
      </c>
      <c r="B7178">
        <v>2200</v>
      </c>
      <c r="C7178" s="455">
        <v>11.183</v>
      </c>
      <c r="D7178" s="637">
        <f t="shared" si="238"/>
        <v>28.667531746031749</v>
      </c>
      <c r="E7178" s="637">
        <f t="shared" si="239"/>
        <v>38.164206349206374</v>
      </c>
    </row>
    <row r="7179" spans="1:5">
      <c r="A7179">
        <v>102613</v>
      </c>
      <c r="B7179">
        <v>2300</v>
      </c>
      <c r="C7179" s="455">
        <v>11.288</v>
      </c>
      <c r="D7179" s="637">
        <f t="shared" si="238"/>
        <v>28.936698412698419</v>
      </c>
      <c r="E7179" s="637">
        <f t="shared" si="239"/>
        <v>38.522539682539708</v>
      </c>
    </row>
    <row r="7180" spans="1:5">
      <c r="A7180">
        <v>102613</v>
      </c>
      <c r="B7180">
        <v>2400</v>
      </c>
      <c r="C7180" s="455">
        <v>11.32</v>
      </c>
      <c r="D7180" s="637">
        <f t="shared" si="238"/>
        <v>29.018730158730165</v>
      </c>
      <c r="E7180" s="637">
        <f t="shared" si="239"/>
        <v>38.631746031746061</v>
      </c>
    </row>
    <row r="7181" spans="1:5">
      <c r="A7181">
        <v>102713</v>
      </c>
      <c r="B7181">
        <v>100</v>
      </c>
      <c r="C7181" s="455">
        <v>11.359</v>
      </c>
      <c r="D7181" s="637">
        <f t="shared" si="238"/>
        <v>29.118706349206356</v>
      </c>
      <c r="E7181" s="637">
        <f t="shared" si="239"/>
        <v>38.764841269841298</v>
      </c>
    </row>
    <row r="7182" spans="1:5">
      <c r="A7182">
        <v>102713</v>
      </c>
      <c r="B7182">
        <v>200</v>
      </c>
      <c r="C7182" s="455">
        <v>11.351000000000001</v>
      </c>
      <c r="D7182" s="637">
        <f t="shared" si="238"/>
        <v>29.098198412698419</v>
      </c>
      <c r="E7182" s="637">
        <f t="shared" si="239"/>
        <v>38.737539682539712</v>
      </c>
    </row>
    <row r="7183" spans="1:5">
      <c r="A7183">
        <v>102713</v>
      </c>
      <c r="B7183">
        <v>300</v>
      </c>
      <c r="C7183" s="455">
        <v>11.244</v>
      </c>
      <c r="D7183" s="637">
        <f t="shared" si="238"/>
        <v>28.823904761904767</v>
      </c>
      <c r="E7183" s="637">
        <f t="shared" si="239"/>
        <v>38.372380952380979</v>
      </c>
    </row>
    <row r="7184" spans="1:5">
      <c r="A7184">
        <v>102713</v>
      </c>
      <c r="B7184">
        <v>400</v>
      </c>
      <c r="C7184" s="455">
        <v>11.273999999999999</v>
      </c>
      <c r="D7184" s="637">
        <f t="shared" si="238"/>
        <v>28.900809523809524</v>
      </c>
      <c r="E7184" s="637">
        <f t="shared" si="239"/>
        <v>38.474761904761927</v>
      </c>
    </row>
    <row r="7185" spans="1:5">
      <c r="A7185">
        <v>102713</v>
      </c>
      <c r="B7185">
        <v>500</v>
      </c>
      <c r="C7185" s="455">
        <v>11.092000000000001</v>
      </c>
      <c r="D7185" s="637">
        <f t="shared" si="238"/>
        <v>28.434253968253977</v>
      </c>
      <c r="E7185" s="637">
        <f t="shared" si="239"/>
        <v>37.853650793650822</v>
      </c>
    </row>
    <row r="7186" spans="1:5">
      <c r="A7186">
        <v>102713</v>
      </c>
      <c r="B7186">
        <v>600</v>
      </c>
      <c r="C7186" s="455">
        <v>11.135</v>
      </c>
      <c r="D7186" s="637">
        <f t="shared" si="238"/>
        <v>28.544484126984134</v>
      </c>
      <c r="E7186" s="637">
        <f t="shared" si="239"/>
        <v>38.000396825396855</v>
      </c>
    </row>
    <row r="7187" spans="1:5">
      <c r="A7187">
        <v>102713</v>
      </c>
      <c r="B7187">
        <v>700</v>
      </c>
      <c r="C7187" s="455">
        <v>12.016</v>
      </c>
      <c r="D7187" s="637">
        <f t="shared" si="238"/>
        <v>30.802920634920639</v>
      </c>
      <c r="E7187" s="637">
        <f t="shared" si="239"/>
        <v>41.006984126984158</v>
      </c>
    </row>
    <row r="7188" spans="1:5">
      <c r="A7188">
        <v>102713</v>
      </c>
      <c r="B7188">
        <v>800</v>
      </c>
      <c r="C7188" s="455">
        <v>0.58099999999999996</v>
      </c>
      <c r="D7188" s="637">
        <f t="shared" si="238"/>
        <v>1.4893888888888889</v>
      </c>
      <c r="E7188" s="637">
        <f t="shared" si="239"/>
        <v>1.9827777777777789</v>
      </c>
    </row>
    <row r="7189" spans="1:5">
      <c r="A7189">
        <v>102713</v>
      </c>
      <c r="B7189">
        <v>900</v>
      </c>
      <c r="C7189" s="455">
        <v>1E-3</v>
      </c>
      <c r="D7189" s="637">
        <f t="shared" si="238"/>
        <v>2.5634920634920642E-3</v>
      </c>
      <c r="E7189" s="637">
        <f t="shared" si="239"/>
        <v>3.4126984126984154E-3</v>
      </c>
    </row>
    <row r="7190" spans="1:5">
      <c r="A7190">
        <v>102713</v>
      </c>
      <c r="B7190">
        <v>1000</v>
      </c>
      <c r="C7190" s="455">
        <v>0</v>
      </c>
      <c r="D7190" s="637">
        <f t="shared" si="238"/>
        <v>0</v>
      </c>
      <c r="E7190" s="637">
        <f t="shared" si="239"/>
        <v>0</v>
      </c>
    </row>
    <row r="7191" spans="1:5">
      <c r="A7191">
        <v>102713</v>
      </c>
      <c r="B7191">
        <v>1100</v>
      </c>
      <c r="C7191" s="455">
        <v>0</v>
      </c>
      <c r="D7191" s="637">
        <f t="shared" si="238"/>
        <v>0</v>
      </c>
      <c r="E7191" s="637">
        <f t="shared" si="239"/>
        <v>0</v>
      </c>
    </row>
    <row r="7192" spans="1:5">
      <c r="A7192">
        <v>102713</v>
      </c>
      <c r="B7192">
        <v>1200</v>
      </c>
      <c r="C7192" s="455">
        <v>0</v>
      </c>
      <c r="D7192" s="637">
        <f t="shared" si="238"/>
        <v>0</v>
      </c>
      <c r="E7192" s="637">
        <f t="shared" si="239"/>
        <v>0</v>
      </c>
    </row>
    <row r="7193" spans="1:5">
      <c r="A7193">
        <v>102713</v>
      </c>
      <c r="B7193">
        <v>1300</v>
      </c>
      <c r="C7193" s="455">
        <v>0</v>
      </c>
      <c r="D7193" s="637">
        <f t="shared" si="238"/>
        <v>0</v>
      </c>
      <c r="E7193" s="637">
        <f t="shared" si="239"/>
        <v>0</v>
      </c>
    </row>
    <row r="7194" spans="1:5">
      <c r="A7194">
        <v>102713</v>
      </c>
      <c r="B7194">
        <v>1400</v>
      </c>
      <c r="C7194" s="455">
        <v>0</v>
      </c>
      <c r="D7194" s="637">
        <f t="shared" si="238"/>
        <v>0</v>
      </c>
      <c r="E7194" s="637">
        <f t="shared" si="239"/>
        <v>0</v>
      </c>
    </row>
    <row r="7195" spans="1:5">
      <c r="A7195">
        <v>102713</v>
      </c>
      <c r="B7195">
        <v>1500</v>
      </c>
      <c r="C7195" s="455">
        <v>0</v>
      </c>
      <c r="D7195" s="637">
        <f t="shared" si="238"/>
        <v>0</v>
      </c>
      <c r="E7195" s="637">
        <f t="shared" si="239"/>
        <v>0</v>
      </c>
    </row>
    <row r="7196" spans="1:5">
      <c r="A7196">
        <v>102713</v>
      </c>
      <c r="B7196">
        <v>1600</v>
      </c>
      <c r="C7196" s="455">
        <v>0</v>
      </c>
      <c r="D7196" s="637">
        <f t="shared" si="238"/>
        <v>0</v>
      </c>
      <c r="E7196" s="637">
        <f t="shared" si="239"/>
        <v>0</v>
      </c>
    </row>
    <row r="7197" spans="1:5">
      <c r="A7197">
        <v>102713</v>
      </c>
      <c r="B7197">
        <v>1700</v>
      </c>
      <c r="C7197" s="455">
        <v>0.246</v>
      </c>
      <c r="D7197" s="637">
        <f t="shared" si="238"/>
        <v>0.63061904761904775</v>
      </c>
      <c r="E7197" s="637">
        <f t="shared" si="239"/>
        <v>0.83952380952381012</v>
      </c>
    </row>
    <row r="7198" spans="1:5">
      <c r="A7198">
        <v>102713</v>
      </c>
      <c r="B7198">
        <v>1800</v>
      </c>
      <c r="C7198" s="455">
        <v>11.074</v>
      </c>
      <c r="D7198" s="637">
        <f t="shared" ref="D7198:D7261" si="240">(C7198/(MAX($C$6557:$C$7300)))*$W$14</f>
        <v>28.388111111111115</v>
      </c>
      <c r="E7198" s="637">
        <f t="shared" ref="E7198:E7261" si="241">(C7198/(MAX($C$6557:$C$7300)))*$P$14</f>
        <v>37.792222222222243</v>
      </c>
    </row>
    <row r="7199" spans="1:5">
      <c r="A7199">
        <v>102713</v>
      </c>
      <c r="B7199">
        <v>1900</v>
      </c>
      <c r="C7199" s="455">
        <v>10.481</v>
      </c>
      <c r="D7199" s="637">
        <f t="shared" si="240"/>
        <v>26.867960317460323</v>
      </c>
      <c r="E7199" s="637">
        <f t="shared" si="241"/>
        <v>35.76849206349209</v>
      </c>
    </row>
    <row r="7200" spans="1:5">
      <c r="A7200">
        <v>102713</v>
      </c>
      <c r="B7200">
        <v>2000</v>
      </c>
      <c r="C7200" s="455">
        <v>11.1</v>
      </c>
      <c r="D7200" s="637">
        <f t="shared" si="240"/>
        <v>28.454761904761909</v>
      </c>
      <c r="E7200" s="637">
        <f t="shared" si="241"/>
        <v>37.880952380952408</v>
      </c>
    </row>
    <row r="7201" spans="1:5">
      <c r="A7201">
        <v>102713</v>
      </c>
      <c r="B7201">
        <v>2100</v>
      </c>
      <c r="C7201" s="455">
        <v>11.101000000000001</v>
      </c>
      <c r="D7201" s="637">
        <f t="shared" si="240"/>
        <v>28.457325396825407</v>
      </c>
      <c r="E7201" s="637">
        <f t="shared" si="241"/>
        <v>37.884365079365111</v>
      </c>
    </row>
    <row r="7202" spans="1:5">
      <c r="A7202">
        <v>102713</v>
      </c>
      <c r="B7202">
        <v>2200</v>
      </c>
      <c r="C7202" s="455">
        <v>10.919</v>
      </c>
      <c r="D7202" s="637">
        <f t="shared" si="240"/>
        <v>27.990769841269849</v>
      </c>
      <c r="E7202" s="637">
        <f t="shared" si="241"/>
        <v>37.263253968253998</v>
      </c>
    </row>
    <row r="7203" spans="1:5">
      <c r="A7203">
        <v>102713</v>
      </c>
      <c r="B7203">
        <v>2300</v>
      </c>
      <c r="C7203" s="455">
        <v>11.209</v>
      </c>
      <c r="D7203" s="637">
        <f t="shared" si="240"/>
        <v>28.734182539682543</v>
      </c>
      <c r="E7203" s="637">
        <f t="shared" si="241"/>
        <v>38.252936507936532</v>
      </c>
    </row>
    <row r="7204" spans="1:5">
      <c r="A7204">
        <v>102713</v>
      </c>
      <c r="B7204">
        <v>2400</v>
      </c>
      <c r="C7204" s="455">
        <v>11.068</v>
      </c>
      <c r="D7204" s="637">
        <f t="shared" si="240"/>
        <v>28.372730158730164</v>
      </c>
      <c r="E7204" s="637">
        <f t="shared" si="241"/>
        <v>37.771746031746055</v>
      </c>
    </row>
    <row r="7205" spans="1:5">
      <c r="A7205">
        <v>102813</v>
      </c>
      <c r="B7205">
        <v>100</v>
      </c>
      <c r="C7205" s="455">
        <v>11.363</v>
      </c>
      <c r="D7205" s="637">
        <f t="shared" si="240"/>
        <v>29.128960317460319</v>
      </c>
      <c r="E7205" s="637">
        <f t="shared" si="241"/>
        <v>38.778492063492088</v>
      </c>
    </row>
    <row r="7206" spans="1:5">
      <c r="A7206">
        <v>102813</v>
      </c>
      <c r="B7206">
        <v>200</v>
      </c>
      <c r="C7206" s="455">
        <v>11.157</v>
      </c>
      <c r="D7206" s="637">
        <f t="shared" si="240"/>
        <v>28.600880952380958</v>
      </c>
      <c r="E7206" s="637">
        <f t="shared" si="241"/>
        <v>38.075476190476216</v>
      </c>
    </row>
    <row r="7207" spans="1:5">
      <c r="A7207">
        <v>102813</v>
      </c>
      <c r="B7207">
        <v>300</v>
      </c>
      <c r="C7207" s="455">
        <v>11.318</v>
      </c>
      <c r="D7207" s="637">
        <f t="shared" si="240"/>
        <v>29.01360317460318</v>
      </c>
      <c r="E7207" s="637">
        <f t="shared" si="241"/>
        <v>38.624920634920663</v>
      </c>
    </row>
    <row r="7208" spans="1:5">
      <c r="A7208">
        <v>102813</v>
      </c>
      <c r="B7208">
        <v>400</v>
      </c>
      <c r="C7208" s="455">
        <v>10.988</v>
      </c>
      <c r="D7208" s="637">
        <f t="shared" si="240"/>
        <v>28.1676507936508</v>
      </c>
      <c r="E7208" s="637">
        <f t="shared" si="241"/>
        <v>37.498730158730183</v>
      </c>
    </row>
    <row r="7209" spans="1:5">
      <c r="A7209">
        <v>102813</v>
      </c>
      <c r="B7209">
        <v>500</v>
      </c>
      <c r="C7209" s="455">
        <v>11.162000000000001</v>
      </c>
      <c r="D7209" s="637">
        <f t="shared" si="240"/>
        <v>28.613698412698419</v>
      </c>
      <c r="E7209" s="637">
        <f t="shared" si="241"/>
        <v>38.092539682539709</v>
      </c>
    </row>
    <row r="7210" spans="1:5">
      <c r="A7210">
        <v>102813</v>
      </c>
      <c r="B7210">
        <v>600</v>
      </c>
      <c r="C7210" s="455">
        <v>10.718</v>
      </c>
      <c r="D7210" s="637">
        <f t="shared" si="240"/>
        <v>27.475507936507942</v>
      </c>
      <c r="E7210" s="637">
        <f t="shared" si="241"/>
        <v>36.577301587301612</v>
      </c>
    </row>
    <row r="7211" spans="1:5">
      <c r="A7211">
        <v>102813</v>
      </c>
      <c r="B7211">
        <v>700</v>
      </c>
      <c r="C7211" s="455">
        <v>12.163</v>
      </c>
      <c r="D7211" s="637">
        <f t="shared" si="240"/>
        <v>31.179753968253973</v>
      </c>
      <c r="E7211" s="637">
        <f t="shared" si="241"/>
        <v>41.508650793650823</v>
      </c>
    </row>
    <row r="7212" spans="1:5">
      <c r="A7212">
        <v>102813</v>
      </c>
      <c r="B7212">
        <v>800</v>
      </c>
      <c r="C7212" s="455">
        <v>0.41099999999999998</v>
      </c>
      <c r="D7212" s="637">
        <f t="shared" si="240"/>
        <v>1.0535952380952383</v>
      </c>
      <c r="E7212" s="637">
        <f t="shared" si="241"/>
        <v>1.4026190476190485</v>
      </c>
    </row>
    <row r="7213" spans="1:5">
      <c r="A7213">
        <v>102813</v>
      </c>
      <c r="B7213">
        <v>900</v>
      </c>
      <c r="C7213" s="455">
        <v>0</v>
      </c>
      <c r="D7213" s="637">
        <f t="shared" si="240"/>
        <v>0</v>
      </c>
      <c r="E7213" s="637">
        <f t="shared" si="241"/>
        <v>0</v>
      </c>
    </row>
    <row r="7214" spans="1:5">
      <c r="A7214">
        <v>102813</v>
      </c>
      <c r="B7214">
        <v>1000</v>
      </c>
      <c r="C7214" s="455">
        <v>0</v>
      </c>
      <c r="D7214" s="637">
        <f t="shared" si="240"/>
        <v>0</v>
      </c>
      <c r="E7214" s="637">
        <f t="shared" si="241"/>
        <v>0</v>
      </c>
    </row>
    <row r="7215" spans="1:5">
      <c r="A7215">
        <v>102813</v>
      </c>
      <c r="B7215">
        <v>1100</v>
      </c>
      <c r="C7215" s="455">
        <v>0</v>
      </c>
      <c r="D7215" s="637">
        <f t="shared" si="240"/>
        <v>0</v>
      </c>
      <c r="E7215" s="637">
        <f t="shared" si="241"/>
        <v>0</v>
      </c>
    </row>
    <row r="7216" spans="1:5">
      <c r="A7216">
        <v>102813</v>
      </c>
      <c r="B7216">
        <v>1200</v>
      </c>
      <c r="C7216" s="455">
        <v>0</v>
      </c>
      <c r="D7216" s="637">
        <f t="shared" si="240"/>
        <v>0</v>
      </c>
      <c r="E7216" s="637">
        <f t="shared" si="241"/>
        <v>0</v>
      </c>
    </row>
    <row r="7217" spans="1:5">
      <c r="A7217">
        <v>102813</v>
      </c>
      <c r="B7217">
        <v>1300</v>
      </c>
      <c r="C7217" s="455">
        <v>0</v>
      </c>
      <c r="D7217" s="637">
        <f t="shared" si="240"/>
        <v>0</v>
      </c>
      <c r="E7217" s="637">
        <f t="shared" si="241"/>
        <v>0</v>
      </c>
    </row>
    <row r="7218" spans="1:5">
      <c r="A7218">
        <v>102813</v>
      </c>
      <c r="B7218">
        <v>1400</v>
      </c>
      <c r="C7218" s="455">
        <v>0</v>
      </c>
      <c r="D7218" s="637">
        <f t="shared" si="240"/>
        <v>0</v>
      </c>
      <c r="E7218" s="637">
        <f t="shared" si="241"/>
        <v>0</v>
      </c>
    </row>
    <row r="7219" spans="1:5">
      <c r="A7219">
        <v>102813</v>
      </c>
      <c r="B7219">
        <v>1500</v>
      </c>
      <c r="C7219" s="455">
        <v>0</v>
      </c>
      <c r="D7219" s="637">
        <f t="shared" si="240"/>
        <v>0</v>
      </c>
      <c r="E7219" s="637">
        <f t="shared" si="241"/>
        <v>0</v>
      </c>
    </row>
    <row r="7220" spans="1:5">
      <c r="A7220">
        <v>102813</v>
      </c>
      <c r="B7220">
        <v>1600</v>
      </c>
      <c r="C7220" s="455">
        <v>0</v>
      </c>
      <c r="D7220" s="637">
        <f t="shared" si="240"/>
        <v>0</v>
      </c>
      <c r="E7220" s="637">
        <f t="shared" si="241"/>
        <v>0</v>
      </c>
    </row>
    <row r="7221" spans="1:5">
      <c r="A7221">
        <v>102813</v>
      </c>
      <c r="B7221">
        <v>1700</v>
      </c>
      <c r="C7221" s="455">
        <v>3.2000000000000001E-2</v>
      </c>
      <c r="D7221" s="637">
        <f t="shared" si="240"/>
        <v>8.2031746031746053E-2</v>
      </c>
      <c r="E7221" s="637">
        <f t="shared" si="241"/>
        <v>0.10920634920634929</v>
      </c>
    </row>
    <row r="7222" spans="1:5">
      <c r="A7222">
        <v>102813</v>
      </c>
      <c r="B7222">
        <v>1800</v>
      </c>
      <c r="C7222" s="455">
        <v>11.605</v>
      </c>
      <c r="D7222" s="637">
        <f t="shared" si="240"/>
        <v>29.749325396825402</v>
      </c>
      <c r="E7222" s="637">
        <f t="shared" si="241"/>
        <v>39.60436507936511</v>
      </c>
    </row>
    <row r="7223" spans="1:5">
      <c r="A7223">
        <v>102813</v>
      </c>
      <c r="B7223">
        <v>1900</v>
      </c>
      <c r="C7223" s="455">
        <v>11.116</v>
      </c>
      <c r="D7223" s="637">
        <f t="shared" si="240"/>
        <v>28.495777777777782</v>
      </c>
      <c r="E7223" s="637">
        <f t="shared" si="241"/>
        <v>37.935555555555581</v>
      </c>
    </row>
    <row r="7224" spans="1:5">
      <c r="A7224">
        <v>102813</v>
      </c>
      <c r="B7224">
        <v>2000</v>
      </c>
      <c r="C7224" s="455">
        <v>11.268000000000001</v>
      </c>
      <c r="D7224" s="637">
        <f t="shared" si="240"/>
        <v>28.88542857142858</v>
      </c>
      <c r="E7224" s="637">
        <f t="shared" si="241"/>
        <v>38.454285714285746</v>
      </c>
    </row>
    <row r="7225" spans="1:5">
      <c r="A7225">
        <v>102813</v>
      </c>
      <c r="B7225">
        <v>2100</v>
      </c>
      <c r="C7225" s="455">
        <v>11.266999999999999</v>
      </c>
      <c r="D7225" s="637">
        <f t="shared" si="240"/>
        <v>28.882865079365082</v>
      </c>
      <c r="E7225" s="637">
        <f t="shared" si="241"/>
        <v>38.450873015873043</v>
      </c>
    </row>
    <row r="7226" spans="1:5">
      <c r="A7226">
        <v>102813</v>
      </c>
      <c r="B7226">
        <v>2200</v>
      </c>
      <c r="C7226" s="455">
        <v>11.090999999999999</v>
      </c>
      <c r="D7226" s="637">
        <f t="shared" si="240"/>
        <v>28.431690476190479</v>
      </c>
      <c r="E7226" s="637">
        <f t="shared" si="241"/>
        <v>37.850238095238119</v>
      </c>
    </row>
    <row r="7227" spans="1:5">
      <c r="A7227">
        <v>102813</v>
      </c>
      <c r="B7227">
        <v>2300</v>
      </c>
      <c r="C7227" s="455">
        <v>11.378</v>
      </c>
      <c r="D7227" s="637">
        <f t="shared" si="240"/>
        <v>29.167412698412704</v>
      </c>
      <c r="E7227" s="637">
        <f t="shared" si="241"/>
        <v>38.829682539682565</v>
      </c>
    </row>
    <row r="7228" spans="1:5">
      <c r="A7228">
        <v>102813</v>
      </c>
      <c r="B7228">
        <v>2400</v>
      </c>
      <c r="C7228" s="455">
        <v>11.067</v>
      </c>
      <c r="D7228" s="637">
        <f t="shared" si="240"/>
        <v>28.37016666666667</v>
      </c>
      <c r="E7228" s="637">
        <f t="shared" si="241"/>
        <v>37.768333333333359</v>
      </c>
    </row>
    <row r="7229" spans="1:5">
      <c r="A7229">
        <v>102913</v>
      </c>
      <c r="B7229">
        <v>100</v>
      </c>
      <c r="C7229" s="455">
        <v>11.301</v>
      </c>
      <c r="D7229" s="637">
        <f t="shared" si="240"/>
        <v>28.970023809523813</v>
      </c>
      <c r="E7229" s="637">
        <f t="shared" si="241"/>
        <v>38.566904761904787</v>
      </c>
    </row>
    <row r="7230" spans="1:5">
      <c r="A7230">
        <v>102913</v>
      </c>
      <c r="B7230">
        <v>200</v>
      </c>
      <c r="C7230" s="455">
        <v>11.271000000000001</v>
      </c>
      <c r="D7230" s="637">
        <f t="shared" si="240"/>
        <v>28.893119047619056</v>
      </c>
      <c r="E7230" s="637">
        <f t="shared" si="241"/>
        <v>38.46452380952384</v>
      </c>
    </row>
    <row r="7231" spans="1:5">
      <c r="A7231">
        <v>102913</v>
      </c>
      <c r="B7231">
        <v>300</v>
      </c>
      <c r="C7231" s="455">
        <v>11.273</v>
      </c>
      <c r="D7231" s="637">
        <f t="shared" si="240"/>
        <v>28.898246031746037</v>
      </c>
      <c r="E7231" s="637">
        <f t="shared" si="241"/>
        <v>38.471349206349231</v>
      </c>
    </row>
    <row r="7232" spans="1:5">
      <c r="A7232">
        <v>102913</v>
      </c>
      <c r="B7232">
        <v>400</v>
      </c>
      <c r="C7232" s="455">
        <v>11.169</v>
      </c>
      <c r="D7232" s="637">
        <f t="shared" si="240"/>
        <v>28.631642857142865</v>
      </c>
      <c r="E7232" s="637">
        <f t="shared" si="241"/>
        <v>38.1164285714286</v>
      </c>
    </row>
    <row r="7233" spans="1:5">
      <c r="A7233">
        <v>102913</v>
      </c>
      <c r="B7233">
        <v>500</v>
      </c>
      <c r="C7233" s="455">
        <v>11.414</v>
      </c>
      <c r="D7233" s="637">
        <f t="shared" si="240"/>
        <v>29.259698412698416</v>
      </c>
      <c r="E7233" s="637">
        <f t="shared" si="241"/>
        <v>38.952539682539708</v>
      </c>
    </row>
    <row r="7234" spans="1:5">
      <c r="A7234">
        <v>102913</v>
      </c>
      <c r="B7234">
        <v>600</v>
      </c>
      <c r="C7234" s="455">
        <v>11.28</v>
      </c>
      <c r="D7234" s="637">
        <f t="shared" si="240"/>
        <v>28.916190476190479</v>
      </c>
      <c r="E7234" s="637">
        <f t="shared" si="241"/>
        <v>38.495238095238122</v>
      </c>
    </row>
    <row r="7235" spans="1:5">
      <c r="A7235">
        <v>102913</v>
      </c>
      <c r="B7235">
        <v>700</v>
      </c>
      <c r="C7235" s="455">
        <v>11.635</v>
      </c>
      <c r="D7235" s="637">
        <f t="shared" si="240"/>
        <v>29.826230158730166</v>
      </c>
      <c r="E7235" s="637">
        <f t="shared" si="241"/>
        <v>39.706746031746057</v>
      </c>
    </row>
    <row r="7236" spans="1:5">
      <c r="A7236">
        <v>102913</v>
      </c>
      <c r="B7236">
        <v>800</v>
      </c>
      <c r="C7236" s="455">
        <v>0.23599999999999999</v>
      </c>
      <c r="D7236" s="637">
        <f t="shared" si="240"/>
        <v>0.60498412698412707</v>
      </c>
      <c r="E7236" s="637">
        <f t="shared" si="241"/>
        <v>0.805396825396826</v>
      </c>
    </row>
    <row r="7237" spans="1:5">
      <c r="A7237">
        <v>102913</v>
      </c>
      <c r="B7237">
        <v>900</v>
      </c>
      <c r="C7237" s="455">
        <v>0</v>
      </c>
      <c r="D7237" s="637">
        <f t="shared" si="240"/>
        <v>0</v>
      </c>
      <c r="E7237" s="637">
        <f t="shared" si="241"/>
        <v>0</v>
      </c>
    </row>
    <row r="7238" spans="1:5">
      <c r="A7238">
        <v>102913</v>
      </c>
      <c r="B7238">
        <v>1000</v>
      </c>
      <c r="C7238" s="455">
        <v>0</v>
      </c>
      <c r="D7238" s="637">
        <f t="shared" si="240"/>
        <v>0</v>
      </c>
      <c r="E7238" s="637">
        <f t="shared" si="241"/>
        <v>0</v>
      </c>
    </row>
    <row r="7239" spans="1:5">
      <c r="A7239">
        <v>102913</v>
      </c>
      <c r="B7239">
        <v>1100</v>
      </c>
      <c r="C7239" s="455">
        <v>0</v>
      </c>
      <c r="D7239" s="637">
        <f t="shared" si="240"/>
        <v>0</v>
      </c>
      <c r="E7239" s="637">
        <f t="shared" si="241"/>
        <v>0</v>
      </c>
    </row>
    <row r="7240" spans="1:5">
      <c r="A7240">
        <v>102913</v>
      </c>
      <c r="B7240">
        <v>1200</v>
      </c>
      <c r="C7240" s="455">
        <v>0</v>
      </c>
      <c r="D7240" s="637">
        <f t="shared" si="240"/>
        <v>0</v>
      </c>
      <c r="E7240" s="637">
        <f t="shared" si="241"/>
        <v>0</v>
      </c>
    </row>
    <row r="7241" spans="1:5">
      <c r="A7241">
        <v>102913</v>
      </c>
      <c r="B7241">
        <v>1300</v>
      </c>
      <c r="C7241" s="455">
        <v>0</v>
      </c>
      <c r="D7241" s="637">
        <f t="shared" si="240"/>
        <v>0</v>
      </c>
      <c r="E7241" s="637">
        <f t="shared" si="241"/>
        <v>0</v>
      </c>
    </row>
    <row r="7242" spans="1:5">
      <c r="A7242">
        <v>102913</v>
      </c>
      <c r="B7242">
        <v>1400</v>
      </c>
      <c r="C7242" s="455">
        <v>0</v>
      </c>
      <c r="D7242" s="637">
        <f t="shared" si="240"/>
        <v>0</v>
      </c>
      <c r="E7242" s="637">
        <f t="shared" si="241"/>
        <v>0</v>
      </c>
    </row>
    <row r="7243" spans="1:5">
      <c r="A7243">
        <v>102913</v>
      </c>
      <c r="B7243">
        <v>1500</v>
      </c>
      <c r="C7243" s="455">
        <v>0</v>
      </c>
      <c r="D7243" s="637">
        <f t="shared" si="240"/>
        <v>0</v>
      </c>
      <c r="E7243" s="637">
        <f t="shared" si="241"/>
        <v>0</v>
      </c>
    </row>
    <row r="7244" spans="1:5">
      <c r="A7244">
        <v>102913</v>
      </c>
      <c r="B7244">
        <v>1600</v>
      </c>
      <c r="C7244" s="455">
        <v>0</v>
      </c>
      <c r="D7244" s="637">
        <f t="shared" si="240"/>
        <v>0</v>
      </c>
      <c r="E7244" s="637">
        <f t="shared" si="241"/>
        <v>0</v>
      </c>
    </row>
    <row r="7245" spans="1:5">
      <c r="A7245">
        <v>102913</v>
      </c>
      <c r="B7245">
        <v>1700</v>
      </c>
      <c r="C7245" s="455">
        <v>0.86599999999999999</v>
      </c>
      <c r="D7245" s="637">
        <f t="shared" si="240"/>
        <v>2.2199841269841269</v>
      </c>
      <c r="E7245" s="637">
        <f t="shared" si="241"/>
        <v>2.9553968253968272</v>
      </c>
    </row>
    <row r="7246" spans="1:5">
      <c r="A7246">
        <v>102913</v>
      </c>
      <c r="B7246">
        <v>1800</v>
      </c>
      <c r="C7246" s="455">
        <v>11.865</v>
      </c>
      <c r="D7246" s="637">
        <f t="shared" si="240"/>
        <v>30.415833333333339</v>
      </c>
      <c r="E7246" s="637">
        <f t="shared" si="241"/>
        <v>40.491666666666696</v>
      </c>
    </row>
    <row r="7247" spans="1:5">
      <c r="A7247">
        <v>102913</v>
      </c>
      <c r="B7247">
        <v>1900</v>
      </c>
      <c r="C7247" s="455">
        <v>11.006</v>
      </c>
      <c r="D7247" s="637">
        <f t="shared" si="240"/>
        <v>28.213793650793658</v>
      </c>
      <c r="E7247" s="637">
        <f t="shared" si="241"/>
        <v>37.560158730158754</v>
      </c>
    </row>
    <row r="7248" spans="1:5">
      <c r="A7248">
        <v>102913</v>
      </c>
      <c r="B7248">
        <v>2000</v>
      </c>
      <c r="C7248" s="455">
        <v>11.231999999999999</v>
      </c>
      <c r="D7248" s="637">
        <f t="shared" si="240"/>
        <v>28.793142857142858</v>
      </c>
      <c r="E7248" s="637">
        <f t="shared" si="241"/>
        <v>38.331428571428596</v>
      </c>
    </row>
    <row r="7249" spans="1:5">
      <c r="A7249">
        <v>102913</v>
      </c>
      <c r="B7249">
        <v>2100</v>
      </c>
      <c r="C7249" s="455">
        <v>11.164</v>
      </c>
      <c r="D7249" s="637">
        <f t="shared" si="240"/>
        <v>28.6188253968254</v>
      </c>
      <c r="E7249" s="637">
        <f t="shared" si="241"/>
        <v>38.099365079365107</v>
      </c>
    </row>
    <row r="7250" spans="1:5">
      <c r="A7250">
        <v>102913</v>
      </c>
      <c r="B7250">
        <v>2200</v>
      </c>
      <c r="C7250" s="455">
        <v>11.010999999999999</v>
      </c>
      <c r="D7250" s="637">
        <f t="shared" si="240"/>
        <v>28.226611111111115</v>
      </c>
      <c r="E7250" s="637">
        <f t="shared" si="241"/>
        <v>37.577222222222247</v>
      </c>
    </row>
    <row r="7251" spans="1:5">
      <c r="A7251">
        <v>102913</v>
      </c>
      <c r="B7251">
        <v>2300</v>
      </c>
      <c r="C7251" s="455">
        <v>11.259</v>
      </c>
      <c r="D7251" s="637">
        <f t="shared" si="240"/>
        <v>28.862357142857149</v>
      </c>
      <c r="E7251" s="637">
        <f t="shared" si="241"/>
        <v>38.423571428571456</v>
      </c>
    </row>
    <row r="7252" spans="1:5">
      <c r="A7252">
        <v>102913</v>
      </c>
      <c r="B7252">
        <v>2400</v>
      </c>
      <c r="C7252" s="455">
        <v>11.164</v>
      </c>
      <c r="D7252" s="637">
        <f t="shared" si="240"/>
        <v>28.6188253968254</v>
      </c>
      <c r="E7252" s="637">
        <f t="shared" si="241"/>
        <v>38.099365079365107</v>
      </c>
    </row>
    <row r="7253" spans="1:5">
      <c r="A7253">
        <v>103013</v>
      </c>
      <c r="B7253">
        <v>100</v>
      </c>
      <c r="C7253" s="455">
        <v>10.977</v>
      </c>
      <c r="D7253" s="637">
        <f t="shared" si="240"/>
        <v>28.139452380952388</v>
      </c>
      <c r="E7253" s="637">
        <f t="shared" si="241"/>
        <v>37.461190476190502</v>
      </c>
    </row>
    <row r="7254" spans="1:5">
      <c r="A7254">
        <v>103013</v>
      </c>
      <c r="B7254">
        <v>200</v>
      </c>
      <c r="C7254" s="455">
        <v>10.909000000000001</v>
      </c>
      <c r="D7254" s="637">
        <f t="shared" si="240"/>
        <v>27.965134920634927</v>
      </c>
      <c r="E7254" s="637">
        <f t="shared" si="241"/>
        <v>37.229126984127014</v>
      </c>
    </row>
    <row r="7255" spans="1:5">
      <c r="A7255">
        <v>103013</v>
      </c>
      <c r="B7255">
        <v>300</v>
      </c>
      <c r="C7255" s="455">
        <v>11.166</v>
      </c>
      <c r="D7255" s="637">
        <f t="shared" si="240"/>
        <v>28.623952380952389</v>
      </c>
      <c r="E7255" s="637">
        <f t="shared" si="241"/>
        <v>38.106190476190505</v>
      </c>
    </row>
    <row r="7256" spans="1:5">
      <c r="A7256">
        <v>103013</v>
      </c>
      <c r="B7256">
        <v>400</v>
      </c>
      <c r="C7256" s="455">
        <v>11.2</v>
      </c>
      <c r="D7256" s="637">
        <f t="shared" si="240"/>
        <v>28.711111111111116</v>
      </c>
      <c r="E7256" s="637">
        <f t="shared" si="241"/>
        <v>38.22222222222225</v>
      </c>
    </row>
    <row r="7257" spans="1:5">
      <c r="A7257">
        <v>103013</v>
      </c>
      <c r="B7257">
        <v>500</v>
      </c>
      <c r="C7257" s="455">
        <v>10.978</v>
      </c>
      <c r="D7257" s="637">
        <f t="shared" si="240"/>
        <v>28.142015873015875</v>
      </c>
      <c r="E7257" s="637">
        <f t="shared" si="241"/>
        <v>37.464603174603198</v>
      </c>
    </row>
    <row r="7258" spans="1:5">
      <c r="A7258">
        <v>103013</v>
      </c>
      <c r="B7258">
        <v>600</v>
      </c>
      <c r="C7258" s="455">
        <v>10.885</v>
      </c>
      <c r="D7258" s="637">
        <f t="shared" si="240"/>
        <v>27.903611111111115</v>
      </c>
      <c r="E7258" s="637">
        <f t="shared" si="241"/>
        <v>37.147222222222247</v>
      </c>
    </row>
    <row r="7259" spans="1:5">
      <c r="A7259">
        <v>103013</v>
      </c>
      <c r="B7259">
        <v>700</v>
      </c>
      <c r="C7259" s="455">
        <v>12.65</v>
      </c>
      <c r="D7259" s="637">
        <f t="shared" si="240"/>
        <v>32.428174603174611</v>
      </c>
      <c r="E7259" s="637">
        <f t="shared" si="241"/>
        <v>43.170634920634946</v>
      </c>
    </row>
    <row r="7260" spans="1:5">
      <c r="A7260">
        <v>103013</v>
      </c>
      <c r="B7260">
        <v>800</v>
      </c>
      <c r="C7260" s="455">
        <v>2.82</v>
      </c>
      <c r="D7260" s="637">
        <f t="shared" si="240"/>
        <v>7.2290476190476198</v>
      </c>
      <c r="E7260" s="637">
        <f t="shared" si="241"/>
        <v>9.6238095238095305</v>
      </c>
    </row>
    <row r="7261" spans="1:5">
      <c r="A7261">
        <v>103013</v>
      </c>
      <c r="B7261">
        <v>900</v>
      </c>
      <c r="C7261" s="455">
        <v>0</v>
      </c>
      <c r="D7261" s="637">
        <f t="shared" si="240"/>
        <v>0</v>
      </c>
      <c r="E7261" s="637">
        <f t="shared" si="241"/>
        <v>0</v>
      </c>
    </row>
    <row r="7262" spans="1:5">
      <c r="A7262">
        <v>103013</v>
      </c>
      <c r="B7262">
        <v>1000</v>
      </c>
      <c r="C7262" s="455">
        <v>0</v>
      </c>
      <c r="D7262" s="637">
        <f t="shared" ref="D7262:D7300" si="242">(C7262/(MAX($C$6557:$C$7300)))*$W$14</f>
        <v>0</v>
      </c>
      <c r="E7262" s="637">
        <f t="shared" ref="E7262:E7300" si="243">(C7262/(MAX($C$6557:$C$7300)))*$P$14</f>
        <v>0</v>
      </c>
    </row>
    <row r="7263" spans="1:5">
      <c r="A7263">
        <v>103013</v>
      </c>
      <c r="B7263">
        <v>1100</v>
      </c>
      <c r="C7263" s="455">
        <v>1E-3</v>
      </c>
      <c r="D7263" s="637">
        <f t="shared" si="242"/>
        <v>2.5634920634920642E-3</v>
      </c>
      <c r="E7263" s="637">
        <f t="shared" si="243"/>
        <v>3.4126984126984154E-3</v>
      </c>
    </row>
    <row r="7264" spans="1:5">
      <c r="A7264">
        <v>103013</v>
      </c>
      <c r="B7264">
        <v>1200</v>
      </c>
      <c r="C7264" s="455">
        <v>0</v>
      </c>
      <c r="D7264" s="637">
        <f t="shared" si="242"/>
        <v>0</v>
      </c>
      <c r="E7264" s="637">
        <f t="shared" si="243"/>
        <v>0</v>
      </c>
    </row>
    <row r="7265" spans="1:5">
      <c r="A7265">
        <v>103013</v>
      </c>
      <c r="B7265">
        <v>1300</v>
      </c>
      <c r="C7265" s="455">
        <v>0</v>
      </c>
      <c r="D7265" s="637">
        <f t="shared" si="242"/>
        <v>0</v>
      </c>
      <c r="E7265" s="637">
        <f t="shared" si="243"/>
        <v>0</v>
      </c>
    </row>
    <row r="7266" spans="1:5">
      <c r="A7266">
        <v>103013</v>
      </c>
      <c r="B7266">
        <v>1400</v>
      </c>
      <c r="C7266" s="455">
        <v>0</v>
      </c>
      <c r="D7266" s="637">
        <f t="shared" si="242"/>
        <v>0</v>
      </c>
      <c r="E7266" s="637">
        <f t="shared" si="243"/>
        <v>0</v>
      </c>
    </row>
    <row r="7267" spans="1:5">
      <c r="A7267">
        <v>103013</v>
      </c>
      <c r="B7267">
        <v>1500</v>
      </c>
      <c r="C7267" s="455">
        <v>0</v>
      </c>
      <c r="D7267" s="637">
        <f t="shared" si="242"/>
        <v>0</v>
      </c>
      <c r="E7267" s="637">
        <f t="shared" si="243"/>
        <v>0</v>
      </c>
    </row>
    <row r="7268" spans="1:5">
      <c r="A7268">
        <v>103013</v>
      </c>
      <c r="B7268">
        <v>1600</v>
      </c>
      <c r="C7268" s="455">
        <v>0</v>
      </c>
      <c r="D7268" s="637">
        <f t="shared" si="242"/>
        <v>0</v>
      </c>
      <c r="E7268" s="637">
        <f t="shared" si="243"/>
        <v>0</v>
      </c>
    </row>
    <row r="7269" spans="1:5">
      <c r="A7269">
        <v>103013</v>
      </c>
      <c r="B7269">
        <v>1700</v>
      </c>
      <c r="C7269" s="455">
        <v>0</v>
      </c>
      <c r="D7269" s="637">
        <f t="shared" si="242"/>
        <v>0</v>
      </c>
      <c r="E7269" s="637">
        <f t="shared" si="243"/>
        <v>0</v>
      </c>
    </row>
    <row r="7270" spans="1:5">
      <c r="A7270">
        <v>103013</v>
      </c>
      <c r="B7270">
        <v>1800</v>
      </c>
      <c r="C7270" s="455">
        <v>10.563000000000001</v>
      </c>
      <c r="D7270" s="637">
        <f t="shared" si="242"/>
        <v>27.078166666666675</v>
      </c>
      <c r="E7270" s="637">
        <f t="shared" si="243"/>
        <v>36.04833333333336</v>
      </c>
    </row>
    <row r="7271" spans="1:5">
      <c r="A7271">
        <v>103013</v>
      </c>
      <c r="B7271">
        <v>1900</v>
      </c>
      <c r="C7271" s="455">
        <v>10.318</v>
      </c>
      <c r="D7271" s="637">
        <f t="shared" si="242"/>
        <v>26.450111111111113</v>
      </c>
      <c r="E7271" s="637">
        <f t="shared" si="243"/>
        <v>35.212222222222245</v>
      </c>
    </row>
    <row r="7272" spans="1:5">
      <c r="A7272">
        <v>103013</v>
      </c>
      <c r="B7272">
        <v>2000</v>
      </c>
      <c r="C7272" s="455">
        <v>10.72</v>
      </c>
      <c r="D7272" s="637">
        <f t="shared" si="242"/>
        <v>27.480634920634927</v>
      </c>
      <c r="E7272" s="637">
        <f t="shared" si="243"/>
        <v>36.58412698412701</v>
      </c>
    </row>
    <row r="7273" spans="1:5">
      <c r="A7273">
        <v>103013</v>
      </c>
      <c r="B7273">
        <v>2100</v>
      </c>
      <c r="C7273" s="455">
        <v>11.086</v>
      </c>
      <c r="D7273" s="637">
        <f t="shared" si="242"/>
        <v>28.418873015873022</v>
      </c>
      <c r="E7273" s="637">
        <f t="shared" si="243"/>
        <v>37.833174603174633</v>
      </c>
    </row>
    <row r="7274" spans="1:5">
      <c r="A7274">
        <v>103013</v>
      </c>
      <c r="B7274">
        <v>2200</v>
      </c>
      <c r="C7274" s="455">
        <v>11.225</v>
      </c>
      <c r="D7274" s="637">
        <f t="shared" si="242"/>
        <v>28.775198412698415</v>
      </c>
      <c r="E7274" s="637">
        <f t="shared" si="243"/>
        <v>38.307539682539705</v>
      </c>
    </row>
    <row r="7275" spans="1:5">
      <c r="A7275">
        <v>103013</v>
      </c>
      <c r="B7275">
        <v>2300</v>
      </c>
      <c r="C7275" s="455">
        <v>11.018000000000001</v>
      </c>
      <c r="D7275" s="637">
        <f t="shared" si="242"/>
        <v>28.244555555555561</v>
      </c>
      <c r="E7275" s="637">
        <f t="shared" si="243"/>
        <v>37.601111111111138</v>
      </c>
    </row>
    <row r="7276" spans="1:5">
      <c r="A7276">
        <v>103013</v>
      </c>
      <c r="B7276">
        <v>2400</v>
      </c>
      <c r="C7276" s="455">
        <v>11.318</v>
      </c>
      <c r="D7276" s="637">
        <f t="shared" si="242"/>
        <v>29.01360317460318</v>
      </c>
      <c r="E7276" s="637">
        <f t="shared" si="243"/>
        <v>38.624920634920663</v>
      </c>
    </row>
    <row r="7277" spans="1:5">
      <c r="A7277">
        <v>103113</v>
      </c>
      <c r="B7277">
        <v>100</v>
      </c>
      <c r="C7277" s="455">
        <v>11.054</v>
      </c>
      <c r="D7277" s="637">
        <f t="shared" si="242"/>
        <v>28.336841269841273</v>
      </c>
      <c r="E7277" s="637">
        <f t="shared" si="243"/>
        <v>37.72396825396828</v>
      </c>
    </row>
    <row r="7278" spans="1:5">
      <c r="A7278">
        <v>103113</v>
      </c>
      <c r="B7278">
        <v>200</v>
      </c>
      <c r="C7278" s="455">
        <v>10.93</v>
      </c>
      <c r="D7278" s="637">
        <f t="shared" si="242"/>
        <v>28.018968253968261</v>
      </c>
      <c r="E7278" s="637">
        <f t="shared" si="243"/>
        <v>37.300793650793679</v>
      </c>
    </row>
    <row r="7279" spans="1:5">
      <c r="A7279">
        <v>103113</v>
      </c>
      <c r="B7279">
        <v>300</v>
      </c>
      <c r="C7279" s="455">
        <v>11.207000000000001</v>
      </c>
      <c r="D7279" s="637">
        <f t="shared" si="242"/>
        <v>28.729055555555561</v>
      </c>
      <c r="E7279" s="637">
        <f t="shared" si="243"/>
        <v>38.246111111111141</v>
      </c>
    </row>
    <row r="7280" spans="1:5">
      <c r="A7280">
        <v>103113</v>
      </c>
      <c r="B7280">
        <v>400</v>
      </c>
      <c r="C7280" s="455">
        <v>11.132</v>
      </c>
      <c r="D7280" s="637">
        <f t="shared" si="242"/>
        <v>28.536793650793655</v>
      </c>
      <c r="E7280" s="637">
        <f t="shared" si="243"/>
        <v>37.990158730158754</v>
      </c>
    </row>
    <row r="7281" spans="1:5">
      <c r="A7281">
        <v>103113</v>
      </c>
      <c r="B7281">
        <v>500</v>
      </c>
      <c r="C7281" s="455">
        <v>11.827999999999999</v>
      </c>
      <c r="D7281" s="637">
        <f t="shared" si="242"/>
        <v>30.320984126984129</v>
      </c>
      <c r="E7281" s="637">
        <f t="shared" si="243"/>
        <v>40.36539682539685</v>
      </c>
    </row>
    <row r="7282" spans="1:5">
      <c r="A7282">
        <v>103113</v>
      </c>
      <c r="B7282">
        <v>600</v>
      </c>
      <c r="C7282" s="455">
        <v>11.856999999999999</v>
      </c>
      <c r="D7282" s="637">
        <f t="shared" si="242"/>
        <v>30.395325396825402</v>
      </c>
      <c r="E7282" s="637">
        <f t="shared" si="243"/>
        <v>40.464365079365109</v>
      </c>
    </row>
    <row r="7283" spans="1:5">
      <c r="A7283">
        <v>103113</v>
      </c>
      <c r="B7283">
        <v>700</v>
      </c>
      <c r="C7283" s="455">
        <v>12.012</v>
      </c>
      <c r="D7283" s="637">
        <f t="shared" si="242"/>
        <v>30.792666666666673</v>
      </c>
      <c r="E7283" s="637">
        <f t="shared" si="243"/>
        <v>40.993333333333361</v>
      </c>
    </row>
    <row r="7284" spans="1:5">
      <c r="A7284">
        <v>103113</v>
      </c>
      <c r="B7284">
        <v>800</v>
      </c>
      <c r="C7284" s="455">
        <v>12.083</v>
      </c>
      <c r="D7284" s="637">
        <f t="shared" si="242"/>
        <v>30.974674603174609</v>
      </c>
      <c r="E7284" s="637">
        <f t="shared" si="243"/>
        <v>41.235634920634951</v>
      </c>
    </row>
    <row r="7285" spans="1:5">
      <c r="A7285">
        <v>103113</v>
      </c>
      <c r="B7285">
        <v>900</v>
      </c>
      <c r="C7285" s="455">
        <v>0.90400000000000003</v>
      </c>
      <c r="D7285" s="637">
        <f t="shared" si="242"/>
        <v>2.3173968253968256</v>
      </c>
      <c r="E7285" s="637">
        <f t="shared" si="243"/>
        <v>3.0850793650793671</v>
      </c>
    </row>
    <row r="7286" spans="1:5">
      <c r="A7286">
        <v>103113</v>
      </c>
      <c r="B7286">
        <v>1000</v>
      </c>
      <c r="C7286" s="455">
        <v>5.0000000000000001E-3</v>
      </c>
      <c r="D7286" s="637">
        <f t="shared" si="242"/>
        <v>1.2817460317460319E-2</v>
      </c>
      <c r="E7286" s="637">
        <f t="shared" si="243"/>
        <v>1.7063492063492076E-2</v>
      </c>
    </row>
    <row r="7287" spans="1:5">
      <c r="A7287">
        <v>103113</v>
      </c>
      <c r="B7287">
        <v>1100</v>
      </c>
      <c r="C7287" s="455">
        <v>1E-3</v>
      </c>
      <c r="D7287" s="637">
        <f t="shared" si="242"/>
        <v>2.5634920634920642E-3</v>
      </c>
      <c r="E7287" s="637">
        <f t="shared" si="243"/>
        <v>3.4126984126984154E-3</v>
      </c>
    </row>
    <row r="7288" spans="1:5">
      <c r="A7288">
        <v>103113</v>
      </c>
      <c r="B7288">
        <v>1200</v>
      </c>
      <c r="C7288" s="455">
        <v>0</v>
      </c>
      <c r="D7288" s="637">
        <f t="shared" si="242"/>
        <v>0</v>
      </c>
      <c r="E7288" s="637">
        <f t="shared" si="243"/>
        <v>0</v>
      </c>
    </row>
    <row r="7289" spans="1:5">
      <c r="A7289">
        <v>103113</v>
      </c>
      <c r="B7289">
        <v>1300</v>
      </c>
      <c r="C7289" s="455">
        <v>0</v>
      </c>
      <c r="D7289" s="637">
        <f t="shared" si="242"/>
        <v>0</v>
      </c>
      <c r="E7289" s="637">
        <f t="shared" si="243"/>
        <v>0</v>
      </c>
    </row>
    <row r="7290" spans="1:5">
      <c r="A7290">
        <v>103113</v>
      </c>
      <c r="B7290">
        <v>1400</v>
      </c>
      <c r="C7290" s="455">
        <v>0</v>
      </c>
      <c r="D7290" s="637">
        <f t="shared" si="242"/>
        <v>0</v>
      </c>
      <c r="E7290" s="637">
        <f t="shared" si="243"/>
        <v>0</v>
      </c>
    </row>
    <row r="7291" spans="1:5">
      <c r="A7291">
        <v>103113</v>
      </c>
      <c r="B7291">
        <v>1500</v>
      </c>
      <c r="C7291" s="455">
        <v>9.6000000000000002E-2</v>
      </c>
      <c r="D7291" s="637">
        <f t="shared" si="242"/>
        <v>0.24609523809523814</v>
      </c>
      <c r="E7291" s="637">
        <f t="shared" si="243"/>
        <v>0.32761904761904787</v>
      </c>
    </row>
    <row r="7292" spans="1:5">
      <c r="A7292">
        <v>103113</v>
      </c>
      <c r="B7292">
        <v>1600</v>
      </c>
      <c r="C7292" s="455">
        <v>1.129</v>
      </c>
      <c r="D7292" s="637">
        <f t="shared" si="242"/>
        <v>2.8941825396825402</v>
      </c>
      <c r="E7292" s="637">
        <f t="shared" si="243"/>
        <v>3.8529365079365108</v>
      </c>
    </row>
    <row r="7293" spans="1:5">
      <c r="A7293">
        <v>103113</v>
      </c>
      <c r="B7293">
        <v>1700</v>
      </c>
      <c r="C7293" s="455">
        <v>10.752000000000001</v>
      </c>
      <c r="D7293" s="637">
        <f t="shared" si="242"/>
        <v>27.562666666666676</v>
      </c>
      <c r="E7293" s="637">
        <f t="shared" si="243"/>
        <v>36.693333333333364</v>
      </c>
    </row>
    <row r="7294" spans="1:5">
      <c r="A7294">
        <v>103113</v>
      </c>
      <c r="B7294">
        <v>1800</v>
      </c>
      <c r="C7294" s="455">
        <v>10.81</v>
      </c>
      <c r="D7294" s="637">
        <f t="shared" si="242"/>
        <v>27.711349206349215</v>
      </c>
      <c r="E7294" s="637">
        <f t="shared" si="243"/>
        <v>36.891269841269867</v>
      </c>
    </row>
    <row r="7295" spans="1:5">
      <c r="A7295">
        <v>103113</v>
      </c>
      <c r="B7295">
        <v>1900</v>
      </c>
      <c r="C7295" s="455">
        <v>10.111000000000001</v>
      </c>
      <c r="D7295" s="637">
        <f t="shared" si="242"/>
        <v>25.919468253968258</v>
      </c>
      <c r="E7295" s="637">
        <f t="shared" si="243"/>
        <v>34.505793650793677</v>
      </c>
    </row>
    <row r="7296" spans="1:5">
      <c r="A7296">
        <v>103113</v>
      </c>
      <c r="B7296">
        <v>2000</v>
      </c>
      <c r="C7296" s="455">
        <v>9.8170000000000002</v>
      </c>
      <c r="D7296" s="637">
        <f t="shared" si="242"/>
        <v>25.165801587301594</v>
      </c>
      <c r="E7296" s="637">
        <f t="shared" si="243"/>
        <v>33.50246031746034</v>
      </c>
    </row>
    <row r="7297" spans="1:5">
      <c r="A7297">
        <v>103113</v>
      </c>
      <c r="B7297">
        <v>2100</v>
      </c>
      <c r="C7297" s="455">
        <v>9.8000000000000007</v>
      </c>
      <c r="D7297" s="637">
        <f t="shared" si="242"/>
        <v>25.122222222222227</v>
      </c>
      <c r="E7297" s="637">
        <f t="shared" si="243"/>
        <v>33.444444444444471</v>
      </c>
    </row>
    <row r="7298" spans="1:5">
      <c r="A7298">
        <v>103113</v>
      </c>
      <c r="B7298">
        <v>2200</v>
      </c>
      <c r="C7298" s="455">
        <v>10.510999999999999</v>
      </c>
      <c r="D7298" s="637">
        <f t="shared" si="242"/>
        <v>26.944865079365083</v>
      </c>
      <c r="E7298" s="637">
        <f t="shared" si="243"/>
        <v>35.870873015873038</v>
      </c>
    </row>
    <row r="7299" spans="1:5">
      <c r="A7299">
        <v>103113</v>
      </c>
      <c r="B7299">
        <v>2300</v>
      </c>
      <c r="C7299" s="455">
        <v>10.507</v>
      </c>
      <c r="D7299" s="637">
        <f t="shared" si="242"/>
        <v>26.934611111111114</v>
      </c>
      <c r="E7299" s="637">
        <f t="shared" si="243"/>
        <v>35.857222222222248</v>
      </c>
    </row>
    <row r="7300" spans="1:5">
      <c r="A7300" s="647">
        <v>103113</v>
      </c>
      <c r="B7300" s="647">
        <v>2400</v>
      </c>
      <c r="C7300" s="648">
        <v>10.542999999999999</v>
      </c>
      <c r="D7300" s="637">
        <f t="shared" si="242"/>
        <v>27.026896825396825</v>
      </c>
      <c r="E7300" s="645">
        <f t="shared" si="243"/>
        <v>35.980079365079384</v>
      </c>
    </row>
    <row r="7301" spans="1:5">
      <c r="A7301">
        <v>110113</v>
      </c>
      <c r="B7301">
        <v>100</v>
      </c>
      <c r="C7301" s="455">
        <v>10.707000000000001</v>
      </c>
      <c r="D7301" s="637">
        <f>(C7301/(MAX($C$7301:$C$8020)))*$W$15</f>
        <v>27.700306818181829</v>
      </c>
      <c r="E7301" s="637">
        <f>(C7301/(MAX($C$7301:$C$8020)))*$P$15</f>
        <v>35.446659090909122</v>
      </c>
    </row>
    <row r="7302" spans="1:5">
      <c r="A7302">
        <v>110113</v>
      </c>
      <c r="B7302">
        <v>200</v>
      </c>
      <c r="C7302" s="455">
        <v>10.94</v>
      </c>
      <c r="D7302" s="637">
        <f t="shared" ref="D7302:D7365" si="244">(C7302/(MAX($C$7301:$C$8020)))*$W$15</f>
        <v>28.303106060606069</v>
      </c>
      <c r="E7302" s="637">
        <f t="shared" ref="E7302:E7365" si="245">(C7302/(MAX($C$7301:$C$8020)))*$P$15</f>
        <v>36.218030303030325</v>
      </c>
    </row>
    <row r="7303" spans="1:5">
      <c r="A7303">
        <v>110113</v>
      </c>
      <c r="B7303">
        <v>300</v>
      </c>
      <c r="C7303" s="455">
        <v>11.064</v>
      </c>
      <c r="D7303" s="637">
        <f t="shared" si="244"/>
        <v>28.623909090909098</v>
      </c>
      <c r="E7303" s="637">
        <f t="shared" si="245"/>
        <v>36.628545454545481</v>
      </c>
    </row>
    <row r="7304" spans="1:5">
      <c r="A7304">
        <v>110113</v>
      </c>
      <c r="B7304">
        <v>400</v>
      </c>
      <c r="C7304" s="455">
        <v>10.945</v>
      </c>
      <c r="D7304" s="637">
        <f t="shared" si="244"/>
        <v>28.316041666666678</v>
      </c>
      <c r="E7304" s="637">
        <f t="shared" si="245"/>
        <v>36.234583333333362</v>
      </c>
    </row>
    <row r="7305" spans="1:5">
      <c r="A7305">
        <v>110113</v>
      </c>
      <c r="B7305">
        <v>500</v>
      </c>
      <c r="C7305" s="455">
        <v>10.57</v>
      </c>
      <c r="D7305" s="637">
        <f t="shared" si="244"/>
        <v>27.345871212121221</v>
      </c>
      <c r="E7305" s="637">
        <f t="shared" si="245"/>
        <v>34.993106060606088</v>
      </c>
    </row>
    <row r="7306" spans="1:5">
      <c r="A7306">
        <v>110113</v>
      </c>
      <c r="B7306">
        <v>600</v>
      </c>
      <c r="C7306" s="455">
        <v>10.307</v>
      </c>
      <c r="D7306" s="637">
        <f t="shared" si="244"/>
        <v>26.665458333333341</v>
      </c>
      <c r="E7306" s="637">
        <f t="shared" si="245"/>
        <v>34.122416666666687</v>
      </c>
    </row>
    <row r="7307" spans="1:5">
      <c r="A7307">
        <v>110113</v>
      </c>
      <c r="B7307">
        <v>700</v>
      </c>
      <c r="C7307" s="455">
        <v>11.052</v>
      </c>
      <c r="D7307" s="637">
        <f t="shared" si="244"/>
        <v>28.592863636363646</v>
      </c>
      <c r="E7307" s="637">
        <f t="shared" si="245"/>
        <v>36.588818181818212</v>
      </c>
    </row>
    <row r="7308" spans="1:5">
      <c r="A7308">
        <v>110113</v>
      </c>
      <c r="B7308">
        <v>800</v>
      </c>
      <c r="C7308" s="455">
        <v>3.1819999999999999</v>
      </c>
      <c r="D7308" s="637">
        <f t="shared" si="244"/>
        <v>8.2322196969697004</v>
      </c>
      <c r="E7308" s="637">
        <f t="shared" si="245"/>
        <v>10.534348484848493</v>
      </c>
    </row>
    <row r="7309" spans="1:5">
      <c r="A7309">
        <v>110113</v>
      </c>
      <c r="B7309">
        <v>900</v>
      </c>
      <c r="C7309" s="455">
        <v>1E-3</v>
      </c>
      <c r="D7309" s="637">
        <f t="shared" si="244"/>
        <v>2.5871212121212129E-3</v>
      </c>
      <c r="E7309" s="637">
        <f t="shared" si="245"/>
        <v>3.3106060606060629E-3</v>
      </c>
    </row>
    <row r="7310" spans="1:5">
      <c r="A7310">
        <v>110113</v>
      </c>
      <c r="B7310">
        <v>1000</v>
      </c>
      <c r="C7310" s="455">
        <v>0</v>
      </c>
      <c r="D7310" s="637">
        <f t="shared" si="244"/>
        <v>0</v>
      </c>
      <c r="E7310" s="637">
        <f t="shared" si="245"/>
        <v>0</v>
      </c>
    </row>
    <row r="7311" spans="1:5">
      <c r="A7311">
        <v>110113</v>
      </c>
      <c r="B7311">
        <v>1100</v>
      </c>
      <c r="C7311" s="455">
        <v>0</v>
      </c>
      <c r="D7311" s="637">
        <f t="shared" si="244"/>
        <v>0</v>
      </c>
      <c r="E7311" s="637">
        <f t="shared" si="245"/>
        <v>0</v>
      </c>
    </row>
    <row r="7312" spans="1:5">
      <c r="A7312">
        <v>110113</v>
      </c>
      <c r="B7312">
        <v>1200</v>
      </c>
      <c r="C7312" s="455">
        <v>0</v>
      </c>
      <c r="D7312" s="637">
        <f t="shared" si="244"/>
        <v>0</v>
      </c>
      <c r="E7312" s="637">
        <f t="shared" si="245"/>
        <v>0</v>
      </c>
    </row>
    <row r="7313" spans="1:5">
      <c r="A7313">
        <v>110113</v>
      </c>
      <c r="B7313">
        <v>1300</v>
      </c>
      <c r="C7313" s="455">
        <v>0</v>
      </c>
      <c r="D7313" s="637">
        <f t="shared" si="244"/>
        <v>0</v>
      </c>
      <c r="E7313" s="637">
        <f t="shared" si="245"/>
        <v>0</v>
      </c>
    </row>
    <row r="7314" spans="1:5">
      <c r="A7314">
        <v>110113</v>
      </c>
      <c r="B7314">
        <v>1400</v>
      </c>
      <c r="C7314" s="455">
        <v>0</v>
      </c>
      <c r="D7314" s="637">
        <f t="shared" si="244"/>
        <v>0</v>
      </c>
      <c r="E7314" s="637">
        <f t="shared" si="245"/>
        <v>0</v>
      </c>
    </row>
    <row r="7315" spans="1:5">
      <c r="A7315">
        <v>110113</v>
      </c>
      <c r="B7315">
        <v>1500</v>
      </c>
      <c r="C7315" s="455">
        <v>0</v>
      </c>
      <c r="D7315" s="637">
        <f t="shared" si="244"/>
        <v>0</v>
      </c>
      <c r="E7315" s="637">
        <f t="shared" si="245"/>
        <v>0</v>
      </c>
    </row>
    <row r="7316" spans="1:5">
      <c r="A7316">
        <v>110113</v>
      </c>
      <c r="B7316">
        <v>1600</v>
      </c>
      <c r="C7316" s="455">
        <v>0</v>
      </c>
      <c r="D7316" s="637">
        <f t="shared" si="244"/>
        <v>0</v>
      </c>
      <c r="E7316" s="637">
        <f t="shared" si="245"/>
        <v>0</v>
      </c>
    </row>
    <row r="7317" spans="1:5">
      <c r="A7317">
        <v>110113</v>
      </c>
      <c r="B7317">
        <v>1700</v>
      </c>
      <c r="C7317" s="455">
        <v>4.2450000000000001</v>
      </c>
      <c r="D7317" s="637">
        <f t="shared" si="244"/>
        <v>10.982329545454549</v>
      </c>
      <c r="E7317" s="637">
        <f t="shared" si="245"/>
        <v>14.053522727272739</v>
      </c>
    </row>
    <row r="7318" spans="1:5">
      <c r="A7318">
        <v>110113</v>
      </c>
      <c r="B7318">
        <v>1800</v>
      </c>
      <c r="C7318" s="455">
        <v>11.733000000000001</v>
      </c>
      <c r="D7318" s="637">
        <f t="shared" si="244"/>
        <v>30.354693181818195</v>
      </c>
      <c r="E7318" s="637">
        <f t="shared" si="245"/>
        <v>38.843340909090941</v>
      </c>
    </row>
    <row r="7319" spans="1:5">
      <c r="A7319">
        <v>110113</v>
      </c>
      <c r="B7319">
        <v>1900</v>
      </c>
      <c r="C7319" s="455">
        <v>10.475</v>
      </c>
      <c r="D7319" s="637">
        <f t="shared" si="244"/>
        <v>27.100094696969705</v>
      </c>
      <c r="E7319" s="637">
        <f t="shared" si="245"/>
        <v>34.678598484848514</v>
      </c>
    </row>
    <row r="7320" spans="1:5">
      <c r="A7320">
        <v>110113</v>
      </c>
      <c r="B7320">
        <v>2000</v>
      </c>
      <c r="C7320" s="455">
        <v>10.686999999999999</v>
      </c>
      <c r="D7320" s="637">
        <f t="shared" si="244"/>
        <v>27.648564393939399</v>
      </c>
      <c r="E7320" s="637">
        <f t="shared" si="245"/>
        <v>35.38044696969699</v>
      </c>
    </row>
    <row r="7321" spans="1:5">
      <c r="A7321">
        <v>110113</v>
      </c>
      <c r="B7321">
        <v>2100</v>
      </c>
      <c r="C7321" s="455">
        <v>10.323</v>
      </c>
      <c r="D7321" s="637">
        <f t="shared" si="244"/>
        <v>26.706852272727282</v>
      </c>
      <c r="E7321" s="637">
        <f t="shared" si="245"/>
        <v>34.175386363636392</v>
      </c>
    </row>
    <row r="7322" spans="1:5">
      <c r="A7322">
        <v>110113</v>
      </c>
      <c r="B7322">
        <v>2200</v>
      </c>
      <c r="C7322" s="455">
        <v>10.584</v>
      </c>
      <c r="D7322" s="637">
        <f t="shared" si="244"/>
        <v>27.38209090909092</v>
      </c>
      <c r="E7322" s="637">
        <f t="shared" si="245"/>
        <v>35.039454545454575</v>
      </c>
    </row>
    <row r="7323" spans="1:5">
      <c r="A7323">
        <v>110113</v>
      </c>
      <c r="B7323">
        <v>2300</v>
      </c>
      <c r="C7323" s="455">
        <v>10.768000000000001</v>
      </c>
      <c r="D7323" s="637">
        <f t="shared" si="244"/>
        <v>27.858121212121219</v>
      </c>
      <c r="E7323" s="637">
        <f t="shared" si="245"/>
        <v>35.648606060606085</v>
      </c>
    </row>
    <row r="7324" spans="1:5">
      <c r="A7324">
        <v>110113</v>
      </c>
      <c r="B7324">
        <v>2400</v>
      </c>
      <c r="C7324" s="455">
        <v>10.993</v>
      </c>
      <c r="D7324" s="637">
        <f t="shared" si="244"/>
        <v>28.440223484848492</v>
      </c>
      <c r="E7324" s="637">
        <f t="shared" si="245"/>
        <v>36.393492424242453</v>
      </c>
    </row>
    <row r="7325" spans="1:5">
      <c r="A7325">
        <v>110213</v>
      </c>
      <c r="B7325">
        <v>100</v>
      </c>
      <c r="C7325" s="455">
        <v>11.324</v>
      </c>
      <c r="D7325" s="637">
        <f t="shared" si="244"/>
        <v>29.296560606060616</v>
      </c>
      <c r="E7325" s="637">
        <f t="shared" si="245"/>
        <v>37.489303030303056</v>
      </c>
    </row>
    <row r="7326" spans="1:5">
      <c r="A7326">
        <v>110213</v>
      </c>
      <c r="B7326">
        <v>200</v>
      </c>
      <c r="C7326" s="455">
        <v>11.11</v>
      </c>
      <c r="D7326" s="637">
        <f t="shared" si="244"/>
        <v>28.742916666666673</v>
      </c>
      <c r="E7326" s="637">
        <f t="shared" si="245"/>
        <v>36.780833333333355</v>
      </c>
    </row>
    <row r="7327" spans="1:5">
      <c r="A7327">
        <v>110213</v>
      </c>
      <c r="B7327">
        <v>300</v>
      </c>
      <c r="C7327" s="455">
        <v>10.715</v>
      </c>
      <c r="D7327" s="637">
        <f t="shared" si="244"/>
        <v>27.721003787878796</v>
      </c>
      <c r="E7327" s="637">
        <f t="shared" si="245"/>
        <v>35.473143939393964</v>
      </c>
    </row>
    <row r="7328" spans="1:5">
      <c r="A7328">
        <v>110213</v>
      </c>
      <c r="B7328">
        <v>400</v>
      </c>
      <c r="C7328" s="455">
        <v>11.077</v>
      </c>
      <c r="D7328" s="637">
        <f t="shared" si="244"/>
        <v>28.657541666666678</v>
      </c>
      <c r="E7328" s="637">
        <f t="shared" si="245"/>
        <v>36.671583333333366</v>
      </c>
    </row>
    <row r="7329" spans="1:5">
      <c r="A7329">
        <v>110213</v>
      </c>
      <c r="B7329">
        <v>500</v>
      </c>
      <c r="C7329" s="455">
        <v>11</v>
      </c>
      <c r="D7329" s="637">
        <f t="shared" si="244"/>
        <v>28.458333333333339</v>
      </c>
      <c r="E7329" s="637">
        <f t="shared" si="245"/>
        <v>36.416666666666693</v>
      </c>
    </row>
    <row r="7330" spans="1:5">
      <c r="A7330">
        <v>110213</v>
      </c>
      <c r="B7330">
        <v>600</v>
      </c>
      <c r="C7330" s="455">
        <v>11.238</v>
      </c>
      <c r="D7330" s="637">
        <f t="shared" si="244"/>
        <v>29.074068181818191</v>
      </c>
      <c r="E7330" s="637">
        <f t="shared" si="245"/>
        <v>37.204590909090939</v>
      </c>
    </row>
    <row r="7331" spans="1:5">
      <c r="A7331">
        <v>110213</v>
      </c>
      <c r="B7331">
        <v>700</v>
      </c>
      <c r="C7331" s="455">
        <v>11.656000000000001</v>
      </c>
      <c r="D7331" s="637">
        <f t="shared" si="244"/>
        <v>30.155484848484861</v>
      </c>
      <c r="E7331" s="637">
        <f t="shared" si="245"/>
        <v>38.588424242424274</v>
      </c>
    </row>
    <row r="7332" spans="1:5">
      <c r="A7332">
        <v>110213</v>
      </c>
      <c r="B7332">
        <v>800</v>
      </c>
      <c r="C7332" s="455">
        <v>6.4909999999999997</v>
      </c>
      <c r="D7332" s="637">
        <f t="shared" si="244"/>
        <v>16.793003787878792</v>
      </c>
      <c r="E7332" s="637">
        <f t="shared" si="245"/>
        <v>21.489143939393951</v>
      </c>
    </row>
    <row r="7333" spans="1:5">
      <c r="A7333">
        <v>110213</v>
      </c>
      <c r="B7333">
        <v>900</v>
      </c>
      <c r="C7333" s="455">
        <v>7.0000000000000001E-3</v>
      </c>
      <c r="D7333" s="637">
        <f t="shared" si="244"/>
        <v>1.8109848484848493E-2</v>
      </c>
      <c r="E7333" s="637">
        <f t="shared" si="245"/>
        <v>2.3174242424242444E-2</v>
      </c>
    </row>
    <row r="7334" spans="1:5">
      <c r="A7334">
        <v>110213</v>
      </c>
      <c r="B7334">
        <v>1000</v>
      </c>
      <c r="C7334" s="455">
        <v>1E-3</v>
      </c>
      <c r="D7334" s="637">
        <f t="shared" si="244"/>
        <v>2.5871212121212129E-3</v>
      </c>
      <c r="E7334" s="637">
        <f t="shared" si="245"/>
        <v>3.3106060606060629E-3</v>
      </c>
    </row>
    <row r="7335" spans="1:5">
      <c r="A7335">
        <v>110213</v>
      </c>
      <c r="B7335">
        <v>1100</v>
      </c>
      <c r="C7335" s="455">
        <v>0</v>
      </c>
      <c r="D7335" s="637">
        <f t="shared" si="244"/>
        <v>0</v>
      </c>
      <c r="E7335" s="637">
        <f t="shared" si="245"/>
        <v>0</v>
      </c>
    </row>
    <row r="7336" spans="1:5">
      <c r="A7336">
        <v>110213</v>
      </c>
      <c r="B7336">
        <v>1200</v>
      </c>
      <c r="C7336" s="455">
        <v>0</v>
      </c>
      <c r="D7336" s="637">
        <f t="shared" si="244"/>
        <v>0</v>
      </c>
      <c r="E7336" s="637">
        <f t="shared" si="245"/>
        <v>0</v>
      </c>
    </row>
    <row r="7337" spans="1:5">
      <c r="A7337">
        <v>110213</v>
      </c>
      <c r="B7337">
        <v>1300</v>
      </c>
      <c r="C7337" s="455">
        <v>1E-3</v>
      </c>
      <c r="D7337" s="637">
        <f t="shared" si="244"/>
        <v>2.5871212121212129E-3</v>
      </c>
      <c r="E7337" s="637">
        <f t="shared" si="245"/>
        <v>3.3106060606060629E-3</v>
      </c>
    </row>
    <row r="7338" spans="1:5">
      <c r="A7338">
        <v>110213</v>
      </c>
      <c r="B7338">
        <v>1400</v>
      </c>
      <c r="C7338" s="455">
        <v>0</v>
      </c>
      <c r="D7338" s="637">
        <f t="shared" si="244"/>
        <v>0</v>
      </c>
      <c r="E7338" s="637">
        <f t="shared" si="245"/>
        <v>0</v>
      </c>
    </row>
    <row r="7339" spans="1:5">
      <c r="A7339">
        <v>110213</v>
      </c>
      <c r="B7339">
        <v>1500</v>
      </c>
      <c r="C7339" s="455">
        <v>0</v>
      </c>
      <c r="D7339" s="637">
        <f t="shared" si="244"/>
        <v>0</v>
      </c>
      <c r="E7339" s="637">
        <f t="shared" si="245"/>
        <v>0</v>
      </c>
    </row>
    <row r="7340" spans="1:5">
      <c r="A7340">
        <v>110213</v>
      </c>
      <c r="B7340">
        <v>1600</v>
      </c>
      <c r="C7340" s="455">
        <v>0</v>
      </c>
      <c r="D7340" s="637">
        <f t="shared" si="244"/>
        <v>0</v>
      </c>
      <c r="E7340" s="637">
        <f t="shared" si="245"/>
        <v>0</v>
      </c>
    </row>
    <row r="7341" spans="1:5">
      <c r="A7341">
        <v>110213</v>
      </c>
      <c r="B7341">
        <v>1700</v>
      </c>
      <c r="C7341" s="455">
        <v>4.57</v>
      </c>
      <c r="D7341" s="637">
        <f t="shared" si="244"/>
        <v>11.823143939393944</v>
      </c>
      <c r="E7341" s="637">
        <f t="shared" si="245"/>
        <v>15.129469696969709</v>
      </c>
    </row>
    <row r="7342" spans="1:5">
      <c r="A7342">
        <v>110213</v>
      </c>
      <c r="B7342">
        <v>1800</v>
      </c>
      <c r="C7342" s="455">
        <v>12.638999999999999</v>
      </c>
      <c r="D7342" s="637">
        <f t="shared" si="244"/>
        <v>32.698625000000007</v>
      </c>
      <c r="E7342" s="637">
        <f t="shared" si="245"/>
        <v>41.842750000000024</v>
      </c>
    </row>
    <row r="7343" spans="1:5">
      <c r="A7343">
        <v>110213</v>
      </c>
      <c r="B7343">
        <v>1900</v>
      </c>
      <c r="C7343" s="455">
        <v>11.154999999999999</v>
      </c>
      <c r="D7343" s="637">
        <f t="shared" si="244"/>
        <v>28.859337121212132</v>
      </c>
      <c r="E7343" s="637">
        <f t="shared" si="245"/>
        <v>36.929810606060634</v>
      </c>
    </row>
    <row r="7344" spans="1:5">
      <c r="A7344">
        <v>110213</v>
      </c>
      <c r="B7344">
        <v>2000</v>
      </c>
      <c r="C7344" s="455">
        <v>11.27</v>
      </c>
      <c r="D7344" s="637">
        <f t="shared" si="244"/>
        <v>29.156856060606071</v>
      </c>
      <c r="E7344" s="637">
        <f t="shared" si="245"/>
        <v>37.310530303030333</v>
      </c>
    </row>
    <row r="7345" spans="1:5">
      <c r="A7345">
        <v>110213</v>
      </c>
      <c r="B7345">
        <v>2100</v>
      </c>
      <c r="C7345" s="455">
        <v>11.279</v>
      </c>
      <c r="D7345" s="637">
        <f t="shared" si="244"/>
        <v>29.180140151515161</v>
      </c>
      <c r="E7345" s="637">
        <f t="shared" si="245"/>
        <v>37.340325757575783</v>
      </c>
    </row>
    <row r="7346" spans="1:5">
      <c r="A7346">
        <v>110213</v>
      </c>
      <c r="B7346">
        <v>2200</v>
      </c>
      <c r="C7346" s="455">
        <v>11.429</v>
      </c>
      <c r="D7346" s="637">
        <f t="shared" si="244"/>
        <v>29.568208333333345</v>
      </c>
      <c r="E7346" s="637">
        <f t="shared" si="245"/>
        <v>37.836916666666696</v>
      </c>
    </row>
    <row r="7347" spans="1:5">
      <c r="A7347">
        <v>110213</v>
      </c>
      <c r="B7347">
        <v>2300</v>
      </c>
      <c r="C7347" s="455">
        <v>11.202999999999999</v>
      </c>
      <c r="D7347" s="637">
        <f t="shared" si="244"/>
        <v>28.983518939393946</v>
      </c>
      <c r="E7347" s="637">
        <f t="shared" si="245"/>
        <v>37.088719696969726</v>
      </c>
    </row>
    <row r="7348" spans="1:5">
      <c r="A7348">
        <v>110213</v>
      </c>
      <c r="B7348">
        <v>2400</v>
      </c>
      <c r="C7348" s="455">
        <v>11.472</v>
      </c>
      <c r="D7348" s="637">
        <f t="shared" si="244"/>
        <v>29.679454545454554</v>
      </c>
      <c r="E7348" s="637">
        <f t="shared" si="245"/>
        <v>37.979272727272757</v>
      </c>
    </row>
    <row r="7349" spans="1:5">
      <c r="A7349">
        <v>110313</v>
      </c>
      <c r="B7349">
        <v>100</v>
      </c>
      <c r="C7349" s="455">
        <v>11.692</v>
      </c>
      <c r="D7349" s="637">
        <f t="shared" si="244"/>
        <v>30.248621212121225</v>
      </c>
      <c r="E7349" s="637">
        <f t="shared" si="245"/>
        <v>38.707606060606096</v>
      </c>
    </row>
    <row r="7350" spans="1:5">
      <c r="A7350">
        <v>110313</v>
      </c>
      <c r="B7350">
        <v>200</v>
      </c>
      <c r="C7350" s="455">
        <v>11.31</v>
      </c>
      <c r="D7350" s="637">
        <f t="shared" si="244"/>
        <v>29.260340909090921</v>
      </c>
      <c r="E7350" s="637">
        <f t="shared" si="245"/>
        <v>37.442954545454576</v>
      </c>
    </row>
    <row r="7351" spans="1:5">
      <c r="A7351">
        <v>110313</v>
      </c>
      <c r="B7351">
        <v>300</v>
      </c>
      <c r="C7351" s="455">
        <v>11.72</v>
      </c>
      <c r="D7351" s="637">
        <f t="shared" si="244"/>
        <v>30.321060606060616</v>
      </c>
      <c r="E7351" s="637">
        <f t="shared" si="245"/>
        <v>38.800303030303063</v>
      </c>
    </row>
    <row r="7352" spans="1:5">
      <c r="A7352">
        <v>110313</v>
      </c>
      <c r="B7352">
        <v>400</v>
      </c>
      <c r="C7352" s="455">
        <v>11.614000000000001</v>
      </c>
      <c r="D7352" s="637">
        <f t="shared" si="244"/>
        <v>30.046825757575768</v>
      </c>
      <c r="E7352" s="637">
        <f t="shared" si="245"/>
        <v>38.449378787878814</v>
      </c>
    </row>
    <row r="7353" spans="1:5">
      <c r="A7353">
        <v>110313</v>
      </c>
      <c r="B7353">
        <v>500</v>
      </c>
      <c r="C7353" s="455">
        <v>11.573</v>
      </c>
      <c r="D7353" s="637">
        <f t="shared" si="244"/>
        <v>29.940753787878794</v>
      </c>
      <c r="E7353" s="637">
        <f t="shared" si="245"/>
        <v>38.31364393939397</v>
      </c>
    </row>
    <row r="7354" spans="1:5">
      <c r="A7354">
        <v>110313</v>
      </c>
      <c r="B7354">
        <v>600</v>
      </c>
      <c r="C7354" s="455">
        <v>11.459</v>
      </c>
      <c r="D7354" s="637">
        <f t="shared" si="244"/>
        <v>29.645821969696982</v>
      </c>
      <c r="E7354" s="637">
        <f t="shared" si="245"/>
        <v>37.936234848484879</v>
      </c>
    </row>
    <row r="7355" spans="1:5">
      <c r="A7355">
        <v>110313</v>
      </c>
      <c r="B7355">
        <v>700</v>
      </c>
      <c r="C7355" s="455">
        <v>12.457000000000001</v>
      </c>
      <c r="D7355" s="637">
        <f t="shared" si="244"/>
        <v>32.227768939393947</v>
      </c>
      <c r="E7355" s="637">
        <f t="shared" si="245"/>
        <v>41.240219696969724</v>
      </c>
    </row>
    <row r="7356" spans="1:5">
      <c r="A7356">
        <v>110313</v>
      </c>
      <c r="B7356">
        <v>800</v>
      </c>
      <c r="C7356" s="455">
        <v>1.6060000000000001</v>
      </c>
      <c r="D7356" s="637">
        <f t="shared" si="244"/>
        <v>4.1549166666666686</v>
      </c>
      <c r="E7356" s="637">
        <f t="shared" si="245"/>
        <v>5.3168333333333377</v>
      </c>
    </row>
    <row r="7357" spans="1:5">
      <c r="A7357">
        <v>110313</v>
      </c>
      <c r="B7357">
        <v>900</v>
      </c>
      <c r="C7357" s="455">
        <v>0.13700000000000001</v>
      </c>
      <c r="D7357" s="637">
        <f t="shared" si="244"/>
        <v>0.3544356060606062</v>
      </c>
      <c r="E7357" s="637">
        <f t="shared" si="245"/>
        <v>0.45355303030303068</v>
      </c>
    </row>
    <row r="7358" spans="1:5">
      <c r="A7358">
        <v>110313</v>
      </c>
      <c r="B7358">
        <v>1000</v>
      </c>
      <c r="C7358" s="455">
        <v>0</v>
      </c>
      <c r="D7358" s="637">
        <f t="shared" si="244"/>
        <v>0</v>
      </c>
      <c r="E7358" s="637">
        <f t="shared" si="245"/>
        <v>0</v>
      </c>
    </row>
    <row r="7359" spans="1:5">
      <c r="A7359">
        <v>110313</v>
      </c>
      <c r="B7359">
        <v>1100</v>
      </c>
      <c r="C7359" s="455">
        <v>0</v>
      </c>
      <c r="D7359" s="637">
        <f t="shared" si="244"/>
        <v>0</v>
      </c>
      <c r="E7359" s="637">
        <f t="shared" si="245"/>
        <v>0</v>
      </c>
    </row>
    <row r="7360" spans="1:5">
      <c r="A7360">
        <v>110313</v>
      </c>
      <c r="B7360">
        <v>1200</v>
      </c>
      <c r="C7360" s="455">
        <v>0</v>
      </c>
      <c r="D7360" s="637">
        <f t="shared" si="244"/>
        <v>0</v>
      </c>
      <c r="E7360" s="637">
        <f t="shared" si="245"/>
        <v>0</v>
      </c>
    </row>
    <row r="7361" spans="1:5">
      <c r="A7361">
        <v>110313</v>
      </c>
      <c r="B7361">
        <v>1300</v>
      </c>
      <c r="C7361" s="455">
        <v>0</v>
      </c>
      <c r="D7361" s="637">
        <f t="shared" si="244"/>
        <v>0</v>
      </c>
      <c r="E7361" s="637">
        <f t="shared" si="245"/>
        <v>0</v>
      </c>
    </row>
    <row r="7362" spans="1:5">
      <c r="A7362">
        <v>110313</v>
      </c>
      <c r="B7362">
        <v>1400</v>
      </c>
      <c r="C7362" s="455">
        <v>0</v>
      </c>
      <c r="D7362" s="637">
        <f t="shared" si="244"/>
        <v>0</v>
      </c>
      <c r="E7362" s="637">
        <f t="shared" si="245"/>
        <v>0</v>
      </c>
    </row>
    <row r="7363" spans="1:5">
      <c r="A7363">
        <v>110313</v>
      </c>
      <c r="B7363">
        <v>1500</v>
      </c>
      <c r="C7363" s="455">
        <v>0</v>
      </c>
      <c r="D7363" s="637">
        <f t="shared" si="244"/>
        <v>0</v>
      </c>
      <c r="E7363" s="637">
        <f t="shared" si="245"/>
        <v>0</v>
      </c>
    </row>
    <row r="7364" spans="1:5">
      <c r="A7364">
        <v>110313</v>
      </c>
      <c r="B7364">
        <v>1600</v>
      </c>
      <c r="C7364" s="455">
        <v>0</v>
      </c>
      <c r="D7364" s="637">
        <f t="shared" si="244"/>
        <v>0</v>
      </c>
      <c r="E7364" s="637">
        <f t="shared" si="245"/>
        <v>0</v>
      </c>
    </row>
    <row r="7365" spans="1:5">
      <c r="A7365">
        <v>110313</v>
      </c>
      <c r="B7365">
        <v>1700</v>
      </c>
      <c r="C7365" s="455">
        <v>0.443</v>
      </c>
      <c r="D7365" s="637">
        <f t="shared" si="244"/>
        <v>1.1460946969696972</v>
      </c>
      <c r="E7365" s="637">
        <f t="shared" si="245"/>
        <v>1.4665984848484859</v>
      </c>
    </row>
    <row r="7366" spans="1:5">
      <c r="A7366">
        <v>110313</v>
      </c>
      <c r="B7366">
        <v>1800</v>
      </c>
      <c r="C7366" s="455">
        <v>12.989000000000001</v>
      </c>
      <c r="D7366" s="637">
        <f t="shared" ref="D7366:D7429" si="246">(C7366/(MAX($C$7301:$C$8020)))*$W$15</f>
        <v>33.604117424242432</v>
      </c>
      <c r="E7366" s="637">
        <f t="shared" ref="E7366:E7429" si="247">(C7366/(MAX($C$7301:$C$8020)))*$P$15</f>
        <v>43.00146212121215</v>
      </c>
    </row>
    <row r="7367" spans="1:5">
      <c r="A7367">
        <v>110313</v>
      </c>
      <c r="B7367">
        <v>1900</v>
      </c>
      <c r="C7367" s="455">
        <v>11.391</v>
      </c>
      <c r="D7367" s="637">
        <f t="shared" si="246"/>
        <v>29.469897727272738</v>
      </c>
      <c r="E7367" s="637">
        <f t="shared" si="247"/>
        <v>37.711113636363663</v>
      </c>
    </row>
    <row r="7368" spans="1:5">
      <c r="A7368">
        <v>110313</v>
      </c>
      <c r="B7368">
        <v>2000</v>
      </c>
      <c r="C7368" s="455">
        <v>11.146000000000001</v>
      </c>
      <c r="D7368" s="637">
        <f t="shared" si="246"/>
        <v>28.836053030303042</v>
      </c>
      <c r="E7368" s="637">
        <f t="shared" si="247"/>
        <v>36.900015151515177</v>
      </c>
    </row>
    <row r="7369" spans="1:5">
      <c r="A7369">
        <v>110313</v>
      </c>
      <c r="B7369">
        <v>2100</v>
      </c>
      <c r="C7369" s="455">
        <v>11.566000000000001</v>
      </c>
      <c r="D7369" s="637">
        <f t="shared" si="246"/>
        <v>29.92264393939395</v>
      </c>
      <c r="E7369" s="637">
        <f t="shared" si="247"/>
        <v>38.29046969696973</v>
      </c>
    </row>
    <row r="7370" spans="1:5">
      <c r="A7370">
        <v>110313</v>
      </c>
      <c r="B7370">
        <v>2200</v>
      </c>
      <c r="C7370" s="455">
        <v>11.542</v>
      </c>
      <c r="D7370" s="637">
        <f t="shared" si="246"/>
        <v>29.860553030303041</v>
      </c>
      <c r="E7370" s="637">
        <f t="shared" si="247"/>
        <v>38.211015151515184</v>
      </c>
    </row>
    <row r="7371" spans="1:5">
      <c r="A7371">
        <v>110313</v>
      </c>
      <c r="B7371">
        <v>2300</v>
      </c>
      <c r="C7371" s="455">
        <v>11.351000000000001</v>
      </c>
      <c r="D7371" s="637">
        <f t="shared" si="246"/>
        <v>29.366412878787891</v>
      </c>
      <c r="E7371" s="637">
        <f t="shared" si="247"/>
        <v>37.578689393939428</v>
      </c>
    </row>
    <row r="7372" spans="1:5">
      <c r="A7372">
        <v>110313</v>
      </c>
      <c r="B7372">
        <v>2400</v>
      </c>
      <c r="C7372" s="455">
        <v>11.47</v>
      </c>
      <c r="D7372" s="637">
        <f t="shared" si="246"/>
        <v>29.674280303030315</v>
      </c>
      <c r="E7372" s="637">
        <f t="shared" si="247"/>
        <v>37.972651515151547</v>
      </c>
    </row>
    <row r="7373" spans="1:5">
      <c r="A7373">
        <v>110413</v>
      </c>
      <c r="B7373">
        <v>100</v>
      </c>
      <c r="C7373" s="455">
        <v>11.654999999999999</v>
      </c>
      <c r="D7373" s="637">
        <f t="shared" si="246"/>
        <v>30.152897727272737</v>
      </c>
      <c r="E7373" s="637">
        <f t="shared" si="247"/>
        <v>38.585113636363666</v>
      </c>
    </row>
    <row r="7374" spans="1:5">
      <c r="A7374">
        <v>110413</v>
      </c>
      <c r="B7374">
        <v>200</v>
      </c>
      <c r="C7374" s="455">
        <v>11.288</v>
      </c>
      <c r="D7374" s="637">
        <f t="shared" si="246"/>
        <v>29.203424242424251</v>
      </c>
      <c r="E7374" s="637">
        <f t="shared" si="247"/>
        <v>37.370121212121241</v>
      </c>
    </row>
    <row r="7375" spans="1:5">
      <c r="A7375">
        <v>110413</v>
      </c>
      <c r="B7375">
        <v>300</v>
      </c>
      <c r="C7375" s="455">
        <v>11.564</v>
      </c>
      <c r="D7375" s="637">
        <f t="shared" si="246"/>
        <v>29.917469696969704</v>
      </c>
      <c r="E7375" s="637">
        <f t="shared" si="247"/>
        <v>38.283848484848512</v>
      </c>
    </row>
    <row r="7376" spans="1:5">
      <c r="A7376">
        <v>110413</v>
      </c>
      <c r="B7376">
        <v>400</v>
      </c>
      <c r="C7376" s="455">
        <v>11.379</v>
      </c>
      <c r="D7376" s="637">
        <f t="shared" si="246"/>
        <v>29.438852272727278</v>
      </c>
      <c r="E7376" s="637">
        <f t="shared" si="247"/>
        <v>37.671386363636387</v>
      </c>
    </row>
    <row r="7377" spans="1:5">
      <c r="A7377">
        <v>110413</v>
      </c>
      <c r="B7377">
        <v>500</v>
      </c>
      <c r="C7377" s="455">
        <v>11.234999999999999</v>
      </c>
      <c r="D7377" s="637">
        <f t="shared" si="246"/>
        <v>29.066306818181829</v>
      </c>
      <c r="E7377" s="637">
        <f t="shared" si="247"/>
        <v>37.19465909090912</v>
      </c>
    </row>
    <row r="7378" spans="1:5">
      <c r="A7378">
        <v>110413</v>
      </c>
      <c r="B7378">
        <v>600</v>
      </c>
      <c r="C7378" s="455">
        <v>11.446</v>
      </c>
      <c r="D7378" s="637">
        <f t="shared" si="246"/>
        <v>29.612189393939403</v>
      </c>
      <c r="E7378" s="637">
        <f t="shared" si="247"/>
        <v>37.893196969696994</v>
      </c>
    </row>
    <row r="7379" spans="1:5">
      <c r="A7379">
        <v>110413</v>
      </c>
      <c r="B7379">
        <v>700</v>
      </c>
      <c r="C7379" s="455">
        <v>12.366</v>
      </c>
      <c r="D7379" s="637">
        <f t="shared" si="246"/>
        <v>31.992340909090917</v>
      </c>
      <c r="E7379" s="637">
        <f t="shared" si="247"/>
        <v>40.938954545454571</v>
      </c>
    </row>
    <row r="7380" spans="1:5">
      <c r="A7380">
        <v>110413</v>
      </c>
      <c r="B7380">
        <v>800</v>
      </c>
      <c r="C7380" s="455">
        <v>0.59399999999999997</v>
      </c>
      <c r="D7380" s="637">
        <f t="shared" si="246"/>
        <v>1.5367500000000005</v>
      </c>
      <c r="E7380" s="637">
        <f t="shared" si="247"/>
        <v>1.9665000000000015</v>
      </c>
    </row>
    <row r="7381" spans="1:5">
      <c r="A7381">
        <v>110413</v>
      </c>
      <c r="B7381">
        <v>900</v>
      </c>
      <c r="C7381" s="455">
        <v>0</v>
      </c>
      <c r="D7381" s="637">
        <f t="shared" si="246"/>
        <v>0</v>
      </c>
      <c r="E7381" s="637">
        <f t="shared" si="247"/>
        <v>0</v>
      </c>
    </row>
    <row r="7382" spans="1:5">
      <c r="A7382">
        <v>110413</v>
      </c>
      <c r="B7382">
        <v>1000</v>
      </c>
      <c r="C7382" s="455">
        <v>0</v>
      </c>
      <c r="D7382" s="637">
        <f t="shared" si="246"/>
        <v>0</v>
      </c>
      <c r="E7382" s="637">
        <f t="shared" si="247"/>
        <v>0</v>
      </c>
    </row>
    <row r="7383" spans="1:5">
      <c r="A7383">
        <v>110413</v>
      </c>
      <c r="B7383">
        <v>1100</v>
      </c>
      <c r="C7383" s="455">
        <v>0</v>
      </c>
      <c r="D7383" s="637">
        <f t="shared" si="246"/>
        <v>0</v>
      </c>
      <c r="E7383" s="637">
        <f t="shared" si="247"/>
        <v>0</v>
      </c>
    </row>
    <row r="7384" spans="1:5">
      <c r="A7384">
        <v>110413</v>
      </c>
      <c r="B7384">
        <v>1200</v>
      </c>
      <c r="C7384" s="455">
        <v>0</v>
      </c>
      <c r="D7384" s="637">
        <f t="shared" si="246"/>
        <v>0</v>
      </c>
      <c r="E7384" s="637">
        <f t="shared" si="247"/>
        <v>0</v>
      </c>
    </row>
    <row r="7385" spans="1:5">
      <c r="A7385">
        <v>110413</v>
      </c>
      <c r="B7385">
        <v>1300</v>
      </c>
      <c r="C7385" s="455">
        <v>0</v>
      </c>
      <c r="D7385" s="637">
        <f t="shared" si="246"/>
        <v>0</v>
      </c>
      <c r="E7385" s="637">
        <f t="shared" si="247"/>
        <v>0</v>
      </c>
    </row>
    <row r="7386" spans="1:5">
      <c r="A7386">
        <v>110413</v>
      </c>
      <c r="B7386">
        <v>1400</v>
      </c>
      <c r="C7386" s="455">
        <v>0</v>
      </c>
      <c r="D7386" s="637">
        <f t="shared" si="246"/>
        <v>0</v>
      </c>
      <c r="E7386" s="637">
        <f t="shared" si="247"/>
        <v>0</v>
      </c>
    </row>
    <row r="7387" spans="1:5">
      <c r="A7387">
        <v>110413</v>
      </c>
      <c r="B7387">
        <v>1500</v>
      </c>
      <c r="C7387" s="455">
        <v>0</v>
      </c>
      <c r="D7387" s="637">
        <f t="shared" si="246"/>
        <v>0</v>
      </c>
      <c r="E7387" s="637">
        <f t="shared" si="247"/>
        <v>0</v>
      </c>
    </row>
    <row r="7388" spans="1:5">
      <c r="A7388">
        <v>110413</v>
      </c>
      <c r="B7388">
        <v>1600</v>
      </c>
      <c r="C7388" s="455">
        <v>0</v>
      </c>
      <c r="D7388" s="637">
        <f t="shared" si="246"/>
        <v>0</v>
      </c>
      <c r="E7388" s="637">
        <f t="shared" si="247"/>
        <v>0</v>
      </c>
    </row>
    <row r="7389" spans="1:5">
      <c r="A7389">
        <v>110413</v>
      </c>
      <c r="B7389">
        <v>1700</v>
      </c>
      <c r="C7389" s="455">
        <v>0.65400000000000003</v>
      </c>
      <c r="D7389" s="637">
        <f t="shared" si="246"/>
        <v>1.6919772727272731</v>
      </c>
      <c r="E7389" s="637">
        <f t="shared" si="247"/>
        <v>2.165136363636365</v>
      </c>
    </row>
    <row r="7390" spans="1:5">
      <c r="A7390">
        <v>110413</v>
      </c>
      <c r="B7390">
        <v>1800</v>
      </c>
      <c r="C7390" s="455">
        <v>13.307</v>
      </c>
      <c r="D7390" s="637">
        <f t="shared" si="246"/>
        <v>34.426821969696981</v>
      </c>
      <c r="E7390" s="637">
        <f t="shared" si="247"/>
        <v>44.054234848484882</v>
      </c>
    </row>
    <row r="7391" spans="1:5">
      <c r="A7391">
        <v>110413</v>
      </c>
      <c r="B7391">
        <v>1900</v>
      </c>
      <c r="C7391" s="455">
        <v>11.042999999999999</v>
      </c>
      <c r="D7391" s="637">
        <f t="shared" si="246"/>
        <v>28.569579545454555</v>
      </c>
      <c r="E7391" s="637">
        <f t="shared" si="247"/>
        <v>36.559022727272755</v>
      </c>
    </row>
    <row r="7392" spans="1:5">
      <c r="A7392">
        <v>110413</v>
      </c>
      <c r="B7392">
        <v>2000</v>
      </c>
      <c r="C7392" s="455">
        <v>11.452</v>
      </c>
      <c r="D7392" s="637">
        <f t="shared" si="246"/>
        <v>29.627712121212127</v>
      </c>
      <c r="E7392" s="637">
        <f t="shared" si="247"/>
        <v>37.913060606060633</v>
      </c>
    </row>
    <row r="7393" spans="1:5">
      <c r="A7393">
        <v>110413</v>
      </c>
      <c r="B7393">
        <v>2100</v>
      </c>
      <c r="C7393" s="455">
        <v>11.204000000000001</v>
      </c>
      <c r="D7393" s="637">
        <f t="shared" si="246"/>
        <v>28.986106060606073</v>
      </c>
      <c r="E7393" s="637">
        <f t="shared" si="247"/>
        <v>37.092030303030334</v>
      </c>
    </row>
    <row r="7394" spans="1:5">
      <c r="A7394">
        <v>110413</v>
      </c>
      <c r="B7394">
        <v>2200</v>
      </c>
      <c r="C7394" s="455">
        <v>11.083</v>
      </c>
      <c r="D7394" s="637">
        <f t="shared" si="246"/>
        <v>28.673064393939406</v>
      </c>
      <c r="E7394" s="637">
        <f t="shared" si="247"/>
        <v>36.691446969696997</v>
      </c>
    </row>
    <row r="7395" spans="1:5">
      <c r="A7395">
        <v>110413</v>
      </c>
      <c r="B7395">
        <v>2300</v>
      </c>
      <c r="C7395" s="455">
        <v>11.202</v>
      </c>
      <c r="D7395" s="637">
        <f t="shared" si="246"/>
        <v>28.98093181818183</v>
      </c>
      <c r="E7395" s="637">
        <f t="shared" si="247"/>
        <v>37.085409090909117</v>
      </c>
    </row>
    <row r="7396" spans="1:5">
      <c r="A7396">
        <v>110413</v>
      </c>
      <c r="B7396">
        <v>2400</v>
      </c>
      <c r="C7396" s="455">
        <v>11.156000000000001</v>
      </c>
      <c r="D7396" s="637">
        <f t="shared" si="246"/>
        <v>28.861924242424255</v>
      </c>
      <c r="E7396" s="637">
        <f t="shared" si="247"/>
        <v>36.933121212121243</v>
      </c>
    </row>
    <row r="7397" spans="1:5">
      <c r="A7397">
        <v>110513</v>
      </c>
      <c r="B7397">
        <v>100</v>
      </c>
      <c r="C7397" s="455">
        <v>11.02</v>
      </c>
      <c r="D7397" s="637">
        <f t="shared" si="246"/>
        <v>28.510075757575766</v>
      </c>
      <c r="E7397" s="637">
        <f t="shared" si="247"/>
        <v>36.482878787878811</v>
      </c>
    </row>
    <row r="7398" spans="1:5">
      <c r="A7398">
        <v>110513</v>
      </c>
      <c r="B7398">
        <v>200</v>
      </c>
      <c r="C7398" s="455">
        <v>11.121</v>
      </c>
      <c r="D7398" s="637">
        <f t="shared" si="246"/>
        <v>28.771375000000013</v>
      </c>
      <c r="E7398" s="637">
        <f t="shared" si="247"/>
        <v>36.81725000000003</v>
      </c>
    </row>
    <row r="7399" spans="1:5">
      <c r="A7399">
        <v>110513</v>
      </c>
      <c r="B7399">
        <v>300</v>
      </c>
      <c r="C7399" s="455">
        <v>11.346</v>
      </c>
      <c r="D7399" s="637">
        <f t="shared" si="246"/>
        <v>29.353477272727286</v>
      </c>
      <c r="E7399" s="637">
        <f t="shared" si="247"/>
        <v>37.562136363636398</v>
      </c>
    </row>
    <row r="7400" spans="1:5">
      <c r="A7400">
        <v>110513</v>
      </c>
      <c r="B7400">
        <v>400</v>
      </c>
      <c r="C7400" s="455">
        <v>10.987</v>
      </c>
      <c r="D7400" s="637">
        <f t="shared" si="246"/>
        <v>28.424700757575767</v>
      </c>
      <c r="E7400" s="637">
        <f t="shared" si="247"/>
        <v>36.373628787878815</v>
      </c>
    </row>
    <row r="7401" spans="1:5">
      <c r="A7401">
        <v>110513</v>
      </c>
      <c r="B7401">
        <v>500</v>
      </c>
      <c r="C7401" s="455">
        <v>11.053000000000001</v>
      </c>
      <c r="D7401" s="637">
        <f t="shared" si="246"/>
        <v>28.595450757575769</v>
      </c>
      <c r="E7401" s="637">
        <f t="shared" si="247"/>
        <v>36.592128787878821</v>
      </c>
    </row>
    <row r="7402" spans="1:5">
      <c r="A7402">
        <v>110513</v>
      </c>
      <c r="B7402">
        <v>600</v>
      </c>
      <c r="C7402" s="455">
        <v>10.994999999999999</v>
      </c>
      <c r="D7402" s="637">
        <f t="shared" si="246"/>
        <v>28.445397727272731</v>
      </c>
      <c r="E7402" s="637">
        <f t="shared" si="247"/>
        <v>36.400113636363656</v>
      </c>
    </row>
    <row r="7403" spans="1:5">
      <c r="A7403">
        <v>110513</v>
      </c>
      <c r="B7403">
        <v>700</v>
      </c>
      <c r="C7403" s="455">
        <v>11.75</v>
      </c>
      <c r="D7403" s="637">
        <f t="shared" si="246"/>
        <v>30.398674242424253</v>
      </c>
      <c r="E7403" s="637">
        <f t="shared" si="247"/>
        <v>38.899621212121239</v>
      </c>
    </row>
    <row r="7404" spans="1:5">
      <c r="A7404">
        <v>110513</v>
      </c>
      <c r="B7404">
        <v>800</v>
      </c>
      <c r="C7404" s="455">
        <v>3.2879999999999998</v>
      </c>
      <c r="D7404" s="637">
        <f t="shared" si="246"/>
        <v>8.506454545454547</v>
      </c>
      <c r="E7404" s="637">
        <f t="shared" si="247"/>
        <v>10.885272727272735</v>
      </c>
    </row>
    <row r="7405" spans="1:5">
      <c r="A7405">
        <v>110513</v>
      </c>
      <c r="B7405">
        <v>900</v>
      </c>
      <c r="C7405" s="455">
        <v>1E-3</v>
      </c>
      <c r="D7405" s="637">
        <f t="shared" si="246"/>
        <v>2.5871212121212129E-3</v>
      </c>
      <c r="E7405" s="637">
        <f t="shared" si="247"/>
        <v>3.3106060606060629E-3</v>
      </c>
    </row>
    <row r="7406" spans="1:5">
      <c r="A7406">
        <v>110513</v>
      </c>
      <c r="B7406">
        <v>1000</v>
      </c>
      <c r="C7406" s="455">
        <v>0</v>
      </c>
      <c r="D7406" s="637">
        <f t="shared" si="246"/>
        <v>0</v>
      </c>
      <c r="E7406" s="637">
        <f t="shared" si="247"/>
        <v>0</v>
      </c>
    </row>
    <row r="7407" spans="1:5">
      <c r="A7407">
        <v>110513</v>
      </c>
      <c r="B7407">
        <v>1100</v>
      </c>
      <c r="C7407" s="455">
        <v>0</v>
      </c>
      <c r="D7407" s="637">
        <f t="shared" si="246"/>
        <v>0</v>
      </c>
      <c r="E7407" s="637">
        <f t="shared" si="247"/>
        <v>0</v>
      </c>
    </row>
    <row r="7408" spans="1:5">
      <c r="A7408">
        <v>110513</v>
      </c>
      <c r="B7408">
        <v>1200</v>
      </c>
      <c r="C7408" s="455">
        <v>0</v>
      </c>
      <c r="D7408" s="637">
        <f t="shared" si="246"/>
        <v>0</v>
      </c>
      <c r="E7408" s="637">
        <f t="shared" si="247"/>
        <v>0</v>
      </c>
    </row>
    <row r="7409" spans="1:5">
      <c r="A7409">
        <v>110513</v>
      </c>
      <c r="B7409">
        <v>1300</v>
      </c>
      <c r="C7409" s="455">
        <v>0</v>
      </c>
      <c r="D7409" s="637">
        <f t="shared" si="246"/>
        <v>0</v>
      </c>
      <c r="E7409" s="637">
        <f t="shared" si="247"/>
        <v>0</v>
      </c>
    </row>
    <row r="7410" spans="1:5">
      <c r="A7410">
        <v>110513</v>
      </c>
      <c r="B7410">
        <v>1400</v>
      </c>
      <c r="C7410" s="455">
        <v>0</v>
      </c>
      <c r="D7410" s="637">
        <f t="shared" si="246"/>
        <v>0</v>
      </c>
      <c r="E7410" s="637">
        <f t="shared" si="247"/>
        <v>0</v>
      </c>
    </row>
    <row r="7411" spans="1:5">
      <c r="A7411">
        <v>110513</v>
      </c>
      <c r="B7411">
        <v>1500</v>
      </c>
      <c r="C7411" s="455">
        <v>0</v>
      </c>
      <c r="D7411" s="637">
        <f t="shared" si="246"/>
        <v>0</v>
      </c>
      <c r="E7411" s="637">
        <f t="shared" si="247"/>
        <v>0</v>
      </c>
    </row>
    <row r="7412" spans="1:5">
      <c r="A7412">
        <v>110513</v>
      </c>
      <c r="B7412">
        <v>1600</v>
      </c>
      <c r="C7412" s="455">
        <v>0</v>
      </c>
      <c r="D7412" s="637">
        <f t="shared" si="246"/>
        <v>0</v>
      </c>
      <c r="E7412" s="637">
        <f t="shared" si="247"/>
        <v>0</v>
      </c>
    </row>
    <row r="7413" spans="1:5">
      <c r="A7413">
        <v>110513</v>
      </c>
      <c r="B7413">
        <v>1700</v>
      </c>
      <c r="C7413" s="455">
        <v>7.3170000000000002</v>
      </c>
      <c r="D7413" s="637">
        <f t="shared" si="246"/>
        <v>18.929965909090914</v>
      </c>
      <c r="E7413" s="637">
        <f t="shared" si="247"/>
        <v>24.223704545454563</v>
      </c>
    </row>
    <row r="7414" spans="1:5">
      <c r="A7414">
        <v>110513</v>
      </c>
      <c r="B7414">
        <v>1800</v>
      </c>
      <c r="C7414" s="455">
        <v>10.911</v>
      </c>
      <c r="D7414" s="637">
        <f t="shared" si="246"/>
        <v>28.228079545454552</v>
      </c>
      <c r="E7414" s="637">
        <f t="shared" si="247"/>
        <v>36.12202272727275</v>
      </c>
    </row>
    <row r="7415" spans="1:5">
      <c r="A7415">
        <v>110513</v>
      </c>
      <c r="B7415">
        <v>1900</v>
      </c>
      <c r="C7415" s="455">
        <v>10.057</v>
      </c>
      <c r="D7415" s="637">
        <f t="shared" si="246"/>
        <v>26.01867803030304</v>
      </c>
      <c r="E7415" s="637">
        <f t="shared" si="247"/>
        <v>33.294765151515179</v>
      </c>
    </row>
    <row r="7416" spans="1:5">
      <c r="A7416">
        <v>110513</v>
      </c>
      <c r="B7416">
        <v>2000</v>
      </c>
      <c r="C7416" s="455">
        <v>10.692</v>
      </c>
      <c r="D7416" s="637">
        <f t="shared" si="246"/>
        <v>27.661500000000007</v>
      </c>
      <c r="E7416" s="637">
        <f t="shared" si="247"/>
        <v>35.397000000000027</v>
      </c>
    </row>
    <row r="7417" spans="1:5">
      <c r="A7417">
        <v>110513</v>
      </c>
      <c r="B7417">
        <v>2100</v>
      </c>
      <c r="C7417" s="455">
        <v>10.507</v>
      </c>
      <c r="D7417" s="637">
        <f t="shared" si="246"/>
        <v>27.182882575757585</v>
      </c>
      <c r="E7417" s="637">
        <f t="shared" si="247"/>
        <v>34.784537878787908</v>
      </c>
    </row>
    <row r="7418" spans="1:5">
      <c r="A7418">
        <v>110513</v>
      </c>
      <c r="B7418">
        <v>2200</v>
      </c>
      <c r="C7418" s="455">
        <v>10.393000000000001</v>
      </c>
      <c r="D7418" s="637">
        <f t="shared" si="246"/>
        <v>26.887950757575769</v>
      </c>
      <c r="E7418" s="637">
        <f t="shared" si="247"/>
        <v>34.407128787878818</v>
      </c>
    </row>
    <row r="7419" spans="1:5">
      <c r="A7419">
        <v>110513</v>
      </c>
      <c r="B7419">
        <v>2300</v>
      </c>
      <c r="C7419" s="455">
        <v>10.723000000000001</v>
      </c>
      <c r="D7419" s="637">
        <f t="shared" si="246"/>
        <v>27.741700757575767</v>
      </c>
      <c r="E7419" s="637">
        <f t="shared" si="247"/>
        <v>35.499628787878812</v>
      </c>
    </row>
    <row r="7420" spans="1:5">
      <c r="A7420">
        <v>110513</v>
      </c>
      <c r="B7420">
        <v>2400</v>
      </c>
      <c r="C7420" s="455">
        <v>10.715999999999999</v>
      </c>
      <c r="D7420" s="637">
        <f t="shared" si="246"/>
        <v>27.723590909090916</v>
      </c>
      <c r="E7420" s="637">
        <f t="shared" si="247"/>
        <v>35.476454545454565</v>
      </c>
    </row>
    <row r="7421" spans="1:5">
      <c r="A7421">
        <v>110613</v>
      </c>
      <c r="B7421">
        <v>100</v>
      </c>
      <c r="C7421" s="455">
        <v>10.984</v>
      </c>
      <c r="D7421" s="637">
        <f t="shared" si="246"/>
        <v>28.416939393939401</v>
      </c>
      <c r="E7421" s="637">
        <f t="shared" si="247"/>
        <v>36.363696969696996</v>
      </c>
    </row>
    <row r="7422" spans="1:5">
      <c r="A7422">
        <v>110613</v>
      </c>
      <c r="B7422">
        <v>200</v>
      </c>
      <c r="C7422" s="455">
        <v>10.882</v>
      </c>
      <c r="D7422" s="637">
        <f t="shared" si="246"/>
        <v>28.153053030303035</v>
      </c>
      <c r="E7422" s="637">
        <f t="shared" si="247"/>
        <v>36.026015151515175</v>
      </c>
    </row>
    <row r="7423" spans="1:5">
      <c r="A7423">
        <v>110613</v>
      </c>
      <c r="B7423">
        <v>300</v>
      </c>
      <c r="C7423" s="455">
        <v>10.561</v>
      </c>
      <c r="D7423" s="637">
        <f t="shared" si="246"/>
        <v>27.322587121212131</v>
      </c>
      <c r="E7423" s="637">
        <f t="shared" si="247"/>
        <v>34.963310606060631</v>
      </c>
    </row>
    <row r="7424" spans="1:5">
      <c r="A7424">
        <v>110613</v>
      </c>
      <c r="B7424">
        <v>400</v>
      </c>
      <c r="C7424" s="455">
        <v>11.099</v>
      </c>
      <c r="D7424" s="637">
        <f t="shared" si="246"/>
        <v>28.714458333333344</v>
      </c>
      <c r="E7424" s="637">
        <f t="shared" si="247"/>
        <v>36.744416666666694</v>
      </c>
    </row>
    <row r="7425" spans="1:5">
      <c r="A7425">
        <v>110613</v>
      </c>
      <c r="B7425">
        <v>500</v>
      </c>
      <c r="C7425" s="455">
        <v>11.132</v>
      </c>
      <c r="D7425" s="637">
        <f t="shared" si="246"/>
        <v>28.799833333333343</v>
      </c>
      <c r="E7425" s="637">
        <f t="shared" si="247"/>
        <v>36.85366666666669</v>
      </c>
    </row>
    <row r="7426" spans="1:5">
      <c r="A7426">
        <v>110613</v>
      </c>
      <c r="B7426">
        <v>600</v>
      </c>
      <c r="C7426" s="455">
        <v>10.798999999999999</v>
      </c>
      <c r="D7426" s="637">
        <f t="shared" si="246"/>
        <v>27.938321969696975</v>
      </c>
      <c r="E7426" s="637">
        <f t="shared" si="247"/>
        <v>35.75123484848487</v>
      </c>
    </row>
    <row r="7427" spans="1:5">
      <c r="A7427">
        <v>110613</v>
      </c>
      <c r="B7427">
        <v>700</v>
      </c>
      <c r="C7427" s="455">
        <v>10.590999999999999</v>
      </c>
      <c r="D7427" s="637">
        <f t="shared" si="246"/>
        <v>27.400200757575764</v>
      </c>
      <c r="E7427" s="637">
        <f t="shared" si="247"/>
        <v>35.062628787878815</v>
      </c>
    </row>
    <row r="7428" spans="1:5">
      <c r="A7428">
        <v>110613</v>
      </c>
      <c r="B7428">
        <v>800</v>
      </c>
      <c r="C7428" s="455">
        <v>6.4509999999999996</v>
      </c>
      <c r="D7428" s="637">
        <f t="shared" si="246"/>
        <v>16.689518939393942</v>
      </c>
      <c r="E7428" s="637">
        <f t="shared" si="247"/>
        <v>21.356719696969712</v>
      </c>
    </row>
    <row r="7429" spans="1:5">
      <c r="A7429">
        <v>110613</v>
      </c>
      <c r="B7429">
        <v>900</v>
      </c>
      <c r="C7429" s="455">
        <v>1E-3</v>
      </c>
      <c r="D7429" s="637">
        <f t="shared" si="246"/>
        <v>2.5871212121212129E-3</v>
      </c>
      <c r="E7429" s="637">
        <f t="shared" si="247"/>
        <v>3.3106060606060629E-3</v>
      </c>
    </row>
    <row r="7430" spans="1:5">
      <c r="A7430">
        <v>110613</v>
      </c>
      <c r="B7430">
        <v>1000</v>
      </c>
      <c r="C7430" s="455">
        <v>1E-3</v>
      </c>
      <c r="D7430" s="637">
        <f t="shared" ref="D7430:D7493" si="248">(C7430/(MAX($C$7301:$C$8020)))*$W$15</f>
        <v>2.5871212121212129E-3</v>
      </c>
      <c r="E7430" s="637">
        <f t="shared" ref="E7430:E7493" si="249">(C7430/(MAX($C$7301:$C$8020)))*$P$15</f>
        <v>3.3106060606060629E-3</v>
      </c>
    </row>
    <row r="7431" spans="1:5">
      <c r="A7431">
        <v>110613</v>
      </c>
      <c r="B7431">
        <v>1100</v>
      </c>
      <c r="C7431" s="455">
        <v>1E-3</v>
      </c>
      <c r="D7431" s="637">
        <f t="shared" si="248"/>
        <v>2.5871212121212129E-3</v>
      </c>
      <c r="E7431" s="637">
        <f t="shared" si="249"/>
        <v>3.3106060606060629E-3</v>
      </c>
    </row>
    <row r="7432" spans="1:5">
      <c r="A7432">
        <v>110613</v>
      </c>
      <c r="B7432">
        <v>1200</v>
      </c>
      <c r="C7432" s="455">
        <v>0</v>
      </c>
      <c r="D7432" s="637">
        <f t="shared" si="248"/>
        <v>0</v>
      </c>
      <c r="E7432" s="637">
        <f t="shared" si="249"/>
        <v>0</v>
      </c>
    </row>
    <row r="7433" spans="1:5">
      <c r="A7433">
        <v>110613</v>
      </c>
      <c r="B7433">
        <v>1300</v>
      </c>
      <c r="C7433" s="455">
        <v>0</v>
      </c>
      <c r="D7433" s="637">
        <f t="shared" si="248"/>
        <v>0</v>
      </c>
      <c r="E7433" s="637">
        <f t="shared" si="249"/>
        <v>0</v>
      </c>
    </row>
    <row r="7434" spans="1:5">
      <c r="A7434">
        <v>110613</v>
      </c>
      <c r="B7434">
        <v>1400</v>
      </c>
      <c r="C7434" s="455">
        <v>0</v>
      </c>
      <c r="D7434" s="637">
        <f t="shared" si="248"/>
        <v>0</v>
      </c>
      <c r="E7434" s="637">
        <f t="shared" si="249"/>
        <v>0</v>
      </c>
    </row>
    <row r="7435" spans="1:5">
      <c r="A7435">
        <v>110613</v>
      </c>
      <c r="B7435">
        <v>1500</v>
      </c>
      <c r="C7435" s="455">
        <v>3.0000000000000001E-3</v>
      </c>
      <c r="D7435" s="637">
        <f t="shared" si="248"/>
        <v>7.7613636363636392E-3</v>
      </c>
      <c r="E7435" s="637">
        <f t="shared" si="249"/>
        <v>9.9318181818181892E-3</v>
      </c>
    </row>
    <row r="7436" spans="1:5">
      <c r="A7436">
        <v>110613</v>
      </c>
      <c r="B7436">
        <v>1600</v>
      </c>
      <c r="C7436" s="455">
        <v>0</v>
      </c>
      <c r="D7436" s="637">
        <f t="shared" si="248"/>
        <v>0</v>
      </c>
      <c r="E7436" s="637">
        <f t="shared" si="249"/>
        <v>0</v>
      </c>
    </row>
    <row r="7437" spans="1:5">
      <c r="A7437">
        <v>110613</v>
      </c>
      <c r="B7437">
        <v>1700</v>
      </c>
      <c r="C7437" s="455">
        <v>5.8460000000000001</v>
      </c>
      <c r="D7437" s="637">
        <f t="shared" si="248"/>
        <v>15.124310606060613</v>
      </c>
      <c r="E7437" s="637">
        <f t="shared" si="249"/>
        <v>19.353803030303048</v>
      </c>
    </row>
    <row r="7438" spans="1:5">
      <c r="A7438">
        <v>110613</v>
      </c>
      <c r="B7438">
        <v>1800</v>
      </c>
      <c r="C7438" s="455">
        <v>10.882999999999999</v>
      </c>
      <c r="D7438" s="637">
        <f t="shared" si="248"/>
        <v>28.155640151515161</v>
      </c>
      <c r="E7438" s="637">
        <f t="shared" si="249"/>
        <v>36.029325757575783</v>
      </c>
    </row>
    <row r="7439" spans="1:5">
      <c r="A7439">
        <v>110613</v>
      </c>
      <c r="B7439">
        <v>1900</v>
      </c>
      <c r="C7439" s="455">
        <v>10.074999999999999</v>
      </c>
      <c r="D7439" s="637">
        <f t="shared" si="248"/>
        <v>26.065246212121217</v>
      </c>
      <c r="E7439" s="637">
        <f t="shared" si="249"/>
        <v>33.354356060606079</v>
      </c>
    </row>
    <row r="7440" spans="1:5">
      <c r="A7440">
        <v>110613</v>
      </c>
      <c r="B7440">
        <v>2000</v>
      </c>
      <c r="C7440" s="455">
        <v>10.038</v>
      </c>
      <c r="D7440" s="637">
        <f t="shared" si="248"/>
        <v>25.969522727272736</v>
      </c>
      <c r="E7440" s="637">
        <f t="shared" si="249"/>
        <v>33.231863636363663</v>
      </c>
    </row>
    <row r="7441" spans="1:5">
      <c r="A7441">
        <v>110613</v>
      </c>
      <c r="B7441">
        <v>2100</v>
      </c>
      <c r="C7441" s="455">
        <v>10.327</v>
      </c>
      <c r="D7441" s="637">
        <f t="shared" si="248"/>
        <v>26.717200757575768</v>
      </c>
      <c r="E7441" s="637">
        <f t="shared" si="249"/>
        <v>34.188628787878812</v>
      </c>
    </row>
    <row r="7442" spans="1:5">
      <c r="A7442">
        <v>110613</v>
      </c>
      <c r="B7442">
        <v>2200</v>
      </c>
      <c r="C7442" s="455">
        <v>10.362</v>
      </c>
      <c r="D7442" s="637">
        <f t="shared" si="248"/>
        <v>26.807750000000009</v>
      </c>
      <c r="E7442" s="637">
        <f t="shared" si="249"/>
        <v>34.304500000000026</v>
      </c>
    </row>
    <row r="7443" spans="1:5">
      <c r="A7443">
        <v>110613</v>
      </c>
      <c r="B7443">
        <v>2300</v>
      </c>
      <c r="C7443" s="455">
        <v>10.608000000000001</v>
      </c>
      <c r="D7443" s="637">
        <f t="shared" si="248"/>
        <v>27.444181818181828</v>
      </c>
      <c r="E7443" s="637">
        <f t="shared" si="249"/>
        <v>35.118909090909121</v>
      </c>
    </row>
    <row r="7444" spans="1:5">
      <c r="A7444">
        <v>110613</v>
      </c>
      <c r="B7444">
        <v>2400</v>
      </c>
      <c r="C7444" s="455">
        <v>10.236000000000001</v>
      </c>
      <c r="D7444" s="637">
        <f t="shared" si="248"/>
        <v>26.481772727272734</v>
      </c>
      <c r="E7444" s="637">
        <f t="shared" si="249"/>
        <v>33.887363636363659</v>
      </c>
    </row>
    <row r="7445" spans="1:5">
      <c r="A7445">
        <v>110713</v>
      </c>
      <c r="B7445">
        <v>100</v>
      </c>
      <c r="C7445" s="455">
        <v>10.914</v>
      </c>
      <c r="D7445" s="637">
        <f t="shared" si="248"/>
        <v>28.235840909090914</v>
      </c>
      <c r="E7445" s="637">
        <f t="shared" si="249"/>
        <v>36.131954545454569</v>
      </c>
    </row>
    <row r="7446" spans="1:5">
      <c r="A7446">
        <v>110713</v>
      </c>
      <c r="B7446">
        <v>200</v>
      </c>
      <c r="C7446" s="455">
        <v>11.28</v>
      </c>
      <c r="D7446" s="637">
        <f t="shared" si="248"/>
        <v>29.182727272727281</v>
      </c>
      <c r="E7446" s="637">
        <f t="shared" si="249"/>
        <v>37.343636363636392</v>
      </c>
    </row>
    <row r="7447" spans="1:5">
      <c r="A7447">
        <v>110713</v>
      </c>
      <c r="B7447">
        <v>300</v>
      </c>
      <c r="C7447" s="455">
        <v>11.092000000000001</v>
      </c>
      <c r="D7447" s="637">
        <f t="shared" si="248"/>
        <v>28.696348484848496</v>
      </c>
      <c r="E7447" s="637">
        <f t="shared" si="249"/>
        <v>36.721242424242455</v>
      </c>
    </row>
    <row r="7448" spans="1:5">
      <c r="A7448">
        <v>110713</v>
      </c>
      <c r="B7448">
        <v>400</v>
      </c>
      <c r="C7448" s="455">
        <v>11.241</v>
      </c>
      <c r="D7448" s="637">
        <f t="shared" si="248"/>
        <v>29.081829545454553</v>
      </c>
      <c r="E7448" s="637">
        <f t="shared" si="249"/>
        <v>37.214522727272758</v>
      </c>
    </row>
    <row r="7449" spans="1:5">
      <c r="A7449">
        <v>110713</v>
      </c>
      <c r="B7449">
        <v>500</v>
      </c>
      <c r="C7449" s="455">
        <v>11.128</v>
      </c>
      <c r="D7449" s="637">
        <f t="shared" si="248"/>
        <v>28.789484848484857</v>
      </c>
      <c r="E7449" s="637">
        <f t="shared" si="249"/>
        <v>36.84042424242427</v>
      </c>
    </row>
    <row r="7450" spans="1:5">
      <c r="A7450">
        <v>110713</v>
      </c>
      <c r="B7450">
        <v>600</v>
      </c>
      <c r="C7450" s="455">
        <v>10.904</v>
      </c>
      <c r="D7450" s="637">
        <f t="shared" si="248"/>
        <v>28.209969696969704</v>
      </c>
      <c r="E7450" s="637">
        <f t="shared" si="249"/>
        <v>36.09884848484851</v>
      </c>
    </row>
    <row r="7451" spans="1:5">
      <c r="A7451">
        <v>110713</v>
      </c>
      <c r="B7451">
        <v>700</v>
      </c>
      <c r="C7451" s="455">
        <v>11.569000000000001</v>
      </c>
      <c r="D7451" s="637">
        <f t="shared" si="248"/>
        <v>29.930405303030312</v>
      </c>
      <c r="E7451" s="637">
        <f t="shared" si="249"/>
        <v>38.300401515151542</v>
      </c>
    </row>
    <row r="7452" spans="1:5">
      <c r="A7452">
        <v>110713</v>
      </c>
      <c r="B7452">
        <v>800</v>
      </c>
      <c r="C7452" s="455">
        <v>4.7789999999999999</v>
      </c>
      <c r="D7452" s="637">
        <f t="shared" si="248"/>
        <v>12.363852272727277</v>
      </c>
      <c r="E7452" s="637">
        <f t="shared" si="249"/>
        <v>15.821386363636377</v>
      </c>
    </row>
    <row r="7453" spans="1:5">
      <c r="A7453">
        <v>110713</v>
      </c>
      <c r="B7453">
        <v>900</v>
      </c>
      <c r="C7453" s="455">
        <v>1E-3</v>
      </c>
      <c r="D7453" s="637">
        <f t="shared" si="248"/>
        <v>2.5871212121212129E-3</v>
      </c>
      <c r="E7453" s="637">
        <f t="shared" si="249"/>
        <v>3.3106060606060629E-3</v>
      </c>
    </row>
    <row r="7454" spans="1:5">
      <c r="A7454">
        <v>110713</v>
      </c>
      <c r="B7454">
        <v>1000</v>
      </c>
      <c r="C7454" s="455">
        <v>0</v>
      </c>
      <c r="D7454" s="637">
        <f t="shared" si="248"/>
        <v>0</v>
      </c>
      <c r="E7454" s="637">
        <f t="shared" si="249"/>
        <v>0</v>
      </c>
    </row>
    <row r="7455" spans="1:5">
      <c r="A7455">
        <v>110713</v>
      </c>
      <c r="B7455">
        <v>1100</v>
      </c>
      <c r="C7455" s="455">
        <v>1E-3</v>
      </c>
      <c r="D7455" s="637">
        <f t="shared" si="248"/>
        <v>2.5871212121212129E-3</v>
      </c>
      <c r="E7455" s="637">
        <f t="shared" si="249"/>
        <v>3.3106060606060629E-3</v>
      </c>
    </row>
    <row r="7456" spans="1:5">
      <c r="A7456">
        <v>110713</v>
      </c>
      <c r="B7456">
        <v>1200</v>
      </c>
      <c r="C7456" s="455">
        <v>0</v>
      </c>
      <c r="D7456" s="637">
        <f t="shared" si="248"/>
        <v>0</v>
      </c>
      <c r="E7456" s="637">
        <f t="shared" si="249"/>
        <v>0</v>
      </c>
    </row>
    <row r="7457" spans="1:5">
      <c r="A7457">
        <v>110713</v>
      </c>
      <c r="B7457">
        <v>1300</v>
      </c>
      <c r="C7457" s="455">
        <v>0</v>
      </c>
      <c r="D7457" s="637">
        <f t="shared" si="248"/>
        <v>0</v>
      </c>
      <c r="E7457" s="637">
        <f t="shared" si="249"/>
        <v>0</v>
      </c>
    </row>
    <row r="7458" spans="1:5">
      <c r="A7458">
        <v>110713</v>
      </c>
      <c r="B7458">
        <v>1400</v>
      </c>
      <c r="C7458" s="455">
        <v>0</v>
      </c>
      <c r="D7458" s="637">
        <f t="shared" si="248"/>
        <v>0</v>
      </c>
      <c r="E7458" s="637">
        <f t="shared" si="249"/>
        <v>0</v>
      </c>
    </row>
    <row r="7459" spans="1:5">
      <c r="A7459">
        <v>110713</v>
      </c>
      <c r="B7459">
        <v>1500</v>
      </c>
      <c r="C7459" s="455">
        <v>0</v>
      </c>
      <c r="D7459" s="637">
        <f t="shared" si="248"/>
        <v>0</v>
      </c>
      <c r="E7459" s="637">
        <f t="shared" si="249"/>
        <v>0</v>
      </c>
    </row>
    <row r="7460" spans="1:5">
      <c r="A7460">
        <v>110713</v>
      </c>
      <c r="B7460">
        <v>1600</v>
      </c>
      <c r="C7460" s="455">
        <v>1E-3</v>
      </c>
      <c r="D7460" s="637">
        <f t="shared" si="248"/>
        <v>2.5871212121212129E-3</v>
      </c>
      <c r="E7460" s="637">
        <f t="shared" si="249"/>
        <v>3.3106060606060629E-3</v>
      </c>
    </row>
    <row r="7461" spans="1:5">
      <c r="A7461">
        <v>110713</v>
      </c>
      <c r="B7461">
        <v>1700</v>
      </c>
      <c r="C7461" s="455">
        <v>2.266</v>
      </c>
      <c r="D7461" s="637">
        <f t="shared" si="248"/>
        <v>5.8624166666666691</v>
      </c>
      <c r="E7461" s="637">
        <f t="shared" si="249"/>
        <v>7.5018333333333391</v>
      </c>
    </row>
    <row r="7462" spans="1:5">
      <c r="A7462">
        <v>110713</v>
      </c>
      <c r="B7462">
        <v>1800</v>
      </c>
      <c r="C7462" s="455">
        <v>12.757999999999999</v>
      </c>
      <c r="D7462" s="637">
        <f t="shared" si="248"/>
        <v>33.006492424242438</v>
      </c>
      <c r="E7462" s="637">
        <f t="shared" si="249"/>
        <v>42.23671212121215</v>
      </c>
    </row>
    <row r="7463" spans="1:5">
      <c r="A7463">
        <v>110713</v>
      </c>
      <c r="B7463">
        <v>1900</v>
      </c>
      <c r="C7463" s="455">
        <v>11.263999999999999</v>
      </c>
      <c r="D7463" s="637">
        <f t="shared" si="248"/>
        <v>29.141333333333339</v>
      </c>
      <c r="E7463" s="637">
        <f t="shared" si="249"/>
        <v>37.290666666666688</v>
      </c>
    </row>
    <row r="7464" spans="1:5">
      <c r="A7464">
        <v>110713</v>
      </c>
      <c r="B7464">
        <v>2000</v>
      </c>
      <c r="C7464" s="455">
        <v>11.128</v>
      </c>
      <c r="D7464" s="637">
        <f t="shared" si="248"/>
        <v>28.789484848484857</v>
      </c>
      <c r="E7464" s="637">
        <f t="shared" si="249"/>
        <v>36.84042424242427</v>
      </c>
    </row>
    <row r="7465" spans="1:5">
      <c r="A7465">
        <v>110713</v>
      </c>
      <c r="B7465">
        <v>2100</v>
      </c>
      <c r="C7465" s="455">
        <v>11.2</v>
      </c>
      <c r="D7465" s="637">
        <f t="shared" si="248"/>
        <v>28.975757575757584</v>
      </c>
      <c r="E7465" s="637">
        <f t="shared" si="249"/>
        <v>37.078787878787907</v>
      </c>
    </row>
    <row r="7466" spans="1:5">
      <c r="A7466">
        <v>110713</v>
      </c>
      <c r="B7466">
        <v>2200</v>
      </c>
      <c r="C7466" s="455">
        <v>11.236000000000001</v>
      </c>
      <c r="D7466" s="637">
        <f t="shared" si="248"/>
        <v>29.068893939393952</v>
      </c>
      <c r="E7466" s="637">
        <f t="shared" si="249"/>
        <v>37.197969696969729</v>
      </c>
    </row>
    <row r="7467" spans="1:5">
      <c r="A7467">
        <v>110713</v>
      </c>
      <c r="B7467">
        <v>2300</v>
      </c>
      <c r="C7467" s="455">
        <v>10.907999999999999</v>
      </c>
      <c r="D7467" s="637">
        <f t="shared" si="248"/>
        <v>28.22031818181819</v>
      </c>
      <c r="E7467" s="637">
        <f t="shared" si="249"/>
        <v>36.112090909090931</v>
      </c>
    </row>
    <row r="7468" spans="1:5">
      <c r="A7468">
        <v>110713</v>
      </c>
      <c r="B7468">
        <v>2400</v>
      </c>
      <c r="C7468" s="455">
        <v>11.192</v>
      </c>
      <c r="D7468" s="637">
        <f t="shared" si="248"/>
        <v>28.955060606060613</v>
      </c>
      <c r="E7468" s="637">
        <f t="shared" si="249"/>
        <v>37.052303030303058</v>
      </c>
    </row>
    <row r="7469" spans="1:5">
      <c r="A7469">
        <v>110813</v>
      </c>
      <c r="B7469">
        <v>100</v>
      </c>
      <c r="C7469" s="455">
        <v>11.345000000000001</v>
      </c>
      <c r="D7469" s="637">
        <f t="shared" si="248"/>
        <v>29.350890151515159</v>
      </c>
      <c r="E7469" s="637">
        <f t="shared" si="249"/>
        <v>37.558825757575782</v>
      </c>
    </row>
    <row r="7470" spans="1:5">
      <c r="A7470">
        <v>110813</v>
      </c>
      <c r="B7470">
        <v>200</v>
      </c>
      <c r="C7470" s="455">
        <v>11.167999999999999</v>
      </c>
      <c r="D7470" s="637">
        <f t="shared" si="248"/>
        <v>28.892969696969704</v>
      </c>
      <c r="E7470" s="637">
        <f t="shared" si="249"/>
        <v>36.972848484848512</v>
      </c>
    </row>
    <row r="7471" spans="1:5">
      <c r="A7471">
        <v>110813</v>
      </c>
      <c r="B7471">
        <v>300</v>
      </c>
      <c r="C7471" s="455">
        <v>11.388999999999999</v>
      </c>
      <c r="D7471" s="637">
        <f t="shared" si="248"/>
        <v>29.464723484848495</v>
      </c>
      <c r="E7471" s="637">
        <f t="shared" si="249"/>
        <v>37.704492424242453</v>
      </c>
    </row>
    <row r="7472" spans="1:5">
      <c r="A7472">
        <v>110813</v>
      </c>
      <c r="B7472">
        <v>400</v>
      </c>
      <c r="C7472" s="455">
        <v>11.34</v>
      </c>
      <c r="D7472" s="637">
        <f t="shared" si="248"/>
        <v>29.337954545454551</v>
      </c>
      <c r="E7472" s="637">
        <f t="shared" si="249"/>
        <v>37.542272727272753</v>
      </c>
    </row>
    <row r="7473" spans="1:5">
      <c r="A7473">
        <v>110813</v>
      </c>
      <c r="B7473">
        <v>500</v>
      </c>
      <c r="C7473" s="455">
        <v>11.137</v>
      </c>
      <c r="D7473" s="637">
        <f t="shared" si="248"/>
        <v>28.812768939393948</v>
      </c>
      <c r="E7473" s="637">
        <f t="shared" si="249"/>
        <v>36.870219696969727</v>
      </c>
    </row>
    <row r="7474" spans="1:5">
      <c r="A7474">
        <v>110813</v>
      </c>
      <c r="B7474">
        <v>600</v>
      </c>
      <c r="C7474" s="455">
        <v>10.957000000000001</v>
      </c>
      <c r="D7474" s="637">
        <f t="shared" si="248"/>
        <v>28.34708712121213</v>
      </c>
      <c r="E7474" s="637">
        <f t="shared" si="249"/>
        <v>36.274310606060631</v>
      </c>
    </row>
    <row r="7475" spans="1:5">
      <c r="A7475">
        <v>110813</v>
      </c>
      <c r="B7475">
        <v>700</v>
      </c>
      <c r="C7475" s="455">
        <v>12.013</v>
      </c>
      <c r="D7475" s="637">
        <f t="shared" si="248"/>
        <v>31.07908712121213</v>
      </c>
      <c r="E7475" s="637">
        <f t="shared" si="249"/>
        <v>39.770310606060633</v>
      </c>
    </row>
    <row r="7476" spans="1:5">
      <c r="A7476">
        <v>110813</v>
      </c>
      <c r="B7476">
        <v>800</v>
      </c>
      <c r="C7476" s="455">
        <v>3.54</v>
      </c>
      <c r="D7476" s="637">
        <f t="shared" si="248"/>
        <v>9.1584090909090943</v>
      </c>
      <c r="E7476" s="637">
        <f t="shared" si="249"/>
        <v>11.719545454545463</v>
      </c>
    </row>
    <row r="7477" spans="1:5">
      <c r="A7477">
        <v>110813</v>
      </c>
      <c r="B7477">
        <v>900</v>
      </c>
      <c r="C7477" s="455">
        <v>2E-3</v>
      </c>
      <c r="D7477" s="637">
        <f t="shared" si="248"/>
        <v>5.1742424242424258E-3</v>
      </c>
      <c r="E7477" s="637">
        <f t="shared" si="249"/>
        <v>6.6212121212121259E-3</v>
      </c>
    </row>
    <row r="7478" spans="1:5">
      <c r="A7478">
        <v>110813</v>
      </c>
      <c r="B7478">
        <v>1000</v>
      </c>
      <c r="C7478" s="455">
        <v>0</v>
      </c>
      <c r="D7478" s="637">
        <f t="shared" si="248"/>
        <v>0</v>
      </c>
      <c r="E7478" s="637">
        <f t="shared" si="249"/>
        <v>0</v>
      </c>
    </row>
    <row r="7479" spans="1:5">
      <c r="A7479">
        <v>110813</v>
      </c>
      <c r="B7479">
        <v>1100</v>
      </c>
      <c r="C7479" s="455">
        <v>0</v>
      </c>
      <c r="D7479" s="637">
        <f t="shared" si="248"/>
        <v>0</v>
      </c>
      <c r="E7479" s="637">
        <f t="shared" si="249"/>
        <v>0</v>
      </c>
    </row>
    <row r="7480" spans="1:5">
      <c r="A7480">
        <v>110813</v>
      </c>
      <c r="B7480">
        <v>1200</v>
      </c>
      <c r="C7480" s="455">
        <v>0</v>
      </c>
      <c r="D7480" s="637">
        <f t="shared" si="248"/>
        <v>0</v>
      </c>
      <c r="E7480" s="637">
        <f t="shared" si="249"/>
        <v>0</v>
      </c>
    </row>
    <row r="7481" spans="1:5">
      <c r="A7481">
        <v>110813</v>
      </c>
      <c r="B7481">
        <v>1300</v>
      </c>
      <c r="C7481" s="455">
        <v>1E-3</v>
      </c>
      <c r="D7481" s="637">
        <f t="shared" si="248"/>
        <v>2.5871212121212129E-3</v>
      </c>
      <c r="E7481" s="637">
        <f t="shared" si="249"/>
        <v>3.3106060606060629E-3</v>
      </c>
    </row>
    <row r="7482" spans="1:5">
      <c r="A7482">
        <v>110813</v>
      </c>
      <c r="B7482">
        <v>1400</v>
      </c>
      <c r="C7482" s="455">
        <v>0</v>
      </c>
      <c r="D7482" s="637">
        <f t="shared" si="248"/>
        <v>0</v>
      </c>
      <c r="E7482" s="637">
        <f t="shared" si="249"/>
        <v>0</v>
      </c>
    </row>
    <row r="7483" spans="1:5">
      <c r="A7483">
        <v>110813</v>
      </c>
      <c r="B7483">
        <v>1500</v>
      </c>
      <c r="C7483" s="455">
        <v>0</v>
      </c>
      <c r="D7483" s="637">
        <f t="shared" si="248"/>
        <v>0</v>
      </c>
      <c r="E7483" s="637">
        <f t="shared" si="249"/>
        <v>0</v>
      </c>
    </row>
    <row r="7484" spans="1:5">
      <c r="A7484">
        <v>110813</v>
      </c>
      <c r="B7484">
        <v>1600</v>
      </c>
      <c r="C7484" s="455">
        <v>0</v>
      </c>
      <c r="D7484" s="637">
        <f t="shared" si="248"/>
        <v>0</v>
      </c>
      <c r="E7484" s="637">
        <f t="shared" si="249"/>
        <v>0</v>
      </c>
    </row>
    <row r="7485" spans="1:5">
      <c r="A7485">
        <v>110813</v>
      </c>
      <c r="B7485">
        <v>1700</v>
      </c>
      <c r="C7485" s="455">
        <v>1.643</v>
      </c>
      <c r="D7485" s="637">
        <f t="shared" si="248"/>
        <v>4.2506401515151531</v>
      </c>
      <c r="E7485" s="637">
        <f t="shared" si="249"/>
        <v>5.4393257575757623</v>
      </c>
    </row>
    <row r="7486" spans="1:5">
      <c r="A7486">
        <v>110813</v>
      </c>
      <c r="B7486">
        <v>1800</v>
      </c>
      <c r="C7486" s="455">
        <v>12.747</v>
      </c>
      <c r="D7486" s="637">
        <f t="shared" si="248"/>
        <v>32.978034090909098</v>
      </c>
      <c r="E7486" s="637">
        <f t="shared" si="249"/>
        <v>42.200295454545483</v>
      </c>
    </row>
    <row r="7487" spans="1:5">
      <c r="A7487">
        <v>110813</v>
      </c>
      <c r="B7487">
        <v>1900</v>
      </c>
      <c r="C7487" s="455">
        <v>10.975</v>
      </c>
      <c r="D7487" s="637">
        <f t="shared" si="248"/>
        <v>28.393655303030311</v>
      </c>
      <c r="E7487" s="637">
        <f t="shared" si="249"/>
        <v>36.333901515151545</v>
      </c>
    </row>
    <row r="7488" spans="1:5">
      <c r="A7488">
        <v>110813</v>
      </c>
      <c r="B7488">
        <v>2000</v>
      </c>
      <c r="C7488" s="455">
        <v>11.16</v>
      </c>
      <c r="D7488" s="637">
        <f t="shared" si="248"/>
        <v>28.872272727272737</v>
      </c>
      <c r="E7488" s="637">
        <f t="shared" si="249"/>
        <v>36.946363636363664</v>
      </c>
    </row>
    <row r="7489" spans="1:5">
      <c r="A7489">
        <v>110813</v>
      </c>
      <c r="B7489">
        <v>2100</v>
      </c>
      <c r="C7489" s="455">
        <v>11.204000000000001</v>
      </c>
      <c r="D7489" s="637">
        <f t="shared" si="248"/>
        <v>28.986106060606073</v>
      </c>
      <c r="E7489" s="637">
        <f t="shared" si="249"/>
        <v>37.092030303030334</v>
      </c>
    </row>
    <row r="7490" spans="1:5">
      <c r="A7490">
        <v>110813</v>
      </c>
      <c r="B7490">
        <v>2200</v>
      </c>
      <c r="C7490" s="455">
        <v>11.303000000000001</v>
      </c>
      <c r="D7490" s="637">
        <f t="shared" si="248"/>
        <v>29.24223106060607</v>
      </c>
      <c r="E7490" s="637">
        <f t="shared" si="249"/>
        <v>37.419780303030329</v>
      </c>
    </row>
    <row r="7491" spans="1:5">
      <c r="A7491">
        <v>110813</v>
      </c>
      <c r="B7491">
        <v>2300</v>
      </c>
      <c r="C7491" s="455">
        <v>11.241</v>
      </c>
      <c r="D7491" s="637">
        <f t="shared" si="248"/>
        <v>29.081829545454553</v>
      </c>
      <c r="E7491" s="637">
        <f t="shared" si="249"/>
        <v>37.214522727272758</v>
      </c>
    </row>
    <row r="7492" spans="1:5">
      <c r="A7492">
        <v>110813</v>
      </c>
      <c r="B7492">
        <v>2400</v>
      </c>
      <c r="C7492" s="455">
        <v>10.993</v>
      </c>
      <c r="D7492" s="637">
        <f t="shared" si="248"/>
        <v>28.440223484848492</v>
      </c>
      <c r="E7492" s="637">
        <f t="shared" si="249"/>
        <v>36.393492424242453</v>
      </c>
    </row>
    <row r="7493" spans="1:5">
      <c r="A7493">
        <v>110913</v>
      </c>
      <c r="B7493">
        <v>100</v>
      </c>
      <c r="C7493" s="455">
        <v>11.089</v>
      </c>
      <c r="D7493" s="637">
        <f t="shared" si="248"/>
        <v>28.688587121212134</v>
      </c>
      <c r="E7493" s="637">
        <f t="shared" si="249"/>
        <v>36.711310606060636</v>
      </c>
    </row>
    <row r="7494" spans="1:5">
      <c r="A7494">
        <v>110913</v>
      </c>
      <c r="B7494">
        <v>200</v>
      </c>
      <c r="C7494" s="455">
        <v>11.068</v>
      </c>
      <c r="D7494" s="637">
        <f t="shared" ref="D7494:D7557" si="250">(C7494/(MAX($C$7301:$C$8020)))*$W$15</f>
        <v>28.634257575757584</v>
      </c>
      <c r="E7494" s="637">
        <f t="shared" ref="E7494:E7557" si="251">(C7494/(MAX($C$7301:$C$8020)))*$P$15</f>
        <v>36.641787878787902</v>
      </c>
    </row>
    <row r="7495" spans="1:5">
      <c r="A7495">
        <v>110913</v>
      </c>
      <c r="B7495">
        <v>300</v>
      </c>
      <c r="C7495" s="455">
        <v>11.481</v>
      </c>
      <c r="D7495" s="637">
        <f t="shared" si="250"/>
        <v>29.702738636363645</v>
      </c>
      <c r="E7495" s="637">
        <f t="shared" si="251"/>
        <v>38.009068181818208</v>
      </c>
    </row>
    <row r="7496" spans="1:5">
      <c r="A7496">
        <v>110913</v>
      </c>
      <c r="B7496">
        <v>400</v>
      </c>
      <c r="C7496" s="455">
        <v>11.243</v>
      </c>
      <c r="D7496" s="637">
        <f t="shared" si="250"/>
        <v>29.0870037878788</v>
      </c>
      <c r="E7496" s="637">
        <f t="shared" si="251"/>
        <v>37.221143939393968</v>
      </c>
    </row>
    <row r="7497" spans="1:5">
      <c r="A7497">
        <v>110913</v>
      </c>
      <c r="B7497">
        <v>500</v>
      </c>
      <c r="C7497" s="455">
        <v>11.173</v>
      </c>
      <c r="D7497" s="637">
        <f t="shared" si="250"/>
        <v>28.905905303030313</v>
      </c>
      <c r="E7497" s="637">
        <f t="shared" si="251"/>
        <v>36.989401515151542</v>
      </c>
    </row>
    <row r="7498" spans="1:5">
      <c r="A7498">
        <v>110913</v>
      </c>
      <c r="B7498">
        <v>600</v>
      </c>
      <c r="C7498" s="455">
        <v>11.278</v>
      </c>
      <c r="D7498" s="637">
        <f t="shared" si="250"/>
        <v>29.177553030303041</v>
      </c>
      <c r="E7498" s="637">
        <f t="shared" si="251"/>
        <v>37.337015151515182</v>
      </c>
    </row>
    <row r="7499" spans="1:5">
      <c r="A7499">
        <v>110913</v>
      </c>
      <c r="B7499">
        <v>700</v>
      </c>
      <c r="C7499" s="455">
        <v>10.92</v>
      </c>
      <c r="D7499" s="637">
        <f t="shared" si="250"/>
        <v>28.251363636363642</v>
      </c>
      <c r="E7499" s="637">
        <f t="shared" si="251"/>
        <v>36.151818181818207</v>
      </c>
    </row>
    <row r="7500" spans="1:5">
      <c r="A7500">
        <v>110913</v>
      </c>
      <c r="B7500">
        <v>800</v>
      </c>
      <c r="C7500" s="455">
        <v>13.797000000000001</v>
      </c>
      <c r="D7500" s="637">
        <f t="shared" si="250"/>
        <v>35.69451136363638</v>
      </c>
      <c r="E7500" s="637">
        <f t="shared" si="251"/>
        <v>45.676431818181861</v>
      </c>
    </row>
    <row r="7501" spans="1:5">
      <c r="A7501">
        <v>110913</v>
      </c>
      <c r="B7501">
        <v>900</v>
      </c>
      <c r="C7501" s="455">
        <v>1.41</v>
      </c>
      <c r="D7501" s="637">
        <f t="shared" si="250"/>
        <v>3.6478409090909101</v>
      </c>
      <c r="E7501" s="637">
        <f t="shared" si="251"/>
        <v>4.667954545454549</v>
      </c>
    </row>
    <row r="7502" spans="1:5">
      <c r="A7502">
        <v>110913</v>
      </c>
      <c r="B7502">
        <v>1000</v>
      </c>
      <c r="C7502" s="455">
        <v>0</v>
      </c>
      <c r="D7502" s="637">
        <f t="shared" si="250"/>
        <v>0</v>
      </c>
      <c r="E7502" s="637">
        <f t="shared" si="251"/>
        <v>0</v>
      </c>
    </row>
    <row r="7503" spans="1:5">
      <c r="A7503">
        <v>110913</v>
      </c>
      <c r="B7503">
        <v>1100</v>
      </c>
      <c r="C7503" s="455">
        <v>0</v>
      </c>
      <c r="D7503" s="637">
        <f t="shared" si="250"/>
        <v>0</v>
      </c>
      <c r="E7503" s="637">
        <f t="shared" si="251"/>
        <v>0</v>
      </c>
    </row>
    <row r="7504" spans="1:5">
      <c r="A7504">
        <v>110913</v>
      </c>
      <c r="B7504">
        <v>1200</v>
      </c>
      <c r="C7504" s="455">
        <v>0</v>
      </c>
      <c r="D7504" s="637">
        <f t="shared" si="250"/>
        <v>0</v>
      </c>
      <c r="E7504" s="637">
        <f t="shared" si="251"/>
        <v>0</v>
      </c>
    </row>
    <row r="7505" spans="1:5">
      <c r="A7505">
        <v>110913</v>
      </c>
      <c r="B7505">
        <v>1300</v>
      </c>
      <c r="C7505" s="455">
        <v>0</v>
      </c>
      <c r="D7505" s="637">
        <f t="shared" si="250"/>
        <v>0</v>
      </c>
      <c r="E7505" s="637">
        <f t="shared" si="251"/>
        <v>0</v>
      </c>
    </row>
    <row r="7506" spans="1:5">
      <c r="A7506">
        <v>110913</v>
      </c>
      <c r="B7506">
        <v>1400</v>
      </c>
      <c r="C7506" s="455">
        <v>0</v>
      </c>
      <c r="D7506" s="637">
        <f t="shared" si="250"/>
        <v>0</v>
      </c>
      <c r="E7506" s="637">
        <f t="shared" si="251"/>
        <v>0</v>
      </c>
    </row>
    <row r="7507" spans="1:5">
      <c r="A7507">
        <v>110913</v>
      </c>
      <c r="B7507">
        <v>1500</v>
      </c>
      <c r="C7507" s="455">
        <v>0</v>
      </c>
      <c r="D7507" s="637">
        <f t="shared" si="250"/>
        <v>0</v>
      </c>
      <c r="E7507" s="637">
        <f t="shared" si="251"/>
        <v>0</v>
      </c>
    </row>
    <row r="7508" spans="1:5">
      <c r="A7508">
        <v>110913</v>
      </c>
      <c r="B7508">
        <v>1600</v>
      </c>
      <c r="C7508" s="455">
        <v>0</v>
      </c>
      <c r="D7508" s="637">
        <f t="shared" si="250"/>
        <v>0</v>
      </c>
      <c r="E7508" s="637">
        <f t="shared" si="251"/>
        <v>0</v>
      </c>
    </row>
    <row r="7509" spans="1:5">
      <c r="A7509">
        <v>110913</v>
      </c>
      <c r="B7509">
        <v>1700</v>
      </c>
      <c r="C7509" s="455">
        <v>8.14</v>
      </c>
      <c r="D7509" s="637">
        <f t="shared" si="250"/>
        <v>21.059166666666673</v>
      </c>
      <c r="E7509" s="637">
        <f t="shared" si="251"/>
        <v>26.948333333333355</v>
      </c>
    </row>
    <row r="7510" spans="1:5">
      <c r="A7510">
        <v>110913</v>
      </c>
      <c r="B7510">
        <v>1800</v>
      </c>
      <c r="C7510" s="455">
        <v>11.218</v>
      </c>
      <c r="D7510" s="637">
        <f t="shared" si="250"/>
        <v>29.022325757575764</v>
      </c>
      <c r="E7510" s="637">
        <f t="shared" si="251"/>
        <v>37.138378787878814</v>
      </c>
    </row>
    <row r="7511" spans="1:5">
      <c r="A7511">
        <v>110913</v>
      </c>
      <c r="B7511">
        <v>1900</v>
      </c>
      <c r="C7511" s="455">
        <v>10.673999999999999</v>
      </c>
      <c r="D7511" s="637">
        <f t="shared" si="250"/>
        <v>27.614931818181827</v>
      </c>
      <c r="E7511" s="637">
        <f t="shared" si="251"/>
        <v>35.337409090909112</v>
      </c>
    </row>
    <row r="7512" spans="1:5">
      <c r="A7512">
        <v>110913</v>
      </c>
      <c r="B7512">
        <v>2000</v>
      </c>
      <c r="C7512" s="455">
        <v>10.6</v>
      </c>
      <c r="D7512" s="637">
        <f t="shared" si="250"/>
        <v>27.423484848484854</v>
      </c>
      <c r="E7512" s="637">
        <f t="shared" si="251"/>
        <v>35.092424242424265</v>
      </c>
    </row>
    <row r="7513" spans="1:5">
      <c r="A7513">
        <v>110913</v>
      </c>
      <c r="B7513">
        <v>2100</v>
      </c>
      <c r="C7513" s="455">
        <v>10.71</v>
      </c>
      <c r="D7513" s="637">
        <f t="shared" si="250"/>
        <v>27.708068181818195</v>
      </c>
      <c r="E7513" s="637">
        <f t="shared" si="251"/>
        <v>35.456590909090941</v>
      </c>
    </row>
    <row r="7514" spans="1:5">
      <c r="A7514">
        <v>110913</v>
      </c>
      <c r="B7514">
        <v>2200</v>
      </c>
      <c r="C7514" s="455">
        <v>11.175000000000001</v>
      </c>
      <c r="D7514" s="637">
        <f t="shared" si="250"/>
        <v>28.911079545454555</v>
      </c>
      <c r="E7514" s="637">
        <f t="shared" si="251"/>
        <v>36.996022727272759</v>
      </c>
    </row>
    <row r="7515" spans="1:5">
      <c r="A7515">
        <v>110913</v>
      </c>
      <c r="B7515">
        <v>2300</v>
      </c>
      <c r="C7515" s="455">
        <v>11.254</v>
      </c>
      <c r="D7515" s="637">
        <f t="shared" si="250"/>
        <v>29.115462121212129</v>
      </c>
      <c r="E7515" s="637">
        <f t="shared" si="251"/>
        <v>37.257560606060629</v>
      </c>
    </row>
    <row r="7516" spans="1:5">
      <c r="A7516">
        <v>110913</v>
      </c>
      <c r="B7516">
        <v>2400</v>
      </c>
      <c r="C7516" s="455">
        <v>10.994</v>
      </c>
      <c r="D7516" s="637">
        <f t="shared" si="250"/>
        <v>28.442810606060611</v>
      </c>
      <c r="E7516" s="637">
        <f t="shared" si="251"/>
        <v>36.396803030303055</v>
      </c>
    </row>
    <row r="7517" spans="1:5">
      <c r="A7517">
        <v>111013</v>
      </c>
      <c r="B7517">
        <v>100</v>
      </c>
      <c r="C7517" s="455">
        <v>11.180999999999999</v>
      </c>
      <c r="D7517" s="637">
        <f t="shared" si="250"/>
        <v>28.926602272727276</v>
      </c>
      <c r="E7517" s="637">
        <f t="shared" si="251"/>
        <v>37.015886363636383</v>
      </c>
    </row>
    <row r="7518" spans="1:5">
      <c r="A7518">
        <v>111013</v>
      </c>
      <c r="B7518">
        <v>200</v>
      </c>
      <c r="C7518" s="455">
        <v>11.4</v>
      </c>
      <c r="D7518" s="637">
        <f t="shared" si="250"/>
        <v>29.493181818181828</v>
      </c>
      <c r="E7518" s="637">
        <f t="shared" si="251"/>
        <v>37.74090909090912</v>
      </c>
    </row>
    <row r="7519" spans="1:5">
      <c r="A7519">
        <v>111013</v>
      </c>
      <c r="B7519">
        <v>300</v>
      </c>
      <c r="C7519" s="455">
        <v>11.294</v>
      </c>
      <c r="D7519" s="637">
        <f t="shared" si="250"/>
        <v>29.218946969696979</v>
      </c>
      <c r="E7519" s="637">
        <f t="shared" si="251"/>
        <v>37.389984848484879</v>
      </c>
    </row>
    <row r="7520" spans="1:5">
      <c r="A7520">
        <v>111013</v>
      </c>
      <c r="B7520">
        <v>400</v>
      </c>
      <c r="C7520" s="455">
        <v>11.298999999999999</v>
      </c>
      <c r="D7520" s="637">
        <f t="shared" si="250"/>
        <v>29.231882575757581</v>
      </c>
      <c r="E7520" s="637">
        <f t="shared" si="251"/>
        <v>37.406537878787901</v>
      </c>
    </row>
    <row r="7521" spans="1:5">
      <c r="A7521">
        <v>111013</v>
      </c>
      <c r="B7521">
        <v>500</v>
      </c>
      <c r="C7521" s="455">
        <v>11.262</v>
      </c>
      <c r="D7521" s="637">
        <f t="shared" si="250"/>
        <v>29.1361590909091</v>
      </c>
      <c r="E7521" s="637">
        <f t="shared" si="251"/>
        <v>37.284045454545485</v>
      </c>
    </row>
    <row r="7522" spans="1:5">
      <c r="A7522">
        <v>111013</v>
      </c>
      <c r="B7522">
        <v>600</v>
      </c>
      <c r="C7522" s="455">
        <v>11.186999999999999</v>
      </c>
      <c r="D7522" s="637">
        <f t="shared" si="250"/>
        <v>28.942125000000004</v>
      </c>
      <c r="E7522" s="637">
        <f t="shared" si="251"/>
        <v>37.035750000000021</v>
      </c>
    </row>
    <row r="7523" spans="1:5">
      <c r="A7523">
        <v>111013</v>
      </c>
      <c r="B7523">
        <v>700</v>
      </c>
      <c r="C7523" s="455">
        <v>11.159000000000001</v>
      </c>
      <c r="D7523" s="637">
        <f t="shared" si="250"/>
        <v>28.869685606060617</v>
      </c>
      <c r="E7523" s="637">
        <f t="shared" si="251"/>
        <v>36.943053030303062</v>
      </c>
    </row>
    <row r="7524" spans="1:5">
      <c r="A7524">
        <v>111013</v>
      </c>
      <c r="B7524">
        <v>800</v>
      </c>
      <c r="C7524" s="455">
        <v>11.708</v>
      </c>
      <c r="D7524" s="637">
        <f t="shared" si="250"/>
        <v>30.29001515151516</v>
      </c>
      <c r="E7524" s="637">
        <f t="shared" si="251"/>
        <v>38.760575757575786</v>
      </c>
    </row>
    <row r="7525" spans="1:5">
      <c r="A7525">
        <v>111013</v>
      </c>
      <c r="B7525">
        <v>900</v>
      </c>
      <c r="C7525" s="455">
        <v>0.32100000000000001</v>
      </c>
      <c r="D7525" s="637">
        <f t="shared" si="250"/>
        <v>0.83046590909090934</v>
      </c>
      <c r="E7525" s="637">
        <f t="shared" si="251"/>
        <v>1.0627045454545461</v>
      </c>
    </row>
    <row r="7526" spans="1:5">
      <c r="A7526">
        <v>111013</v>
      </c>
      <c r="B7526">
        <v>1000</v>
      </c>
      <c r="C7526" s="455">
        <v>1E-3</v>
      </c>
      <c r="D7526" s="637">
        <f t="shared" si="250"/>
        <v>2.5871212121212129E-3</v>
      </c>
      <c r="E7526" s="637">
        <f t="shared" si="251"/>
        <v>3.3106060606060629E-3</v>
      </c>
    </row>
    <row r="7527" spans="1:5">
      <c r="A7527">
        <v>111013</v>
      </c>
      <c r="B7527">
        <v>1100</v>
      </c>
      <c r="C7527" s="455">
        <v>0</v>
      </c>
      <c r="D7527" s="637">
        <f t="shared" si="250"/>
        <v>0</v>
      </c>
      <c r="E7527" s="637">
        <f t="shared" si="251"/>
        <v>0</v>
      </c>
    </row>
    <row r="7528" spans="1:5">
      <c r="A7528">
        <v>111013</v>
      </c>
      <c r="B7528">
        <v>1200</v>
      </c>
      <c r="C7528" s="455">
        <v>1E-3</v>
      </c>
      <c r="D7528" s="637">
        <f t="shared" si="250"/>
        <v>2.5871212121212129E-3</v>
      </c>
      <c r="E7528" s="637">
        <f t="shared" si="251"/>
        <v>3.3106060606060629E-3</v>
      </c>
    </row>
    <row r="7529" spans="1:5">
      <c r="A7529">
        <v>111013</v>
      </c>
      <c r="B7529">
        <v>1300</v>
      </c>
      <c r="C7529" s="455">
        <v>1E-3</v>
      </c>
      <c r="D7529" s="637">
        <f t="shared" si="250"/>
        <v>2.5871212121212129E-3</v>
      </c>
      <c r="E7529" s="637">
        <f t="shared" si="251"/>
        <v>3.3106060606060629E-3</v>
      </c>
    </row>
    <row r="7530" spans="1:5">
      <c r="A7530">
        <v>111013</v>
      </c>
      <c r="B7530">
        <v>1400</v>
      </c>
      <c r="C7530" s="455">
        <v>0</v>
      </c>
      <c r="D7530" s="637">
        <f t="shared" si="250"/>
        <v>0</v>
      </c>
      <c r="E7530" s="637">
        <f t="shared" si="251"/>
        <v>0</v>
      </c>
    </row>
    <row r="7531" spans="1:5">
      <c r="A7531">
        <v>111013</v>
      </c>
      <c r="B7531">
        <v>1500</v>
      </c>
      <c r="C7531" s="455">
        <v>0</v>
      </c>
      <c r="D7531" s="637">
        <f t="shared" si="250"/>
        <v>0</v>
      </c>
      <c r="E7531" s="637">
        <f t="shared" si="251"/>
        <v>0</v>
      </c>
    </row>
    <row r="7532" spans="1:5">
      <c r="A7532">
        <v>111013</v>
      </c>
      <c r="B7532">
        <v>1600</v>
      </c>
      <c r="C7532" s="455">
        <v>1E-3</v>
      </c>
      <c r="D7532" s="637">
        <f t="shared" si="250"/>
        <v>2.5871212121212129E-3</v>
      </c>
      <c r="E7532" s="637">
        <f t="shared" si="251"/>
        <v>3.3106060606060629E-3</v>
      </c>
    </row>
    <row r="7533" spans="1:5">
      <c r="A7533">
        <v>111013</v>
      </c>
      <c r="B7533">
        <v>1700</v>
      </c>
      <c r="C7533" s="455">
        <v>4.1029999999999998</v>
      </c>
      <c r="D7533" s="637">
        <f t="shared" si="250"/>
        <v>10.614958333333336</v>
      </c>
      <c r="E7533" s="637">
        <f t="shared" si="251"/>
        <v>13.583416666666675</v>
      </c>
    </row>
    <row r="7534" spans="1:5">
      <c r="A7534">
        <v>111013</v>
      </c>
      <c r="B7534">
        <v>1800</v>
      </c>
      <c r="C7534" s="455">
        <v>13.08</v>
      </c>
      <c r="D7534" s="637">
        <f t="shared" si="250"/>
        <v>33.839545454545465</v>
      </c>
      <c r="E7534" s="637">
        <f t="shared" si="251"/>
        <v>43.302727272727303</v>
      </c>
    </row>
    <row r="7535" spans="1:5">
      <c r="A7535">
        <v>111013</v>
      </c>
      <c r="B7535">
        <v>1900</v>
      </c>
      <c r="C7535" s="455">
        <v>11.109</v>
      </c>
      <c r="D7535" s="637">
        <f t="shared" si="250"/>
        <v>28.740329545454554</v>
      </c>
      <c r="E7535" s="637">
        <f t="shared" si="251"/>
        <v>36.777522727272753</v>
      </c>
    </row>
    <row r="7536" spans="1:5">
      <c r="A7536">
        <v>111013</v>
      </c>
      <c r="B7536">
        <v>2000</v>
      </c>
      <c r="C7536" s="455">
        <v>11.478999999999999</v>
      </c>
      <c r="D7536" s="637">
        <f t="shared" si="250"/>
        <v>29.697564393939402</v>
      </c>
      <c r="E7536" s="637">
        <f t="shared" si="251"/>
        <v>38.002446969696997</v>
      </c>
    </row>
    <row r="7537" spans="1:5">
      <c r="A7537">
        <v>111013</v>
      </c>
      <c r="B7537">
        <v>2100</v>
      </c>
      <c r="C7537" s="455">
        <v>11.337</v>
      </c>
      <c r="D7537" s="637">
        <f t="shared" si="250"/>
        <v>29.330193181818188</v>
      </c>
      <c r="E7537" s="637">
        <f t="shared" si="251"/>
        <v>37.532340909090934</v>
      </c>
    </row>
    <row r="7538" spans="1:5">
      <c r="A7538">
        <v>111013</v>
      </c>
      <c r="B7538">
        <v>2200</v>
      </c>
      <c r="C7538" s="455">
        <v>11.477</v>
      </c>
      <c r="D7538" s="637">
        <f t="shared" si="250"/>
        <v>29.692390151515163</v>
      </c>
      <c r="E7538" s="637">
        <f t="shared" si="251"/>
        <v>37.995825757575787</v>
      </c>
    </row>
    <row r="7539" spans="1:5">
      <c r="A7539">
        <v>111013</v>
      </c>
      <c r="B7539">
        <v>2300</v>
      </c>
      <c r="C7539" s="455">
        <v>11.324</v>
      </c>
      <c r="D7539" s="637">
        <f t="shared" si="250"/>
        <v>29.296560606060616</v>
      </c>
      <c r="E7539" s="637">
        <f t="shared" si="251"/>
        <v>37.489303030303056</v>
      </c>
    </row>
    <row r="7540" spans="1:5">
      <c r="A7540">
        <v>111013</v>
      </c>
      <c r="B7540">
        <v>2400</v>
      </c>
      <c r="C7540" s="455">
        <v>11.398999999999999</v>
      </c>
      <c r="D7540" s="637">
        <f t="shared" si="250"/>
        <v>29.490594696969705</v>
      </c>
      <c r="E7540" s="637">
        <f t="shared" si="251"/>
        <v>37.737598484848512</v>
      </c>
    </row>
    <row r="7541" spans="1:5">
      <c r="A7541">
        <v>111113</v>
      </c>
      <c r="B7541">
        <v>100</v>
      </c>
      <c r="C7541" s="455">
        <v>11.285</v>
      </c>
      <c r="D7541" s="637">
        <f t="shared" si="250"/>
        <v>29.195662878787889</v>
      </c>
      <c r="E7541" s="637">
        <f t="shared" si="251"/>
        <v>37.360189393939422</v>
      </c>
    </row>
    <row r="7542" spans="1:5">
      <c r="A7542">
        <v>111113</v>
      </c>
      <c r="B7542">
        <v>200</v>
      </c>
      <c r="C7542" s="455">
        <v>10.99</v>
      </c>
      <c r="D7542" s="637">
        <f t="shared" si="250"/>
        <v>28.432462121212129</v>
      </c>
      <c r="E7542" s="637">
        <f t="shared" si="251"/>
        <v>36.383560606060634</v>
      </c>
    </row>
    <row r="7543" spans="1:5">
      <c r="A7543">
        <v>111113</v>
      </c>
      <c r="B7543">
        <v>300</v>
      </c>
      <c r="C7543" s="455">
        <v>11.101000000000001</v>
      </c>
      <c r="D7543" s="637">
        <f t="shared" si="250"/>
        <v>28.719632575757586</v>
      </c>
      <c r="E7543" s="637">
        <f t="shared" si="251"/>
        <v>36.751037878787912</v>
      </c>
    </row>
    <row r="7544" spans="1:5">
      <c r="A7544">
        <v>111113</v>
      </c>
      <c r="B7544">
        <v>400</v>
      </c>
      <c r="C7544" s="455">
        <v>11.241</v>
      </c>
      <c r="D7544" s="637">
        <f t="shared" si="250"/>
        <v>29.081829545454553</v>
      </c>
      <c r="E7544" s="637">
        <f t="shared" si="251"/>
        <v>37.214522727272758</v>
      </c>
    </row>
    <row r="7545" spans="1:5">
      <c r="A7545">
        <v>111113</v>
      </c>
      <c r="B7545">
        <v>500</v>
      </c>
      <c r="C7545" s="455">
        <v>11.17</v>
      </c>
      <c r="D7545" s="637">
        <f t="shared" si="250"/>
        <v>28.898143939393947</v>
      </c>
      <c r="E7545" s="637">
        <f t="shared" si="251"/>
        <v>36.979469696969723</v>
      </c>
    </row>
    <row r="7546" spans="1:5">
      <c r="A7546">
        <v>111113</v>
      </c>
      <c r="B7546">
        <v>600</v>
      </c>
      <c r="C7546" s="455">
        <v>10.837999999999999</v>
      </c>
      <c r="D7546" s="637">
        <f t="shared" si="250"/>
        <v>28.039219696969703</v>
      </c>
      <c r="E7546" s="637">
        <f t="shared" si="251"/>
        <v>35.880348484848504</v>
      </c>
    </row>
    <row r="7547" spans="1:5">
      <c r="A7547">
        <v>111113</v>
      </c>
      <c r="B7547">
        <v>700</v>
      </c>
      <c r="C7547" s="455">
        <v>11.353</v>
      </c>
      <c r="D7547" s="637">
        <f t="shared" si="250"/>
        <v>29.37158712121213</v>
      </c>
      <c r="E7547" s="637">
        <f t="shared" si="251"/>
        <v>37.585310606060638</v>
      </c>
    </row>
    <row r="7548" spans="1:5">
      <c r="A7548">
        <v>111113</v>
      </c>
      <c r="B7548">
        <v>800</v>
      </c>
      <c r="C7548" s="455">
        <v>4.3650000000000002</v>
      </c>
      <c r="D7548" s="637">
        <f t="shared" si="250"/>
        <v>11.292784090909095</v>
      </c>
      <c r="E7548" s="637">
        <f t="shared" si="251"/>
        <v>14.450795454545466</v>
      </c>
    </row>
    <row r="7549" spans="1:5">
      <c r="A7549">
        <v>111113</v>
      </c>
      <c r="B7549">
        <v>900</v>
      </c>
      <c r="C7549" s="455">
        <v>0.13</v>
      </c>
      <c r="D7549" s="637">
        <f t="shared" si="250"/>
        <v>0.33632575757575772</v>
      </c>
      <c r="E7549" s="637">
        <f t="shared" si="251"/>
        <v>0.43037878787878825</v>
      </c>
    </row>
    <row r="7550" spans="1:5">
      <c r="A7550">
        <v>111113</v>
      </c>
      <c r="B7550">
        <v>1000</v>
      </c>
      <c r="C7550" s="455">
        <v>0</v>
      </c>
      <c r="D7550" s="637">
        <f t="shared" si="250"/>
        <v>0</v>
      </c>
      <c r="E7550" s="637">
        <f t="shared" si="251"/>
        <v>0</v>
      </c>
    </row>
    <row r="7551" spans="1:5">
      <c r="A7551">
        <v>111113</v>
      </c>
      <c r="B7551">
        <v>1100</v>
      </c>
      <c r="C7551" s="455">
        <v>0</v>
      </c>
      <c r="D7551" s="637">
        <f t="shared" si="250"/>
        <v>0</v>
      </c>
      <c r="E7551" s="637">
        <f t="shared" si="251"/>
        <v>0</v>
      </c>
    </row>
    <row r="7552" spans="1:5">
      <c r="A7552">
        <v>111113</v>
      </c>
      <c r="B7552">
        <v>1200</v>
      </c>
      <c r="C7552" s="455">
        <v>1E-3</v>
      </c>
      <c r="D7552" s="637">
        <f t="shared" si="250"/>
        <v>2.5871212121212129E-3</v>
      </c>
      <c r="E7552" s="637">
        <f t="shared" si="251"/>
        <v>3.3106060606060629E-3</v>
      </c>
    </row>
    <row r="7553" spans="1:5">
      <c r="A7553">
        <v>111113</v>
      </c>
      <c r="B7553">
        <v>1300</v>
      </c>
      <c r="C7553" s="455">
        <v>1E-3</v>
      </c>
      <c r="D7553" s="637">
        <f t="shared" si="250"/>
        <v>2.5871212121212129E-3</v>
      </c>
      <c r="E7553" s="637">
        <f t="shared" si="251"/>
        <v>3.3106060606060629E-3</v>
      </c>
    </row>
    <row r="7554" spans="1:5">
      <c r="A7554">
        <v>111113</v>
      </c>
      <c r="B7554">
        <v>1400</v>
      </c>
      <c r="C7554" s="455">
        <v>0</v>
      </c>
      <c r="D7554" s="637">
        <f t="shared" si="250"/>
        <v>0</v>
      </c>
      <c r="E7554" s="637">
        <f t="shared" si="251"/>
        <v>0</v>
      </c>
    </row>
    <row r="7555" spans="1:5">
      <c r="A7555">
        <v>111113</v>
      </c>
      <c r="B7555">
        <v>1500</v>
      </c>
      <c r="C7555" s="455">
        <v>0</v>
      </c>
      <c r="D7555" s="637">
        <f t="shared" si="250"/>
        <v>0</v>
      </c>
      <c r="E7555" s="637">
        <f t="shared" si="251"/>
        <v>0</v>
      </c>
    </row>
    <row r="7556" spans="1:5">
      <c r="A7556">
        <v>111113</v>
      </c>
      <c r="B7556">
        <v>1600</v>
      </c>
      <c r="C7556" s="455">
        <v>0</v>
      </c>
      <c r="D7556" s="637">
        <f t="shared" si="250"/>
        <v>0</v>
      </c>
      <c r="E7556" s="637">
        <f t="shared" si="251"/>
        <v>0</v>
      </c>
    </row>
    <row r="7557" spans="1:5">
      <c r="A7557">
        <v>111113</v>
      </c>
      <c r="B7557">
        <v>1700</v>
      </c>
      <c r="C7557" s="455">
        <v>7.3410000000000002</v>
      </c>
      <c r="D7557" s="637">
        <f t="shared" si="250"/>
        <v>18.992056818181826</v>
      </c>
      <c r="E7557" s="637">
        <f t="shared" si="251"/>
        <v>24.303159090909112</v>
      </c>
    </row>
    <row r="7558" spans="1:5">
      <c r="A7558">
        <v>111113</v>
      </c>
      <c r="B7558">
        <v>1800</v>
      </c>
      <c r="C7558" s="455">
        <v>12.432</v>
      </c>
      <c r="D7558" s="637">
        <f t="shared" ref="D7558:D7621" si="252">(C7558/(MAX($C$7301:$C$8020)))*$W$15</f>
        <v>32.163090909090919</v>
      </c>
      <c r="E7558" s="637">
        <f t="shared" ref="E7558:E7621" si="253">(C7558/(MAX($C$7301:$C$8020)))*$P$15</f>
        <v>41.157454545454577</v>
      </c>
    </row>
    <row r="7559" spans="1:5">
      <c r="A7559">
        <v>111113</v>
      </c>
      <c r="B7559">
        <v>1900</v>
      </c>
      <c r="C7559" s="455">
        <v>11.371</v>
      </c>
      <c r="D7559" s="637">
        <f t="shared" si="252"/>
        <v>29.418155303030311</v>
      </c>
      <c r="E7559" s="637">
        <f t="shared" si="253"/>
        <v>37.644901515151545</v>
      </c>
    </row>
    <row r="7560" spans="1:5">
      <c r="A7560">
        <v>111113</v>
      </c>
      <c r="B7560">
        <v>2000</v>
      </c>
      <c r="C7560" s="455">
        <v>11.407999999999999</v>
      </c>
      <c r="D7560" s="637">
        <f t="shared" si="252"/>
        <v>29.513878787878795</v>
      </c>
      <c r="E7560" s="637">
        <f t="shared" si="253"/>
        <v>37.767393939393962</v>
      </c>
    </row>
    <row r="7561" spans="1:5">
      <c r="A7561">
        <v>111113</v>
      </c>
      <c r="B7561">
        <v>2100</v>
      </c>
      <c r="C7561" s="455">
        <v>11.492000000000001</v>
      </c>
      <c r="D7561" s="637">
        <f t="shared" si="252"/>
        <v>29.731196969696981</v>
      </c>
      <c r="E7561" s="637">
        <f t="shared" si="253"/>
        <v>38.045484848484875</v>
      </c>
    </row>
    <row r="7562" spans="1:5">
      <c r="A7562">
        <v>111113</v>
      </c>
      <c r="B7562">
        <v>2200</v>
      </c>
      <c r="C7562" s="455">
        <v>11.576000000000001</v>
      </c>
      <c r="D7562" s="637">
        <f t="shared" si="252"/>
        <v>29.94851515151516</v>
      </c>
      <c r="E7562" s="637">
        <f t="shared" si="253"/>
        <v>38.323575757575782</v>
      </c>
    </row>
    <row r="7563" spans="1:5">
      <c r="A7563">
        <v>111113</v>
      </c>
      <c r="B7563">
        <v>2300</v>
      </c>
      <c r="C7563" s="455">
        <v>11.478</v>
      </c>
      <c r="D7563" s="637">
        <f t="shared" si="252"/>
        <v>29.694977272727282</v>
      </c>
      <c r="E7563" s="637">
        <f t="shared" si="253"/>
        <v>37.999136363636389</v>
      </c>
    </row>
    <row r="7564" spans="1:5">
      <c r="A7564">
        <v>111113</v>
      </c>
      <c r="B7564">
        <v>2400</v>
      </c>
      <c r="C7564" s="455">
        <v>11.558</v>
      </c>
      <c r="D7564" s="637">
        <f t="shared" si="252"/>
        <v>29.901946969696979</v>
      </c>
      <c r="E7564" s="637">
        <f t="shared" si="253"/>
        <v>38.263984848484874</v>
      </c>
    </row>
    <row r="7565" spans="1:5">
      <c r="A7565">
        <v>111213</v>
      </c>
      <c r="B7565">
        <v>100</v>
      </c>
      <c r="C7565" s="455">
        <v>11.55</v>
      </c>
      <c r="D7565" s="637">
        <f t="shared" si="252"/>
        <v>29.881250000000012</v>
      </c>
      <c r="E7565" s="637">
        <f t="shared" si="253"/>
        <v>38.237500000000033</v>
      </c>
    </row>
    <row r="7566" spans="1:5">
      <c r="A7566">
        <v>111213</v>
      </c>
      <c r="B7566">
        <v>200</v>
      </c>
      <c r="C7566" s="455">
        <v>11.411</v>
      </c>
      <c r="D7566" s="637">
        <f t="shared" si="252"/>
        <v>29.521640151515157</v>
      </c>
      <c r="E7566" s="637">
        <f t="shared" si="253"/>
        <v>37.777325757575781</v>
      </c>
    </row>
    <row r="7567" spans="1:5">
      <c r="A7567">
        <v>111213</v>
      </c>
      <c r="B7567">
        <v>300</v>
      </c>
      <c r="C7567" s="455">
        <v>11.56</v>
      </c>
      <c r="D7567" s="637">
        <f t="shared" si="252"/>
        <v>29.907121212121222</v>
      </c>
      <c r="E7567" s="637">
        <f t="shared" si="253"/>
        <v>38.270606060606092</v>
      </c>
    </row>
    <row r="7568" spans="1:5">
      <c r="A7568">
        <v>111213</v>
      </c>
      <c r="B7568">
        <v>400</v>
      </c>
      <c r="C7568" s="455">
        <v>12.084</v>
      </c>
      <c r="D7568" s="637">
        <f t="shared" si="252"/>
        <v>31.262772727272736</v>
      </c>
      <c r="E7568" s="637">
        <f t="shared" si="253"/>
        <v>40.005363636363668</v>
      </c>
    </row>
    <row r="7569" spans="1:5">
      <c r="A7569">
        <v>111213</v>
      </c>
      <c r="B7569">
        <v>500</v>
      </c>
      <c r="C7569" s="455">
        <v>12.316000000000001</v>
      </c>
      <c r="D7569" s="637">
        <f t="shared" si="252"/>
        <v>31.86298484848486</v>
      </c>
      <c r="E7569" s="637">
        <f t="shared" si="253"/>
        <v>40.773424242424277</v>
      </c>
    </row>
    <row r="7570" spans="1:5">
      <c r="A7570">
        <v>111213</v>
      </c>
      <c r="B7570">
        <v>600</v>
      </c>
      <c r="C7570" s="455">
        <v>12.329000000000001</v>
      </c>
      <c r="D7570" s="637">
        <f t="shared" si="252"/>
        <v>31.896617424242436</v>
      </c>
      <c r="E7570" s="637">
        <f t="shared" si="253"/>
        <v>40.816462121212155</v>
      </c>
    </row>
    <row r="7571" spans="1:5">
      <c r="A7571">
        <v>111213</v>
      </c>
      <c r="B7571">
        <v>700</v>
      </c>
      <c r="C7571" s="455">
        <v>12.087</v>
      </c>
      <c r="D7571" s="637">
        <f t="shared" si="252"/>
        <v>31.270534090909099</v>
      </c>
      <c r="E7571" s="637">
        <f t="shared" si="253"/>
        <v>40.015295454545488</v>
      </c>
    </row>
    <row r="7572" spans="1:5">
      <c r="A7572">
        <v>111213</v>
      </c>
      <c r="B7572">
        <v>800</v>
      </c>
      <c r="C7572" s="455">
        <v>4.9539999999999997</v>
      </c>
      <c r="D7572" s="637">
        <f t="shared" si="252"/>
        <v>12.816598484848488</v>
      </c>
      <c r="E7572" s="637">
        <f t="shared" si="253"/>
        <v>16.400742424242434</v>
      </c>
    </row>
    <row r="7573" spans="1:5">
      <c r="A7573">
        <v>111213</v>
      </c>
      <c r="B7573">
        <v>900</v>
      </c>
      <c r="C7573" s="455">
        <v>0</v>
      </c>
      <c r="D7573" s="637">
        <f t="shared" si="252"/>
        <v>0</v>
      </c>
      <c r="E7573" s="637">
        <f t="shared" si="253"/>
        <v>0</v>
      </c>
    </row>
    <row r="7574" spans="1:5">
      <c r="A7574">
        <v>111213</v>
      </c>
      <c r="B7574">
        <v>1000</v>
      </c>
      <c r="C7574" s="455">
        <v>0</v>
      </c>
      <c r="D7574" s="637">
        <f t="shared" si="252"/>
        <v>0</v>
      </c>
      <c r="E7574" s="637">
        <f t="shared" si="253"/>
        <v>0</v>
      </c>
    </row>
    <row r="7575" spans="1:5">
      <c r="A7575">
        <v>111213</v>
      </c>
      <c r="B7575">
        <v>1100</v>
      </c>
      <c r="C7575" s="455">
        <v>0</v>
      </c>
      <c r="D7575" s="637">
        <f t="shared" si="252"/>
        <v>0</v>
      </c>
      <c r="E7575" s="637">
        <f t="shared" si="253"/>
        <v>0</v>
      </c>
    </row>
    <row r="7576" spans="1:5">
      <c r="A7576">
        <v>111213</v>
      </c>
      <c r="B7576">
        <v>1200</v>
      </c>
      <c r="C7576" s="455">
        <v>0</v>
      </c>
      <c r="D7576" s="637">
        <f t="shared" si="252"/>
        <v>0</v>
      </c>
      <c r="E7576" s="637">
        <f t="shared" si="253"/>
        <v>0</v>
      </c>
    </row>
    <row r="7577" spans="1:5">
      <c r="A7577">
        <v>111213</v>
      </c>
      <c r="B7577">
        <v>1300</v>
      </c>
      <c r="C7577" s="455">
        <v>0</v>
      </c>
      <c r="D7577" s="637">
        <f t="shared" si="252"/>
        <v>0</v>
      </c>
      <c r="E7577" s="637">
        <f t="shared" si="253"/>
        <v>0</v>
      </c>
    </row>
    <row r="7578" spans="1:5">
      <c r="A7578">
        <v>111213</v>
      </c>
      <c r="B7578">
        <v>1400</v>
      </c>
      <c r="C7578" s="455">
        <v>0</v>
      </c>
      <c r="D7578" s="637">
        <f t="shared" si="252"/>
        <v>0</v>
      </c>
      <c r="E7578" s="637">
        <f t="shared" si="253"/>
        <v>0</v>
      </c>
    </row>
    <row r="7579" spans="1:5">
      <c r="A7579">
        <v>111213</v>
      </c>
      <c r="B7579">
        <v>1500</v>
      </c>
      <c r="C7579" s="455">
        <v>0</v>
      </c>
      <c r="D7579" s="637">
        <f t="shared" si="252"/>
        <v>0</v>
      </c>
      <c r="E7579" s="637">
        <f t="shared" si="253"/>
        <v>0</v>
      </c>
    </row>
    <row r="7580" spans="1:5">
      <c r="A7580">
        <v>111213</v>
      </c>
      <c r="B7580">
        <v>1600</v>
      </c>
      <c r="C7580" s="455">
        <v>0</v>
      </c>
      <c r="D7580" s="637">
        <f t="shared" si="252"/>
        <v>0</v>
      </c>
      <c r="E7580" s="637">
        <f t="shared" si="253"/>
        <v>0</v>
      </c>
    </row>
    <row r="7581" spans="1:5">
      <c r="A7581">
        <v>111213</v>
      </c>
      <c r="B7581">
        <v>1700</v>
      </c>
      <c r="C7581" s="455">
        <v>2.327</v>
      </c>
      <c r="D7581" s="637">
        <f t="shared" si="252"/>
        <v>6.0202310606060623</v>
      </c>
      <c r="E7581" s="637">
        <f t="shared" si="253"/>
        <v>7.7037803030303094</v>
      </c>
    </row>
    <row r="7582" spans="1:5">
      <c r="A7582">
        <v>111213</v>
      </c>
      <c r="B7582">
        <v>1800</v>
      </c>
      <c r="C7582" s="455">
        <v>13.387</v>
      </c>
      <c r="D7582" s="637">
        <f t="shared" si="252"/>
        <v>34.633791666666681</v>
      </c>
      <c r="E7582" s="637">
        <f t="shared" si="253"/>
        <v>44.319083333333367</v>
      </c>
    </row>
    <row r="7583" spans="1:5">
      <c r="A7583">
        <v>111213</v>
      </c>
      <c r="B7583">
        <v>1900</v>
      </c>
      <c r="C7583" s="455">
        <v>11.448</v>
      </c>
      <c r="D7583" s="637">
        <f t="shared" si="252"/>
        <v>29.617363636363645</v>
      </c>
      <c r="E7583" s="637">
        <f t="shared" si="253"/>
        <v>37.899818181818212</v>
      </c>
    </row>
    <row r="7584" spans="1:5">
      <c r="A7584">
        <v>111213</v>
      </c>
      <c r="B7584">
        <v>2000</v>
      </c>
      <c r="C7584" s="455">
        <v>11.775</v>
      </c>
      <c r="D7584" s="637">
        <f t="shared" si="252"/>
        <v>30.463352272727285</v>
      </c>
      <c r="E7584" s="637">
        <f t="shared" si="253"/>
        <v>38.982386363636394</v>
      </c>
    </row>
    <row r="7585" spans="1:5">
      <c r="A7585">
        <v>111213</v>
      </c>
      <c r="B7585">
        <v>2100</v>
      </c>
      <c r="C7585" s="455">
        <v>11.704000000000001</v>
      </c>
      <c r="D7585" s="637">
        <f t="shared" si="252"/>
        <v>30.279666666666678</v>
      </c>
      <c r="E7585" s="637">
        <f t="shared" si="253"/>
        <v>38.747333333333366</v>
      </c>
    </row>
    <row r="7586" spans="1:5">
      <c r="A7586">
        <v>111213</v>
      </c>
      <c r="B7586">
        <v>2200</v>
      </c>
      <c r="C7586" s="455">
        <v>12.01</v>
      </c>
      <c r="D7586" s="637">
        <f t="shared" si="252"/>
        <v>31.071325757575767</v>
      </c>
      <c r="E7586" s="637">
        <f t="shared" si="253"/>
        <v>39.760378787878814</v>
      </c>
    </row>
    <row r="7587" spans="1:5">
      <c r="A7587">
        <v>111213</v>
      </c>
      <c r="B7587">
        <v>2300</v>
      </c>
      <c r="C7587" s="455">
        <v>12.089</v>
      </c>
      <c r="D7587" s="637">
        <f t="shared" si="252"/>
        <v>31.275708333333345</v>
      </c>
      <c r="E7587" s="637">
        <f t="shared" si="253"/>
        <v>40.021916666666698</v>
      </c>
    </row>
    <row r="7588" spans="1:5">
      <c r="A7588">
        <v>111213</v>
      </c>
      <c r="B7588">
        <v>2400</v>
      </c>
      <c r="C7588" s="455">
        <v>11.654</v>
      </c>
      <c r="D7588" s="637">
        <f t="shared" si="252"/>
        <v>30.150310606060618</v>
      </c>
      <c r="E7588" s="637">
        <f t="shared" si="253"/>
        <v>38.581803030303064</v>
      </c>
    </row>
    <row r="7589" spans="1:5">
      <c r="A7589">
        <v>111313</v>
      </c>
      <c r="B7589">
        <v>100</v>
      </c>
      <c r="C7589" s="455">
        <v>12.189</v>
      </c>
      <c r="D7589" s="637">
        <f t="shared" si="252"/>
        <v>31.534420454545465</v>
      </c>
      <c r="E7589" s="637">
        <f t="shared" si="253"/>
        <v>40.352977272727308</v>
      </c>
    </row>
    <row r="7590" spans="1:5">
      <c r="A7590">
        <v>111313</v>
      </c>
      <c r="B7590">
        <v>200</v>
      </c>
      <c r="C7590" s="455">
        <v>12.651</v>
      </c>
      <c r="D7590" s="637">
        <f t="shared" si="252"/>
        <v>32.729670454545463</v>
      </c>
      <c r="E7590" s="637">
        <f t="shared" si="253"/>
        <v>41.882477272727307</v>
      </c>
    </row>
    <row r="7591" spans="1:5">
      <c r="A7591">
        <v>111313</v>
      </c>
      <c r="B7591">
        <v>300</v>
      </c>
      <c r="C7591" s="455">
        <v>12.244</v>
      </c>
      <c r="D7591" s="637">
        <f t="shared" si="252"/>
        <v>31.67671212121213</v>
      </c>
      <c r="E7591" s="637">
        <f t="shared" si="253"/>
        <v>40.535060606060632</v>
      </c>
    </row>
    <row r="7592" spans="1:5">
      <c r="A7592">
        <v>111313</v>
      </c>
      <c r="B7592">
        <v>400</v>
      </c>
      <c r="C7592" s="455">
        <v>12.505000000000001</v>
      </c>
      <c r="D7592" s="637">
        <f t="shared" si="252"/>
        <v>32.351950757575771</v>
      </c>
      <c r="E7592" s="637">
        <f t="shared" si="253"/>
        <v>41.399128787878823</v>
      </c>
    </row>
    <row r="7593" spans="1:5">
      <c r="A7593">
        <v>111313</v>
      </c>
      <c r="B7593">
        <v>500</v>
      </c>
      <c r="C7593" s="455">
        <v>11.798</v>
      </c>
      <c r="D7593" s="637">
        <f t="shared" si="252"/>
        <v>30.522856060606067</v>
      </c>
      <c r="E7593" s="637">
        <f t="shared" si="253"/>
        <v>39.058530303030331</v>
      </c>
    </row>
    <row r="7594" spans="1:5">
      <c r="A7594">
        <v>111313</v>
      </c>
      <c r="B7594">
        <v>600</v>
      </c>
      <c r="C7594" s="455">
        <v>11.781000000000001</v>
      </c>
      <c r="D7594" s="637">
        <f t="shared" si="252"/>
        <v>30.478875000000013</v>
      </c>
      <c r="E7594" s="637">
        <f t="shared" si="253"/>
        <v>39.002250000000032</v>
      </c>
    </row>
    <row r="7595" spans="1:5">
      <c r="A7595">
        <v>111313</v>
      </c>
      <c r="B7595">
        <v>700</v>
      </c>
      <c r="C7595" s="455">
        <v>12.236000000000001</v>
      </c>
      <c r="D7595" s="637">
        <f t="shared" si="252"/>
        <v>31.656015151515163</v>
      </c>
      <c r="E7595" s="637">
        <f t="shared" si="253"/>
        <v>40.508575757575791</v>
      </c>
    </row>
    <row r="7596" spans="1:5">
      <c r="A7596">
        <v>111313</v>
      </c>
      <c r="B7596">
        <v>800</v>
      </c>
      <c r="C7596" s="455">
        <v>6.7450000000000001</v>
      </c>
      <c r="D7596" s="637">
        <f t="shared" si="252"/>
        <v>17.450132575757582</v>
      </c>
      <c r="E7596" s="637">
        <f t="shared" si="253"/>
        <v>22.330037878787898</v>
      </c>
    </row>
    <row r="7597" spans="1:5">
      <c r="A7597">
        <v>111313</v>
      </c>
      <c r="B7597">
        <v>900</v>
      </c>
      <c r="C7597" s="455">
        <v>0</v>
      </c>
      <c r="D7597" s="637">
        <f t="shared" si="252"/>
        <v>0</v>
      </c>
      <c r="E7597" s="637">
        <f t="shared" si="253"/>
        <v>0</v>
      </c>
    </row>
    <row r="7598" spans="1:5">
      <c r="A7598">
        <v>111313</v>
      </c>
      <c r="B7598">
        <v>1000</v>
      </c>
      <c r="C7598" s="455">
        <v>1E-3</v>
      </c>
      <c r="D7598" s="637">
        <f t="shared" si="252"/>
        <v>2.5871212121212129E-3</v>
      </c>
      <c r="E7598" s="637">
        <f t="shared" si="253"/>
        <v>3.3106060606060629E-3</v>
      </c>
    </row>
    <row r="7599" spans="1:5">
      <c r="A7599">
        <v>111313</v>
      </c>
      <c r="B7599">
        <v>1100</v>
      </c>
      <c r="C7599" s="455">
        <v>0</v>
      </c>
      <c r="D7599" s="637">
        <f t="shared" si="252"/>
        <v>0</v>
      </c>
      <c r="E7599" s="637">
        <f t="shared" si="253"/>
        <v>0</v>
      </c>
    </row>
    <row r="7600" spans="1:5">
      <c r="A7600">
        <v>111313</v>
      </c>
      <c r="B7600">
        <v>1200</v>
      </c>
      <c r="C7600" s="455">
        <v>0</v>
      </c>
      <c r="D7600" s="637">
        <f t="shared" si="252"/>
        <v>0</v>
      </c>
      <c r="E7600" s="637">
        <f t="shared" si="253"/>
        <v>0</v>
      </c>
    </row>
    <row r="7601" spans="1:5">
      <c r="A7601">
        <v>111313</v>
      </c>
      <c r="B7601">
        <v>1300</v>
      </c>
      <c r="C7601" s="455">
        <v>0</v>
      </c>
      <c r="D7601" s="637">
        <f t="shared" si="252"/>
        <v>0</v>
      </c>
      <c r="E7601" s="637">
        <f t="shared" si="253"/>
        <v>0</v>
      </c>
    </row>
    <row r="7602" spans="1:5">
      <c r="A7602">
        <v>111313</v>
      </c>
      <c r="B7602">
        <v>1400</v>
      </c>
      <c r="C7602" s="455">
        <v>0</v>
      </c>
      <c r="D7602" s="637">
        <f t="shared" si="252"/>
        <v>0</v>
      </c>
      <c r="E7602" s="637">
        <f t="shared" si="253"/>
        <v>0</v>
      </c>
    </row>
    <row r="7603" spans="1:5">
      <c r="A7603">
        <v>111313</v>
      </c>
      <c r="B7603">
        <v>1500</v>
      </c>
      <c r="C7603" s="455">
        <v>0</v>
      </c>
      <c r="D7603" s="637">
        <f t="shared" si="252"/>
        <v>0</v>
      </c>
      <c r="E7603" s="637">
        <f t="shared" si="253"/>
        <v>0</v>
      </c>
    </row>
    <row r="7604" spans="1:5">
      <c r="A7604">
        <v>111313</v>
      </c>
      <c r="B7604">
        <v>1600</v>
      </c>
      <c r="C7604" s="455">
        <v>0</v>
      </c>
      <c r="D7604" s="637">
        <f t="shared" si="252"/>
        <v>0</v>
      </c>
      <c r="E7604" s="637">
        <f t="shared" si="253"/>
        <v>0</v>
      </c>
    </row>
    <row r="7605" spans="1:5">
      <c r="A7605">
        <v>111313</v>
      </c>
      <c r="B7605">
        <v>1700</v>
      </c>
      <c r="C7605" s="455">
        <v>2.5259999999999998</v>
      </c>
      <c r="D7605" s="637">
        <f t="shared" si="252"/>
        <v>6.5350681818181835</v>
      </c>
      <c r="E7605" s="637">
        <f t="shared" si="253"/>
        <v>8.3625909090909136</v>
      </c>
    </row>
    <row r="7606" spans="1:5">
      <c r="A7606">
        <v>111313</v>
      </c>
      <c r="B7606">
        <v>1800</v>
      </c>
      <c r="C7606" s="455">
        <v>12.706</v>
      </c>
      <c r="D7606" s="637">
        <f t="shared" si="252"/>
        <v>32.871962121212128</v>
      </c>
      <c r="E7606" s="637">
        <f t="shared" si="253"/>
        <v>42.064560606060638</v>
      </c>
    </row>
    <row r="7607" spans="1:5">
      <c r="A7607">
        <v>111313</v>
      </c>
      <c r="B7607">
        <v>1900</v>
      </c>
      <c r="C7607" s="455">
        <v>11.125</v>
      </c>
      <c r="D7607" s="637">
        <f t="shared" si="252"/>
        <v>28.781723484848495</v>
      </c>
      <c r="E7607" s="637">
        <f t="shared" si="253"/>
        <v>36.830492424242451</v>
      </c>
    </row>
    <row r="7608" spans="1:5">
      <c r="A7608">
        <v>111313</v>
      </c>
      <c r="B7608">
        <v>2000</v>
      </c>
      <c r="C7608" s="455">
        <v>11.38</v>
      </c>
      <c r="D7608" s="637">
        <f t="shared" si="252"/>
        <v>29.441439393939405</v>
      </c>
      <c r="E7608" s="637">
        <f t="shared" si="253"/>
        <v>37.674696969696996</v>
      </c>
    </row>
    <row r="7609" spans="1:5">
      <c r="A7609">
        <v>111313</v>
      </c>
      <c r="B7609">
        <v>2100</v>
      </c>
      <c r="C7609" s="455">
        <v>11.122</v>
      </c>
      <c r="D7609" s="637">
        <f t="shared" si="252"/>
        <v>28.773962121212133</v>
      </c>
      <c r="E7609" s="637">
        <f t="shared" si="253"/>
        <v>36.820560606060639</v>
      </c>
    </row>
    <row r="7610" spans="1:5">
      <c r="A7610">
        <v>111313</v>
      </c>
      <c r="B7610">
        <v>2200</v>
      </c>
      <c r="C7610" s="455">
        <v>11.46</v>
      </c>
      <c r="D7610" s="637">
        <f t="shared" si="252"/>
        <v>29.648409090909102</v>
      </c>
      <c r="E7610" s="637">
        <f t="shared" si="253"/>
        <v>37.939545454545481</v>
      </c>
    </row>
    <row r="7611" spans="1:5">
      <c r="A7611">
        <v>111313</v>
      </c>
      <c r="B7611">
        <v>2300</v>
      </c>
      <c r="C7611" s="455">
        <v>11.8</v>
      </c>
      <c r="D7611" s="637">
        <f t="shared" si="252"/>
        <v>30.528030303030313</v>
      </c>
      <c r="E7611" s="637">
        <f t="shared" si="253"/>
        <v>39.065151515151541</v>
      </c>
    </row>
    <row r="7612" spans="1:5">
      <c r="A7612">
        <v>111313</v>
      </c>
      <c r="B7612">
        <v>2400</v>
      </c>
      <c r="C7612" s="455">
        <v>11.516</v>
      </c>
      <c r="D7612" s="637">
        <f t="shared" si="252"/>
        <v>29.79328787878789</v>
      </c>
      <c r="E7612" s="637">
        <f t="shared" si="253"/>
        <v>38.124939393939421</v>
      </c>
    </row>
    <row r="7613" spans="1:5">
      <c r="A7613">
        <v>111413</v>
      </c>
      <c r="B7613">
        <v>100</v>
      </c>
      <c r="C7613" s="455">
        <v>12.036</v>
      </c>
      <c r="D7613" s="637">
        <f t="shared" si="252"/>
        <v>31.138590909090919</v>
      </c>
      <c r="E7613" s="637">
        <f t="shared" si="253"/>
        <v>39.846454545454577</v>
      </c>
    </row>
    <row r="7614" spans="1:5">
      <c r="A7614">
        <v>111413</v>
      </c>
      <c r="B7614">
        <v>200</v>
      </c>
      <c r="C7614" s="455">
        <v>11.808999999999999</v>
      </c>
      <c r="D7614" s="637">
        <f t="shared" si="252"/>
        <v>30.551314393939403</v>
      </c>
      <c r="E7614" s="637">
        <f t="shared" si="253"/>
        <v>39.094946969696998</v>
      </c>
    </row>
    <row r="7615" spans="1:5">
      <c r="A7615">
        <v>111413</v>
      </c>
      <c r="B7615">
        <v>300</v>
      </c>
      <c r="C7615" s="455">
        <v>11.759</v>
      </c>
      <c r="D7615" s="637">
        <f t="shared" si="252"/>
        <v>30.421958333333343</v>
      </c>
      <c r="E7615" s="637">
        <f t="shared" si="253"/>
        <v>38.929416666666697</v>
      </c>
    </row>
    <row r="7616" spans="1:5">
      <c r="A7616">
        <v>111413</v>
      </c>
      <c r="B7616">
        <v>400</v>
      </c>
      <c r="C7616" s="455">
        <v>11.715</v>
      </c>
      <c r="D7616" s="637">
        <f t="shared" si="252"/>
        <v>30.308125000000008</v>
      </c>
      <c r="E7616" s="637">
        <f t="shared" si="253"/>
        <v>38.783750000000026</v>
      </c>
    </row>
    <row r="7617" spans="1:5">
      <c r="A7617">
        <v>111413</v>
      </c>
      <c r="B7617">
        <v>500</v>
      </c>
      <c r="C7617" s="455">
        <v>12.010999999999999</v>
      </c>
      <c r="D7617" s="637">
        <f t="shared" si="252"/>
        <v>31.073912878787887</v>
      </c>
      <c r="E7617" s="637">
        <f t="shared" si="253"/>
        <v>39.763689393939423</v>
      </c>
    </row>
    <row r="7618" spans="1:5">
      <c r="A7618">
        <v>111413</v>
      </c>
      <c r="B7618">
        <v>600</v>
      </c>
      <c r="C7618" s="455">
        <v>11.590999999999999</v>
      </c>
      <c r="D7618" s="637">
        <f t="shared" si="252"/>
        <v>29.987321969696978</v>
      </c>
      <c r="E7618" s="637">
        <f t="shared" si="253"/>
        <v>38.373234848484877</v>
      </c>
    </row>
    <row r="7619" spans="1:5">
      <c r="A7619">
        <v>111413</v>
      </c>
      <c r="B7619">
        <v>700</v>
      </c>
      <c r="C7619" s="455">
        <v>12.316000000000001</v>
      </c>
      <c r="D7619" s="637">
        <f t="shared" si="252"/>
        <v>31.86298484848486</v>
      </c>
      <c r="E7619" s="637">
        <f t="shared" si="253"/>
        <v>40.773424242424277</v>
      </c>
    </row>
    <row r="7620" spans="1:5">
      <c r="A7620">
        <v>111413</v>
      </c>
      <c r="B7620">
        <v>800</v>
      </c>
      <c r="C7620" s="455">
        <v>7.1630000000000003</v>
      </c>
      <c r="D7620" s="637">
        <f t="shared" si="252"/>
        <v>18.531549242424248</v>
      </c>
      <c r="E7620" s="637">
        <f t="shared" si="253"/>
        <v>23.71387121212123</v>
      </c>
    </row>
    <row r="7621" spans="1:5">
      <c r="A7621">
        <v>111413</v>
      </c>
      <c r="B7621">
        <v>900</v>
      </c>
      <c r="C7621" s="455">
        <v>0</v>
      </c>
      <c r="D7621" s="637">
        <f t="shared" si="252"/>
        <v>0</v>
      </c>
      <c r="E7621" s="637">
        <f t="shared" si="253"/>
        <v>0</v>
      </c>
    </row>
    <row r="7622" spans="1:5">
      <c r="A7622">
        <v>111413</v>
      </c>
      <c r="B7622">
        <v>1000</v>
      </c>
      <c r="C7622" s="455">
        <v>0</v>
      </c>
      <c r="D7622" s="637">
        <f t="shared" ref="D7622:D7685" si="254">(C7622/(MAX($C$7301:$C$8020)))*$W$15</f>
        <v>0</v>
      </c>
      <c r="E7622" s="637">
        <f t="shared" ref="E7622:E7685" si="255">(C7622/(MAX($C$7301:$C$8020)))*$P$15</f>
        <v>0</v>
      </c>
    </row>
    <row r="7623" spans="1:5">
      <c r="A7623">
        <v>111413</v>
      </c>
      <c r="B7623">
        <v>1100</v>
      </c>
      <c r="C7623" s="455">
        <v>0</v>
      </c>
      <c r="D7623" s="637">
        <f t="shared" si="254"/>
        <v>0</v>
      </c>
      <c r="E7623" s="637">
        <f t="shared" si="255"/>
        <v>0</v>
      </c>
    </row>
    <row r="7624" spans="1:5">
      <c r="A7624">
        <v>111413</v>
      </c>
      <c r="B7624">
        <v>1200</v>
      </c>
      <c r="C7624" s="455">
        <v>0</v>
      </c>
      <c r="D7624" s="637">
        <f t="shared" si="254"/>
        <v>0</v>
      </c>
      <c r="E7624" s="637">
        <f t="shared" si="255"/>
        <v>0</v>
      </c>
    </row>
    <row r="7625" spans="1:5">
      <c r="A7625">
        <v>111413</v>
      </c>
      <c r="B7625">
        <v>1300</v>
      </c>
      <c r="C7625" s="455">
        <v>0</v>
      </c>
      <c r="D7625" s="637">
        <f t="shared" si="254"/>
        <v>0</v>
      </c>
      <c r="E7625" s="637">
        <f t="shared" si="255"/>
        <v>0</v>
      </c>
    </row>
    <row r="7626" spans="1:5">
      <c r="A7626">
        <v>111413</v>
      </c>
      <c r="B7626">
        <v>1400</v>
      </c>
      <c r="C7626" s="455">
        <v>7.1999999999999995E-2</v>
      </c>
      <c r="D7626" s="637">
        <f t="shared" si="254"/>
        <v>0.18627272727272731</v>
      </c>
      <c r="E7626" s="637">
        <f t="shared" si="255"/>
        <v>0.23836363636363653</v>
      </c>
    </row>
    <row r="7627" spans="1:5">
      <c r="A7627">
        <v>111413</v>
      </c>
      <c r="B7627">
        <v>1500</v>
      </c>
      <c r="C7627" s="455">
        <v>0</v>
      </c>
      <c r="D7627" s="637">
        <f t="shared" si="254"/>
        <v>0</v>
      </c>
      <c r="E7627" s="637">
        <f t="shared" si="255"/>
        <v>0</v>
      </c>
    </row>
    <row r="7628" spans="1:5">
      <c r="A7628">
        <v>111413</v>
      </c>
      <c r="B7628">
        <v>1600</v>
      </c>
      <c r="C7628" s="455">
        <v>0</v>
      </c>
      <c r="D7628" s="637">
        <f t="shared" si="254"/>
        <v>0</v>
      </c>
      <c r="E7628" s="637">
        <f t="shared" si="255"/>
        <v>0</v>
      </c>
    </row>
    <row r="7629" spans="1:5">
      <c r="A7629">
        <v>111413</v>
      </c>
      <c r="B7629">
        <v>1700</v>
      </c>
      <c r="C7629" s="455">
        <v>2.5070000000000001</v>
      </c>
      <c r="D7629" s="637">
        <f t="shared" si="254"/>
        <v>6.4859128787878806</v>
      </c>
      <c r="E7629" s="637">
        <f t="shared" si="255"/>
        <v>8.299689393939401</v>
      </c>
    </row>
    <row r="7630" spans="1:5">
      <c r="A7630">
        <v>111413</v>
      </c>
      <c r="B7630">
        <v>1800</v>
      </c>
      <c r="C7630" s="455">
        <v>11.81</v>
      </c>
      <c r="D7630" s="637">
        <f t="shared" si="254"/>
        <v>30.553901515151527</v>
      </c>
      <c r="E7630" s="637">
        <f t="shared" si="255"/>
        <v>39.098257575757607</v>
      </c>
    </row>
    <row r="7631" spans="1:5">
      <c r="A7631">
        <v>111413</v>
      </c>
      <c r="B7631">
        <v>1900</v>
      </c>
      <c r="C7631" s="455">
        <v>11.175000000000001</v>
      </c>
      <c r="D7631" s="637">
        <f t="shared" si="254"/>
        <v>28.911079545454555</v>
      </c>
      <c r="E7631" s="637">
        <f t="shared" si="255"/>
        <v>36.996022727272759</v>
      </c>
    </row>
    <row r="7632" spans="1:5">
      <c r="A7632">
        <v>111413</v>
      </c>
      <c r="B7632">
        <v>2000</v>
      </c>
      <c r="C7632" s="455">
        <v>11.108000000000001</v>
      </c>
      <c r="D7632" s="637">
        <f t="shared" si="254"/>
        <v>28.737742424242434</v>
      </c>
      <c r="E7632" s="637">
        <f t="shared" si="255"/>
        <v>36.774212121212152</v>
      </c>
    </row>
    <row r="7633" spans="1:5">
      <c r="A7633">
        <v>111413</v>
      </c>
      <c r="B7633">
        <v>2100</v>
      </c>
      <c r="C7633" s="455">
        <v>11.259</v>
      </c>
      <c r="D7633" s="637">
        <f t="shared" si="254"/>
        <v>29.128397727272734</v>
      </c>
      <c r="E7633" s="637">
        <f t="shared" si="255"/>
        <v>37.274113636363666</v>
      </c>
    </row>
    <row r="7634" spans="1:5">
      <c r="A7634">
        <v>111413</v>
      </c>
      <c r="B7634">
        <v>2200</v>
      </c>
      <c r="C7634" s="455">
        <v>11.34</v>
      </c>
      <c r="D7634" s="637">
        <f t="shared" si="254"/>
        <v>29.337954545454551</v>
      </c>
      <c r="E7634" s="637">
        <f t="shared" si="255"/>
        <v>37.542272727272753</v>
      </c>
    </row>
    <row r="7635" spans="1:5">
      <c r="A7635">
        <v>111413</v>
      </c>
      <c r="B7635">
        <v>2300</v>
      </c>
      <c r="C7635" s="455">
        <v>11.72</v>
      </c>
      <c r="D7635" s="637">
        <f t="shared" si="254"/>
        <v>30.321060606060616</v>
      </c>
      <c r="E7635" s="637">
        <f t="shared" si="255"/>
        <v>38.800303030303063</v>
      </c>
    </row>
    <row r="7636" spans="1:5">
      <c r="A7636">
        <v>111413</v>
      </c>
      <c r="B7636">
        <v>2400</v>
      </c>
      <c r="C7636" s="455">
        <v>11.307</v>
      </c>
      <c r="D7636" s="637">
        <f t="shared" si="254"/>
        <v>29.252579545454552</v>
      </c>
      <c r="E7636" s="637">
        <f t="shared" si="255"/>
        <v>37.43302272727275</v>
      </c>
    </row>
    <row r="7637" spans="1:5">
      <c r="A7637">
        <v>111513</v>
      </c>
      <c r="B7637">
        <v>100</v>
      </c>
      <c r="C7637" s="455">
        <v>11.090999999999999</v>
      </c>
      <c r="D7637" s="637">
        <f t="shared" si="254"/>
        <v>28.693761363636369</v>
      </c>
      <c r="E7637" s="637">
        <f t="shared" si="255"/>
        <v>36.717931818181846</v>
      </c>
    </row>
    <row r="7638" spans="1:5">
      <c r="A7638">
        <v>111513</v>
      </c>
      <c r="B7638">
        <v>200</v>
      </c>
      <c r="C7638" s="455">
        <v>11.337999999999999</v>
      </c>
      <c r="D7638" s="637">
        <f t="shared" si="254"/>
        <v>29.332780303030308</v>
      </c>
      <c r="E7638" s="637">
        <f t="shared" si="255"/>
        <v>37.535651515151535</v>
      </c>
    </row>
    <row r="7639" spans="1:5">
      <c r="A7639">
        <v>111513</v>
      </c>
      <c r="B7639">
        <v>300</v>
      </c>
      <c r="C7639" s="455">
        <v>10.907</v>
      </c>
      <c r="D7639" s="637">
        <f t="shared" si="254"/>
        <v>28.21773106060607</v>
      </c>
      <c r="E7639" s="637">
        <f t="shared" si="255"/>
        <v>36.108780303030329</v>
      </c>
    </row>
    <row r="7640" spans="1:5">
      <c r="A7640">
        <v>111513</v>
      </c>
      <c r="B7640">
        <v>400</v>
      </c>
      <c r="C7640" s="455">
        <v>11.093999999999999</v>
      </c>
      <c r="D7640" s="637">
        <f t="shared" si="254"/>
        <v>28.701522727272735</v>
      </c>
      <c r="E7640" s="637">
        <f t="shared" si="255"/>
        <v>36.727863636363665</v>
      </c>
    </row>
    <row r="7641" spans="1:5">
      <c r="A7641">
        <v>111513</v>
      </c>
      <c r="B7641">
        <v>500</v>
      </c>
      <c r="C7641" s="455">
        <v>11.004</v>
      </c>
      <c r="D7641" s="637">
        <f t="shared" si="254"/>
        <v>28.468681818181828</v>
      </c>
      <c r="E7641" s="637">
        <f t="shared" si="255"/>
        <v>36.429909090909121</v>
      </c>
    </row>
    <row r="7642" spans="1:5">
      <c r="A7642">
        <v>111513</v>
      </c>
      <c r="B7642">
        <v>600</v>
      </c>
      <c r="C7642" s="455">
        <v>11.24</v>
      </c>
      <c r="D7642" s="637">
        <f t="shared" si="254"/>
        <v>29.079242424242434</v>
      </c>
      <c r="E7642" s="637">
        <f t="shared" si="255"/>
        <v>37.211212121212149</v>
      </c>
    </row>
    <row r="7643" spans="1:5">
      <c r="A7643">
        <v>111513</v>
      </c>
      <c r="B7643">
        <v>700</v>
      </c>
      <c r="C7643" s="455">
        <v>11.398</v>
      </c>
      <c r="D7643" s="637">
        <f t="shared" si="254"/>
        <v>29.488007575757585</v>
      </c>
      <c r="E7643" s="637">
        <f t="shared" si="255"/>
        <v>37.734287878787903</v>
      </c>
    </row>
    <row r="7644" spans="1:5">
      <c r="A7644">
        <v>111513</v>
      </c>
      <c r="B7644">
        <v>800</v>
      </c>
      <c r="C7644" s="455">
        <v>6.6779999999999999</v>
      </c>
      <c r="D7644" s="637">
        <f t="shared" si="254"/>
        <v>17.276795454545461</v>
      </c>
      <c r="E7644" s="637">
        <f t="shared" si="255"/>
        <v>22.108227272727287</v>
      </c>
    </row>
    <row r="7645" spans="1:5">
      <c r="A7645">
        <v>111513</v>
      </c>
      <c r="B7645">
        <v>900</v>
      </c>
      <c r="C7645" s="455">
        <v>0</v>
      </c>
      <c r="D7645" s="637">
        <f t="shared" si="254"/>
        <v>0</v>
      </c>
      <c r="E7645" s="637">
        <f t="shared" si="255"/>
        <v>0</v>
      </c>
    </row>
    <row r="7646" spans="1:5">
      <c r="A7646">
        <v>111513</v>
      </c>
      <c r="B7646">
        <v>1000</v>
      </c>
      <c r="C7646" s="455">
        <v>0</v>
      </c>
      <c r="D7646" s="637">
        <f t="shared" si="254"/>
        <v>0</v>
      </c>
      <c r="E7646" s="637">
        <f t="shared" si="255"/>
        <v>0</v>
      </c>
    </row>
    <row r="7647" spans="1:5">
      <c r="A7647">
        <v>111513</v>
      </c>
      <c r="B7647">
        <v>1100</v>
      </c>
      <c r="C7647" s="455">
        <v>1E-3</v>
      </c>
      <c r="D7647" s="637">
        <f t="shared" si="254"/>
        <v>2.5871212121212129E-3</v>
      </c>
      <c r="E7647" s="637">
        <f t="shared" si="255"/>
        <v>3.3106060606060629E-3</v>
      </c>
    </row>
    <row r="7648" spans="1:5">
      <c r="A7648">
        <v>111513</v>
      </c>
      <c r="B7648">
        <v>1200</v>
      </c>
      <c r="C7648" s="455">
        <v>0</v>
      </c>
      <c r="D7648" s="637">
        <f t="shared" si="254"/>
        <v>0</v>
      </c>
      <c r="E7648" s="637">
        <f t="shared" si="255"/>
        <v>0</v>
      </c>
    </row>
    <row r="7649" spans="1:5">
      <c r="A7649">
        <v>111513</v>
      </c>
      <c r="B7649">
        <v>1300</v>
      </c>
      <c r="C7649" s="455">
        <v>0</v>
      </c>
      <c r="D7649" s="637">
        <f t="shared" si="254"/>
        <v>0</v>
      </c>
      <c r="E7649" s="637">
        <f t="shared" si="255"/>
        <v>0</v>
      </c>
    </row>
    <row r="7650" spans="1:5">
      <c r="A7650">
        <v>111513</v>
      </c>
      <c r="B7650">
        <v>1400</v>
      </c>
      <c r="C7650" s="455">
        <v>0</v>
      </c>
      <c r="D7650" s="637">
        <f t="shared" si="254"/>
        <v>0</v>
      </c>
      <c r="E7650" s="637">
        <f t="shared" si="255"/>
        <v>0</v>
      </c>
    </row>
    <row r="7651" spans="1:5">
      <c r="A7651">
        <v>111513</v>
      </c>
      <c r="B7651">
        <v>1500</v>
      </c>
      <c r="C7651" s="455">
        <v>0</v>
      </c>
      <c r="D7651" s="637">
        <f t="shared" si="254"/>
        <v>0</v>
      </c>
      <c r="E7651" s="637">
        <f t="shared" si="255"/>
        <v>0</v>
      </c>
    </row>
    <row r="7652" spans="1:5">
      <c r="A7652">
        <v>111513</v>
      </c>
      <c r="B7652">
        <v>1600</v>
      </c>
      <c r="C7652" s="455">
        <v>0</v>
      </c>
      <c r="D7652" s="637">
        <f t="shared" si="254"/>
        <v>0</v>
      </c>
      <c r="E7652" s="637">
        <f t="shared" si="255"/>
        <v>0</v>
      </c>
    </row>
    <row r="7653" spans="1:5">
      <c r="A7653">
        <v>111513</v>
      </c>
      <c r="B7653">
        <v>1700</v>
      </c>
      <c r="C7653" s="455">
        <v>4.6479999999999997</v>
      </c>
      <c r="D7653" s="637">
        <f t="shared" si="254"/>
        <v>12.024939393939396</v>
      </c>
      <c r="E7653" s="637">
        <f t="shared" si="255"/>
        <v>15.387696969696981</v>
      </c>
    </row>
    <row r="7654" spans="1:5">
      <c r="A7654">
        <v>111513</v>
      </c>
      <c r="B7654">
        <v>1800</v>
      </c>
      <c r="C7654" s="455">
        <v>11.593999999999999</v>
      </c>
      <c r="D7654" s="637">
        <f t="shared" si="254"/>
        <v>29.995083333333341</v>
      </c>
      <c r="E7654" s="637">
        <f t="shared" si="255"/>
        <v>38.383166666666696</v>
      </c>
    </row>
    <row r="7655" spans="1:5">
      <c r="A7655">
        <v>111513</v>
      </c>
      <c r="B7655">
        <v>1900</v>
      </c>
      <c r="C7655" s="455">
        <v>10.654</v>
      </c>
      <c r="D7655" s="637">
        <f t="shared" si="254"/>
        <v>27.5631893939394</v>
      </c>
      <c r="E7655" s="637">
        <f t="shared" si="255"/>
        <v>35.271196969696994</v>
      </c>
    </row>
    <row r="7656" spans="1:5">
      <c r="A7656">
        <v>111513</v>
      </c>
      <c r="B7656">
        <v>2000</v>
      </c>
      <c r="C7656" s="455">
        <v>10.688000000000001</v>
      </c>
      <c r="D7656" s="637">
        <f t="shared" si="254"/>
        <v>27.651151515151525</v>
      </c>
      <c r="E7656" s="637">
        <f t="shared" si="255"/>
        <v>35.383757575757599</v>
      </c>
    </row>
    <row r="7657" spans="1:5">
      <c r="A7657">
        <v>111513</v>
      </c>
      <c r="B7657">
        <v>2100</v>
      </c>
      <c r="C7657" s="455">
        <v>11.31</v>
      </c>
      <c r="D7657" s="637">
        <f t="shared" si="254"/>
        <v>29.260340909090921</v>
      </c>
      <c r="E7657" s="637">
        <f t="shared" si="255"/>
        <v>37.442954545454576</v>
      </c>
    </row>
    <row r="7658" spans="1:5">
      <c r="A7658">
        <v>111513</v>
      </c>
      <c r="B7658">
        <v>2200</v>
      </c>
      <c r="C7658" s="455">
        <v>11.657</v>
      </c>
      <c r="D7658" s="637">
        <f t="shared" si="254"/>
        <v>30.15807196969698</v>
      </c>
      <c r="E7658" s="637">
        <f t="shared" si="255"/>
        <v>38.591734848484883</v>
      </c>
    </row>
    <row r="7659" spans="1:5">
      <c r="A7659">
        <v>111513</v>
      </c>
      <c r="B7659">
        <v>2300</v>
      </c>
      <c r="C7659" s="455">
        <v>11.194000000000001</v>
      </c>
      <c r="D7659" s="637">
        <f t="shared" si="254"/>
        <v>28.960234848484856</v>
      </c>
      <c r="E7659" s="637">
        <f t="shared" si="255"/>
        <v>37.058924242424268</v>
      </c>
    </row>
    <row r="7660" spans="1:5">
      <c r="A7660">
        <v>111513</v>
      </c>
      <c r="B7660">
        <v>2400</v>
      </c>
      <c r="C7660" s="455">
        <v>11.478999999999999</v>
      </c>
      <c r="D7660" s="637">
        <f t="shared" si="254"/>
        <v>29.697564393939402</v>
      </c>
      <c r="E7660" s="637">
        <f t="shared" si="255"/>
        <v>38.002446969696997</v>
      </c>
    </row>
    <row r="7661" spans="1:5">
      <c r="A7661">
        <v>111613</v>
      </c>
      <c r="B7661">
        <v>100</v>
      </c>
      <c r="C7661" s="455">
        <v>11.242000000000001</v>
      </c>
      <c r="D7661" s="637">
        <f t="shared" si="254"/>
        <v>29.08441666666668</v>
      </c>
      <c r="E7661" s="637">
        <f t="shared" si="255"/>
        <v>37.217833333333367</v>
      </c>
    </row>
    <row r="7662" spans="1:5">
      <c r="A7662">
        <v>111613</v>
      </c>
      <c r="B7662">
        <v>200</v>
      </c>
      <c r="C7662" s="455">
        <v>11.074</v>
      </c>
      <c r="D7662" s="637">
        <f t="shared" si="254"/>
        <v>28.649780303030308</v>
      </c>
      <c r="E7662" s="637">
        <f t="shared" si="255"/>
        <v>36.66165151515154</v>
      </c>
    </row>
    <row r="7663" spans="1:5">
      <c r="A7663">
        <v>111613</v>
      </c>
      <c r="B7663">
        <v>300</v>
      </c>
      <c r="C7663" s="455">
        <v>11.362</v>
      </c>
      <c r="D7663" s="637">
        <f t="shared" si="254"/>
        <v>29.39487121212122</v>
      </c>
      <c r="E7663" s="637">
        <f t="shared" si="255"/>
        <v>37.615106060606088</v>
      </c>
    </row>
    <row r="7664" spans="1:5">
      <c r="A7664">
        <v>111613</v>
      </c>
      <c r="B7664">
        <v>400</v>
      </c>
      <c r="C7664" s="455">
        <v>11.256</v>
      </c>
      <c r="D7664" s="637">
        <f t="shared" si="254"/>
        <v>29.120636363636372</v>
      </c>
      <c r="E7664" s="637">
        <f t="shared" si="255"/>
        <v>37.264181818181846</v>
      </c>
    </row>
    <row r="7665" spans="1:5">
      <c r="A7665">
        <v>111613</v>
      </c>
      <c r="B7665">
        <v>500</v>
      </c>
      <c r="C7665" s="455">
        <v>11.45</v>
      </c>
      <c r="D7665" s="637">
        <f t="shared" si="254"/>
        <v>29.622537878787885</v>
      </c>
      <c r="E7665" s="637">
        <f t="shared" si="255"/>
        <v>37.906439393939415</v>
      </c>
    </row>
    <row r="7666" spans="1:5">
      <c r="A7666">
        <v>111613</v>
      </c>
      <c r="B7666">
        <v>600</v>
      </c>
      <c r="C7666" s="455">
        <v>11.173999999999999</v>
      </c>
      <c r="D7666" s="637">
        <f t="shared" si="254"/>
        <v>28.908492424242432</v>
      </c>
      <c r="E7666" s="637">
        <f t="shared" si="255"/>
        <v>36.992712121212143</v>
      </c>
    </row>
    <row r="7667" spans="1:5">
      <c r="A7667">
        <v>111613</v>
      </c>
      <c r="B7667">
        <v>700</v>
      </c>
      <c r="C7667" s="455">
        <v>11.15</v>
      </c>
      <c r="D7667" s="637">
        <f t="shared" si="254"/>
        <v>28.846401515151523</v>
      </c>
      <c r="E7667" s="637">
        <f t="shared" si="255"/>
        <v>36.913257575757605</v>
      </c>
    </row>
    <row r="7668" spans="1:5">
      <c r="A7668">
        <v>111613</v>
      </c>
      <c r="B7668">
        <v>800</v>
      </c>
      <c r="C7668" s="455">
        <v>5.4660000000000002</v>
      </c>
      <c r="D7668" s="637">
        <f t="shared" si="254"/>
        <v>14.141204545454551</v>
      </c>
      <c r="E7668" s="637">
        <f t="shared" si="255"/>
        <v>18.095772727272742</v>
      </c>
    </row>
    <row r="7669" spans="1:5">
      <c r="A7669">
        <v>111613</v>
      </c>
      <c r="B7669">
        <v>900</v>
      </c>
      <c r="C7669" s="455">
        <v>0</v>
      </c>
      <c r="D7669" s="637">
        <f t="shared" si="254"/>
        <v>0</v>
      </c>
      <c r="E7669" s="637">
        <f t="shared" si="255"/>
        <v>0</v>
      </c>
    </row>
    <row r="7670" spans="1:5">
      <c r="A7670">
        <v>111613</v>
      </c>
      <c r="B7670">
        <v>1000</v>
      </c>
      <c r="C7670" s="455">
        <v>0</v>
      </c>
      <c r="D7670" s="637">
        <f t="shared" si="254"/>
        <v>0</v>
      </c>
      <c r="E7670" s="637">
        <f t="shared" si="255"/>
        <v>0</v>
      </c>
    </row>
    <row r="7671" spans="1:5">
      <c r="A7671">
        <v>111613</v>
      </c>
      <c r="B7671">
        <v>1100</v>
      </c>
      <c r="C7671" s="455">
        <v>0</v>
      </c>
      <c r="D7671" s="637">
        <f t="shared" si="254"/>
        <v>0</v>
      </c>
      <c r="E7671" s="637">
        <f t="shared" si="255"/>
        <v>0</v>
      </c>
    </row>
    <row r="7672" spans="1:5">
      <c r="A7672">
        <v>111613</v>
      </c>
      <c r="B7672">
        <v>1200</v>
      </c>
      <c r="C7672" s="455">
        <v>0</v>
      </c>
      <c r="D7672" s="637">
        <f t="shared" si="254"/>
        <v>0</v>
      </c>
      <c r="E7672" s="637">
        <f t="shared" si="255"/>
        <v>0</v>
      </c>
    </row>
    <row r="7673" spans="1:5">
      <c r="A7673">
        <v>111613</v>
      </c>
      <c r="B7673">
        <v>1300</v>
      </c>
      <c r="C7673" s="455">
        <v>1E-3</v>
      </c>
      <c r="D7673" s="637">
        <f t="shared" si="254"/>
        <v>2.5871212121212129E-3</v>
      </c>
      <c r="E7673" s="637">
        <f t="shared" si="255"/>
        <v>3.3106060606060629E-3</v>
      </c>
    </row>
    <row r="7674" spans="1:5">
      <c r="A7674">
        <v>111613</v>
      </c>
      <c r="B7674">
        <v>1400</v>
      </c>
      <c r="C7674" s="455">
        <v>0</v>
      </c>
      <c r="D7674" s="637">
        <f t="shared" si="254"/>
        <v>0</v>
      </c>
      <c r="E7674" s="637">
        <f t="shared" si="255"/>
        <v>0</v>
      </c>
    </row>
    <row r="7675" spans="1:5">
      <c r="A7675">
        <v>111613</v>
      </c>
      <c r="B7675">
        <v>1500</v>
      </c>
      <c r="C7675" s="455">
        <v>0</v>
      </c>
      <c r="D7675" s="637">
        <f t="shared" si="254"/>
        <v>0</v>
      </c>
      <c r="E7675" s="637">
        <f t="shared" si="255"/>
        <v>0</v>
      </c>
    </row>
    <row r="7676" spans="1:5">
      <c r="A7676">
        <v>111613</v>
      </c>
      <c r="B7676">
        <v>1600</v>
      </c>
      <c r="C7676" s="455">
        <v>0</v>
      </c>
      <c r="D7676" s="637">
        <f t="shared" si="254"/>
        <v>0</v>
      </c>
      <c r="E7676" s="637">
        <f t="shared" si="255"/>
        <v>0</v>
      </c>
    </row>
    <row r="7677" spans="1:5">
      <c r="A7677">
        <v>111613</v>
      </c>
      <c r="B7677">
        <v>1700</v>
      </c>
      <c r="C7677" s="455">
        <v>5.1180000000000003</v>
      </c>
      <c r="D7677" s="637">
        <f t="shared" si="254"/>
        <v>13.240886363636367</v>
      </c>
      <c r="E7677" s="637">
        <f t="shared" si="255"/>
        <v>16.94368181818183</v>
      </c>
    </row>
    <row r="7678" spans="1:5">
      <c r="A7678">
        <v>111613</v>
      </c>
      <c r="B7678">
        <v>1800</v>
      </c>
      <c r="C7678" s="455">
        <v>10.786</v>
      </c>
      <c r="D7678" s="637">
        <f t="shared" si="254"/>
        <v>27.904689393939403</v>
      </c>
      <c r="E7678" s="637">
        <f t="shared" si="255"/>
        <v>35.708196969696992</v>
      </c>
    </row>
    <row r="7679" spans="1:5">
      <c r="A7679">
        <v>111613</v>
      </c>
      <c r="B7679">
        <v>1900</v>
      </c>
      <c r="C7679" s="455">
        <v>10.407999999999999</v>
      </c>
      <c r="D7679" s="637">
        <f t="shared" si="254"/>
        <v>26.926757575757581</v>
      </c>
      <c r="E7679" s="637">
        <f t="shared" si="255"/>
        <v>34.4567878787879</v>
      </c>
    </row>
    <row r="7680" spans="1:5">
      <c r="A7680">
        <v>111613</v>
      </c>
      <c r="B7680">
        <v>2000</v>
      </c>
      <c r="C7680" s="455">
        <v>10.87</v>
      </c>
      <c r="D7680" s="637">
        <f t="shared" si="254"/>
        <v>28.122007575757582</v>
      </c>
      <c r="E7680" s="637">
        <f t="shared" si="255"/>
        <v>35.986287878787898</v>
      </c>
    </row>
    <row r="7681" spans="1:5">
      <c r="A7681">
        <v>111613</v>
      </c>
      <c r="B7681">
        <v>2100</v>
      </c>
      <c r="C7681" s="455">
        <v>10.672000000000001</v>
      </c>
      <c r="D7681" s="637">
        <f t="shared" si="254"/>
        <v>27.609757575757587</v>
      </c>
      <c r="E7681" s="637">
        <f t="shared" si="255"/>
        <v>35.330787878787909</v>
      </c>
    </row>
    <row r="7682" spans="1:5">
      <c r="A7682">
        <v>111613</v>
      </c>
      <c r="B7682">
        <v>2200</v>
      </c>
      <c r="C7682" s="455">
        <v>10.714</v>
      </c>
      <c r="D7682" s="637">
        <f t="shared" si="254"/>
        <v>27.718416666666677</v>
      </c>
      <c r="E7682" s="637">
        <f t="shared" si="255"/>
        <v>35.469833333333362</v>
      </c>
    </row>
    <row r="7683" spans="1:5">
      <c r="A7683">
        <v>111613</v>
      </c>
      <c r="B7683">
        <v>2300</v>
      </c>
      <c r="C7683" s="455">
        <v>11.335000000000001</v>
      </c>
      <c r="D7683" s="637">
        <f t="shared" si="254"/>
        <v>29.325018939393949</v>
      </c>
      <c r="E7683" s="637">
        <f t="shared" si="255"/>
        <v>37.525719696969723</v>
      </c>
    </row>
    <row r="7684" spans="1:5">
      <c r="A7684">
        <v>111613</v>
      </c>
      <c r="B7684">
        <v>2400</v>
      </c>
      <c r="C7684" s="455">
        <v>10.885</v>
      </c>
      <c r="D7684" s="637">
        <f t="shared" si="254"/>
        <v>28.1608143939394</v>
      </c>
      <c r="E7684" s="637">
        <f t="shared" si="255"/>
        <v>36.035946969696994</v>
      </c>
    </row>
    <row r="7685" spans="1:5">
      <c r="A7685">
        <v>111713</v>
      </c>
      <c r="B7685">
        <v>100</v>
      </c>
      <c r="C7685" s="455">
        <v>10.709</v>
      </c>
      <c r="D7685" s="637">
        <f t="shared" si="254"/>
        <v>27.705481060606068</v>
      </c>
      <c r="E7685" s="637">
        <f t="shared" si="255"/>
        <v>35.453280303030326</v>
      </c>
    </row>
    <row r="7686" spans="1:5">
      <c r="A7686">
        <v>111713</v>
      </c>
      <c r="B7686">
        <v>200</v>
      </c>
      <c r="C7686" s="455">
        <v>10.875</v>
      </c>
      <c r="D7686" s="637">
        <f t="shared" ref="D7686:D7749" si="256">(C7686/(MAX($C$7301:$C$8020)))*$W$15</f>
        <v>28.134943181818191</v>
      </c>
      <c r="E7686" s="637">
        <f t="shared" ref="E7686:E7749" si="257">(C7686/(MAX($C$7301:$C$8020)))*$P$15</f>
        <v>36.002840909090935</v>
      </c>
    </row>
    <row r="7687" spans="1:5">
      <c r="A7687">
        <v>111713</v>
      </c>
      <c r="B7687">
        <v>300</v>
      </c>
      <c r="C7687" s="455">
        <v>10.785</v>
      </c>
      <c r="D7687" s="637">
        <f t="shared" si="256"/>
        <v>27.902102272727284</v>
      </c>
      <c r="E7687" s="637">
        <f t="shared" si="257"/>
        <v>35.70488636363639</v>
      </c>
    </row>
    <row r="7688" spans="1:5">
      <c r="A7688">
        <v>111713</v>
      </c>
      <c r="B7688">
        <v>400</v>
      </c>
      <c r="C7688" s="455">
        <v>11.577</v>
      </c>
      <c r="D7688" s="637">
        <f t="shared" si="256"/>
        <v>29.951102272727283</v>
      </c>
      <c r="E7688" s="637">
        <f t="shared" si="257"/>
        <v>38.326886363636397</v>
      </c>
    </row>
    <row r="7689" spans="1:5">
      <c r="A7689">
        <v>111713</v>
      </c>
      <c r="B7689">
        <v>500</v>
      </c>
      <c r="C7689" s="455">
        <v>11.583</v>
      </c>
      <c r="D7689" s="637">
        <f t="shared" si="256"/>
        <v>29.966625000000011</v>
      </c>
      <c r="E7689" s="637">
        <f t="shared" si="257"/>
        <v>38.346750000000029</v>
      </c>
    </row>
    <row r="7690" spans="1:5">
      <c r="A7690">
        <v>111713</v>
      </c>
      <c r="B7690">
        <v>600</v>
      </c>
      <c r="C7690" s="455">
        <v>11.885</v>
      </c>
      <c r="D7690" s="637">
        <f t="shared" si="256"/>
        <v>30.747935606060619</v>
      </c>
      <c r="E7690" s="637">
        <f t="shared" si="257"/>
        <v>39.346553030303063</v>
      </c>
    </row>
    <row r="7691" spans="1:5">
      <c r="A7691">
        <v>111713</v>
      </c>
      <c r="B7691">
        <v>700</v>
      </c>
      <c r="C7691" s="455">
        <v>11.641</v>
      </c>
      <c r="D7691" s="637">
        <f t="shared" si="256"/>
        <v>30.116678030303039</v>
      </c>
      <c r="E7691" s="637">
        <f t="shared" si="257"/>
        <v>38.538765151515179</v>
      </c>
    </row>
    <row r="7692" spans="1:5">
      <c r="A7692">
        <v>111713</v>
      </c>
      <c r="B7692">
        <v>800</v>
      </c>
      <c r="C7692" s="455">
        <v>14.01</v>
      </c>
      <c r="D7692" s="637">
        <f t="shared" si="256"/>
        <v>36.245568181818193</v>
      </c>
      <c r="E7692" s="637">
        <f t="shared" si="257"/>
        <v>46.381590909090939</v>
      </c>
    </row>
    <row r="7693" spans="1:5">
      <c r="A7693">
        <v>111713</v>
      </c>
      <c r="B7693">
        <v>900</v>
      </c>
      <c r="C7693" s="455">
        <v>4.5369999999999999</v>
      </c>
      <c r="D7693" s="637">
        <f t="shared" si="256"/>
        <v>11.737768939393943</v>
      </c>
      <c r="E7693" s="637">
        <f t="shared" si="257"/>
        <v>15.020219696969708</v>
      </c>
    </row>
    <row r="7694" spans="1:5">
      <c r="A7694">
        <v>111713</v>
      </c>
      <c r="B7694">
        <v>1000</v>
      </c>
      <c r="C7694" s="455">
        <v>0.31</v>
      </c>
      <c r="D7694" s="637">
        <f t="shared" si="256"/>
        <v>0.80200757575757597</v>
      </c>
      <c r="E7694" s="637">
        <f t="shared" si="257"/>
        <v>1.0262878787878795</v>
      </c>
    </row>
    <row r="7695" spans="1:5">
      <c r="A7695">
        <v>111713</v>
      </c>
      <c r="B7695">
        <v>1100</v>
      </c>
      <c r="C7695" s="455">
        <v>0</v>
      </c>
      <c r="D7695" s="637">
        <f t="shared" si="256"/>
        <v>0</v>
      </c>
      <c r="E7695" s="637">
        <f t="shared" si="257"/>
        <v>0</v>
      </c>
    </row>
    <row r="7696" spans="1:5">
      <c r="A7696">
        <v>111713</v>
      </c>
      <c r="B7696">
        <v>1200</v>
      </c>
      <c r="C7696" s="455">
        <v>0</v>
      </c>
      <c r="D7696" s="637">
        <f t="shared" si="256"/>
        <v>0</v>
      </c>
      <c r="E7696" s="637">
        <f t="shared" si="257"/>
        <v>0</v>
      </c>
    </row>
    <row r="7697" spans="1:5">
      <c r="A7697">
        <v>111713</v>
      </c>
      <c r="B7697">
        <v>1300</v>
      </c>
      <c r="C7697" s="455">
        <v>0</v>
      </c>
      <c r="D7697" s="637">
        <f t="shared" si="256"/>
        <v>0</v>
      </c>
      <c r="E7697" s="637">
        <f t="shared" si="257"/>
        <v>0</v>
      </c>
    </row>
    <row r="7698" spans="1:5">
      <c r="A7698">
        <v>111713</v>
      </c>
      <c r="B7698">
        <v>1400</v>
      </c>
      <c r="C7698" s="455">
        <v>0</v>
      </c>
      <c r="D7698" s="637">
        <f t="shared" si="256"/>
        <v>0</v>
      </c>
      <c r="E7698" s="637">
        <f t="shared" si="257"/>
        <v>0</v>
      </c>
    </row>
    <row r="7699" spans="1:5">
      <c r="A7699">
        <v>111713</v>
      </c>
      <c r="B7699">
        <v>1500</v>
      </c>
      <c r="C7699" s="455">
        <v>0</v>
      </c>
      <c r="D7699" s="637">
        <f t="shared" si="256"/>
        <v>0</v>
      </c>
      <c r="E7699" s="637">
        <f t="shared" si="257"/>
        <v>0</v>
      </c>
    </row>
    <row r="7700" spans="1:5">
      <c r="A7700">
        <v>111713</v>
      </c>
      <c r="B7700">
        <v>1600</v>
      </c>
      <c r="C7700" s="455">
        <v>1.2E-2</v>
      </c>
      <c r="D7700" s="637">
        <f t="shared" si="256"/>
        <v>3.1045454545454557E-2</v>
      </c>
      <c r="E7700" s="637">
        <f t="shared" si="257"/>
        <v>3.9727272727272757E-2</v>
      </c>
    </row>
    <row r="7701" spans="1:5">
      <c r="A7701">
        <v>111713</v>
      </c>
      <c r="B7701">
        <v>1700</v>
      </c>
      <c r="C7701" s="455">
        <v>10.869</v>
      </c>
      <c r="D7701" s="637">
        <f t="shared" si="256"/>
        <v>28.119420454545462</v>
      </c>
      <c r="E7701" s="637">
        <f t="shared" si="257"/>
        <v>35.982977272727297</v>
      </c>
    </row>
    <row r="7702" spans="1:5">
      <c r="A7702">
        <v>111713</v>
      </c>
      <c r="B7702">
        <v>1800</v>
      </c>
      <c r="C7702" s="455">
        <v>10.263</v>
      </c>
      <c r="D7702" s="637">
        <f t="shared" si="256"/>
        <v>26.551625000000005</v>
      </c>
      <c r="E7702" s="637">
        <f t="shared" si="257"/>
        <v>33.976750000000024</v>
      </c>
    </row>
    <row r="7703" spans="1:5">
      <c r="A7703">
        <v>111713</v>
      </c>
      <c r="B7703">
        <v>1900</v>
      </c>
      <c r="C7703" s="455">
        <v>9.9309999999999992</v>
      </c>
      <c r="D7703" s="637">
        <f t="shared" si="256"/>
        <v>25.692700757575764</v>
      </c>
      <c r="E7703" s="637">
        <f t="shared" si="257"/>
        <v>32.877628787878812</v>
      </c>
    </row>
    <row r="7704" spans="1:5">
      <c r="A7704">
        <v>111713</v>
      </c>
      <c r="B7704">
        <v>2000</v>
      </c>
      <c r="C7704" s="455">
        <v>10.045999999999999</v>
      </c>
      <c r="D7704" s="637">
        <f t="shared" si="256"/>
        <v>25.990219696969707</v>
      </c>
      <c r="E7704" s="637">
        <f t="shared" si="257"/>
        <v>33.258348484848511</v>
      </c>
    </row>
    <row r="7705" spans="1:5">
      <c r="A7705">
        <v>111713</v>
      </c>
      <c r="B7705">
        <v>2100</v>
      </c>
      <c r="C7705" s="455">
        <v>10.170999999999999</v>
      </c>
      <c r="D7705" s="637">
        <f t="shared" si="256"/>
        <v>26.313609848484855</v>
      </c>
      <c r="E7705" s="637">
        <f t="shared" si="257"/>
        <v>33.672174242424269</v>
      </c>
    </row>
    <row r="7706" spans="1:5">
      <c r="A7706">
        <v>111713</v>
      </c>
      <c r="B7706">
        <v>2200</v>
      </c>
      <c r="C7706" s="455">
        <v>10.083</v>
      </c>
      <c r="D7706" s="637">
        <f t="shared" si="256"/>
        <v>26.085943181818195</v>
      </c>
      <c r="E7706" s="637">
        <f t="shared" si="257"/>
        <v>33.380840909090935</v>
      </c>
    </row>
    <row r="7707" spans="1:5">
      <c r="A7707">
        <v>111713</v>
      </c>
      <c r="B7707">
        <v>2300</v>
      </c>
      <c r="C7707" s="455">
        <v>9.9890000000000008</v>
      </c>
      <c r="D7707" s="637">
        <f t="shared" si="256"/>
        <v>25.842753787878799</v>
      </c>
      <c r="E7707" s="637">
        <f t="shared" si="257"/>
        <v>33.06964393939397</v>
      </c>
    </row>
    <row r="7708" spans="1:5">
      <c r="A7708">
        <v>111713</v>
      </c>
      <c r="B7708">
        <v>2400</v>
      </c>
      <c r="C7708" s="455">
        <v>10.441000000000001</v>
      </c>
      <c r="D7708" s="637">
        <f t="shared" si="256"/>
        <v>27.012132575757587</v>
      </c>
      <c r="E7708" s="637">
        <f t="shared" si="257"/>
        <v>34.56603787878791</v>
      </c>
    </row>
    <row r="7709" spans="1:5">
      <c r="A7709">
        <v>111813</v>
      </c>
      <c r="B7709">
        <v>100</v>
      </c>
      <c r="C7709" s="455">
        <v>10.851000000000001</v>
      </c>
      <c r="D7709" s="637">
        <f t="shared" si="256"/>
        <v>28.072852272727285</v>
      </c>
      <c r="E7709" s="637">
        <f t="shared" si="257"/>
        <v>35.923386363636396</v>
      </c>
    </row>
    <row r="7710" spans="1:5">
      <c r="A7710">
        <v>111813</v>
      </c>
      <c r="B7710">
        <v>200</v>
      </c>
      <c r="C7710" s="455">
        <v>11.112</v>
      </c>
      <c r="D7710" s="637">
        <f t="shared" si="256"/>
        <v>28.748090909090916</v>
      </c>
      <c r="E7710" s="637">
        <f t="shared" si="257"/>
        <v>36.787454545454572</v>
      </c>
    </row>
    <row r="7711" spans="1:5">
      <c r="A7711">
        <v>111813</v>
      </c>
      <c r="B7711">
        <v>300</v>
      </c>
      <c r="C7711" s="455">
        <v>11.308</v>
      </c>
      <c r="D7711" s="637">
        <f t="shared" si="256"/>
        <v>29.255166666666678</v>
      </c>
      <c r="E7711" s="637">
        <f t="shared" si="257"/>
        <v>37.436333333333366</v>
      </c>
    </row>
    <row r="7712" spans="1:5">
      <c r="A7712">
        <v>111813</v>
      </c>
      <c r="B7712">
        <v>400</v>
      </c>
      <c r="C7712" s="455">
        <v>11.612</v>
      </c>
      <c r="D7712" s="637">
        <f t="shared" si="256"/>
        <v>30.041651515151521</v>
      </c>
      <c r="E7712" s="637">
        <f t="shared" si="257"/>
        <v>38.442757575757604</v>
      </c>
    </row>
    <row r="7713" spans="1:5">
      <c r="A7713">
        <v>111813</v>
      </c>
      <c r="B7713">
        <v>500</v>
      </c>
      <c r="C7713" s="455">
        <v>11.805</v>
      </c>
      <c r="D7713" s="637">
        <f t="shared" si="256"/>
        <v>30.540965909090922</v>
      </c>
      <c r="E7713" s="637">
        <f t="shared" si="257"/>
        <v>39.081704545454578</v>
      </c>
    </row>
    <row r="7714" spans="1:5">
      <c r="A7714">
        <v>111813</v>
      </c>
      <c r="B7714">
        <v>600</v>
      </c>
      <c r="C7714" s="455">
        <v>11.205</v>
      </c>
      <c r="D7714" s="637">
        <f t="shared" si="256"/>
        <v>28.988693181818192</v>
      </c>
      <c r="E7714" s="637">
        <f t="shared" si="257"/>
        <v>37.095340909090936</v>
      </c>
    </row>
    <row r="7715" spans="1:5">
      <c r="A7715">
        <v>111813</v>
      </c>
      <c r="B7715">
        <v>700</v>
      </c>
      <c r="C7715" s="455">
        <v>11.180999999999999</v>
      </c>
      <c r="D7715" s="637">
        <f t="shared" si="256"/>
        <v>28.926602272727276</v>
      </c>
      <c r="E7715" s="637">
        <f t="shared" si="257"/>
        <v>37.015886363636383</v>
      </c>
    </row>
    <row r="7716" spans="1:5">
      <c r="A7716">
        <v>111813</v>
      </c>
      <c r="B7716">
        <v>800</v>
      </c>
      <c r="C7716" s="455">
        <v>6.2439999999999998</v>
      </c>
      <c r="D7716" s="637">
        <f t="shared" si="256"/>
        <v>16.153984848484853</v>
      </c>
      <c r="E7716" s="637">
        <f t="shared" si="257"/>
        <v>20.671424242424255</v>
      </c>
    </row>
    <row r="7717" spans="1:5">
      <c r="A7717">
        <v>111813</v>
      </c>
      <c r="B7717">
        <v>900</v>
      </c>
      <c r="C7717" s="455">
        <v>2E-3</v>
      </c>
      <c r="D7717" s="637">
        <f t="shared" si="256"/>
        <v>5.1742424242424258E-3</v>
      </c>
      <c r="E7717" s="637">
        <f t="shared" si="257"/>
        <v>6.6212121212121259E-3</v>
      </c>
    </row>
    <row r="7718" spans="1:5">
      <c r="A7718">
        <v>111813</v>
      </c>
      <c r="B7718">
        <v>1000</v>
      </c>
      <c r="C7718" s="455">
        <v>0</v>
      </c>
      <c r="D7718" s="637">
        <f t="shared" si="256"/>
        <v>0</v>
      </c>
      <c r="E7718" s="637">
        <f t="shared" si="257"/>
        <v>0</v>
      </c>
    </row>
    <row r="7719" spans="1:5">
      <c r="A7719">
        <v>111813</v>
      </c>
      <c r="B7719">
        <v>1100</v>
      </c>
      <c r="C7719" s="455">
        <v>0</v>
      </c>
      <c r="D7719" s="637">
        <f t="shared" si="256"/>
        <v>0</v>
      </c>
      <c r="E7719" s="637">
        <f t="shared" si="257"/>
        <v>0</v>
      </c>
    </row>
    <row r="7720" spans="1:5">
      <c r="A7720">
        <v>111813</v>
      </c>
      <c r="B7720">
        <v>1200</v>
      </c>
      <c r="C7720" s="455">
        <v>0.29299999999999998</v>
      </c>
      <c r="D7720" s="637">
        <f t="shared" si="256"/>
        <v>0.75802651515151531</v>
      </c>
      <c r="E7720" s="637">
        <f t="shared" si="257"/>
        <v>0.97000757575757635</v>
      </c>
    </row>
    <row r="7721" spans="1:5">
      <c r="A7721">
        <v>111813</v>
      </c>
      <c r="B7721">
        <v>1300</v>
      </c>
      <c r="C7721" s="455">
        <v>0</v>
      </c>
      <c r="D7721" s="637">
        <f t="shared" si="256"/>
        <v>0</v>
      </c>
      <c r="E7721" s="637">
        <f t="shared" si="257"/>
        <v>0</v>
      </c>
    </row>
    <row r="7722" spans="1:5">
      <c r="A7722">
        <v>111813</v>
      </c>
      <c r="B7722">
        <v>1400</v>
      </c>
      <c r="C7722" s="455">
        <v>0</v>
      </c>
      <c r="D7722" s="637">
        <f t="shared" si="256"/>
        <v>0</v>
      </c>
      <c r="E7722" s="637">
        <f t="shared" si="257"/>
        <v>0</v>
      </c>
    </row>
    <row r="7723" spans="1:5">
      <c r="A7723">
        <v>111813</v>
      </c>
      <c r="B7723">
        <v>1500</v>
      </c>
      <c r="C7723" s="455">
        <v>0</v>
      </c>
      <c r="D7723" s="637">
        <f t="shared" si="256"/>
        <v>0</v>
      </c>
      <c r="E7723" s="637">
        <f t="shared" si="257"/>
        <v>0</v>
      </c>
    </row>
    <row r="7724" spans="1:5">
      <c r="A7724">
        <v>111813</v>
      </c>
      <c r="B7724">
        <v>1600</v>
      </c>
      <c r="C7724" s="455">
        <v>0</v>
      </c>
      <c r="D7724" s="637">
        <f t="shared" si="256"/>
        <v>0</v>
      </c>
      <c r="E7724" s="637">
        <f t="shared" si="257"/>
        <v>0</v>
      </c>
    </row>
    <row r="7725" spans="1:5">
      <c r="A7725">
        <v>111813</v>
      </c>
      <c r="B7725">
        <v>1700</v>
      </c>
      <c r="C7725" s="455">
        <v>5.976</v>
      </c>
      <c r="D7725" s="637">
        <f t="shared" si="256"/>
        <v>15.460636363636368</v>
      </c>
      <c r="E7725" s="637">
        <f t="shared" si="257"/>
        <v>19.784181818181832</v>
      </c>
    </row>
    <row r="7726" spans="1:5">
      <c r="A7726">
        <v>111813</v>
      </c>
      <c r="B7726">
        <v>1800</v>
      </c>
      <c r="C7726" s="455">
        <v>12.146000000000001</v>
      </c>
      <c r="D7726" s="637">
        <f t="shared" si="256"/>
        <v>31.423174242424253</v>
      </c>
      <c r="E7726" s="637">
        <f t="shared" si="257"/>
        <v>40.210621212121239</v>
      </c>
    </row>
    <row r="7727" spans="1:5">
      <c r="A7727">
        <v>111813</v>
      </c>
      <c r="B7727">
        <v>1900</v>
      </c>
      <c r="C7727" s="455">
        <v>11.269</v>
      </c>
      <c r="D7727" s="637">
        <f t="shared" si="256"/>
        <v>29.154268939393951</v>
      </c>
      <c r="E7727" s="637">
        <f t="shared" si="257"/>
        <v>37.307219696969732</v>
      </c>
    </row>
    <row r="7728" spans="1:5">
      <c r="A7728">
        <v>111813</v>
      </c>
      <c r="B7728">
        <v>2000</v>
      </c>
      <c r="C7728" s="455">
        <v>11.137</v>
      </c>
      <c r="D7728" s="637">
        <f t="shared" si="256"/>
        <v>28.812768939393948</v>
      </c>
      <c r="E7728" s="637">
        <f t="shared" si="257"/>
        <v>36.870219696969727</v>
      </c>
    </row>
    <row r="7729" spans="1:5">
      <c r="A7729">
        <v>111813</v>
      </c>
      <c r="B7729">
        <v>2100</v>
      </c>
      <c r="C7729" s="455">
        <v>11.532</v>
      </c>
      <c r="D7729" s="637">
        <f t="shared" si="256"/>
        <v>29.834681818181824</v>
      </c>
      <c r="E7729" s="637">
        <f t="shared" si="257"/>
        <v>38.177909090909118</v>
      </c>
    </row>
    <row r="7730" spans="1:5">
      <c r="A7730">
        <v>111813</v>
      </c>
      <c r="B7730">
        <v>2200</v>
      </c>
      <c r="C7730" s="455">
        <v>11.153</v>
      </c>
      <c r="D7730" s="637">
        <f t="shared" si="256"/>
        <v>28.854162878787886</v>
      </c>
      <c r="E7730" s="637">
        <f t="shared" si="257"/>
        <v>36.923189393939417</v>
      </c>
    </row>
    <row r="7731" spans="1:5">
      <c r="A7731">
        <v>111813</v>
      </c>
      <c r="B7731">
        <v>2300</v>
      </c>
      <c r="C7731" s="455">
        <v>11.587</v>
      </c>
      <c r="D7731" s="637">
        <f t="shared" si="256"/>
        <v>29.976973484848493</v>
      </c>
      <c r="E7731" s="637">
        <f t="shared" si="257"/>
        <v>38.359992424242456</v>
      </c>
    </row>
    <row r="7732" spans="1:5">
      <c r="A7732">
        <v>111813</v>
      </c>
      <c r="B7732">
        <v>2400</v>
      </c>
      <c r="C7732" s="455">
        <v>12.19</v>
      </c>
      <c r="D7732" s="637">
        <f t="shared" si="256"/>
        <v>31.537007575757585</v>
      </c>
      <c r="E7732" s="637">
        <f t="shared" si="257"/>
        <v>40.35628787878791</v>
      </c>
    </row>
    <row r="7733" spans="1:5">
      <c r="A7733">
        <v>111913</v>
      </c>
      <c r="B7733">
        <v>100</v>
      </c>
      <c r="C7733" s="455">
        <v>11.347</v>
      </c>
      <c r="D7733" s="637">
        <f t="shared" si="256"/>
        <v>29.356064393939405</v>
      </c>
      <c r="E7733" s="637">
        <f t="shared" si="257"/>
        <v>37.565446969697</v>
      </c>
    </row>
    <row r="7734" spans="1:5">
      <c r="A7734">
        <v>111913</v>
      </c>
      <c r="B7734">
        <v>200</v>
      </c>
      <c r="C7734" s="455">
        <v>11.856999999999999</v>
      </c>
      <c r="D7734" s="637">
        <f t="shared" si="256"/>
        <v>30.675496212121221</v>
      </c>
      <c r="E7734" s="637">
        <f t="shared" si="257"/>
        <v>39.25385606060609</v>
      </c>
    </row>
    <row r="7735" spans="1:5">
      <c r="A7735">
        <v>111913</v>
      </c>
      <c r="B7735">
        <v>300</v>
      </c>
      <c r="C7735" s="455">
        <v>11.635</v>
      </c>
      <c r="D7735" s="637">
        <f t="shared" si="256"/>
        <v>30.101155303030311</v>
      </c>
      <c r="E7735" s="637">
        <f t="shared" si="257"/>
        <v>38.518901515151541</v>
      </c>
    </row>
    <row r="7736" spans="1:5">
      <c r="A7736">
        <v>111913</v>
      </c>
      <c r="B7736">
        <v>400</v>
      </c>
      <c r="C7736" s="455">
        <v>11.837999999999999</v>
      </c>
      <c r="D7736" s="637">
        <f t="shared" si="256"/>
        <v>30.626340909090914</v>
      </c>
      <c r="E7736" s="637">
        <f t="shared" si="257"/>
        <v>39.190954545454566</v>
      </c>
    </row>
    <row r="7737" spans="1:5">
      <c r="A7737">
        <v>111913</v>
      </c>
      <c r="B7737">
        <v>500</v>
      </c>
      <c r="C7737" s="455">
        <v>11.667999999999999</v>
      </c>
      <c r="D7737" s="637">
        <f t="shared" si="256"/>
        <v>30.18653030303031</v>
      </c>
      <c r="E7737" s="637">
        <f t="shared" si="257"/>
        <v>38.628151515151544</v>
      </c>
    </row>
    <row r="7738" spans="1:5">
      <c r="A7738">
        <v>111913</v>
      </c>
      <c r="B7738">
        <v>600</v>
      </c>
      <c r="C7738" s="455">
        <v>11.443</v>
      </c>
      <c r="D7738" s="637">
        <f t="shared" si="256"/>
        <v>29.604428030303037</v>
      </c>
      <c r="E7738" s="637">
        <f t="shared" si="257"/>
        <v>37.883265151515175</v>
      </c>
    </row>
    <row r="7739" spans="1:5">
      <c r="A7739">
        <v>111913</v>
      </c>
      <c r="B7739">
        <v>700</v>
      </c>
      <c r="C7739" s="455">
        <v>11.135999999999999</v>
      </c>
      <c r="D7739" s="637">
        <f t="shared" si="256"/>
        <v>28.810181818181825</v>
      </c>
      <c r="E7739" s="637">
        <f t="shared" si="257"/>
        <v>36.866909090909118</v>
      </c>
    </row>
    <row r="7740" spans="1:5">
      <c r="A7740">
        <v>111913</v>
      </c>
      <c r="B7740">
        <v>800</v>
      </c>
      <c r="C7740" s="455">
        <v>9.5809999999999995</v>
      </c>
      <c r="D7740" s="637">
        <f t="shared" si="256"/>
        <v>24.787208333333336</v>
      </c>
      <c r="E7740" s="637">
        <f t="shared" si="257"/>
        <v>31.718916666666686</v>
      </c>
    </row>
    <row r="7741" spans="1:5">
      <c r="A7741">
        <v>111913</v>
      </c>
      <c r="B7741">
        <v>900</v>
      </c>
      <c r="C7741" s="455">
        <v>5.0000000000000001E-3</v>
      </c>
      <c r="D7741" s="637">
        <f t="shared" si="256"/>
        <v>1.2935606060606066E-2</v>
      </c>
      <c r="E7741" s="637">
        <f t="shared" si="257"/>
        <v>1.6553030303030316E-2</v>
      </c>
    </row>
    <row r="7742" spans="1:5">
      <c r="A7742">
        <v>111913</v>
      </c>
      <c r="B7742">
        <v>1000</v>
      </c>
      <c r="C7742" s="455">
        <v>1E-3</v>
      </c>
      <c r="D7742" s="637">
        <f t="shared" si="256"/>
        <v>2.5871212121212129E-3</v>
      </c>
      <c r="E7742" s="637">
        <f t="shared" si="257"/>
        <v>3.3106060606060629E-3</v>
      </c>
    </row>
    <row r="7743" spans="1:5">
      <c r="A7743">
        <v>111913</v>
      </c>
      <c r="B7743">
        <v>1100</v>
      </c>
      <c r="C7743" s="455">
        <v>0</v>
      </c>
      <c r="D7743" s="637">
        <f t="shared" si="256"/>
        <v>0</v>
      </c>
      <c r="E7743" s="637">
        <f t="shared" si="257"/>
        <v>0</v>
      </c>
    </row>
    <row r="7744" spans="1:5">
      <c r="A7744">
        <v>111913</v>
      </c>
      <c r="B7744">
        <v>1200</v>
      </c>
      <c r="C7744" s="455">
        <v>0</v>
      </c>
      <c r="D7744" s="637">
        <f t="shared" si="256"/>
        <v>0</v>
      </c>
      <c r="E7744" s="637">
        <f t="shared" si="257"/>
        <v>0</v>
      </c>
    </row>
    <row r="7745" spans="1:5">
      <c r="A7745">
        <v>111913</v>
      </c>
      <c r="B7745">
        <v>1300</v>
      </c>
      <c r="C7745" s="455">
        <v>0</v>
      </c>
      <c r="D7745" s="637">
        <f t="shared" si="256"/>
        <v>0</v>
      </c>
      <c r="E7745" s="637">
        <f t="shared" si="257"/>
        <v>0</v>
      </c>
    </row>
    <row r="7746" spans="1:5">
      <c r="A7746">
        <v>111913</v>
      </c>
      <c r="B7746">
        <v>1400</v>
      </c>
      <c r="C7746" s="455">
        <v>0</v>
      </c>
      <c r="D7746" s="637">
        <f t="shared" si="256"/>
        <v>0</v>
      </c>
      <c r="E7746" s="637">
        <f t="shared" si="257"/>
        <v>0</v>
      </c>
    </row>
    <row r="7747" spans="1:5">
      <c r="A7747">
        <v>111913</v>
      </c>
      <c r="B7747">
        <v>1500</v>
      </c>
      <c r="C7747" s="455">
        <v>0</v>
      </c>
      <c r="D7747" s="637">
        <f t="shared" si="256"/>
        <v>0</v>
      </c>
      <c r="E7747" s="637">
        <f t="shared" si="257"/>
        <v>0</v>
      </c>
    </row>
    <row r="7748" spans="1:5">
      <c r="A7748">
        <v>111913</v>
      </c>
      <c r="B7748">
        <v>1600</v>
      </c>
      <c r="C7748" s="455">
        <v>0</v>
      </c>
      <c r="D7748" s="637">
        <f t="shared" si="256"/>
        <v>0</v>
      </c>
      <c r="E7748" s="637">
        <f t="shared" si="257"/>
        <v>0</v>
      </c>
    </row>
    <row r="7749" spans="1:5">
      <c r="A7749">
        <v>111913</v>
      </c>
      <c r="B7749">
        <v>1700</v>
      </c>
      <c r="C7749" s="455">
        <v>4.1079999999999997</v>
      </c>
      <c r="D7749" s="637">
        <f t="shared" si="256"/>
        <v>10.627893939393942</v>
      </c>
      <c r="E7749" s="637">
        <f t="shared" si="257"/>
        <v>13.599969696969707</v>
      </c>
    </row>
    <row r="7750" spans="1:5">
      <c r="A7750">
        <v>111913</v>
      </c>
      <c r="B7750">
        <v>1800</v>
      </c>
      <c r="C7750" s="455">
        <v>12.343</v>
      </c>
      <c r="D7750" s="637">
        <f t="shared" ref="D7750:D7813" si="258">(C7750/(MAX($C$7301:$C$8020)))*$W$15</f>
        <v>31.932837121212135</v>
      </c>
      <c r="E7750" s="637">
        <f t="shared" ref="E7750:E7813" si="259">(C7750/(MAX($C$7301:$C$8020)))*$P$15</f>
        <v>40.862810606060641</v>
      </c>
    </row>
    <row r="7751" spans="1:5">
      <c r="A7751">
        <v>111913</v>
      </c>
      <c r="B7751">
        <v>1900</v>
      </c>
      <c r="C7751" s="455">
        <v>11.268000000000001</v>
      </c>
      <c r="D7751" s="637">
        <f t="shared" si="258"/>
        <v>29.151681818181828</v>
      </c>
      <c r="E7751" s="637">
        <f t="shared" si="259"/>
        <v>37.303909090909116</v>
      </c>
    </row>
    <row r="7752" spans="1:5">
      <c r="A7752">
        <v>111913</v>
      </c>
      <c r="B7752">
        <v>2000</v>
      </c>
      <c r="C7752" s="455">
        <v>11.282999999999999</v>
      </c>
      <c r="D7752" s="637">
        <f t="shared" si="258"/>
        <v>29.190488636363643</v>
      </c>
      <c r="E7752" s="637">
        <f t="shared" si="259"/>
        <v>37.353568181818211</v>
      </c>
    </row>
    <row r="7753" spans="1:5">
      <c r="A7753">
        <v>111913</v>
      </c>
      <c r="B7753">
        <v>2100</v>
      </c>
      <c r="C7753" s="455">
        <v>11.561999999999999</v>
      </c>
      <c r="D7753" s="637">
        <f t="shared" si="258"/>
        <v>29.912295454545461</v>
      </c>
      <c r="E7753" s="637">
        <f t="shared" si="259"/>
        <v>38.277227272727295</v>
      </c>
    </row>
    <row r="7754" spans="1:5">
      <c r="A7754">
        <v>111913</v>
      </c>
      <c r="B7754">
        <v>2200</v>
      </c>
      <c r="C7754" s="455">
        <v>11.452999999999999</v>
      </c>
      <c r="D7754" s="637">
        <f t="shared" si="258"/>
        <v>29.630299242424247</v>
      </c>
      <c r="E7754" s="637">
        <f t="shared" si="259"/>
        <v>37.916371212121234</v>
      </c>
    </row>
    <row r="7755" spans="1:5">
      <c r="A7755">
        <v>111913</v>
      </c>
      <c r="B7755">
        <v>2300</v>
      </c>
      <c r="C7755" s="455">
        <v>11.836</v>
      </c>
      <c r="D7755" s="637">
        <f t="shared" si="258"/>
        <v>30.621166666666674</v>
      </c>
      <c r="E7755" s="637">
        <f t="shared" si="259"/>
        <v>39.184333333333363</v>
      </c>
    </row>
    <row r="7756" spans="1:5">
      <c r="A7756">
        <v>111913</v>
      </c>
      <c r="B7756">
        <v>2400</v>
      </c>
      <c r="C7756" s="455">
        <v>11.486000000000001</v>
      </c>
      <c r="D7756" s="637">
        <f t="shared" si="258"/>
        <v>29.715674242424253</v>
      </c>
      <c r="E7756" s="637">
        <f t="shared" si="259"/>
        <v>38.025621212121244</v>
      </c>
    </row>
    <row r="7757" spans="1:5">
      <c r="A7757">
        <v>112013</v>
      </c>
      <c r="B7757">
        <v>100</v>
      </c>
      <c r="C7757" s="455">
        <v>11.638999999999999</v>
      </c>
      <c r="D7757" s="637">
        <f t="shared" si="258"/>
        <v>30.111503787878792</v>
      </c>
      <c r="E7757" s="637">
        <f t="shared" si="259"/>
        <v>38.532143939393961</v>
      </c>
    </row>
    <row r="7758" spans="1:5">
      <c r="A7758">
        <v>112013</v>
      </c>
      <c r="B7758">
        <v>200</v>
      </c>
      <c r="C7758" s="455">
        <v>11.755000000000001</v>
      </c>
      <c r="D7758" s="637">
        <f t="shared" si="258"/>
        <v>30.411609848484858</v>
      </c>
      <c r="E7758" s="637">
        <f t="shared" si="259"/>
        <v>38.916174242424276</v>
      </c>
    </row>
    <row r="7759" spans="1:5">
      <c r="A7759">
        <v>112013</v>
      </c>
      <c r="B7759">
        <v>300</v>
      </c>
      <c r="C7759" s="455">
        <v>11.576000000000001</v>
      </c>
      <c r="D7759" s="637">
        <f t="shared" si="258"/>
        <v>29.94851515151516</v>
      </c>
      <c r="E7759" s="637">
        <f t="shared" si="259"/>
        <v>38.323575757575782</v>
      </c>
    </row>
    <row r="7760" spans="1:5">
      <c r="A7760">
        <v>112013</v>
      </c>
      <c r="B7760">
        <v>400</v>
      </c>
      <c r="C7760" s="455">
        <v>11.747999999999999</v>
      </c>
      <c r="D7760" s="637">
        <f t="shared" si="258"/>
        <v>30.393500000000007</v>
      </c>
      <c r="E7760" s="637">
        <f t="shared" si="259"/>
        <v>38.893000000000029</v>
      </c>
    </row>
    <row r="7761" spans="1:5">
      <c r="A7761">
        <v>112013</v>
      </c>
      <c r="B7761">
        <v>500</v>
      </c>
      <c r="C7761" s="455">
        <v>11.727</v>
      </c>
      <c r="D7761" s="637">
        <f t="shared" si="258"/>
        <v>30.339170454545464</v>
      </c>
      <c r="E7761" s="637">
        <f t="shared" si="259"/>
        <v>38.823477272727303</v>
      </c>
    </row>
    <row r="7762" spans="1:5">
      <c r="A7762">
        <v>112013</v>
      </c>
      <c r="B7762">
        <v>600</v>
      </c>
      <c r="C7762" s="455">
        <v>12.095000000000001</v>
      </c>
      <c r="D7762" s="637">
        <f t="shared" si="258"/>
        <v>31.291231060606073</v>
      </c>
      <c r="E7762" s="637">
        <f t="shared" si="259"/>
        <v>40.041780303030336</v>
      </c>
    </row>
    <row r="7763" spans="1:5">
      <c r="A7763">
        <v>112013</v>
      </c>
      <c r="B7763">
        <v>700</v>
      </c>
      <c r="C7763" s="455">
        <v>12.406000000000001</v>
      </c>
      <c r="D7763" s="637">
        <f t="shared" si="258"/>
        <v>32.095825757575767</v>
      </c>
      <c r="E7763" s="637">
        <f t="shared" si="259"/>
        <v>41.071378787878821</v>
      </c>
    </row>
    <row r="7764" spans="1:5">
      <c r="A7764">
        <v>112013</v>
      </c>
      <c r="B7764">
        <v>800</v>
      </c>
      <c r="C7764" s="455">
        <v>7.1390000000000002</v>
      </c>
      <c r="D7764" s="637">
        <f t="shared" si="258"/>
        <v>18.469458333333339</v>
      </c>
      <c r="E7764" s="637">
        <f t="shared" si="259"/>
        <v>23.634416666666684</v>
      </c>
    </row>
    <row r="7765" spans="1:5">
      <c r="A7765">
        <v>112013</v>
      </c>
      <c r="B7765">
        <v>900</v>
      </c>
      <c r="C7765" s="455">
        <v>0</v>
      </c>
      <c r="D7765" s="637">
        <f t="shared" si="258"/>
        <v>0</v>
      </c>
      <c r="E7765" s="637">
        <f t="shared" si="259"/>
        <v>0</v>
      </c>
    </row>
    <row r="7766" spans="1:5">
      <c r="A7766">
        <v>112013</v>
      </c>
      <c r="B7766">
        <v>1000</v>
      </c>
      <c r="C7766" s="455">
        <v>0</v>
      </c>
      <c r="D7766" s="637">
        <f t="shared" si="258"/>
        <v>0</v>
      </c>
      <c r="E7766" s="637">
        <f t="shared" si="259"/>
        <v>0</v>
      </c>
    </row>
    <row r="7767" spans="1:5">
      <c r="A7767">
        <v>112013</v>
      </c>
      <c r="B7767">
        <v>1100</v>
      </c>
      <c r="C7767" s="455">
        <v>0</v>
      </c>
      <c r="D7767" s="637">
        <f t="shared" si="258"/>
        <v>0</v>
      </c>
      <c r="E7767" s="637">
        <f t="shared" si="259"/>
        <v>0</v>
      </c>
    </row>
    <row r="7768" spans="1:5">
      <c r="A7768">
        <v>112013</v>
      </c>
      <c r="B7768">
        <v>1200</v>
      </c>
      <c r="C7768" s="455">
        <v>0</v>
      </c>
      <c r="D7768" s="637">
        <f t="shared" si="258"/>
        <v>0</v>
      </c>
      <c r="E7768" s="637">
        <f t="shared" si="259"/>
        <v>0</v>
      </c>
    </row>
    <row r="7769" spans="1:5">
      <c r="A7769">
        <v>112013</v>
      </c>
      <c r="B7769">
        <v>1300</v>
      </c>
      <c r="C7769" s="455">
        <v>0</v>
      </c>
      <c r="D7769" s="637">
        <f t="shared" si="258"/>
        <v>0</v>
      </c>
      <c r="E7769" s="637">
        <f t="shared" si="259"/>
        <v>0</v>
      </c>
    </row>
    <row r="7770" spans="1:5">
      <c r="A7770">
        <v>112013</v>
      </c>
      <c r="B7770">
        <v>1400</v>
      </c>
      <c r="C7770" s="455">
        <v>0</v>
      </c>
      <c r="D7770" s="637">
        <f t="shared" si="258"/>
        <v>0</v>
      </c>
      <c r="E7770" s="637">
        <f t="shared" si="259"/>
        <v>0</v>
      </c>
    </row>
    <row r="7771" spans="1:5">
      <c r="A7771">
        <v>112013</v>
      </c>
      <c r="B7771">
        <v>1500</v>
      </c>
      <c r="C7771" s="455">
        <v>1E-3</v>
      </c>
      <c r="D7771" s="637">
        <f t="shared" si="258"/>
        <v>2.5871212121212129E-3</v>
      </c>
      <c r="E7771" s="637">
        <f t="shared" si="259"/>
        <v>3.3106060606060629E-3</v>
      </c>
    </row>
    <row r="7772" spans="1:5">
      <c r="A7772">
        <v>112013</v>
      </c>
      <c r="B7772">
        <v>1600</v>
      </c>
      <c r="C7772" s="455">
        <v>0</v>
      </c>
      <c r="D7772" s="637">
        <f t="shared" si="258"/>
        <v>0</v>
      </c>
      <c r="E7772" s="637">
        <f t="shared" si="259"/>
        <v>0</v>
      </c>
    </row>
    <row r="7773" spans="1:5">
      <c r="A7773">
        <v>112013</v>
      </c>
      <c r="B7773">
        <v>1700</v>
      </c>
      <c r="C7773" s="455">
        <v>4.8220000000000001</v>
      </c>
      <c r="D7773" s="637">
        <f t="shared" si="258"/>
        <v>12.475098484848489</v>
      </c>
      <c r="E7773" s="637">
        <f t="shared" si="259"/>
        <v>15.963742424242437</v>
      </c>
    </row>
    <row r="7774" spans="1:5">
      <c r="A7774">
        <v>112013</v>
      </c>
      <c r="B7774">
        <v>1800</v>
      </c>
      <c r="C7774" s="455">
        <v>11.933</v>
      </c>
      <c r="D7774" s="637">
        <f t="shared" si="258"/>
        <v>30.872117424242433</v>
      </c>
      <c r="E7774" s="637">
        <f t="shared" si="259"/>
        <v>39.505462121212148</v>
      </c>
    </row>
    <row r="7775" spans="1:5">
      <c r="A7775">
        <v>112013</v>
      </c>
      <c r="B7775">
        <v>1900</v>
      </c>
      <c r="C7775" s="455">
        <v>11.452</v>
      </c>
      <c r="D7775" s="637">
        <f t="shared" si="258"/>
        <v>29.627712121212127</v>
      </c>
      <c r="E7775" s="637">
        <f t="shared" si="259"/>
        <v>37.913060606060633</v>
      </c>
    </row>
    <row r="7776" spans="1:5">
      <c r="A7776">
        <v>112013</v>
      </c>
      <c r="B7776">
        <v>2000</v>
      </c>
      <c r="C7776" s="455">
        <v>11.292999999999999</v>
      </c>
      <c r="D7776" s="637">
        <f t="shared" si="258"/>
        <v>29.216359848484853</v>
      </c>
      <c r="E7776" s="637">
        <f t="shared" si="259"/>
        <v>37.386674242424263</v>
      </c>
    </row>
    <row r="7777" spans="1:5">
      <c r="A7777">
        <v>112013</v>
      </c>
      <c r="B7777">
        <v>2100</v>
      </c>
      <c r="C7777" s="455">
        <v>11.407</v>
      </c>
      <c r="D7777" s="637">
        <f t="shared" si="258"/>
        <v>29.511291666666676</v>
      </c>
      <c r="E7777" s="637">
        <f t="shared" si="259"/>
        <v>37.76408333333336</v>
      </c>
    </row>
    <row r="7778" spans="1:5">
      <c r="A7778">
        <v>112013</v>
      </c>
      <c r="B7778">
        <v>2200</v>
      </c>
      <c r="C7778" s="455">
        <v>11.409000000000001</v>
      </c>
      <c r="D7778" s="637">
        <f t="shared" si="258"/>
        <v>29.516465909090918</v>
      </c>
      <c r="E7778" s="637">
        <f t="shared" si="259"/>
        <v>37.770704545454578</v>
      </c>
    </row>
    <row r="7779" spans="1:5">
      <c r="A7779">
        <v>112013</v>
      </c>
      <c r="B7779">
        <v>2300</v>
      </c>
      <c r="C7779" s="455">
        <v>11.515000000000001</v>
      </c>
      <c r="D7779" s="637">
        <f t="shared" si="258"/>
        <v>29.79070075757577</v>
      </c>
      <c r="E7779" s="637">
        <f t="shared" si="259"/>
        <v>38.121628787878819</v>
      </c>
    </row>
    <row r="7780" spans="1:5">
      <c r="A7780">
        <v>112013</v>
      </c>
      <c r="B7780">
        <v>2400</v>
      </c>
      <c r="C7780" s="455">
        <v>11.696</v>
      </c>
      <c r="D7780" s="637">
        <f t="shared" si="258"/>
        <v>30.258969696969707</v>
      </c>
      <c r="E7780" s="637">
        <f t="shared" si="259"/>
        <v>38.720848484848517</v>
      </c>
    </row>
    <row r="7781" spans="1:5">
      <c r="A7781">
        <v>112113</v>
      </c>
      <c r="B7781">
        <v>100</v>
      </c>
      <c r="C7781" s="455">
        <v>11.731999999999999</v>
      </c>
      <c r="D7781" s="637">
        <f t="shared" si="258"/>
        <v>30.352106060606069</v>
      </c>
      <c r="E7781" s="637">
        <f t="shared" si="259"/>
        <v>38.840030303030332</v>
      </c>
    </row>
    <row r="7782" spans="1:5">
      <c r="A7782">
        <v>112113</v>
      </c>
      <c r="B7782">
        <v>200</v>
      </c>
      <c r="C7782" s="455">
        <v>11.606</v>
      </c>
      <c r="D7782" s="637">
        <f t="shared" si="258"/>
        <v>30.026128787878793</v>
      </c>
      <c r="E7782" s="637">
        <f t="shared" si="259"/>
        <v>38.422893939393965</v>
      </c>
    </row>
    <row r="7783" spans="1:5">
      <c r="A7783">
        <v>112113</v>
      </c>
      <c r="B7783">
        <v>300</v>
      </c>
      <c r="C7783" s="455">
        <v>11.95</v>
      </c>
      <c r="D7783" s="637">
        <f t="shared" si="258"/>
        <v>30.91609848484849</v>
      </c>
      <c r="E7783" s="637">
        <f t="shared" si="259"/>
        <v>39.561742424242446</v>
      </c>
    </row>
    <row r="7784" spans="1:5">
      <c r="A7784">
        <v>112113</v>
      </c>
      <c r="B7784">
        <v>400</v>
      </c>
      <c r="C7784" s="455">
        <v>11.646000000000001</v>
      </c>
      <c r="D7784" s="637">
        <f t="shared" si="258"/>
        <v>30.129613636363647</v>
      </c>
      <c r="E7784" s="637">
        <f t="shared" si="259"/>
        <v>38.555318181818208</v>
      </c>
    </row>
    <row r="7785" spans="1:5">
      <c r="A7785">
        <v>112113</v>
      </c>
      <c r="B7785">
        <v>500</v>
      </c>
      <c r="C7785" s="455">
        <v>11.768000000000001</v>
      </c>
      <c r="D7785" s="637">
        <f t="shared" si="258"/>
        <v>30.445242424242434</v>
      </c>
      <c r="E7785" s="637">
        <f t="shared" si="259"/>
        <v>38.959212121212147</v>
      </c>
    </row>
    <row r="7786" spans="1:5">
      <c r="A7786">
        <v>112113</v>
      </c>
      <c r="B7786">
        <v>600</v>
      </c>
      <c r="C7786" s="455">
        <v>11.452</v>
      </c>
      <c r="D7786" s="637">
        <f t="shared" si="258"/>
        <v>29.627712121212127</v>
      </c>
      <c r="E7786" s="637">
        <f t="shared" si="259"/>
        <v>37.913060606060633</v>
      </c>
    </row>
    <row r="7787" spans="1:5">
      <c r="A7787">
        <v>112113</v>
      </c>
      <c r="B7787">
        <v>700</v>
      </c>
      <c r="C7787" s="455">
        <v>11.127000000000001</v>
      </c>
      <c r="D7787" s="637">
        <f t="shared" si="258"/>
        <v>28.786897727272738</v>
      </c>
      <c r="E7787" s="637">
        <f t="shared" si="259"/>
        <v>36.837113636363668</v>
      </c>
    </row>
    <row r="7788" spans="1:5">
      <c r="A7788">
        <v>112113</v>
      </c>
      <c r="B7788">
        <v>800</v>
      </c>
      <c r="C7788" s="455">
        <v>11.811999999999999</v>
      </c>
      <c r="D7788" s="637">
        <f t="shared" si="258"/>
        <v>30.559075757575766</v>
      </c>
      <c r="E7788" s="637">
        <f t="shared" si="259"/>
        <v>39.104878787878818</v>
      </c>
    </row>
    <row r="7789" spans="1:5">
      <c r="A7789">
        <v>112113</v>
      </c>
      <c r="B7789">
        <v>900</v>
      </c>
      <c r="C7789" s="455">
        <v>2.1999999999999999E-2</v>
      </c>
      <c r="D7789" s="637">
        <f t="shared" si="258"/>
        <v>5.6916666666666678E-2</v>
      </c>
      <c r="E7789" s="637">
        <f t="shared" si="259"/>
        <v>7.2833333333333375E-2</v>
      </c>
    </row>
    <row r="7790" spans="1:5">
      <c r="A7790">
        <v>112113</v>
      </c>
      <c r="B7790">
        <v>1000</v>
      </c>
      <c r="C7790" s="455">
        <v>0</v>
      </c>
      <c r="D7790" s="637">
        <f t="shared" si="258"/>
        <v>0</v>
      </c>
      <c r="E7790" s="637">
        <f t="shared" si="259"/>
        <v>0</v>
      </c>
    </row>
    <row r="7791" spans="1:5">
      <c r="A7791">
        <v>112113</v>
      </c>
      <c r="B7791">
        <v>1100</v>
      </c>
      <c r="C7791" s="455">
        <v>0</v>
      </c>
      <c r="D7791" s="637">
        <f t="shared" si="258"/>
        <v>0</v>
      </c>
      <c r="E7791" s="637">
        <f t="shared" si="259"/>
        <v>0</v>
      </c>
    </row>
    <row r="7792" spans="1:5">
      <c r="A7792">
        <v>112113</v>
      </c>
      <c r="B7792">
        <v>1200</v>
      </c>
      <c r="C7792" s="455">
        <v>0</v>
      </c>
      <c r="D7792" s="637">
        <f t="shared" si="258"/>
        <v>0</v>
      </c>
      <c r="E7792" s="637">
        <f t="shared" si="259"/>
        <v>0</v>
      </c>
    </row>
    <row r="7793" spans="1:5">
      <c r="A7793">
        <v>112113</v>
      </c>
      <c r="B7793">
        <v>1300</v>
      </c>
      <c r="C7793" s="455">
        <v>0</v>
      </c>
      <c r="D7793" s="637">
        <f t="shared" si="258"/>
        <v>0</v>
      </c>
      <c r="E7793" s="637">
        <f t="shared" si="259"/>
        <v>0</v>
      </c>
    </row>
    <row r="7794" spans="1:5">
      <c r="A7794">
        <v>112113</v>
      </c>
      <c r="B7794">
        <v>1400</v>
      </c>
      <c r="C7794" s="455">
        <v>0</v>
      </c>
      <c r="D7794" s="637">
        <f t="shared" si="258"/>
        <v>0</v>
      </c>
      <c r="E7794" s="637">
        <f t="shared" si="259"/>
        <v>0</v>
      </c>
    </row>
    <row r="7795" spans="1:5">
      <c r="A7795">
        <v>112113</v>
      </c>
      <c r="B7795">
        <v>1500</v>
      </c>
      <c r="C7795" s="455">
        <v>0</v>
      </c>
      <c r="D7795" s="637">
        <f t="shared" si="258"/>
        <v>0</v>
      </c>
      <c r="E7795" s="637">
        <f t="shared" si="259"/>
        <v>0</v>
      </c>
    </row>
    <row r="7796" spans="1:5">
      <c r="A7796">
        <v>112113</v>
      </c>
      <c r="B7796">
        <v>1600</v>
      </c>
      <c r="C7796" s="455">
        <v>0</v>
      </c>
      <c r="D7796" s="637">
        <f t="shared" si="258"/>
        <v>0</v>
      </c>
      <c r="E7796" s="637">
        <f t="shared" si="259"/>
        <v>0</v>
      </c>
    </row>
    <row r="7797" spans="1:5">
      <c r="A7797">
        <v>112113</v>
      </c>
      <c r="B7797">
        <v>1700</v>
      </c>
      <c r="C7797" s="455">
        <v>9.5749999999999993</v>
      </c>
      <c r="D7797" s="637">
        <f t="shared" si="258"/>
        <v>24.771685606060611</v>
      </c>
      <c r="E7797" s="637">
        <f t="shared" si="259"/>
        <v>31.699053030303048</v>
      </c>
    </row>
    <row r="7798" spans="1:5">
      <c r="A7798">
        <v>112113</v>
      </c>
      <c r="B7798">
        <v>1800</v>
      </c>
      <c r="C7798" s="455">
        <v>10.898999999999999</v>
      </c>
      <c r="D7798" s="637">
        <f t="shared" si="258"/>
        <v>28.197034090909099</v>
      </c>
      <c r="E7798" s="637">
        <f t="shared" si="259"/>
        <v>36.082295454545481</v>
      </c>
    </row>
    <row r="7799" spans="1:5">
      <c r="A7799">
        <v>112113</v>
      </c>
      <c r="B7799">
        <v>1900</v>
      </c>
      <c r="C7799" s="455">
        <v>11.426</v>
      </c>
      <c r="D7799" s="637">
        <f t="shared" si="258"/>
        <v>29.560446969696983</v>
      </c>
      <c r="E7799" s="637">
        <f t="shared" si="259"/>
        <v>37.826984848484877</v>
      </c>
    </row>
    <row r="7800" spans="1:5">
      <c r="A7800">
        <v>112113</v>
      </c>
      <c r="B7800">
        <v>2000</v>
      </c>
      <c r="C7800" s="455">
        <v>11.157</v>
      </c>
      <c r="D7800" s="637">
        <f t="shared" si="258"/>
        <v>28.864511363636375</v>
      </c>
      <c r="E7800" s="637">
        <f t="shared" si="259"/>
        <v>36.936431818181852</v>
      </c>
    </row>
    <row r="7801" spans="1:5">
      <c r="A7801">
        <v>112113</v>
      </c>
      <c r="B7801">
        <v>2100</v>
      </c>
      <c r="C7801" s="455">
        <v>11.614000000000001</v>
      </c>
      <c r="D7801" s="637">
        <f t="shared" si="258"/>
        <v>30.046825757575768</v>
      </c>
      <c r="E7801" s="637">
        <f t="shared" si="259"/>
        <v>38.449378787878814</v>
      </c>
    </row>
    <row r="7802" spans="1:5">
      <c r="A7802">
        <v>112113</v>
      </c>
      <c r="B7802">
        <v>2200</v>
      </c>
      <c r="C7802" s="455">
        <v>11.478999999999999</v>
      </c>
      <c r="D7802" s="637">
        <f t="shared" si="258"/>
        <v>29.697564393939402</v>
      </c>
      <c r="E7802" s="637">
        <f t="shared" si="259"/>
        <v>38.002446969696997</v>
      </c>
    </row>
    <row r="7803" spans="1:5">
      <c r="A7803">
        <v>112113</v>
      </c>
      <c r="B7803">
        <v>2300</v>
      </c>
      <c r="C7803" s="455">
        <v>11.462</v>
      </c>
      <c r="D7803" s="637">
        <f t="shared" si="258"/>
        <v>29.653583333333344</v>
      </c>
      <c r="E7803" s="637">
        <f t="shared" si="259"/>
        <v>37.946166666666699</v>
      </c>
    </row>
    <row r="7804" spans="1:5">
      <c r="A7804">
        <v>112113</v>
      </c>
      <c r="B7804">
        <v>2400</v>
      </c>
      <c r="C7804" s="455">
        <v>11.452</v>
      </c>
      <c r="D7804" s="637">
        <f t="shared" si="258"/>
        <v>29.627712121212127</v>
      </c>
      <c r="E7804" s="637">
        <f t="shared" si="259"/>
        <v>37.913060606060633</v>
      </c>
    </row>
    <row r="7805" spans="1:5">
      <c r="A7805">
        <v>112213</v>
      </c>
      <c r="B7805">
        <v>100</v>
      </c>
      <c r="C7805" s="455">
        <v>11.791</v>
      </c>
      <c r="D7805" s="637">
        <f t="shared" si="258"/>
        <v>30.504746212121223</v>
      </c>
      <c r="E7805" s="637">
        <f t="shared" si="259"/>
        <v>39.035356060606091</v>
      </c>
    </row>
    <row r="7806" spans="1:5">
      <c r="A7806">
        <v>112213</v>
      </c>
      <c r="B7806">
        <v>200</v>
      </c>
      <c r="C7806" s="455">
        <v>11.986000000000001</v>
      </c>
      <c r="D7806" s="637">
        <f t="shared" si="258"/>
        <v>31.009234848484859</v>
      </c>
      <c r="E7806" s="637">
        <f t="shared" si="259"/>
        <v>39.680924242424275</v>
      </c>
    </row>
    <row r="7807" spans="1:5">
      <c r="A7807">
        <v>112213</v>
      </c>
      <c r="B7807">
        <v>300</v>
      </c>
      <c r="C7807" s="455">
        <v>12.07</v>
      </c>
      <c r="D7807" s="637">
        <f t="shared" si="258"/>
        <v>31.226553030303037</v>
      </c>
      <c r="E7807" s="637">
        <f t="shared" si="259"/>
        <v>39.959015151515182</v>
      </c>
    </row>
    <row r="7808" spans="1:5">
      <c r="A7808">
        <v>112213</v>
      </c>
      <c r="B7808">
        <v>400</v>
      </c>
      <c r="C7808" s="455">
        <v>11.994</v>
      </c>
      <c r="D7808" s="637">
        <f t="shared" si="258"/>
        <v>31.029931818181826</v>
      </c>
      <c r="E7808" s="637">
        <f t="shared" si="259"/>
        <v>39.707409090909117</v>
      </c>
    </row>
    <row r="7809" spans="1:5">
      <c r="A7809">
        <v>112213</v>
      </c>
      <c r="B7809">
        <v>500</v>
      </c>
      <c r="C7809" s="455">
        <v>12.476000000000001</v>
      </c>
      <c r="D7809" s="637">
        <f t="shared" si="258"/>
        <v>32.276924242424258</v>
      </c>
      <c r="E7809" s="637">
        <f t="shared" si="259"/>
        <v>41.303121212121248</v>
      </c>
    </row>
    <row r="7810" spans="1:5">
      <c r="A7810">
        <v>112213</v>
      </c>
      <c r="B7810">
        <v>600</v>
      </c>
      <c r="C7810" s="455">
        <v>12.191000000000001</v>
      </c>
      <c r="D7810" s="637">
        <f t="shared" si="258"/>
        <v>31.539594696969711</v>
      </c>
      <c r="E7810" s="637">
        <f t="shared" si="259"/>
        <v>40.359598484848519</v>
      </c>
    </row>
    <row r="7811" spans="1:5">
      <c r="A7811">
        <v>112213</v>
      </c>
      <c r="B7811">
        <v>700</v>
      </c>
      <c r="C7811" s="455">
        <v>11.673</v>
      </c>
      <c r="D7811" s="637">
        <f t="shared" si="258"/>
        <v>30.199465909090918</v>
      </c>
      <c r="E7811" s="637">
        <f t="shared" si="259"/>
        <v>38.644704545454573</v>
      </c>
    </row>
    <row r="7812" spans="1:5">
      <c r="A7812">
        <v>112213</v>
      </c>
      <c r="B7812">
        <v>800</v>
      </c>
      <c r="C7812" s="455">
        <v>11.173</v>
      </c>
      <c r="D7812" s="637">
        <f t="shared" si="258"/>
        <v>28.905905303030313</v>
      </c>
      <c r="E7812" s="637">
        <f t="shared" si="259"/>
        <v>36.989401515151542</v>
      </c>
    </row>
    <row r="7813" spans="1:5">
      <c r="A7813">
        <v>112213</v>
      </c>
      <c r="B7813">
        <v>900</v>
      </c>
      <c r="C7813" s="455">
        <v>2E-3</v>
      </c>
      <c r="D7813" s="637">
        <f t="shared" si="258"/>
        <v>5.1742424242424258E-3</v>
      </c>
      <c r="E7813" s="637">
        <f t="shared" si="259"/>
        <v>6.6212121212121259E-3</v>
      </c>
    </row>
    <row r="7814" spans="1:5">
      <c r="A7814">
        <v>112213</v>
      </c>
      <c r="B7814">
        <v>1000</v>
      </c>
      <c r="C7814" s="455">
        <v>0</v>
      </c>
      <c r="D7814" s="637">
        <f t="shared" ref="D7814:D7877" si="260">(C7814/(MAX($C$7301:$C$8020)))*$W$15</f>
        <v>0</v>
      </c>
      <c r="E7814" s="637">
        <f t="shared" ref="E7814:E7877" si="261">(C7814/(MAX($C$7301:$C$8020)))*$P$15</f>
        <v>0</v>
      </c>
    </row>
    <row r="7815" spans="1:5">
      <c r="A7815">
        <v>112213</v>
      </c>
      <c r="B7815">
        <v>1100</v>
      </c>
      <c r="C7815" s="455">
        <v>1E-3</v>
      </c>
      <c r="D7815" s="637">
        <f t="shared" si="260"/>
        <v>2.5871212121212129E-3</v>
      </c>
      <c r="E7815" s="637">
        <f t="shared" si="261"/>
        <v>3.3106060606060629E-3</v>
      </c>
    </row>
    <row r="7816" spans="1:5">
      <c r="A7816">
        <v>112213</v>
      </c>
      <c r="B7816">
        <v>1200</v>
      </c>
      <c r="C7816" s="455">
        <v>0</v>
      </c>
      <c r="D7816" s="637">
        <f t="shared" si="260"/>
        <v>0</v>
      </c>
      <c r="E7816" s="637">
        <f t="shared" si="261"/>
        <v>0</v>
      </c>
    </row>
    <row r="7817" spans="1:5">
      <c r="A7817">
        <v>112213</v>
      </c>
      <c r="B7817">
        <v>1300</v>
      </c>
      <c r="C7817" s="455">
        <v>5.0000000000000001E-3</v>
      </c>
      <c r="D7817" s="637">
        <f t="shared" si="260"/>
        <v>1.2935606060606066E-2</v>
      </c>
      <c r="E7817" s="637">
        <f t="shared" si="261"/>
        <v>1.6553030303030316E-2</v>
      </c>
    </row>
    <row r="7818" spans="1:5">
      <c r="A7818">
        <v>112213</v>
      </c>
      <c r="B7818">
        <v>1400</v>
      </c>
      <c r="C7818" s="455">
        <v>0.51</v>
      </c>
      <c r="D7818" s="637">
        <f t="shared" si="260"/>
        <v>1.3194318181818185</v>
      </c>
      <c r="E7818" s="637">
        <f t="shared" si="261"/>
        <v>1.6884090909090921</v>
      </c>
    </row>
    <row r="7819" spans="1:5">
      <c r="A7819">
        <v>112213</v>
      </c>
      <c r="B7819">
        <v>1500</v>
      </c>
      <c r="C7819" s="455">
        <v>3.5529999999999999</v>
      </c>
      <c r="D7819" s="637">
        <f t="shared" si="260"/>
        <v>9.1920416666666682</v>
      </c>
      <c r="E7819" s="637">
        <f t="shared" si="261"/>
        <v>11.762583333333341</v>
      </c>
    </row>
    <row r="7820" spans="1:5">
      <c r="A7820">
        <v>112213</v>
      </c>
      <c r="B7820">
        <v>1600</v>
      </c>
      <c r="C7820" s="455">
        <v>4.7069999999999999</v>
      </c>
      <c r="D7820" s="637">
        <f t="shared" si="260"/>
        <v>12.177579545454549</v>
      </c>
      <c r="E7820" s="637">
        <f t="shared" si="261"/>
        <v>15.583022727272738</v>
      </c>
    </row>
    <row r="7821" spans="1:5">
      <c r="A7821">
        <v>112213</v>
      </c>
      <c r="B7821">
        <v>1700</v>
      </c>
      <c r="C7821" s="455">
        <v>13.401</v>
      </c>
      <c r="D7821" s="637">
        <f t="shared" si="260"/>
        <v>34.67001136363637</v>
      </c>
      <c r="E7821" s="637">
        <f t="shared" si="261"/>
        <v>44.365431818181847</v>
      </c>
    </row>
    <row r="7822" spans="1:5">
      <c r="A7822">
        <v>112213</v>
      </c>
      <c r="B7822">
        <v>1800</v>
      </c>
      <c r="C7822" s="455">
        <v>13.933</v>
      </c>
      <c r="D7822" s="637">
        <f t="shared" si="260"/>
        <v>36.046359848484862</v>
      </c>
      <c r="E7822" s="637">
        <f t="shared" si="261"/>
        <v>46.126674242424272</v>
      </c>
    </row>
    <row r="7823" spans="1:5">
      <c r="A7823">
        <v>112213</v>
      </c>
      <c r="B7823">
        <v>1900</v>
      </c>
      <c r="C7823" s="455">
        <v>13.23</v>
      </c>
      <c r="D7823" s="637">
        <f t="shared" si="260"/>
        <v>34.22761363636365</v>
      </c>
      <c r="E7823" s="637">
        <f t="shared" si="261"/>
        <v>43.799318181818215</v>
      </c>
    </row>
    <row r="7824" spans="1:5">
      <c r="A7824">
        <v>112213</v>
      </c>
      <c r="B7824">
        <v>2000</v>
      </c>
      <c r="C7824" s="455">
        <v>13.366</v>
      </c>
      <c r="D7824" s="637">
        <f t="shared" si="260"/>
        <v>34.579462121212131</v>
      </c>
      <c r="E7824" s="637">
        <f t="shared" si="261"/>
        <v>44.249560606060633</v>
      </c>
    </row>
    <row r="7825" spans="1:5">
      <c r="A7825">
        <v>112213</v>
      </c>
      <c r="B7825">
        <v>2100</v>
      </c>
      <c r="C7825" s="455">
        <v>13.106999999999999</v>
      </c>
      <c r="D7825" s="637">
        <f t="shared" si="260"/>
        <v>33.90939772727274</v>
      </c>
      <c r="E7825" s="637">
        <f t="shared" si="261"/>
        <v>43.392113636363668</v>
      </c>
    </row>
    <row r="7826" spans="1:5">
      <c r="A7826">
        <v>112213</v>
      </c>
      <c r="B7826">
        <v>2200</v>
      </c>
      <c r="C7826" s="455">
        <v>13.722</v>
      </c>
      <c r="D7826" s="637">
        <f t="shared" si="260"/>
        <v>35.500477272727281</v>
      </c>
      <c r="E7826" s="637">
        <f t="shared" si="261"/>
        <v>45.428136363636398</v>
      </c>
    </row>
    <row r="7827" spans="1:5">
      <c r="A7827">
        <v>112213</v>
      </c>
      <c r="B7827">
        <v>2300</v>
      </c>
      <c r="C7827" s="455">
        <v>13.544</v>
      </c>
      <c r="D7827" s="637">
        <f t="shared" si="260"/>
        <v>35.039969696969706</v>
      </c>
      <c r="E7827" s="637">
        <f t="shared" si="261"/>
        <v>44.838848484848519</v>
      </c>
    </row>
    <row r="7828" spans="1:5">
      <c r="A7828">
        <v>112213</v>
      </c>
      <c r="B7828">
        <v>2400</v>
      </c>
      <c r="C7828" s="455">
        <v>13.118</v>
      </c>
      <c r="D7828" s="637">
        <f t="shared" si="260"/>
        <v>33.937856060606073</v>
      </c>
      <c r="E7828" s="637">
        <f t="shared" si="261"/>
        <v>43.428530303030335</v>
      </c>
    </row>
    <row r="7829" spans="1:5">
      <c r="A7829">
        <v>112313</v>
      </c>
      <c r="B7829">
        <v>100</v>
      </c>
      <c r="C7829" s="455">
        <v>13.256</v>
      </c>
      <c r="D7829" s="637">
        <f t="shared" si="260"/>
        <v>34.294878787878794</v>
      </c>
      <c r="E7829" s="637">
        <f t="shared" si="261"/>
        <v>43.885393939393971</v>
      </c>
    </row>
    <row r="7830" spans="1:5">
      <c r="A7830">
        <v>112313</v>
      </c>
      <c r="B7830">
        <v>200</v>
      </c>
      <c r="C7830" s="455">
        <v>13.534000000000001</v>
      </c>
      <c r="D7830" s="637">
        <f t="shared" si="260"/>
        <v>35.014098484848496</v>
      </c>
      <c r="E7830" s="637">
        <f t="shared" si="261"/>
        <v>44.80574242424246</v>
      </c>
    </row>
    <row r="7831" spans="1:5">
      <c r="A7831">
        <v>112313</v>
      </c>
      <c r="B7831">
        <v>300</v>
      </c>
      <c r="C7831" s="455">
        <v>13.260999999999999</v>
      </c>
      <c r="D7831" s="637">
        <f t="shared" si="260"/>
        <v>34.307814393939402</v>
      </c>
      <c r="E7831" s="637">
        <f t="shared" si="261"/>
        <v>43.901946969697001</v>
      </c>
    </row>
    <row r="7832" spans="1:5">
      <c r="A7832">
        <v>112313</v>
      </c>
      <c r="B7832">
        <v>400</v>
      </c>
      <c r="C7832" s="455">
        <v>13.391</v>
      </c>
      <c r="D7832" s="637">
        <f t="shared" si="260"/>
        <v>34.64414015151516</v>
      </c>
      <c r="E7832" s="637">
        <f t="shared" si="261"/>
        <v>44.332325757575788</v>
      </c>
    </row>
    <row r="7833" spans="1:5">
      <c r="A7833">
        <v>112313</v>
      </c>
      <c r="B7833">
        <v>500</v>
      </c>
      <c r="C7833" s="455">
        <v>13.282</v>
      </c>
      <c r="D7833" s="637">
        <f t="shared" si="260"/>
        <v>34.362143939393953</v>
      </c>
      <c r="E7833" s="637">
        <f t="shared" si="261"/>
        <v>43.971469696969727</v>
      </c>
    </row>
    <row r="7834" spans="1:5">
      <c r="A7834">
        <v>112313</v>
      </c>
      <c r="B7834">
        <v>600</v>
      </c>
      <c r="C7834" s="455">
        <v>13.092000000000001</v>
      </c>
      <c r="D7834" s="637">
        <f t="shared" si="260"/>
        <v>33.870590909090922</v>
      </c>
      <c r="E7834" s="637">
        <f t="shared" si="261"/>
        <v>43.342454545454579</v>
      </c>
    </row>
    <row r="7835" spans="1:5">
      <c r="A7835">
        <v>112313</v>
      </c>
      <c r="B7835">
        <v>700</v>
      </c>
      <c r="C7835" s="455">
        <v>13.342000000000001</v>
      </c>
      <c r="D7835" s="637">
        <f t="shared" si="260"/>
        <v>34.517371212121226</v>
      </c>
      <c r="E7835" s="637">
        <f t="shared" si="261"/>
        <v>44.170106060606095</v>
      </c>
    </row>
    <row r="7836" spans="1:5">
      <c r="A7836">
        <v>112313</v>
      </c>
      <c r="B7836">
        <v>800</v>
      </c>
      <c r="C7836" s="455">
        <v>9.8620000000000001</v>
      </c>
      <c r="D7836" s="637">
        <f t="shared" si="260"/>
        <v>25.514189393939404</v>
      </c>
      <c r="E7836" s="637">
        <f t="shared" si="261"/>
        <v>32.649196969696995</v>
      </c>
    </row>
    <row r="7837" spans="1:5">
      <c r="A7837">
        <v>112313</v>
      </c>
      <c r="B7837">
        <v>900</v>
      </c>
      <c r="C7837" s="455">
        <v>0.81</v>
      </c>
      <c r="D7837" s="637">
        <f t="shared" si="260"/>
        <v>2.0955681818181828</v>
      </c>
      <c r="E7837" s="637">
        <f t="shared" si="261"/>
        <v>2.6815909090909114</v>
      </c>
    </row>
    <row r="7838" spans="1:5">
      <c r="A7838">
        <v>112313</v>
      </c>
      <c r="B7838">
        <v>1000</v>
      </c>
      <c r="C7838" s="455">
        <v>2.1999999999999999E-2</v>
      </c>
      <c r="D7838" s="637">
        <f t="shared" si="260"/>
        <v>5.6916666666666678E-2</v>
      </c>
      <c r="E7838" s="637">
        <f t="shared" si="261"/>
        <v>7.2833333333333375E-2</v>
      </c>
    </row>
    <row r="7839" spans="1:5">
      <c r="A7839">
        <v>112313</v>
      </c>
      <c r="B7839">
        <v>1100</v>
      </c>
      <c r="C7839" s="455">
        <v>0</v>
      </c>
      <c r="D7839" s="637">
        <f t="shared" si="260"/>
        <v>0</v>
      </c>
      <c r="E7839" s="637">
        <f t="shared" si="261"/>
        <v>0</v>
      </c>
    </row>
    <row r="7840" spans="1:5">
      <c r="A7840">
        <v>112313</v>
      </c>
      <c r="B7840">
        <v>1200</v>
      </c>
      <c r="C7840" s="455">
        <v>0</v>
      </c>
      <c r="D7840" s="637">
        <f t="shared" si="260"/>
        <v>0</v>
      </c>
      <c r="E7840" s="637">
        <f t="shared" si="261"/>
        <v>0</v>
      </c>
    </row>
    <row r="7841" spans="1:5">
      <c r="A7841">
        <v>112313</v>
      </c>
      <c r="B7841">
        <v>1300</v>
      </c>
      <c r="C7841" s="455">
        <v>0</v>
      </c>
      <c r="D7841" s="637">
        <f t="shared" si="260"/>
        <v>0</v>
      </c>
      <c r="E7841" s="637">
        <f t="shared" si="261"/>
        <v>0</v>
      </c>
    </row>
    <row r="7842" spans="1:5">
      <c r="A7842">
        <v>112313</v>
      </c>
      <c r="B7842">
        <v>1400</v>
      </c>
      <c r="C7842" s="455">
        <v>0</v>
      </c>
      <c r="D7842" s="637">
        <f t="shared" si="260"/>
        <v>0</v>
      </c>
      <c r="E7842" s="637">
        <f t="shared" si="261"/>
        <v>0</v>
      </c>
    </row>
    <row r="7843" spans="1:5">
      <c r="A7843">
        <v>112313</v>
      </c>
      <c r="B7843">
        <v>1500</v>
      </c>
      <c r="C7843" s="455">
        <v>0</v>
      </c>
      <c r="D7843" s="637">
        <f t="shared" si="260"/>
        <v>0</v>
      </c>
      <c r="E7843" s="637">
        <f t="shared" si="261"/>
        <v>0</v>
      </c>
    </row>
    <row r="7844" spans="1:5">
      <c r="A7844">
        <v>112313</v>
      </c>
      <c r="B7844">
        <v>1600</v>
      </c>
      <c r="C7844" s="455">
        <v>0</v>
      </c>
      <c r="D7844" s="637">
        <f t="shared" si="260"/>
        <v>0</v>
      </c>
      <c r="E7844" s="637">
        <f t="shared" si="261"/>
        <v>0</v>
      </c>
    </row>
    <row r="7845" spans="1:5">
      <c r="A7845">
        <v>112313</v>
      </c>
      <c r="B7845">
        <v>1700</v>
      </c>
      <c r="C7845" s="455">
        <v>6.0019999999999998</v>
      </c>
      <c r="D7845" s="637">
        <f t="shared" si="260"/>
        <v>15.52790151515152</v>
      </c>
      <c r="E7845" s="637">
        <f t="shared" si="261"/>
        <v>19.870257575757591</v>
      </c>
    </row>
    <row r="7846" spans="1:5">
      <c r="A7846">
        <v>112313</v>
      </c>
      <c r="B7846">
        <v>1800</v>
      </c>
      <c r="C7846" s="455">
        <v>14.968</v>
      </c>
      <c r="D7846" s="637">
        <f t="shared" si="260"/>
        <v>38.724030303030311</v>
      </c>
      <c r="E7846" s="637">
        <f t="shared" si="261"/>
        <v>49.553151515151548</v>
      </c>
    </row>
    <row r="7847" spans="1:5">
      <c r="A7847">
        <v>112313</v>
      </c>
      <c r="B7847">
        <v>1900</v>
      </c>
      <c r="C7847" s="455">
        <v>14.423999999999999</v>
      </c>
      <c r="D7847" s="637">
        <f t="shared" si="260"/>
        <v>37.316636363636377</v>
      </c>
      <c r="E7847" s="637">
        <f t="shared" si="261"/>
        <v>47.752181818181853</v>
      </c>
    </row>
    <row r="7848" spans="1:5">
      <c r="A7848">
        <v>112313</v>
      </c>
      <c r="B7848">
        <v>2000</v>
      </c>
      <c r="C7848" s="455">
        <v>14.930999999999999</v>
      </c>
      <c r="D7848" s="637">
        <f t="shared" si="260"/>
        <v>38.628306818181827</v>
      </c>
      <c r="E7848" s="637">
        <f t="shared" si="261"/>
        <v>49.430659090909124</v>
      </c>
    </row>
    <row r="7849" spans="1:5">
      <c r="A7849">
        <v>112313</v>
      </c>
      <c r="B7849">
        <v>2100</v>
      </c>
      <c r="C7849" s="455">
        <v>15.098000000000001</v>
      </c>
      <c r="D7849" s="637">
        <f t="shared" si="260"/>
        <v>39.060356060606075</v>
      </c>
      <c r="E7849" s="637">
        <f t="shared" si="261"/>
        <v>49.983530303030349</v>
      </c>
    </row>
    <row r="7850" spans="1:5">
      <c r="A7850">
        <v>112313</v>
      </c>
      <c r="B7850">
        <v>2200</v>
      </c>
      <c r="C7850" s="455">
        <v>15.760999999999999</v>
      </c>
      <c r="D7850" s="637">
        <f t="shared" si="260"/>
        <v>40.775617424242434</v>
      </c>
      <c r="E7850" s="637">
        <f t="shared" si="261"/>
        <v>52.178462121212156</v>
      </c>
    </row>
    <row r="7851" spans="1:5">
      <c r="A7851">
        <v>112313</v>
      </c>
      <c r="B7851">
        <v>2300</v>
      </c>
      <c r="C7851" s="455">
        <v>15.663</v>
      </c>
      <c r="D7851" s="637">
        <f t="shared" si="260"/>
        <v>40.522079545454559</v>
      </c>
      <c r="E7851" s="637">
        <f t="shared" si="261"/>
        <v>51.854022727272763</v>
      </c>
    </row>
    <row r="7852" spans="1:5">
      <c r="A7852">
        <v>112313</v>
      </c>
      <c r="B7852">
        <v>2400</v>
      </c>
      <c r="C7852" s="455">
        <v>15.324</v>
      </c>
      <c r="D7852" s="637">
        <f t="shared" si="260"/>
        <v>39.645045454545468</v>
      </c>
      <c r="E7852" s="637">
        <f t="shared" si="261"/>
        <v>50.731727272727312</v>
      </c>
    </row>
    <row r="7853" spans="1:5">
      <c r="A7853">
        <v>112413</v>
      </c>
      <c r="B7853">
        <v>100</v>
      </c>
      <c r="C7853" s="455">
        <v>15.678000000000001</v>
      </c>
      <c r="D7853" s="637">
        <f t="shared" si="260"/>
        <v>40.560886363636378</v>
      </c>
      <c r="E7853" s="637">
        <f t="shared" si="261"/>
        <v>51.903681818181859</v>
      </c>
    </row>
    <row r="7854" spans="1:5">
      <c r="A7854">
        <v>112413</v>
      </c>
      <c r="B7854">
        <v>200</v>
      </c>
      <c r="C7854" s="455">
        <v>15.555999999999999</v>
      </c>
      <c r="D7854" s="637">
        <f t="shared" si="260"/>
        <v>40.245257575757591</v>
      </c>
      <c r="E7854" s="637">
        <f t="shared" si="261"/>
        <v>51.49978787878792</v>
      </c>
    </row>
    <row r="7855" spans="1:5">
      <c r="A7855">
        <v>112413</v>
      </c>
      <c r="B7855">
        <v>300</v>
      </c>
      <c r="C7855" s="455">
        <v>16.297999999999998</v>
      </c>
      <c r="D7855" s="637">
        <f t="shared" si="260"/>
        <v>42.16490151515152</v>
      </c>
      <c r="E7855" s="637">
        <f t="shared" si="261"/>
        <v>53.956257575757611</v>
      </c>
    </row>
    <row r="7856" spans="1:5">
      <c r="A7856">
        <v>112413</v>
      </c>
      <c r="B7856">
        <v>400</v>
      </c>
      <c r="C7856" s="455">
        <v>16.122</v>
      </c>
      <c r="D7856" s="637">
        <f t="shared" si="260"/>
        <v>41.709568181818192</v>
      </c>
      <c r="E7856" s="637">
        <f t="shared" si="261"/>
        <v>53.373590909090943</v>
      </c>
    </row>
    <row r="7857" spans="1:5">
      <c r="A7857">
        <v>112413</v>
      </c>
      <c r="B7857">
        <v>500</v>
      </c>
      <c r="C7857" s="455">
        <v>16.334</v>
      </c>
      <c r="D7857" s="637">
        <f t="shared" si="260"/>
        <v>42.258037878787889</v>
      </c>
      <c r="E7857" s="637">
        <f t="shared" si="261"/>
        <v>54.075439393939433</v>
      </c>
    </row>
    <row r="7858" spans="1:5">
      <c r="A7858">
        <v>112413</v>
      </c>
      <c r="B7858">
        <v>600</v>
      </c>
      <c r="C7858" s="455">
        <v>15.898</v>
      </c>
      <c r="D7858" s="637">
        <f t="shared" si="260"/>
        <v>41.130053030303046</v>
      </c>
      <c r="E7858" s="637">
        <f t="shared" si="261"/>
        <v>52.632015151515191</v>
      </c>
    </row>
    <row r="7859" spans="1:5">
      <c r="A7859">
        <v>112413</v>
      </c>
      <c r="B7859">
        <v>700</v>
      </c>
      <c r="C7859" s="455">
        <v>15.872999999999999</v>
      </c>
      <c r="D7859" s="637">
        <f t="shared" si="260"/>
        <v>41.06537500000001</v>
      </c>
      <c r="E7859" s="637">
        <f t="shared" si="261"/>
        <v>52.549250000000036</v>
      </c>
    </row>
    <row r="7860" spans="1:5">
      <c r="A7860">
        <v>112413</v>
      </c>
      <c r="B7860">
        <v>800</v>
      </c>
      <c r="C7860" s="455">
        <v>18.887</v>
      </c>
      <c r="D7860" s="637">
        <f t="shared" si="260"/>
        <v>48.862958333333353</v>
      </c>
      <c r="E7860" s="637">
        <f t="shared" si="261"/>
        <v>62.527416666666717</v>
      </c>
    </row>
    <row r="7861" spans="1:5">
      <c r="A7861">
        <v>112413</v>
      </c>
      <c r="B7861">
        <v>900</v>
      </c>
      <c r="C7861" s="455">
        <v>4.7779999999999996</v>
      </c>
      <c r="D7861" s="637">
        <f t="shared" si="260"/>
        <v>12.361265151515155</v>
      </c>
      <c r="E7861" s="637">
        <f t="shared" si="261"/>
        <v>15.818075757575768</v>
      </c>
    </row>
    <row r="7862" spans="1:5">
      <c r="A7862">
        <v>112413</v>
      </c>
      <c r="B7862">
        <v>1000</v>
      </c>
      <c r="C7862" s="455">
        <v>0</v>
      </c>
      <c r="D7862" s="637">
        <f t="shared" si="260"/>
        <v>0</v>
      </c>
      <c r="E7862" s="637">
        <f t="shared" si="261"/>
        <v>0</v>
      </c>
    </row>
    <row r="7863" spans="1:5">
      <c r="A7863">
        <v>112413</v>
      </c>
      <c r="B7863">
        <v>1100</v>
      </c>
      <c r="C7863" s="455">
        <v>6.0000000000000001E-3</v>
      </c>
      <c r="D7863" s="637">
        <f t="shared" si="260"/>
        <v>1.5522727272727278E-2</v>
      </c>
      <c r="E7863" s="637">
        <f t="shared" si="261"/>
        <v>1.9863636363636378E-2</v>
      </c>
    </row>
    <row r="7864" spans="1:5">
      <c r="A7864">
        <v>112413</v>
      </c>
      <c r="B7864">
        <v>1200</v>
      </c>
      <c r="C7864" s="455">
        <v>0</v>
      </c>
      <c r="D7864" s="637">
        <f t="shared" si="260"/>
        <v>0</v>
      </c>
      <c r="E7864" s="637">
        <f t="shared" si="261"/>
        <v>0</v>
      </c>
    </row>
    <row r="7865" spans="1:5">
      <c r="A7865">
        <v>112413</v>
      </c>
      <c r="B7865">
        <v>1300</v>
      </c>
      <c r="C7865" s="455">
        <v>0</v>
      </c>
      <c r="D7865" s="637">
        <f t="shared" si="260"/>
        <v>0</v>
      </c>
      <c r="E7865" s="637">
        <f t="shared" si="261"/>
        <v>0</v>
      </c>
    </row>
    <row r="7866" spans="1:5">
      <c r="A7866">
        <v>112413</v>
      </c>
      <c r="B7866">
        <v>1400</v>
      </c>
      <c r="C7866" s="455">
        <v>0</v>
      </c>
      <c r="D7866" s="637">
        <f t="shared" si="260"/>
        <v>0</v>
      </c>
      <c r="E7866" s="637">
        <f t="shared" si="261"/>
        <v>0</v>
      </c>
    </row>
    <row r="7867" spans="1:5">
      <c r="A7867">
        <v>112413</v>
      </c>
      <c r="B7867">
        <v>1500</v>
      </c>
      <c r="C7867" s="455">
        <v>0</v>
      </c>
      <c r="D7867" s="637">
        <f t="shared" si="260"/>
        <v>0</v>
      </c>
      <c r="E7867" s="637">
        <f t="shared" si="261"/>
        <v>0</v>
      </c>
    </row>
    <row r="7868" spans="1:5">
      <c r="A7868">
        <v>112413</v>
      </c>
      <c r="B7868">
        <v>1600</v>
      </c>
      <c r="C7868" s="455">
        <v>0</v>
      </c>
      <c r="D7868" s="637">
        <f t="shared" si="260"/>
        <v>0</v>
      </c>
      <c r="E7868" s="637">
        <f t="shared" si="261"/>
        <v>0</v>
      </c>
    </row>
    <row r="7869" spans="1:5">
      <c r="A7869">
        <v>112413</v>
      </c>
      <c r="B7869">
        <v>1700</v>
      </c>
      <c r="C7869" s="455">
        <v>7.7110000000000003</v>
      </c>
      <c r="D7869" s="637">
        <f t="shared" si="260"/>
        <v>19.949291666666674</v>
      </c>
      <c r="E7869" s="637">
        <f t="shared" si="261"/>
        <v>25.528083333333353</v>
      </c>
    </row>
    <row r="7870" spans="1:5">
      <c r="A7870">
        <v>112413</v>
      </c>
      <c r="B7870">
        <v>1800</v>
      </c>
      <c r="C7870" s="455">
        <v>14.753</v>
      </c>
      <c r="D7870" s="637">
        <f t="shared" si="260"/>
        <v>38.167799242424259</v>
      </c>
      <c r="E7870" s="637">
        <f t="shared" si="261"/>
        <v>48.841371212121253</v>
      </c>
    </row>
    <row r="7871" spans="1:5">
      <c r="A7871">
        <v>112413</v>
      </c>
      <c r="B7871">
        <v>1900</v>
      </c>
      <c r="C7871" s="455">
        <v>14.247</v>
      </c>
      <c r="D7871" s="637">
        <f t="shared" si="260"/>
        <v>36.858715909090918</v>
      </c>
      <c r="E7871" s="637">
        <f t="shared" si="261"/>
        <v>47.166204545454576</v>
      </c>
    </row>
    <row r="7872" spans="1:5">
      <c r="A7872">
        <v>112413</v>
      </c>
      <c r="B7872">
        <v>2000</v>
      </c>
      <c r="C7872" s="455">
        <v>14.035</v>
      </c>
      <c r="D7872" s="637">
        <f t="shared" si="260"/>
        <v>36.310246212121221</v>
      </c>
      <c r="E7872" s="637">
        <f t="shared" si="261"/>
        <v>46.4643560606061</v>
      </c>
    </row>
    <row r="7873" spans="1:5">
      <c r="A7873">
        <v>112413</v>
      </c>
      <c r="B7873">
        <v>2100</v>
      </c>
      <c r="C7873" s="455">
        <v>14.271000000000001</v>
      </c>
      <c r="D7873" s="637">
        <f t="shared" si="260"/>
        <v>36.920806818181831</v>
      </c>
      <c r="E7873" s="637">
        <f t="shared" si="261"/>
        <v>47.245659090909129</v>
      </c>
    </row>
    <row r="7874" spans="1:5">
      <c r="A7874">
        <v>112413</v>
      </c>
      <c r="B7874">
        <v>2200</v>
      </c>
      <c r="C7874" s="455">
        <v>15.08</v>
      </c>
      <c r="D7874" s="637">
        <f t="shared" si="260"/>
        <v>39.013787878787888</v>
      </c>
      <c r="E7874" s="637">
        <f t="shared" si="261"/>
        <v>49.923939393939428</v>
      </c>
    </row>
    <row r="7875" spans="1:5">
      <c r="A7875">
        <v>112413</v>
      </c>
      <c r="B7875">
        <v>2300</v>
      </c>
      <c r="C7875" s="455">
        <v>14.555</v>
      </c>
      <c r="D7875" s="637">
        <f t="shared" si="260"/>
        <v>37.65554924242425</v>
      </c>
      <c r="E7875" s="637">
        <f t="shared" si="261"/>
        <v>48.185871212121242</v>
      </c>
    </row>
    <row r="7876" spans="1:5">
      <c r="A7876">
        <v>112413</v>
      </c>
      <c r="B7876">
        <v>2400</v>
      </c>
      <c r="C7876" s="455">
        <v>14.74</v>
      </c>
      <c r="D7876" s="637">
        <f t="shared" si="260"/>
        <v>38.13416666666668</v>
      </c>
      <c r="E7876" s="637">
        <f t="shared" si="261"/>
        <v>48.798333333333368</v>
      </c>
    </row>
    <row r="7877" spans="1:5">
      <c r="A7877">
        <v>112513</v>
      </c>
      <c r="B7877">
        <v>100</v>
      </c>
      <c r="C7877" s="455">
        <v>15.141</v>
      </c>
      <c r="D7877" s="637">
        <f t="shared" si="260"/>
        <v>39.171602272727284</v>
      </c>
      <c r="E7877" s="637">
        <f t="shared" si="261"/>
        <v>50.125886363636404</v>
      </c>
    </row>
    <row r="7878" spans="1:5">
      <c r="A7878">
        <v>112513</v>
      </c>
      <c r="B7878">
        <v>200</v>
      </c>
      <c r="C7878" s="455">
        <v>15.316000000000001</v>
      </c>
      <c r="D7878" s="637">
        <f t="shared" ref="D7878:D7941" si="262">(C7878/(MAX($C$7301:$C$8020)))*$W$15</f>
        <v>39.624348484848497</v>
      </c>
      <c r="E7878" s="637">
        <f t="shared" ref="E7878:E7941" si="263">(C7878/(MAX($C$7301:$C$8020)))*$P$15</f>
        <v>50.705242424242464</v>
      </c>
    </row>
    <row r="7879" spans="1:5">
      <c r="A7879">
        <v>112513</v>
      </c>
      <c r="B7879">
        <v>300</v>
      </c>
      <c r="C7879" s="455">
        <v>14.842000000000001</v>
      </c>
      <c r="D7879" s="637">
        <f t="shared" si="262"/>
        <v>38.398053030303046</v>
      </c>
      <c r="E7879" s="637">
        <f t="shared" si="263"/>
        <v>49.136015151515188</v>
      </c>
    </row>
    <row r="7880" spans="1:5">
      <c r="A7880">
        <v>112513</v>
      </c>
      <c r="B7880">
        <v>400</v>
      </c>
      <c r="C7880" s="455">
        <v>15.202999999999999</v>
      </c>
      <c r="D7880" s="637">
        <f t="shared" si="262"/>
        <v>39.332003787878797</v>
      </c>
      <c r="E7880" s="637">
        <f t="shared" si="263"/>
        <v>50.331143939393975</v>
      </c>
    </row>
    <row r="7881" spans="1:5">
      <c r="A7881">
        <v>112513</v>
      </c>
      <c r="B7881">
        <v>500</v>
      </c>
      <c r="C7881" s="455">
        <v>14.933999999999999</v>
      </c>
      <c r="D7881" s="637">
        <f t="shared" si="262"/>
        <v>38.636068181818189</v>
      </c>
      <c r="E7881" s="637">
        <f t="shared" si="263"/>
        <v>49.440590909090943</v>
      </c>
    </row>
    <row r="7882" spans="1:5">
      <c r="A7882">
        <v>112513</v>
      </c>
      <c r="B7882">
        <v>600</v>
      </c>
      <c r="C7882" s="455">
        <v>15.468</v>
      </c>
      <c r="D7882" s="637">
        <f t="shared" si="262"/>
        <v>40.01759090909092</v>
      </c>
      <c r="E7882" s="637">
        <f t="shared" si="263"/>
        <v>51.208454545454579</v>
      </c>
    </row>
    <row r="7883" spans="1:5">
      <c r="A7883">
        <v>112513</v>
      </c>
      <c r="B7883">
        <v>700</v>
      </c>
      <c r="C7883" s="455">
        <v>15.295999999999999</v>
      </c>
      <c r="D7883" s="637">
        <f t="shared" si="262"/>
        <v>39.57260606060607</v>
      </c>
      <c r="E7883" s="637">
        <f t="shared" si="263"/>
        <v>50.639030303030339</v>
      </c>
    </row>
    <row r="7884" spans="1:5">
      <c r="A7884">
        <v>112513</v>
      </c>
      <c r="B7884">
        <v>800</v>
      </c>
      <c r="C7884" s="455">
        <v>13.365</v>
      </c>
      <c r="D7884" s="637">
        <f t="shared" si="262"/>
        <v>34.576875000000008</v>
      </c>
      <c r="E7884" s="637">
        <f t="shared" si="263"/>
        <v>44.246250000000032</v>
      </c>
    </row>
    <row r="7885" spans="1:5">
      <c r="A7885">
        <v>112513</v>
      </c>
      <c r="B7885">
        <v>900</v>
      </c>
      <c r="C7885" s="455">
        <v>2.161</v>
      </c>
      <c r="D7885" s="637">
        <f t="shared" si="262"/>
        <v>5.590768939393941</v>
      </c>
      <c r="E7885" s="637">
        <f t="shared" si="263"/>
        <v>7.1542196969697027</v>
      </c>
    </row>
    <row r="7886" spans="1:5">
      <c r="A7886">
        <v>112513</v>
      </c>
      <c r="B7886">
        <v>1000</v>
      </c>
      <c r="C7886" s="455">
        <v>0</v>
      </c>
      <c r="D7886" s="637">
        <f t="shared" si="262"/>
        <v>0</v>
      </c>
      <c r="E7886" s="637">
        <f t="shared" si="263"/>
        <v>0</v>
      </c>
    </row>
    <row r="7887" spans="1:5">
      <c r="A7887">
        <v>112513</v>
      </c>
      <c r="B7887">
        <v>1100</v>
      </c>
      <c r="C7887" s="455">
        <v>0</v>
      </c>
      <c r="D7887" s="637">
        <f t="shared" si="262"/>
        <v>0</v>
      </c>
      <c r="E7887" s="637">
        <f t="shared" si="263"/>
        <v>0</v>
      </c>
    </row>
    <row r="7888" spans="1:5">
      <c r="A7888">
        <v>112513</v>
      </c>
      <c r="B7888">
        <v>1200</v>
      </c>
      <c r="C7888" s="455">
        <v>0.18</v>
      </c>
      <c r="D7888" s="637">
        <f t="shared" si="262"/>
        <v>0.46568181818181831</v>
      </c>
      <c r="E7888" s="637">
        <f t="shared" si="263"/>
        <v>0.59590909090909128</v>
      </c>
    </row>
    <row r="7889" spans="1:5">
      <c r="A7889">
        <v>112513</v>
      </c>
      <c r="B7889">
        <v>1300</v>
      </c>
      <c r="C7889" s="455">
        <v>0.72</v>
      </c>
      <c r="D7889" s="637">
        <f t="shared" si="262"/>
        <v>1.8627272727272732</v>
      </c>
      <c r="E7889" s="637">
        <f t="shared" si="263"/>
        <v>2.3836363636363651</v>
      </c>
    </row>
    <row r="7890" spans="1:5">
      <c r="A7890">
        <v>112513</v>
      </c>
      <c r="B7890">
        <v>1400</v>
      </c>
      <c r="C7890" s="455">
        <v>0</v>
      </c>
      <c r="D7890" s="637">
        <f t="shared" si="262"/>
        <v>0</v>
      </c>
      <c r="E7890" s="637">
        <f t="shared" si="263"/>
        <v>0</v>
      </c>
    </row>
    <row r="7891" spans="1:5">
      <c r="A7891">
        <v>112513</v>
      </c>
      <c r="B7891">
        <v>1500</v>
      </c>
      <c r="C7891" s="455">
        <v>0</v>
      </c>
      <c r="D7891" s="637">
        <f t="shared" si="262"/>
        <v>0</v>
      </c>
      <c r="E7891" s="637">
        <f t="shared" si="263"/>
        <v>0</v>
      </c>
    </row>
    <row r="7892" spans="1:5">
      <c r="A7892">
        <v>112513</v>
      </c>
      <c r="B7892">
        <v>1600</v>
      </c>
      <c r="C7892" s="455">
        <v>0</v>
      </c>
      <c r="D7892" s="637">
        <f t="shared" si="262"/>
        <v>0</v>
      </c>
      <c r="E7892" s="637">
        <f t="shared" si="263"/>
        <v>0</v>
      </c>
    </row>
    <row r="7893" spans="1:5">
      <c r="A7893">
        <v>112513</v>
      </c>
      <c r="B7893">
        <v>1700</v>
      </c>
      <c r="C7893" s="455">
        <v>7.6630000000000003</v>
      </c>
      <c r="D7893" s="637">
        <f t="shared" si="262"/>
        <v>19.825109848484853</v>
      </c>
      <c r="E7893" s="637">
        <f t="shared" si="263"/>
        <v>25.369174242424261</v>
      </c>
    </row>
    <row r="7894" spans="1:5">
      <c r="A7894">
        <v>112513</v>
      </c>
      <c r="B7894">
        <v>1800</v>
      </c>
      <c r="C7894" s="455">
        <v>13.747</v>
      </c>
      <c r="D7894" s="637">
        <f t="shared" si="262"/>
        <v>35.565155303030309</v>
      </c>
      <c r="E7894" s="637">
        <f t="shared" si="263"/>
        <v>45.510901515151545</v>
      </c>
    </row>
    <row r="7895" spans="1:5">
      <c r="A7895">
        <v>112513</v>
      </c>
      <c r="B7895">
        <v>1900</v>
      </c>
      <c r="C7895" s="455">
        <v>13.076000000000001</v>
      </c>
      <c r="D7895" s="637">
        <f t="shared" si="262"/>
        <v>33.82919696969698</v>
      </c>
      <c r="E7895" s="637">
        <f t="shared" si="263"/>
        <v>43.289484848484882</v>
      </c>
    </row>
    <row r="7896" spans="1:5">
      <c r="A7896">
        <v>112513</v>
      </c>
      <c r="B7896">
        <v>2000</v>
      </c>
      <c r="C7896" s="455">
        <v>13.401999999999999</v>
      </c>
      <c r="D7896" s="637">
        <f t="shared" si="262"/>
        <v>34.672598484848493</v>
      </c>
      <c r="E7896" s="637">
        <f t="shared" si="263"/>
        <v>44.368742424242456</v>
      </c>
    </row>
    <row r="7897" spans="1:5">
      <c r="A7897">
        <v>112513</v>
      </c>
      <c r="B7897">
        <v>2100</v>
      </c>
      <c r="C7897" s="455">
        <v>13.457000000000001</v>
      </c>
      <c r="D7897" s="637">
        <f t="shared" si="262"/>
        <v>34.814890151515165</v>
      </c>
      <c r="E7897" s="637">
        <f t="shared" si="263"/>
        <v>44.550825757575794</v>
      </c>
    </row>
    <row r="7898" spans="1:5">
      <c r="A7898">
        <v>112513</v>
      </c>
      <c r="B7898">
        <v>2200</v>
      </c>
      <c r="C7898" s="455">
        <v>13.118</v>
      </c>
      <c r="D7898" s="637">
        <f t="shared" si="262"/>
        <v>33.937856060606073</v>
      </c>
      <c r="E7898" s="637">
        <f t="shared" si="263"/>
        <v>43.428530303030335</v>
      </c>
    </row>
    <row r="7899" spans="1:5">
      <c r="A7899">
        <v>112513</v>
      </c>
      <c r="B7899">
        <v>2300</v>
      </c>
      <c r="C7899" s="455">
        <v>13.797000000000001</v>
      </c>
      <c r="D7899" s="637">
        <f t="shared" si="262"/>
        <v>35.69451136363638</v>
      </c>
      <c r="E7899" s="637">
        <f t="shared" si="263"/>
        <v>45.676431818181861</v>
      </c>
    </row>
    <row r="7900" spans="1:5">
      <c r="A7900">
        <v>112513</v>
      </c>
      <c r="B7900">
        <v>2400</v>
      </c>
      <c r="C7900" s="455">
        <v>13.346</v>
      </c>
      <c r="D7900" s="637">
        <f t="shared" si="262"/>
        <v>34.527719696969712</v>
      </c>
      <c r="E7900" s="637">
        <f t="shared" si="263"/>
        <v>44.183348484848523</v>
      </c>
    </row>
    <row r="7901" spans="1:5">
      <c r="A7901">
        <v>112613</v>
      </c>
      <c r="B7901">
        <v>100</v>
      </c>
      <c r="C7901" s="455">
        <v>13.659000000000001</v>
      </c>
      <c r="D7901" s="637">
        <f t="shared" si="262"/>
        <v>35.337488636363652</v>
      </c>
      <c r="E7901" s="637">
        <f t="shared" si="263"/>
        <v>45.219568181818218</v>
      </c>
    </row>
    <row r="7902" spans="1:5">
      <c r="A7902">
        <v>112613</v>
      </c>
      <c r="B7902">
        <v>200</v>
      </c>
      <c r="C7902" s="455">
        <v>13.606999999999999</v>
      </c>
      <c r="D7902" s="637">
        <f t="shared" si="262"/>
        <v>35.202958333333342</v>
      </c>
      <c r="E7902" s="637">
        <f t="shared" si="263"/>
        <v>45.047416666666699</v>
      </c>
    </row>
    <row r="7903" spans="1:5">
      <c r="A7903">
        <v>112613</v>
      </c>
      <c r="B7903">
        <v>300</v>
      </c>
      <c r="C7903" s="455">
        <v>13.792</v>
      </c>
      <c r="D7903" s="637">
        <f t="shared" si="262"/>
        <v>35.681575757575764</v>
      </c>
      <c r="E7903" s="637">
        <f t="shared" si="263"/>
        <v>45.659878787878817</v>
      </c>
    </row>
    <row r="7904" spans="1:5">
      <c r="A7904">
        <v>112613</v>
      </c>
      <c r="B7904">
        <v>400</v>
      </c>
      <c r="C7904" s="455">
        <v>13.441000000000001</v>
      </c>
      <c r="D7904" s="637">
        <f t="shared" si="262"/>
        <v>34.773496212121223</v>
      </c>
      <c r="E7904" s="637">
        <f t="shared" si="263"/>
        <v>44.497856060606097</v>
      </c>
    </row>
    <row r="7905" spans="1:5">
      <c r="A7905">
        <v>112613</v>
      </c>
      <c r="B7905">
        <v>500</v>
      </c>
      <c r="C7905" s="455">
        <v>13.528</v>
      </c>
      <c r="D7905" s="637">
        <f t="shared" si="262"/>
        <v>34.998575757575772</v>
      </c>
      <c r="E7905" s="637">
        <f t="shared" si="263"/>
        <v>44.785878787878829</v>
      </c>
    </row>
    <row r="7906" spans="1:5">
      <c r="A7906">
        <v>112613</v>
      </c>
      <c r="B7906">
        <v>600</v>
      </c>
      <c r="C7906" s="455">
        <v>13.760999999999999</v>
      </c>
      <c r="D7906" s="637">
        <f t="shared" si="262"/>
        <v>35.601375000000012</v>
      </c>
      <c r="E7906" s="637">
        <f t="shared" si="263"/>
        <v>45.557250000000032</v>
      </c>
    </row>
    <row r="7907" spans="1:5">
      <c r="A7907">
        <v>112613</v>
      </c>
      <c r="B7907">
        <v>700</v>
      </c>
      <c r="C7907" s="455">
        <v>13.090999999999999</v>
      </c>
      <c r="D7907" s="637">
        <f t="shared" si="262"/>
        <v>33.868003787878799</v>
      </c>
      <c r="E7907" s="637">
        <f t="shared" si="263"/>
        <v>43.339143939393971</v>
      </c>
    </row>
    <row r="7908" spans="1:5">
      <c r="A7908">
        <v>112613</v>
      </c>
      <c r="B7908">
        <v>800</v>
      </c>
      <c r="C7908" s="455">
        <v>15.227</v>
      </c>
      <c r="D7908" s="637">
        <f t="shared" si="262"/>
        <v>39.394094696969709</v>
      </c>
      <c r="E7908" s="637">
        <f t="shared" si="263"/>
        <v>50.410598484848521</v>
      </c>
    </row>
    <row r="7909" spans="1:5">
      <c r="A7909">
        <v>112613</v>
      </c>
      <c r="B7909">
        <v>900</v>
      </c>
      <c r="C7909" s="455">
        <v>3.746</v>
      </c>
      <c r="D7909" s="637">
        <f t="shared" si="262"/>
        <v>9.6913560606060649</v>
      </c>
      <c r="E7909" s="637">
        <f t="shared" si="263"/>
        <v>12.401530303030313</v>
      </c>
    </row>
    <row r="7910" spans="1:5">
      <c r="A7910">
        <v>112613</v>
      </c>
      <c r="B7910">
        <v>1000</v>
      </c>
      <c r="C7910" s="455">
        <v>2.7919999999999998</v>
      </c>
      <c r="D7910" s="637">
        <f t="shared" si="262"/>
        <v>7.223242424242426</v>
      </c>
      <c r="E7910" s="637">
        <f t="shared" si="263"/>
        <v>9.2432121212121281</v>
      </c>
    </row>
    <row r="7911" spans="1:5">
      <c r="A7911">
        <v>112613</v>
      </c>
      <c r="B7911">
        <v>1100</v>
      </c>
      <c r="C7911" s="455">
        <v>2.0710000000000002</v>
      </c>
      <c r="D7911" s="637">
        <f t="shared" si="262"/>
        <v>5.3579280303030323</v>
      </c>
      <c r="E7911" s="637">
        <f t="shared" si="263"/>
        <v>6.8562651515151574</v>
      </c>
    </row>
    <row r="7912" spans="1:5">
      <c r="A7912">
        <v>112613</v>
      </c>
      <c r="B7912">
        <v>1200</v>
      </c>
      <c r="C7912" s="455">
        <v>0</v>
      </c>
      <c r="D7912" s="637">
        <f t="shared" si="262"/>
        <v>0</v>
      </c>
      <c r="E7912" s="637">
        <f t="shared" si="263"/>
        <v>0</v>
      </c>
    </row>
    <row r="7913" spans="1:5">
      <c r="A7913">
        <v>112613</v>
      </c>
      <c r="B7913">
        <v>1300</v>
      </c>
      <c r="C7913" s="455">
        <v>0</v>
      </c>
      <c r="D7913" s="637">
        <f t="shared" si="262"/>
        <v>0</v>
      </c>
      <c r="E7913" s="637">
        <f t="shared" si="263"/>
        <v>0</v>
      </c>
    </row>
    <row r="7914" spans="1:5">
      <c r="A7914">
        <v>112613</v>
      </c>
      <c r="B7914">
        <v>1400</v>
      </c>
      <c r="C7914" s="455">
        <v>0</v>
      </c>
      <c r="D7914" s="637">
        <f t="shared" si="262"/>
        <v>0</v>
      </c>
      <c r="E7914" s="637">
        <f t="shared" si="263"/>
        <v>0</v>
      </c>
    </row>
    <row r="7915" spans="1:5">
      <c r="A7915">
        <v>112613</v>
      </c>
      <c r="B7915">
        <v>1500</v>
      </c>
      <c r="C7915" s="455">
        <v>3.0000000000000001E-3</v>
      </c>
      <c r="D7915" s="637">
        <f t="shared" si="262"/>
        <v>7.7613636363636392E-3</v>
      </c>
      <c r="E7915" s="637">
        <f t="shared" si="263"/>
        <v>9.9318181818181892E-3</v>
      </c>
    </row>
    <row r="7916" spans="1:5">
      <c r="A7916">
        <v>112613</v>
      </c>
      <c r="B7916">
        <v>1600</v>
      </c>
      <c r="C7916" s="455">
        <v>1.1639999999999999</v>
      </c>
      <c r="D7916" s="637">
        <f t="shared" si="262"/>
        <v>3.0114090909090918</v>
      </c>
      <c r="E7916" s="637">
        <f t="shared" si="263"/>
        <v>3.8535454545454573</v>
      </c>
    </row>
    <row r="7917" spans="1:5">
      <c r="A7917">
        <v>112613</v>
      </c>
      <c r="B7917">
        <v>1700</v>
      </c>
      <c r="C7917" s="455">
        <v>14.237</v>
      </c>
      <c r="D7917" s="637">
        <f t="shared" si="262"/>
        <v>36.832844696969708</v>
      </c>
      <c r="E7917" s="637">
        <f t="shared" si="263"/>
        <v>47.133098484848517</v>
      </c>
    </row>
    <row r="7918" spans="1:5">
      <c r="A7918">
        <v>112613</v>
      </c>
      <c r="B7918">
        <v>1800</v>
      </c>
      <c r="C7918" s="455">
        <v>13.731999999999999</v>
      </c>
      <c r="D7918" s="637">
        <f t="shared" si="262"/>
        <v>35.526348484848491</v>
      </c>
      <c r="E7918" s="637">
        <f t="shared" si="263"/>
        <v>45.461242424242457</v>
      </c>
    </row>
    <row r="7919" spans="1:5">
      <c r="A7919">
        <v>112613</v>
      </c>
      <c r="B7919">
        <v>1900</v>
      </c>
      <c r="C7919" s="455">
        <v>13.3</v>
      </c>
      <c r="D7919" s="637">
        <f t="shared" si="262"/>
        <v>34.408712121212133</v>
      </c>
      <c r="E7919" s="637">
        <f t="shared" si="263"/>
        <v>44.031060606060642</v>
      </c>
    </row>
    <row r="7920" spans="1:5">
      <c r="A7920">
        <v>112613</v>
      </c>
      <c r="B7920">
        <v>2000</v>
      </c>
      <c r="C7920" s="455">
        <v>13.234999999999999</v>
      </c>
      <c r="D7920" s="637">
        <f t="shared" si="262"/>
        <v>34.240549242424251</v>
      </c>
      <c r="E7920" s="637">
        <f t="shared" si="263"/>
        <v>43.815871212121245</v>
      </c>
    </row>
    <row r="7921" spans="1:5">
      <c r="A7921">
        <v>112613</v>
      </c>
      <c r="B7921">
        <v>2100</v>
      </c>
      <c r="C7921" s="455">
        <v>13.694000000000001</v>
      </c>
      <c r="D7921" s="637">
        <f t="shared" si="262"/>
        <v>35.42803787878789</v>
      </c>
      <c r="E7921" s="637">
        <f t="shared" si="263"/>
        <v>45.335439393939431</v>
      </c>
    </row>
    <row r="7922" spans="1:5">
      <c r="A7922">
        <v>112613</v>
      </c>
      <c r="B7922">
        <v>2200</v>
      </c>
      <c r="C7922" s="455">
        <v>13.419</v>
      </c>
      <c r="D7922" s="637">
        <f t="shared" si="262"/>
        <v>34.716579545454557</v>
      </c>
      <c r="E7922" s="637">
        <f t="shared" si="263"/>
        <v>44.425022727272761</v>
      </c>
    </row>
    <row r="7923" spans="1:5">
      <c r="A7923">
        <v>112613</v>
      </c>
      <c r="B7923">
        <v>2300</v>
      </c>
      <c r="C7923" s="455">
        <v>13.215999999999999</v>
      </c>
      <c r="D7923" s="637">
        <f t="shared" si="262"/>
        <v>34.191393939393947</v>
      </c>
      <c r="E7923" s="637">
        <f t="shared" si="263"/>
        <v>43.752969696969721</v>
      </c>
    </row>
    <row r="7924" spans="1:5">
      <c r="A7924">
        <v>112613</v>
      </c>
      <c r="B7924">
        <v>2400</v>
      </c>
      <c r="C7924" s="455">
        <v>13.601000000000001</v>
      </c>
      <c r="D7924" s="637">
        <f t="shared" si="262"/>
        <v>35.187435606060617</v>
      </c>
      <c r="E7924" s="637">
        <f t="shared" si="263"/>
        <v>45.027553030303061</v>
      </c>
    </row>
    <row r="7925" spans="1:5">
      <c r="A7925">
        <v>112713</v>
      </c>
      <c r="B7925">
        <v>100</v>
      </c>
      <c r="C7925" s="455">
        <v>13.531000000000001</v>
      </c>
      <c r="D7925" s="637">
        <f t="shared" si="262"/>
        <v>35.006337121212134</v>
      </c>
      <c r="E7925" s="637">
        <f t="shared" si="263"/>
        <v>44.795810606060641</v>
      </c>
    </row>
    <row r="7926" spans="1:5">
      <c r="A7926">
        <v>112713</v>
      </c>
      <c r="B7926">
        <v>200</v>
      </c>
      <c r="C7926" s="455">
        <v>13.798999999999999</v>
      </c>
      <c r="D7926" s="637">
        <f t="shared" si="262"/>
        <v>35.699685606060619</v>
      </c>
      <c r="E7926" s="637">
        <f t="shared" si="263"/>
        <v>45.683053030303064</v>
      </c>
    </row>
    <row r="7927" spans="1:5">
      <c r="A7927">
        <v>112713</v>
      </c>
      <c r="B7927">
        <v>300</v>
      </c>
      <c r="C7927" s="455">
        <v>13.675000000000001</v>
      </c>
      <c r="D7927" s="637">
        <f t="shared" si="262"/>
        <v>35.378882575757586</v>
      </c>
      <c r="E7927" s="637">
        <f t="shared" si="263"/>
        <v>45.272537878787915</v>
      </c>
    </row>
    <row r="7928" spans="1:5">
      <c r="A7928">
        <v>112713</v>
      </c>
      <c r="B7928">
        <v>400</v>
      </c>
      <c r="C7928" s="455">
        <v>13.619</v>
      </c>
      <c r="D7928" s="637">
        <f t="shared" si="262"/>
        <v>35.234003787878798</v>
      </c>
      <c r="E7928" s="637">
        <f t="shared" si="263"/>
        <v>45.087143939393975</v>
      </c>
    </row>
    <row r="7929" spans="1:5">
      <c r="A7929">
        <v>112713</v>
      </c>
      <c r="B7929">
        <v>500</v>
      </c>
      <c r="C7929" s="455">
        <v>13.252000000000001</v>
      </c>
      <c r="D7929" s="637">
        <f t="shared" si="262"/>
        <v>34.284530303030316</v>
      </c>
      <c r="E7929" s="637">
        <f t="shared" si="263"/>
        <v>43.87215151515155</v>
      </c>
    </row>
    <row r="7930" spans="1:5">
      <c r="A7930">
        <v>112713</v>
      </c>
      <c r="B7930">
        <v>600</v>
      </c>
      <c r="C7930" s="455">
        <v>14.14</v>
      </c>
      <c r="D7930" s="637">
        <f t="shared" si="262"/>
        <v>36.58189393939395</v>
      </c>
      <c r="E7930" s="637">
        <f t="shared" si="263"/>
        <v>46.811969696969733</v>
      </c>
    </row>
    <row r="7931" spans="1:5">
      <c r="A7931">
        <v>112713</v>
      </c>
      <c r="B7931">
        <v>700</v>
      </c>
      <c r="C7931" s="455">
        <v>13.196</v>
      </c>
      <c r="D7931" s="637">
        <f t="shared" si="262"/>
        <v>34.139651515151527</v>
      </c>
      <c r="E7931" s="637">
        <f t="shared" si="263"/>
        <v>43.686757575757611</v>
      </c>
    </row>
    <row r="7932" spans="1:5">
      <c r="A7932">
        <v>112713</v>
      </c>
      <c r="B7932">
        <v>800</v>
      </c>
      <c r="C7932" s="455">
        <v>16.780999999999999</v>
      </c>
      <c r="D7932" s="637">
        <f t="shared" si="262"/>
        <v>43.414481060606072</v>
      </c>
      <c r="E7932" s="637">
        <f t="shared" si="263"/>
        <v>55.555280303030344</v>
      </c>
    </row>
    <row r="7933" spans="1:5">
      <c r="A7933">
        <v>112713</v>
      </c>
      <c r="B7933">
        <v>900</v>
      </c>
      <c r="C7933" s="455">
        <v>17.815000000000001</v>
      </c>
      <c r="D7933" s="637">
        <f t="shared" si="262"/>
        <v>46.089564393939412</v>
      </c>
      <c r="E7933" s="637">
        <f t="shared" si="263"/>
        <v>58.978446969697018</v>
      </c>
    </row>
    <row r="7934" spans="1:5">
      <c r="A7934">
        <v>112713</v>
      </c>
      <c r="B7934">
        <v>1000</v>
      </c>
      <c r="C7934" s="455">
        <v>3.0230000000000001</v>
      </c>
      <c r="D7934" s="637">
        <f t="shared" si="262"/>
        <v>7.8208674242424268</v>
      </c>
      <c r="E7934" s="637">
        <f t="shared" si="263"/>
        <v>10.007962121212129</v>
      </c>
    </row>
    <row r="7935" spans="1:5">
      <c r="A7935">
        <v>112713</v>
      </c>
      <c r="B7935">
        <v>1100</v>
      </c>
      <c r="C7935" s="455">
        <v>1E-3</v>
      </c>
      <c r="D7935" s="637">
        <f t="shared" si="262"/>
        <v>2.5871212121212129E-3</v>
      </c>
      <c r="E7935" s="637">
        <f t="shared" si="263"/>
        <v>3.3106060606060629E-3</v>
      </c>
    </row>
    <row r="7936" spans="1:5">
      <c r="A7936">
        <v>112713</v>
      </c>
      <c r="B7936">
        <v>1200</v>
      </c>
      <c r="C7936" s="455">
        <v>0.54</v>
      </c>
      <c r="D7936" s="637">
        <f t="shared" si="262"/>
        <v>1.3970454545454551</v>
      </c>
      <c r="E7936" s="637">
        <f t="shared" si="263"/>
        <v>1.7877272727272744</v>
      </c>
    </row>
    <row r="7937" spans="1:5">
      <c r="A7937">
        <v>112713</v>
      </c>
      <c r="B7937">
        <v>1300</v>
      </c>
      <c r="C7937" s="455">
        <v>0</v>
      </c>
      <c r="D7937" s="637">
        <f t="shared" si="262"/>
        <v>0</v>
      </c>
      <c r="E7937" s="637">
        <f t="shared" si="263"/>
        <v>0</v>
      </c>
    </row>
    <row r="7938" spans="1:5">
      <c r="A7938">
        <v>112713</v>
      </c>
      <c r="B7938">
        <v>1400</v>
      </c>
      <c r="C7938" s="455">
        <v>0</v>
      </c>
      <c r="D7938" s="637">
        <f t="shared" si="262"/>
        <v>0</v>
      </c>
      <c r="E7938" s="637">
        <f t="shared" si="263"/>
        <v>0</v>
      </c>
    </row>
    <row r="7939" spans="1:5">
      <c r="A7939">
        <v>112713</v>
      </c>
      <c r="B7939">
        <v>1500</v>
      </c>
      <c r="C7939" s="455">
        <v>0</v>
      </c>
      <c r="D7939" s="637">
        <f t="shared" si="262"/>
        <v>0</v>
      </c>
      <c r="E7939" s="637">
        <f t="shared" si="263"/>
        <v>0</v>
      </c>
    </row>
    <row r="7940" spans="1:5">
      <c r="A7940">
        <v>112713</v>
      </c>
      <c r="B7940">
        <v>1600</v>
      </c>
      <c r="C7940" s="455">
        <v>0</v>
      </c>
      <c r="D7940" s="637">
        <f t="shared" si="262"/>
        <v>0</v>
      </c>
      <c r="E7940" s="637">
        <f t="shared" si="263"/>
        <v>0</v>
      </c>
    </row>
    <row r="7941" spans="1:5">
      <c r="A7941">
        <v>112713</v>
      </c>
      <c r="B7941">
        <v>1700</v>
      </c>
      <c r="C7941" s="455">
        <v>5.6440000000000001</v>
      </c>
      <c r="D7941" s="637">
        <f t="shared" si="262"/>
        <v>14.601712121212126</v>
      </c>
      <c r="E7941" s="637">
        <f t="shared" si="263"/>
        <v>18.68506060606062</v>
      </c>
    </row>
    <row r="7942" spans="1:5">
      <c r="A7942">
        <v>112713</v>
      </c>
      <c r="B7942">
        <v>1800</v>
      </c>
      <c r="C7942" s="455">
        <v>14.337999999999999</v>
      </c>
      <c r="D7942" s="637">
        <f t="shared" ref="D7942:D8005" si="264">(C7942/(MAX($C$7301:$C$8020)))*$W$15</f>
        <v>37.094143939393952</v>
      </c>
      <c r="E7942" s="637">
        <f t="shared" ref="E7942:E8005" si="265">(C7942/(MAX($C$7301:$C$8020)))*$P$15</f>
        <v>47.467469696969729</v>
      </c>
    </row>
    <row r="7943" spans="1:5">
      <c r="A7943">
        <v>112713</v>
      </c>
      <c r="B7943">
        <v>1900</v>
      </c>
      <c r="C7943" s="455">
        <v>13.55</v>
      </c>
      <c r="D7943" s="637">
        <f t="shared" si="264"/>
        <v>35.055492424242438</v>
      </c>
      <c r="E7943" s="637">
        <f t="shared" si="265"/>
        <v>44.858712121212157</v>
      </c>
    </row>
    <row r="7944" spans="1:5">
      <c r="A7944">
        <v>112713</v>
      </c>
      <c r="B7944">
        <v>2000</v>
      </c>
      <c r="C7944" s="455">
        <v>13.898</v>
      </c>
      <c r="D7944" s="637">
        <f t="shared" si="264"/>
        <v>35.955810606060616</v>
      </c>
      <c r="E7944" s="637">
        <f t="shared" si="265"/>
        <v>46.010803030303059</v>
      </c>
    </row>
    <row r="7945" spans="1:5">
      <c r="A7945">
        <v>112713</v>
      </c>
      <c r="B7945">
        <v>2100</v>
      </c>
      <c r="C7945" s="455">
        <v>14.587</v>
      </c>
      <c r="D7945" s="637">
        <f t="shared" si="264"/>
        <v>37.738337121212133</v>
      </c>
      <c r="E7945" s="637">
        <f t="shared" si="265"/>
        <v>48.291810606060636</v>
      </c>
    </row>
    <row r="7946" spans="1:5">
      <c r="A7946">
        <v>112713</v>
      </c>
      <c r="B7946">
        <v>2200</v>
      </c>
      <c r="C7946" s="455">
        <v>14.353</v>
      </c>
      <c r="D7946" s="637">
        <f t="shared" si="264"/>
        <v>37.13295075757577</v>
      </c>
      <c r="E7946" s="637">
        <f t="shared" si="265"/>
        <v>47.517128787878825</v>
      </c>
    </row>
    <row r="7947" spans="1:5">
      <c r="A7947">
        <v>112713</v>
      </c>
      <c r="B7947">
        <v>2300</v>
      </c>
      <c r="C7947" s="455">
        <v>14.323</v>
      </c>
      <c r="D7947" s="637">
        <f t="shared" si="264"/>
        <v>37.055337121212133</v>
      </c>
      <c r="E7947" s="637">
        <f t="shared" si="265"/>
        <v>47.417810606060641</v>
      </c>
    </row>
    <row r="7948" spans="1:5">
      <c r="A7948">
        <v>112713</v>
      </c>
      <c r="B7948">
        <v>2400</v>
      </c>
      <c r="C7948" s="455">
        <v>14.803000000000001</v>
      </c>
      <c r="D7948" s="637">
        <f t="shared" si="264"/>
        <v>38.297155303030316</v>
      </c>
      <c r="E7948" s="637">
        <f t="shared" si="265"/>
        <v>49.006901515151554</v>
      </c>
    </row>
    <row r="7949" spans="1:5">
      <c r="A7949">
        <v>112813</v>
      </c>
      <c r="B7949">
        <v>100</v>
      </c>
      <c r="C7949" s="455">
        <v>14.653</v>
      </c>
      <c r="D7949" s="637">
        <f t="shared" si="264"/>
        <v>37.909087121212131</v>
      </c>
      <c r="E7949" s="637">
        <f t="shared" si="265"/>
        <v>48.510310606060642</v>
      </c>
    </row>
    <row r="7950" spans="1:5">
      <c r="A7950">
        <v>112813</v>
      </c>
      <c r="B7950">
        <v>200</v>
      </c>
      <c r="C7950" s="455">
        <v>14.821</v>
      </c>
      <c r="D7950" s="637">
        <f t="shared" si="264"/>
        <v>38.343723484848496</v>
      </c>
      <c r="E7950" s="637">
        <f t="shared" si="265"/>
        <v>49.066492424242455</v>
      </c>
    </row>
    <row r="7951" spans="1:5">
      <c r="A7951">
        <v>112813</v>
      </c>
      <c r="B7951">
        <v>300</v>
      </c>
      <c r="C7951" s="455">
        <v>15.513</v>
      </c>
      <c r="D7951" s="637">
        <f t="shared" si="264"/>
        <v>40.134011363636375</v>
      </c>
      <c r="E7951" s="637">
        <f t="shared" si="265"/>
        <v>51.357431818181851</v>
      </c>
    </row>
    <row r="7952" spans="1:5">
      <c r="A7952">
        <v>112813</v>
      </c>
      <c r="B7952">
        <v>400</v>
      </c>
      <c r="C7952" s="455">
        <v>14.87</v>
      </c>
      <c r="D7952" s="637">
        <f t="shared" si="264"/>
        <v>38.470492424242437</v>
      </c>
      <c r="E7952" s="637">
        <f t="shared" si="265"/>
        <v>49.228712121212155</v>
      </c>
    </row>
    <row r="7953" spans="1:5">
      <c r="A7953">
        <v>112813</v>
      </c>
      <c r="B7953">
        <v>500</v>
      </c>
      <c r="C7953" s="455">
        <v>15.44</v>
      </c>
      <c r="D7953" s="637">
        <f t="shared" si="264"/>
        <v>39.94515151515153</v>
      </c>
      <c r="E7953" s="637">
        <f t="shared" si="265"/>
        <v>51.115757575757613</v>
      </c>
    </row>
    <row r="7954" spans="1:5">
      <c r="A7954">
        <v>112813</v>
      </c>
      <c r="B7954">
        <v>600</v>
      </c>
      <c r="C7954" s="455">
        <v>15.173</v>
      </c>
      <c r="D7954" s="637">
        <f t="shared" si="264"/>
        <v>39.254390151515167</v>
      </c>
      <c r="E7954" s="637">
        <f t="shared" si="265"/>
        <v>50.231825757575798</v>
      </c>
    </row>
    <row r="7955" spans="1:5">
      <c r="A7955">
        <v>112813</v>
      </c>
      <c r="B7955">
        <v>700</v>
      </c>
      <c r="C7955" s="455">
        <v>15.246</v>
      </c>
      <c r="D7955" s="637">
        <f t="shared" si="264"/>
        <v>39.443250000000013</v>
      </c>
      <c r="E7955" s="637">
        <f t="shared" si="265"/>
        <v>50.473500000000037</v>
      </c>
    </row>
    <row r="7956" spans="1:5">
      <c r="A7956">
        <v>112813</v>
      </c>
      <c r="B7956">
        <v>800</v>
      </c>
      <c r="C7956" s="455">
        <v>19.093</v>
      </c>
      <c r="D7956" s="637">
        <f t="shared" si="264"/>
        <v>49.395905303030318</v>
      </c>
      <c r="E7956" s="637">
        <f t="shared" si="265"/>
        <v>63.209401515151562</v>
      </c>
    </row>
    <row r="7957" spans="1:5">
      <c r="A7957">
        <v>112813</v>
      </c>
      <c r="B7957">
        <v>900</v>
      </c>
      <c r="C7957" s="455">
        <v>5.0439999999999996</v>
      </c>
      <c r="D7957" s="637">
        <f t="shared" si="264"/>
        <v>13.049439393939398</v>
      </c>
      <c r="E7957" s="637">
        <f t="shared" si="265"/>
        <v>16.698696969696982</v>
      </c>
    </row>
    <row r="7958" spans="1:5">
      <c r="A7958">
        <v>112813</v>
      </c>
      <c r="B7958">
        <v>1000</v>
      </c>
      <c r="C7958" s="455">
        <v>0</v>
      </c>
      <c r="D7958" s="637">
        <f t="shared" si="264"/>
        <v>0</v>
      </c>
      <c r="E7958" s="637">
        <f t="shared" si="265"/>
        <v>0</v>
      </c>
    </row>
    <row r="7959" spans="1:5">
      <c r="A7959">
        <v>112813</v>
      </c>
      <c r="B7959">
        <v>1100</v>
      </c>
      <c r="C7959" s="455">
        <v>0</v>
      </c>
      <c r="D7959" s="637">
        <f t="shared" si="264"/>
        <v>0</v>
      </c>
      <c r="E7959" s="637">
        <f t="shared" si="265"/>
        <v>0</v>
      </c>
    </row>
    <row r="7960" spans="1:5">
      <c r="A7960">
        <v>112813</v>
      </c>
      <c r="B7960">
        <v>1200</v>
      </c>
      <c r="C7960" s="455">
        <v>0</v>
      </c>
      <c r="D7960" s="637">
        <f t="shared" si="264"/>
        <v>0</v>
      </c>
      <c r="E7960" s="637">
        <f t="shared" si="265"/>
        <v>0</v>
      </c>
    </row>
    <row r="7961" spans="1:5">
      <c r="A7961">
        <v>112813</v>
      </c>
      <c r="B7961">
        <v>1300</v>
      </c>
      <c r="C7961" s="455">
        <v>0</v>
      </c>
      <c r="D7961" s="637">
        <f t="shared" si="264"/>
        <v>0</v>
      </c>
      <c r="E7961" s="637">
        <f t="shared" si="265"/>
        <v>0</v>
      </c>
    </row>
    <row r="7962" spans="1:5">
      <c r="A7962">
        <v>112813</v>
      </c>
      <c r="B7962">
        <v>1400</v>
      </c>
      <c r="C7962" s="455">
        <v>0</v>
      </c>
      <c r="D7962" s="637">
        <f t="shared" si="264"/>
        <v>0</v>
      </c>
      <c r="E7962" s="637">
        <f t="shared" si="265"/>
        <v>0</v>
      </c>
    </row>
    <row r="7963" spans="1:5">
      <c r="A7963">
        <v>112813</v>
      </c>
      <c r="B7963">
        <v>1500</v>
      </c>
      <c r="C7963" s="455">
        <v>0</v>
      </c>
      <c r="D7963" s="637">
        <f t="shared" si="264"/>
        <v>0</v>
      </c>
      <c r="E7963" s="637">
        <f t="shared" si="265"/>
        <v>0</v>
      </c>
    </row>
    <row r="7964" spans="1:5">
      <c r="A7964">
        <v>112813</v>
      </c>
      <c r="B7964">
        <v>1600</v>
      </c>
      <c r="C7964" s="455">
        <v>0</v>
      </c>
      <c r="D7964" s="637">
        <f t="shared" si="264"/>
        <v>0</v>
      </c>
      <c r="E7964" s="637">
        <f t="shared" si="265"/>
        <v>0</v>
      </c>
    </row>
    <row r="7965" spans="1:5">
      <c r="A7965">
        <v>112813</v>
      </c>
      <c r="B7965">
        <v>1700</v>
      </c>
      <c r="C7965" s="455">
        <v>10.731999999999999</v>
      </c>
      <c r="D7965" s="637">
        <f t="shared" si="264"/>
        <v>27.764984848484858</v>
      </c>
      <c r="E7965" s="637">
        <f t="shared" si="265"/>
        <v>35.52942424242427</v>
      </c>
    </row>
    <row r="7966" spans="1:5">
      <c r="A7966">
        <v>112813</v>
      </c>
      <c r="B7966">
        <v>1800</v>
      </c>
      <c r="C7966" s="455">
        <v>13.718</v>
      </c>
      <c r="D7966" s="637">
        <f t="shared" si="264"/>
        <v>35.490128787878803</v>
      </c>
      <c r="E7966" s="637">
        <f t="shared" si="265"/>
        <v>45.414893939393977</v>
      </c>
    </row>
    <row r="7967" spans="1:5">
      <c r="A7967">
        <v>112813</v>
      </c>
      <c r="B7967">
        <v>1900</v>
      </c>
      <c r="C7967" s="455">
        <v>13.975</v>
      </c>
      <c r="D7967" s="637">
        <f t="shared" si="264"/>
        <v>36.155018939393948</v>
      </c>
      <c r="E7967" s="637">
        <f t="shared" si="265"/>
        <v>46.265719696969725</v>
      </c>
    </row>
    <row r="7968" spans="1:5">
      <c r="A7968">
        <v>112813</v>
      </c>
      <c r="B7968">
        <v>2000</v>
      </c>
      <c r="C7968" s="455">
        <v>13.875999999999999</v>
      </c>
      <c r="D7968" s="637">
        <f t="shared" si="264"/>
        <v>35.89889393939395</v>
      </c>
      <c r="E7968" s="637">
        <f t="shared" si="265"/>
        <v>45.937969696969731</v>
      </c>
    </row>
    <row r="7969" spans="1:5">
      <c r="A7969">
        <v>112813</v>
      </c>
      <c r="B7969">
        <v>2100</v>
      </c>
      <c r="C7969" s="455">
        <v>14.37</v>
      </c>
      <c r="D7969" s="637">
        <f t="shared" si="264"/>
        <v>37.176931818181828</v>
      </c>
      <c r="E7969" s="637">
        <f t="shared" si="265"/>
        <v>47.573409090909124</v>
      </c>
    </row>
    <row r="7970" spans="1:5">
      <c r="A7970">
        <v>112813</v>
      </c>
      <c r="B7970">
        <v>2200</v>
      </c>
      <c r="C7970" s="455">
        <v>14.263999999999999</v>
      </c>
      <c r="D7970" s="637">
        <f t="shared" si="264"/>
        <v>36.902696969696983</v>
      </c>
      <c r="E7970" s="637">
        <f t="shared" si="265"/>
        <v>47.222484848484882</v>
      </c>
    </row>
    <row r="7971" spans="1:5">
      <c r="A7971">
        <v>112813</v>
      </c>
      <c r="B7971">
        <v>2300</v>
      </c>
      <c r="C7971" s="455">
        <v>14.134</v>
      </c>
      <c r="D7971" s="637">
        <f t="shared" si="264"/>
        <v>36.566371212121226</v>
      </c>
      <c r="E7971" s="637">
        <f t="shared" si="265"/>
        <v>46.792106060606095</v>
      </c>
    </row>
    <row r="7972" spans="1:5">
      <c r="A7972">
        <v>112813</v>
      </c>
      <c r="B7972">
        <v>2400</v>
      </c>
      <c r="C7972" s="455">
        <v>14.215</v>
      </c>
      <c r="D7972" s="637">
        <f t="shared" si="264"/>
        <v>36.775928030303042</v>
      </c>
      <c r="E7972" s="637">
        <f t="shared" si="265"/>
        <v>47.060265151515189</v>
      </c>
    </row>
    <row r="7973" spans="1:5">
      <c r="A7973">
        <v>112913</v>
      </c>
      <c r="B7973">
        <v>100</v>
      </c>
      <c r="C7973" s="455">
        <v>14.522</v>
      </c>
      <c r="D7973" s="637">
        <f t="shared" si="264"/>
        <v>37.570174242424258</v>
      </c>
      <c r="E7973" s="637">
        <f t="shared" si="265"/>
        <v>48.076621212121253</v>
      </c>
    </row>
    <row r="7974" spans="1:5">
      <c r="A7974">
        <v>112913</v>
      </c>
      <c r="B7974">
        <v>200</v>
      </c>
      <c r="C7974" s="455">
        <v>15.257999999999999</v>
      </c>
      <c r="D7974" s="637">
        <f t="shared" si="264"/>
        <v>39.474295454545462</v>
      </c>
      <c r="E7974" s="637">
        <f t="shared" si="265"/>
        <v>50.513227272727306</v>
      </c>
    </row>
    <row r="7975" spans="1:5">
      <c r="A7975">
        <v>112913</v>
      </c>
      <c r="B7975">
        <v>300</v>
      </c>
      <c r="C7975" s="455">
        <v>15.193</v>
      </c>
      <c r="D7975" s="637">
        <f t="shared" si="264"/>
        <v>39.306132575757587</v>
      </c>
      <c r="E7975" s="637">
        <f t="shared" si="265"/>
        <v>50.298037878787916</v>
      </c>
    </row>
    <row r="7976" spans="1:5">
      <c r="A7976">
        <v>112913</v>
      </c>
      <c r="B7976">
        <v>400</v>
      </c>
      <c r="C7976" s="455">
        <v>15.667</v>
      </c>
      <c r="D7976" s="637">
        <f t="shared" si="264"/>
        <v>40.532428030303038</v>
      </c>
      <c r="E7976" s="637">
        <f t="shared" si="265"/>
        <v>51.867265151515184</v>
      </c>
    </row>
    <row r="7977" spans="1:5">
      <c r="A7977">
        <v>112913</v>
      </c>
      <c r="B7977">
        <v>500</v>
      </c>
      <c r="C7977" s="455">
        <v>16.366</v>
      </c>
      <c r="D7977" s="637">
        <f t="shared" si="264"/>
        <v>42.340825757575772</v>
      </c>
      <c r="E7977" s="637">
        <f t="shared" si="265"/>
        <v>54.181378787878828</v>
      </c>
    </row>
    <row r="7978" spans="1:5">
      <c r="A7978">
        <v>112913</v>
      </c>
      <c r="B7978">
        <v>600</v>
      </c>
      <c r="C7978" s="455">
        <v>15.923</v>
      </c>
      <c r="D7978" s="637">
        <f t="shared" si="264"/>
        <v>41.194731060606074</v>
      </c>
      <c r="E7978" s="637">
        <f t="shared" si="265"/>
        <v>52.714780303030338</v>
      </c>
    </row>
    <row r="7979" spans="1:5">
      <c r="A7979">
        <v>112913</v>
      </c>
      <c r="B7979">
        <v>700</v>
      </c>
      <c r="C7979" s="455">
        <v>15.741</v>
      </c>
      <c r="D7979" s="637">
        <f t="shared" si="264"/>
        <v>40.723875000000007</v>
      </c>
      <c r="E7979" s="637">
        <f t="shared" si="265"/>
        <v>52.112250000000031</v>
      </c>
    </row>
    <row r="7980" spans="1:5">
      <c r="A7980">
        <v>112913</v>
      </c>
      <c r="B7980">
        <v>800</v>
      </c>
      <c r="C7980" s="455">
        <v>17.507999999999999</v>
      </c>
      <c r="D7980" s="637">
        <f t="shared" si="264"/>
        <v>45.295318181818196</v>
      </c>
      <c r="E7980" s="637">
        <f t="shared" si="265"/>
        <v>57.962090909090954</v>
      </c>
    </row>
    <row r="7981" spans="1:5">
      <c r="A7981">
        <v>112913</v>
      </c>
      <c r="B7981">
        <v>900</v>
      </c>
      <c r="C7981" s="455">
        <v>1.8080000000000001</v>
      </c>
      <c r="D7981" s="637">
        <f t="shared" si="264"/>
        <v>4.677515151515153</v>
      </c>
      <c r="E7981" s="637">
        <f t="shared" si="265"/>
        <v>5.985575757575762</v>
      </c>
    </row>
    <row r="7982" spans="1:5">
      <c r="A7982">
        <v>112913</v>
      </c>
      <c r="B7982">
        <v>1000</v>
      </c>
      <c r="C7982" s="455">
        <v>0</v>
      </c>
      <c r="D7982" s="637">
        <f t="shared" si="264"/>
        <v>0</v>
      </c>
      <c r="E7982" s="637">
        <f t="shared" si="265"/>
        <v>0</v>
      </c>
    </row>
    <row r="7983" spans="1:5">
      <c r="A7983">
        <v>112913</v>
      </c>
      <c r="B7983">
        <v>1100</v>
      </c>
      <c r="C7983" s="455">
        <v>0</v>
      </c>
      <c r="D7983" s="637">
        <f t="shared" si="264"/>
        <v>0</v>
      </c>
      <c r="E7983" s="637">
        <f t="shared" si="265"/>
        <v>0</v>
      </c>
    </row>
    <row r="7984" spans="1:5">
      <c r="A7984">
        <v>112913</v>
      </c>
      <c r="B7984">
        <v>1200</v>
      </c>
      <c r="C7984" s="455">
        <v>0</v>
      </c>
      <c r="D7984" s="637">
        <f t="shared" si="264"/>
        <v>0</v>
      </c>
      <c r="E7984" s="637">
        <f t="shared" si="265"/>
        <v>0</v>
      </c>
    </row>
    <row r="7985" spans="1:5">
      <c r="A7985">
        <v>112913</v>
      </c>
      <c r="B7985">
        <v>1300</v>
      </c>
      <c r="C7985" s="455">
        <v>1.4999999999999999E-2</v>
      </c>
      <c r="D7985" s="637">
        <f t="shared" si="264"/>
        <v>3.8806818181818192E-2</v>
      </c>
      <c r="E7985" s="637">
        <f t="shared" si="265"/>
        <v>4.9659090909090937E-2</v>
      </c>
    </row>
    <row r="7986" spans="1:5">
      <c r="A7986">
        <v>112913</v>
      </c>
      <c r="B7986">
        <v>1400</v>
      </c>
      <c r="C7986" s="455">
        <v>0</v>
      </c>
      <c r="D7986" s="637">
        <f t="shared" si="264"/>
        <v>0</v>
      </c>
      <c r="E7986" s="637">
        <f t="shared" si="265"/>
        <v>0</v>
      </c>
    </row>
    <row r="7987" spans="1:5">
      <c r="A7987">
        <v>112913</v>
      </c>
      <c r="B7987">
        <v>1500</v>
      </c>
      <c r="C7987" s="455">
        <v>0</v>
      </c>
      <c r="D7987" s="637">
        <f t="shared" si="264"/>
        <v>0</v>
      </c>
      <c r="E7987" s="637">
        <f t="shared" si="265"/>
        <v>0</v>
      </c>
    </row>
    <row r="7988" spans="1:5">
      <c r="A7988">
        <v>112913</v>
      </c>
      <c r="B7988">
        <v>1600</v>
      </c>
      <c r="C7988" s="455">
        <v>0</v>
      </c>
      <c r="D7988" s="637">
        <f t="shared" si="264"/>
        <v>0</v>
      </c>
      <c r="E7988" s="637">
        <f t="shared" si="265"/>
        <v>0</v>
      </c>
    </row>
    <row r="7989" spans="1:5">
      <c r="A7989">
        <v>112913</v>
      </c>
      <c r="B7989">
        <v>1700</v>
      </c>
      <c r="C7989" s="455">
        <v>6.4619999999999997</v>
      </c>
      <c r="D7989" s="637">
        <f t="shared" si="264"/>
        <v>16.717977272727278</v>
      </c>
      <c r="E7989" s="637">
        <f t="shared" si="265"/>
        <v>21.39313636363638</v>
      </c>
    </row>
    <row r="7990" spans="1:5">
      <c r="A7990">
        <v>112913</v>
      </c>
      <c r="B7990">
        <v>1800</v>
      </c>
      <c r="C7990" s="455">
        <v>14.94</v>
      </c>
      <c r="D7990" s="637">
        <f t="shared" si="264"/>
        <v>38.65159090909092</v>
      </c>
      <c r="E7990" s="637">
        <f t="shared" si="265"/>
        <v>49.460454545454581</v>
      </c>
    </row>
    <row r="7991" spans="1:5">
      <c r="A7991">
        <v>112913</v>
      </c>
      <c r="B7991">
        <v>1900</v>
      </c>
      <c r="C7991" s="455">
        <v>13.504</v>
      </c>
      <c r="D7991" s="637">
        <f t="shared" si="264"/>
        <v>34.936484848484859</v>
      </c>
      <c r="E7991" s="637">
        <f t="shared" si="265"/>
        <v>44.706424242424276</v>
      </c>
    </row>
    <row r="7992" spans="1:5">
      <c r="A7992">
        <v>112913</v>
      </c>
      <c r="B7992">
        <v>2000</v>
      </c>
      <c r="C7992" s="455">
        <v>13.561</v>
      </c>
      <c r="D7992" s="637">
        <f t="shared" si="264"/>
        <v>35.083950757575764</v>
      </c>
      <c r="E7992" s="637">
        <f t="shared" si="265"/>
        <v>44.895128787878818</v>
      </c>
    </row>
    <row r="7993" spans="1:5">
      <c r="A7993">
        <v>112913</v>
      </c>
      <c r="B7993">
        <v>2100</v>
      </c>
      <c r="C7993" s="455">
        <v>13.696999999999999</v>
      </c>
      <c r="D7993" s="637">
        <f t="shared" si="264"/>
        <v>35.435799242424252</v>
      </c>
      <c r="E7993" s="637">
        <f t="shared" si="265"/>
        <v>45.345371212121243</v>
      </c>
    </row>
    <row r="7994" spans="1:5">
      <c r="A7994">
        <v>112913</v>
      </c>
      <c r="B7994">
        <v>2200</v>
      </c>
      <c r="C7994" s="455">
        <v>13.813000000000001</v>
      </c>
      <c r="D7994" s="637">
        <f t="shared" si="264"/>
        <v>35.735905303030314</v>
      </c>
      <c r="E7994" s="637">
        <f t="shared" si="265"/>
        <v>45.729401515151551</v>
      </c>
    </row>
    <row r="7995" spans="1:5">
      <c r="A7995">
        <v>112913</v>
      </c>
      <c r="B7995">
        <v>2300</v>
      </c>
      <c r="C7995" s="455">
        <v>13.827999999999999</v>
      </c>
      <c r="D7995" s="637">
        <f t="shared" si="264"/>
        <v>35.774712121212126</v>
      </c>
      <c r="E7995" s="637">
        <f t="shared" si="265"/>
        <v>45.779060606060632</v>
      </c>
    </row>
    <row r="7996" spans="1:5">
      <c r="A7996">
        <v>112913</v>
      </c>
      <c r="B7996">
        <v>2400</v>
      </c>
      <c r="C7996" s="455">
        <v>14.092000000000001</v>
      </c>
      <c r="D7996" s="637">
        <f t="shared" si="264"/>
        <v>36.457712121212133</v>
      </c>
      <c r="E7996" s="637">
        <f t="shared" si="265"/>
        <v>46.653060606060642</v>
      </c>
    </row>
    <row r="7997" spans="1:5">
      <c r="A7997">
        <v>113013</v>
      </c>
      <c r="B7997">
        <v>100</v>
      </c>
      <c r="C7997" s="455">
        <v>14.063000000000001</v>
      </c>
      <c r="D7997" s="637">
        <f t="shared" si="264"/>
        <v>36.382685606060619</v>
      </c>
      <c r="E7997" s="637">
        <f t="shared" si="265"/>
        <v>46.557053030303067</v>
      </c>
    </row>
    <row r="7998" spans="1:5">
      <c r="A7998">
        <v>113013</v>
      </c>
      <c r="B7998">
        <v>200</v>
      </c>
      <c r="C7998" s="455">
        <v>14.46</v>
      </c>
      <c r="D7998" s="637">
        <f t="shared" si="264"/>
        <v>37.409772727272745</v>
      </c>
      <c r="E7998" s="637">
        <f t="shared" si="265"/>
        <v>47.871363636363675</v>
      </c>
    </row>
    <row r="7999" spans="1:5">
      <c r="A7999">
        <v>113013</v>
      </c>
      <c r="B7999">
        <v>300</v>
      </c>
      <c r="C7999" s="455">
        <v>15.071999999999999</v>
      </c>
      <c r="D7999" s="637">
        <f t="shared" si="264"/>
        <v>38.993090909090917</v>
      </c>
      <c r="E7999" s="637">
        <f t="shared" si="265"/>
        <v>49.897454545454579</v>
      </c>
    </row>
    <row r="8000" spans="1:5">
      <c r="A8000">
        <v>113013</v>
      </c>
      <c r="B8000">
        <v>400</v>
      </c>
      <c r="C8000" s="455">
        <v>14.464</v>
      </c>
      <c r="D8000" s="637">
        <f t="shared" si="264"/>
        <v>37.420121212121224</v>
      </c>
      <c r="E8000" s="637">
        <f t="shared" si="265"/>
        <v>47.884606060606096</v>
      </c>
    </row>
    <row r="8001" spans="1:5">
      <c r="A8001">
        <v>113013</v>
      </c>
      <c r="B8001">
        <v>500</v>
      </c>
      <c r="C8001" s="455">
        <v>14.617000000000001</v>
      </c>
      <c r="D8001" s="637">
        <f t="shared" si="264"/>
        <v>37.81595075757577</v>
      </c>
      <c r="E8001" s="637">
        <f t="shared" si="265"/>
        <v>48.391128787878827</v>
      </c>
    </row>
    <row r="8002" spans="1:5">
      <c r="A8002">
        <v>113013</v>
      </c>
      <c r="B8002">
        <v>600</v>
      </c>
      <c r="C8002" s="455">
        <v>14.848000000000001</v>
      </c>
      <c r="D8002" s="637">
        <f t="shared" si="264"/>
        <v>38.413575757575771</v>
      </c>
      <c r="E8002" s="637">
        <f t="shared" si="265"/>
        <v>49.155878787878827</v>
      </c>
    </row>
    <row r="8003" spans="1:5">
      <c r="A8003">
        <v>113013</v>
      </c>
      <c r="B8003">
        <v>700</v>
      </c>
      <c r="C8003" s="455">
        <v>14.444000000000001</v>
      </c>
      <c r="D8003" s="637">
        <f t="shared" si="264"/>
        <v>37.368378787878797</v>
      </c>
      <c r="E8003" s="637">
        <f t="shared" si="265"/>
        <v>47.818393939393978</v>
      </c>
    </row>
    <row r="8004" spans="1:5">
      <c r="A8004">
        <v>113013</v>
      </c>
      <c r="B8004">
        <v>800</v>
      </c>
      <c r="C8004" s="455">
        <v>12.864000000000001</v>
      </c>
      <c r="D8004" s="637">
        <f t="shared" si="264"/>
        <v>33.280727272727283</v>
      </c>
      <c r="E8004" s="637">
        <f t="shared" si="265"/>
        <v>42.587636363636399</v>
      </c>
    </row>
    <row r="8005" spans="1:5">
      <c r="A8005">
        <v>113013</v>
      </c>
      <c r="B8005">
        <v>900</v>
      </c>
      <c r="C8005" s="455">
        <v>0</v>
      </c>
      <c r="D8005" s="637">
        <f t="shared" si="264"/>
        <v>0</v>
      </c>
      <c r="E8005" s="637">
        <f t="shared" si="265"/>
        <v>0</v>
      </c>
    </row>
    <row r="8006" spans="1:5">
      <c r="A8006">
        <v>113013</v>
      </c>
      <c r="B8006">
        <v>1000</v>
      </c>
      <c r="C8006" s="455">
        <v>0.108</v>
      </c>
      <c r="D8006" s="637">
        <f t="shared" ref="D8006:D8020" si="266">(C8006/(MAX($C$7301:$C$8020)))*$W$15</f>
        <v>0.279409090909091</v>
      </c>
      <c r="E8006" s="637">
        <f t="shared" ref="E8006:E8020" si="267">(C8006/(MAX($C$7301:$C$8020)))*$P$15</f>
        <v>0.35754545454545478</v>
      </c>
    </row>
    <row r="8007" spans="1:5">
      <c r="A8007">
        <v>113013</v>
      </c>
      <c r="B8007">
        <v>1100</v>
      </c>
      <c r="C8007" s="455">
        <v>0</v>
      </c>
      <c r="D8007" s="637">
        <f t="shared" si="266"/>
        <v>0</v>
      </c>
      <c r="E8007" s="637">
        <f t="shared" si="267"/>
        <v>0</v>
      </c>
    </row>
    <row r="8008" spans="1:5">
      <c r="A8008">
        <v>113013</v>
      </c>
      <c r="B8008">
        <v>1200</v>
      </c>
      <c r="C8008" s="455">
        <v>0</v>
      </c>
      <c r="D8008" s="637">
        <f t="shared" si="266"/>
        <v>0</v>
      </c>
      <c r="E8008" s="637">
        <f t="shared" si="267"/>
        <v>0</v>
      </c>
    </row>
    <row r="8009" spans="1:5">
      <c r="A8009">
        <v>113013</v>
      </c>
      <c r="B8009">
        <v>1300</v>
      </c>
      <c r="C8009" s="455">
        <v>0</v>
      </c>
      <c r="D8009" s="637">
        <f t="shared" si="266"/>
        <v>0</v>
      </c>
      <c r="E8009" s="637">
        <f t="shared" si="267"/>
        <v>0</v>
      </c>
    </row>
    <row r="8010" spans="1:5">
      <c r="A8010">
        <v>113013</v>
      </c>
      <c r="B8010">
        <v>1400</v>
      </c>
      <c r="C8010" s="455">
        <v>0</v>
      </c>
      <c r="D8010" s="637">
        <f t="shared" si="266"/>
        <v>0</v>
      </c>
      <c r="E8010" s="637">
        <f t="shared" si="267"/>
        <v>0</v>
      </c>
    </row>
    <row r="8011" spans="1:5">
      <c r="A8011">
        <v>113013</v>
      </c>
      <c r="B8011">
        <v>1500</v>
      </c>
      <c r="C8011" s="455">
        <v>1E-3</v>
      </c>
      <c r="D8011" s="637">
        <f t="shared" si="266"/>
        <v>2.5871212121212129E-3</v>
      </c>
      <c r="E8011" s="637">
        <f t="shared" si="267"/>
        <v>3.3106060606060629E-3</v>
      </c>
    </row>
    <row r="8012" spans="1:5">
      <c r="A8012">
        <v>113013</v>
      </c>
      <c r="B8012">
        <v>1600</v>
      </c>
      <c r="C8012" s="455">
        <v>0</v>
      </c>
      <c r="D8012" s="637">
        <f t="shared" si="266"/>
        <v>0</v>
      </c>
      <c r="E8012" s="637">
        <f t="shared" si="267"/>
        <v>0</v>
      </c>
    </row>
    <row r="8013" spans="1:5">
      <c r="A8013">
        <v>113013</v>
      </c>
      <c r="B8013">
        <v>1700</v>
      </c>
      <c r="C8013" s="455">
        <v>7.4859999999999998</v>
      </c>
      <c r="D8013" s="637">
        <f t="shared" si="266"/>
        <v>19.367189393939398</v>
      </c>
      <c r="E8013" s="637">
        <f t="shared" si="267"/>
        <v>24.783196969696988</v>
      </c>
    </row>
    <row r="8014" spans="1:5">
      <c r="A8014">
        <v>113013</v>
      </c>
      <c r="B8014">
        <v>1800</v>
      </c>
      <c r="C8014" s="455">
        <v>13.718</v>
      </c>
      <c r="D8014" s="637">
        <f t="shared" si="266"/>
        <v>35.490128787878803</v>
      </c>
      <c r="E8014" s="637">
        <f t="shared" si="267"/>
        <v>45.414893939393977</v>
      </c>
    </row>
    <row r="8015" spans="1:5">
      <c r="A8015">
        <v>113013</v>
      </c>
      <c r="B8015">
        <v>1900</v>
      </c>
      <c r="C8015" s="455">
        <v>13.23</v>
      </c>
      <c r="D8015" s="637">
        <f t="shared" si="266"/>
        <v>34.22761363636365</v>
      </c>
      <c r="E8015" s="637">
        <f t="shared" si="267"/>
        <v>43.799318181818215</v>
      </c>
    </row>
    <row r="8016" spans="1:5">
      <c r="A8016">
        <v>113013</v>
      </c>
      <c r="B8016">
        <v>2000</v>
      </c>
      <c r="C8016" s="455">
        <v>13.504</v>
      </c>
      <c r="D8016" s="637">
        <f t="shared" si="266"/>
        <v>34.936484848484859</v>
      </c>
      <c r="E8016" s="637">
        <f t="shared" si="267"/>
        <v>44.706424242424276</v>
      </c>
    </row>
    <row r="8017" spans="1:5">
      <c r="A8017">
        <v>113013</v>
      </c>
      <c r="B8017">
        <v>2100</v>
      </c>
      <c r="C8017" s="455">
        <v>13.53</v>
      </c>
      <c r="D8017" s="637">
        <f t="shared" si="266"/>
        <v>35.003750000000011</v>
      </c>
      <c r="E8017" s="637">
        <f t="shared" si="267"/>
        <v>44.792500000000032</v>
      </c>
    </row>
    <row r="8018" spans="1:5">
      <c r="A8018">
        <v>113013</v>
      </c>
      <c r="B8018">
        <v>2200</v>
      </c>
      <c r="C8018" s="455">
        <v>13.56</v>
      </c>
      <c r="D8018" s="637">
        <f t="shared" si="266"/>
        <v>35.081363636363648</v>
      </c>
      <c r="E8018" s="637">
        <f t="shared" si="267"/>
        <v>44.891818181818216</v>
      </c>
    </row>
    <row r="8019" spans="1:5">
      <c r="A8019">
        <v>113013</v>
      </c>
      <c r="B8019">
        <v>2300</v>
      </c>
      <c r="C8019" s="455">
        <v>13.57</v>
      </c>
      <c r="D8019" s="637">
        <f t="shared" si="266"/>
        <v>35.107234848484865</v>
      </c>
      <c r="E8019" s="637">
        <f t="shared" si="267"/>
        <v>44.924924242424282</v>
      </c>
    </row>
    <row r="8020" spans="1:5">
      <c r="A8020" s="647">
        <v>113013</v>
      </c>
      <c r="B8020" s="647">
        <v>2400</v>
      </c>
      <c r="C8020" s="648">
        <v>13.19</v>
      </c>
      <c r="D8020" s="637">
        <f t="shared" si="266"/>
        <v>34.124128787878796</v>
      </c>
      <c r="E8020" s="645">
        <f t="shared" si="267"/>
        <v>43.666893939393972</v>
      </c>
    </row>
    <row r="8021" spans="1:5">
      <c r="A8021">
        <v>120113</v>
      </c>
      <c r="B8021">
        <v>100</v>
      </c>
      <c r="C8021" s="455">
        <v>13.336</v>
      </c>
      <c r="D8021" s="637">
        <f>(C8021/(MAX($C$8021:$C$8764)))*$W$16</f>
        <v>34.789565217391321</v>
      </c>
      <c r="E8021" s="637">
        <f>(C8021/(MAX($C$8021:$C$8764)))*$P$16</f>
        <v>42.907130434782644</v>
      </c>
    </row>
    <row r="8022" spans="1:5">
      <c r="A8022">
        <v>120113</v>
      </c>
      <c r="B8022">
        <v>200</v>
      </c>
      <c r="C8022" s="455">
        <v>13.707000000000001</v>
      </c>
      <c r="D8022" s="637">
        <f t="shared" ref="D8022:D8085" si="268">(C8022/(MAX($C$8021:$C$8764)))*$W$16</f>
        <v>35.757391304347841</v>
      </c>
      <c r="E8022" s="637">
        <f t="shared" ref="E8022:E8085" si="269">(C8022/(MAX($C$8021:$C$8764)))*$P$16</f>
        <v>44.100782608695688</v>
      </c>
    </row>
    <row r="8023" spans="1:5">
      <c r="A8023">
        <v>120113</v>
      </c>
      <c r="B8023">
        <v>300</v>
      </c>
      <c r="C8023" s="455">
        <v>13.443</v>
      </c>
      <c r="D8023" s="637">
        <f t="shared" si="268"/>
        <v>35.068695652173922</v>
      </c>
      <c r="E8023" s="637">
        <f t="shared" si="269"/>
        <v>43.251391304347855</v>
      </c>
    </row>
    <row r="8024" spans="1:5">
      <c r="A8024">
        <v>120113</v>
      </c>
      <c r="B8024">
        <v>400</v>
      </c>
      <c r="C8024" s="455">
        <v>13.444000000000001</v>
      </c>
      <c r="D8024" s="637">
        <f t="shared" si="268"/>
        <v>35.0713043478261</v>
      </c>
      <c r="E8024" s="637">
        <f t="shared" si="269"/>
        <v>43.254608695652209</v>
      </c>
    </row>
    <row r="8025" spans="1:5">
      <c r="A8025">
        <v>120113</v>
      </c>
      <c r="B8025">
        <v>500</v>
      </c>
      <c r="C8025" s="455">
        <v>13.602</v>
      </c>
      <c r="D8025" s="637">
        <f t="shared" si="268"/>
        <v>35.483478260869582</v>
      </c>
      <c r="E8025" s="637">
        <f t="shared" si="269"/>
        <v>43.76295652173917</v>
      </c>
    </row>
    <row r="8026" spans="1:5">
      <c r="A8026">
        <v>120113</v>
      </c>
      <c r="B8026">
        <v>600</v>
      </c>
      <c r="C8026" s="455">
        <v>13.46</v>
      </c>
      <c r="D8026" s="637">
        <f t="shared" si="268"/>
        <v>35.113043478260884</v>
      </c>
      <c r="E8026" s="637">
        <f t="shared" si="269"/>
        <v>43.306086956521767</v>
      </c>
    </row>
    <row r="8027" spans="1:5">
      <c r="A8027">
        <v>120113</v>
      </c>
      <c r="B8027">
        <v>700</v>
      </c>
      <c r="C8027" s="455">
        <v>13.87</v>
      </c>
      <c r="D8027" s="637">
        <f t="shared" si="268"/>
        <v>36.182608695652185</v>
      </c>
      <c r="E8027" s="637">
        <f t="shared" si="269"/>
        <v>44.625217391304375</v>
      </c>
    </row>
    <row r="8028" spans="1:5">
      <c r="A8028">
        <v>120113</v>
      </c>
      <c r="B8028">
        <v>800</v>
      </c>
      <c r="C8028" s="455">
        <v>15.776</v>
      </c>
      <c r="D8028" s="637">
        <f t="shared" si="268"/>
        <v>41.154782608695669</v>
      </c>
      <c r="E8028" s="637">
        <f t="shared" si="269"/>
        <v>50.757565217391338</v>
      </c>
    </row>
    <row r="8029" spans="1:5">
      <c r="A8029">
        <v>120113</v>
      </c>
      <c r="B8029">
        <v>900</v>
      </c>
      <c r="C8029" s="455">
        <v>3.9649999999999999</v>
      </c>
      <c r="D8029" s="637">
        <f t="shared" si="268"/>
        <v>10.343478260869569</v>
      </c>
      <c r="E8029" s="637">
        <f t="shared" si="269"/>
        <v>12.75695652173914</v>
      </c>
    </row>
    <row r="8030" spans="1:5">
      <c r="A8030">
        <v>120113</v>
      </c>
      <c r="B8030">
        <v>1000</v>
      </c>
      <c r="C8030" s="455">
        <v>1.621</v>
      </c>
      <c r="D8030" s="637">
        <f t="shared" si="268"/>
        <v>4.2286956521739141</v>
      </c>
      <c r="E8030" s="637">
        <f t="shared" si="269"/>
        <v>5.2153913043478299</v>
      </c>
    </row>
    <row r="8031" spans="1:5">
      <c r="A8031">
        <v>120113</v>
      </c>
      <c r="B8031">
        <v>1100</v>
      </c>
      <c r="C8031" s="455">
        <v>0</v>
      </c>
      <c r="D8031" s="637">
        <f t="shared" si="268"/>
        <v>0</v>
      </c>
      <c r="E8031" s="637">
        <f t="shared" si="269"/>
        <v>0</v>
      </c>
    </row>
    <row r="8032" spans="1:5">
      <c r="A8032">
        <v>120113</v>
      </c>
      <c r="B8032">
        <v>1200</v>
      </c>
      <c r="C8032" s="455">
        <v>0</v>
      </c>
      <c r="D8032" s="637">
        <f t="shared" si="268"/>
        <v>0</v>
      </c>
      <c r="E8032" s="637">
        <f t="shared" si="269"/>
        <v>0</v>
      </c>
    </row>
    <row r="8033" spans="1:5">
      <c r="A8033">
        <v>120113</v>
      </c>
      <c r="B8033">
        <v>1300</v>
      </c>
      <c r="C8033" s="455">
        <v>0</v>
      </c>
      <c r="D8033" s="637">
        <f t="shared" si="268"/>
        <v>0</v>
      </c>
      <c r="E8033" s="637">
        <f t="shared" si="269"/>
        <v>0</v>
      </c>
    </row>
    <row r="8034" spans="1:5">
      <c r="A8034">
        <v>120113</v>
      </c>
      <c r="B8034">
        <v>1400</v>
      </c>
      <c r="C8034" s="455">
        <v>0</v>
      </c>
      <c r="D8034" s="637">
        <f t="shared" si="268"/>
        <v>0</v>
      </c>
      <c r="E8034" s="637">
        <f t="shared" si="269"/>
        <v>0</v>
      </c>
    </row>
    <row r="8035" spans="1:5">
      <c r="A8035">
        <v>120113</v>
      </c>
      <c r="B8035">
        <v>1500</v>
      </c>
      <c r="C8035" s="455">
        <v>0</v>
      </c>
      <c r="D8035" s="637">
        <f t="shared" si="268"/>
        <v>0</v>
      </c>
      <c r="E8035" s="637">
        <f t="shared" si="269"/>
        <v>0</v>
      </c>
    </row>
    <row r="8036" spans="1:5">
      <c r="A8036">
        <v>120113</v>
      </c>
      <c r="B8036">
        <v>1600</v>
      </c>
      <c r="C8036" s="455">
        <v>1.6E-2</v>
      </c>
      <c r="D8036" s="637">
        <f t="shared" si="268"/>
        <v>4.1739130434782626E-2</v>
      </c>
      <c r="E8036" s="637">
        <f t="shared" si="269"/>
        <v>5.1478260869565258E-2</v>
      </c>
    </row>
    <row r="8037" spans="1:5">
      <c r="A8037">
        <v>120113</v>
      </c>
      <c r="B8037">
        <v>1700</v>
      </c>
      <c r="C8037" s="455">
        <v>13.457000000000001</v>
      </c>
      <c r="D8037" s="637">
        <f t="shared" si="268"/>
        <v>35.105217391304365</v>
      </c>
      <c r="E8037" s="637">
        <f t="shared" si="269"/>
        <v>43.296434782608735</v>
      </c>
    </row>
    <row r="8038" spans="1:5">
      <c r="A8038">
        <v>120113</v>
      </c>
      <c r="B8038">
        <v>1800</v>
      </c>
      <c r="C8038" s="455">
        <v>13.191000000000001</v>
      </c>
      <c r="D8038" s="637">
        <f t="shared" si="268"/>
        <v>34.411304347826103</v>
      </c>
      <c r="E8038" s="637">
        <f t="shared" si="269"/>
        <v>42.440608695652209</v>
      </c>
    </row>
    <row r="8039" spans="1:5">
      <c r="A8039">
        <v>120113</v>
      </c>
      <c r="B8039">
        <v>1900</v>
      </c>
      <c r="C8039" s="455">
        <v>13.097</v>
      </c>
      <c r="D8039" s="637">
        <f t="shared" si="268"/>
        <v>34.166086956521752</v>
      </c>
      <c r="E8039" s="637">
        <f t="shared" si="269"/>
        <v>42.138173913043509</v>
      </c>
    </row>
    <row r="8040" spans="1:5">
      <c r="A8040">
        <v>120113</v>
      </c>
      <c r="B8040">
        <v>2000</v>
      </c>
      <c r="C8040" s="455">
        <v>13.449</v>
      </c>
      <c r="D8040" s="637">
        <f t="shared" si="268"/>
        <v>35.084347826086969</v>
      </c>
      <c r="E8040" s="637">
        <f t="shared" si="269"/>
        <v>43.270695652173949</v>
      </c>
    </row>
    <row r="8041" spans="1:5">
      <c r="A8041">
        <v>120113</v>
      </c>
      <c r="B8041">
        <v>2100</v>
      </c>
      <c r="C8041" s="455">
        <v>13.368</v>
      </c>
      <c r="D8041" s="637">
        <f t="shared" si="268"/>
        <v>34.873043478260882</v>
      </c>
      <c r="E8041" s="637">
        <f t="shared" si="269"/>
        <v>43.010086956521775</v>
      </c>
    </row>
    <row r="8042" spans="1:5">
      <c r="A8042">
        <v>120113</v>
      </c>
      <c r="B8042">
        <v>2200</v>
      </c>
      <c r="C8042" s="455">
        <v>13.718</v>
      </c>
      <c r="D8042" s="637">
        <f t="shared" si="268"/>
        <v>35.78608695652175</v>
      </c>
      <c r="E8042" s="637">
        <f t="shared" si="269"/>
        <v>44.136173913043507</v>
      </c>
    </row>
    <row r="8043" spans="1:5">
      <c r="A8043">
        <v>120113</v>
      </c>
      <c r="B8043">
        <v>2300</v>
      </c>
      <c r="C8043" s="455">
        <v>13.467000000000001</v>
      </c>
      <c r="D8043" s="637">
        <f t="shared" si="268"/>
        <v>35.131304347826102</v>
      </c>
      <c r="E8043" s="637">
        <f t="shared" si="269"/>
        <v>43.328608695652207</v>
      </c>
    </row>
    <row r="8044" spans="1:5">
      <c r="A8044">
        <v>120113</v>
      </c>
      <c r="B8044">
        <v>2400</v>
      </c>
      <c r="C8044" s="455">
        <v>13.477</v>
      </c>
      <c r="D8044" s="637">
        <f t="shared" si="268"/>
        <v>35.15739130434784</v>
      </c>
      <c r="E8044" s="637">
        <f t="shared" si="269"/>
        <v>43.360782608695686</v>
      </c>
    </row>
    <row r="8045" spans="1:5">
      <c r="A8045">
        <v>120213</v>
      </c>
      <c r="B8045">
        <v>100</v>
      </c>
      <c r="C8045" s="455">
        <v>13.481999999999999</v>
      </c>
      <c r="D8045" s="637">
        <f t="shared" si="268"/>
        <v>35.170434782608709</v>
      </c>
      <c r="E8045" s="637">
        <f t="shared" si="269"/>
        <v>43.376869565217419</v>
      </c>
    </row>
    <row r="8046" spans="1:5">
      <c r="A8046">
        <v>120213</v>
      </c>
      <c r="B8046">
        <v>200</v>
      </c>
      <c r="C8046" s="455">
        <v>13.445</v>
      </c>
      <c r="D8046" s="637">
        <f t="shared" si="268"/>
        <v>35.073913043478278</v>
      </c>
      <c r="E8046" s="637">
        <f t="shared" si="269"/>
        <v>43.257826086956555</v>
      </c>
    </row>
    <row r="8047" spans="1:5">
      <c r="A8047">
        <v>120213</v>
      </c>
      <c r="B8047">
        <v>300</v>
      </c>
      <c r="C8047" s="455">
        <v>14.256</v>
      </c>
      <c r="D8047" s="637">
        <f t="shared" si="268"/>
        <v>37.189565217391319</v>
      </c>
      <c r="E8047" s="637">
        <f t="shared" si="269"/>
        <v>45.867130434782645</v>
      </c>
    </row>
    <row r="8048" spans="1:5">
      <c r="A8048">
        <v>120213</v>
      </c>
      <c r="B8048">
        <v>400</v>
      </c>
      <c r="C8048" s="455">
        <v>13.561</v>
      </c>
      <c r="D8048" s="637">
        <f t="shared" si="268"/>
        <v>35.376521739130446</v>
      </c>
      <c r="E8048" s="637">
        <f t="shared" si="269"/>
        <v>43.631043478260899</v>
      </c>
    </row>
    <row r="8049" spans="1:5">
      <c r="A8049">
        <v>120213</v>
      </c>
      <c r="B8049">
        <v>500</v>
      </c>
      <c r="C8049" s="455">
        <v>14.065</v>
      </c>
      <c r="D8049" s="637">
        <f t="shared" si="268"/>
        <v>36.691304347826105</v>
      </c>
      <c r="E8049" s="637">
        <f t="shared" si="269"/>
        <v>45.252608695652206</v>
      </c>
    </row>
    <row r="8050" spans="1:5">
      <c r="A8050">
        <v>120213</v>
      </c>
      <c r="B8050">
        <v>600</v>
      </c>
      <c r="C8050" s="455">
        <v>13.477</v>
      </c>
      <c r="D8050" s="637">
        <f t="shared" si="268"/>
        <v>35.15739130434784</v>
      </c>
      <c r="E8050" s="637">
        <f t="shared" si="269"/>
        <v>43.360782608695686</v>
      </c>
    </row>
    <row r="8051" spans="1:5">
      <c r="A8051">
        <v>120213</v>
      </c>
      <c r="B8051">
        <v>700</v>
      </c>
      <c r="C8051" s="455">
        <v>14.092000000000001</v>
      </c>
      <c r="D8051" s="637">
        <f t="shared" si="268"/>
        <v>36.761739130434798</v>
      </c>
      <c r="E8051" s="637">
        <f t="shared" si="269"/>
        <v>45.339478260869598</v>
      </c>
    </row>
    <row r="8052" spans="1:5">
      <c r="A8052">
        <v>120213</v>
      </c>
      <c r="B8052">
        <v>800</v>
      </c>
      <c r="C8052" s="455">
        <v>17.164000000000001</v>
      </c>
      <c r="D8052" s="637">
        <f t="shared" si="268"/>
        <v>44.775652173913066</v>
      </c>
      <c r="E8052" s="637">
        <f t="shared" si="269"/>
        <v>55.223304347826137</v>
      </c>
    </row>
    <row r="8053" spans="1:5">
      <c r="A8053">
        <v>120213</v>
      </c>
      <c r="B8053">
        <v>900</v>
      </c>
      <c r="C8053" s="455">
        <v>8.1039999999999992</v>
      </c>
      <c r="D8053" s="637">
        <f t="shared" si="268"/>
        <v>21.1408695652174</v>
      </c>
      <c r="E8053" s="637">
        <f t="shared" si="269"/>
        <v>26.073739130434802</v>
      </c>
    </row>
    <row r="8054" spans="1:5">
      <c r="A8054">
        <v>120213</v>
      </c>
      <c r="B8054">
        <v>1000</v>
      </c>
      <c r="C8054" s="455">
        <v>2.7010000000000001</v>
      </c>
      <c r="D8054" s="637">
        <f t="shared" si="268"/>
        <v>7.0460869565217417</v>
      </c>
      <c r="E8054" s="637">
        <f t="shared" si="269"/>
        <v>8.6901739130434841</v>
      </c>
    </row>
    <row r="8055" spans="1:5">
      <c r="A8055">
        <v>120213</v>
      </c>
      <c r="B8055">
        <v>1100</v>
      </c>
      <c r="C8055" s="455">
        <v>2.79</v>
      </c>
      <c r="D8055" s="637">
        <f t="shared" si="268"/>
        <v>7.2782608695652202</v>
      </c>
      <c r="E8055" s="637">
        <f t="shared" si="269"/>
        <v>8.9765217391304422</v>
      </c>
    </row>
    <row r="8056" spans="1:5">
      <c r="A8056">
        <v>120213</v>
      </c>
      <c r="B8056">
        <v>1200</v>
      </c>
      <c r="C8056" s="455">
        <v>1.71</v>
      </c>
      <c r="D8056" s="637">
        <f t="shared" si="268"/>
        <v>4.4608695652173935</v>
      </c>
      <c r="E8056" s="637">
        <f t="shared" si="269"/>
        <v>5.5017391304347871</v>
      </c>
    </row>
    <row r="8057" spans="1:5">
      <c r="A8057">
        <v>120213</v>
      </c>
      <c r="B8057">
        <v>1300</v>
      </c>
      <c r="C8057" s="455">
        <v>0</v>
      </c>
      <c r="D8057" s="637">
        <f t="shared" si="268"/>
        <v>0</v>
      </c>
      <c r="E8057" s="637">
        <f t="shared" si="269"/>
        <v>0</v>
      </c>
    </row>
    <row r="8058" spans="1:5">
      <c r="A8058">
        <v>120213</v>
      </c>
      <c r="B8058">
        <v>1400</v>
      </c>
      <c r="C8058" s="455">
        <v>0</v>
      </c>
      <c r="D8058" s="637">
        <f t="shared" si="268"/>
        <v>0</v>
      </c>
      <c r="E8058" s="637">
        <f t="shared" si="269"/>
        <v>0</v>
      </c>
    </row>
    <row r="8059" spans="1:5">
      <c r="A8059">
        <v>120213</v>
      </c>
      <c r="B8059">
        <v>1500</v>
      </c>
      <c r="C8059" s="455">
        <v>0</v>
      </c>
      <c r="D8059" s="637">
        <f t="shared" si="268"/>
        <v>0</v>
      </c>
      <c r="E8059" s="637">
        <f t="shared" si="269"/>
        <v>0</v>
      </c>
    </row>
    <row r="8060" spans="1:5">
      <c r="A8060">
        <v>120213</v>
      </c>
      <c r="B8060">
        <v>1600</v>
      </c>
      <c r="C8060" s="455">
        <v>0.14399999999999999</v>
      </c>
      <c r="D8060" s="637">
        <f t="shared" si="268"/>
        <v>0.37565217391304362</v>
      </c>
      <c r="E8060" s="637">
        <f t="shared" si="269"/>
        <v>0.46330434782608726</v>
      </c>
    </row>
    <row r="8061" spans="1:5">
      <c r="A8061">
        <v>120213</v>
      </c>
      <c r="B8061">
        <v>1700</v>
      </c>
      <c r="C8061" s="455">
        <v>9.0909999999999993</v>
      </c>
      <c r="D8061" s="637">
        <f t="shared" si="268"/>
        <v>23.71565217391305</v>
      </c>
      <c r="E8061" s="637">
        <f t="shared" si="269"/>
        <v>29.249304347826104</v>
      </c>
    </row>
    <row r="8062" spans="1:5">
      <c r="A8062">
        <v>120213</v>
      </c>
      <c r="B8062">
        <v>1800</v>
      </c>
      <c r="C8062" s="455">
        <v>13.54</v>
      </c>
      <c r="D8062" s="637">
        <f t="shared" si="268"/>
        <v>35.321739130434793</v>
      </c>
      <c r="E8062" s="637">
        <f t="shared" si="269"/>
        <v>43.563478260869594</v>
      </c>
    </row>
    <row r="8063" spans="1:5">
      <c r="A8063">
        <v>120213</v>
      </c>
      <c r="B8063">
        <v>1900</v>
      </c>
      <c r="C8063" s="455">
        <v>13.336</v>
      </c>
      <c r="D8063" s="637">
        <f t="shared" si="268"/>
        <v>34.789565217391321</v>
      </c>
      <c r="E8063" s="637">
        <f t="shared" si="269"/>
        <v>42.907130434782644</v>
      </c>
    </row>
    <row r="8064" spans="1:5">
      <c r="A8064">
        <v>120213</v>
      </c>
      <c r="B8064">
        <v>2000</v>
      </c>
      <c r="C8064" s="455">
        <v>13.164</v>
      </c>
      <c r="D8064" s="637">
        <f t="shared" si="268"/>
        <v>34.340869565217403</v>
      </c>
      <c r="E8064" s="637">
        <f t="shared" si="269"/>
        <v>42.353739130434811</v>
      </c>
    </row>
    <row r="8065" spans="1:5">
      <c r="A8065">
        <v>120213</v>
      </c>
      <c r="B8065">
        <v>2100</v>
      </c>
      <c r="C8065" s="455">
        <v>13.456</v>
      </c>
      <c r="D8065" s="637">
        <f t="shared" si="268"/>
        <v>35.102608695652187</v>
      </c>
      <c r="E8065" s="637">
        <f t="shared" si="269"/>
        <v>43.293217391304381</v>
      </c>
    </row>
    <row r="8066" spans="1:5">
      <c r="A8066">
        <v>120213</v>
      </c>
      <c r="B8066">
        <v>2200</v>
      </c>
      <c r="C8066" s="455">
        <v>13.478</v>
      </c>
      <c r="D8066" s="637">
        <f t="shared" si="268"/>
        <v>35.160000000000011</v>
      </c>
      <c r="E8066" s="637">
        <f t="shared" si="269"/>
        <v>43.364000000000033</v>
      </c>
    </row>
    <row r="8067" spans="1:5">
      <c r="A8067">
        <v>120213</v>
      </c>
      <c r="B8067">
        <v>2300</v>
      </c>
      <c r="C8067" s="455">
        <v>13.459</v>
      </c>
      <c r="D8067" s="637">
        <f t="shared" si="268"/>
        <v>35.110434782608706</v>
      </c>
      <c r="E8067" s="637">
        <f t="shared" si="269"/>
        <v>43.302869565217421</v>
      </c>
    </row>
    <row r="8068" spans="1:5">
      <c r="A8068">
        <v>120213</v>
      </c>
      <c r="B8068">
        <v>2400</v>
      </c>
      <c r="C8068" s="455">
        <v>13.422000000000001</v>
      </c>
      <c r="D8068" s="637">
        <f t="shared" si="268"/>
        <v>35.013913043478276</v>
      </c>
      <c r="E8068" s="637">
        <f t="shared" si="269"/>
        <v>43.183826086956557</v>
      </c>
    </row>
    <row r="8069" spans="1:5">
      <c r="A8069">
        <v>120313</v>
      </c>
      <c r="B8069">
        <v>100</v>
      </c>
      <c r="C8069" s="455">
        <v>13.438000000000001</v>
      </c>
      <c r="D8069" s="637">
        <f t="shared" si="268"/>
        <v>35.05565217391306</v>
      </c>
      <c r="E8069" s="637">
        <f t="shared" si="269"/>
        <v>43.235304347826123</v>
      </c>
    </row>
    <row r="8070" spans="1:5">
      <c r="A8070">
        <v>120313</v>
      </c>
      <c r="B8070">
        <v>200</v>
      </c>
      <c r="C8070" s="455">
        <v>13.462999999999999</v>
      </c>
      <c r="D8070" s="637">
        <f t="shared" si="268"/>
        <v>35.120869565217397</v>
      </c>
      <c r="E8070" s="637">
        <f t="shared" si="269"/>
        <v>43.315739130434807</v>
      </c>
    </row>
    <row r="8071" spans="1:5">
      <c r="A8071">
        <v>120313</v>
      </c>
      <c r="B8071">
        <v>300</v>
      </c>
      <c r="C8071" s="455">
        <v>13.9</v>
      </c>
      <c r="D8071" s="637">
        <f t="shared" si="268"/>
        <v>36.260869565217412</v>
      </c>
      <c r="E8071" s="637">
        <f t="shared" si="269"/>
        <v>44.72173913043482</v>
      </c>
    </row>
    <row r="8072" spans="1:5">
      <c r="A8072">
        <v>120313</v>
      </c>
      <c r="B8072">
        <v>400</v>
      </c>
      <c r="C8072" s="455">
        <v>13.505000000000001</v>
      </c>
      <c r="D8072" s="637">
        <f t="shared" si="268"/>
        <v>35.230434782608711</v>
      </c>
      <c r="E8072" s="637">
        <f t="shared" si="269"/>
        <v>43.450869565217424</v>
      </c>
    </row>
    <row r="8073" spans="1:5">
      <c r="A8073">
        <v>120313</v>
      </c>
      <c r="B8073">
        <v>500</v>
      </c>
      <c r="C8073" s="455">
        <v>13.629</v>
      </c>
      <c r="D8073" s="637">
        <f t="shared" si="268"/>
        <v>35.553913043478275</v>
      </c>
      <c r="E8073" s="637">
        <f t="shared" si="269"/>
        <v>43.849826086956554</v>
      </c>
    </row>
    <row r="8074" spans="1:5">
      <c r="A8074">
        <v>120313</v>
      </c>
      <c r="B8074">
        <v>600</v>
      </c>
      <c r="C8074" s="455">
        <v>13.598000000000001</v>
      </c>
      <c r="D8074" s="637">
        <f t="shared" si="268"/>
        <v>35.473043478260891</v>
      </c>
      <c r="E8074" s="637">
        <f t="shared" si="269"/>
        <v>43.750086956521777</v>
      </c>
    </row>
    <row r="8075" spans="1:5">
      <c r="A8075">
        <v>120313</v>
      </c>
      <c r="B8075">
        <v>700</v>
      </c>
      <c r="C8075" s="455">
        <v>14.103999999999999</v>
      </c>
      <c r="D8075" s="637">
        <f t="shared" si="268"/>
        <v>36.793043478260884</v>
      </c>
      <c r="E8075" s="637">
        <f t="shared" si="269"/>
        <v>45.37808695652177</v>
      </c>
    </row>
    <row r="8076" spans="1:5">
      <c r="A8076">
        <v>120313</v>
      </c>
      <c r="B8076">
        <v>800</v>
      </c>
      <c r="C8076" s="455">
        <v>12.531000000000001</v>
      </c>
      <c r="D8076" s="637">
        <f t="shared" si="268"/>
        <v>32.689565217391319</v>
      </c>
      <c r="E8076" s="637">
        <f t="shared" si="269"/>
        <v>40.317130434782641</v>
      </c>
    </row>
    <row r="8077" spans="1:5">
      <c r="A8077">
        <v>120313</v>
      </c>
      <c r="B8077">
        <v>900</v>
      </c>
      <c r="C8077" s="455">
        <v>5.0000000000000001E-3</v>
      </c>
      <c r="D8077" s="637">
        <f t="shared" si="268"/>
        <v>1.304347826086957E-2</v>
      </c>
      <c r="E8077" s="637">
        <f t="shared" si="269"/>
        <v>1.6086956521739141E-2</v>
      </c>
    </row>
    <row r="8078" spans="1:5">
      <c r="A8078">
        <v>120313</v>
      </c>
      <c r="B8078">
        <v>1000</v>
      </c>
      <c r="C8078" s="455">
        <v>0</v>
      </c>
      <c r="D8078" s="637">
        <f t="shared" si="268"/>
        <v>0</v>
      </c>
      <c r="E8078" s="637">
        <f t="shared" si="269"/>
        <v>0</v>
      </c>
    </row>
    <row r="8079" spans="1:5">
      <c r="A8079">
        <v>120313</v>
      </c>
      <c r="B8079">
        <v>1100</v>
      </c>
      <c r="C8079" s="455">
        <v>0</v>
      </c>
      <c r="D8079" s="637">
        <f t="shared" si="268"/>
        <v>0</v>
      </c>
      <c r="E8079" s="637">
        <f t="shared" si="269"/>
        <v>0</v>
      </c>
    </row>
    <row r="8080" spans="1:5">
      <c r="A8080">
        <v>120313</v>
      </c>
      <c r="B8080">
        <v>1200</v>
      </c>
      <c r="C8080" s="455">
        <v>0</v>
      </c>
      <c r="D8080" s="637">
        <f t="shared" si="268"/>
        <v>0</v>
      </c>
      <c r="E8080" s="637">
        <f t="shared" si="269"/>
        <v>0</v>
      </c>
    </row>
    <row r="8081" spans="1:5">
      <c r="A8081">
        <v>120313</v>
      </c>
      <c r="B8081">
        <v>1300</v>
      </c>
      <c r="C8081" s="455">
        <v>0</v>
      </c>
      <c r="D8081" s="637">
        <f t="shared" si="268"/>
        <v>0</v>
      </c>
      <c r="E8081" s="637">
        <f t="shared" si="269"/>
        <v>0</v>
      </c>
    </row>
    <row r="8082" spans="1:5">
      <c r="A8082">
        <v>120313</v>
      </c>
      <c r="B8082">
        <v>1400</v>
      </c>
      <c r="C8082" s="455">
        <v>0.16200000000000001</v>
      </c>
      <c r="D8082" s="637">
        <f t="shared" si="268"/>
        <v>0.42260869565217407</v>
      </c>
      <c r="E8082" s="637">
        <f t="shared" si="269"/>
        <v>0.52121739130434819</v>
      </c>
    </row>
    <row r="8083" spans="1:5">
      <c r="A8083">
        <v>120313</v>
      </c>
      <c r="B8083">
        <v>1500</v>
      </c>
      <c r="C8083" s="455">
        <v>1E-3</v>
      </c>
      <c r="D8083" s="637">
        <f t="shared" si="268"/>
        <v>2.6086956521739141E-3</v>
      </c>
      <c r="E8083" s="637">
        <f t="shared" si="269"/>
        <v>3.2173913043478286E-3</v>
      </c>
    </row>
    <row r="8084" spans="1:5">
      <c r="A8084">
        <v>120313</v>
      </c>
      <c r="B8084">
        <v>1600</v>
      </c>
      <c r="C8084" s="455">
        <v>0</v>
      </c>
      <c r="D8084" s="637">
        <f t="shared" si="268"/>
        <v>0</v>
      </c>
      <c r="E8084" s="637">
        <f t="shared" si="269"/>
        <v>0</v>
      </c>
    </row>
    <row r="8085" spans="1:5">
      <c r="A8085">
        <v>120313</v>
      </c>
      <c r="B8085">
        <v>1700</v>
      </c>
      <c r="C8085" s="455">
        <v>10.163</v>
      </c>
      <c r="D8085" s="637">
        <f t="shared" si="268"/>
        <v>26.51217391304349</v>
      </c>
      <c r="E8085" s="637">
        <f t="shared" si="269"/>
        <v>32.69834782608698</v>
      </c>
    </row>
    <row r="8086" spans="1:5">
      <c r="A8086">
        <v>120313</v>
      </c>
      <c r="B8086">
        <v>1800</v>
      </c>
      <c r="C8086" s="455">
        <v>13.379</v>
      </c>
      <c r="D8086" s="637">
        <f t="shared" ref="D8086:D8149" si="270">(C8086/(MAX($C$8021:$C$8764)))*$W$16</f>
        <v>34.901739130434798</v>
      </c>
      <c r="E8086" s="637">
        <f t="shared" ref="E8086:E8149" si="271">(C8086/(MAX($C$8021:$C$8764)))*$P$16</f>
        <v>43.045478260869594</v>
      </c>
    </row>
    <row r="8087" spans="1:5">
      <c r="A8087">
        <v>120313</v>
      </c>
      <c r="B8087">
        <v>1900</v>
      </c>
      <c r="C8087" s="455">
        <v>13.423999999999999</v>
      </c>
      <c r="D8087" s="637">
        <f t="shared" si="270"/>
        <v>35.019130434782618</v>
      </c>
      <c r="E8087" s="637">
        <f t="shared" si="271"/>
        <v>43.190260869565243</v>
      </c>
    </row>
    <row r="8088" spans="1:5">
      <c r="A8088">
        <v>120313</v>
      </c>
      <c r="B8088">
        <v>2000</v>
      </c>
      <c r="C8088" s="455">
        <v>13.505000000000001</v>
      </c>
      <c r="D8088" s="637">
        <f t="shared" si="270"/>
        <v>35.230434782608711</v>
      </c>
      <c r="E8088" s="637">
        <f t="shared" si="271"/>
        <v>43.450869565217424</v>
      </c>
    </row>
    <row r="8089" spans="1:5">
      <c r="A8089">
        <v>120313</v>
      </c>
      <c r="B8089">
        <v>2100</v>
      </c>
      <c r="C8089" s="455">
        <v>13.002000000000001</v>
      </c>
      <c r="D8089" s="637">
        <f t="shared" si="270"/>
        <v>33.918260869565231</v>
      </c>
      <c r="E8089" s="637">
        <f t="shared" si="271"/>
        <v>41.83252173913047</v>
      </c>
    </row>
    <row r="8090" spans="1:5">
      <c r="A8090">
        <v>120313</v>
      </c>
      <c r="B8090">
        <v>2200</v>
      </c>
      <c r="C8090" s="455">
        <v>13.606</v>
      </c>
      <c r="D8090" s="637">
        <f t="shared" si="270"/>
        <v>35.49391304347828</v>
      </c>
      <c r="E8090" s="637">
        <f t="shared" si="271"/>
        <v>43.775826086956556</v>
      </c>
    </row>
    <row r="8091" spans="1:5">
      <c r="A8091">
        <v>120313</v>
      </c>
      <c r="B8091">
        <v>2300</v>
      </c>
      <c r="C8091" s="455">
        <v>13.079000000000001</v>
      </c>
      <c r="D8091" s="637">
        <f t="shared" si="270"/>
        <v>34.119130434782619</v>
      </c>
      <c r="E8091" s="637">
        <f t="shared" si="271"/>
        <v>42.080260869565244</v>
      </c>
    </row>
    <row r="8092" spans="1:5">
      <c r="A8092">
        <v>120313</v>
      </c>
      <c r="B8092">
        <v>2400</v>
      </c>
      <c r="C8092" s="455">
        <v>13.433999999999999</v>
      </c>
      <c r="D8092" s="637">
        <f t="shared" si="270"/>
        <v>35.045217391304362</v>
      </c>
      <c r="E8092" s="637">
        <f t="shared" si="271"/>
        <v>43.222434782608723</v>
      </c>
    </row>
    <row r="8093" spans="1:5">
      <c r="A8093">
        <v>120413</v>
      </c>
      <c r="B8093">
        <v>100</v>
      </c>
      <c r="C8093" s="455">
        <v>13.191000000000001</v>
      </c>
      <c r="D8093" s="637">
        <f t="shared" si="270"/>
        <v>34.411304347826103</v>
      </c>
      <c r="E8093" s="637">
        <f t="shared" si="271"/>
        <v>42.440608695652209</v>
      </c>
    </row>
    <row r="8094" spans="1:5">
      <c r="A8094">
        <v>120413</v>
      </c>
      <c r="B8094">
        <v>200</v>
      </c>
      <c r="C8094" s="455">
        <v>13.429</v>
      </c>
      <c r="D8094" s="637">
        <f t="shared" si="270"/>
        <v>35.032173913043493</v>
      </c>
      <c r="E8094" s="637">
        <f t="shared" si="271"/>
        <v>43.20634782608699</v>
      </c>
    </row>
    <row r="8095" spans="1:5">
      <c r="A8095">
        <v>120413</v>
      </c>
      <c r="B8095">
        <v>300</v>
      </c>
      <c r="C8095" s="455">
        <v>13.452</v>
      </c>
      <c r="D8095" s="637">
        <f t="shared" si="270"/>
        <v>35.092173913043496</v>
      </c>
      <c r="E8095" s="637">
        <f t="shared" si="271"/>
        <v>43.280347826086995</v>
      </c>
    </row>
    <row r="8096" spans="1:5">
      <c r="A8096">
        <v>120413</v>
      </c>
      <c r="B8096">
        <v>400</v>
      </c>
      <c r="C8096" s="455">
        <v>13.486000000000001</v>
      </c>
      <c r="D8096" s="637">
        <f t="shared" si="270"/>
        <v>35.180869565217407</v>
      </c>
      <c r="E8096" s="637">
        <f t="shared" si="271"/>
        <v>43.389739130434819</v>
      </c>
    </row>
    <row r="8097" spans="1:5">
      <c r="A8097">
        <v>120413</v>
      </c>
      <c r="B8097">
        <v>500</v>
      </c>
      <c r="C8097" s="455">
        <v>14.03</v>
      </c>
      <c r="D8097" s="637">
        <f t="shared" si="270"/>
        <v>36.600000000000016</v>
      </c>
      <c r="E8097" s="637">
        <f t="shared" si="271"/>
        <v>45.140000000000036</v>
      </c>
    </row>
    <row r="8098" spans="1:5">
      <c r="A8098">
        <v>120413</v>
      </c>
      <c r="B8098">
        <v>600</v>
      </c>
      <c r="C8098" s="455">
        <v>13.62</v>
      </c>
      <c r="D8098" s="637">
        <f t="shared" si="270"/>
        <v>35.530434782608708</v>
      </c>
      <c r="E8098" s="637">
        <f t="shared" si="271"/>
        <v>43.820869565217421</v>
      </c>
    </row>
    <row r="8099" spans="1:5">
      <c r="A8099">
        <v>120413</v>
      </c>
      <c r="B8099">
        <v>700</v>
      </c>
      <c r="C8099" s="455">
        <v>14.257</v>
      </c>
      <c r="D8099" s="637">
        <f t="shared" si="270"/>
        <v>37.192173913043497</v>
      </c>
      <c r="E8099" s="637">
        <f t="shared" si="271"/>
        <v>45.870347826086991</v>
      </c>
    </row>
    <row r="8100" spans="1:5">
      <c r="A8100">
        <v>120413</v>
      </c>
      <c r="B8100">
        <v>800</v>
      </c>
      <c r="C8100" s="455">
        <v>16.847999999999999</v>
      </c>
      <c r="D8100" s="637">
        <f t="shared" si="270"/>
        <v>43.951304347826095</v>
      </c>
      <c r="E8100" s="637">
        <f t="shared" si="271"/>
        <v>54.206608695652207</v>
      </c>
    </row>
    <row r="8101" spans="1:5">
      <c r="A8101">
        <v>120413</v>
      </c>
      <c r="B8101">
        <v>900</v>
      </c>
      <c r="C8101" s="455">
        <v>6.641</v>
      </c>
      <c r="D8101" s="637">
        <f t="shared" si="270"/>
        <v>17.324347826086964</v>
      </c>
      <c r="E8101" s="637">
        <f t="shared" si="271"/>
        <v>21.366695652173927</v>
      </c>
    </row>
    <row r="8102" spans="1:5">
      <c r="A8102">
        <v>120413</v>
      </c>
      <c r="B8102">
        <v>1000</v>
      </c>
      <c r="C8102" s="455">
        <v>2.79</v>
      </c>
      <c r="D8102" s="637">
        <f t="shared" si="270"/>
        <v>7.2782608695652202</v>
      </c>
      <c r="E8102" s="637">
        <f t="shared" si="271"/>
        <v>8.9765217391304422</v>
      </c>
    </row>
    <row r="8103" spans="1:5">
      <c r="A8103">
        <v>120413</v>
      </c>
      <c r="B8103">
        <v>1100</v>
      </c>
      <c r="C8103" s="455">
        <v>1.8009999999999999</v>
      </c>
      <c r="D8103" s="637">
        <f t="shared" si="270"/>
        <v>4.6982608695652193</v>
      </c>
      <c r="E8103" s="637">
        <f t="shared" si="271"/>
        <v>5.7945217391304391</v>
      </c>
    </row>
    <row r="8104" spans="1:5">
      <c r="A8104">
        <v>120413</v>
      </c>
      <c r="B8104">
        <v>1200</v>
      </c>
      <c r="C8104" s="455">
        <v>0</v>
      </c>
      <c r="D8104" s="637">
        <f t="shared" si="270"/>
        <v>0</v>
      </c>
      <c r="E8104" s="637">
        <f t="shared" si="271"/>
        <v>0</v>
      </c>
    </row>
    <row r="8105" spans="1:5">
      <c r="A8105">
        <v>120413</v>
      </c>
      <c r="B8105">
        <v>1300</v>
      </c>
      <c r="C8105" s="455">
        <v>0</v>
      </c>
      <c r="D8105" s="637">
        <f t="shared" si="270"/>
        <v>0</v>
      </c>
      <c r="E8105" s="637">
        <f t="shared" si="271"/>
        <v>0</v>
      </c>
    </row>
    <row r="8106" spans="1:5">
      <c r="A8106">
        <v>120413</v>
      </c>
      <c r="B8106">
        <v>1400</v>
      </c>
      <c r="C8106" s="455">
        <v>0</v>
      </c>
      <c r="D8106" s="637">
        <f t="shared" si="270"/>
        <v>0</v>
      </c>
      <c r="E8106" s="637">
        <f t="shared" si="271"/>
        <v>0</v>
      </c>
    </row>
    <row r="8107" spans="1:5">
      <c r="A8107">
        <v>120413</v>
      </c>
      <c r="B8107">
        <v>1500</v>
      </c>
      <c r="C8107" s="455">
        <v>0</v>
      </c>
      <c r="D8107" s="637">
        <f t="shared" si="270"/>
        <v>0</v>
      </c>
      <c r="E8107" s="637">
        <f t="shared" si="271"/>
        <v>0</v>
      </c>
    </row>
    <row r="8108" spans="1:5">
      <c r="A8108">
        <v>120413</v>
      </c>
      <c r="B8108">
        <v>1600</v>
      </c>
      <c r="C8108" s="455">
        <v>0.222</v>
      </c>
      <c r="D8108" s="637">
        <f t="shared" si="270"/>
        <v>0.57913043478260895</v>
      </c>
      <c r="E8108" s="637">
        <f t="shared" si="271"/>
        <v>0.71426086956521795</v>
      </c>
    </row>
    <row r="8109" spans="1:5">
      <c r="A8109">
        <v>120413</v>
      </c>
      <c r="B8109">
        <v>1700</v>
      </c>
      <c r="C8109" s="455">
        <v>13.907999999999999</v>
      </c>
      <c r="D8109" s="637">
        <f t="shared" si="270"/>
        <v>36.281739130434801</v>
      </c>
      <c r="E8109" s="637">
        <f t="shared" si="271"/>
        <v>44.747478260869599</v>
      </c>
    </row>
    <row r="8110" spans="1:5">
      <c r="A8110">
        <v>120413</v>
      </c>
      <c r="B8110">
        <v>1800</v>
      </c>
      <c r="C8110" s="455">
        <v>13.512</v>
      </c>
      <c r="D8110" s="637">
        <f t="shared" si="270"/>
        <v>35.248695652173929</v>
      </c>
      <c r="E8110" s="637">
        <f t="shared" si="271"/>
        <v>43.473391304347864</v>
      </c>
    </row>
    <row r="8111" spans="1:5">
      <c r="A8111">
        <v>120413</v>
      </c>
      <c r="B8111">
        <v>1900</v>
      </c>
      <c r="C8111" s="455">
        <v>13.26</v>
      </c>
      <c r="D8111" s="637">
        <f t="shared" si="270"/>
        <v>34.591304347826103</v>
      </c>
      <c r="E8111" s="637">
        <f t="shared" si="271"/>
        <v>42.66260869565221</v>
      </c>
    </row>
    <row r="8112" spans="1:5">
      <c r="A8112">
        <v>120413</v>
      </c>
      <c r="B8112">
        <v>2000</v>
      </c>
      <c r="C8112" s="455">
        <v>13.303000000000001</v>
      </c>
      <c r="D8112" s="637">
        <f t="shared" si="270"/>
        <v>34.703478260869581</v>
      </c>
      <c r="E8112" s="637">
        <f t="shared" si="271"/>
        <v>42.80095652173916</v>
      </c>
    </row>
    <row r="8113" spans="1:15">
      <c r="A8113">
        <v>120413</v>
      </c>
      <c r="B8113">
        <v>2100</v>
      </c>
      <c r="C8113" s="455">
        <v>13.420999999999999</v>
      </c>
      <c r="D8113" s="637">
        <f t="shared" si="270"/>
        <v>35.011304347826098</v>
      </c>
      <c r="E8113" s="637">
        <f t="shared" si="271"/>
        <v>43.180608695652204</v>
      </c>
    </row>
    <row r="8114" spans="1:15">
      <c r="A8114">
        <v>120413</v>
      </c>
      <c r="B8114">
        <v>2200</v>
      </c>
      <c r="C8114" s="455">
        <v>13.356</v>
      </c>
      <c r="D8114" s="637">
        <f t="shared" si="270"/>
        <v>34.841739130434796</v>
      </c>
      <c r="E8114" s="637">
        <f t="shared" si="271"/>
        <v>42.971478260869596</v>
      </c>
    </row>
    <row r="8115" spans="1:15">
      <c r="A8115">
        <v>120413</v>
      </c>
      <c r="B8115">
        <v>2300</v>
      </c>
      <c r="C8115" s="455">
        <v>13.340999999999999</v>
      </c>
      <c r="D8115" s="637">
        <f t="shared" si="270"/>
        <v>34.802608695652182</v>
      </c>
      <c r="E8115" s="637">
        <f t="shared" si="271"/>
        <v>42.923217391304377</v>
      </c>
      <c r="O8115" s="443"/>
    </row>
    <row r="8116" spans="1:15">
      <c r="A8116">
        <v>120413</v>
      </c>
      <c r="B8116">
        <v>2400</v>
      </c>
      <c r="C8116" s="455">
        <v>13.335000000000001</v>
      </c>
      <c r="D8116" s="637">
        <f t="shared" si="270"/>
        <v>34.78695652173915</v>
      </c>
      <c r="E8116" s="637">
        <f t="shared" si="271"/>
        <v>42.903913043478298</v>
      </c>
    </row>
    <row r="8117" spans="1:15">
      <c r="A8117">
        <v>120513</v>
      </c>
      <c r="B8117">
        <v>100</v>
      </c>
      <c r="C8117" s="455">
        <v>14.186999999999999</v>
      </c>
      <c r="D8117" s="637">
        <f t="shared" si="270"/>
        <v>37.009565217391319</v>
      </c>
      <c r="E8117" s="637">
        <f t="shared" si="271"/>
        <v>45.645130434782644</v>
      </c>
    </row>
    <row r="8118" spans="1:15">
      <c r="A8118">
        <v>120513</v>
      </c>
      <c r="B8118">
        <v>200</v>
      </c>
      <c r="C8118" s="455">
        <v>13.776</v>
      </c>
      <c r="D8118" s="637">
        <f t="shared" si="270"/>
        <v>35.937391304347841</v>
      </c>
      <c r="E8118" s="637">
        <f t="shared" si="271"/>
        <v>44.322782608695682</v>
      </c>
    </row>
    <row r="8119" spans="1:15">
      <c r="A8119">
        <v>120513</v>
      </c>
      <c r="B8119">
        <v>300</v>
      </c>
      <c r="C8119" s="455">
        <v>13.827999999999999</v>
      </c>
      <c r="D8119" s="637">
        <f t="shared" si="270"/>
        <v>36.073043478260878</v>
      </c>
      <c r="E8119" s="637">
        <f t="shared" si="271"/>
        <v>44.490086956521765</v>
      </c>
    </row>
    <row r="8120" spans="1:15">
      <c r="A8120">
        <v>120513</v>
      </c>
      <c r="B8120">
        <v>400</v>
      </c>
      <c r="C8120" s="455">
        <v>14.032</v>
      </c>
      <c r="D8120" s="637">
        <f t="shared" si="270"/>
        <v>36.605217391304357</v>
      </c>
      <c r="E8120" s="637">
        <f t="shared" si="271"/>
        <v>45.146434782608729</v>
      </c>
    </row>
    <row r="8121" spans="1:15">
      <c r="A8121">
        <v>120513</v>
      </c>
      <c r="B8121">
        <v>500</v>
      </c>
      <c r="C8121" s="455">
        <v>13.646000000000001</v>
      </c>
      <c r="D8121" s="637">
        <f t="shared" si="270"/>
        <v>35.598260869565237</v>
      </c>
      <c r="E8121" s="637">
        <f t="shared" si="271"/>
        <v>43.904521739130473</v>
      </c>
    </row>
    <row r="8122" spans="1:15">
      <c r="A8122">
        <v>120513</v>
      </c>
      <c r="B8122">
        <v>600</v>
      </c>
      <c r="C8122" s="455">
        <v>13.683</v>
      </c>
      <c r="D8122" s="637">
        <f t="shared" si="270"/>
        <v>35.694782608695661</v>
      </c>
      <c r="E8122" s="637">
        <f t="shared" si="271"/>
        <v>44.023565217391337</v>
      </c>
    </row>
    <row r="8123" spans="1:15">
      <c r="A8123">
        <v>120513</v>
      </c>
      <c r="B8123">
        <v>700</v>
      </c>
      <c r="C8123" s="455">
        <v>14.441000000000001</v>
      </c>
      <c r="D8123" s="637">
        <f t="shared" si="270"/>
        <v>37.672173913043494</v>
      </c>
      <c r="E8123" s="637">
        <f t="shared" si="271"/>
        <v>46.46234782608699</v>
      </c>
    </row>
    <row r="8124" spans="1:15">
      <c r="A8124">
        <v>120513</v>
      </c>
      <c r="B8124">
        <v>800</v>
      </c>
      <c r="C8124" s="455">
        <v>14.157</v>
      </c>
      <c r="D8124" s="637">
        <f t="shared" si="270"/>
        <v>36.931304347826099</v>
      </c>
      <c r="E8124" s="637">
        <f t="shared" si="271"/>
        <v>45.548608695652206</v>
      </c>
    </row>
    <row r="8125" spans="1:15">
      <c r="A8125">
        <v>120513</v>
      </c>
      <c r="B8125">
        <v>900</v>
      </c>
      <c r="C8125" s="455">
        <v>2.9039999999999999</v>
      </c>
      <c r="D8125" s="637">
        <f t="shared" si="270"/>
        <v>7.5756521739130465</v>
      </c>
      <c r="E8125" s="637">
        <f t="shared" si="271"/>
        <v>9.3433043478260931</v>
      </c>
    </row>
    <row r="8126" spans="1:15">
      <c r="A8126">
        <v>120513</v>
      </c>
      <c r="B8126">
        <v>1000</v>
      </c>
      <c r="C8126" s="455">
        <v>0.63100000000000001</v>
      </c>
      <c r="D8126" s="637">
        <f t="shared" si="270"/>
        <v>1.6460869565217398</v>
      </c>
      <c r="E8126" s="637">
        <f t="shared" si="271"/>
        <v>2.0301739130434799</v>
      </c>
    </row>
    <row r="8127" spans="1:15">
      <c r="A8127">
        <v>120513</v>
      </c>
      <c r="B8127">
        <v>1100</v>
      </c>
      <c r="C8127" s="455">
        <v>1E-3</v>
      </c>
      <c r="D8127" s="637">
        <f t="shared" si="270"/>
        <v>2.6086956521739141E-3</v>
      </c>
      <c r="E8127" s="637">
        <f t="shared" si="271"/>
        <v>3.2173913043478286E-3</v>
      </c>
    </row>
    <row r="8128" spans="1:15">
      <c r="A8128">
        <v>120513</v>
      </c>
      <c r="B8128">
        <v>1200</v>
      </c>
      <c r="C8128" s="455">
        <v>0</v>
      </c>
      <c r="D8128" s="637">
        <f t="shared" si="270"/>
        <v>0</v>
      </c>
      <c r="E8128" s="637">
        <f t="shared" si="271"/>
        <v>0</v>
      </c>
    </row>
    <row r="8129" spans="1:5">
      <c r="A8129">
        <v>120513</v>
      </c>
      <c r="B8129">
        <v>1300</v>
      </c>
      <c r="C8129" s="455">
        <v>0</v>
      </c>
      <c r="D8129" s="637">
        <f t="shared" si="270"/>
        <v>0</v>
      </c>
      <c r="E8129" s="637">
        <f t="shared" si="271"/>
        <v>0</v>
      </c>
    </row>
    <row r="8130" spans="1:5">
      <c r="A8130">
        <v>120513</v>
      </c>
      <c r="B8130">
        <v>1400</v>
      </c>
      <c r="C8130" s="455">
        <v>0</v>
      </c>
      <c r="D8130" s="637">
        <f t="shared" si="270"/>
        <v>0</v>
      </c>
      <c r="E8130" s="637">
        <f t="shared" si="271"/>
        <v>0</v>
      </c>
    </row>
    <row r="8131" spans="1:5">
      <c r="A8131">
        <v>120513</v>
      </c>
      <c r="B8131">
        <v>1500</v>
      </c>
      <c r="C8131" s="455">
        <v>0</v>
      </c>
      <c r="D8131" s="637">
        <f t="shared" si="270"/>
        <v>0</v>
      </c>
      <c r="E8131" s="637">
        <f t="shared" si="271"/>
        <v>0</v>
      </c>
    </row>
    <row r="8132" spans="1:5">
      <c r="A8132">
        <v>120513</v>
      </c>
      <c r="B8132">
        <v>1600</v>
      </c>
      <c r="C8132" s="455">
        <v>0</v>
      </c>
      <c r="D8132" s="637">
        <f t="shared" si="270"/>
        <v>0</v>
      </c>
      <c r="E8132" s="637">
        <f t="shared" si="271"/>
        <v>0</v>
      </c>
    </row>
    <row r="8133" spans="1:5">
      <c r="A8133">
        <v>120513</v>
      </c>
      <c r="B8133">
        <v>1700</v>
      </c>
      <c r="C8133" s="455">
        <v>10.372999999999999</v>
      </c>
      <c r="D8133" s="637">
        <f t="shared" si="270"/>
        <v>27.060000000000009</v>
      </c>
      <c r="E8133" s="637">
        <f t="shared" si="271"/>
        <v>33.374000000000024</v>
      </c>
    </row>
    <row r="8134" spans="1:5">
      <c r="A8134">
        <v>120513</v>
      </c>
      <c r="B8134">
        <v>1800</v>
      </c>
      <c r="C8134" s="455">
        <v>12.837</v>
      </c>
      <c r="D8134" s="637">
        <f t="shared" si="270"/>
        <v>33.487826086956538</v>
      </c>
      <c r="E8134" s="637">
        <f t="shared" si="271"/>
        <v>41.301652173913077</v>
      </c>
    </row>
    <row r="8135" spans="1:5">
      <c r="A8135">
        <v>120513</v>
      </c>
      <c r="B8135">
        <v>1900</v>
      </c>
      <c r="C8135" s="455">
        <v>13.398999999999999</v>
      </c>
      <c r="D8135" s="637">
        <f t="shared" si="270"/>
        <v>34.953913043478273</v>
      </c>
      <c r="E8135" s="637">
        <f t="shared" si="271"/>
        <v>43.109826086956552</v>
      </c>
    </row>
    <row r="8136" spans="1:5">
      <c r="A8136">
        <v>120513</v>
      </c>
      <c r="B8136">
        <v>2000</v>
      </c>
      <c r="C8136" s="455">
        <v>13.162000000000001</v>
      </c>
      <c r="D8136" s="637">
        <f t="shared" si="270"/>
        <v>34.335652173913061</v>
      </c>
      <c r="E8136" s="637">
        <f t="shared" si="271"/>
        <v>42.347304347826125</v>
      </c>
    </row>
    <row r="8137" spans="1:5">
      <c r="A8137">
        <v>120513</v>
      </c>
      <c r="B8137">
        <v>2100</v>
      </c>
      <c r="C8137" s="455">
        <v>13.38</v>
      </c>
      <c r="D8137" s="637">
        <f t="shared" si="270"/>
        <v>34.904347826086969</v>
      </c>
      <c r="E8137" s="637">
        <f t="shared" si="271"/>
        <v>43.048695652173947</v>
      </c>
    </row>
    <row r="8138" spans="1:5">
      <c r="A8138">
        <v>120513</v>
      </c>
      <c r="B8138">
        <v>2200</v>
      </c>
      <c r="C8138" s="455">
        <v>13.318</v>
      </c>
      <c r="D8138" s="637">
        <f t="shared" si="270"/>
        <v>34.742608695652187</v>
      </c>
      <c r="E8138" s="637">
        <f t="shared" si="271"/>
        <v>42.849217391304371</v>
      </c>
    </row>
    <row r="8139" spans="1:5">
      <c r="A8139">
        <v>120513</v>
      </c>
      <c r="B8139">
        <v>2300</v>
      </c>
      <c r="C8139" s="455">
        <v>13.523</v>
      </c>
      <c r="D8139" s="637">
        <f t="shared" si="270"/>
        <v>35.277391304347844</v>
      </c>
      <c r="E8139" s="637">
        <f t="shared" si="271"/>
        <v>43.508782608695689</v>
      </c>
    </row>
    <row r="8140" spans="1:5">
      <c r="A8140">
        <v>120513</v>
      </c>
      <c r="B8140">
        <v>2400</v>
      </c>
      <c r="C8140" s="455">
        <v>13.531000000000001</v>
      </c>
      <c r="D8140" s="637">
        <f t="shared" si="270"/>
        <v>35.298260869565233</v>
      </c>
      <c r="E8140" s="637">
        <f t="shared" si="271"/>
        <v>43.534521739130476</v>
      </c>
    </row>
    <row r="8141" spans="1:5">
      <c r="A8141">
        <v>120613</v>
      </c>
      <c r="B8141">
        <v>100</v>
      </c>
      <c r="C8141" s="455">
        <v>13.38</v>
      </c>
      <c r="D8141" s="637">
        <f t="shared" si="270"/>
        <v>34.904347826086969</v>
      </c>
      <c r="E8141" s="637">
        <f t="shared" si="271"/>
        <v>43.048695652173947</v>
      </c>
    </row>
    <row r="8142" spans="1:5">
      <c r="A8142">
        <v>120613</v>
      </c>
      <c r="B8142">
        <v>200</v>
      </c>
      <c r="C8142" s="455">
        <v>13.441000000000001</v>
      </c>
      <c r="D8142" s="637">
        <f t="shared" si="270"/>
        <v>35.06347826086958</v>
      </c>
      <c r="E8142" s="637">
        <f t="shared" si="271"/>
        <v>43.244956521739169</v>
      </c>
    </row>
    <row r="8143" spans="1:5">
      <c r="A8143">
        <v>120613</v>
      </c>
      <c r="B8143">
        <v>300</v>
      </c>
      <c r="C8143" s="455">
        <v>13.429</v>
      </c>
      <c r="D8143" s="637">
        <f t="shared" si="270"/>
        <v>35.032173913043493</v>
      </c>
      <c r="E8143" s="637">
        <f t="shared" si="271"/>
        <v>43.20634782608699</v>
      </c>
    </row>
    <row r="8144" spans="1:5">
      <c r="A8144">
        <v>120613</v>
      </c>
      <c r="B8144">
        <v>400</v>
      </c>
      <c r="C8144" s="455">
        <v>13.53</v>
      </c>
      <c r="D8144" s="637">
        <f t="shared" si="270"/>
        <v>35.295652173913062</v>
      </c>
      <c r="E8144" s="637">
        <f t="shared" si="271"/>
        <v>43.531304347826122</v>
      </c>
    </row>
    <row r="8145" spans="1:5">
      <c r="A8145">
        <v>120613</v>
      </c>
      <c r="B8145">
        <v>500</v>
      </c>
      <c r="C8145" s="455">
        <v>13.523999999999999</v>
      </c>
      <c r="D8145" s="637">
        <f t="shared" si="270"/>
        <v>35.280000000000008</v>
      </c>
      <c r="E8145" s="637">
        <f t="shared" si="271"/>
        <v>43.512000000000029</v>
      </c>
    </row>
    <row r="8146" spans="1:5">
      <c r="A8146">
        <v>120613</v>
      </c>
      <c r="B8146">
        <v>600</v>
      </c>
      <c r="C8146" s="455">
        <v>14.084</v>
      </c>
      <c r="D8146" s="637">
        <f t="shared" si="270"/>
        <v>36.740869565217409</v>
      </c>
      <c r="E8146" s="637">
        <f t="shared" si="271"/>
        <v>45.313739130434818</v>
      </c>
    </row>
    <row r="8147" spans="1:5">
      <c r="A8147">
        <v>120613</v>
      </c>
      <c r="B8147">
        <v>700</v>
      </c>
      <c r="C8147" s="455">
        <v>13.333</v>
      </c>
      <c r="D8147" s="637">
        <f t="shared" si="270"/>
        <v>34.781739130434794</v>
      </c>
      <c r="E8147" s="637">
        <f t="shared" si="271"/>
        <v>42.897478260869597</v>
      </c>
    </row>
    <row r="8148" spans="1:5">
      <c r="A8148">
        <v>120613</v>
      </c>
      <c r="B8148">
        <v>800</v>
      </c>
      <c r="C8148" s="455">
        <v>15.324</v>
      </c>
      <c r="D8148" s="637">
        <f t="shared" si="270"/>
        <v>39.975652173913055</v>
      </c>
      <c r="E8148" s="637">
        <f t="shared" si="271"/>
        <v>49.303304347826121</v>
      </c>
    </row>
    <row r="8149" spans="1:5">
      <c r="A8149">
        <v>120613</v>
      </c>
      <c r="B8149">
        <v>900</v>
      </c>
      <c r="C8149" s="455">
        <v>3.1070000000000002</v>
      </c>
      <c r="D8149" s="637">
        <f t="shared" si="270"/>
        <v>8.1052173913043521</v>
      </c>
      <c r="E8149" s="637">
        <f t="shared" si="271"/>
        <v>9.9964347826087039</v>
      </c>
    </row>
    <row r="8150" spans="1:5">
      <c r="A8150">
        <v>120613</v>
      </c>
      <c r="B8150">
        <v>1000</v>
      </c>
      <c r="C8150" s="455">
        <v>0</v>
      </c>
      <c r="D8150" s="637">
        <f t="shared" ref="D8150:D8213" si="272">(C8150/(MAX($C$8021:$C$8764)))*$W$16</f>
        <v>0</v>
      </c>
      <c r="E8150" s="637">
        <f t="shared" ref="E8150:E8213" si="273">(C8150/(MAX($C$8021:$C$8764)))*$P$16</f>
        <v>0</v>
      </c>
    </row>
    <row r="8151" spans="1:5">
      <c r="A8151">
        <v>120613</v>
      </c>
      <c r="B8151">
        <v>1100</v>
      </c>
      <c r="C8151" s="455">
        <v>0</v>
      </c>
      <c r="D8151" s="637">
        <f t="shared" si="272"/>
        <v>0</v>
      </c>
      <c r="E8151" s="637">
        <f t="shared" si="273"/>
        <v>0</v>
      </c>
    </row>
    <row r="8152" spans="1:5">
      <c r="A8152">
        <v>120613</v>
      </c>
      <c r="B8152">
        <v>1200</v>
      </c>
      <c r="C8152" s="455">
        <v>0</v>
      </c>
      <c r="D8152" s="637">
        <f t="shared" si="272"/>
        <v>0</v>
      </c>
      <c r="E8152" s="637">
        <f t="shared" si="273"/>
        <v>0</v>
      </c>
    </row>
    <row r="8153" spans="1:5">
      <c r="A8153">
        <v>120613</v>
      </c>
      <c r="B8153">
        <v>1300</v>
      </c>
      <c r="C8153" s="455">
        <v>0</v>
      </c>
      <c r="D8153" s="637">
        <f t="shared" si="272"/>
        <v>0</v>
      </c>
      <c r="E8153" s="637">
        <f t="shared" si="273"/>
        <v>0</v>
      </c>
    </row>
    <row r="8154" spans="1:5">
      <c r="A8154">
        <v>120613</v>
      </c>
      <c r="B8154">
        <v>1400</v>
      </c>
      <c r="C8154" s="455">
        <v>0</v>
      </c>
      <c r="D8154" s="637">
        <f t="shared" si="272"/>
        <v>0</v>
      </c>
      <c r="E8154" s="637">
        <f t="shared" si="273"/>
        <v>0</v>
      </c>
    </row>
    <row r="8155" spans="1:5">
      <c r="A8155">
        <v>120613</v>
      </c>
      <c r="B8155">
        <v>1500</v>
      </c>
      <c r="C8155" s="455">
        <v>0</v>
      </c>
      <c r="D8155" s="637">
        <f t="shared" si="272"/>
        <v>0</v>
      </c>
      <c r="E8155" s="637">
        <f t="shared" si="273"/>
        <v>0</v>
      </c>
    </row>
    <row r="8156" spans="1:5">
      <c r="A8156">
        <v>120613</v>
      </c>
      <c r="B8156">
        <v>1600</v>
      </c>
      <c r="C8156" s="455">
        <v>0.40500000000000003</v>
      </c>
      <c r="D8156" s="637">
        <f t="shared" si="272"/>
        <v>1.0565217391304353</v>
      </c>
      <c r="E8156" s="637">
        <f t="shared" si="273"/>
        <v>1.3030434782608706</v>
      </c>
    </row>
    <row r="8157" spans="1:5">
      <c r="A8157">
        <v>120613</v>
      </c>
      <c r="B8157">
        <v>1700</v>
      </c>
      <c r="C8157" s="455">
        <v>14.31</v>
      </c>
      <c r="D8157" s="637">
        <f t="shared" si="272"/>
        <v>37.330434782608712</v>
      </c>
      <c r="E8157" s="637">
        <f t="shared" si="273"/>
        <v>46.040869565217427</v>
      </c>
    </row>
    <row r="8158" spans="1:5">
      <c r="A8158">
        <v>120613</v>
      </c>
      <c r="B8158">
        <v>1800</v>
      </c>
      <c r="C8158" s="455">
        <v>13.513999999999999</v>
      </c>
      <c r="D8158" s="637">
        <f t="shared" si="272"/>
        <v>35.253913043478271</v>
      </c>
      <c r="E8158" s="637">
        <f t="shared" si="273"/>
        <v>43.47982608695655</v>
      </c>
    </row>
    <row r="8159" spans="1:5">
      <c r="A8159">
        <v>120613</v>
      </c>
      <c r="B8159">
        <v>1900</v>
      </c>
      <c r="C8159" s="455">
        <v>13.558</v>
      </c>
      <c r="D8159" s="637">
        <f t="shared" si="272"/>
        <v>35.368695652173926</v>
      </c>
      <c r="E8159" s="637">
        <f t="shared" si="273"/>
        <v>43.62139130434786</v>
      </c>
    </row>
    <row r="8160" spans="1:5">
      <c r="A8160">
        <v>120613</v>
      </c>
      <c r="B8160">
        <v>2000</v>
      </c>
      <c r="C8160" s="455">
        <v>13.691000000000001</v>
      </c>
      <c r="D8160" s="637">
        <f t="shared" si="272"/>
        <v>35.715652173913057</v>
      </c>
      <c r="E8160" s="637">
        <f t="shared" si="273"/>
        <v>44.049304347826123</v>
      </c>
    </row>
    <row r="8161" spans="1:5">
      <c r="A8161">
        <v>120613</v>
      </c>
      <c r="B8161">
        <v>2100</v>
      </c>
      <c r="C8161" s="455">
        <v>13.654</v>
      </c>
      <c r="D8161" s="637">
        <f t="shared" si="272"/>
        <v>35.619130434782626</v>
      </c>
      <c r="E8161" s="637">
        <f t="shared" si="273"/>
        <v>43.930260869565252</v>
      </c>
    </row>
    <row r="8162" spans="1:5">
      <c r="A8162">
        <v>120613</v>
      </c>
      <c r="B8162">
        <v>2200</v>
      </c>
      <c r="C8162" s="455">
        <v>13.632</v>
      </c>
      <c r="D8162" s="637">
        <f t="shared" si="272"/>
        <v>35.561739130434795</v>
      </c>
      <c r="E8162" s="637">
        <f t="shared" si="273"/>
        <v>43.859478260869594</v>
      </c>
    </row>
    <row r="8163" spans="1:5">
      <c r="A8163">
        <v>120613</v>
      </c>
      <c r="B8163">
        <v>2300</v>
      </c>
      <c r="C8163" s="455">
        <v>14.021000000000001</v>
      </c>
      <c r="D8163" s="637">
        <f t="shared" si="272"/>
        <v>36.576521739130449</v>
      </c>
      <c r="E8163" s="637">
        <f t="shared" si="273"/>
        <v>45.111043478260903</v>
      </c>
    </row>
    <row r="8164" spans="1:5">
      <c r="A8164">
        <v>120613</v>
      </c>
      <c r="B8164">
        <v>2400</v>
      </c>
      <c r="C8164" s="455">
        <v>13.44</v>
      </c>
      <c r="D8164" s="637">
        <f t="shared" si="272"/>
        <v>35.060869565217409</v>
      </c>
      <c r="E8164" s="637">
        <f t="shared" si="273"/>
        <v>43.241739130434816</v>
      </c>
    </row>
    <row r="8165" spans="1:5">
      <c r="A8165">
        <v>120713</v>
      </c>
      <c r="B8165">
        <v>100</v>
      </c>
      <c r="C8165" s="455">
        <v>13.638999999999999</v>
      </c>
      <c r="D8165" s="637">
        <f t="shared" si="272"/>
        <v>35.580000000000013</v>
      </c>
      <c r="E8165" s="637">
        <f t="shared" si="273"/>
        <v>43.882000000000026</v>
      </c>
    </row>
    <row r="8166" spans="1:5">
      <c r="A8166">
        <v>120713</v>
      </c>
      <c r="B8166">
        <v>200</v>
      </c>
      <c r="C8166" s="455">
        <v>13.914</v>
      </c>
      <c r="D8166" s="637">
        <f t="shared" si="272"/>
        <v>36.29739130434784</v>
      </c>
      <c r="E8166" s="637">
        <f t="shared" si="273"/>
        <v>44.766782608695685</v>
      </c>
    </row>
    <row r="8167" spans="1:5">
      <c r="A8167">
        <v>120713</v>
      </c>
      <c r="B8167">
        <v>300</v>
      </c>
      <c r="C8167" s="455">
        <v>13.815</v>
      </c>
      <c r="D8167" s="637">
        <f t="shared" si="272"/>
        <v>36.039130434782621</v>
      </c>
      <c r="E8167" s="637">
        <f t="shared" si="273"/>
        <v>44.448260869565246</v>
      </c>
    </row>
    <row r="8168" spans="1:5">
      <c r="A8168">
        <v>120713</v>
      </c>
      <c r="B8168">
        <v>400</v>
      </c>
      <c r="C8168" s="455">
        <v>14.178000000000001</v>
      </c>
      <c r="D8168" s="637">
        <f t="shared" si="272"/>
        <v>36.986086956521753</v>
      </c>
      <c r="E8168" s="637">
        <f t="shared" si="273"/>
        <v>45.616173913043511</v>
      </c>
    </row>
    <row r="8169" spans="1:5">
      <c r="A8169">
        <v>120713</v>
      </c>
      <c r="B8169">
        <v>500</v>
      </c>
      <c r="C8169" s="455">
        <v>14.268000000000001</v>
      </c>
      <c r="D8169" s="637">
        <f t="shared" si="272"/>
        <v>37.220869565217406</v>
      </c>
      <c r="E8169" s="637">
        <f t="shared" si="273"/>
        <v>45.905739130434817</v>
      </c>
    </row>
    <row r="8170" spans="1:5">
      <c r="A8170">
        <v>120713</v>
      </c>
      <c r="B8170">
        <v>600</v>
      </c>
      <c r="C8170" s="455">
        <v>15</v>
      </c>
      <c r="D8170" s="637">
        <f t="shared" si="272"/>
        <v>39.13043478260871</v>
      </c>
      <c r="E8170" s="637">
        <f t="shared" si="273"/>
        <v>48.260869565217426</v>
      </c>
    </row>
    <row r="8171" spans="1:5">
      <c r="A8171">
        <v>120713</v>
      </c>
      <c r="B8171">
        <v>700</v>
      </c>
      <c r="C8171" s="455">
        <v>14.321</v>
      </c>
      <c r="D8171" s="637">
        <f t="shared" si="272"/>
        <v>37.359130434782621</v>
      </c>
      <c r="E8171" s="637">
        <f t="shared" si="273"/>
        <v>46.076260869565253</v>
      </c>
    </row>
    <row r="8172" spans="1:5">
      <c r="A8172">
        <v>120713</v>
      </c>
      <c r="B8172">
        <v>800</v>
      </c>
      <c r="C8172" s="455">
        <v>15.567</v>
      </c>
      <c r="D8172" s="637">
        <f t="shared" si="272"/>
        <v>40.609565217391321</v>
      </c>
      <c r="E8172" s="637">
        <f t="shared" si="273"/>
        <v>50.085130434782648</v>
      </c>
    </row>
    <row r="8173" spans="1:5">
      <c r="A8173">
        <v>120713</v>
      </c>
      <c r="B8173">
        <v>900</v>
      </c>
      <c r="C8173" s="455">
        <v>2.714</v>
      </c>
      <c r="D8173" s="637">
        <f t="shared" si="272"/>
        <v>7.0800000000000027</v>
      </c>
      <c r="E8173" s="637">
        <f t="shared" si="273"/>
        <v>8.7320000000000064</v>
      </c>
    </row>
    <row r="8174" spans="1:5">
      <c r="A8174">
        <v>120713</v>
      </c>
      <c r="B8174">
        <v>1000</v>
      </c>
      <c r="C8174" s="455">
        <v>0</v>
      </c>
      <c r="D8174" s="637">
        <f t="shared" si="272"/>
        <v>0</v>
      </c>
      <c r="E8174" s="637">
        <f t="shared" si="273"/>
        <v>0</v>
      </c>
    </row>
    <row r="8175" spans="1:5">
      <c r="A8175">
        <v>120713</v>
      </c>
      <c r="B8175">
        <v>1100</v>
      </c>
      <c r="C8175" s="455">
        <v>1E-3</v>
      </c>
      <c r="D8175" s="637">
        <f t="shared" si="272"/>
        <v>2.6086956521739141E-3</v>
      </c>
      <c r="E8175" s="637">
        <f t="shared" si="273"/>
        <v>3.2173913043478286E-3</v>
      </c>
    </row>
    <row r="8176" spans="1:5">
      <c r="A8176">
        <v>120713</v>
      </c>
      <c r="B8176">
        <v>1200</v>
      </c>
      <c r="C8176" s="455">
        <v>0</v>
      </c>
      <c r="D8176" s="637">
        <f t="shared" si="272"/>
        <v>0</v>
      </c>
      <c r="E8176" s="637">
        <f t="shared" si="273"/>
        <v>0</v>
      </c>
    </row>
    <row r="8177" spans="1:5">
      <c r="A8177">
        <v>120713</v>
      </c>
      <c r="B8177">
        <v>1300</v>
      </c>
      <c r="C8177" s="455">
        <v>0</v>
      </c>
      <c r="D8177" s="637">
        <f t="shared" si="272"/>
        <v>0</v>
      </c>
      <c r="E8177" s="637">
        <f t="shared" si="273"/>
        <v>0</v>
      </c>
    </row>
    <row r="8178" spans="1:5">
      <c r="A8178">
        <v>120713</v>
      </c>
      <c r="B8178">
        <v>1400</v>
      </c>
      <c r="C8178" s="455">
        <v>0</v>
      </c>
      <c r="D8178" s="637">
        <f t="shared" si="272"/>
        <v>0</v>
      </c>
      <c r="E8178" s="637">
        <f t="shared" si="273"/>
        <v>0</v>
      </c>
    </row>
    <row r="8179" spans="1:5">
      <c r="A8179">
        <v>120713</v>
      </c>
      <c r="B8179">
        <v>1500</v>
      </c>
      <c r="C8179" s="455">
        <v>0</v>
      </c>
      <c r="D8179" s="637">
        <f t="shared" si="272"/>
        <v>0</v>
      </c>
      <c r="E8179" s="637">
        <f t="shared" si="273"/>
        <v>0</v>
      </c>
    </row>
    <row r="8180" spans="1:5">
      <c r="A8180">
        <v>120713</v>
      </c>
      <c r="B8180">
        <v>1600</v>
      </c>
      <c r="C8180" s="455">
        <v>0</v>
      </c>
      <c r="D8180" s="637">
        <f t="shared" si="272"/>
        <v>0</v>
      </c>
      <c r="E8180" s="637">
        <f t="shared" si="273"/>
        <v>0</v>
      </c>
    </row>
    <row r="8181" spans="1:5">
      <c r="A8181">
        <v>120713</v>
      </c>
      <c r="B8181">
        <v>1700</v>
      </c>
      <c r="C8181" s="455">
        <v>9.4169999999999998</v>
      </c>
      <c r="D8181" s="637">
        <f t="shared" si="272"/>
        <v>24.566086956521747</v>
      </c>
      <c r="E8181" s="637">
        <f t="shared" si="273"/>
        <v>30.298173913043499</v>
      </c>
    </row>
    <row r="8182" spans="1:5">
      <c r="A8182">
        <v>120713</v>
      </c>
      <c r="B8182">
        <v>1800</v>
      </c>
      <c r="C8182" s="455">
        <v>14.039</v>
      </c>
      <c r="D8182" s="637">
        <f t="shared" si="272"/>
        <v>36.623478260869575</v>
      </c>
      <c r="E8182" s="637">
        <f t="shared" si="273"/>
        <v>45.168956521739162</v>
      </c>
    </row>
    <row r="8183" spans="1:5">
      <c r="A8183">
        <v>120713</v>
      </c>
      <c r="B8183">
        <v>1900</v>
      </c>
      <c r="C8183" s="455">
        <v>14.249000000000001</v>
      </c>
      <c r="D8183" s="637">
        <f t="shared" si="272"/>
        <v>37.171304347826101</v>
      </c>
      <c r="E8183" s="637">
        <f t="shared" si="273"/>
        <v>45.844608695652205</v>
      </c>
    </row>
    <row r="8184" spans="1:5">
      <c r="A8184">
        <v>120713</v>
      </c>
      <c r="B8184">
        <v>2000</v>
      </c>
      <c r="C8184" s="455">
        <v>14.15</v>
      </c>
      <c r="D8184" s="637">
        <f t="shared" si="272"/>
        <v>36.913043478260882</v>
      </c>
      <c r="E8184" s="637">
        <f t="shared" si="273"/>
        <v>45.526086956521773</v>
      </c>
    </row>
    <row r="8185" spans="1:5">
      <c r="A8185">
        <v>120713</v>
      </c>
      <c r="B8185">
        <v>2100</v>
      </c>
      <c r="C8185" s="455">
        <v>14.034000000000001</v>
      </c>
      <c r="D8185" s="637">
        <f t="shared" si="272"/>
        <v>36.610434782608714</v>
      </c>
      <c r="E8185" s="637">
        <f t="shared" si="273"/>
        <v>45.152869565217429</v>
      </c>
    </row>
    <row r="8186" spans="1:5">
      <c r="A8186">
        <v>120713</v>
      </c>
      <c r="B8186">
        <v>2200</v>
      </c>
      <c r="C8186" s="455">
        <v>14.244</v>
      </c>
      <c r="D8186" s="637">
        <f t="shared" si="272"/>
        <v>37.158260869565233</v>
      </c>
      <c r="E8186" s="637">
        <f t="shared" si="273"/>
        <v>45.828521739130466</v>
      </c>
    </row>
    <row r="8187" spans="1:5">
      <c r="A8187">
        <v>120713</v>
      </c>
      <c r="B8187">
        <v>2300</v>
      </c>
      <c r="C8187" s="455">
        <v>14.218999999999999</v>
      </c>
      <c r="D8187" s="637">
        <f t="shared" si="272"/>
        <v>37.093043478260881</v>
      </c>
      <c r="E8187" s="637">
        <f t="shared" si="273"/>
        <v>45.748086956521774</v>
      </c>
    </row>
    <row r="8188" spans="1:5">
      <c r="A8188">
        <v>120713</v>
      </c>
      <c r="B8188">
        <v>2400</v>
      </c>
      <c r="C8188" s="455">
        <v>14.702999999999999</v>
      </c>
      <c r="D8188" s="637">
        <f t="shared" si="272"/>
        <v>38.355652173913057</v>
      </c>
      <c r="E8188" s="637">
        <f t="shared" si="273"/>
        <v>47.305304347826116</v>
      </c>
    </row>
    <row r="8189" spans="1:5">
      <c r="A8189">
        <v>120813</v>
      </c>
      <c r="B8189">
        <v>100</v>
      </c>
      <c r="C8189" s="455">
        <v>14.901999999999999</v>
      </c>
      <c r="D8189" s="637">
        <f t="shared" si="272"/>
        <v>38.874782608695668</v>
      </c>
      <c r="E8189" s="637">
        <f t="shared" si="273"/>
        <v>47.945565217391341</v>
      </c>
    </row>
    <row r="8190" spans="1:5">
      <c r="A8190">
        <v>120813</v>
      </c>
      <c r="B8190">
        <v>200</v>
      </c>
      <c r="C8190" s="455">
        <v>14.911</v>
      </c>
      <c r="D8190" s="637">
        <f t="shared" si="272"/>
        <v>38.898260869565227</v>
      </c>
      <c r="E8190" s="637">
        <f t="shared" si="273"/>
        <v>47.974521739130466</v>
      </c>
    </row>
    <row r="8191" spans="1:5">
      <c r="A8191">
        <v>120813</v>
      </c>
      <c r="B8191">
        <v>300</v>
      </c>
      <c r="C8191" s="455">
        <v>14.786</v>
      </c>
      <c r="D8191" s="637">
        <f t="shared" si="272"/>
        <v>38.572173913043493</v>
      </c>
      <c r="E8191" s="637">
        <f t="shared" si="273"/>
        <v>47.57234782608699</v>
      </c>
    </row>
    <row r="8192" spans="1:5">
      <c r="A8192">
        <v>120813</v>
      </c>
      <c r="B8192">
        <v>400</v>
      </c>
      <c r="C8192" s="455">
        <v>15.196999999999999</v>
      </c>
      <c r="D8192" s="637">
        <f t="shared" si="272"/>
        <v>39.644347826086971</v>
      </c>
      <c r="E8192" s="637">
        <f t="shared" si="273"/>
        <v>48.894695652173944</v>
      </c>
    </row>
    <row r="8193" spans="1:5">
      <c r="A8193">
        <v>120813</v>
      </c>
      <c r="B8193">
        <v>500</v>
      </c>
      <c r="C8193" s="455">
        <v>15.663</v>
      </c>
      <c r="D8193" s="637">
        <f t="shared" si="272"/>
        <v>40.860000000000021</v>
      </c>
      <c r="E8193" s="637">
        <f t="shared" si="273"/>
        <v>50.394000000000041</v>
      </c>
    </row>
    <row r="8194" spans="1:5">
      <c r="A8194">
        <v>120813</v>
      </c>
      <c r="B8194">
        <v>600</v>
      </c>
      <c r="C8194" s="455">
        <v>15.082000000000001</v>
      </c>
      <c r="D8194" s="637">
        <f t="shared" si="272"/>
        <v>39.344347826086974</v>
      </c>
      <c r="E8194" s="637">
        <f t="shared" si="273"/>
        <v>48.524695652173953</v>
      </c>
    </row>
    <row r="8195" spans="1:5">
      <c r="A8195">
        <v>120813</v>
      </c>
      <c r="B8195">
        <v>700</v>
      </c>
      <c r="C8195" s="455">
        <v>15.7</v>
      </c>
      <c r="D8195" s="637">
        <f t="shared" si="272"/>
        <v>40.956521739130451</v>
      </c>
      <c r="E8195" s="637">
        <f t="shared" si="273"/>
        <v>50.513043478260904</v>
      </c>
    </row>
    <row r="8196" spans="1:5">
      <c r="A8196">
        <v>120813</v>
      </c>
      <c r="B8196">
        <v>800</v>
      </c>
      <c r="C8196" s="455">
        <v>15.85</v>
      </c>
      <c r="D8196" s="637">
        <f t="shared" si="272"/>
        <v>41.347826086956537</v>
      </c>
      <c r="E8196" s="637">
        <f t="shared" si="273"/>
        <v>50.995652173913079</v>
      </c>
    </row>
    <row r="8197" spans="1:5">
      <c r="A8197">
        <v>120813</v>
      </c>
      <c r="B8197">
        <v>900</v>
      </c>
      <c r="C8197" s="455">
        <v>1.048</v>
      </c>
      <c r="D8197" s="637">
        <f t="shared" si="272"/>
        <v>2.7339130434782621</v>
      </c>
      <c r="E8197" s="637">
        <f t="shared" si="273"/>
        <v>3.3718260869565246</v>
      </c>
    </row>
    <row r="8198" spans="1:5">
      <c r="A8198">
        <v>120813</v>
      </c>
      <c r="B8198">
        <v>1000</v>
      </c>
      <c r="C8198" s="455">
        <v>1E-3</v>
      </c>
      <c r="D8198" s="637">
        <f t="shared" si="272"/>
        <v>2.6086956521739141E-3</v>
      </c>
      <c r="E8198" s="637">
        <f t="shared" si="273"/>
        <v>3.2173913043478286E-3</v>
      </c>
    </row>
    <row r="8199" spans="1:5">
      <c r="A8199">
        <v>120813</v>
      </c>
      <c r="B8199">
        <v>1100</v>
      </c>
      <c r="C8199" s="455">
        <v>0</v>
      </c>
      <c r="D8199" s="637">
        <f t="shared" si="272"/>
        <v>0</v>
      </c>
      <c r="E8199" s="637">
        <f t="shared" si="273"/>
        <v>0</v>
      </c>
    </row>
    <row r="8200" spans="1:5">
      <c r="A8200">
        <v>120813</v>
      </c>
      <c r="B8200">
        <v>1200</v>
      </c>
      <c r="C8200" s="455">
        <v>1E-3</v>
      </c>
      <c r="D8200" s="637">
        <f t="shared" si="272"/>
        <v>2.6086956521739141E-3</v>
      </c>
      <c r="E8200" s="637">
        <f t="shared" si="273"/>
        <v>3.2173913043478286E-3</v>
      </c>
    </row>
    <row r="8201" spans="1:5">
      <c r="A8201">
        <v>120813</v>
      </c>
      <c r="B8201">
        <v>1300</v>
      </c>
      <c r="C8201" s="455">
        <v>0</v>
      </c>
      <c r="D8201" s="637">
        <f t="shared" si="272"/>
        <v>0</v>
      </c>
      <c r="E8201" s="637">
        <f t="shared" si="273"/>
        <v>0</v>
      </c>
    </row>
    <row r="8202" spans="1:5">
      <c r="A8202">
        <v>120813</v>
      </c>
      <c r="B8202">
        <v>1400</v>
      </c>
      <c r="C8202" s="455">
        <v>0</v>
      </c>
      <c r="D8202" s="637">
        <f t="shared" si="272"/>
        <v>0</v>
      </c>
      <c r="E8202" s="637">
        <f t="shared" si="273"/>
        <v>0</v>
      </c>
    </row>
    <row r="8203" spans="1:5">
      <c r="A8203">
        <v>120813</v>
      </c>
      <c r="B8203">
        <v>1500</v>
      </c>
      <c r="C8203" s="455">
        <v>0</v>
      </c>
      <c r="D8203" s="637">
        <f t="shared" si="272"/>
        <v>0</v>
      </c>
      <c r="E8203" s="637">
        <f t="shared" si="273"/>
        <v>0</v>
      </c>
    </row>
    <row r="8204" spans="1:5">
      <c r="A8204">
        <v>120813</v>
      </c>
      <c r="B8204">
        <v>1600</v>
      </c>
      <c r="C8204" s="455">
        <v>0</v>
      </c>
      <c r="D8204" s="637">
        <f t="shared" si="272"/>
        <v>0</v>
      </c>
      <c r="E8204" s="637">
        <f t="shared" si="273"/>
        <v>0</v>
      </c>
    </row>
    <row r="8205" spans="1:5">
      <c r="A8205">
        <v>120813</v>
      </c>
      <c r="B8205">
        <v>1700</v>
      </c>
      <c r="C8205" s="455">
        <v>13.212999999999999</v>
      </c>
      <c r="D8205" s="637">
        <f t="shared" si="272"/>
        <v>34.468695652173928</v>
      </c>
      <c r="E8205" s="637">
        <f t="shared" si="273"/>
        <v>42.511391304347853</v>
      </c>
    </row>
    <row r="8206" spans="1:5">
      <c r="A8206">
        <v>120813</v>
      </c>
      <c r="B8206">
        <v>1800</v>
      </c>
      <c r="C8206" s="455">
        <v>14.13</v>
      </c>
      <c r="D8206" s="637">
        <f t="shared" si="272"/>
        <v>36.860869565217406</v>
      </c>
      <c r="E8206" s="637">
        <f t="shared" si="273"/>
        <v>45.461739130434822</v>
      </c>
    </row>
    <row r="8207" spans="1:5">
      <c r="A8207">
        <v>120813</v>
      </c>
      <c r="B8207">
        <v>1900</v>
      </c>
      <c r="C8207" s="455">
        <v>13.811</v>
      </c>
      <c r="D8207" s="637">
        <f t="shared" si="272"/>
        <v>36.02869565217393</v>
      </c>
      <c r="E8207" s="637">
        <f t="shared" si="273"/>
        <v>44.43539130434786</v>
      </c>
    </row>
    <row r="8208" spans="1:5">
      <c r="A8208">
        <v>120813</v>
      </c>
      <c r="B8208">
        <v>2000</v>
      </c>
      <c r="C8208" s="455">
        <v>13.887</v>
      </c>
      <c r="D8208" s="637">
        <f t="shared" si="272"/>
        <v>36.226956521739147</v>
      </c>
      <c r="E8208" s="637">
        <f t="shared" si="273"/>
        <v>44.679913043478294</v>
      </c>
    </row>
    <row r="8209" spans="1:5">
      <c r="A8209">
        <v>120813</v>
      </c>
      <c r="B8209">
        <v>2100</v>
      </c>
      <c r="C8209" s="455">
        <v>14.093</v>
      </c>
      <c r="D8209" s="637">
        <f t="shared" si="272"/>
        <v>36.764347826086976</v>
      </c>
      <c r="E8209" s="637">
        <f t="shared" si="273"/>
        <v>45.342695652173951</v>
      </c>
    </row>
    <row r="8210" spans="1:5">
      <c r="A8210">
        <v>120813</v>
      </c>
      <c r="B8210">
        <v>2200</v>
      </c>
      <c r="C8210" s="455">
        <v>14.135999999999999</v>
      </c>
      <c r="D8210" s="637">
        <f t="shared" si="272"/>
        <v>36.876521739130446</v>
      </c>
      <c r="E8210" s="637">
        <f t="shared" si="273"/>
        <v>45.481043478260901</v>
      </c>
    </row>
    <row r="8211" spans="1:5">
      <c r="A8211">
        <v>120813</v>
      </c>
      <c r="B8211">
        <v>2300</v>
      </c>
      <c r="C8211" s="455">
        <v>13.991</v>
      </c>
      <c r="D8211" s="637">
        <f t="shared" si="272"/>
        <v>36.498260869565229</v>
      </c>
      <c r="E8211" s="637">
        <f t="shared" si="273"/>
        <v>45.014521739130466</v>
      </c>
    </row>
    <row r="8212" spans="1:5">
      <c r="A8212">
        <v>120813</v>
      </c>
      <c r="B8212">
        <v>2400</v>
      </c>
      <c r="C8212" s="455">
        <v>14.622</v>
      </c>
      <c r="D8212" s="637">
        <f t="shared" si="272"/>
        <v>38.144347826086978</v>
      </c>
      <c r="E8212" s="637">
        <f t="shared" si="273"/>
        <v>47.044695652173949</v>
      </c>
    </row>
    <row r="8213" spans="1:5">
      <c r="A8213">
        <v>120913</v>
      </c>
      <c r="B8213">
        <v>100</v>
      </c>
      <c r="C8213" s="455">
        <v>14.221</v>
      </c>
      <c r="D8213" s="637">
        <f t="shared" si="272"/>
        <v>37.09826086956523</v>
      </c>
      <c r="E8213" s="637">
        <f t="shared" si="273"/>
        <v>45.754521739130467</v>
      </c>
    </row>
    <row r="8214" spans="1:5">
      <c r="A8214">
        <v>120913</v>
      </c>
      <c r="B8214">
        <v>200</v>
      </c>
      <c r="C8214" s="455">
        <v>13.833</v>
      </c>
      <c r="D8214" s="637">
        <f t="shared" ref="D8214:D8277" si="274">(C8214/(MAX($C$8021:$C$8764)))*$W$16</f>
        <v>36.086086956521754</v>
      </c>
      <c r="E8214" s="637">
        <f t="shared" ref="E8214:E8277" si="275">(C8214/(MAX($C$8021:$C$8764)))*$P$16</f>
        <v>44.506173913043519</v>
      </c>
    </row>
    <row r="8215" spans="1:5">
      <c r="A8215">
        <v>120913</v>
      </c>
      <c r="B8215">
        <v>300</v>
      </c>
      <c r="C8215" s="455">
        <v>14.31</v>
      </c>
      <c r="D8215" s="637">
        <f t="shared" si="274"/>
        <v>37.330434782608712</v>
      </c>
      <c r="E8215" s="637">
        <f t="shared" si="275"/>
        <v>46.040869565217427</v>
      </c>
    </row>
    <row r="8216" spans="1:5">
      <c r="A8216">
        <v>120913</v>
      </c>
      <c r="B8216">
        <v>400</v>
      </c>
      <c r="C8216" s="455">
        <v>14.766999999999999</v>
      </c>
      <c r="D8216" s="637">
        <f t="shared" si="274"/>
        <v>38.522608695652188</v>
      </c>
      <c r="E8216" s="637">
        <f t="shared" si="275"/>
        <v>47.511217391304378</v>
      </c>
    </row>
    <row r="8217" spans="1:5">
      <c r="A8217">
        <v>120913</v>
      </c>
      <c r="B8217">
        <v>500</v>
      </c>
      <c r="C8217" s="455">
        <v>14.882</v>
      </c>
      <c r="D8217" s="637">
        <f t="shared" si="274"/>
        <v>38.822608695652193</v>
      </c>
      <c r="E8217" s="637">
        <f t="shared" si="275"/>
        <v>47.881217391304382</v>
      </c>
    </row>
    <row r="8218" spans="1:5">
      <c r="A8218">
        <v>120913</v>
      </c>
      <c r="B8218">
        <v>600</v>
      </c>
      <c r="C8218" s="455">
        <v>14.694000000000001</v>
      </c>
      <c r="D8218" s="637">
        <f t="shared" si="274"/>
        <v>38.332173913043498</v>
      </c>
      <c r="E8218" s="637">
        <f t="shared" si="275"/>
        <v>47.276347826086997</v>
      </c>
    </row>
    <row r="8219" spans="1:5">
      <c r="A8219">
        <v>120913</v>
      </c>
      <c r="B8219">
        <v>700</v>
      </c>
      <c r="C8219" s="455">
        <v>14.592000000000001</v>
      </c>
      <c r="D8219" s="637">
        <f t="shared" si="274"/>
        <v>38.066086956521758</v>
      </c>
      <c r="E8219" s="637">
        <f t="shared" si="275"/>
        <v>46.948173913043519</v>
      </c>
    </row>
    <row r="8220" spans="1:5">
      <c r="A8220">
        <v>120913</v>
      </c>
      <c r="B8220">
        <v>800</v>
      </c>
      <c r="C8220" s="455">
        <v>15.746</v>
      </c>
      <c r="D8220" s="637">
        <f t="shared" si="274"/>
        <v>41.076521739130456</v>
      </c>
      <c r="E8220" s="637">
        <f t="shared" si="275"/>
        <v>50.661043478260915</v>
      </c>
    </row>
    <row r="8221" spans="1:5">
      <c r="A8221">
        <v>120913</v>
      </c>
      <c r="B8221">
        <v>900</v>
      </c>
      <c r="C8221" s="455">
        <v>15.968999999999999</v>
      </c>
      <c r="D8221" s="637">
        <f t="shared" si="274"/>
        <v>41.658260869565233</v>
      </c>
      <c r="E8221" s="637">
        <f t="shared" si="275"/>
        <v>51.378521739130477</v>
      </c>
    </row>
    <row r="8222" spans="1:5">
      <c r="A8222">
        <v>120913</v>
      </c>
      <c r="B8222">
        <v>1000</v>
      </c>
      <c r="C8222" s="455">
        <v>8.9320000000000004</v>
      </c>
      <c r="D8222" s="637">
        <f t="shared" si="274"/>
        <v>23.3008695652174</v>
      </c>
      <c r="E8222" s="637">
        <f t="shared" si="275"/>
        <v>28.737739130434807</v>
      </c>
    </row>
    <row r="8223" spans="1:5">
      <c r="A8223">
        <v>120913</v>
      </c>
      <c r="B8223">
        <v>1100</v>
      </c>
      <c r="C8223" s="455">
        <v>7.9269999999999996</v>
      </c>
      <c r="D8223" s="637">
        <f t="shared" si="274"/>
        <v>20.679130434782614</v>
      </c>
      <c r="E8223" s="637">
        <f t="shared" si="275"/>
        <v>25.504260869565233</v>
      </c>
    </row>
    <row r="8224" spans="1:5">
      <c r="A8224">
        <v>120913</v>
      </c>
      <c r="B8224">
        <v>1200</v>
      </c>
      <c r="C8224" s="455">
        <v>7.282</v>
      </c>
      <c r="D8224" s="637">
        <f t="shared" si="274"/>
        <v>18.996521739130444</v>
      </c>
      <c r="E8224" s="637">
        <f t="shared" si="275"/>
        <v>23.429043478260887</v>
      </c>
    </row>
    <row r="8225" spans="1:5">
      <c r="A8225">
        <v>120913</v>
      </c>
      <c r="B8225">
        <v>1300</v>
      </c>
      <c r="C8225" s="455">
        <v>1.5669999999999999</v>
      </c>
      <c r="D8225" s="637">
        <f t="shared" si="274"/>
        <v>4.0878260869565226</v>
      </c>
      <c r="E8225" s="637">
        <f t="shared" si="275"/>
        <v>5.0416521739130467</v>
      </c>
    </row>
    <row r="8226" spans="1:5">
      <c r="A8226">
        <v>120913</v>
      </c>
      <c r="B8226">
        <v>1400</v>
      </c>
      <c r="C8226" s="455">
        <v>0.93700000000000006</v>
      </c>
      <c r="D8226" s="637">
        <f t="shared" si="274"/>
        <v>2.444347826086958</v>
      </c>
      <c r="E8226" s="637">
        <f t="shared" si="275"/>
        <v>3.0146956521739159</v>
      </c>
    </row>
    <row r="8227" spans="1:5">
      <c r="A8227">
        <v>120913</v>
      </c>
      <c r="B8227">
        <v>1500</v>
      </c>
      <c r="C8227" s="455">
        <v>2.5099999999999998</v>
      </c>
      <c r="D8227" s="637">
        <f t="shared" si="274"/>
        <v>6.5478260869565243</v>
      </c>
      <c r="E8227" s="637">
        <f t="shared" si="275"/>
        <v>8.0756521739130491</v>
      </c>
    </row>
    <row r="8228" spans="1:5">
      <c r="A8228">
        <v>120913</v>
      </c>
      <c r="B8228">
        <v>1600</v>
      </c>
      <c r="C8228" s="455">
        <v>5.5270000000000001</v>
      </c>
      <c r="D8228" s="637">
        <f t="shared" si="274"/>
        <v>14.418260869565223</v>
      </c>
      <c r="E8228" s="637">
        <f t="shared" si="275"/>
        <v>17.782521739130448</v>
      </c>
    </row>
    <row r="8229" spans="1:5">
      <c r="A8229">
        <v>120913</v>
      </c>
      <c r="B8229">
        <v>1700</v>
      </c>
      <c r="C8229" s="455">
        <v>12.271000000000001</v>
      </c>
      <c r="D8229" s="637">
        <f t="shared" si="274"/>
        <v>32.011304347826105</v>
      </c>
      <c r="E8229" s="637">
        <f t="shared" si="275"/>
        <v>39.480608695652208</v>
      </c>
    </row>
    <row r="8230" spans="1:5">
      <c r="A8230">
        <v>120913</v>
      </c>
      <c r="B8230">
        <v>1800</v>
      </c>
      <c r="C8230" s="455">
        <v>14.035</v>
      </c>
      <c r="D8230" s="637">
        <f t="shared" si="274"/>
        <v>36.613043478260884</v>
      </c>
      <c r="E8230" s="637">
        <f t="shared" si="275"/>
        <v>45.156086956521776</v>
      </c>
    </row>
    <row r="8231" spans="1:5">
      <c r="A8231">
        <v>120913</v>
      </c>
      <c r="B8231">
        <v>1900</v>
      </c>
      <c r="C8231" s="455">
        <v>14.456</v>
      </c>
      <c r="D8231" s="637">
        <f t="shared" si="274"/>
        <v>37.711304347826101</v>
      </c>
      <c r="E8231" s="637">
        <f t="shared" si="275"/>
        <v>46.510608695652202</v>
      </c>
    </row>
    <row r="8232" spans="1:5">
      <c r="A8232">
        <v>120913</v>
      </c>
      <c r="B8232">
        <v>2000</v>
      </c>
      <c r="C8232" s="455">
        <v>14.327</v>
      </c>
      <c r="D8232" s="637">
        <f t="shared" si="274"/>
        <v>37.374782608695668</v>
      </c>
      <c r="E8232" s="637">
        <f t="shared" si="275"/>
        <v>46.095565217391339</v>
      </c>
    </row>
    <row r="8233" spans="1:5">
      <c r="A8233">
        <v>120913</v>
      </c>
      <c r="B8233">
        <v>2100</v>
      </c>
      <c r="C8233" s="455">
        <v>14.054</v>
      </c>
      <c r="D8233" s="637">
        <f t="shared" si="274"/>
        <v>36.662608695652189</v>
      </c>
      <c r="E8233" s="637">
        <f t="shared" si="275"/>
        <v>45.217217391304381</v>
      </c>
    </row>
    <row r="8234" spans="1:5">
      <c r="A8234">
        <v>120913</v>
      </c>
      <c r="B8234">
        <v>2200</v>
      </c>
      <c r="C8234" s="455">
        <v>14.305999999999999</v>
      </c>
      <c r="D8234" s="637">
        <f t="shared" si="274"/>
        <v>37.320000000000014</v>
      </c>
      <c r="E8234" s="637">
        <f t="shared" si="275"/>
        <v>46.028000000000027</v>
      </c>
    </row>
    <row r="8235" spans="1:5">
      <c r="A8235">
        <v>120913</v>
      </c>
      <c r="B8235">
        <v>2300</v>
      </c>
      <c r="C8235" s="455">
        <v>14.457000000000001</v>
      </c>
      <c r="D8235" s="637">
        <f t="shared" si="274"/>
        <v>37.713913043478279</v>
      </c>
      <c r="E8235" s="637">
        <f t="shared" si="275"/>
        <v>46.513826086956556</v>
      </c>
    </row>
    <row r="8236" spans="1:5">
      <c r="A8236">
        <v>120913</v>
      </c>
      <c r="B8236">
        <v>2400</v>
      </c>
      <c r="C8236" s="455">
        <v>14.862</v>
      </c>
      <c r="D8236" s="637">
        <f t="shared" si="274"/>
        <v>38.770434782608717</v>
      </c>
      <c r="E8236" s="637">
        <f t="shared" si="275"/>
        <v>47.816869565217431</v>
      </c>
    </row>
    <row r="8237" spans="1:5">
      <c r="A8237">
        <v>121013</v>
      </c>
      <c r="B8237">
        <v>100</v>
      </c>
      <c r="C8237" s="455">
        <v>14.712</v>
      </c>
      <c r="D8237" s="637">
        <f t="shared" si="274"/>
        <v>38.379130434782617</v>
      </c>
      <c r="E8237" s="637">
        <f t="shared" si="275"/>
        <v>47.334260869565249</v>
      </c>
    </row>
    <row r="8238" spans="1:5">
      <c r="A8238">
        <v>121013</v>
      </c>
      <c r="B8238">
        <v>200</v>
      </c>
      <c r="C8238" s="455">
        <v>15.332000000000001</v>
      </c>
      <c r="D8238" s="637">
        <f t="shared" si="274"/>
        <v>39.996521739130451</v>
      </c>
      <c r="E8238" s="637">
        <f t="shared" si="275"/>
        <v>49.329043478260907</v>
      </c>
    </row>
    <row r="8239" spans="1:5">
      <c r="A8239">
        <v>121013</v>
      </c>
      <c r="B8239">
        <v>300</v>
      </c>
      <c r="C8239" s="455">
        <v>15.512</v>
      </c>
      <c r="D8239" s="637">
        <f t="shared" si="274"/>
        <v>40.466086956521757</v>
      </c>
      <c r="E8239" s="637">
        <f t="shared" si="275"/>
        <v>49.90817391304352</v>
      </c>
    </row>
    <row r="8240" spans="1:5">
      <c r="A8240">
        <v>121013</v>
      </c>
      <c r="B8240">
        <v>400</v>
      </c>
      <c r="C8240" s="455">
        <v>15.082000000000001</v>
      </c>
      <c r="D8240" s="637">
        <f t="shared" si="274"/>
        <v>39.344347826086974</v>
      </c>
      <c r="E8240" s="637">
        <f t="shared" si="275"/>
        <v>48.524695652173953</v>
      </c>
    </row>
    <row r="8241" spans="1:5">
      <c r="A8241">
        <v>121013</v>
      </c>
      <c r="B8241">
        <v>500</v>
      </c>
      <c r="C8241" s="455">
        <v>15.926</v>
      </c>
      <c r="D8241" s="637">
        <f t="shared" si="274"/>
        <v>41.546086956521762</v>
      </c>
      <c r="E8241" s="637">
        <f t="shared" si="275"/>
        <v>51.24017391304352</v>
      </c>
    </row>
    <row r="8242" spans="1:5">
      <c r="A8242">
        <v>121013</v>
      </c>
      <c r="B8242">
        <v>600</v>
      </c>
      <c r="C8242" s="455">
        <v>15.31</v>
      </c>
      <c r="D8242" s="637">
        <f t="shared" si="274"/>
        <v>39.939130434782626</v>
      </c>
      <c r="E8242" s="637">
        <f t="shared" si="275"/>
        <v>49.258260869565262</v>
      </c>
    </row>
    <row r="8243" spans="1:5">
      <c r="A8243">
        <v>121013</v>
      </c>
      <c r="B8243">
        <v>700</v>
      </c>
      <c r="C8243" s="455">
        <v>15.278</v>
      </c>
      <c r="D8243" s="637">
        <f t="shared" si="274"/>
        <v>39.855652173913057</v>
      </c>
      <c r="E8243" s="637">
        <f t="shared" si="275"/>
        <v>49.155304347826124</v>
      </c>
    </row>
    <row r="8244" spans="1:5">
      <c r="A8244">
        <v>121013</v>
      </c>
      <c r="B8244">
        <v>800</v>
      </c>
      <c r="C8244" s="455">
        <v>17.288</v>
      </c>
      <c r="D8244" s="637">
        <f t="shared" si="274"/>
        <v>45.099130434782623</v>
      </c>
      <c r="E8244" s="637">
        <f t="shared" si="275"/>
        <v>55.62226086956526</v>
      </c>
    </row>
    <row r="8245" spans="1:5">
      <c r="A8245">
        <v>121013</v>
      </c>
      <c r="B8245">
        <v>900</v>
      </c>
      <c r="C8245" s="455">
        <v>3.2650000000000001</v>
      </c>
      <c r="D8245" s="637">
        <f t="shared" si="274"/>
        <v>8.5173913043478304</v>
      </c>
      <c r="E8245" s="637">
        <f t="shared" si="275"/>
        <v>10.504782608695661</v>
      </c>
    </row>
    <row r="8246" spans="1:5">
      <c r="A8246">
        <v>121013</v>
      </c>
      <c r="B8246">
        <v>1000</v>
      </c>
      <c r="C8246" s="455">
        <v>1.1519999999999999</v>
      </c>
      <c r="D8246" s="637">
        <f t="shared" si="274"/>
        <v>3.005217391304349</v>
      </c>
      <c r="E8246" s="637">
        <f t="shared" si="275"/>
        <v>3.7064347826086981</v>
      </c>
    </row>
    <row r="8247" spans="1:5">
      <c r="A8247">
        <v>121013</v>
      </c>
      <c r="B8247">
        <v>1100</v>
      </c>
      <c r="C8247" s="455">
        <v>1.153</v>
      </c>
      <c r="D8247" s="637">
        <f t="shared" si="274"/>
        <v>3.007826086956523</v>
      </c>
      <c r="E8247" s="637">
        <f t="shared" si="275"/>
        <v>3.7096521739130464</v>
      </c>
    </row>
    <row r="8248" spans="1:5">
      <c r="A8248">
        <v>121013</v>
      </c>
      <c r="B8248">
        <v>1200</v>
      </c>
      <c r="C8248" s="455">
        <v>1.153</v>
      </c>
      <c r="D8248" s="637">
        <f t="shared" si="274"/>
        <v>3.007826086956523</v>
      </c>
      <c r="E8248" s="637">
        <f t="shared" si="275"/>
        <v>3.7096521739130464</v>
      </c>
    </row>
    <row r="8249" spans="1:5">
      <c r="A8249">
        <v>121013</v>
      </c>
      <c r="B8249">
        <v>1300</v>
      </c>
      <c r="C8249" s="455">
        <v>1.1519999999999999</v>
      </c>
      <c r="D8249" s="637">
        <f t="shared" si="274"/>
        <v>3.005217391304349</v>
      </c>
      <c r="E8249" s="637">
        <f t="shared" si="275"/>
        <v>3.7064347826086981</v>
      </c>
    </row>
    <row r="8250" spans="1:5">
      <c r="A8250">
        <v>121013</v>
      </c>
      <c r="B8250">
        <v>1400</v>
      </c>
      <c r="C8250" s="455">
        <v>1.1519999999999999</v>
      </c>
      <c r="D8250" s="637">
        <f t="shared" si="274"/>
        <v>3.005217391304349</v>
      </c>
      <c r="E8250" s="637">
        <f t="shared" si="275"/>
        <v>3.7064347826086981</v>
      </c>
    </row>
    <row r="8251" spans="1:5">
      <c r="A8251">
        <v>121013</v>
      </c>
      <c r="B8251">
        <v>1500</v>
      </c>
      <c r="C8251" s="455">
        <v>1.1519999999999999</v>
      </c>
      <c r="D8251" s="637">
        <f t="shared" si="274"/>
        <v>3.005217391304349</v>
      </c>
      <c r="E8251" s="637">
        <f t="shared" si="275"/>
        <v>3.7064347826086981</v>
      </c>
    </row>
    <row r="8252" spans="1:5">
      <c r="A8252">
        <v>121013</v>
      </c>
      <c r="B8252">
        <v>1600</v>
      </c>
      <c r="C8252" s="455">
        <v>1.1519999999999999</v>
      </c>
      <c r="D8252" s="637">
        <f t="shared" si="274"/>
        <v>3.005217391304349</v>
      </c>
      <c r="E8252" s="637">
        <f t="shared" si="275"/>
        <v>3.7064347826086981</v>
      </c>
    </row>
    <row r="8253" spans="1:5">
      <c r="A8253">
        <v>121013</v>
      </c>
      <c r="B8253">
        <v>1700</v>
      </c>
      <c r="C8253" s="455">
        <v>10.345000000000001</v>
      </c>
      <c r="D8253" s="637">
        <f t="shared" si="274"/>
        <v>26.986956521739145</v>
      </c>
      <c r="E8253" s="637">
        <f t="shared" si="275"/>
        <v>33.283913043478293</v>
      </c>
    </row>
    <row r="8254" spans="1:5">
      <c r="A8254">
        <v>121013</v>
      </c>
      <c r="B8254">
        <v>1800</v>
      </c>
      <c r="C8254" s="455">
        <v>15.066000000000001</v>
      </c>
      <c r="D8254" s="637">
        <f t="shared" si="274"/>
        <v>39.302608695652189</v>
      </c>
      <c r="E8254" s="637">
        <f t="shared" si="275"/>
        <v>48.473217391304381</v>
      </c>
    </row>
    <row r="8255" spans="1:5">
      <c r="A8255">
        <v>121013</v>
      </c>
      <c r="B8255">
        <v>1900</v>
      </c>
      <c r="C8255" s="455">
        <v>15.035</v>
      </c>
      <c r="D8255" s="637">
        <f t="shared" si="274"/>
        <v>39.221739130434798</v>
      </c>
      <c r="E8255" s="637">
        <f t="shared" si="275"/>
        <v>48.373478260869604</v>
      </c>
    </row>
    <row r="8256" spans="1:5">
      <c r="A8256">
        <v>121013</v>
      </c>
      <c r="B8256">
        <v>2000</v>
      </c>
      <c r="C8256" s="455">
        <v>15.351000000000001</v>
      </c>
      <c r="D8256" s="637">
        <f t="shared" si="274"/>
        <v>40.046086956521755</v>
      </c>
      <c r="E8256" s="637">
        <f t="shared" si="275"/>
        <v>49.390173913043519</v>
      </c>
    </row>
    <row r="8257" spans="1:5">
      <c r="A8257">
        <v>121013</v>
      </c>
      <c r="B8257">
        <v>2100</v>
      </c>
      <c r="C8257" s="455">
        <v>15.236000000000001</v>
      </c>
      <c r="D8257" s="637">
        <f t="shared" si="274"/>
        <v>39.746086956521758</v>
      </c>
      <c r="E8257" s="637">
        <f t="shared" si="275"/>
        <v>49.020173913043521</v>
      </c>
    </row>
    <row r="8258" spans="1:5">
      <c r="A8258">
        <v>121013</v>
      </c>
      <c r="B8258">
        <v>2200</v>
      </c>
      <c r="C8258" s="455">
        <v>15.494</v>
      </c>
      <c r="D8258" s="637">
        <f t="shared" si="274"/>
        <v>40.41913043478263</v>
      </c>
      <c r="E8258" s="637">
        <f t="shared" si="275"/>
        <v>49.850260869565254</v>
      </c>
    </row>
    <row r="8259" spans="1:5">
      <c r="A8259">
        <v>121013</v>
      </c>
      <c r="B8259">
        <v>2300</v>
      </c>
      <c r="C8259" s="455">
        <v>15.154999999999999</v>
      </c>
      <c r="D8259" s="637">
        <f t="shared" si="274"/>
        <v>39.534782608695664</v>
      </c>
      <c r="E8259" s="637">
        <f t="shared" si="275"/>
        <v>48.759565217391334</v>
      </c>
    </row>
    <row r="8260" spans="1:5">
      <c r="A8260">
        <v>121013</v>
      </c>
      <c r="B8260">
        <v>2400</v>
      </c>
      <c r="C8260" s="455">
        <v>15.436</v>
      </c>
      <c r="D8260" s="637">
        <f t="shared" si="274"/>
        <v>40.267826086956539</v>
      </c>
      <c r="E8260" s="637">
        <f t="shared" si="275"/>
        <v>49.663652173913086</v>
      </c>
    </row>
    <row r="8261" spans="1:5">
      <c r="A8261">
        <v>121113</v>
      </c>
      <c r="B8261">
        <v>100</v>
      </c>
      <c r="C8261" s="455">
        <v>15.183</v>
      </c>
      <c r="D8261" s="637">
        <f t="shared" si="274"/>
        <v>39.607826086956536</v>
      </c>
      <c r="E8261" s="637">
        <f t="shared" si="275"/>
        <v>48.849652173913078</v>
      </c>
    </row>
    <row r="8262" spans="1:5">
      <c r="A8262">
        <v>121113</v>
      </c>
      <c r="B8262">
        <v>200</v>
      </c>
      <c r="C8262" s="455">
        <v>15.566000000000001</v>
      </c>
      <c r="D8262" s="637">
        <f t="shared" si="274"/>
        <v>40.60695652173915</v>
      </c>
      <c r="E8262" s="637">
        <f t="shared" si="275"/>
        <v>50.081913043478302</v>
      </c>
    </row>
    <row r="8263" spans="1:5">
      <c r="A8263">
        <v>121113</v>
      </c>
      <c r="B8263">
        <v>300</v>
      </c>
      <c r="C8263" s="455">
        <v>15.566000000000001</v>
      </c>
      <c r="D8263" s="637">
        <f t="shared" si="274"/>
        <v>40.60695652173915</v>
      </c>
      <c r="E8263" s="637">
        <f t="shared" si="275"/>
        <v>50.081913043478302</v>
      </c>
    </row>
    <row r="8264" spans="1:5">
      <c r="A8264">
        <v>121113</v>
      </c>
      <c r="B8264">
        <v>400</v>
      </c>
      <c r="C8264" s="455">
        <v>15.355</v>
      </c>
      <c r="D8264" s="637">
        <f t="shared" si="274"/>
        <v>40.056521739130453</v>
      </c>
      <c r="E8264" s="637">
        <f t="shared" si="275"/>
        <v>49.403043478260905</v>
      </c>
    </row>
    <row r="8265" spans="1:5">
      <c r="A8265">
        <v>121113</v>
      </c>
      <c r="B8265">
        <v>500</v>
      </c>
      <c r="C8265" s="455">
        <v>15.846</v>
      </c>
      <c r="D8265" s="637">
        <f t="shared" si="274"/>
        <v>41.33739130434784</v>
      </c>
      <c r="E8265" s="637">
        <f t="shared" si="275"/>
        <v>50.982782608695686</v>
      </c>
    </row>
    <row r="8266" spans="1:5">
      <c r="A8266">
        <v>121113</v>
      </c>
      <c r="B8266">
        <v>600</v>
      </c>
      <c r="C8266" s="455">
        <v>15.692</v>
      </c>
      <c r="D8266" s="637">
        <f t="shared" si="274"/>
        <v>40.935652173913063</v>
      </c>
      <c r="E8266" s="637">
        <f t="shared" si="275"/>
        <v>50.487304347826125</v>
      </c>
    </row>
    <row r="8267" spans="1:5">
      <c r="A8267">
        <v>121113</v>
      </c>
      <c r="B8267">
        <v>700</v>
      </c>
      <c r="C8267" s="455">
        <v>15.664999999999999</v>
      </c>
      <c r="D8267" s="637">
        <f t="shared" si="274"/>
        <v>40.865217391304363</v>
      </c>
      <c r="E8267" s="637">
        <f t="shared" si="275"/>
        <v>50.400434782608727</v>
      </c>
    </row>
    <row r="8268" spans="1:5">
      <c r="A8268">
        <v>121113</v>
      </c>
      <c r="B8268">
        <v>800</v>
      </c>
      <c r="C8268" s="455">
        <v>16.545000000000002</v>
      </c>
      <c r="D8268" s="637">
        <f t="shared" si="274"/>
        <v>43.160869565217411</v>
      </c>
      <c r="E8268" s="637">
        <f t="shared" si="275"/>
        <v>53.231739130434832</v>
      </c>
    </row>
    <row r="8269" spans="1:5">
      <c r="A8269">
        <v>121113</v>
      </c>
      <c r="B8269">
        <v>900</v>
      </c>
      <c r="C8269" s="455">
        <v>2.3940000000000001</v>
      </c>
      <c r="D8269" s="637">
        <f t="shared" si="274"/>
        <v>6.2452173913043509</v>
      </c>
      <c r="E8269" s="637">
        <f t="shared" si="275"/>
        <v>7.7024347826087016</v>
      </c>
    </row>
    <row r="8270" spans="1:5">
      <c r="A8270">
        <v>121113</v>
      </c>
      <c r="B8270">
        <v>1000</v>
      </c>
      <c r="C8270" s="455">
        <v>1.1519999999999999</v>
      </c>
      <c r="D8270" s="637">
        <f t="shared" si="274"/>
        <v>3.005217391304349</v>
      </c>
      <c r="E8270" s="637">
        <f t="shared" si="275"/>
        <v>3.7064347826086981</v>
      </c>
    </row>
    <row r="8271" spans="1:5">
      <c r="A8271">
        <v>121113</v>
      </c>
      <c r="B8271">
        <v>1100</v>
      </c>
      <c r="C8271" s="455">
        <v>1.153</v>
      </c>
      <c r="D8271" s="637">
        <f t="shared" si="274"/>
        <v>3.007826086956523</v>
      </c>
      <c r="E8271" s="637">
        <f t="shared" si="275"/>
        <v>3.7096521739130464</v>
      </c>
    </row>
    <row r="8272" spans="1:5">
      <c r="A8272">
        <v>121113</v>
      </c>
      <c r="B8272">
        <v>1200</v>
      </c>
      <c r="C8272" s="455">
        <v>1.08</v>
      </c>
      <c r="D8272" s="637">
        <f t="shared" si="274"/>
        <v>2.8173913043478271</v>
      </c>
      <c r="E8272" s="637">
        <f t="shared" si="275"/>
        <v>3.474782608695655</v>
      </c>
    </row>
    <row r="8273" spans="1:5">
      <c r="A8273">
        <v>121113</v>
      </c>
      <c r="B8273">
        <v>1300</v>
      </c>
      <c r="C8273" s="455">
        <v>1.1519999999999999</v>
      </c>
      <c r="D8273" s="637">
        <f t="shared" si="274"/>
        <v>3.005217391304349</v>
      </c>
      <c r="E8273" s="637">
        <f t="shared" si="275"/>
        <v>3.7064347826086981</v>
      </c>
    </row>
    <row r="8274" spans="1:5">
      <c r="A8274">
        <v>121113</v>
      </c>
      <c r="B8274">
        <v>1400</v>
      </c>
      <c r="C8274" s="455">
        <v>1.1519999999999999</v>
      </c>
      <c r="D8274" s="637">
        <f t="shared" si="274"/>
        <v>3.005217391304349</v>
      </c>
      <c r="E8274" s="637">
        <f t="shared" si="275"/>
        <v>3.7064347826086981</v>
      </c>
    </row>
    <row r="8275" spans="1:5">
      <c r="A8275">
        <v>121113</v>
      </c>
      <c r="B8275">
        <v>1500</v>
      </c>
      <c r="C8275" s="455">
        <v>1.153</v>
      </c>
      <c r="D8275" s="637">
        <f t="shared" si="274"/>
        <v>3.007826086956523</v>
      </c>
      <c r="E8275" s="637">
        <f t="shared" si="275"/>
        <v>3.7096521739130464</v>
      </c>
    </row>
    <row r="8276" spans="1:5">
      <c r="A8276">
        <v>121113</v>
      </c>
      <c r="B8276">
        <v>1600</v>
      </c>
      <c r="C8276" s="455">
        <v>1.155</v>
      </c>
      <c r="D8276" s="637">
        <f t="shared" si="274"/>
        <v>3.013043478260871</v>
      </c>
      <c r="E8276" s="637">
        <f t="shared" si="275"/>
        <v>3.716086956521742</v>
      </c>
    </row>
    <row r="8277" spans="1:5">
      <c r="A8277">
        <v>121113</v>
      </c>
      <c r="B8277">
        <v>1700</v>
      </c>
      <c r="C8277" s="455">
        <v>9.2870000000000008</v>
      </c>
      <c r="D8277" s="637">
        <f t="shared" si="274"/>
        <v>24.226956521739144</v>
      </c>
      <c r="E8277" s="637">
        <f t="shared" si="275"/>
        <v>29.879913043478286</v>
      </c>
    </row>
    <row r="8278" spans="1:5">
      <c r="A8278">
        <v>121113</v>
      </c>
      <c r="B8278">
        <v>1800</v>
      </c>
      <c r="C8278" s="455">
        <v>15.510999999999999</v>
      </c>
      <c r="D8278" s="637">
        <f t="shared" ref="D8278:D8341" si="276">(C8278/(MAX($C$8021:$C$8764)))*$W$16</f>
        <v>40.463478260869579</v>
      </c>
      <c r="E8278" s="637">
        <f t="shared" ref="E8278:E8341" si="277">(C8278/(MAX($C$8021:$C$8764)))*$P$16</f>
        <v>49.904956521739166</v>
      </c>
    </row>
    <row r="8279" spans="1:5">
      <c r="A8279">
        <v>121113</v>
      </c>
      <c r="B8279">
        <v>1900</v>
      </c>
      <c r="C8279" s="455">
        <v>15.129</v>
      </c>
      <c r="D8279" s="637">
        <f t="shared" si="276"/>
        <v>39.466956521739149</v>
      </c>
      <c r="E8279" s="637">
        <f t="shared" si="277"/>
        <v>48.675913043478296</v>
      </c>
    </row>
    <row r="8280" spans="1:5">
      <c r="A8280">
        <v>121113</v>
      </c>
      <c r="B8280">
        <v>2000</v>
      </c>
      <c r="C8280" s="455">
        <v>15.154999999999999</v>
      </c>
      <c r="D8280" s="637">
        <f t="shared" si="276"/>
        <v>39.534782608695664</v>
      </c>
      <c r="E8280" s="637">
        <f t="shared" si="277"/>
        <v>48.759565217391334</v>
      </c>
    </row>
    <row r="8281" spans="1:5">
      <c r="A8281">
        <v>121113</v>
      </c>
      <c r="B8281">
        <v>2100</v>
      </c>
      <c r="C8281" s="455">
        <v>15.988</v>
      </c>
      <c r="D8281" s="637">
        <f t="shared" si="276"/>
        <v>41.707826086956537</v>
      </c>
      <c r="E8281" s="637">
        <f t="shared" si="277"/>
        <v>51.439652173913075</v>
      </c>
    </row>
    <row r="8282" spans="1:5">
      <c r="A8282">
        <v>121113</v>
      </c>
      <c r="B8282">
        <v>2200</v>
      </c>
      <c r="C8282" s="455">
        <v>15.314</v>
      </c>
      <c r="D8282" s="637">
        <f t="shared" si="276"/>
        <v>39.949565217391324</v>
      </c>
      <c r="E8282" s="637">
        <f t="shared" si="277"/>
        <v>49.271130434782648</v>
      </c>
    </row>
    <row r="8283" spans="1:5">
      <c r="A8283">
        <v>121113</v>
      </c>
      <c r="B8283">
        <v>2300</v>
      </c>
      <c r="C8283" s="455">
        <v>16.161999999999999</v>
      </c>
      <c r="D8283" s="637">
        <f t="shared" si="276"/>
        <v>42.161739130434796</v>
      </c>
      <c r="E8283" s="637">
        <f t="shared" si="277"/>
        <v>51.999478260869601</v>
      </c>
    </row>
    <row r="8284" spans="1:5">
      <c r="A8284">
        <v>121113</v>
      </c>
      <c r="B8284">
        <v>2400</v>
      </c>
      <c r="C8284" s="455">
        <v>15.353</v>
      </c>
      <c r="D8284" s="637">
        <f t="shared" si="276"/>
        <v>40.051304347826104</v>
      </c>
      <c r="E8284" s="637">
        <f t="shared" si="277"/>
        <v>49.396608695652212</v>
      </c>
    </row>
    <row r="8285" spans="1:5">
      <c r="A8285">
        <v>121213</v>
      </c>
      <c r="B8285">
        <v>100</v>
      </c>
      <c r="C8285" s="455">
        <v>15.943</v>
      </c>
      <c r="D8285" s="637">
        <f t="shared" si="276"/>
        <v>41.59043478260871</v>
      </c>
      <c r="E8285" s="637">
        <f t="shared" si="277"/>
        <v>51.294869565217432</v>
      </c>
    </row>
    <row r="8286" spans="1:5">
      <c r="A8286">
        <v>121213</v>
      </c>
      <c r="B8286">
        <v>200</v>
      </c>
      <c r="C8286" s="455">
        <v>15.617000000000001</v>
      </c>
      <c r="D8286" s="637">
        <f t="shared" si="276"/>
        <v>40.740000000000023</v>
      </c>
      <c r="E8286" s="637">
        <f t="shared" si="277"/>
        <v>50.246000000000045</v>
      </c>
    </row>
    <row r="8287" spans="1:5">
      <c r="A8287">
        <v>121213</v>
      </c>
      <c r="B8287">
        <v>300</v>
      </c>
      <c r="C8287" s="455">
        <v>16.248999999999999</v>
      </c>
      <c r="D8287" s="637">
        <f t="shared" si="276"/>
        <v>42.388695652173929</v>
      </c>
      <c r="E8287" s="637">
        <f t="shared" si="277"/>
        <v>52.279391304347861</v>
      </c>
    </row>
    <row r="8288" spans="1:5">
      <c r="A8288">
        <v>121213</v>
      </c>
      <c r="B8288">
        <v>400</v>
      </c>
      <c r="C8288" s="455">
        <v>16.015999999999998</v>
      </c>
      <c r="D8288" s="637">
        <f t="shared" si="276"/>
        <v>41.780869565217408</v>
      </c>
      <c r="E8288" s="637">
        <f t="shared" si="277"/>
        <v>51.52973913043482</v>
      </c>
    </row>
    <row r="8289" spans="1:5">
      <c r="A8289">
        <v>121213</v>
      </c>
      <c r="B8289">
        <v>500</v>
      </c>
      <c r="C8289" s="455">
        <v>16.04</v>
      </c>
      <c r="D8289" s="637">
        <f t="shared" si="276"/>
        <v>41.843478260869581</v>
      </c>
      <c r="E8289" s="637">
        <f t="shared" si="277"/>
        <v>51.606956521739171</v>
      </c>
    </row>
    <row r="8290" spans="1:5">
      <c r="A8290">
        <v>121213</v>
      </c>
      <c r="B8290">
        <v>600</v>
      </c>
      <c r="C8290" s="455">
        <v>16.314</v>
      </c>
      <c r="D8290" s="637">
        <f t="shared" si="276"/>
        <v>42.558260869565231</v>
      </c>
      <c r="E8290" s="637">
        <f t="shared" si="277"/>
        <v>52.488521739130469</v>
      </c>
    </row>
    <row r="8291" spans="1:5">
      <c r="A8291">
        <v>121213</v>
      </c>
      <c r="B8291">
        <v>700</v>
      </c>
      <c r="C8291" s="455">
        <v>15.855</v>
      </c>
      <c r="D8291" s="637">
        <f t="shared" si="276"/>
        <v>41.360869565217406</v>
      </c>
      <c r="E8291" s="637">
        <f t="shared" si="277"/>
        <v>51.011739130434819</v>
      </c>
    </row>
    <row r="8292" spans="1:5">
      <c r="A8292">
        <v>121213</v>
      </c>
      <c r="B8292">
        <v>800</v>
      </c>
      <c r="C8292" s="455">
        <v>16.734999999999999</v>
      </c>
      <c r="D8292" s="637">
        <f t="shared" si="276"/>
        <v>43.656521739130454</v>
      </c>
      <c r="E8292" s="637">
        <f t="shared" si="277"/>
        <v>53.84304347826091</v>
      </c>
    </row>
    <row r="8293" spans="1:5">
      <c r="A8293">
        <v>121213</v>
      </c>
      <c r="B8293">
        <v>900</v>
      </c>
      <c r="C8293" s="455">
        <v>1.946</v>
      </c>
      <c r="D8293" s="637">
        <f t="shared" si="276"/>
        <v>5.0765217391304365</v>
      </c>
      <c r="E8293" s="637">
        <f t="shared" si="277"/>
        <v>6.2610434782608735</v>
      </c>
    </row>
    <row r="8294" spans="1:5">
      <c r="A8294">
        <v>121213</v>
      </c>
      <c r="B8294">
        <v>1000</v>
      </c>
      <c r="C8294" s="455">
        <v>1.1519999999999999</v>
      </c>
      <c r="D8294" s="637">
        <f t="shared" si="276"/>
        <v>3.005217391304349</v>
      </c>
      <c r="E8294" s="637">
        <f t="shared" si="277"/>
        <v>3.7064347826086981</v>
      </c>
    </row>
    <row r="8295" spans="1:5">
      <c r="A8295">
        <v>121213</v>
      </c>
      <c r="B8295">
        <v>1100</v>
      </c>
      <c r="C8295" s="455">
        <v>1.1539999999999999</v>
      </c>
      <c r="D8295" s="637">
        <f t="shared" si="276"/>
        <v>3.0104347826086966</v>
      </c>
      <c r="E8295" s="637">
        <f t="shared" si="277"/>
        <v>3.7128695652173938</v>
      </c>
    </row>
    <row r="8296" spans="1:5">
      <c r="A8296">
        <v>121213</v>
      </c>
      <c r="B8296">
        <v>1200</v>
      </c>
      <c r="C8296" s="455">
        <v>1.1519999999999999</v>
      </c>
      <c r="D8296" s="637">
        <f t="shared" si="276"/>
        <v>3.005217391304349</v>
      </c>
      <c r="E8296" s="637">
        <f t="shared" si="277"/>
        <v>3.7064347826086981</v>
      </c>
    </row>
    <row r="8297" spans="1:5">
      <c r="A8297">
        <v>121213</v>
      </c>
      <c r="B8297">
        <v>1300</v>
      </c>
      <c r="C8297" s="455">
        <v>1.1519999999999999</v>
      </c>
      <c r="D8297" s="637">
        <f t="shared" si="276"/>
        <v>3.005217391304349</v>
      </c>
      <c r="E8297" s="637">
        <f t="shared" si="277"/>
        <v>3.7064347826086981</v>
      </c>
    </row>
    <row r="8298" spans="1:5">
      <c r="A8298">
        <v>121213</v>
      </c>
      <c r="B8298">
        <v>1400</v>
      </c>
      <c r="C8298" s="455">
        <v>1.1519999999999999</v>
      </c>
      <c r="D8298" s="637">
        <f t="shared" si="276"/>
        <v>3.005217391304349</v>
      </c>
      <c r="E8298" s="637">
        <f t="shared" si="277"/>
        <v>3.7064347826086981</v>
      </c>
    </row>
    <row r="8299" spans="1:5">
      <c r="A8299">
        <v>121213</v>
      </c>
      <c r="B8299">
        <v>1500</v>
      </c>
      <c r="C8299" s="455">
        <v>1.1519999999999999</v>
      </c>
      <c r="D8299" s="637">
        <f t="shared" si="276"/>
        <v>3.005217391304349</v>
      </c>
      <c r="E8299" s="637">
        <f t="shared" si="277"/>
        <v>3.7064347826086981</v>
      </c>
    </row>
    <row r="8300" spans="1:5">
      <c r="A8300">
        <v>121213</v>
      </c>
      <c r="B8300">
        <v>1600</v>
      </c>
      <c r="C8300" s="455">
        <v>1.1519999999999999</v>
      </c>
      <c r="D8300" s="637">
        <f t="shared" si="276"/>
        <v>3.005217391304349</v>
      </c>
      <c r="E8300" s="637">
        <f t="shared" si="277"/>
        <v>3.7064347826086981</v>
      </c>
    </row>
    <row r="8301" spans="1:5">
      <c r="A8301">
        <v>121213</v>
      </c>
      <c r="B8301">
        <v>1700</v>
      </c>
      <c r="C8301" s="455">
        <v>10.177</v>
      </c>
      <c r="D8301" s="637">
        <f t="shared" si="276"/>
        <v>26.548695652173922</v>
      </c>
      <c r="E8301" s="637">
        <f t="shared" si="277"/>
        <v>32.743391304347846</v>
      </c>
    </row>
    <row r="8302" spans="1:5">
      <c r="A8302">
        <v>121213</v>
      </c>
      <c r="B8302">
        <v>1800</v>
      </c>
      <c r="C8302" s="455">
        <v>15.061999999999999</v>
      </c>
      <c r="D8302" s="637">
        <f t="shared" si="276"/>
        <v>39.292173913043491</v>
      </c>
      <c r="E8302" s="637">
        <f t="shared" si="277"/>
        <v>48.460347826086995</v>
      </c>
    </row>
    <row r="8303" spans="1:5">
      <c r="A8303">
        <v>121213</v>
      </c>
      <c r="B8303">
        <v>1900</v>
      </c>
      <c r="C8303" s="455">
        <v>15.192</v>
      </c>
      <c r="D8303" s="637">
        <f t="shared" si="276"/>
        <v>39.631304347826102</v>
      </c>
      <c r="E8303" s="637">
        <f t="shared" si="277"/>
        <v>48.878608695652211</v>
      </c>
    </row>
    <row r="8304" spans="1:5">
      <c r="A8304">
        <v>121213</v>
      </c>
      <c r="B8304">
        <v>2000</v>
      </c>
      <c r="C8304" s="455">
        <v>15.095000000000001</v>
      </c>
      <c r="D8304" s="637">
        <f t="shared" si="276"/>
        <v>39.378260869565239</v>
      </c>
      <c r="E8304" s="637">
        <f t="shared" si="277"/>
        <v>48.566521739130472</v>
      </c>
    </row>
    <row r="8305" spans="1:5">
      <c r="A8305">
        <v>121213</v>
      </c>
      <c r="B8305">
        <v>2100</v>
      </c>
      <c r="C8305" s="455">
        <v>15.574999999999999</v>
      </c>
      <c r="D8305" s="637">
        <f t="shared" si="276"/>
        <v>40.63043478260871</v>
      </c>
      <c r="E8305" s="637">
        <f t="shared" si="277"/>
        <v>50.110869565217428</v>
      </c>
    </row>
    <row r="8306" spans="1:5">
      <c r="A8306">
        <v>121213</v>
      </c>
      <c r="B8306">
        <v>2200</v>
      </c>
      <c r="C8306" s="455">
        <v>15.333</v>
      </c>
      <c r="D8306" s="637">
        <f t="shared" si="276"/>
        <v>39.999130434782629</v>
      </c>
      <c r="E8306" s="637">
        <f t="shared" si="277"/>
        <v>49.33226086956526</v>
      </c>
    </row>
    <row r="8307" spans="1:5">
      <c r="A8307">
        <v>121213</v>
      </c>
      <c r="B8307">
        <v>2300</v>
      </c>
      <c r="C8307" s="455">
        <v>15.347</v>
      </c>
      <c r="D8307" s="637">
        <f t="shared" si="276"/>
        <v>40.035652173913057</v>
      </c>
      <c r="E8307" s="637">
        <f t="shared" si="277"/>
        <v>49.377304347826119</v>
      </c>
    </row>
    <row r="8308" spans="1:5">
      <c r="A8308">
        <v>121213</v>
      </c>
      <c r="B8308">
        <v>2400</v>
      </c>
      <c r="C8308" s="455">
        <v>15.568</v>
      </c>
      <c r="D8308" s="637">
        <f t="shared" si="276"/>
        <v>40.612173913043492</v>
      </c>
      <c r="E8308" s="637">
        <f t="shared" si="277"/>
        <v>50.088347826086988</v>
      </c>
    </row>
    <row r="8309" spans="1:5">
      <c r="A8309">
        <v>121313</v>
      </c>
      <c r="B8309">
        <v>100</v>
      </c>
      <c r="C8309" s="455">
        <v>15.227</v>
      </c>
      <c r="D8309" s="637">
        <f t="shared" si="276"/>
        <v>39.722608695652191</v>
      </c>
      <c r="E8309" s="637">
        <f t="shared" si="277"/>
        <v>48.991217391304389</v>
      </c>
    </row>
    <row r="8310" spans="1:5">
      <c r="A8310">
        <v>121313</v>
      </c>
      <c r="B8310">
        <v>200</v>
      </c>
      <c r="C8310" s="455">
        <v>15.843999999999999</v>
      </c>
      <c r="D8310" s="637">
        <f t="shared" si="276"/>
        <v>41.332173913043498</v>
      </c>
      <c r="E8310" s="637">
        <f t="shared" si="277"/>
        <v>50.976347826086993</v>
      </c>
    </row>
    <row r="8311" spans="1:5">
      <c r="A8311">
        <v>121313</v>
      </c>
      <c r="B8311">
        <v>300</v>
      </c>
      <c r="C8311" s="455">
        <v>15.37</v>
      </c>
      <c r="D8311" s="637">
        <f t="shared" si="276"/>
        <v>40.095652173913059</v>
      </c>
      <c r="E8311" s="637">
        <f t="shared" si="277"/>
        <v>49.451304347826124</v>
      </c>
    </row>
    <row r="8312" spans="1:5">
      <c r="A8312">
        <v>121313</v>
      </c>
      <c r="B8312">
        <v>400</v>
      </c>
      <c r="C8312" s="455">
        <v>15.173999999999999</v>
      </c>
      <c r="D8312" s="637">
        <f t="shared" si="276"/>
        <v>39.584347826086969</v>
      </c>
      <c r="E8312" s="637">
        <f t="shared" si="277"/>
        <v>48.820695652173946</v>
      </c>
    </row>
    <row r="8313" spans="1:5">
      <c r="A8313">
        <v>121313</v>
      </c>
      <c r="B8313">
        <v>500</v>
      </c>
      <c r="C8313" s="455">
        <v>15.72</v>
      </c>
      <c r="D8313" s="637">
        <f t="shared" si="276"/>
        <v>41.008695652173934</v>
      </c>
      <c r="E8313" s="637">
        <f t="shared" si="277"/>
        <v>50.577391304347863</v>
      </c>
    </row>
    <row r="8314" spans="1:5">
      <c r="A8314">
        <v>121313</v>
      </c>
      <c r="B8314">
        <v>600</v>
      </c>
      <c r="C8314" s="455">
        <v>16.091000000000001</v>
      </c>
      <c r="D8314" s="637">
        <f t="shared" si="276"/>
        <v>41.976521739130455</v>
      </c>
      <c r="E8314" s="637">
        <f t="shared" si="277"/>
        <v>51.771043478260907</v>
      </c>
    </row>
    <row r="8315" spans="1:5">
      <c r="A8315">
        <v>121313</v>
      </c>
      <c r="B8315">
        <v>700</v>
      </c>
      <c r="C8315" s="455">
        <v>15.77</v>
      </c>
      <c r="D8315" s="637">
        <f t="shared" si="276"/>
        <v>41.139130434782622</v>
      </c>
      <c r="E8315" s="637">
        <f t="shared" si="277"/>
        <v>50.738260869565252</v>
      </c>
    </row>
    <row r="8316" spans="1:5">
      <c r="A8316">
        <v>121313</v>
      </c>
      <c r="B8316">
        <v>800</v>
      </c>
      <c r="C8316" s="455">
        <v>17.766999999999999</v>
      </c>
      <c r="D8316" s="637">
        <f t="shared" si="276"/>
        <v>46.34869565217393</v>
      </c>
      <c r="E8316" s="637">
        <f t="shared" si="277"/>
        <v>57.163391304347861</v>
      </c>
    </row>
    <row r="8317" spans="1:5">
      <c r="A8317">
        <v>121313</v>
      </c>
      <c r="B8317">
        <v>900</v>
      </c>
      <c r="C8317" s="455">
        <v>11.85</v>
      </c>
      <c r="D8317" s="637">
        <f t="shared" si="276"/>
        <v>30.913043478260882</v>
      </c>
      <c r="E8317" s="637">
        <f t="shared" si="277"/>
        <v>38.126086956521767</v>
      </c>
    </row>
    <row r="8318" spans="1:5">
      <c r="A8318">
        <v>121313</v>
      </c>
      <c r="B8318">
        <v>1000</v>
      </c>
      <c r="C8318" s="455">
        <v>1.716</v>
      </c>
      <c r="D8318" s="637">
        <f t="shared" si="276"/>
        <v>4.4765217391304368</v>
      </c>
      <c r="E8318" s="637">
        <f t="shared" si="277"/>
        <v>5.5210434782608742</v>
      </c>
    </row>
    <row r="8319" spans="1:5">
      <c r="A8319">
        <v>121313</v>
      </c>
      <c r="B8319">
        <v>1100</v>
      </c>
      <c r="C8319" s="455">
        <v>1.08</v>
      </c>
      <c r="D8319" s="637">
        <f t="shared" si="276"/>
        <v>2.8173913043478271</v>
      </c>
      <c r="E8319" s="637">
        <f t="shared" si="277"/>
        <v>3.474782608695655</v>
      </c>
    </row>
    <row r="8320" spans="1:5">
      <c r="A8320">
        <v>121313</v>
      </c>
      <c r="B8320">
        <v>1200</v>
      </c>
      <c r="C8320" s="455">
        <v>1E-3</v>
      </c>
      <c r="D8320" s="637">
        <f t="shared" si="276"/>
        <v>2.6086956521739141E-3</v>
      </c>
      <c r="E8320" s="637">
        <f t="shared" si="277"/>
        <v>3.2173913043478286E-3</v>
      </c>
    </row>
    <row r="8321" spans="1:5">
      <c r="A8321">
        <v>121313</v>
      </c>
      <c r="B8321">
        <v>1300</v>
      </c>
      <c r="C8321" s="455">
        <v>0</v>
      </c>
      <c r="D8321" s="637">
        <f t="shared" si="276"/>
        <v>0</v>
      </c>
      <c r="E8321" s="637">
        <f t="shared" si="277"/>
        <v>0</v>
      </c>
    </row>
    <row r="8322" spans="1:5">
      <c r="A8322">
        <v>121313</v>
      </c>
      <c r="B8322">
        <v>1400</v>
      </c>
      <c r="C8322" s="455">
        <v>1E-3</v>
      </c>
      <c r="D8322" s="637">
        <f t="shared" si="276"/>
        <v>2.6086956521739141E-3</v>
      </c>
      <c r="E8322" s="637">
        <f t="shared" si="277"/>
        <v>3.2173913043478286E-3</v>
      </c>
    </row>
    <row r="8323" spans="1:5">
      <c r="A8323">
        <v>121313</v>
      </c>
      <c r="B8323">
        <v>1500</v>
      </c>
      <c r="C8323" s="455">
        <v>0</v>
      </c>
      <c r="D8323" s="637">
        <f t="shared" si="276"/>
        <v>0</v>
      </c>
      <c r="E8323" s="637">
        <f t="shared" si="277"/>
        <v>0</v>
      </c>
    </row>
    <row r="8324" spans="1:5">
      <c r="A8324">
        <v>121313</v>
      </c>
      <c r="B8324">
        <v>1600</v>
      </c>
      <c r="C8324" s="455">
        <v>7.1999999999999995E-2</v>
      </c>
      <c r="D8324" s="637">
        <f t="shared" si="276"/>
        <v>0.18782608695652181</v>
      </c>
      <c r="E8324" s="637">
        <f t="shared" si="277"/>
        <v>0.23165217391304363</v>
      </c>
    </row>
    <row r="8325" spans="1:5">
      <c r="A8325">
        <v>121313</v>
      </c>
      <c r="B8325">
        <v>1700</v>
      </c>
      <c r="C8325" s="455">
        <v>11.265000000000001</v>
      </c>
      <c r="D8325" s="637">
        <f t="shared" si="276"/>
        <v>29.386956521739148</v>
      </c>
      <c r="E8325" s="637">
        <f t="shared" si="277"/>
        <v>36.243913043478294</v>
      </c>
    </row>
    <row r="8326" spans="1:5">
      <c r="A8326">
        <v>121313</v>
      </c>
      <c r="B8326">
        <v>1800</v>
      </c>
      <c r="C8326" s="455">
        <v>14.836</v>
      </c>
      <c r="D8326" s="637">
        <f t="shared" si="276"/>
        <v>38.702608695652188</v>
      </c>
      <c r="E8326" s="637">
        <f t="shared" si="277"/>
        <v>47.733217391304386</v>
      </c>
    </row>
    <row r="8327" spans="1:5">
      <c r="A8327">
        <v>121313</v>
      </c>
      <c r="B8327">
        <v>1900</v>
      </c>
      <c r="C8327" s="455">
        <v>14.749000000000001</v>
      </c>
      <c r="D8327" s="637">
        <f t="shared" si="276"/>
        <v>38.475652173913062</v>
      </c>
      <c r="E8327" s="637">
        <f t="shared" si="277"/>
        <v>47.453304347826126</v>
      </c>
    </row>
    <row r="8328" spans="1:5">
      <c r="A8328">
        <v>121313</v>
      </c>
      <c r="B8328">
        <v>2000</v>
      </c>
      <c r="C8328" s="455">
        <v>15.44</v>
      </c>
      <c r="D8328" s="637">
        <f t="shared" si="276"/>
        <v>40.27826086956523</v>
      </c>
      <c r="E8328" s="637">
        <f t="shared" si="277"/>
        <v>49.676521739130472</v>
      </c>
    </row>
    <row r="8329" spans="1:5">
      <c r="A8329">
        <v>121313</v>
      </c>
      <c r="B8329">
        <v>2100</v>
      </c>
      <c r="C8329" s="455">
        <v>15.617000000000001</v>
      </c>
      <c r="D8329" s="637">
        <f t="shared" si="276"/>
        <v>40.740000000000023</v>
      </c>
      <c r="E8329" s="637">
        <f t="shared" si="277"/>
        <v>50.246000000000045</v>
      </c>
    </row>
    <row r="8330" spans="1:5">
      <c r="A8330">
        <v>121313</v>
      </c>
      <c r="B8330">
        <v>2200</v>
      </c>
      <c r="C8330" s="455">
        <v>16.085000000000001</v>
      </c>
      <c r="D8330" s="637">
        <f t="shared" si="276"/>
        <v>41.960869565217408</v>
      </c>
      <c r="E8330" s="637">
        <f t="shared" si="277"/>
        <v>51.751739130434828</v>
      </c>
    </row>
    <row r="8331" spans="1:5">
      <c r="A8331">
        <v>121313</v>
      </c>
      <c r="B8331">
        <v>2300</v>
      </c>
      <c r="C8331" s="455">
        <v>16.161000000000001</v>
      </c>
      <c r="D8331" s="637">
        <f t="shared" si="276"/>
        <v>42.159130434782625</v>
      </c>
      <c r="E8331" s="637">
        <f t="shared" si="277"/>
        <v>51.996260869565262</v>
      </c>
    </row>
    <row r="8332" spans="1:5">
      <c r="A8332">
        <v>121313</v>
      </c>
      <c r="B8332">
        <v>2400</v>
      </c>
      <c r="C8332" s="455">
        <v>16.216000000000001</v>
      </c>
      <c r="D8332" s="637">
        <f t="shared" si="276"/>
        <v>42.302608695652189</v>
      </c>
      <c r="E8332" s="637">
        <f t="shared" si="277"/>
        <v>52.173217391304391</v>
      </c>
    </row>
    <row r="8333" spans="1:5">
      <c r="A8333">
        <v>121413</v>
      </c>
      <c r="B8333">
        <v>100</v>
      </c>
      <c r="C8333" s="455">
        <v>16.350999999999999</v>
      </c>
      <c r="D8333" s="637">
        <f t="shared" si="276"/>
        <v>42.654782608695669</v>
      </c>
      <c r="E8333" s="637">
        <f t="shared" si="277"/>
        <v>52.60756521739134</v>
      </c>
    </row>
    <row r="8334" spans="1:5">
      <c r="A8334">
        <v>121413</v>
      </c>
      <c r="B8334">
        <v>200</v>
      </c>
      <c r="C8334" s="455">
        <v>16.617999999999999</v>
      </c>
      <c r="D8334" s="637">
        <f t="shared" si="276"/>
        <v>43.351304347826101</v>
      </c>
      <c r="E8334" s="637">
        <f t="shared" si="277"/>
        <v>53.466608695652212</v>
      </c>
    </row>
    <row r="8335" spans="1:5">
      <c r="A8335">
        <v>121413</v>
      </c>
      <c r="B8335">
        <v>300</v>
      </c>
      <c r="C8335" s="455">
        <v>16.95</v>
      </c>
      <c r="D8335" s="637">
        <f t="shared" si="276"/>
        <v>44.217391304347842</v>
      </c>
      <c r="E8335" s="637">
        <f t="shared" si="277"/>
        <v>54.534782608695686</v>
      </c>
    </row>
    <row r="8336" spans="1:5">
      <c r="A8336">
        <v>121413</v>
      </c>
      <c r="B8336">
        <v>400</v>
      </c>
      <c r="C8336" s="455">
        <v>17.382000000000001</v>
      </c>
      <c r="D8336" s="637">
        <f t="shared" si="276"/>
        <v>45.344347826086981</v>
      </c>
      <c r="E8336" s="637">
        <f t="shared" si="277"/>
        <v>55.924695652173959</v>
      </c>
    </row>
    <row r="8337" spans="1:5">
      <c r="A8337">
        <v>121413</v>
      </c>
      <c r="B8337">
        <v>500</v>
      </c>
      <c r="C8337" s="455">
        <v>16.803000000000001</v>
      </c>
      <c r="D8337" s="637">
        <f t="shared" si="276"/>
        <v>43.833913043478283</v>
      </c>
      <c r="E8337" s="637">
        <f t="shared" si="277"/>
        <v>54.061826086956565</v>
      </c>
    </row>
    <row r="8338" spans="1:5">
      <c r="A8338">
        <v>121413</v>
      </c>
      <c r="B8338">
        <v>600</v>
      </c>
      <c r="C8338" s="455">
        <v>17.285</v>
      </c>
      <c r="D8338" s="637">
        <f t="shared" si="276"/>
        <v>45.09130434782611</v>
      </c>
      <c r="E8338" s="637">
        <f t="shared" si="277"/>
        <v>55.61260869565222</v>
      </c>
    </row>
    <row r="8339" spans="1:5">
      <c r="A8339">
        <v>121413</v>
      </c>
      <c r="B8339">
        <v>700</v>
      </c>
      <c r="C8339" s="455">
        <v>16.952000000000002</v>
      </c>
      <c r="D8339" s="637">
        <f t="shared" si="276"/>
        <v>44.222608695652198</v>
      </c>
      <c r="E8339" s="637">
        <f t="shared" si="277"/>
        <v>54.5412173913044</v>
      </c>
    </row>
    <row r="8340" spans="1:5">
      <c r="A8340">
        <v>121413</v>
      </c>
      <c r="B8340">
        <v>800</v>
      </c>
      <c r="C8340" s="455">
        <v>19.591999999999999</v>
      </c>
      <c r="D8340" s="637">
        <f t="shared" si="276"/>
        <v>51.109565217391321</v>
      </c>
      <c r="E8340" s="637">
        <f t="shared" si="277"/>
        <v>63.035130434782651</v>
      </c>
    </row>
    <row r="8341" spans="1:5">
      <c r="A8341">
        <v>121413</v>
      </c>
      <c r="B8341">
        <v>900</v>
      </c>
      <c r="C8341" s="455">
        <v>8.4580000000000002</v>
      </c>
      <c r="D8341" s="637">
        <f t="shared" si="276"/>
        <v>22.064347826086966</v>
      </c>
      <c r="E8341" s="637">
        <f t="shared" si="277"/>
        <v>27.212695652173934</v>
      </c>
    </row>
    <row r="8342" spans="1:5">
      <c r="A8342">
        <v>121413</v>
      </c>
      <c r="B8342">
        <v>1000</v>
      </c>
      <c r="C8342" s="455">
        <v>1.4E-2</v>
      </c>
      <c r="D8342" s="637">
        <f t="shared" ref="D8342:D8405" si="278">(C8342/(MAX($C$8021:$C$8764)))*$W$16</f>
        <v>3.6521739130434799E-2</v>
      </c>
      <c r="E8342" s="637">
        <f t="shared" ref="E8342:E8405" si="279">(C8342/(MAX($C$8021:$C$8764)))*$P$16</f>
        <v>4.5043478260869602E-2</v>
      </c>
    </row>
    <row r="8343" spans="1:5">
      <c r="A8343">
        <v>121413</v>
      </c>
      <c r="B8343">
        <v>1100</v>
      </c>
      <c r="C8343" s="455">
        <v>0</v>
      </c>
      <c r="D8343" s="637">
        <f t="shared" si="278"/>
        <v>0</v>
      </c>
      <c r="E8343" s="637">
        <f t="shared" si="279"/>
        <v>0</v>
      </c>
    </row>
    <row r="8344" spans="1:5">
      <c r="A8344">
        <v>121413</v>
      </c>
      <c r="B8344">
        <v>1200</v>
      </c>
      <c r="C8344" s="455">
        <v>0</v>
      </c>
      <c r="D8344" s="637">
        <f t="shared" si="278"/>
        <v>0</v>
      </c>
      <c r="E8344" s="637">
        <f t="shared" si="279"/>
        <v>0</v>
      </c>
    </row>
    <row r="8345" spans="1:5">
      <c r="A8345">
        <v>121413</v>
      </c>
      <c r="B8345">
        <v>1300</v>
      </c>
      <c r="C8345" s="455">
        <v>8.9999999999999993E-3</v>
      </c>
      <c r="D8345" s="637">
        <f t="shared" si="278"/>
        <v>2.3478260869565226E-2</v>
      </c>
      <c r="E8345" s="637">
        <f t="shared" si="279"/>
        <v>2.8956521739130454E-2</v>
      </c>
    </row>
    <row r="8346" spans="1:5">
      <c r="A8346">
        <v>121413</v>
      </c>
      <c r="B8346">
        <v>1400</v>
      </c>
      <c r="C8346" s="455">
        <v>7.5999999999999998E-2</v>
      </c>
      <c r="D8346" s="637">
        <f t="shared" si="278"/>
        <v>0.19826086956521749</v>
      </c>
      <c r="E8346" s="637">
        <f t="shared" si="279"/>
        <v>0.24452173913043498</v>
      </c>
    </row>
    <row r="8347" spans="1:5">
      <c r="A8347">
        <v>121413</v>
      </c>
      <c r="B8347">
        <v>1500</v>
      </c>
      <c r="C8347" s="455">
        <v>0.49199999999999999</v>
      </c>
      <c r="D8347" s="637">
        <f t="shared" si="278"/>
        <v>1.2834782608695656</v>
      </c>
      <c r="E8347" s="637">
        <f t="shared" si="279"/>
        <v>1.5829565217391315</v>
      </c>
    </row>
    <row r="8348" spans="1:5">
      <c r="A8348">
        <v>121413</v>
      </c>
      <c r="B8348">
        <v>1600</v>
      </c>
      <c r="C8348" s="455">
        <v>4.2990000000000004</v>
      </c>
      <c r="D8348" s="637">
        <f t="shared" si="278"/>
        <v>11.214782608695659</v>
      </c>
      <c r="E8348" s="637">
        <f t="shared" si="279"/>
        <v>13.831565217391317</v>
      </c>
    </row>
    <row r="8349" spans="1:5">
      <c r="A8349">
        <v>121413</v>
      </c>
      <c r="B8349">
        <v>1700</v>
      </c>
      <c r="C8349" s="455">
        <v>20.164000000000001</v>
      </c>
      <c r="D8349" s="637">
        <f t="shared" si="278"/>
        <v>52.601739130434808</v>
      </c>
      <c r="E8349" s="637">
        <f t="shared" si="279"/>
        <v>64.875478260869627</v>
      </c>
    </row>
    <row r="8350" spans="1:5">
      <c r="A8350">
        <v>121413</v>
      </c>
      <c r="B8350">
        <v>1800</v>
      </c>
      <c r="C8350" s="455">
        <v>16.725999999999999</v>
      </c>
      <c r="D8350" s="637">
        <f t="shared" si="278"/>
        <v>43.63304347826088</v>
      </c>
      <c r="E8350" s="637">
        <f t="shared" si="279"/>
        <v>53.81408695652177</v>
      </c>
    </row>
    <row r="8351" spans="1:5">
      <c r="A8351">
        <v>121413</v>
      </c>
      <c r="B8351">
        <v>1900</v>
      </c>
      <c r="C8351" s="455">
        <v>17.263000000000002</v>
      </c>
      <c r="D8351" s="637">
        <f t="shared" si="278"/>
        <v>45.033913043478286</v>
      </c>
      <c r="E8351" s="637">
        <f t="shared" si="279"/>
        <v>55.541826086956569</v>
      </c>
    </row>
    <row r="8352" spans="1:5">
      <c r="A8352">
        <v>121413</v>
      </c>
      <c r="B8352">
        <v>2000</v>
      </c>
      <c r="C8352" s="455">
        <v>17.039000000000001</v>
      </c>
      <c r="D8352" s="637">
        <f t="shared" si="278"/>
        <v>44.449565217391324</v>
      </c>
      <c r="E8352" s="637">
        <f t="shared" si="279"/>
        <v>54.82113043478266</v>
      </c>
    </row>
    <row r="8353" spans="1:5">
      <c r="A8353">
        <v>121413</v>
      </c>
      <c r="B8353">
        <v>2100</v>
      </c>
      <c r="C8353" s="455">
        <v>17.285</v>
      </c>
      <c r="D8353" s="637">
        <f t="shared" si="278"/>
        <v>45.09130434782611</v>
      </c>
      <c r="E8353" s="637">
        <f t="shared" si="279"/>
        <v>55.61260869565222</v>
      </c>
    </row>
    <row r="8354" spans="1:5">
      <c r="A8354">
        <v>121413</v>
      </c>
      <c r="B8354">
        <v>2200</v>
      </c>
      <c r="C8354" s="455">
        <v>16.841000000000001</v>
      </c>
      <c r="D8354" s="637">
        <f t="shared" si="278"/>
        <v>43.933043478260885</v>
      </c>
      <c r="E8354" s="637">
        <f t="shared" si="279"/>
        <v>54.184086956521782</v>
      </c>
    </row>
    <row r="8355" spans="1:5">
      <c r="A8355">
        <v>121413</v>
      </c>
      <c r="B8355">
        <v>2300</v>
      </c>
      <c r="C8355" s="455">
        <v>16.852</v>
      </c>
      <c r="D8355" s="637">
        <f t="shared" si="278"/>
        <v>43.9617391304348</v>
      </c>
      <c r="E8355" s="637">
        <f t="shared" si="279"/>
        <v>54.219478260869607</v>
      </c>
    </row>
    <row r="8356" spans="1:5">
      <c r="A8356">
        <v>121413</v>
      </c>
      <c r="B8356">
        <v>2400</v>
      </c>
      <c r="C8356" s="455">
        <v>17.105</v>
      </c>
      <c r="D8356" s="637">
        <f t="shared" si="278"/>
        <v>44.621739130434804</v>
      </c>
      <c r="E8356" s="637">
        <f t="shared" si="279"/>
        <v>55.033478260869607</v>
      </c>
    </row>
    <row r="8357" spans="1:5">
      <c r="A8357">
        <v>121513</v>
      </c>
      <c r="B8357">
        <v>100</v>
      </c>
      <c r="C8357" s="455">
        <v>17.265000000000001</v>
      </c>
      <c r="D8357" s="637">
        <f t="shared" si="278"/>
        <v>45.039130434782628</v>
      </c>
      <c r="E8357" s="637">
        <f t="shared" si="279"/>
        <v>55.548260869565254</v>
      </c>
    </row>
    <row r="8358" spans="1:5">
      <c r="A8358">
        <v>121513</v>
      </c>
      <c r="B8358">
        <v>200</v>
      </c>
      <c r="C8358" s="455">
        <v>16.838999999999999</v>
      </c>
      <c r="D8358" s="637">
        <f t="shared" si="278"/>
        <v>43.927826086956536</v>
      </c>
      <c r="E8358" s="637">
        <f t="shared" si="279"/>
        <v>54.177652173913074</v>
      </c>
    </row>
    <row r="8359" spans="1:5">
      <c r="A8359">
        <v>121513</v>
      </c>
      <c r="B8359">
        <v>300</v>
      </c>
      <c r="C8359" s="455">
        <v>18.14</v>
      </c>
      <c r="D8359" s="637">
        <f t="shared" si="278"/>
        <v>47.3217391304348</v>
      </c>
      <c r="E8359" s="637">
        <f t="shared" si="279"/>
        <v>58.363478260869606</v>
      </c>
    </row>
    <row r="8360" spans="1:5">
      <c r="A8360">
        <v>121513</v>
      </c>
      <c r="B8360">
        <v>400</v>
      </c>
      <c r="C8360" s="455">
        <v>17.472999999999999</v>
      </c>
      <c r="D8360" s="637">
        <f t="shared" si="278"/>
        <v>45.581739130434798</v>
      </c>
      <c r="E8360" s="637">
        <f t="shared" si="279"/>
        <v>56.217478260869605</v>
      </c>
    </row>
    <row r="8361" spans="1:5">
      <c r="A8361">
        <v>121513</v>
      </c>
      <c r="B8361">
        <v>500</v>
      </c>
      <c r="C8361" s="455">
        <v>17.779</v>
      </c>
      <c r="D8361" s="637">
        <f t="shared" si="278"/>
        <v>46.380000000000017</v>
      </c>
      <c r="E8361" s="637">
        <f t="shared" si="279"/>
        <v>57.202000000000041</v>
      </c>
    </row>
    <row r="8362" spans="1:5">
      <c r="A8362">
        <v>121513</v>
      </c>
      <c r="B8362">
        <v>600</v>
      </c>
      <c r="C8362" s="455">
        <v>17.149000000000001</v>
      </c>
      <c r="D8362" s="637">
        <f t="shared" si="278"/>
        <v>44.736521739130453</v>
      </c>
      <c r="E8362" s="637">
        <f t="shared" si="279"/>
        <v>55.175043478260918</v>
      </c>
    </row>
    <row r="8363" spans="1:5">
      <c r="A8363">
        <v>121513</v>
      </c>
      <c r="B8363">
        <v>700</v>
      </c>
      <c r="C8363" s="455">
        <v>16.940999999999999</v>
      </c>
      <c r="D8363" s="637">
        <f t="shared" si="278"/>
        <v>44.193913043478275</v>
      </c>
      <c r="E8363" s="637">
        <f t="shared" si="279"/>
        <v>54.50582608695656</v>
      </c>
    </row>
    <row r="8364" spans="1:5">
      <c r="A8364">
        <v>121513</v>
      </c>
      <c r="B8364">
        <v>800</v>
      </c>
      <c r="C8364" s="455">
        <v>18.699000000000002</v>
      </c>
      <c r="D8364" s="637">
        <f t="shared" si="278"/>
        <v>48.780000000000022</v>
      </c>
      <c r="E8364" s="637">
        <f t="shared" si="279"/>
        <v>60.162000000000049</v>
      </c>
    </row>
    <row r="8365" spans="1:5">
      <c r="A8365">
        <v>121513</v>
      </c>
      <c r="B8365">
        <v>900</v>
      </c>
      <c r="C8365" s="455">
        <v>22.172000000000001</v>
      </c>
      <c r="D8365" s="637">
        <f t="shared" si="278"/>
        <v>57.840000000000025</v>
      </c>
      <c r="E8365" s="637">
        <f t="shared" si="279"/>
        <v>71.336000000000055</v>
      </c>
    </row>
    <row r="8366" spans="1:5">
      <c r="A8366">
        <v>121513</v>
      </c>
      <c r="B8366">
        <v>1000</v>
      </c>
      <c r="C8366" s="455">
        <v>15.791</v>
      </c>
      <c r="D8366" s="637">
        <f t="shared" si="278"/>
        <v>41.193913043478275</v>
      </c>
      <c r="E8366" s="637">
        <f t="shared" si="279"/>
        <v>50.805826086956557</v>
      </c>
    </row>
    <row r="8367" spans="1:5">
      <c r="A8367">
        <v>121513</v>
      </c>
      <c r="B8367">
        <v>1100</v>
      </c>
      <c r="C8367" s="455">
        <v>10.414</v>
      </c>
      <c r="D8367" s="637">
        <f t="shared" si="278"/>
        <v>27.166956521739142</v>
      </c>
      <c r="E8367" s="637">
        <f t="shared" si="279"/>
        <v>33.505913043478287</v>
      </c>
    </row>
    <row r="8368" spans="1:5">
      <c r="A8368">
        <v>121513</v>
      </c>
      <c r="B8368">
        <v>1200</v>
      </c>
      <c r="C8368" s="455">
        <v>8.1159999999999997</v>
      </c>
      <c r="D8368" s="637">
        <f t="shared" si="278"/>
        <v>21.172173913043487</v>
      </c>
      <c r="E8368" s="637">
        <f t="shared" si="279"/>
        <v>26.112347826086978</v>
      </c>
    </row>
    <row r="8369" spans="1:5">
      <c r="A8369">
        <v>121513</v>
      </c>
      <c r="B8369">
        <v>1300</v>
      </c>
      <c r="C8369" s="455">
        <v>7.8070000000000004</v>
      </c>
      <c r="D8369" s="637">
        <f t="shared" si="278"/>
        <v>20.366086956521748</v>
      </c>
      <c r="E8369" s="637">
        <f t="shared" si="279"/>
        <v>25.118173913043499</v>
      </c>
    </row>
    <row r="8370" spans="1:5">
      <c r="A8370">
        <v>121513</v>
      </c>
      <c r="B8370">
        <v>1400</v>
      </c>
      <c r="C8370" s="455">
        <v>7.9690000000000003</v>
      </c>
      <c r="D8370" s="637">
        <f t="shared" si="278"/>
        <v>20.788695652173924</v>
      </c>
      <c r="E8370" s="637">
        <f t="shared" si="279"/>
        <v>25.63939130434785</v>
      </c>
    </row>
    <row r="8371" spans="1:5">
      <c r="A8371">
        <v>121513</v>
      </c>
      <c r="B8371">
        <v>1500</v>
      </c>
      <c r="C8371" s="455">
        <v>10.662000000000001</v>
      </c>
      <c r="D8371" s="637">
        <f t="shared" si="278"/>
        <v>27.813913043478273</v>
      </c>
      <c r="E8371" s="637">
        <f t="shared" si="279"/>
        <v>34.303826086956548</v>
      </c>
    </row>
    <row r="8372" spans="1:5">
      <c r="A8372">
        <v>121513</v>
      </c>
      <c r="B8372">
        <v>1600</v>
      </c>
      <c r="C8372" s="455">
        <v>17.21</v>
      </c>
      <c r="D8372" s="637">
        <f t="shared" si="278"/>
        <v>44.895652173913064</v>
      </c>
      <c r="E8372" s="637">
        <f t="shared" si="279"/>
        <v>55.371304347826126</v>
      </c>
    </row>
    <row r="8373" spans="1:5">
      <c r="A8373">
        <v>121513</v>
      </c>
      <c r="B8373">
        <v>1700</v>
      </c>
      <c r="C8373" s="455">
        <v>18.155999999999999</v>
      </c>
      <c r="D8373" s="637">
        <f t="shared" si="278"/>
        <v>47.363478260869584</v>
      </c>
      <c r="E8373" s="637">
        <f t="shared" si="279"/>
        <v>58.414956521739171</v>
      </c>
    </row>
    <row r="8374" spans="1:5">
      <c r="A8374">
        <v>121513</v>
      </c>
      <c r="B8374">
        <v>1800</v>
      </c>
      <c r="C8374" s="455">
        <v>15.231</v>
      </c>
      <c r="D8374" s="637">
        <f t="shared" si="278"/>
        <v>39.733043478260889</v>
      </c>
      <c r="E8374" s="637">
        <f t="shared" si="279"/>
        <v>49.004086956521782</v>
      </c>
    </row>
    <row r="8375" spans="1:5">
      <c r="A8375">
        <v>121513</v>
      </c>
      <c r="B8375">
        <v>1900</v>
      </c>
      <c r="C8375" s="455">
        <v>15.502000000000001</v>
      </c>
      <c r="D8375" s="637">
        <f t="shared" si="278"/>
        <v>40.440000000000012</v>
      </c>
      <c r="E8375" s="637">
        <f t="shared" si="279"/>
        <v>49.876000000000033</v>
      </c>
    </row>
    <row r="8376" spans="1:5">
      <c r="A8376">
        <v>121513</v>
      </c>
      <c r="B8376">
        <v>2000</v>
      </c>
      <c r="C8376" s="455">
        <v>15.727</v>
      </c>
      <c r="D8376" s="637">
        <f t="shared" si="278"/>
        <v>41.026956521739152</v>
      </c>
      <c r="E8376" s="637">
        <f t="shared" si="279"/>
        <v>50.599913043478303</v>
      </c>
    </row>
    <row r="8377" spans="1:5">
      <c r="A8377">
        <v>121513</v>
      </c>
      <c r="B8377">
        <v>2100</v>
      </c>
      <c r="C8377" s="455">
        <v>16.138000000000002</v>
      </c>
      <c r="D8377" s="637">
        <f t="shared" si="278"/>
        <v>42.09913043478263</v>
      </c>
      <c r="E8377" s="637">
        <f t="shared" si="279"/>
        <v>51.922260869565257</v>
      </c>
    </row>
    <row r="8378" spans="1:5">
      <c r="A8378">
        <v>121513</v>
      </c>
      <c r="B8378">
        <v>2200</v>
      </c>
      <c r="C8378" s="455">
        <v>15.863</v>
      </c>
      <c r="D8378" s="637">
        <f t="shared" si="278"/>
        <v>41.381739130434802</v>
      </c>
      <c r="E8378" s="637">
        <f t="shared" si="279"/>
        <v>51.037478260869605</v>
      </c>
    </row>
    <row r="8379" spans="1:5">
      <c r="A8379">
        <v>121513</v>
      </c>
      <c r="B8379">
        <v>2300</v>
      </c>
      <c r="C8379" s="455">
        <v>16.164999999999999</v>
      </c>
      <c r="D8379" s="637">
        <f t="shared" si="278"/>
        <v>42.169565217391323</v>
      </c>
      <c r="E8379" s="637">
        <f t="shared" si="279"/>
        <v>52.009130434782648</v>
      </c>
    </row>
    <row r="8380" spans="1:5">
      <c r="A8380">
        <v>121513</v>
      </c>
      <c r="B8380">
        <v>2400</v>
      </c>
      <c r="C8380" s="455">
        <v>15.872</v>
      </c>
      <c r="D8380" s="637">
        <f t="shared" si="278"/>
        <v>41.405217391304362</v>
      </c>
      <c r="E8380" s="637">
        <f t="shared" si="279"/>
        <v>51.066434782608738</v>
      </c>
    </row>
    <row r="8381" spans="1:5">
      <c r="A8381">
        <v>121613</v>
      </c>
      <c r="B8381">
        <v>100</v>
      </c>
      <c r="C8381" s="455">
        <v>15.999000000000001</v>
      </c>
      <c r="D8381" s="637">
        <f t="shared" si="278"/>
        <v>41.736521739130453</v>
      </c>
      <c r="E8381" s="637">
        <f t="shared" si="279"/>
        <v>51.475043478260908</v>
      </c>
    </row>
    <row r="8382" spans="1:5">
      <c r="A8382">
        <v>121613</v>
      </c>
      <c r="B8382">
        <v>200</v>
      </c>
      <c r="C8382" s="455">
        <v>16.16</v>
      </c>
      <c r="D8382" s="637">
        <f t="shared" si="278"/>
        <v>42.156521739130454</v>
      </c>
      <c r="E8382" s="637">
        <f t="shared" si="279"/>
        <v>51.993043478260908</v>
      </c>
    </row>
    <row r="8383" spans="1:5">
      <c r="A8383">
        <v>121613</v>
      </c>
      <c r="B8383">
        <v>300</v>
      </c>
      <c r="C8383" s="455">
        <v>16.809000000000001</v>
      </c>
      <c r="D8383" s="637">
        <f t="shared" si="278"/>
        <v>43.849565217391323</v>
      </c>
      <c r="E8383" s="637">
        <f t="shared" si="279"/>
        <v>54.081130434782651</v>
      </c>
    </row>
    <row r="8384" spans="1:5">
      <c r="A8384">
        <v>121613</v>
      </c>
      <c r="B8384">
        <v>400</v>
      </c>
      <c r="C8384" s="455">
        <v>17.327999999999999</v>
      </c>
      <c r="D8384" s="637">
        <f t="shared" si="278"/>
        <v>45.203478260869581</v>
      </c>
      <c r="E8384" s="637">
        <f t="shared" si="279"/>
        <v>55.75095652173917</v>
      </c>
    </row>
    <row r="8385" spans="1:5">
      <c r="A8385">
        <v>121613</v>
      </c>
      <c r="B8385">
        <v>500</v>
      </c>
      <c r="C8385" s="455">
        <v>17.850999999999999</v>
      </c>
      <c r="D8385" s="637">
        <f t="shared" si="278"/>
        <v>46.567826086956536</v>
      </c>
      <c r="E8385" s="637">
        <f t="shared" si="279"/>
        <v>57.433652173913082</v>
      </c>
    </row>
    <row r="8386" spans="1:5">
      <c r="A8386">
        <v>121613</v>
      </c>
      <c r="B8386">
        <v>600</v>
      </c>
      <c r="C8386" s="455">
        <v>17.428000000000001</v>
      </c>
      <c r="D8386" s="637">
        <f t="shared" si="278"/>
        <v>45.464347826086978</v>
      </c>
      <c r="E8386" s="637">
        <f t="shared" si="279"/>
        <v>56.072695652173955</v>
      </c>
    </row>
    <row r="8387" spans="1:5">
      <c r="A8387">
        <v>121613</v>
      </c>
      <c r="B8387">
        <v>700</v>
      </c>
      <c r="C8387" s="455">
        <v>17.308</v>
      </c>
      <c r="D8387" s="637">
        <f t="shared" si="278"/>
        <v>45.151304347826105</v>
      </c>
      <c r="E8387" s="637">
        <f t="shared" si="279"/>
        <v>55.686608695652218</v>
      </c>
    </row>
    <row r="8388" spans="1:5">
      <c r="A8388">
        <v>121613</v>
      </c>
      <c r="B8388">
        <v>800</v>
      </c>
      <c r="C8388" s="455">
        <v>18.297000000000001</v>
      </c>
      <c r="D8388" s="637">
        <f t="shared" si="278"/>
        <v>47.731304347826104</v>
      </c>
      <c r="E8388" s="637">
        <f t="shared" si="279"/>
        <v>58.86860869565222</v>
      </c>
    </row>
    <row r="8389" spans="1:5">
      <c r="A8389">
        <v>121613</v>
      </c>
      <c r="B8389">
        <v>900</v>
      </c>
      <c r="C8389" s="455">
        <v>17.050999999999998</v>
      </c>
      <c r="D8389" s="637">
        <f t="shared" si="278"/>
        <v>44.480869565217404</v>
      </c>
      <c r="E8389" s="637">
        <f t="shared" si="279"/>
        <v>54.859739130434818</v>
      </c>
    </row>
    <row r="8390" spans="1:5">
      <c r="A8390">
        <v>121613</v>
      </c>
      <c r="B8390">
        <v>1000</v>
      </c>
      <c r="C8390" s="455">
        <v>4.3849999999999998</v>
      </c>
      <c r="D8390" s="637">
        <f t="shared" si="278"/>
        <v>11.439130434782614</v>
      </c>
      <c r="E8390" s="637">
        <f t="shared" si="279"/>
        <v>14.108260869565228</v>
      </c>
    </row>
    <row r="8391" spans="1:5">
      <c r="A8391">
        <v>121613</v>
      </c>
      <c r="B8391">
        <v>1100</v>
      </c>
      <c r="C8391" s="455">
        <v>1.6479999999999999</v>
      </c>
      <c r="D8391" s="637">
        <f t="shared" si="278"/>
        <v>4.2991304347826098</v>
      </c>
      <c r="E8391" s="637">
        <f t="shared" si="279"/>
        <v>5.3022608695652202</v>
      </c>
    </row>
    <row r="8392" spans="1:5">
      <c r="A8392">
        <v>121613</v>
      </c>
      <c r="B8392">
        <v>1200</v>
      </c>
      <c r="C8392" s="455">
        <v>1.1519999999999999</v>
      </c>
      <c r="D8392" s="637">
        <f t="shared" si="278"/>
        <v>3.005217391304349</v>
      </c>
      <c r="E8392" s="637">
        <f t="shared" si="279"/>
        <v>3.7064347826086981</v>
      </c>
    </row>
    <row r="8393" spans="1:5">
      <c r="A8393">
        <v>121613</v>
      </c>
      <c r="B8393">
        <v>1300</v>
      </c>
      <c r="C8393" s="455">
        <v>1.1519999999999999</v>
      </c>
      <c r="D8393" s="637">
        <f t="shared" si="278"/>
        <v>3.005217391304349</v>
      </c>
      <c r="E8393" s="637">
        <f t="shared" si="279"/>
        <v>3.7064347826086981</v>
      </c>
    </row>
    <row r="8394" spans="1:5">
      <c r="A8394">
        <v>121613</v>
      </c>
      <c r="B8394">
        <v>1400</v>
      </c>
      <c r="C8394" s="455">
        <v>1.153</v>
      </c>
      <c r="D8394" s="637">
        <f t="shared" si="278"/>
        <v>3.007826086956523</v>
      </c>
      <c r="E8394" s="637">
        <f t="shared" si="279"/>
        <v>3.7096521739130464</v>
      </c>
    </row>
    <row r="8395" spans="1:5">
      <c r="A8395">
        <v>121613</v>
      </c>
      <c r="B8395">
        <v>1500</v>
      </c>
      <c r="C8395" s="455">
        <v>1.224</v>
      </c>
      <c r="D8395" s="637">
        <f t="shared" si="278"/>
        <v>3.1930434782608708</v>
      </c>
      <c r="E8395" s="637">
        <f t="shared" si="279"/>
        <v>3.938086956521742</v>
      </c>
    </row>
    <row r="8396" spans="1:5">
      <c r="A8396">
        <v>121613</v>
      </c>
      <c r="B8396">
        <v>1600</v>
      </c>
      <c r="C8396" s="455">
        <v>6.3019999999999996</v>
      </c>
      <c r="D8396" s="637">
        <f t="shared" si="278"/>
        <v>16.440000000000005</v>
      </c>
      <c r="E8396" s="637">
        <f t="shared" si="279"/>
        <v>20.276000000000014</v>
      </c>
    </row>
    <row r="8397" spans="1:5">
      <c r="A8397">
        <v>121613</v>
      </c>
      <c r="B8397">
        <v>1700</v>
      </c>
      <c r="C8397" s="455">
        <v>17.213000000000001</v>
      </c>
      <c r="D8397" s="637">
        <f t="shared" si="278"/>
        <v>44.903478260869583</v>
      </c>
      <c r="E8397" s="637">
        <f t="shared" si="279"/>
        <v>55.380956521739172</v>
      </c>
    </row>
    <row r="8398" spans="1:5">
      <c r="A8398">
        <v>121613</v>
      </c>
      <c r="B8398">
        <v>1800</v>
      </c>
      <c r="C8398" s="455">
        <v>15.935</v>
      </c>
      <c r="D8398" s="637">
        <f t="shared" si="278"/>
        <v>41.569565217391322</v>
      </c>
      <c r="E8398" s="637">
        <f t="shared" si="279"/>
        <v>51.269130434782653</v>
      </c>
    </row>
    <row r="8399" spans="1:5">
      <c r="A8399">
        <v>121613</v>
      </c>
      <c r="B8399">
        <v>1900</v>
      </c>
      <c r="C8399" s="455">
        <v>15.555999999999999</v>
      </c>
      <c r="D8399" s="637">
        <f t="shared" si="278"/>
        <v>40.580869565217405</v>
      </c>
      <c r="E8399" s="637">
        <f t="shared" si="279"/>
        <v>50.049739130434816</v>
      </c>
    </row>
    <row r="8400" spans="1:5">
      <c r="A8400">
        <v>121613</v>
      </c>
      <c r="B8400">
        <v>2000</v>
      </c>
      <c r="C8400" s="455">
        <v>15.673</v>
      </c>
      <c r="D8400" s="637">
        <f t="shared" si="278"/>
        <v>40.886086956521758</v>
      </c>
      <c r="E8400" s="637">
        <f t="shared" si="279"/>
        <v>50.426173913043513</v>
      </c>
    </row>
    <row r="8401" spans="1:5">
      <c r="A8401">
        <v>121613</v>
      </c>
      <c r="B8401">
        <v>2100</v>
      </c>
      <c r="C8401" s="455">
        <v>16.048999999999999</v>
      </c>
      <c r="D8401" s="637">
        <f t="shared" si="278"/>
        <v>41.866956521739148</v>
      </c>
      <c r="E8401" s="637">
        <f t="shared" si="279"/>
        <v>51.635913043478297</v>
      </c>
    </row>
    <row r="8402" spans="1:5">
      <c r="A8402">
        <v>121613</v>
      </c>
      <c r="B8402">
        <v>2200</v>
      </c>
      <c r="C8402" s="455">
        <v>16.163</v>
      </c>
      <c r="D8402" s="637">
        <f t="shared" si="278"/>
        <v>42.164347826086974</v>
      </c>
      <c r="E8402" s="637">
        <f t="shared" si="279"/>
        <v>52.002695652173955</v>
      </c>
    </row>
    <row r="8403" spans="1:5">
      <c r="A8403">
        <v>121613</v>
      </c>
      <c r="B8403">
        <v>2300</v>
      </c>
      <c r="C8403" s="455">
        <v>16.939</v>
      </c>
      <c r="D8403" s="637">
        <f t="shared" si="278"/>
        <v>44.188695652173934</v>
      </c>
      <c r="E8403" s="637">
        <f t="shared" si="279"/>
        <v>54.499391304347874</v>
      </c>
    </row>
    <row r="8404" spans="1:5">
      <c r="A8404">
        <v>121613</v>
      </c>
      <c r="B8404">
        <v>2400</v>
      </c>
      <c r="C8404" s="455">
        <v>16.927</v>
      </c>
      <c r="D8404" s="637">
        <f t="shared" si="278"/>
        <v>44.157391304347847</v>
      </c>
      <c r="E8404" s="637">
        <f t="shared" si="279"/>
        <v>54.460782608695695</v>
      </c>
    </row>
    <row r="8405" spans="1:5">
      <c r="A8405">
        <v>121713</v>
      </c>
      <c r="B8405">
        <v>100</v>
      </c>
      <c r="C8405" s="455">
        <v>16.548999999999999</v>
      </c>
      <c r="D8405" s="637">
        <f t="shared" si="278"/>
        <v>43.171304347826101</v>
      </c>
      <c r="E8405" s="637">
        <f t="shared" si="279"/>
        <v>53.244608695652211</v>
      </c>
    </row>
    <row r="8406" spans="1:5">
      <c r="A8406">
        <v>121713</v>
      </c>
      <c r="B8406">
        <v>200</v>
      </c>
      <c r="C8406" s="455">
        <v>17.273</v>
      </c>
      <c r="D8406" s="637">
        <f t="shared" ref="D8406:D8469" si="280">(C8406/(MAX($C$8021:$C$8764)))*$W$16</f>
        <v>45.060000000000016</v>
      </c>
      <c r="E8406" s="637">
        <f t="shared" ref="E8406:E8469" si="281">(C8406/(MAX($C$8021:$C$8764)))*$P$16</f>
        <v>55.574000000000041</v>
      </c>
    </row>
    <row r="8407" spans="1:5">
      <c r="A8407">
        <v>121713</v>
      </c>
      <c r="B8407">
        <v>300</v>
      </c>
      <c r="C8407" s="455">
        <v>16.564</v>
      </c>
      <c r="D8407" s="637">
        <f t="shared" si="280"/>
        <v>43.210434782608715</v>
      </c>
      <c r="E8407" s="637">
        <f t="shared" si="281"/>
        <v>53.29286956521743</v>
      </c>
    </row>
    <row r="8408" spans="1:5">
      <c r="A8408">
        <v>121713</v>
      </c>
      <c r="B8408">
        <v>400</v>
      </c>
      <c r="C8408" s="455">
        <v>16.568000000000001</v>
      </c>
      <c r="D8408" s="637">
        <f t="shared" si="280"/>
        <v>43.220869565217413</v>
      </c>
      <c r="E8408" s="637">
        <f t="shared" si="281"/>
        <v>53.30573913043483</v>
      </c>
    </row>
    <row r="8409" spans="1:5">
      <c r="A8409">
        <v>121713</v>
      </c>
      <c r="B8409">
        <v>500</v>
      </c>
      <c r="C8409" s="455">
        <v>16.314</v>
      </c>
      <c r="D8409" s="637">
        <f t="shared" si="280"/>
        <v>42.558260869565231</v>
      </c>
      <c r="E8409" s="637">
        <f t="shared" si="281"/>
        <v>52.488521739130469</v>
      </c>
    </row>
    <row r="8410" spans="1:5">
      <c r="A8410">
        <v>121713</v>
      </c>
      <c r="B8410">
        <v>600</v>
      </c>
      <c r="C8410" s="455">
        <v>17.315000000000001</v>
      </c>
      <c r="D8410" s="637">
        <f t="shared" si="280"/>
        <v>45.169565217391323</v>
      </c>
      <c r="E8410" s="637">
        <f t="shared" si="281"/>
        <v>55.709130434782651</v>
      </c>
    </row>
    <row r="8411" spans="1:5">
      <c r="A8411">
        <v>121713</v>
      </c>
      <c r="B8411">
        <v>700</v>
      </c>
      <c r="C8411" s="455">
        <v>16.661000000000001</v>
      </c>
      <c r="D8411" s="637">
        <f t="shared" si="280"/>
        <v>43.463478260869593</v>
      </c>
      <c r="E8411" s="637">
        <f t="shared" si="281"/>
        <v>53.604956521739176</v>
      </c>
    </row>
    <row r="8412" spans="1:5">
      <c r="A8412">
        <v>121713</v>
      </c>
      <c r="B8412">
        <v>800</v>
      </c>
      <c r="C8412" s="455">
        <v>17.591999999999999</v>
      </c>
      <c r="D8412" s="637">
        <f t="shared" si="280"/>
        <v>45.892173913043493</v>
      </c>
      <c r="E8412" s="637">
        <f t="shared" si="281"/>
        <v>56.600347826086995</v>
      </c>
    </row>
    <row r="8413" spans="1:5">
      <c r="A8413">
        <v>121713</v>
      </c>
      <c r="B8413">
        <v>900</v>
      </c>
      <c r="C8413" s="455">
        <v>21.699000000000002</v>
      </c>
      <c r="D8413" s="637">
        <f t="shared" si="280"/>
        <v>56.606086956521764</v>
      </c>
      <c r="E8413" s="637">
        <f t="shared" si="281"/>
        <v>69.814173913043533</v>
      </c>
    </row>
    <row r="8414" spans="1:5">
      <c r="A8414">
        <v>121713</v>
      </c>
      <c r="B8414">
        <v>1000</v>
      </c>
      <c r="C8414" s="455">
        <v>17.468</v>
      </c>
      <c r="D8414" s="637">
        <f t="shared" si="280"/>
        <v>45.568695652173929</v>
      </c>
      <c r="E8414" s="637">
        <f t="shared" si="281"/>
        <v>56.201391304347865</v>
      </c>
    </row>
    <row r="8415" spans="1:5">
      <c r="A8415">
        <v>121713</v>
      </c>
      <c r="B8415">
        <v>1100</v>
      </c>
      <c r="C8415" s="455">
        <v>9.7629999999999999</v>
      </c>
      <c r="D8415" s="637">
        <f t="shared" si="280"/>
        <v>25.468695652173921</v>
      </c>
      <c r="E8415" s="637">
        <f t="shared" si="281"/>
        <v>31.411391304347848</v>
      </c>
    </row>
    <row r="8416" spans="1:5">
      <c r="A8416">
        <v>121713</v>
      </c>
      <c r="B8416">
        <v>1200</v>
      </c>
      <c r="C8416" s="455">
        <v>7.2110000000000003</v>
      </c>
      <c r="D8416" s="637">
        <f t="shared" si="280"/>
        <v>18.811304347826095</v>
      </c>
      <c r="E8416" s="637">
        <f t="shared" si="281"/>
        <v>23.200608695652189</v>
      </c>
    </row>
    <row r="8417" spans="1:5">
      <c r="A8417">
        <v>121713</v>
      </c>
      <c r="B8417">
        <v>1300</v>
      </c>
      <c r="C8417" s="455">
        <v>2.5270000000000001</v>
      </c>
      <c r="D8417" s="637">
        <f t="shared" si="280"/>
        <v>6.5921739130434815</v>
      </c>
      <c r="E8417" s="637">
        <f t="shared" si="281"/>
        <v>8.1303478260869628</v>
      </c>
    </row>
    <row r="8418" spans="1:5">
      <c r="A8418">
        <v>121713</v>
      </c>
      <c r="B8418">
        <v>1400</v>
      </c>
      <c r="C8418" s="455">
        <v>4.516</v>
      </c>
      <c r="D8418" s="637">
        <f t="shared" si="280"/>
        <v>11.780869565217396</v>
      </c>
      <c r="E8418" s="637">
        <f t="shared" si="281"/>
        <v>14.529739130434793</v>
      </c>
    </row>
    <row r="8419" spans="1:5">
      <c r="A8419">
        <v>121713</v>
      </c>
      <c r="B8419">
        <v>1500</v>
      </c>
      <c r="C8419" s="455">
        <v>10.297000000000001</v>
      </c>
      <c r="D8419" s="637">
        <f t="shared" si="280"/>
        <v>26.861739130434795</v>
      </c>
      <c r="E8419" s="637">
        <f t="shared" si="281"/>
        <v>33.12947826086959</v>
      </c>
    </row>
    <row r="8420" spans="1:5">
      <c r="A8420">
        <v>121713</v>
      </c>
      <c r="B8420">
        <v>1600</v>
      </c>
      <c r="C8420" s="455">
        <v>17.875</v>
      </c>
      <c r="D8420" s="637">
        <f t="shared" si="280"/>
        <v>46.630434782608717</v>
      </c>
      <c r="E8420" s="637">
        <f t="shared" si="281"/>
        <v>57.510869565217433</v>
      </c>
    </row>
    <row r="8421" spans="1:5">
      <c r="A8421">
        <v>121713</v>
      </c>
      <c r="B8421">
        <v>1700</v>
      </c>
      <c r="C8421" s="455">
        <v>20.327000000000002</v>
      </c>
      <c r="D8421" s="637">
        <f t="shared" si="280"/>
        <v>53.026956521739159</v>
      </c>
      <c r="E8421" s="637">
        <f t="shared" si="281"/>
        <v>65.399913043478321</v>
      </c>
    </row>
    <row r="8422" spans="1:5">
      <c r="A8422">
        <v>121713</v>
      </c>
      <c r="B8422">
        <v>1800</v>
      </c>
      <c r="C8422" s="455">
        <v>14.004</v>
      </c>
      <c r="D8422" s="637">
        <f t="shared" si="280"/>
        <v>36.532173913043493</v>
      </c>
      <c r="E8422" s="637">
        <f t="shared" si="281"/>
        <v>45.056347826086984</v>
      </c>
    </row>
    <row r="8423" spans="1:5">
      <c r="A8423">
        <v>121713</v>
      </c>
      <c r="B8423">
        <v>1900</v>
      </c>
      <c r="C8423" s="455">
        <v>14.05</v>
      </c>
      <c r="D8423" s="637">
        <f t="shared" si="280"/>
        <v>36.652173913043498</v>
      </c>
      <c r="E8423" s="637">
        <f t="shared" si="281"/>
        <v>45.204347826086995</v>
      </c>
    </row>
    <row r="8424" spans="1:5">
      <c r="A8424">
        <v>121713</v>
      </c>
      <c r="B8424">
        <v>2000</v>
      </c>
      <c r="C8424" s="455">
        <v>14.936</v>
      </c>
      <c r="D8424" s="637">
        <f t="shared" si="280"/>
        <v>38.963478260869579</v>
      </c>
      <c r="E8424" s="637">
        <f t="shared" si="281"/>
        <v>48.054956521739165</v>
      </c>
    </row>
    <row r="8425" spans="1:5">
      <c r="A8425">
        <v>121713</v>
      </c>
      <c r="B8425">
        <v>2100</v>
      </c>
      <c r="C8425" s="455">
        <v>14.801</v>
      </c>
      <c r="D8425" s="637">
        <f t="shared" si="280"/>
        <v>38.611304347826099</v>
      </c>
      <c r="E8425" s="637">
        <f t="shared" si="281"/>
        <v>47.620608695652209</v>
      </c>
    </row>
    <row r="8426" spans="1:5">
      <c r="A8426">
        <v>121713</v>
      </c>
      <c r="B8426">
        <v>2200</v>
      </c>
      <c r="C8426" s="455">
        <v>14.584</v>
      </c>
      <c r="D8426" s="637">
        <f t="shared" si="280"/>
        <v>38.045217391304362</v>
      </c>
      <c r="E8426" s="637">
        <f t="shared" si="281"/>
        <v>46.922434782608732</v>
      </c>
    </row>
    <row r="8427" spans="1:5">
      <c r="A8427">
        <v>121713</v>
      </c>
      <c r="B8427">
        <v>2300</v>
      </c>
      <c r="C8427" s="455">
        <v>15.134</v>
      </c>
      <c r="D8427" s="637">
        <f t="shared" si="280"/>
        <v>39.480000000000018</v>
      </c>
      <c r="E8427" s="637">
        <f t="shared" si="281"/>
        <v>48.692000000000036</v>
      </c>
    </row>
    <row r="8428" spans="1:5">
      <c r="A8428">
        <v>121713</v>
      </c>
      <c r="B8428">
        <v>2400</v>
      </c>
      <c r="C8428" s="455">
        <v>14.603999999999999</v>
      </c>
      <c r="D8428" s="637">
        <f t="shared" si="280"/>
        <v>38.097391304347838</v>
      </c>
      <c r="E8428" s="637">
        <f t="shared" si="281"/>
        <v>46.986782608695684</v>
      </c>
    </row>
    <row r="8429" spans="1:5">
      <c r="A8429">
        <v>121813</v>
      </c>
      <c r="B8429">
        <v>100</v>
      </c>
      <c r="C8429" s="455">
        <v>15.412000000000001</v>
      </c>
      <c r="D8429" s="637">
        <f t="shared" si="280"/>
        <v>40.205217391304366</v>
      </c>
      <c r="E8429" s="637">
        <f t="shared" si="281"/>
        <v>49.586434782608741</v>
      </c>
    </row>
    <row r="8430" spans="1:5">
      <c r="A8430">
        <v>121813</v>
      </c>
      <c r="B8430">
        <v>200</v>
      </c>
      <c r="C8430" s="455">
        <v>14.602</v>
      </c>
      <c r="D8430" s="637">
        <f t="shared" si="280"/>
        <v>38.092173913043489</v>
      </c>
      <c r="E8430" s="637">
        <f t="shared" si="281"/>
        <v>46.980347826086991</v>
      </c>
    </row>
    <row r="8431" spans="1:5">
      <c r="A8431">
        <v>121813</v>
      </c>
      <c r="B8431">
        <v>300</v>
      </c>
      <c r="C8431" s="455">
        <v>15.317</v>
      </c>
      <c r="D8431" s="637">
        <f t="shared" si="280"/>
        <v>39.957391304347837</v>
      </c>
      <c r="E8431" s="637">
        <f t="shared" si="281"/>
        <v>49.280782608695688</v>
      </c>
    </row>
    <row r="8432" spans="1:5">
      <c r="A8432">
        <v>121813</v>
      </c>
      <c r="B8432">
        <v>400</v>
      </c>
      <c r="C8432" s="455">
        <v>15.125</v>
      </c>
      <c r="D8432" s="637">
        <f t="shared" si="280"/>
        <v>39.456521739130451</v>
      </c>
      <c r="E8432" s="637">
        <f t="shared" si="281"/>
        <v>48.66304347826091</v>
      </c>
    </row>
    <row r="8433" spans="1:5">
      <c r="A8433">
        <v>121813</v>
      </c>
      <c r="B8433">
        <v>500</v>
      </c>
      <c r="C8433" s="455">
        <v>15.087999999999999</v>
      </c>
      <c r="D8433" s="637">
        <f t="shared" si="280"/>
        <v>39.360000000000014</v>
      </c>
      <c r="E8433" s="637">
        <f t="shared" si="281"/>
        <v>48.544000000000032</v>
      </c>
    </row>
    <row r="8434" spans="1:5">
      <c r="A8434">
        <v>121813</v>
      </c>
      <c r="B8434">
        <v>600</v>
      </c>
      <c r="C8434" s="455">
        <v>14.616</v>
      </c>
      <c r="D8434" s="637">
        <f t="shared" si="280"/>
        <v>38.128695652173924</v>
      </c>
      <c r="E8434" s="637">
        <f t="shared" si="281"/>
        <v>47.025391304347863</v>
      </c>
    </row>
    <row r="8435" spans="1:5">
      <c r="A8435">
        <v>121813</v>
      </c>
      <c r="B8435">
        <v>700</v>
      </c>
      <c r="C8435" s="455">
        <v>15.395</v>
      </c>
      <c r="D8435" s="637">
        <f t="shared" si="280"/>
        <v>40.160869565217403</v>
      </c>
      <c r="E8435" s="637">
        <f t="shared" si="281"/>
        <v>49.531739130434815</v>
      </c>
    </row>
    <row r="8436" spans="1:5">
      <c r="A8436">
        <v>121813</v>
      </c>
      <c r="B8436">
        <v>800</v>
      </c>
      <c r="C8436" s="455">
        <v>16.289000000000001</v>
      </c>
      <c r="D8436" s="637">
        <f t="shared" si="280"/>
        <v>42.493043478260894</v>
      </c>
      <c r="E8436" s="637">
        <f t="shared" si="281"/>
        <v>52.408086956521785</v>
      </c>
    </row>
    <row r="8437" spans="1:5">
      <c r="A8437">
        <v>121813</v>
      </c>
      <c r="B8437">
        <v>900</v>
      </c>
      <c r="C8437" s="455">
        <v>20.94</v>
      </c>
      <c r="D8437" s="637">
        <f t="shared" si="280"/>
        <v>54.62608695652176</v>
      </c>
      <c r="E8437" s="637">
        <f t="shared" si="281"/>
        <v>67.372173913043525</v>
      </c>
    </row>
    <row r="8438" spans="1:5">
      <c r="A8438">
        <v>121813</v>
      </c>
      <c r="B8438">
        <v>1000</v>
      </c>
      <c r="C8438" s="455">
        <v>15.99</v>
      </c>
      <c r="D8438" s="637">
        <f t="shared" si="280"/>
        <v>41.713043478260886</v>
      </c>
      <c r="E8438" s="637">
        <f t="shared" si="281"/>
        <v>51.446086956521782</v>
      </c>
    </row>
    <row r="8439" spans="1:5">
      <c r="A8439">
        <v>121813</v>
      </c>
      <c r="B8439">
        <v>1100</v>
      </c>
      <c r="C8439" s="455">
        <v>10.260999999999999</v>
      </c>
      <c r="D8439" s="637">
        <f t="shared" si="280"/>
        <v>26.767826086956529</v>
      </c>
      <c r="E8439" s="637">
        <f t="shared" si="281"/>
        <v>33.013652173913066</v>
      </c>
    </row>
    <row r="8440" spans="1:5">
      <c r="A8440">
        <v>121813</v>
      </c>
      <c r="B8440">
        <v>1200</v>
      </c>
      <c r="C8440" s="455">
        <v>3.242</v>
      </c>
      <c r="D8440" s="637">
        <f t="shared" si="280"/>
        <v>8.4573913043478282</v>
      </c>
      <c r="E8440" s="637">
        <f t="shared" si="281"/>
        <v>10.43078260869566</v>
      </c>
    </row>
    <row r="8441" spans="1:5">
      <c r="A8441">
        <v>121813</v>
      </c>
      <c r="B8441">
        <v>1300</v>
      </c>
      <c r="C8441" s="455">
        <v>3.4529999999999998</v>
      </c>
      <c r="D8441" s="637">
        <f t="shared" si="280"/>
        <v>9.0078260869565252</v>
      </c>
      <c r="E8441" s="637">
        <f t="shared" si="281"/>
        <v>11.10965217391305</v>
      </c>
    </row>
    <row r="8442" spans="1:5">
      <c r="A8442">
        <v>121813</v>
      </c>
      <c r="B8442">
        <v>1400</v>
      </c>
      <c r="C8442" s="455">
        <v>4.6500000000000004</v>
      </c>
      <c r="D8442" s="637">
        <f t="shared" si="280"/>
        <v>12.130434782608701</v>
      </c>
      <c r="E8442" s="637">
        <f t="shared" si="281"/>
        <v>14.960869565217402</v>
      </c>
    </row>
    <row r="8443" spans="1:5">
      <c r="A8443">
        <v>121813</v>
      </c>
      <c r="B8443">
        <v>1500</v>
      </c>
      <c r="C8443" s="455">
        <v>10.045</v>
      </c>
      <c r="D8443" s="637">
        <f t="shared" si="280"/>
        <v>26.204347826086966</v>
      </c>
      <c r="E8443" s="637">
        <f t="shared" si="281"/>
        <v>32.318695652173936</v>
      </c>
    </row>
    <row r="8444" spans="1:5">
      <c r="A8444">
        <v>121813</v>
      </c>
      <c r="B8444">
        <v>1600</v>
      </c>
      <c r="C8444" s="455">
        <v>16.292000000000002</v>
      </c>
      <c r="D8444" s="637">
        <f t="shared" si="280"/>
        <v>42.500869565217414</v>
      </c>
      <c r="E8444" s="637">
        <f t="shared" si="281"/>
        <v>52.417739130434832</v>
      </c>
    </row>
    <row r="8445" spans="1:5">
      <c r="A8445">
        <v>121813</v>
      </c>
      <c r="B8445">
        <v>1700</v>
      </c>
      <c r="C8445" s="455">
        <v>18.202999999999999</v>
      </c>
      <c r="D8445" s="637">
        <f t="shared" si="280"/>
        <v>47.486086956521753</v>
      </c>
      <c r="E8445" s="637">
        <f t="shared" si="281"/>
        <v>58.566173913043514</v>
      </c>
    </row>
    <row r="8446" spans="1:5">
      <c r="A8446">
        <v>121813</v>
      </c>
      <c r="B8446">
        <v>1800</v>
      </c>
      <c r="C8446" s="455">
        <v>14.278</v>
      </c>
      <c r="D8446" s="637">
        <f t="shared" si="280"/>
        <v>37.246956521739151</v>
      </c>
      <c r="E8446" s="637">
        <f t="shared" si="281"/>
        <v>45.937913043478297</v>
      </c>
    </row>
    <row r="8447" spans="1:5">
      <c r="A8447">
        <v>121813</v>
      </c>
      <c r="B8447">
        <v>1900</v>
      </c>
      <c r="C8447" s="455">
        <v>13.832000000000001</v>
      </c>
      <c r="D8447" s="637">
        <f t="shared" si="280"/>
        <v>36.083478260869583</v>
      </c>
      <c r="E8447" s="637">
        <f t="shared" si="281"/>
        <v>44.502956521739165</v>
      </c>
    </row>
    <row r="8448" spans="1:5">
      <c r="A8448">
        <v>121813</v>
      </c>
      <c r="B8448">
        <v>2000</v>
      </c>
      <c r="C8448" s="455">
        <v>14.098000000000001</v>
      </c>
      <c r="D8448" s="637">
        <f t="shared" si="280"/>
        <v>36.777391304347844</v>
      </c>
      <c r="E8448" s="637">
        <f t="shared" si="281"/>
        <v>45.358782608695691</v>
      </c>
    </row>
    <row r="8449" spans="1:5">
      <c r="A8449">
        <v>121813</v>
      </c>
      <c r="B8449">
        <v>2100</v>
      </c>
      <c r="C8449" s="455">
        <v>14.279</v>
      </c>
      <c r="D8449" s="637">
        <f t="shared" si="280"/>
        <v>37.249565217391321</v>
      </c>
      <c r="E8449" s="637">
        <f t="shared" si="281"/>
        <v>45.941130434782643</v>
      </c>
    </row>
    <row r="8450" spans="1:5">
      <c r="A8450">
        <v>121813</v>
      </c>
      <c r="B8450">
        <v>2200</v>
      </c>
      <c r="C8450" s="455">
        <v>14.101000000000001</v>
      </c>
      <c r="D8450" s="637">
        <f t="shared" si="280"/>
        <v>36.785217391304364</v>
      </c>
      <c r="E8450" s="637">
        <f t="shared" si="281"/>
        <v>45.368434782608738</v>
      </c>
    </row>
    <row r="8451" spans="1:5">
      <c r="A8451">
        <v>121813</v>
      </c>
      <c r="B8451">
        <v>2300</v>
      </c>
      <c r="C8451" s="455">
        <v>13.875999999999999</v>
      </c>
      <c r="D8451" s="637">
        <f t="shared" si="280"/>
        <v>36.198260869565232</v>
      </c>
      <c r="E8451" s="637">
        <f t="shared" si="281"/>
        <v>44.644521739130468</v>
      </c>
    </row>
    <row r="8452" spans="1:5">
      <c r="A8452">
        <v>121813</v>
      </c>
      <c r="B8452">
        <v>2400</v>
      </c>
      <c r="C8452" s="455">
        <v>14.327999999999999</v>
      </c>
      <c r="D8452" s="637">
        <f t="shared" si="280"/>
        <v>37.377391304347839</v>
      </c>
      <c r="E8452" s="637">
        <f t="shared" si="281"/>
        <v>46.098782608695686</v>
      </c>
    </row>
    <row r="8453" spans="1:5">
      <c r="A8453">
        <v>121913</v>
      </c>
      <c r="B8453">
        <v>100</v>
      </c>
      <c r="C8453" s="455">
        <v>14.568</v>
      </c>
      <c r="D8453" s="637">
        <f t="shared" si="280"/>
        <v>38.003478260869578</v>
      </c>
      <c r="E8453" s="637">
        <f t="shared" si="281"/>
        <v>46.870956521739167</v>
      </c>
    </row>
    <row r="8454" spans="1:5">
      <c r="A8454">
        <v>121913</v>
      </c>
      <c r="B8454">
        <v>200</v>
      </c>
      <c r="C8454" s="455">
        <v>14.608000000000001</v>
      </c>
      <c r="D8454" s="637">
        <f t="shared" si="280"/>
        <v>38.107826086956543</v>
      </c>
      <c r="E8454" s="637">
        <f t="shared" si="281"/>
        <v>46.999652173913084</v>
      </c>
    </row>
    <row r="8455" spans="1:5">
      <c r="A8455">
        <v>121913</v>
      </c>
      <c r="B8455">
        <v>300</v>
      </c>
      <c r="C8455" s="455">
        <v>14.846</v>
      </c>
      <c r="D8455" s="637">
        <f t="shared" si="280"/>
        <v>38.728695652173933</v>
      </c>
      <c r="E8455" s="637">
        <f t="shared" si="281"/>
        <v>47.765391304347865</v>
      </c>
    </row>
    <row r="8456" spans="1:5">
      <c r="A8456">
        <v>121913</v>
      </c>
      <c r="B8456">
        <v>400</v>
      </c>
      <c r="C8456" s="455">
        <v>14.587999999999999</v>
      </c>
      <c r="D8456" s="637">
        <f t="shared" si="280"/>
        <v>38.05565217391306</v>
      </c>
      <c r="E8456" s="637">
        <f t="shared" si="281"/>
        <v>46.935304347826118</v>
      </c>
    </row>
    <row r="8457" spans="1:5">
      <c r="A8457">
        <v>121913</v>
      </c>
      <c r="B8457">
        <v>500</v>
      </c>
      <c r="C8457" s="455">
        <v>15.233000000000001</v>
      </c>
      <c r="D8457" s="637">
        <f t="shared" si="280"/>
        <v>39.738260869565238</v>
      </c>
      <c r="E8457" s="637">
        <f t="shared" si="281"/>
        <v>49.010521739130475</v>
      </c>
    </row>
    <row r="8458" spans="1:5">
      <c r="A8458">
        <v>121913</v>
      </c>
      <c r="B8458">
        <v>600</v>
      </c>
      <c r="C8458" s="455">
        <v>14.667999999999999</v>
      </c>
      <c r="D8458" s="637">
        <f t="shared" si="280"/>
        <v>38.264347826086968</v>
      </c>
      <c r="E8458" s="637">
        <f t="shared" si="281"/>
        <v>47.192695652173946</v>
      </c>
    </row>
    <row r="8459" spans="1:5">
      <c r="A8459">
        <v>121913</v>
      </c>
      <c r="B8459">
        <v>700</v>
      </c>
      <c r="C8459" s="455">
        <v>14.97</v>
      </c>
      <c r="D8459" s="637">
        <f t="shared" si="280"/>
        <v>39.052173913043497</v>
      </c>
      <c r="E8459" s="637">
        <f t="shared" si="281"/>
        <v>48.164347826086995</v>
      </c>
    </row>
    <row r="8460" spans="1:5">
      <c r="A8460">
        <v>121913</v>
      </c>
      <c r="B8460">
        <v>800</v>
      </c>
      <c r="C8460" s="455">
        <v>16.396999999999998</v>
      </c>
      <c r="D8460" s="637">
        <f t="shared" si="280"/>
        <v>42.774782608695666</v>
      </c>
      <c r="E8460" s="637">
        <f t="shared" si="281"/>
        <v>52.755565217391343</v>
      </c>
    </row>
    <row r="8461" spans="1:5">
      <c r="A8461">
        <v>121913</v>
      </c>
      <c r="B8461">
        <v>900</v>
      </c>
      <c r="C8461" s="455">
        <v>18.216999999999999</v>
      </c>
      <c r="D8461" s="637">
        <f t="shared" si="280"/>
        <v>47.522608695652188</v>
      </c>
      <c r="E8461" s="637">
        <f t="shared" si="281"/>
        <v>58.611217391304386</v>
      </c>
    </row>
    <row r="8462" spans="1:5">
      <c r="A8462">
        <v>121913</v>
      </c>
      <c r="B8462">
        <v>1000</v>
      </c>
      <c r="C8462" s="455">
        <v>7.4880000000000004</v>
      </c>
      <c r="D8462" s="637">
        <f t="shared" si="280"/>
        <v>19.533913043478268</v>
      </c>
      <c r="E8462" s="637">
        <f t="shared" si="281"/>
        <v>24.091826086956541</v>
      </c>
    </row>
    <row r="8463" spans="1:5">
      <c r="A8463">
        <v>121913</v>
      </c>
      <c r="B8463">
        <v>1100</v>
      </c>
      <c r="C8463" s="455">
        <v>4.2569999999999997</v>
      </c>
      <c r="D8463" s="637">
        <f t="shared" si="280"/>
        <v>11.10521739130435</v>
      </c>
      <c r="E8463" s="637">
        <f t="shared" si="281"/>
        <v>13.696434782608705</v>
      </c>
    </row>
    <row r="8464" spans="1:5">
      <c r="A8464">
        <v>121913</v>
      </c>
      <c r="B8464">
        <v>1200</v>
      </c>
      <c r="C8464" s="455">
        <v>3.3010000000000002</v>
      </c>
      <c r="D8464" s="637">
        <f t="shared" si="280"/>
        <v>8.6113043478260902</v>
      </c>
      <c r="E8464" s="637">
        <f t="shared" si="281"/>
        <v>10.620608695652182</v>
      </c>
    </row>
    <row r="8465" spans="1:5">
      <c r="A8465">
        <v>121913</v>
      </c>
      <c r="B8465">
        <v>1300</v>
      </c>
      <c r="C8465" s="455">
        <v>2.9119999999999999</v>
      </c>
      <c r="D8465" s="637">
        <f t="shared" si="280"/>
        <v>7.5965217391304369</v>
      </c>
      <c r="E8465" s="637">
        <f t="shared" si="281"/>
        <v>9.3690434782608758</v>
      </c>
    </row>
    <row r="8466" spans="1:5">
      <c r="A8466">
        <v>121913</v>
      </c>
      <c r="B8466">
        <v>1400</v>
      </c>
      <c r="C8466" s="455">
        <v>2.5550000000000002</v>
      </c>
      <c r="D8466" s="637">
        <f t="shared" si="280"/>
        <v>6.6652173913043509</v>
      </c>
      <c r="E8466" s="637">
        <f t="shared" si="281"/>
        <v>8.2204347826087023</v>
      </c>
    </row>
    <row r="8467" spans="1:5">
      <c r="A8467">
        <v>121913</v>
      </c>
      <c r="B8467">
        <v>1500</v>
      </c>
      <c r="C8467" s="455">
        <v>2.786</v>
      </c>
      <c r="D8467" s="637">
        <f t="shared" si="280"/>
        <v>7.267826086956525</v>
      </c>
      <c r="E8467" s="637">
        <f t="shared" si="281"/>
        <v>8.9636521739130508</v>
      </c>
    </row>
    <row r="8468" spans="1:5">
      <c r="A8468">
        <v>121913</v>
      </c>
      <c r="B8468">
        <v>1600</v>
      </c>
      <c r="C8468" s="455">
        <v>5.54</v>
      </c>
      <c r="D8468" s="637">
        <f t="shared" si="280"/>
        <v>14.452173913043485</v>
      </c>
      <c r="E8468" s="637">
        <f t="shared" si="281"/>
        <v>17.824347826086971</v>
      </c>
    </row>
    <row r="8469" spans="1:5">
      <c r="A8469">
        <v>121913</v>
      </c>
      <c r="B8469">
        <v>1700</v>
      </c>
      <c r="C8469" s="455">
        <v>15.897</v>
      </c>
      <c r="D8469" s="637">
        <f t="shared" si="280"/>
        <v>41.470434782608713</v>
      </c>
      <c r="E8469" s="637">
        <f t="shared" si="281"/>
        <v>51.146869565217429</v>
      </c>
    </row>
    <row r="8470" spans="1:5">
      <c r="A8470">
        <v>121913</v>
      </c>
      <c r="B8470">
        <v>1800</v>
      </c>
      <c r="C8470" s="455">
        <v>13.345000000000001</v>
      </c>
      <c r="D8470" s="637">
        <f t="shared" ref="D8470:D8533" si="282">(C8470/(MAX($C$8021:$C$8764)))*$W$16</f>
        <v>34.813043478260887</v>
      </c>
      <c r="E8470" s="637">
        <f t="shared" ref="E8470:E8533" si="283">(C8470/(MAX($C$8021:$C$8764)))*$P$16</f>
        <v>42.93608695652177</v>
      </c>
    </row>
    <row r="8471" spans="1:5">
      <c r="A8471">
        <v>121913</v>
      </c>
      <c r="B8471">
        <v>1900</v>
      </c>
      <c r="C8471" s="455">
        <v>13.574</v>
      </c>
      <c r="D8471" s="637">
        <f t="shared" si="282"/>
        <v>35.410434782608711</v>
      </c>
      <c r="E8471" s="637">
        <f t="shared" si="283"/>
        <v>43.672869565217425</v>
      </c>
    </row>
    <row r="8472" spans="1:5">
      <c r="A8472">
        <v>121913</v>
      </c>
      <c r="B8472">
        <v>2000</v>
      </c>
      <c r="C8472" s="455">
        <v>13.378</v>
      </c>
      <c r="D8472" s="637">
        <f t="shared" si="282"/>
        <v>34.899130434782627</v>
      </c>
      <c r="E8472" s="637">
        <f t="shared" si="283"/>
        <v>43.042260869565254</v>
      </c>
    </row>
    <row r="8473" spans="1:5">
      <c r="A8473">
        <v>121913</v>
      </c>
      <c r="B8473">
        <v>2100</v>
      </c>
      <c r="C8473" s="455">
        <v>13.582000000000001</v>
      </c>
      <c r="D8473" s="637">
        <f t="shared" si="282"/>
        <v>35.431304347826106</v>
      </c>
      <c r="E8473" s="637">
        <f t="shared" si="283"/>
        <v>43.698608695652212</v>
      </c>
    </row>
    <row r="8474" spans="1:5">
      <c r="A8474">
        <v>121913</v>
      </c>
      <c r="B8474">
        <v>2200</v>
      </c>
      <c r="C8474" s="455">
        <v>13.553000000000001</v>
      </c>
      <c r="D8474" s="637">
        <f t="shared" si="282"/>
        <v>35.355652173913057</v>
      </c>
      <c r="E8474" s="637">
        <f t="shared" si="283"/>
        <v>43.60530434782612</v>
      </c>
    </row>
    <row r="8475" spans="1:5">
      <c r="A8475">
        <v>121913</v>
      </c>
      <c r="B8475">
        <v>2300</v>
      </c>
      <c r="C8475" s="455">
        <v>13.891</v>
      </c>
      <c r="D8475" s="637">
        <f t="shared" si="282"/>
        <v>36.237391304347838</v>
      </c>
      <c r="E8475" s="637">
        <f t="shared" si="283"/>
        <v>44.69278260869568</v>
      </c>
    </row>
    <row r="8476" spans="1:5">
      <c r="A8476">
        <v>121913</v>
      </c>
      <c r="B8476">
        <v>2400</v>
      </c>
      <c r="C8476" s="455">
        <v>13.538</v>
      </c>
      <c r="D8476" s="637">
        <f t="shared" si="282"/>
        <v>35.316521739130444</v>
      </c>
      <c r="E8476" s="637">
        <f t="shared" si="283"/>
        <v>43.557043478260901</v>
      </c>
    </row>
    <row r="8477" spans="1:5">
      <c r="A8477">
        <v>122013</v>
      </c>
      <c r="B8477">
        <v>100</v>
      </c>
      <c r="C8477" s="455">
        <v>14.355</v>
      </c>
      <c r="D8477" s="637">
        <f t="shared" si="282"/>
        <v>37.447826086956532</v>
      </c>
      <c r="E8477" s="637">
        <f t="shared" si="283"/>
        <v>46.185652173913077</v>
      </c>
    </row>
    <row r="8478" spans="1:5">
      <c r="A8478">
        <v>122013</v>
      </c>
      <c r="B8478">
        <v>200</v>
      </c>
      <c r="C8478" s="455">
        <v>14.282</v>
      </c>
      <c r="D8478" s="637">
        <f t="shared" si="282"/>
        <v>37.257391304347841</v>
      </c>
      <c r="E8478" s="637">
        <f t="shared" si="283"/>
        <v>45.95078260869569</v>
      </c>
    </row>
    <row r="8479" spans="1:5">
      <c r="A8479">
        <v>122013</v>
      </c>
      <c r="B8479">
        <v>300</v>
      </c>
      <c r="C8479" s="455">
        <v>14.03</v>
      </c>
      <c r="D8479" s="637">
        <f t="shared" si="282"/>
        <v>36.600000000000016</v>
      </c>
      <c r="E8479" s="637">
        <f t="shared" si="283"/>
        <v>45.140000000000036</v>
      </c>
    </row>
    <row r="8480" spans="1:5">
      <c r="A8480">
        <v>122013</v>
      </c>
      <c r="B8480">
        <v>400</v>
      </c>
      <c r="C8480" s="455">
        <v>14.561999999999999</v>
      </c>
      <c r="D8480" s="637">
        <f t="shared" si="282"/>
        <v>37.987826086956531</v>
      </c>
      <c r="E8480" s="637">
        <f t="shared" si="283"/>
        <v>46.851652173913074</v>
      </c>
    </row>
    <row r="8481" spans="1:5">
      <c r="A8481">
        <v>122013</v>
      </c>
      <c r="B8481">
        <v>500</v>
      </c>
      <c r="C8481" s="455">
        <v>14.095000000000001</v>
      </c>
      <c r="D8481" s="637">
        <f t="shared" si="282"/>
        <v>36.769565217391317</v>
      </c>
      <c r="E8481" s="637">
        <f t="shared" si="283"/>
        <v>45.349130434782644</v>
      </c>
    </row>
    <row r="8482" spans="1:5">
      <c r="A8482">
        <v>122013</v>
      </c>
      <c r="B8482">
        <v>600</v>
      </c>
      <c r="C8482" s="455">
        <v>14.137</v>
      </c>
      <c r="D8482" s="637">
        <f t="shared" si="282"/>
        <v>36.879130434782624</v>
      </c>
      <c r="E8482" s="637">
        <f t="shared" si="283"/>
        <v>45.484260869565254</v>
      </c>
    </row>
    <row r="8483" spans="1:5">
      <c r="A8483">
        <v>122013</v>
      </c>
      <c r="B8483">
        <v>700</v>
      </c>
      <c r="C8483" s="455">
        <v>14.587999999999999</v>
      </c>
      <c r="D8483" s="637">
        <f t="shared" si="282"/>
        <v>38.05565217391306</v>
      </c>
      <c r="E8483" s="637">
        <f t="shared" si="283"/>
        <v>46.935304347826118</v>
      </c>
    </row>
    <row r="8484" spans="1:5">
      <c r="A8484">
        <v>122013</v>
      </c>
      <c r="B8484">
        <v>800</v>
      </c>
      <c r="C8484" s="455">
        <v>14.944000000000001</v>
      </c>
      <c r="D8484" s="637">
        <f t="shared" si="282"/>
        <v>38.984347826086974</v>
      </c>
      <c r="E8484" s="637">
        <f t="shared" si="283"/>
        <v>48.080695652173951</v>
      </c>
    </row>
    <row r="8485" spans="1:5">
      <c r="A8485">
        <v>122013</v>
      </c>
      <c r="B8485">
        <v>900</v>
      </c>
      <c r="C8485" s="455">
        <v>18.649999999999999</v>
      </c>
      <c r="D8485" s="637">
        <f t="shared" si="282"/>
        <v>48.652173913043491</v>
      </c>
      <c r="E8485" s="637">
        <f t="shared" si="283"/>
        <v>60.004347826086992</v>
      </c>
    </row>
    <row r="8486" spans="1:5">
      <c r="A8486">
        <v>122013</v>
      </c>
      <c r="B8486">
        <v>1000</v>
      </c>
      <c r="C8486" s="455">
        <v>20.911000000000001</v>
      </c>
      <c r="D8486" s="637">
        <f t="shared" si="282"/>
        <v>54.550434782608725</v>
      </c>
      <c r="E8486" s="637">
        <f t="shared" si="283"/>
        <v>67.278869565217448</v>
      </c>
    </row>
    <row r="8487" spans="1:5">
      <c r="A8487">
        <v>122013</v>
      </c>
      <c r="B8487">
        <v>1100</v>
      </c>
      <c r="C8487" s="455">
        <v>15.483000000000001</v>
      </c>
      <c r="D8487" s="637">
        <f t="shared" si="282"/>
        <v>40.390434782608715</v>
      </c>
      <c r="E8487" s="637">
        <f t="shared" si="283"/>
        <v>49.814869565217435</v>
      </c>
    </row>
    <row r="8488" spans="1:5">
      <c r="A8488">
        <v>122013</v>
      </c>
      <c r="B8488">
        <v>1200</v>
      </c>
      <c r="C8488" s="455">
        <v>10.082000000000001</v>
      </c>
      <c r="D8488" s="637">
        <f t="shared" si="282"/>
        <v>26.300869565217404</v>
      </c>
      <c r="E8488" s="637">
        <f t="shared" si="283"/>
        <v>32.437739130434814</v>
      </c>
    </row>
    <row r="8489" spans="1:5">
      <c r="A8489">
        <v>122013</v>
      </c>
      <c r="B8489">
        <v>1300</v>
      </c>
      <c r="C8489" s="455">
        <v>7.4630000000000001</v>
      </c>
      <c r="D8489" s="637">
        <f t="shared" si="282"/>
        <v>19.468695652173921</v>
      </c>
      <c r="E8489" s="637">
        <f t="shared" si="283"/>
        <v>24.011391304347846</v>
      </c>
    </row>
    <row r="8490" spans="1:5">
      <c r="A8490">
        <v>122013</v>
      </c>
      <c r="B8490">
        <v>1400</v>
      </c>
      <c r="C8490" s="455">
        <v>9.6150000000000002</v>
      </c>
      <c r="D8490" s="637">
        <f t="shared" si="282"/>
        <v>25.082608695652183</v>
      </c>
      <c r="E8490" s="637">
        <f t="shared" si="283"/>
        <v>30.935217391304374</v>
      </c>
    </row>
    <row r="8491" spans="1:5">
      <c r="A8491">
        <v>122013</v>
      </c>
      <c r="B8491">
        <v>1500</v>
      </c>
      <c r="C8491" s="455">
        <v>11.02</v>
      </c>
      <c r="D8491" s="637">
        <f t="shared" si="282"/>
        <v>28.747826086956533</v>
      </c>
      <c r="E8491" s="637">
        <f t="shared" si="283"/>
        <v>35.455652173913073</v>
      </c>
    </row>
    <row r="8492" spans="1:5">
      <c r="A8492">
        <v>122013</v>
      </c>
      <c r="B8492">
        <v>1600</v>
      </c>
      <c r="C8492" s="455">
        <v>17.398</v>
      </c>
      <c r="D8492" s="637">
        <f t="shared" si="282"/>
        <v>45.386086956521751</v>
      </c>
      <c r="E8492" s="637">
        <f t="shared" si="283"/>
        <v>55.976173913043517</v>
      </c>
    </row>
    <row r="8493" spans="1:5">
      <c r="A8493">
        <v>122013</v>
      </c>
      <c r="B8493">
        <v>1700</v>
      </c>
      <c r="C8493" s="455">
        <v>19.012</v>
      </c>
      <c r="D8493" s="637">
        <f t="shared" si="282"/>
        <v>49.596521739130452</v>
      </c>
      <c r="E8493" s="637">
        <f t="shared" si="283"/>
        <v>61.169043478260917</v>
      </c>
    </row>
    <row r="8494" spans="1:5">
      <c r="A8494">
        <v>122013</v>
      </c>
      <c r="B8494">
        <v>1800</v>
      </c>
      <c r="C8494" s="455">
        <v>14.414</v>
      </c>
      <c r="D8494" s="637">
        <f t="shared" si="282"/>
        <v>37.601739130434801</v>
      </c>
      <c r="E8494" s="637">
        <f t="shared" si="283"/>
        <v>46.375478260869599</v>
      </c>
    </row>
    <row r="8495" spans="1:5">
      <c r="A8495">
        <v>122013</v>
      </c>
      <c r="B8495">
        <v>1900</v>
      </c>
      <c r="C8495" s="455">
        <v>14.51</v>
      </c>
      <c r="D8495" s="637">
        <f t="shared" si="282"/>
        <v>37.852173913043494</v>
      </c>
      <c r="E8495" s="637">
        <f t="shared" si="283"/>
        <v>46.684347826086992</v>
      </c>
    </row>
    <row r="8496" spans="1:5">
      <c r="A8496">
        <v>122013</v>
      </c>
      <c r="B8496">
        <v>2000</v>
      </c>
      <c r="C8496" s="455">
        <v>14.207000000000001</v>
      </c>
      <c r="D8496" s="637">
        <f t="shared" si="282"/>
        <v>37.061739130434802</v>
      </c>
      <c r="E8496" s="637">
        <f t="shared" si="283"/>
        <v>45.709478260869602</v>
      </c>
    </row>
    <row r="8497" spans="1:5">
      <c r="A8497">
        <v>122013</v>
      </c>
      <c r="B8497">
        <v>2100</v>
      </c>
      <c r="C8497" s="455">
        <v>14.44</v>
      </c>
      <c r="D8497" s="637">
        <f t="shared" si="282"/>
        <v>37.669565217391316</v>
      </c>
      <c r="E8497" s="637">
        <f t="shared" si="283"/>
        <v>46.459130434782644</v>
      </c>
    </row>
    <row r="8498" spans="1:5">
      <c r="A8498">
        <v>122013</v>
      </c>
      <c r="B8498">
        <v>2200</v>
      </c>
      <c r="C8498" s="455">
        <v>14.438000000000001</v>
      </c>
      <c r="D8498" s="637">
        <f t="shared" si="282"/>
        <v>37.664347826086974</v>
      </c>
      <c r="E8498" s="637">
        <f t="shared" si="283"/>
        <v>46.452695652173951</v>
      </c>
    </row>
    <row r="8499" spans="1:5">
      <c r="A8499">
        <v>122013</v>
      </c>
      <c r="B8499">
        <v>2300</v>
      </c>
      <c r="C8499" s="455">
        <v>14.441000000000001</v>
      </c>
      <c r="D8499" s="637">
        <f t="shared" si="282"/>
        <v>37.672173913043494</v>
      </c>
      <c r="E8499" s="637">
        <f t="shared" si="283"/>
        <v>46.46234782608699</v>
      </c>
    </row>
    <row r="8500" spans="1:5">
      <c r="A8500">
        <v>122013</v>
      </c>
      <c r="B8500">
        <v>2400</v>
      </c>
      <c r="C8500" s="455">
        <v>14.454000000000001</v>
      </c>
      <c r="D8500" s="637">
        <f t="shared" si="282"/>
        <v>37.706086956521759</v>
      </c>
      <c r="E8500" s="637">
        <f t="shared" si="283"/>
        <v>46.504173913043516</v>
      </c>
    </row>
    <row r="8501" spans="1:5">
      <c r="A8501">
        <v>122113</v>
      </c>
      <c r="B8501">
        <v>100</v>
      </c>
      <c r="C8501" s="455">
        <v>14.054</v>
      </c>
      <c r="D8501" s="637">
        <f t="shared" si="282"/>
        <v>36.662608695652189</v>
      </c>
      <c r="E8501" s="637">
        <f t="shared" si="283"/>
        <v>45.217217391304381</v>
      </c>
    </row>
    <row r="8502" spans="1:5">
      <c r="A8502">
        <v>122113</v>
      </c>
      <c r="B8502">
        <v>200</v>
      </c>
      <c r="C8502" s="455">
        <v>14.576000000000001</v>
      </c>
      <c r="D8502" s="637">
        <f t="shared" si="282"/>
        <v>38.024347826086974</v>
      </c>
      <c r="E8502" s="637">
        <f t="shared" si="283"/>
        <v>46.896695652173953</v>
      </c>
    </row>
    <row r="8503" spans="1:5">
      <c r="A8503">
        <v>122113</v>
      </c>
      <c r="B8503">
        <v>300</v>
      </c>
      <c r="C8503" s="455">
        <v>15.042999999999999</v>
      </c>
      <c r="D8503" s="637">
        <f t="shared" si="282"/>
        <v>39.242608695652187</v>
      </c>
      <c r="E8503" s="637">
        <f t="shared" si="283"/>
        <v>48.399217391304383</v>
      </c>
    </row>
    <row r="8504" spans="1:5">
      <c r="A8504">
        <v>122113</v>
      </c>
      <c r="B8504">
        <v>400</v>
      </c>
      <c r="C8504" s="455">
        <v>14.343</v>
      </c>
      <c r="D8504" s="637">
        <f t="shared" si="282"/>
        <v>37.416521739130445</v>
      </c>
      <c r="E8504" s="637">
        <f t="shared" si="283"/>
        <v>46.147043478260898</v>
      </c>
    </row>
    <row r="8505" spans="1:5">
      <c r="A8505">
        <v>122113</v>
      </c>
      <c r="B8505">
        <v>500</v>
      </c>
      <c r="C8505" s="455">
        <v>14.666</v>
      </c>
      <c r="D8505" s="637">
        <f t="shared" si="282"/>
        <v>38.259130434782627</v>
      </c>
      <c r="E8505" s="637">
        <f t="shared" si="283"/>
        <v>47.18626086956526</v>
      </c>
    </row>
    <row r="8506" spans="1:5">
      <c r="A8506">
        <v>122113</v>
      </c>
      <c r="B8506">
        <v>600</v>
      </c>
      <c r="C8506" s="455">
        <v>13.936</v>
      </c>
      <c r="D8506" s="637">
        <f t="shared" si="282"/>
        <v>36.354782608695665</v>
      </c>
      <c r="E8506" s="637">
        <f t="shared" si="283"/>
        <v>44.837565217391337</v>
      </c>
    </row>
    <row r="8507" spans="1:5">
      <c r="A8507">
        <v>122113</v>
      </c>
      <c r="B8507">
        <v>700</v>
      </c>
      <c r="C8507" s="455">
        <v>14.477</v>
      </c>
      <c r="D8507" s="637">
        <f t="shared" si="282"/>
        <v>37.766086956521761</v>
      </c>
      <c r="E8507" s="637">
        <f t="shared" si="283"/>
        <v>46.578173913043521</v>
      </c>
    </row>
    <row r="8508" spans="1:5">
      <c r="A8508">
        <v>122113</v>
      </c>
      <c r="B8508">
        <v>800</v>
      </c>
      <c r="C8508" s="455">
        <v>15.853999999999999</v>
      </c>
      <c r="D8508" s="637">
        <f t="shared" si="282"/>
        <v>41.358260869565228</v>
      </c>
      <c r="E8508" s="637">
        <f t="shared" si="283"/>
        <v>51.008521739130465</v>
      </c>
    </row>
    <row r="8509" spans="1:5">
      <c r="A8509">
        <v>122113</v>
      </c>
      <c r="B8509">
        <v>900</v>
      </c>
      <c r="C8509" s="455">
        <v>18.849</v>
      </c>
      <c r="D8509" s="637">
        <f t="shared" si="282"/>
        <v>49.171304347826108</v>
      </c>
      <c r="E8509" s="637">
        <f t="shared" si="283"/>
        <v>60.644608695652224</v>
      </c>
    </row>
    <row r="8510" spans="1:5">
      <c r="A8510">
        <v>122113</v>
      </c>
      <c r="B8510">
        <v>1000</v>
      </c>
      <c r="C8510" s="455">
        <v>10.079000000000001</v>
      </c>
      <c r="D8510" s="637">
        <f t="shared" si="282"/>
        <v>26.293043478260881</v>
      </c>
      <c r="E8510" s="637">
        <f t="shared" si="283"/>
        <v>32.428086956521767</v>
      </c>
    </row>
    <row r="8511" spans="1:5">
      <c r="A8511">
        <v>122113</v>
      </c>
      <c r="B8511">
        <v>1100</v>
      </c>
      <c r="C8511" s="455">
        <v>3.4769999999999999</v>
      </c>
      <c r="D8511" s="637">
        <f t="shared" si="282"/>
        <v>9.0704347826087002</v>
      </c>
      <c r="E8511" s="637">
        <f t="shared" si="283"/>
        <v>11.1868695652174</v>
      </c>
    </row>
    <row r="8512" spans="1:5">
      <c r="A8512">
        <v>122113</v>
      </c>
      <c r="B8512">
        <v>1200</v>
      </c>
      <c r="C8512" s="455">
        <v>0.94099999999999995</v>
      </c>
      <c r="D8512" s="637">
        <f t="shared" si="282"/>
        <v>2.4547826086956528</v>
      </c>
      <c r="E8512" s="637">
        <f t="shared" si="283"/>
        <v>3.0275652173913064</v>
      </c>
    </row>
    <row r="8513" spans="1:5">
      <c r="A8513">
        <v>122113</v>
      </c>
      <c r="B8513">
        <v>1300</v>
      </c>
      <c r="C8513" s="455">
        <v>0.216</v>
      </c>
      <c r="D8513" s="637">
        <f t="shared" si="282"/>
        <v>0.56347826086956543</v>
      </c>
      <c r="E8513" s="637">
        <f t="shared" si="283"/>
        <v>0.69495652173913092</v>
      </c>
    </row>
    <row r="8514" spans="1:5">
      <c r="A8514">
        <v>122113</v>
      </c>
      <c r="B8514">
        <v>1400</v>
      </c>
      <c r="C8514" s="455">
        <v>0.14399999999999999</v>
      </c>
      <c r="D8514" s="637">
        <f t="shared" si="282"/>
        <v>0.37565217391304362</v>
      </c>
      <c r="E8514" s="637">
        <f t="shared" si="283"/>
        <v>0.46330434782608726</v>
      </c>
    </row>
    <row r="8515" spans="1:5">
      <c r="A8515">
        <v>122113</v>
      </c>
      <c r="B8515">
        <v>1500</v>
      </c>
      <c r="C8515" s="455">
        <v>1.099</v>
      </c>
      <c r="D8515" s="637">
        <f t="shared" si="282"/>
        <v>2.8669565217391315</v>
      </c>
      <c r="E8515" s="637">
        <f t="shared" si="283"/>
        <v>3.5359130434782635</v>
      </c>
    </row>
    <row r="8516" spans="1:5">
      <c r="A8516">
        <v>122113</v>
      </c>
      <c r="B8516">
        <v>1600</v>
      </c>
      <c r="C8516" s="455">
        <v>5.9870000000000001</v>
      </c>
      <c r="D8516" s="637">
        <f t="shared" si="282"/>
        <v>15.618260869565223</v>
      </c>
      <c r="E8516" s="637">
        <f t="shared" si="283"/>
        <v>19.262521739130449</v>
      </c>
    </row>
    <row r="8517" spans="1:5">
      <c r="A8517">
        <v>122113</v>
      </c>
      <c r="B8517">
        <v>1700</v>
      </c>
      <c r="C8517" s="455">
        <v>17.667999999999999</v>
      </c>
      <c r="D8517" s="637">
        <f t="shared" si="282"/>
        <v>46.09043478260871</v>
      </c>
      <c r="E8517" s="637">
        <f t="shared" si="283"/>
        <v>56.844869565217429</v>
      </c>
    </row>
    <row r="8518" spans="1:5">
      <c r="A8518">
        <v>122113</v>
      </c>
      <c r="B8518">
        <v>1800</v>
      </c>
      <c r="C8518" s="455">
        <v>13.567</v>
      </c>
      <c r="D8518" s="637">
        <f t="shared" si="282"/>
        <v>35.392173913043493</v>
      </c>
      <c r="E8518" s="637">
        <f t="shared" si="283"/>
        <v>43.650347826086993</v>
      </c>
    </row>
    <row r="8519" spans="1:5">
      <c r="A8519">
        <v>122113</v>
      </c>
      <c r="B8519">
        <v>1900</v>
      </c>
      <c r="C8519" s="455">
        <v>14.145</v>
      </c>
      <c r="D8519" s="637">
        <f t="shared" si="282"/>
        <v>36.900000000000013</v>
      </c>
      <c r="E8519" s="637">
        <f t="shared" si="283"/>
        <v>45.510000000000034</v>
      </c>
    </row>
    <row r="8520" spans="1:5">
      <c r="A8520">
        <v>122113</v>
      </c>
      <c r="B8520">
        <v>2000</v>
      </c>
      <c r="C8520" s="455">
        <v>13.816000000000001</v>
      </c>
      <c r="D8520" s="637">
        <f t="shared" si="282"/>
        <v>36.041739130434799</v>
      </c>
      <c r="E8520" s="637">
        <f t="shared" si="283"/>
        <v>44.4514782608696</v>
      </c>
    </row>
    <row r="8521" spans="1:5">
      <c r="A8521">
        <v>122113</v>
      </c>
      <c r="B8521">
        <v>2100</v>
      </c>
      <c r="C8521" s="455">
        <v>14.196999999999999</v>
      </c>
      <c r="D8521" s="637">
        <f t="shared" si="282"/>
        <v>37.035652173913057</v>
      </c>
      <c r="E8521" s="637">
        <f t="shared" si="283"/>
        <v>45.677304347826116</v>
      </c>
    </row>
    <row r="8522" spans="1:5">
      <c r="A8522">
        <v>122113</v>
      </c>
      <c r="B8522">
        <v>2200</v>
      </c>
      <c r="C8522" s="455">
        <v>14.939</v>
      </c>
      <c r="D8522" s="637">
        <f t="shared" si="282"/>
        <v>38.971304347826099</v>
      </c>
      <c r="E8522" s="637">
        <f t="shared" si="283"/>
        <v>48.064608695652211</v>
      </c>
    </row>
    <row r="8523" spans="1:5">
      <c r="A8523">
        <v>122113</v>
      </c>
      <c r="B8523">
        <v>2300</v>
      </c>
      <c r="C8523" s="455">
        <v>14.946999999999999</v>
      </c>
      <c r="D8523" s="637">
        <f t="shared" si="282"/>
        <v>38.992173913043487</v>
      </c>
      <c r="E8523" s="637">
        <f t="shared" si="283"/>
        <v>48.09034782608699</v>
      </c>
    </row>
    <row r="8524" spans="1:5">
      <c r="A8524">
        <v>122113</v>
      </c>
      <c r="B8524">
        <v>2400</v>
      </c>
      <c r="C8524" s="455">
        <v>14.558</v>
      </c>
      <c r="D8524" s="637">
        <f t="shared" si="282"/>
        <v>37.97739130434784</v>
      </c>
      <c r="E8524" s="637">
        <f t="shared" si="283"/>
        <v>46.838782608695688</v>
      </c>
    </row>
    <row r="8525" spans="1:5">
      <c r="A8525">
        <v>122213</v>
      </c>
      <c r="B8525">
        <v>100</v>
      </c>
      <c r="C8525" s="455">
        <v>14.085000000000001</v>
      </c>
      <c r="D8525" s="637">
        <f t="shared" si="282"/>
        <v>36.743478260869587</v>
      </c>
      <c r="E8525" s="637">
        <f t="shared" si="283"/>
        <v>45.316956521739172</v>
      </c>
    </row>
    <row r="8526" spans="1:5">
      <c r="A8526">
        <v>122213</v>
      </c>
      <c r="B8526">
        <v>200</v>
      </c>
      <c r="C8526" s="455">
        <v>15.356999999999999</v>
      </c>
      <c r="D8526" s="637">
        <f t="shared" si="282"/>
        <v>40.061739130434802</v>
      </c>
      <c r="E8526" s="637">
        <f t="shared" si="283"/>
        <v>49.409478260869605</v>
      </c>
    </row>
    <row r="8527" spans="1:5">
      <c r="A8527">
        <v>122213</v>
      </c>
      <c r="B8527">
        <v>300</v>
      </c>
      <c r="C8527" s="455">
        <v>15.53</v>
      </c>
      <c r="D8527" s="637">
        <f t="shared" si="282"/>
        <v>40.513043478260883</v>
      </c>
      <c r="E8527" s="637">
        <f t="shared" si="283"/>
        <v>49.966086956521778</v>
      </c>
    </row>
    <row r="8528" spans="1:5">
      <c r="A8528">
        <v>122213</v>
      </c>
      <c r="B8528">
        <v>400</v>
      </c>
      <c r="C8528" s="455">
        <v>14.944000000000001</v>
      </c>
      <c r="D8528" s="637">
        <f t="shared" si="282"/>
        <v>38.984347826086974</v>
      </c>
      <c r="E8528" s="637">
        <f t="shared" si="283"/>
        <v>48.080695652173951</v>
      </c>
    </row>
    <row r="8529" spans="1:5">
      <c r="A8529">
        <v>122213</v>
      </c>
      <c r="B8529">
        <v>500</v>
      </c>
      <c r="C8529" s="455">
        <v>14.996</v>
      </c>
      <c r="D8529" s="637">
        <f t="shared" si="282"/>
        <v>39.120000000000019</v>
      </c>
      <c r="E8529" s="637">
        <f t="shared" si="283"/>
        <v>48.24800000000004</v>
      </c>
    </row>
    <row r="8530" spans="1:5">
      <c r="A8530">
        <v>122213</v>
      </c>
      <c r="B8530">
        <v>600</v>
      </c>
      <c r="C8530" s="455">
        <v>13.494</v>
      </c>
      <c r="D8530" s="637">
        <f t="shared" si="282"/>
        <v>35.201739130434795</v>
      </c>
      <c r="E8530" s="637">
        <f t="shared" si="283"/>
        <v>43.415478260869598</v>
      </c>
    </row>
    <row r="8531" spans="1:5">
      <c r="A8531">
        <v>122213</v>
      </c>
      <c r="B8531">
        <v>700</v>
      </c>
      <c r="C8531" s="455">
        <v>13.106</v>
      </c>
      <c r="D8531" s="637">
        <f t="shared" si="282"/>
        <v>34.189565217391312</v>
      </c>
      <c r="E8531" s="637">
        <f t="shared" si="283"/>
        <v>42.167130434782635</v>
      </c>
    </row>
    <row r="8532" spans="1:5">
      <c r="A8532">
        <v>122213</v>
      </c>
      <c r="B8532">
        <v>800</v>
      </c>
      <c r="C8532" s="455">
        <v>13.715999999999999</v>
      </c>
      <c r="D8532" s="637">
        <f t="shared" si="282"/>
        <v>35.780869565217408</v>
      </c>
      <c r="E8532" s="637">
        <f t="shared" si="283"/>
        <v>44.129739130434814</v>
      </c>
    </row>
    <row r="8533" spans="1:5">
      <c r="A8533">
        <v>122213</v>
      </c>
      <c r="B8533">
        <v>900</v>
      </c>
      <c r="C8533" s="455">
        <v>18.606999999999999</v>
      </c>
      <c r="D8533" s="637">
        <f t="shared" si="282"/>
        <v>48.540000000000013</v>
      </c>
      <c r="E8533" s="637">
        <f t="shared" si="283"/>
        <v>59.866000000000042</v>
      </c>
    </row>
    <row r="8534" spans="1:5">
      <c r="A8534">
        <v>122213</v>
      </c>
      <c r="B8534">
        <v>1000</v>
      </c>
      <c r="C8534" s="455">
        <v>9.7880000000000003</v>
      </c>
      <c r="D8534" s="637">
        <f t="shared" ref="D8534:D8597" si="284">(C8534/(MAX($C$8021:$C$8764)))*$W$16</f>
        <v>25.533913043478272</v>
      </c>
      <c r="E8534" s="637">
        <f t="shared" ref="E8534:E8597" si="285">(C8534/(MAX($C$8021:$C$8764)))*$P$16</f>
        <v>31.491826086956547</v>
      </c>
    </row>
    <row r="8535" spans="1:5">
      <c r="A8535">
        <v>122213</v>
      </c>
      <c r="B8535">
        <v>1100</v>
      </c>
      <c r="C8535" s="455">
        <v>3.1429999999999998</v>
      </c>
      <c r="D8535" s="637">
        <f t="shared" si="284"/>
        <v>8.1991304347826119</v>
      </c>
      <c r="E8535" s="637">
        <f t="shared" si="285"/>
        <v>10.112260869565224</v>
      </c>
    </row>
    <row r="8536" spans="1:5">
      <c r="A8536">
        <v>122213</v>
      </c>
      <c r="B8536">
        <v>1200</v>
      </c>
      <c r="C8536" s="455">
        <v>0.877</v>
      </c>
      <c r="D8536" s="637">
        <f t="shared" si="284"/>
        <v>2.2878260869565223</v>
      </c>
      <c r="E8536" s="637">
        <f t="shared" si="285"/>
        <v>2.8216521739130456</v>
      </c>
    </row>
    <row r="8537" spans="1:5">
      <c r="A8537">
        <v>122213</v>
      </c>
      <c r="B8537">
        <v>1300</v>
      </c>
      <c r="C8537" s="455">
        <v>0.625</v>
      </c>
      <c r="D8537" s="637">
        <f t="shared" si="284"/>
        <v>1.6304347826086962</v>
      </c>
      <c r="E8537" s="637">
        <f t="shared" si="285"/>
        <v>2.0108695652173929</v>
      </c>
    </row>
    <row r="8538" spans="1:5">
      <c r="A8538">
        <v>122213</v>
      </c>
      <c r="B8538">
        <v>1400</v>
      </c>
      <c r="C8538" s="455">
        <v>0.90100000000000002</v>
      </c>
      <c r="D8538" s="637">
        <f t="shared" si="284"/>
        <v>2.3504347826086969</v>
      </c>
      <c r="E8538" s="637">
        <f t="shared" si="285"/>
        <v>2.8988695652173937</v>
      </c>
    </row>
    <row r="8539" spans="1:5">
      <c r="A8539">
        <v>122213</v>
      </c>
      <c r="B8539">
        <v>1500</v>
      </c>
      <c r="C8539" s="455">
        <v>3.5779999999999998</v>
      </c>
      <c r="D8539" s="637">
        <f t="shared" si="284"/>
        <v>9.3339130434782653</v>
      </c>
      <c r="E8539" s="637">
        <f t="shared" si="285"/>
        <v>11.51182608695653</v>
      </c>
    </row>
    <row r="8540" spans="1:5">
      <c r="A8540">
        <v>122213</v>
      </c>
      <c r="B8540">
        <v>1600</v>
      </c>
      <c r="C8540" s="455">
        <v>8.9390000000000001</v>
      </c>
      <c r="D8540" s="637">
        <f t="shared" si="284"/>
        <v>23.319130434782618</v>
      </c>
      <c r="E8540" s="637">
        <f t="shared" si="285"/>
        <v>28.76026086956524</v>
      </c>
    </row>
    <row r="8541" spans="1:5">
      <c r="A8541">
        <v>122213</v>
      </c>
      <c r="B8541">
        <v>1700</v>
      </c>
      <c r="C8541" s="455">
        <v>18.437000000000001</v>
      </c>
      <c r="D8541" s="637">
        <f t="shared" si="284"/>
        <v>48.096521739130459</v>
      </c>
      <c r="E8541" s="637">
        <f t="shared" si="285"/>
        <v>59.319043478260916</v>
      </c>
    </row>
    <row r="8542" spans="1:5">
      <c r="A8542">
        <v>122213</v>
      </c>
      <c r="B8542">
        <v>1800</v>
      </c>
      <c r="C8542" s="455">
        <v>13.382</v>
      </c>
      <c r="D8542" s="637">
        <f t="shared" si="284"/>
        <v>34.909565217391318</v>
      </c>
      <c r="E8542" s="637">
        <f t="shared" si="285"/>
        <v>43.05513043478264</v>
      </c>
    </row>
    <row r="8543" spans="1:5">
      <c r="A8543">
        <v>122213</v>
      </c>
      <c r="B8543">
        <v>1900</v>
      </c>
      <c r="C8543" s="455">
        <v>13.081</v>
      </c>
      <c r="D8543" s="637">
        <f t="shared" si="284"/>
        <v>34.124347826086968</v>
      </c>
      <c r="E8543" s="637">
        <f t="shared" si="285"/>
        <v>42.086695652173944</v>
      </c>
    </row>
    <row r="8544" spans="1:5">
      <c r="A8544">
        <v>122213</v>
      </c>
      <c r="B8544">
        <v>2000</v>
      </c>
      <c r="C8544" s="455">
        <v>13.1</v>
      </c>
      <c r="D8544" s="637">
        <f t="shared" si="284"/>
        <v>34.173913043478272</v>
      </c>
      <c r="E8544" s="637">
        <f t="shared" si="285"/>
        <v>42.147826086956556</v>
      </c>
    </row>
    <row r="8545" spans="1:5">
      <c r="A8545">
        <v>122213</v>
      </c>
      <c r="B8545">
        <v>2100</v>
      </c>
      <c r="C8545" s="455">
        <v>11.920999999999999</v>
      </c>
      <c r="D8545" s="637">
        <f t="shared" si="284"/>
        <v>31.09826086956523</v>
      </c>
      <c r="E8545" s="637">
        <f t="shared" si="285"/>
        <v>38.354521739130462</v>
      </c>
    </row>
    <row r="8546" spans="1:5">
      <c r="A8546">
        <v>122213</v>
      </c>
      <c r="B8546">
        <v>2200</v>
      </c>
      <c r="C8546" s="455">
        <v>11.042999999999999</v>
      </c>
      <c r="D8546" s="637">
        <f t="shared" si="284"/>
        <v>28.807826086956531</v>
      </c>
      <c r="E8546" s="637">
        <f t="shared" si="285"/>
        <v>35.529652173913064</v>
      </c>
    </row>
    <row r="8547" spans="1:5">
      <c r="A8547">
        <v>122213</v>
      </c>
      <c r="B8547">
        <v>2300</v>
      </c>
      <c r="C8547" s="455">
        <v>11.103999999999999</v>
      </c>
      <c r="D8547" s="637">
        <f t="shared" si="284"/>
        <v>28.966956521739142</v>
      </c>
      <c r="E8547" s="637">
        <f t="shared" si="285"/>
        <v>35.725913043478286</v>
      </c>
    </row>
    <row r="8548" spans="1:5">
      <c r="A8548">
        <v>122213</v>
      </c>
      <c r="B8548">
        <v>2400</v>
      </c>
      <c r="C8548" s="455">
        <v>10.595000000000001</v>
      </c>
      <c r="D8548" s="637">
        <f t="shared" si="284"/>
        <v>27.639130434782622</v>
      </c>
      <c r="E8548" s="637">
        <f t="shared" si="285"/>
        <v>34.088260869565246</v>
      </c>
    </row>
    <row r="8549" spans="1:5">
      <c r="A8549">
        <v>122313</v>
      </c>
      <c r="B8549">
        <v>100</v>
      </c>
      <c r="C8549" s="455">
        <v>10.756</v>
      </c>
      <c r="D8549" s="637">
        <f t="shared" si="284"/>
        <v>28.05913043478262</v>
      </c>
      <c r="E8549" s="637">
        <f t="shared" si="285"/>
        <v>34.606260869565247</v>
      </c>
    </row>
    <row r="8550" spans="1:5">
      <c r="A8550">
        <v>122313</v>
      </c>
      <c r="B8550">
        <v>200</v>
      </c>
      <c r="C8550" s="455">
        <v>10.866</v>
      </c>
      <c r="D8550" s="637">
        <f t="shared" si="284"/>
        <v>28.346086956521749</v>
      </c>
      <c r="E8550" s="637">
        <f t="shared" si="285"/>
        <v>34.960173913043505</v>
      </c>
    </row>
    <row r="8551" spans="1:5">
      <c r="A8551">
        <v>122313</v>
      </c>
      <c r="B8551">
        <v>300</v>
      </c>
      <c r="C8551" s="455">
        <v>10.757</v>
      </c>
      <c r="D8551" s="637">
        <f t="shared" si="284"/>
        <v>28.061739130434795</v>
      </c>
      <c r="E8551" s="637">
        <f t="shared" si="285"/>
        <v>34.609478260869594</v>
      </c>
    </row>
    <row r="8552" spans="1:5">
      <c r="A8552">
        <v>122313</v>
      </c>
      <c r="B8552">
        <v>400</v>
      </c>
      <c r="C8552" s="455">
        <v>10.536</v>
      </c>
      <c r="D8552" s="637">
        <f t="shared" si="284"/>
        <v>27.485217391304356</v>
      </c>
      <c r="E8552" s="637">
        <f t="shared" si="285"/>
        <v>33.898434782608717</v>
      </c>
    </row>
    <row r="8553" spans="1:5">
      <c r="A8553">
        <v>122313</v>
      </c>
      <c r="B8553">
        <v>500</v>
      </c>
      <c r="C8553" s="455">
        <v>11.29</v>
      </c>
      <c r="D8553" s="637">
        <f t="shared" si="284"/>
        <v>29.452173913043488</v>
      </c>
      <c r="E8553" s="637">
        <f t="shared" si="285"/>
        <v>36.324347826086978</v>
      </c>
    </row>
    <row r="8554" spans="1:5">
      <c r="A8554">
        <v>122313</v>
      </c>
      <c r="B8554">
        <v>600</v>
      </c>
      <c r="C8554" s="455">
        <v>10.680999999999999</v>
      </c>
      <c r="D8554" s="637">
        <f t="shared" si="284"/>
        <v>27.863478260869574</v>
      </c>
      <c r="E8554" s="637">
        <f t="shared" si="285"/>
        <v>34.364956521739153</v>
      </c>
    </row>
    <row r="8555" spans="1:5">
      <c r="A8555">
        <v>122313</v>
      </c>
      <c r="B8555">
        <v>700</v>
      </c>
      <c r="C8555" s="455">
        <v>11.714</v>
      </c>
      <c r="D8555" s="637">
        <f t="shared" si="284"/>
        <v>30.558260869565231</v>
      </c>
      <c r="E8555" s="637">
        <f t="shared" si="285"/>
        <v>37.688521739130465</v>
      </c>
    </row>
    <row r="8556" spans="1:5">
      <c r="A8556">
        <v>122313</v>
      </c>
      <c r="B8556">
        <v>800</v>
      </c>
      <c r="C8556" s="455">
        <v>13.003</v>
      </c>
      <c r="D8556" s="637">
        <f t="shared" si="284"/>
        <v>33.920869565217401</v>
      </c>
      <c r="E8556" s="637">
        <f t="shared" si="285"/>
        <v>41.83573913043481</v>
      </c>
    </row>
    <row r="8557" spans="1:5">
      <c r="A8557">
        <v>122313</v>
      </c>
      <c r="B8557">
        <v>900</v>
      </c>
      <c r="C8557" s="455">
        <v>10.875</v>
      </c>
      <c r="D8557" s="637">
        <f t="shared" si="284"/>
        <v>28.369565217391315</v>
      </c>
      <c r="E8557" s="637">
        <f t="shared" si="285"/>
        <v>34.989130434782638</v>
      </c>
    </row>
    <row r="8558" spans="1:5">
      <c r="A8558">
        <v>122313</v>
      </c>
      <c r="B8558">
        <v>1000</v>
      </c>
      <c r="C8558" s="455">
        <v>1E-3</v>
      </c>
      <c r="D8558" s="637">
        <f t="shared" si="284"/>
        <v>2.6086956521739141E-3</v>
      </c>
      <c r="E8558" s="637">
        <f t="shared" si="285"/>
        <v>3.2173913043478286E-3</v>
      </c>
    </row>
    <row r="8559" spans="1:5">
      <c r="A8559">
        <v>122313</v>
      </c>
      <c r="B8559">
        <v>1100</v>
      </c>
      <c r="C8559" s="455">
        <v>0.36</v>
      </c>
      <c r="D8559" s="637">
        <f t="shared" si="284"/>
        <v>0.93913043478260916</v>
      </c>
      <c r="E8559" s="637">
        <f t="shared" si="285"/>
        <v>1.1582608695652183</v>
      </c>
    </row>
    <row r="8560" spans="1:5">
      <c r="A8560">
        <v>122313</v>
      </c>
      <c r="B8560">
        <v>1200</v>
      </c>
      <c r="C8560" s="455">
        <v>0</v>
      </c>
      <c r="D8560" s="637">
        <f t="shared" si="284"/>
        <v>0</v>
      </c>
      <c r="E8560" s="637">
        <f t="shared" si="285"/>
        <v>0</v>
      </c>
    </row>
    <row r="8561" spans="1:5">
      <c r="A8561">
        <v>122313</v>
      </c>
      <c r="B8561">
        <v>1300</v>
      </c>
      <c r="C8561" s="455">
        <v>0</v>
      </c>
      <c r="D8561" s="637">
        <f t="shared" si="284"/>
        <v>0</v>
      </c>
      <c r="E8561" s="637">
        <f t="shared" si="285"/>
        <v>0</v>
      </c>
    </row>
    <row r="8562" spans="1:5">
      <c r="A8562">
        <v>122313</v>
      </c>
      <c r="B8562">
        <v>1400</v>
      </c>
      <c r="C8562" s="455">
        <v>0</v>
      </c>
      <c r="D8562" s="637">
        <f t="shared" si="284"/>
        <v>0</v>
      </c>
      <c r="E8562" s="637">
        <f t="shared" si="285"/>
        <v>0</v>
      </c>
    </row>
    <row r="8563" spans="1:5">
      <c r="A8563">
        <v>122313</v>
      </c>
      <c r="B8563">
        <v>1500</v>
      </c>
      <c r="C8563" s="455">
        <v>1E-3</v>
      </c>
      <c r="D8563" s="637">
        <f t="shared" si="284"/>
        <v>2.6086956521739141E-3</v>
      </c>
      <c r="E8563" s="637">
        <f t="shared" si="285"/>
        <v>3.2173913043478286E-3</v>
      </c>
    </row>
    <row r="8564" spans="1:5">
      <c r="A8564">
        <v>122313</v>
      </c>
      <c r="B8564">
        <v>1600</v>
      </c>
      <c r="C8564" s="455">
        <v>9.7000000000000003E-2</v>
      </c>
      <c r="D8564" s="637">
        <f t="shared" si="284"/>
        <v>0.2530434782608697</v>
      </c>
      <c r="E8564" s="637">
        <f t="shared" si="285"/>
        <v>0.3120869565217394</v>
      </c>
    </row>
    <row r="8565" spans="1:5">
      <c r="A8565">
        <v>122313</v>
      </c>
      <c r="B8565">
        <v>1700</v>
      </c>
      <c r="C8565" s="455">
        <v>9.8019999999999996</v>
      </c>
      <c r="D8565" s="637">
        <f t="shared" si="284"/>
        <v>25.570434782608704</v>
      </c>
      <c r="E8565" s="637">
        <f t="shared" si="285"/>
        <v>31.536869565217412</v>
      </c>
    </row>
    <row r="8566" spans="1:5">
      <c r="A8566">
        <v>122313</v>
      </c>
      <c r="B8566">
        <v>1800</v>
      </c>
      <c r="C8566" s="455">
        <v>11.138999999999999</v>
      </c>
      <c r="D8566" s="637">
        <f t="shared" si="284"/>
        <v>29.058260869565231</v>
      </c>
      <c r="E8566" s="637">
        <f t="shared" si="285"/>
        <v>35.838521739130464</v>
      </c>
    </row>
    <row r="8567" spans="1:5">
      <c r="A8567">
        <v>122313</v>
      </c>
      <c r="B8567">
        <v>1900</v>
      </c>
      <c r="C8567" s="455">
        <v>11.776999999999999</v>
      </c>
      <c r="D8567" s="637">
        <f t="shared" si="284"/>
        <v>30.722608695652184</v>
      </c>
      <c r="E8567" s="637">
        <f t="shared" si="285"/>
        <v>37.891217391304373</v>
      </c>
    </row>
    <row r="8568" spans="1:5">
      <c r="A8568">
        <v>122313</v>
      </c>
      <c r="B8568">
        <v>2000</v>
      </c>
      <c r="C8568" s="455">
        <v>13.670999999999999</v>
      </c>
      <c r="D8568" s="637">
        <f t="shared" si="284"/>
        <v>35.663478260869574</v>
      </c>
      <c r="E8568" s="637">
        <f t="shared" si="285"/>
        <v>43.984956521739157</v>
      </c>
    </row>
    <row r="8569" spans="1:5">
      <c r="A8569">
        <v>122313</v>
      </c>
      <c r="B8569">
        <v>2100</v>
      </c>
      <c r="C8569" s="455">
        <v>14.339</v>
      </c>
      <c r="D8569" s="637">
        <f t="shared" si="284"/>
        <v>37.406086956521754</v>
      </c>
      <c r="E8569" s="637">
        <f t="shared" si="285"/>
        <v>46.134173913043512</v>
      </c>
    </row>
    <row r="8570" spans="1:5">
      <c r="A8570">
        <v>122313</v>
      </c>
      <c r="B8570">
        <v>2200</v>
      </c>
      <c r="C8570" s="455">
        <v>13.877000000000001</v>
      </c>
      <c r="D8570" s="637">
        <f t="shared" si="284"/>
        <v>36.20086956521741</v>
      </c>
      <c r="E8570" s="637">
        <f t="shared" si="285"/>
        <v>44.647739130434822</v>
      </c>
    </row>
    <row r="8571" spans="1:5">
      <c r="A8571">
        <v>122313</v>
      </c>
      <c r="B8571">
        <v>2300</v>
      </c>
      <c r="C8571" s="455">
        <v>15.074</v>
      </c>
      <c r="D8571" s="637">
        <f t="shared" si="284"/>
        <v>39.323478260869585</v>
      </c>
      <c r="E8571" s="637">
        <f t="shared" si="285"/>
        <v>48.498956521739167</v>
      </c>
    </row>
    <row r="8572" spans="1:5">
      <c r="A8572">
        <v>122313</v>
      </c>
      <c r="B8572">
        <v>2400</v>
      </c>
      <c r="C8572" s="455">
        <v>14.497999999999999</v>
      </c>
      <c r="D8572" s="637">
        <f t="shared" si="284"/>
        <v>37.820869565217407</v>
      </c>
      <c r="E8572" s="637">
        <f t="shared" si="285"/>
        <v>46.645739130434812</v>
      </c>
    </row>
    <row r="8573" spans="1:5">
      <c r="A8573">
        <v>122413</v>
      </c>
      <c r="B8573">
        <v>100</v>
      </c>
      <c r="C8573" s="455">
        <v>14.968</v>
      </c>
      <c r="D8573" s="637">
        <f t="shared" si="284"/>
        <v>39.046956521739148</v>
      </c>
      <c r="E8573" s="637">
        <f t="shared" si="285"/>
        <v>48.157913043478302</v>
      </c>
    </row>
    <row r="8574" spans="1:5">
      <c r="A8574">
        <v>122413</v>
      </c>
      <c r="B8574">
        <v>200</v>
      </c>
      <c r="C8574" s="455">
        <v>14.974</v>
      </c>
      <c r="D8574" s="637">
        <f t="shared" si="284"/>
        <v>39.062608695652187</v>
      </c>
      <c r="E8574" s="637">
        <f t="shared" si="285"/>
        <v>48.177217391304382</v>
      </c>
    </row>
    <row r="8575" spans="1:5">
      <c r="A8575">
        <v>122413</v>
      </c>
      <c r="B8575">
        <v>300</v>
      </c>
      <c r="C8575" s="455">
        <v>15.41</v>
      </c>
      <c r="D8575" s="637">
        <f t="shared" si="284"/>
        <v>40.200000000000017</v>
      </c>
      <c r="E8575" s="637">
        <f t="shared" si="285"/>
        <v>49.580000000000034</v>
      </c>
    </row>
    <row r="8576" spans="1:5">
      <c r="A8576">
        <v>122413</v>
      </c>
      <c r="B8576">
        <v>400</v>
      </c>
      <c r="C8576" s="455">
        <v>15.416</v>
      </c>
      <c r="D8576" s="637">
        <f t="shared" si="284"/>
        <v>40.215652173913064</v>
      </c>
      <c r="E8576" s="637">
        <f t="shared" si="285"/>
        <v>49.599304347826127</v>
      </c>
    </row>
    <row r="8577" spans="1:5">
      <c r="A8577">
        <v>122413</v>
      </c>
      <c r="B8577">
        <v>500</v>
      </c>
      <c r="C8577" s="455">
        <v>15.913</v>
      </c>
      <c r="D8577" s="637">
        <f t="shared" si="284"/>
        <v>41.512173913043497</v>
      </c>
      <c r="E8577" s="637">
        <f t="shared" si="285"/>
        <v>51.198347826086994</v>
      </c>
    </row>
    <row r="8578" spans="1:5">
      <c r="A8578">
        <v>122413</v>
      </c>
      <c r="B8578">
        <v>600</v>
      </c>
      <c r="C8578" s="455">
        <v>17.010999999999999</v>
      </c>
      <c r="D8578" s="637">
        <f t="shared" si="284"/>
        <v>44.376521739130453</v>
      </c>
      <c r="E8578" s="637">
        <f t="shared" si="285"/>
        <v>54.731043478260908</v>
      </c>
    </row>
    <row r="8579" spans="1:5">
      <c r="A8579">
        <v>122413</v>
      </c>
      <c r="B8579">
        <v>700</v>
      </c>
      <c r="C8579" s="455">
        <v>16.228000000000002</v>
      </c>
      <c r="D8579" s="637">
        <f t="shared" si="284"/>
        <v>42.333913043478283</v>
      </c>
      <c r="E8579" s="637">
        <f t="shared" si="285"/>
        <v>52.211826086956563</v>
      </c>
    </row>
    <row r="8580" spans="1:5">
      <c r="A8580">
        <v>122413</v>
      </c>
      <c r="B8580">
        <v>800</v>
      </c>
      <c r="C8580" s="455">
        <v>18.062000000000001</v>
      </c>
      <c r="D8580" s="637">
        <f t="shared" si="284"/>
        <v>47.118260869565241</v>
      </c>
      <c r="E8580" s="637">
        <f t="shared" si="285"/>
        <v>58.112521739130479</v>
      </c>
    </row>
    <row r="8581" spans="1:5">
      <c r="A8581">
        <v>122413</v>
      </c>
      <c r="B8581">
        <v>900</v>
      </c>
      <c r="C8581" s="455">
        <v>13.558999999999999</v>
      </c>
      <c r="D8581" s="637">
        <f t="shared" si="284"/>
        <v>35.371304347826097</v>
      </c>
      <c r="E8581" s="637">
        <f t="shared" si="285"/>
        <v>43.624608695652206</v>
      </c>
    </row>
    <row r="8582" spans="1:5">
      <c r="A8582">
        <v>122413</v>
      </c>
      <c r="B8582">
        <v>1000</v>
      </c>
      <c r="C8582" s="455">
        <v>0.51100000000000001</v>
      </c>
      <c r="D8582" s="637">
        <f t="shared" si="284"/>
        <v>1.3330434782608702</v>
      </c>
      <c r="E8582" s="637">
        <f t="shared" si="285"/>
        <v>1.6440869565217404</v>
      </c>
    </row>
    <row r="8583" spans="1:5">
      <c r="A8583">
        <v>122413</v>
      </c>
      <c r="B8583">
        <v>1100</v>
      </c>
      <c r="C8583" s="455">
        <v>0</v>
      </c>
      <c r="D8583" s="637">
        <f t="shared" si="284"/>
        <v>0</v>
      </c>
      <c r="E8583" s="637">
        <f t="shared" si="285"/>
        <v>0</v>
      </c>
    </row>
    <row r="8584" spans="1:5">
      <c r="A8584">
        <v>122413</v>
      </c>
      <c r="B8584">
        <v>1200</v>
      </c>
      <c r="C8584" s="455">
        <v>1E-3</v>
      </c>
      <c r="D8584" s="637">
        <f t="shared" si="284"/>
        <v>2.6086956521739141E-3</v>
      </c>
      <c r="E8584" s="637">
        <f t="shared" si="285"/>
        <v>3.2173913043478286E-3</v>
      </c>
    </row>
    <row r="8585" spans="1:5">
      <c r="A8585">
        <v>122413</v>
      </c>
      <c r="B8585">
        <v>1300</v>
      </c>
      <c r="C8585" s="455">
        <v>0</v>
      </c>
      <c r="D8585" s="637">
        <f t="shared" si="284"/>
        <v>0</v>
      </c>
      <c r="E8585" s="637">
        <f t="shared" si="285"/>
        <v>0</v>
      </c>
    </row>
    <row r="8586" spans="1:5">
      <c r="A8586">
        <v>122413</v>
      </c>
      <c r="B8586">
        <v>1400</v>
      </c>
      <c r="C8586" s="455">
        <v>0</v>
      </c>
      <c r="D8586" s="637">
        <f t="shared" si="284"/>
        <v>0</v>
      </c>
      <c r="E8586" s="637">
        <f t="shared" si="285"/>
        <v>0</v>
      </c>
    </row>
    <row r="8587" spans="1:5">
      <c r="A8587">
        <v>122413</v>
      </c>
      <c r="B8587">
        <v>1500</v>
      </c>
      <c r="C8587" s="455">
        <v>0</v>
      </c>
      <c r="D8587" s="637">
        <f t="shared" si="284"/>
        <v>0</v>
      </c>
      <c r="E8587" s="637">
        <f t="shared" si="285"/>
        <v>0</v>
      </c>
    </row>
    <row r="8588" spans="1:5">
      <c r="A8588">
        <v>122413</v>
      </c>
      <c r="B8588">
        <v>1600</v>
      </c>
      <c r="C8588" s="455">
        <v>1.2969999999999999</v>
      </c>
      <c r="D8588" s="637">
        <f t="shared" si="284"/>
        <v>3.3834782608695666</v>
      </c>
      <c r="E8588" s="637">
        <f t="shared" si="285"/>
        <v>4.1729565217391338</v>
      </c>
    </row>
    <row r="8589" spans="1:5">
      <c r="A8589">
        <v>122413</v>
      </c>
      <c r="B8589">
        <v>1700</v>
      </c>
      <c r="C8589" s="455">
        <v>16.14</v>
      </c>
      <c r="D8589" s="637">
        <f t="shared" si="284"/>
        <v>42.104347826086972</v>
      </c>
      <c r="E8589" s="637">
        <f t="shared" si="285"/>
        <v>51.928695652173957</v>
      </c>
    </row>
    <row r="8590" spans="1:5">
      <c r="A8590">
        <v>122413</v>
      </c>
      <c r="B8590">
        <v>1800</v>
      </c>
      <c r="C8590" s="455">
        <v>16.41</v>
      </c>
      <c r="D8590" s="637">
        <f t="shared" si="284"/>
        <v>42.808695652173931</v>
      </c>
      <c r="E8590" s="637">
        <f t="shared" si="285"/>
        <v>52.797391304347869</v>
      </c>
    </row>
    <row r="8591" spans="1:5">
      <c r="A8591">
        <v>122413</v>
      </c>
      <c r="B8591">
        <v>1900</v>
      </c>
      <c r="C8591" s="455">
        <v>15.884</v>
      </c>
      <c r="D8591" s="637">
        <f t="shared" si="284"/>
        <v>41.436521739130455</v>
      </c>
      <c r="E8591" s="637">
        <f t="shared" si="285"/>
        <v>51.10504347826091</v>
      </c>
    </row>
    <row r="8592" spans="1:5">
      <c r="A8592">
        <v>122413</v>
      </c>
      <c r="B8592">
        <v>2000</v>
      </c>
      <c r="C8592" s="455">
        <v>16.201000000000001</v>
      </c>
      <c r="D8592" s="637">
        <f t="shared" si="284"/>
        <v>42.26347826086959</v>
      </c>
      <c r="E8592" s="637">
        <f t="shared" si="285"/>
        <v>52.124956521739172</v>
      </c>
    </row>
    <row r="8593" spans="1:5">
      <c r="A8593">
        <v>122413</v>
      </c>
      <c r="B8593">
        <v>2100</v>
      </c>
      <c r="C8593" s="455">
        <v>16.259</v>
      </c>
      <c r="D8593" s="637">
        <f t="shared" si="284"/>
        <v>42.414782608695667</v>
      </c>
      <c r="E8593" s="637">
        <f t="shared" si="285"/>
        <v>52.31156521739134</v>
      </c>
    </row>
    <row r="8594" spans="1:5">
      <c r="A8594">
        <v>122413</v>
      </c>
      <c r="B8594">
        <v>2200</v>
      </c>
      <c r="C8594" s="455">
        <v>16.678000000000001</v>
      </c>
      <c r="D8594" s="637">
        <f t="shared" si="284"/>
        <v>43.507826086956541</v>
      </c>
      <c r="E8594" s="637">
        <f t="shared" si="285"/>
        <v>53.659652173913088</v>
      </c>
    </row>
    <row r="8595" spans="1:5">
      <c r="A8595">
        <v>122413</v>
      </c>
      <c r="B8595">
        <v>2300</v>
      </c>
      <c r="C8595" s="455">
        <v>16.759</v>
      </c>
      <c r="D8595" s="637">
        <f t="shared" si="284"/>
        <v>43.719130434782628</v>
      </c>
      <c r="E8595" s="637">
        <f t="shared" si="285"/>
        <v>53.920260869565261</v>
      </c>
    </row>
    <row r="8596" spans="1:5">
      <c r="A8596">
        <v>122413</v>
      </c>
      <c r="B8596">
        <v>2400</v>
      </c>
      <c r="C8596" s="455">
        <v>17.248000000000001</v>
      </c>
      <c r="D8596" s="637">
        <f t="shared" si="284"/>
        <v>44.994782608695672</v>
      </c>
      <c r="E8596" s="637">
        <f t="shared" si="285"/>
        <v>55.49356521739135</v>
      </c>
    </row>
    <row r="8597" spans="1:5">
      <c r="A8597">
        <v>122513</v>
      </c>
      <c r="B8597">
        <v>100</v>
      </c>
      <c r="C8597" s="455">
        <v>16.922000000000001</v>
      </c>
      <c r="D8597" s="637">
        <f t="shared" si="284"/>
        <v>44.144347826086978</v>
      </c>
      <c r="E8597" s="637">
        <f t="shared" si="285"/>
        <v>54.444695652173955</v>
      </c>
    </row>
    <row r="8598" spans="1:5">
      <c r="A8598">
        <v>122513</v>
      </c>
      <c r="B8598">
        <v>200</v>
      </c>
      <c r="C8598" s="455">
        <v>17.559000000000001</v>
      </c>
      <c r="D8598" s="637">
        <f t="shared" ref="D8598:D8661" si="286">(C8598/(MAX($C$8021:$C$8764)))*$W$16</f>
        <v>45.80608695652176</v>
      </c>
      <c r="E8598" s="637">
        <f t="shared" ref="E8598:E8661" si="287">(C8598/(MAX($C$8021:$C$8764)))*$P$16</f>
        <v>56.494173913043525</v>
      </c>
    </row>
    <row r="8599" spans="1:5">
      <c r="A8599">
        <v>122513</v>
      </c>
      <c r="B8599">
        <v>300</v>
      </c>
      <c r="C8599" s="455">
        <v>18.254999999999999</v>
      </c>
      <c r="D8599" s="637">
        <f t="shared" si="286"/>
        <v>47.621739130434797</v>
      </c>
      <c r="E8599" s="637">
        <f t="shared" si="287"/>
        <v>58.73347826086961</v>
      </c>
    </row>
    <row r="8600" spans="1:5">
      <c r="A8600">
        <v>122513</v>
      </c>
      <c r="B8600">
        <v>400</v>
      </c>
      <c r="C8600" s="455">
        <v>17.545999999999999</v>
      </c>
      <c r="D8600" s="637">
        <f t="shared" si="286"/>
        <v>45.772173913043495</v>
      </c>
      <c r="E8600" s="637">
        <f t="shared" si="287"/>
        <v>56.452347826086992</v>
      </c>
    </row>
    <row r="8601" spans="1:5">
      <c r="A8601">
        <v>122513</v>
      </c>
      <c r="B8601">
        <v>500</v>
      </c>
      <c r="C8601" s="455">
        <v>18.085999999999999</v>
      </c>
      <c r="D8601" s="637">
        <f t="shared" si="286"/>
        <v>47.180869565217407</v>
      </c>
      <c r="E8601" s="637">
        <f t="shared" si="287"/>
        <v>58.189739130434823</v>
      </c>
    </row>
    <row r="8602" spans="1:5">
      <c r="A8602">
        <v>122513</v>
      </c>
      <c r="B8602">
        <v>600</v>
      </c>
      <c r="C8602" s="455">
        <v>18.352</v>
      </c>
      <c r="D8602" s="637">
        <f t="shared" si="286"/>
        <v>47.874782608695668</v>
      </c>
      <c r="E8602" s="637">
        <f t="shared" si="287"/>
        <v>59.045565217391349</v>
      </c>
    </row>
    <row r="8603" spans="1:5">
      <c r="A8603">
        <v>122513</v>
      </c>
      <c r="B8603">
        <v>700</v>
      </c>
      <c r="C8603" s="455">
        <v>18.113</v>
      </c>
      <c r="D8603" s="637">
        <f t="shared" si="286"/>
        <v>47.251304347826107</v>
      </c>
      <c r="E8603" s="637">
        <f t="shared" si="287"/>
        <v>58.276608695652222</v>
      </c>
    </row>
    <row r="8604" spans="1:5">
      <c r="A8604">
        <v>122513</v>
      </c>
      <c r="B8604">
        <v>800</v>
      </c>
      <c r="C8604" s="455">
        <v>20.52</v>
      </c>
      <c r="D8604" s="637">
        <f t="shared" si="286"/>
        <v>53.530434782608715</v>
      </c>
      <c r="E8604" s="637">
        <f t="shared" si="287"/>
        <v>66.020869565217438</v>
      </c>
    </row>
    <row r="8605" spans="1:5">
      <c r="A8605">
        <v>122513</v>
      </c>
      <c r="B8605">
        <v>900</v>
      </c>
      <c r="C8605" s="455">
        <v>14.746</v>
      </c>
      <c r="D8605" s="637">
        <f t="shared" si="286"/>
        <v>38.467826086956535</v>
      </c>
      <c r="E8605" s="637">
        <f t="shared" si="287"/>
        <v>47.44365217391308</v>
      </c>
    </row>
    <row r="8606" spans="1:5">
      <c r="A8606">
        <v>122513</v>
      </c>
      <c r="B8606">
        <v>1000</v>
      </c>
      <c r="C8606" s="455">
        <v>0.54800000000000004</v>
      </c>
      <c r="D8606" s="637">
        <f t="shared" si="286"/>
        <v>1.4295652173913049</v>
      </c>
      <c r="E8606" s="637">
        <f t="shared" si="287"/>
        <v>1.76313043478261</v>
      </c>
    </row>
    <row r="8607" spans="1:5">
      <c r="A8607">
        <v>122513</v>
      </c>
      <c r="B8607">
        <v>1100</v>
      </c>
      <c r="C8607" s="455">
        <v>0.432</v>
      </c>
      <c r="D8607" s="637">
        <f t="shared" si="286"/>
        <v>1.1269565217391309</v>
      </c>
      <c r="E8607" s="637">
        <f t="shared" si="287"/>
        <v>1.3899130434782618</v>
      </c>
    </row>
    <row r="8608" spans="1:5">
      <c r="A8608">
        <v>122513</v>
      </c>
      <c r="B8608">
        <v>1200</v>
      </c>
      <c r="C8608" s="455">
        <v>7.1999999999999995E-2</v>
      </c>
      <c r="D8608" s="637">
        <f t="shared" si="286"/>
        <v>0.18782608695652181</v>
      </c>
      <c r="E8608" s="637">
        <f t="shared" si="287"/>
        <v>0.23165217391304363</v>
      </c>
    </row>
    <row r="8609" spans="1:5">
      <c r="A8609">
        <v>122513</v>
      </c>
      <c r="B8609">
        <v>1300</v>
      </c>
      <c r="C8609" s="455">
        <v>0.32500000000000001</v>
      </c>
      <c r="D8609" s="637">
        <f t="shared" si="286"/>
        <v>0.84782608695652217</v>
      </c>
      <c r="E8609" s="637">
        <f t="shared" si="287"/>
        <v>1.0456521739130444</v>
      </c>
    </row>
    <row r="8610" spans="1:5">
      <c r="A8610">
        <v>122513</v>
      </c>
      <c r="B8610">
        <v>1400</v>
      </c>
      <c r="C8610" s="455">
        <v>0.36</v>
      </c>
      <c r="D8610" s="637">
        <f t="shared" si="286"/>
        <v>0.93913043478260916</v>
      </c>
      <c r="E8610" s="637">
        <f t="shared" si="287"/>
        <v>1.1582608695652183</v>
      </c>
    </row>
    <row r="8611" spans="1:5">
      <c r="A8611">
        <v>122513</v>
      </c>
      <c r="B8611">
        <v>1500</v>
      </c>
      <c r="C8611" s="455">
        <v>2.831</v>
      </c>
      <c r="D8611" s="637">
        <f t="shared" si="286"/>
        <v>7.3852173913043515</v>
      </c>
      <c r="E8611" s="637">
        <f t="shared" si="287"/>
        <v>9.1084347826087022</v>
      </c>
    </row>
    <row r="8612" spans="1:5">
      <c r="A8612">
        <v>122513</v>
      </c>
      <c r="B8612">
        <v>1600</v>
      </c>
      <c r="C8612" s="455">
        <v>15.43</v>
      </c>
      <c r="D8612" s="637">
        <f t="shared" si="286"/>
        <v>40.252173913043492</v>
      </c>
      <c r="E8612" s="637">
        <f t="shared" si="287"/>
        <v>49.644347826086992</v>
      </c>
    </row>
    <row r="8613" spans="1:5">
      <c r="A8613">
        <v>122513</v>
      </c>
      <c r="B8613">
        <v>1700</v>
      </c>
      <c r="C8613" s="455">
        <v>18.672000000000001</v>
      </c>
      <c r="D8613" s="637">
        <f t="shared" si="286"/>
        <v>48.709565217391329</v>
      </c>
      <c r="E8613" s="637">
        <f t="shared" si="287"/>
        <v>60.075130434782658</v>
      </c>
    </row>
    <row r="8614" spans="1:5">
      <c r="A8614">
        <v>122513</v>
      </c>
      <c r="B8614">
        <v>1800</v>
      </c>
      <c r="C8614" s="455">
        <v>14.029</v>
      </c>
      <c r="D8614" s="637">
        <f t="shared" si="286"/>
        <v>36.597391304347838</v>
      </c>
      <c r="E8614" s="637">
        <f t="shared" si="287"/>
        <v>45.136782608695682</v>
      </c>
    </row>
    <row r="8615" spans="1:5">
      <c r="A8615">
        <v>122513</v>
      </c>
      <c r="B8615">
        <v>1900</v>
      </c>
      <c r="C8615" s="455">
        <v>14.343</v>
      </c>
      <c r="D8615" s="637">
        <f t="shared" si="286"/>
        <v>37.416521739130445</v>
      </c>
      <c r="E8615" s="637">
        <f t="shared" si="287"/>
        <v>46.147043478260898</v>
      </c>
    </row>
    <row r="8616" spans="1:5">
      <c r="A8616">
        <v>122513</v>
      </c>
      <c r="B8616">
        <v>2000</v>
      </c>
      <c r="C8616" s="455">
        <v>14.003</v>
      </c>
      <c r="D8616" s="637">
        <f t="shared" si="286"/>
        <v>36.529565217391323</v>
      </c>
      <c r="E8616" s="637">
        <f t="shared" si="287"/>
        <v>45.053130434782645</v>
      </c>
    </row>
    <row r="8617" spans="1:5">
      <c r="A8617">
        <v>122513</v>
      </c>
      <c r="B8617">
        <v>2100</v>
      </c>
      <c r="C8617" s="455">
        <v>14.654999999999999</v>
      </c>
      <c r="D8617" s="637">
        <f t="shared" si="286"/>
        <v>38.230434782608711</v>
      </c>
      <c r="E8617" s="637">
        <f t="shared" si="287"/>
        <v>47.150869565217427</v>
      </c>
    </row>
    <row r="8618" spans="1:5">
      <c r="A8618">
        <v>122513</v>
      </c>
      <c r="B8618">
        <v>2200</v>
      </c>
      <c r="C8618" s="455">
        <v>14.131</v>
      </c>
      <c r="D8618" s="637">
        <f t="shared" si="286"/>
        <v>36.863478260869577</v>
      </c>
      <c r="E8618" s="637">
        <f t="shared" si="287"/>
        <v>45.464956521739161</v>
      </c>
    </row>
    <row r="8619" spans="1:5">
      <c r="A8619">
        <v>122513</v>
      </c>
      <c r="B8619">
        <v>2300</v>
      </c>
      <c r="C8619" s="455">
        <v>14.95</v>
      </c>
      <c r="D8619" s="637">
        <f t="shared" si="286"/>
        <v>39.000000000000014</v>
      </c>
      <c r="E8619" s="637">
        <f t="shared" si="287"/>
        <v>48.10000000000003</v>
      </c>
    </row>
    <row r="8620" spans="1:5">
      <c r="A8620">
        <v>122513</v>
      </c>
      <c r="B8620">
        <v>2400</v>
      </c>
      <c r="C8620" s="455">
        <v>14.416</v>
      </c>
      <c r="D8620" s="637">
        <f t="shared" si="286"/>
        <v>37.60695652173915</v>
      </c>
      <c r="E8620" s="637">
        <f t="shared" si="287"/>
        <v>46.381913043478299</v>
      </c>
    </row>
    <row r="8621" spans="1:5">
      <c r="A8621">
        <v>122613</v>
      </c>
      <c r="B8621">
        <v>100</v>
      </c>
      <c r="C8621" s="455">
        <v>14.666</v>
      </c>
      <c r="D8621" s="637">
        <f t="shared" si="286"/>
        <v>38.259130434782627</v>
      </c>
      <c r="E8621" s="637">
        <f t="shared" si="287"/>
        <v>47.18626086956526</v>
      </c>
    </row>
    <row r="8622" spans="1:5">
      <c r="A8622">
        <v>122613</v>
      </c>
      <c r="B8622">
        <v>200</v>
      </c>
      <c r="C8622" s="455">
        <v>15.43</v>
      </c>
      <c r="D8622" s="637">
        <f t="shared" si="286"/>
        <v>40.252173913043492</v>
      </c>
      <c r="E8622" s="637">
        <f t="shared" si="287"/>
        <v>49.644347826086992</v>
      </c>
    </row>
    <row r="8623" spans="1:5">
      <c r="A8623">
        <v>122613</v>
      </c>
      <c r="B8623">
        <v>300</v>
      </c>
      <c r="C8623" s="455">
        <v>14.634</v>
      </c>
      <c r="D8623" s="637">
        <f t="shared" si="286"/>
        <v>38.175652173913058</v>
      </c>
      <c r="E8623" s="637">
        <f t="shared" si="287"/>
        <v>47.083304347826122</v>
      </c>
    </row>
    <row r="8624" spans="1:5">
      <c r="A8624">
        <v>122613</v>
      </c>
      <c r="B8624">
        <v>400</v>
      </c>
      <c r="C8624" s="455">
        <v>15.391</v>
      </c>
      <c r="D8624" s="637">
        <f t="shared" si="286"/>
        <v>40.150434782608713</v>
      </c>
      <c r="E8624" s="637">
        <f t="shared" si="287"/>
        <v>49.518869565217429</v>
      </c>
    </row>
    <row r="8625" spans="1:5">
      <c r="A8625">
        <v>122613</v>
      </c>
      <c r="B8625">
        <v>500</v>
      </c>
      <c r="C8625" s="455">
        <v>15.134</v>
      </c>
      <c r="D8625" s="637">
        <f t="shared" si="286"/>
        <v>39.480000000000018</v>
      </c>
      <c r="E8625" s="637">
        <f t="shared" si="287"/>
        <v>48.692000000000036</v>
      </c>
    </row>
    <row r="8626" spans="1:5">
      <c r="A8626">
        <v>122613</v>
      </c>
      <c r="B8626">
        <v>600</v>
      </c>
      <c r="C8626" s="455">
        <v>15.026999999999999</v>
      </c>
      <c r="D8626" s="637">
        <f t="shared" si="286"/>
        <v>39.20086956521741</v>
      </c>
      <c r="E8626" s="637">
        <f t="shared" si="287"/>
        <v>48.347739130434817</v>
      </c>
    </row>
    <row r="8627" spans="1:5">
      <c r="A8627">
        <v>122613</v>
      </c>
      <c r="B8627">
        <v>700</v>
      </c>
      <c r="C8627" s="455">
        <v>14.88</v>
      </c>
      <c r="D8627" s="637">
        <f t="shared" si="286"/>
        <v>38.817391304347844</v>
      </c>
      <c r="E8627" s="637">
        <f t="shared" si="287"/>
        <v>47.874782608695689</v>
      </c>
    </row>
    <row r="8628" spans="1:5">
      <c r="A8628">
        <v>122613</v>
      </c>
      <c r="B8628">
        <v>800</v>
      </c>
      <c r="C8628" s="455">
        <v>15.233000000000001</v>
      </c>
      <c r="D8628" s="637">
        <f t="shared" si="286"/>
        <v>39.738260869565238</v>
      </c>
      <c r="E8628" s="637">
        <f t="shared" si="287"/>
        <v>49.010521739130475</v>
      </c>
    </row>
    <row r="8629" spans="1:5">
      <c r="A8629">
        <v>122613</v>
      </c>
      <c r="B8629">
        <v>900</v>
      </c>
      <c r="C8629" s="455">
        <v>20.495000000000001</v>
      </c>
      <c r="D8629" s="637">
        <f t="shared" si="286"/>
        <v>53.465217391304371</v>
      </c>
      <c r="E8629" s="637">
        <f t="shared" si="287"/>
        <v>65.940434782608747</v>
      </c>
    </row>
    <row r="8630" spans="1:5">
      <c r="A8630">
        <v>122613</v>
      </c>
      <c r="B8630">
        <v>1000</v>
      </c>
      <c r="C8630" s="455">
        <v>17.526</v>
      </c>
      <c r="D8630" s="637">
        <f t="shared" si="286"/>
        <v>45.72000000000002</v>
      </c>
      <c r="E8630" s="637">
        <f t="shared" si="287"/>
        <v>56.388000000000041</v>
      </c>
    </row>
    <row r="8631" spans="1:5">
      <c r="A8631">
        <v>122613</v>
      </c>
      <c r="B8631">
        <v>1100</v>
      </c>
      <c r="C8631" s="455">
        <v>7.9180000000000001</v>
      </c>
      <c r="D8631" s="637">
        <f t="shared" si="286"/>
        <v>20.655652173913055</v>
      </c>
      <c r="E8631" s="637">
        <f t="shared" si="287"/>
        <v>25.475304347826107</v>
      </c>
    </row>
    <row r="8632" spans="1:5">
      <c r="A8632">
        <v>122613</v>
      </c>
      <c r="B8632">
        <v>1200</v>
      </c>
      <c r="C8632" s="455">
        <v>4.7030000000000003</v>
      </c>
      <c r="D8632" s="637">
        <f t="shared" si="286"/>
        <v>12.268695652173918</v>
      </c>
      <c r="E8632" s="637">
        <f t="shared" si="287"/>
        <v>15.131391304347838</v>
      </c>
    </row>
    <row r="8633" spans="1:5">
      <c r="A8633">
        <v>122613</v>
      </c>
      <c r="B8633">
        <v>1300</v>
      </c>
      <c r="C8633" s="455">
        <v>5.0490000000000004</v>
      </c>
      <c r="D8633" s="637">
        <f t="shared" si="286"/>
        <v>13.171304347826094</v>
      </c>
      <c r="E8633" s="637">
        <f t="shared" si="287"/>
        <v>16.24460869565219</v>
      </c>
    </row>
    <row r="8634" spans="1:5">
      <c r="A8634">
        <v>122613</v>
      </c>
      <c r="B8634">
        <v>1400</v>
      </c>
      <c r="C8634" s="455">
        <v>10.535</v>
      </c>
      <c r="D8634" s="637">
        <f t="shared" si="286"/>
        <v>27.482608695652186</v>
      </c>
      <c r="E8634" s="637">
        <f t="shared" si="287"/>
        <v>33.895217391304371</v>
      </c>
    </row>
    <row r="8635" spans="1:5">
      <c r="A8635">
        <v>122613</v>
      </c>
      <c r="B8635">
        <v>1500</v>
      </c>
      <c r="C8635" s="455">
        <v>10.129</v>
      </c>
      <c r="D8635" s="637">
        <f t="shared" si="286"/>
        <v>26.423478260869576</v>
      </c>
      <c r="E8635" s="637">
        <f t="shared" si="287"/>
        <v>32.588956521739156</v>
      </c>
    </row>
    <row r="8636" spans="1:5">
      <c r="A8636">
        <v>122613</v>
      </c>
      <c r="B8636">
        <v>1600</v>
      </c>
      <c r="C8636" s="455">
        <v>13.648999999999999</v>
      </c>
      <c r="D8636" s="637">
        <f t="shared" si="286"/>
        <v>35.60608695652175</v>
      </c>
      <c r="E8636" s="637">
        <f t="shared" si="287"/>
        <v>43.914173913043513</v>
      </c>
    </row>
    <row r="8637" spans="1:5">
      <c r="A8637">
        <v>122613</v>
      </c>
      <c r="B8637">
        <v>1700</v>
      </c>
      <c r="C8637" s="455">
        <v>18.959</v>
      </c>
      <c r="D8637" s="637">
        <f t="shared" si="286"/>
        <v>49.458260869565237</v>
      </c>
      <c r="E8637" s="637">
        <f t="shared" si="287"/>
        <v>60.998521739130481</v>
      </c>
    </row>
    <row r="8638" spans="1:5">
      <c r="A8638">
        <v>122613</v>
      </c>
      <c r="B8638">
        <v>1800</v>
      </c>
      <c r="C8638" s="455">
        <v>13.715999999999999</v>
      </c>
      <c r="D8638" s="637">
        <f t="shared" si="286"/>
        <v>35.780869565217408</v>
      </c>
      <c r="E8638" s="637">
        <f t="shared" si="287"/>
        <v>44.129739130434814</v>
      </c>
    </row>
    <row r="8639" spans="1:5">
      <c r="A8639">
        <v>122613</v>
      </c>
      <c r="B8639">
        <v>1900</v>
      </c>
      <c r="C8639" s="455">
        <v>14.34</v>
      </c>
      <c r="D8639" s="637">
        <f t="shared" si="286"/>
        <v>37.408695652173932</v>
      </c>
      <c r="E8639" s="637">
        <f t="shared" si="287"/>
        <v>46.137391304347865</v>
      </c>
    </row>
    <row r="8640" spans="1:5">
      <c r="A8640">
        <v>122613</v>
      </c>
      <c r="B8640">
        <v>2000</v>
      </c>
      <c r="C8640" s="455">
        <v>15.209</v>
      </c>
      <c r="D8640" s="637">
        <f t="shared" si="286"/>
        <v>39.675652173913058</v>
      </c>
      <c r="E8640" s="637">
        <f t="shared" si="287"/>
        <v>48.933304347826123</v>
      </c>
    </row>
    <row r="8641" spans="1:5">
      <c r="A8641">
        <v>122613</v>
      </c>
      <c r="B8641">
        <v>2100</v>
      </c>
      <c r="C8641" s="455">
        <v>14.797000000000001</v>
      </c>
      <c r="D8641" s="637">
        <f t="shared" si="286"/>
        <v>38.600869565217408</v>
      </c>
      <c r="E8641" s="637">
        <f t="shared" si="287"/>
        <v>47.607739130434823</v>
      </c>
    </row>
    <row r="8642" spans="1:5">
      <c r="A8642">
        <v>122613</v>
      </c>
      <c r="B8642">
        <v>2200</v>
      </c>
      <c r="C8642" s="455">
        <v>15.044</v>
      </c>
      <c r="D8642" s="637">
        <f t="shared" si="286"/>
        <v>39.245217391304365</v>
      </c>
      <c r="E8642" s="637">
        <f t="shared" si="287"/>
        <v>48.402434782608736</v>
      </c>
    </row>
    <row r="8643" spans="1:5">
      <c r="A8643">
        <v>122613</v>
      </c>
      <c r="B8643">
        <v>2300</v>
      </c>
      <c r="C8643" s="455">
        <v>15.879</v>
      </c>
      <c r="D8643" s="637">
        <f t="shared" si="286"/>
        <v>41.42347826086958</v>
      </c>
      <c r="E8643" s="637">
        <f t="shared" si="287"/>
        <v>51.088956521739171</v>
      </c>
    </row>
    <row r="8644" spans="1:5">
      <c r="A8644">
        <v>122613</v>
      </c>
      <c r="B8644">
        <v>2400</v>
      </c>
      <c r="C8644" s="455">
        <v>15.698</v>
      </c>
      <c r="D8644" s="637">
        <f t="shared" si="286"/>
        <v>40.951304347826103</v>
      </c>
      <c r="E8644" s="637">
        <f t="shared" si="287"/>
        <v>50.506608695652211</v>
      </c>
    </row>
    <row r="8645" spans="1:5">
      <c r="A8645">
        <v>122713</v>
      </c>
      <c r="B8645">
        <v>100</v>
      </c>
      <c r="C8645" s="455">
        <v>15.613</v>
      </c>
      <c r="D8645" s="637">
        <f t="shared" si="286"/>
        <v>40.729565217391318</v>
      </c>
      <c r="E8645" s="637">
        <f t="shared" si="287"/>
        <v>50.233130434782645</v>
      </c>
    </row>
    <row r="8646" spans="1:5">
      <c r="A8646">
        <v>122713</v>
      </c>
      <c r="B8646">
        <v>200</v>
      </c>
      <c r="C8646" s="455">
        <v>15.574999999999999</v>
      </c>
      <c r="D8646" s="637">
        <f t="shared" si="286"/>
        <v>40.63043478260871</v>
      </c>
      <c r="E8646" s="637">
        <f t="shared" si="287"/>
        <v>50.110869565217428</v>
      </c>
    </row>
    <row r="8647" spans="1:5">
      <c r="A8647">
        <v>122713</v>
      </c>
      <c r="B8647">
        <v>300</v>
      </c>
      <c r="C8647" s="455">
        <v>15.304</v>
      </c>
      <c r="D8647" s="637">
        <f t="shared" si="286"/>
        <v>39.92347826086958</v>
      </c>
      <c r="E8647" s="637">
        <f t="shared" si="287"/>
        <v>49.238956521739169</v>
      </c>
    </row>
    <row r="8648" spans="1:5">
      <c r="A8648">
        <v>122713</v>
      </c>
      <c r="B8648">
        <v>400</v>
      </c>
      <c r="C8648" s="455">
        <v>15.952</v>
      </c>
      <c r="D8648" s="637">
        <f t="shared" si="286"/>
        <v>41.613913043478277</v>
      </c>
      <c r="E8648" s="637">
        <f t="shared" si="287"/>
        <v>51.323826086956558</v>
      </c>
    </row>
    <row r="8649" spans="1:5">
      <c r="A8649">
        <v>122713</v>
      </c>
      <c r="B8649">
        <v>500</v>
      </c>
      <c r="C8649" s="455">
        <v>15.058</v>
      </c>
      <c r="D8649" s="637">
        <f t="shared" si="286"/>
        <v>39.281739130434801</v>
      </c>
      <c r="E8649" s="637">
        <f t="shared" si="287"/>
        <v>48.447478260869602</v>
      </c>
    </row>
    <row r="8650" spans="1:5">
      <c r="A8650">
        <v>122713</v>
      </c>
      <c r="B8650">
        <v>600</v>
      </c>
      <c r="C8650" s="455">
        <v>15.669</v>
      </c>
      <c r="D8650" s="637">
        <f t="shared" si="286"/>
        <v>40.87565217391306</v>
      </c>
      <c r="E8650" s="637">
        <f t="shared" si="287"/>
        <v>50.413304347826127</v>
      </c>
    </row>
    <row r="8651" spans="1:5">
      <c r="A8651">
        <v>122713</v>
      </c>
      <c r="B8651">
        <v>700</v>
      </c>
      <c r="C8651" s="455">
        <v>15.368</v>
      </c>
      <c r="D8651" s="637">
        <f t="shared" si="286"/>
        <v>40.09043478260871</v>
      </c>
      <c r="E8651" s="637">
        <f t="shared" si="287"/>
        <v>49.444869565217424</v>
      </c>
    </row>
    <row r="8652" spans="1:5">
      <c r="A8652">
        <v>122713</v>
      </c>
      <c r="B8652">
        <v>800</v>
      </c>
      <c r="C8652" s="455">
        <v>15.558</v>
      </c>
      <c r="D8652" s="637">
        <f t="shared" si="286"/>
        <v>40.586086956521754</v>
      </c>
      <c r="E8652" s="637">
        <f t="shared" si="287"/>
        <v>50.056173913043516</v>
      </c>
    </row>
    <row r="8653" spans="1:5">
      <c r="A8653">
        <v>122713</v>
      </c>
      <c r="B8653">
        <v>900</v>
      </c>
      <c r="C8653" s="455">
        <v>19.760999999999999</v>
      </c>
      <c r="D8653" s="637">
        <f t="shared" si="286"/>
        <v>51.550434782608711</v>
      </c>
      <c r="E8653" s="637">
        <f t="shared" si="287"/>
        <v>63.578869565217431</v>
      </c>
    </row>
    <row r="8654" spans="1:5">
      <c r="A8654">
        <v>122713</v>
      </c>
      <c r="B8654">
        <v>1000</v>
      </c>
      <c r="C8654" s="455">
        <v>13.478</v>
      </c>
      <c r="D8654" s="637">
        <f t="shared" si="286"/>
        <v>35.160000000000011</v>
      </c>
      <c r="E8654" s="637">
        <f t="shared" si="287"/>
        <v>43.364000000000033</v>
      </c>
    </row>
    <row r="8655" spans="1:5">
      <c r="A8655">
        <v>122713</v>
      </c>
      <c r="B8655">
        <v>1100</v>
      </c>
      <c r="C8655" s="455">
        <v>3.7890000000000001</v>
      </c>
      <c r="D8655" s="637">
        <f t="shared" si="286"/>
        <v>9.8843478260869606</v>
      </c>
      <c r="E8655" s="637">
        <f t="shared" si="287"/>
        <v>12.190695652173922</v>
      </c>
    </row>
    <row r="8656" spans="1:5">
      <c r="A8656">
        <v>122713</v>
      </c>
      <c r="B8656">
        <v>1200</v>
      </c>
      <c r="C8656" s="455">
        <v>3.6760000000000002</v>
      </c>
      <c r="D8656" s="637">
        <f t="shared" si="286"/>
        <v>9.5895652173913088</v>
      </c>
      <c r="E8656" s="637">
        <f t="shared" si="287"/>
        <v>11.827130434782617</v>
      </c>
    </row>
    <row r="8657" spans="1:5">
      <c r="A8657">
        <v>122713</v>
      </c>
      <c r="B8657">
        <v>1300</v>
      </c>
      <c r="C8657" s="455">
        <v>2.2869999999999999</v>
      </c>
      <c r="D8657" s="637">
        <f t="shared" si="286"/>
        <v>5.9660869565217416</v>
      </c>
      <c r="E8657" s="637">
        <f t="shared" si="287"/>
        <v>7.3581739130434833</v>
      </c>
    </row>
    <row r="8658" spans="1:5">
      <c r="A8658">
        <v>122713</v>
      </c>
      <c r="B8658">
        <v>1400</v>
      </c>
      <c r="C8658" s="455">
        <v>1.0620000000000001</v>
      </c>
      <c r="D8658" s="637">
        <f t="shared" si="286"/>
        <v>2.7704347826086968</v>
      </c>
      <c r="E8658" s="637">
        <f t="shared" si="287"/>
        <v>3.4168695652173939</v>
      </c>
    </row>
    <row r="8659" spans="1:5">
      <c r="A8659">
        <v>122713</v>
      </c>
      <c r="B8659">
        <v>1500</v>
      </c>
      <c r="C8659" s="455">
        <v>2.6110000000000002</v>
      </c>
      <c r="D8659" s="637">
        <f t="shared" si="286"/>
        <v>6.8113043478260904</v>
      </c>
      <c r="E8659" s="637">
        <f t="shared" si="287"/>
        <v>8.4006086956521813</v>
      </c>
    </row>
    <row r="8660" spans="1:5">
      <c r="A8660">
        <v>122713</v>
      </c>
      <c r="B8660">
        <v>1600</v>
      </c>
      <c r="C8660" s="455">
        <v>12.478</v>
      </c>
      <c r="D8660" s="637">
        <f t="shared" si="286"/>
        <v>32.551304347826104</v>
      </c>
      <c r="E8660" s="637">
        <f t="shared" si="287"/>
        <v>40.146608695652205</v>
      </c>
    </row>
    <row r="8661" spans="1:5">
      <c r="A8661">
        <v>122713</v>
      </c>
      <c r="B8661">
        <v>1700</v>
      </c>
      <c r="C8661" s="455">
        <v>18.312999999999999</v>
      </c>
      <c r="D8661" s="637">
        <f t="shared" si="286"/>
        <v>47.773043478260888</v>
      </c>
      <c r="E8661" s="637">
        <f t="shared" si="287"/>
        <v>58.920086956521786</v>
      </c>
    </row>
    <row r="8662" spans="1:5">
      <c r="A8662">
        <v>122713</v>
      </c>
      <c r="B8662">
        <v>1800</v>
      </c>
      <c r="C8662" s="455">
        <v>13.446</v>
      </c>
      <c r="D8662" s="637">
        <f t="shared" ref="D8662:D8725" si="288">(C8662/(MAX($C$8021:$C$8764)))*$W$16</f>
        <v>35.076521739130449</v>
      </c>
      <c r="E8662" s="637">
        <f t="shared" ref="E8662:E8725" si="289">(C8662/(MAX($C$8021:$C$8764)))*$P$16</f>
        <v>43.261043478260902</v>
      </c>
    </row>
    <row r="8663" spans="1:5">
      <c r="A8663">
        <v>122713</v>
      </c>
      <c r="B8663">
        <v>1900</v>
      </c>
      <c r="C8663" s="455">
        <v>13.744</v>
      </c>
      <c r="D8663" s="637">
        <f t="shared" si="288"/>
        <v>35.853913043478272</v>
      </c>
      <c r="E8663" s="637">
        <f t="shared" si="289"/>
        <v>44.219826086956552</v>
      </c>
    </row>
    <row r="8664" spans="1:5">
      <c r="A8664">
        <v>122713</v>
      </c>
      <c r="B8664">
        <v>2000</v>
      </c>
      <c r="C8664" s="455">
        <v>13.71</v>
      </c>
      <c r="D8664" s="637">
        <f t="shared" si="288"/>
        <v>35.765217391304361</v>
      </c>
      <c r="E8664" s="637">
        <f t="shared" si="289"/>
        <v>44.110434782608728</v>
      </c>
    </row>
    <row r="8665" spans="1:5">
      <c r="A8665">
        <v>122713</v>
      </c>
      <c r="B8665">
        <v>2100</v>
      </c>
      <c r="C8665" s="455">
        <v>13.619</v>
      </c>
      <c r="D8665" s="637">
        <f t="shared" si="288"/>
        <v>35.527826086956537</v>
      </c>
      <c r="E8665" s="637">
        <f t="shared" si="289"/>
        <v>43.817652173913075</v>
      </c>
    </row>
    <row r="8666" spans="1:5">
      <c r="A8666">
        <v>122713</v>
      </c>
      <c r="B8666">
        <v>2200</v>
      </c>
      <c r="C8666" s="455">
        <v>14.241</v>
      </c>
      <c r="D8666" s="637">
        <f t="shared" si="288"/>
        <v>37.150434782608713</v>
      </c>
      <c r="E8666" s="637">
        <f t="shared" si="289"/>
        <v>45.818869565217426</v>
      </c>
    </row>
    <row r="8667" spans="1:5">
      <c r="A8667">
        <v>122713</v>
      </c>
      <c r="B8667">
        <v>2300</v>
      </c>
      <c r="C8667" s="455">
        <v>14.518000000000001</v>
      </c>
      <c r="D8667" s="637">
        <f t="shared" si="288"/>
        <v>37.87304347826089</v>
      </c>
      <c r="E8667" s="637">
        <f t="shared" si="289"/>
        <v>46.710086956521778</v>
      </c>
    </row>
    <row r="8668" spans="1:5">
      <c r="A8668">
        <v>122713</v>
      </c>
      <c r="B8668">
        <v>2400</v>
      </c>
      <c r="C8668" s="455">
        <v>14.632</v>
      </c>
      <c r="D8668" s="637">
        <f t="shared" si="288"/>
        <v>38.170434782608709</v>
      </c>
      <c r="E8668" s="637">
        <f t="shared" si="289"/>
        <v>47.076869565217422</v>
      </c>
    </row>
    <row r="8669" spans="1:5">
      <c r="A8669">
        <v>122813</v>
      </c>
      <c r="B8669">
        <v>100</v>
      </c>
      <c r="C8669" s="455">
        <v>15.468999999999999</v>
      </c>
      <c r="D8669" s="637">
        <f t="shared" si="288"/>
        <v>40.353913043478272</v>
      </c>
      <c r="E8669" s="637">
        <f t="shared" si="289"/>
        <v>49.769826086956556</v>
      </c>
    </row>
    <row r="8670" spans="1:5">
      <c r="A8670">
        <v>122813</v>
      </c>
      <c r="B8670">
        <v>200</v>
      </c>
      <c r="C8670" s="455">
        <v>14.677</v>
      </c>
      <c r="D8670" s="637">
        <f t="shared" si="288"/>
        <v>38.287826086956542</v>
      </c>
      <c r="E8670" s="637">
        <f t="shared" si="289"/>
        <v>47.221652173913078</v>
      </c>
    </row>
    <row r="8671" spans="1:5">
      <c r="A8671">
        <v>122813</v>
      </c>
      <c r="B8671">
        <v>300</v>
      </c>
      <c r="C8671" s="455">
        <v>13.552</v>
      </c>
      <c r="D8671" s="637">
        <f t="shared" si="288"/>
        <v>35.353043478260879</v>
      </c>
      <c r="E8671" s="637">
        <f t="shared" si="289"/>
        <v>43.602086956521767</v>
      </c>
    </row>
    <row r="8672" spans="1:5">
      <c r="A8672">
        <v>122813</v>
      </c>
      <c r="B8672">
        <v>400</v>
      </c>
      <c r="C8672" s="455">
        <v>14.515000000000001</v>
      </c>
      <c r="D8672" s="637">
        <f t="shared" si="288"/>
        <v>37.865217391304363</v>
      </c>
      <c r="E8672" s="637">
        <f t="shared" si="289"/>
        <v>46.700434782608731</v>
      </c>
    </row>
    <row r="8673" spans="1:5">
      <c r="A8673">
        <v>122813</v>
      </c>
      <c r="B8673">
        <v>500</v>
      </c>
      <c r="C8673" s="455">
        <v>13.945</v>
      </c>
      <c r="D8673" s="637">
        <f t="shared" si="288"/>
        <v>36.378260869565231</v>
      </c>
      <c r="E8673" s="637">
        <f t="shared" si="289"/>
        <v>44.866521739130469</v>
      </c>
    </row>
    <row r="8674" spans="1:5">
      <c r="A8674">
        <v>122813</v>
      </c>
      <c r="B8674">
        <v>600</v>
      </c>
      <c r="C8674" s="455">
        <v>14.052</v>
      </c>
      <c r="D8674" s="637">
        <f t="shared" si="288"/>
        <v>36.65739130434784</v>
      </c>
      <c r="E8674" s="637">
        <f t="shared" si="289"/>
        <v>45.210782608695681</v>
      </c>
    </row>
    <row r="8675" spans="1:5">
      <c r="A8675">
        <v>122813</v>
      </c>
      <c r="B8675">
        <v>700</v>
      </c>
      <c r="C8675" s="455">
        <v>13.813000000000001</v>
      </c>
      <c r="D8675" s="637">
        <f t="shared" si="288"/>
        <v>36.033913043478272</v>
      </c>
      <c r="E8675" s="637">
        <f t="shared" si="289"/>
        <v>44.441826086956553</v>
      </c>
    </row>
    <row r="8676" spans="1:5">
      <c r="A8676">
        <v>122813</v>
      </c>
      <c r="B8676">
        <v>800</v>
      </c>
      <c r="C8676" s="455">
        <v>14.872999999999999</v>
      </c>
      <c r="D8676" s="637">
        <f t="shared" si="288"/>
        <v>38.799130434782626</v>
      </c>
      <c r="E8676" s="637">
        <f t="shared" si="289"/>
        <v>47.852260869565256</v>
      </c>
    </row>
    <row r="8677" spans="1:5">
      <c r="A8677">
        <v>122813</v>
      </c>
      <c r="B8677">
        <v>900</v>
      </c>
      <c r="C8677" s="455">
        <v>18.707000000000001</v>
      </c>
      <c r="D8677" s="637">
        <f t="shared" si="288"/>
        <v>48.800869565217418</v>
      </c>
      <c r="E8677" s="637">
        <f t="shared" si="289"/>
        <v>60.187739130434835</v>
      </c>
    </row>
    <row r="8678" spans="1:5">
      <c r="A8678">
        <v>122813</v>
      </c>
      <c r="B8678">
        <v>1000</v>
      </c>
      <c r="C8678" s="455">
        <v>18.443999999999999</v>
      </c>
      <c r="D8678" s="637">
        <f t="shared" si="288"/>
        <v>48.11478260869567</v>
      </c>
      <c r="E8678" s="637">
        <f t="shared" si="289"/>
        <v>59.341565217391349</v>
      </c>
    </row>
    <row r="8679" spans="1:5">
      <c r="A8679">
        <v>122813</v>
      </c>
      <c r="B8679">
        <v>1100</v>
      </c>
      <c r="C8679" s="455">
        <v>13.518000000000001</v>
      </c>
      <c r="D8679" s="637">
        <f t="shared" si="288"/>
        <v>35.264347826086968</v>
      </c>
      <c r="E8679" s="637">
        <f t="shared" si="289"/>
        <v>43.492695652173943</v>
      </c>
    </row>
    <row r="8680" spans="1:5">
      <c r="A8680">
        <v>122813</v>
      </c>
      <c r="B8680">
        <v>1200</v>
      </c>
      <c r="C8680" s="455">
        <v>10.606</v>
      </c>
      <c r="D8680" s="637">
        <f t="shared" si="288"/>
        <v>27.667826086956534</v>
      </c>
      <c r="E8680" s="637">
        <f t="shared" si="289"/>
        <v>34.123652173913072</v>
      </c>
    </row>
    <row r="8681" spans="1:5">
      <c r="A8681">
        <v>122813</v>
      </c>
      <c r="B8681">
        <v>1300</v>
      </c>
      <c r="C8681" s="455">
        <v>3.6880000000000002</v>
      </c>
      <c r="D8681" s="637">
        <f t="shared" si="288"/>
        <v>9.6208695652173954</v>
      </c>
      <c r="E8681" s="637">
        <f t="shared" si="289"/>
        <v>11.865739130434791</v>
      </c>
    </row>
    <row r="8682" spans="1:5">
      <c r="A8682">
        <v>122813</v>
      </c>
      <c r="B8682">
        <v>1400</v>
      </c>
      <c r="C8682" s="455">
        <v>0.216</v>
      </c>
      <c r="D8682" s="637">
        <f t="shared" si="288"/>
        <v>0.56347826086956543</v>
      </c>
      <c r="E8682" s="637">
        <f t="shared" si="289"/>
        <v>0.69495652173913092</v>
      </c>
    </row>
    <row r="8683" spans="1:5">
      <c r="A8683">
        <v>122813</v>
      </c>
      <c r="B8683">
        <v>1500</v>
      </c>
      <c r="C8683" s="455">
        <v>0.89</v>
      </c>
      <c r="D8683" s="637">
        <f t="shared" si="288"/>
        <v>2.3217391304347834</v>
      </c>
      <c r="E8683" s="637">
        <f t="shared" si="289"/>
        <v>2.8634782608695675</v>
      </c>
    </row>
    <row r="8684" spans="1:5">
      <c r="A8684">
        <v>122813</v>
      </c>
      <c r="B8684">
        <v>1600</v>
      </c>
      <c r="C8684" s="455">
        <v>1.76</v>
      </c>
      <c r="D8684" s="637">
        <f t="shared" si="288"/>
        <v>4.5913043478260889</v>
      </c>
      <c r="E8684" s="637">
        <f t="shared" si="289"/>
        <v>5.6626086956521782</v>
      </c>
    </row>
    <row r="8685" spans="1:5">
      <c r="A8685">
        <v>122813</v>
      </c>
      <c r="B8685">
        <v>1700</v>
      </c>
      <c r="C8685" s="455">
        <v>11.449</v>
      </c>
      <c r="D8685" s="637">
        <f t="shared" si="288"/>
        <v>29.866956521739144</v>
      </c>
      <c r="E8685" s="637">
        <f t="shared" si="289"/>
        <v>36.835913043478293</v>
      </c>
    </row>
    <row r="8686" spans="1:5">
      <c r="A8686">
        <v>122813</v>
      </c>
      <c r="B8686">
        <v>1800</v>
      </c>
      <c r="C8686" s="455">
        <v>14.188000000000001</v>
      </c>
      <c r="D8686" s="637">
        <f t="shared" si="288"/>
        <v>37.012173913043497</v>
      </c>
      <c r="E8686" s="637">
        <f t="shared" si="289"/>
        <v>45.64834782608699</v>
      </c>
    </row>
    <row r="8687" spans="1:5">
      <c r="A8687">
        <v>122813</v>
      </c>
      <c r="B8687">
        <v>1900</v>
      </c>
      <c r="C8687" s="455">
        <v>13.455</v>
      </c>
      <c r="D8687" s="637">
        <f t="shared" si="288"/>
        <v>35.100000000000016</v>
      </c>
      <c r="E8687" s="637">
        <f t="shared" si="289"/>
        <v>43.290000000000028</v>
      </c>
    </row>
    <row r="8688" spans="1:5">
      <c r="A8688">
        <v>122813</v>
      </c>
      <c r="B8688">
        <v>2000</v>
      </c>
      <c r="C8688" s="455">
        <v>13.57</v>
      </c>
      <c r="D8688" s="637">
        <f t="shared" si="288"/>
        <v>35.40000000000002</v>
      </c>
      <c r="E8688" s="637">
        <f t="shared" si="289"/>
        <v>43.660000000000039</v>
      </c>
    </row>
    <row r="8689" spans="1:5">
      <c r="A8689">
        <v>122813</v>
      </c>
      <c r="B8689">
        <v>2100</v>
      </c>
      <c r="C8689" s="455">
        <v>13.499000000000001</v>
      </c>
      <c r="D8689" s="637">
        <f t="shared" si="288"/>
        <v>35.214782608695664</v>
      </c>
      <c r="E8689" s="637">
        <f t="shared" si="289"/>
        <v>43.431565217391338</v>
      </c>
    </row>
    <row r="8690" spans="1:5">
      <c r="A8690">
        <v>122813</v>
      </c>
      <c r="B8690">
        <v>2200</v>
      </c>
      <c r="C8690" s="455">
        <v>13.612</v>
      </c>
      <c r="D8690" s="637">
        <f t="shared" si="288"/>
        <v>35.509565217391319</v>
      </c>
      <c r="E8690" s="637">
        <f t="shared" si="289"/>
        <v>43.795130434782642</v>
      </c>
    </row>
    <row r="8691" spans="1:5">
      <c r="A8691">
        <v>122813</v>
      </c>
      <c r="B8691">
        <v>2300</v>
      </c>
      <c r="C8691" s="455">
        <v>13.907999999999999</v>
      </c>
      <c r="D8691" s="637">
        <f t="shared" si="288"/>
        <v>36.281739130434801</v>
      </c>
      <c r="E8691" s="637">
        <f t="shared" si="289"/>
        <v>44.747478260869599</v>
      </c>
    </row>
    <row r="8692" spans="1:5">
      <c r="A8692">
        <v>122813</v>
      </c>
      <c r="B8692">
        <v>2400</v>
      </c>
      <c r="C8692" s="455">
        <v>13.696</v>
      </c>
      <c r="D8692" s="637">
        <f t="shared" si="288"/>
        <v>35.728695652173926</v>
      </c>
      <c r="E8692" s="637">
        <f t="shared" si="289"/>
        <v>44.065391304347862</v>
      </c>
    </row>
    <row r="8693" spans="1:5">
      <c r="A8693">
        <v>122913</v>
      </c>
      <c r="B8693">
        <v>100</v>
      </c>
      <c r="C8693" s="455">
        <v>14.228</v>
      </c>
      <c r="D8693" s="637">
        <f t="shared" si="288"/>
        <v>37.116521739130448</v>
      </c>
      <c r="E8693" s="637">
        <f t="shared" si="289"/>
        <v>45.7770434782609</v>
      </c>
    </row>
    <row r="8694" spans="1:5">
      <c r="A8694">
        <v>122913</v>
      </c>
      <c r="B8694">
        <v>200</v>
      </c>
      <c r="C8694" s="455">
        <v>13.771000000000001</v>
      </c>
      <c r="D8694" s="637">
        <f t="shared" si="288"/>
        <v>35.924347826086972</v>
      </c>
      <c r="E8694" s="637">
        <f t="shared" si="289"/>
        <v>44.30669565217395</v>
      </c>
    </row>
    <row r="8695" spans="1:5">
      <c r="A8695">
        <v>122913</v>
      </c>
      <c r="B8695">
        <v>300</v>
      </c>
      <c r="C8695" s="455">
        <v>14.35</v>
      </c>
      <c r="D8695" s="637">
        <f t="shared" si="288"/>
        <v>37.434782608695663</v>
      </c>
      <c r="E8695" s="637">
        <f t="shared" si="289"/>
        <v>46.169565217391337</v>
      </c>
    </row>
    <row r="8696" spans="1:5">
      <c r="A8696">
        <v>122913</v>
      </c>
      <c r="B8696">
        <v>400</v>
      </c>
      <c r="C8696" s="455">
        <v>13.734</v>
      </c>
      <c r="D8696" s="637">
        <f t="shared" si="288"/>
        <v>35.827826086956534</v>
      </c>
      <c r="E8696" s="637">
        <f t="shared" si="289"/>
        <v>44.187652173913072</v>
      </c>
    </row>
    <row r="8697" spans="1:5">
      <c r="A8697">
        <v>122913</v>
      </c>
      <c r="B8697">
        <v>500</v>
      </c>
      <c r="C8697" s="455">
        <v>14.419</v>
      </c>
      <c r="D8697" s="637">
        <f t="shared" si="288"/>
        <v>37.61478260869567</v>
      </c>
      <c r="E8697" s="637">
        <f t="shared" si="289"/>
        <v>46.391565217391346</v>
      </c>
    </row>
    <row r="8698" spans="1:5">
      <c r="A8698">
        <v>122913</v>
      </c>
      <c r="B8698">
        <v>600</v>
      </c>
      <c r="C8698" s="455">
        <v>13.898999999999999</v>
      </c>
      <c r="D8698" s="637">
        <f t="shared" si="288"/>
        <v>36.258260869565234</v>
      </c>
      <c r="E8698" s="637">
        <f t="shared" si="289"/>
        <v>44.718521739130466</v>
      </c>
    </row>
    <row r="8699" spans="1:5">
      <c r="A8699">
        <v>122913</v>
      </c>
      <c r="B8699">
        <v>700</v>
      </c>
      <c r="C8699" s="455">
        <v>13.805</v>
      </c>
      <c r="D8699" s="637">
        <f t="shared" si="288"/>
        <v>36.013043478260883</v>
      </c>
      <c r="E8699" s="637">
        <f t="shared" si="289"/>
        <v>44.416086956521767</v>
      </c>
    </row>
    <row r="8700" spans="1:5">
      <c r="A8700">
        <v>122913</v>
      </c>
      <c r="B8700">
        <v>800</v>
      </c>
      <c r="C8700" s="455">
        <v>15.147</v>
      </c>
      <c r="D8700" s="637">
        <f t="shared" si="288"/>
        <v>39.513913043478276</v>
      </c>
      <c r="E8700" s="637">
        <f t="shared" si="289"/>
        <v>48.733826086956554</v>
      </c>
    </row>
    <row r="8701" spans="1:5">
      <c r="A8701">
        <v>122913</v>
      </c>
      <c r="B8701">
        <v>900</v>
      </c>
      <c r="C8701" s="455">
        <v>14.406000000000001</v>
      </c>
      <c r="D8701" s="637">
        <f t="shared" si="288"/>
        <v>37.580869565217405</v>
      </c>
      <c r="E8701" s="637">
        <f t="shared" si="289"/>
        <v>46.349739130434813</v>
      </c>
    </row>
    <row r="8702" spans="1:5">
      <c r="A8702">
        <v>122913</v>
      </c>
      <c r="B8702">
        <v>1000</v>
      </c>
      <c r="C8702" s="455">
        <v>1.677</v>
      </c>
      <c r="D8702" s="637">
        <f t="shared" si="288"/>
        <v>4.3747826086956536</v>
      </c>
      <c r="E8702" s="637">
        <f t="shared" si="289"/>
        <v>5.395565217391308</v>
      </c>
    </row>
    <row r="8703" spans="1:5">
      <c r="A8703">
        <v>122913</v>
      </c>
      <c r="B8703">
        <v>1100</v>
      </c>
      <c r="C8703" s="455">
        <v>0</v>
      </c>
      <c r="D8703" s="637">
        <f t="shared" si="288"/>
        <v>0</v>
      </c>
      <c r="E8703" s="637">
        <f t="shared" si="289"/>
        <v>0</v>
      </c>
    </row>
    <row r="8704" spans="1:5">
      <c r="A8704">
        <v>122913</v>
      </c>
      <c r="B8704">
        <v>1200</v>
      </c>
      <c r="C8704" s="455">
        <v>1E-3</v>
      </c>
      <c r="D8704" s="637">
        <f t="shared" si="288"/>
        <v>2.6086956521739141E-3</v>
      </c>
      <c r="E8704" s="637">
        <f t="shared" si="289"/>
        <v>3.2173913043478286E-3</v>
      </c>
    </row>
    <row r="8705" spans="1:5">
      <c r="A8705">
        <v>122913</v>
      </c>
      <c r="B8705">
        <v>1300</v>
      </c>
      <c r="C8705" s="455">
        <v>0</v>
      </c>
      <c r="D8705" s="637">
        <f t="shared" si="288"/>
        <v>0</v>
      </c>
      <c r="E8705" s="637">
        <f t="shared" si="289"/>
        <v>0</v>
      </c>
    </row>
    <row r="8706" spans="1:5">
      <c r="A8706">
        <v>122913</v>
      </c>
      <c r="B8706">
        <v>1400</v>
      </c>
      <c r="C8706" s="455">
        <v>0</v>
      </c>
      <c r="D8706" s="637">
        <f t="shared" si="288"/>
        <v>0</v>
      </c>
      <c r="E8706" s="637">
        <f t="shared" si="289"/>
        <v>0</v>
      </c>
    </row>
    <row r="8707" spans="1:5">
      <c r="A8707">
        <v>122913</v>
      </c>
      <c r="B8707">
        <v>1500</v>
      </c>
      <c r="C8707" s="455">
        <v>0</v>
      </c>
      <c r="D8707" s="637">
        <f t="shared" si="288"/>
        <v>0</v>
      </c>
      <c r="E8707" s="637">
        <f t="shared" si="289"/>
        <v>0</v>
      </c>
    </row>
    <row r="8708" spans="1:5">
      <c r="A8708">
        <v>122913</v>
      </c>
      <c r="B8708">
        <v>1600</v>
      </c>
      <c r="C8708" s="455">
        <v>0</v>
      </c>
      <c r="D8708" s="637">
        <f t="shared" si="288"/>
        <v>0</v>
      </c>
      <c r="E8708" s="637">
        <f t="shared" si="289"/>
        <v>0</v>
      </c>
    </row>
    <row r="8709" spans="1:5">
      <c r="A8709">
        <v>122913</v>
      </c>
      <c r="B8709">
        <v>1700</v>
      </c>
      <c r="C8709" s="455">
        <v>8.3070000000000004</v>
      </c>
      <c r="D8709" s="637">
        <f t="shared" si="288"/>
        <v>21.670434782608705</v>
      </c>
      <c r="E8709" s="637">
        <f t="shared" si="289"/>
        <v>26.726869565217413</v>
      </c>
    </row>
    <row r="8710" spans="1:5">
      <c r="A8710">
        <v>122913</v>
      </c>
      <c r="B8710">
        <v>1800</v>
      </c>
      <c r="C8710" s="455">
        <v>14.57</v>
      </c>
      <c r="D8710" s="637">
        <f t="shared" si="288"/>
        <v>38.008695652173927</v>
      </c>
      <c r="E8710" s="637">
        <f t="shared" si="289"/>
        <v>46.87739130434786</v>
      </c>
    </row>
    <row r="8711" spans="1:5">
      <c r="A8711">
        <v>122913</v>
      </c>
      <c r="B8711">
        <v>1900</v>
      </c>
      <c r="C8711" s="455">
        <v>12.952999999999999</v>
      </c>
      <c r="D8711" s="637">
        <f t="shared" si="288"/>
        <v>33.790434782608713</v>
      </c>
      <c r="E8711" s="637">
        <f t="shared" si="289"/>
        <v>41.674869565217421</v>
      </c>
    </row>
    <row r="8712" spans="1:5">
      <c r="A8712">
        <v>122913</v>
      </c>
      <c r="B8712">
        <v>2000</v>
      </c>
      <c r="C8712" s="455">
        <v>13.563000000000001</v>
      </c>
      <c r="D8712" s="637">
        <f t="shared" si="288"/>
        <v>35.381739130434802</v>
      </c>
      <c r="E8712" s="637">
        <f t="shared" si="289"/>
        <v>43.637478260869599</v>
      </c>
    </row>
    <row r="8713" spans="1:5">
      <c r="A8713">
        <v>122913</v>
      </c>
      <c r="B8713">
        <v>2100</v>
      </c>
      <c r="C8713" s="455">
        <v>14.074999999999999</v>
      </c>
      <c r="D8713" s="637">
        <f t="shared" si="288"/>
        <v>36.717391304347835</v>
      </c>
      <c r="E8713" s="637">
        <f t="shared" si="289"/>
        <v>45.284782608695679</v>
      </c>
    </row>
    <row r="8714" spans="1:5">
      <c r="A8714">
        <v>122913</v>
      </c>
      <c r="B8714">
        <v>2200</v>
      </c>
      <c r="C8714" s="455">
        <v>14.584</v>
      </c>
      <c r="D8714" s="637">
        <f t="shared" si="288"/>
        <v>38.045217391304362</v>
      </c>
      <c r="E8714" s="637">
        <f t="shared" si="289"/>
        <v>46.922434782608732</v>
      </c>
    </row>
    <row r="8715" spans="1:5">
      <c r="A8715">
        <v>122913</v>
      </c>
      <c r="B8715">
        <v>2300</v>
      </c>
      <c r="C8715" s="455">
        <v>15.317</v>
      </c>
      <c r="D8715" s="637">
        <f t="shared" si="288"/>
        <v>39.957391304347837</v>
      </c>
      <c r="E8715" s="637">
        <f t="shared" si="289"/>
        <v>49.280782608695688</v>
      </c>
    </row>
    <row r="8716" spans="1:5">
      <c r="A8716">
        <v>122913</v>
      </c>
      <c r="B8716">
        <v>2400</v>
      </c>
      <c r="C8716" s="455">
        <v>15.362</v>
      </c>
      <c r="D8716" s="637">
        <f t="shared" si="288"/>
        <v>40.074782608695671</v>
      </c>
      <c r="E8716" s="637">
        <f t="shared" si="289"/>
        <v>49.425565217391345</v>
      </c>
    </row>
    <row r="8717" spans="1:5">
      <c r="A8717">
        <v>123013</v>
      </c>
      <c r="B8717">
        <v>100</v>
      </c>
      <c r="C8717" s="455">
        <v>15.872999999999999</v>
      </c>
      <c r="D8717" s="637">
        <f t="shared" si="288"/>
        <v>41.407826086956533</v>
      </c>
      <c r="E8717" s="637">
        <f t="shared" si="289"/>
        <v>51.069652173913077</v>
      </c>
    </row>
    <row r="8718" spans="1:5">
      <c r="A8718">
        <v>123013</v>
      </c>
      <c r="B8718">
        <v>200</v>
      </c>
      <c r="C8718" s="455">
        <v>16.251999999999999</v>
      </c>
      <c r="D8718" s="637">
        <f t="shared" si="288"/>
        <v>42.396521739130449</v>
      </c>
      <c r="E8718" s="637">
        <f t="shared" si="289"/>
        <v>52.289043478260908</v>
      </c>
    </row>
    <row r="8719" spans="1:5">
      <c r="A8719">
        <v>123013</v>
      </c>
      <c r="B8719">
        <v>300</v>
      </c>
      <c r="C8719" s="455">
        <v>16.616</v>
      </c>
      <c r="D8719" s="637">
        <f t="shared" si="288"/>
        <v>43.346086956521752</v>
      </c>
      <c r="E8719" s="637">
        <f t="shared" si="289"/>
        <v>53.460173913043512</v>
      </c>
    </row>
    <row r="8720" spans="1:5">
      <c r="A8720">
        <v>123013</v>
      </c>
      <c r="B8720">
        <v>400</v>
      </c>
      <c r="C8720" s="455">
        <v>16.096</v>
      </c>
      <c r="D8720" s="637">
        <f t="shared" si="288"/>
        <v>41.989565217391323</v>
      </c>
      <c r="E8720" s="637">
        <f t="shared" si="289"/>
        <v>51.787130434782647</v>
      </c>
    </row>
    <row r="8721" spans="1:5">
      <c r="A8721">
        <v>123013</v>
      </c>
      <c r="B8721">
        <v>500</v>
      </c>
      <c r="C8721" s="455">
        <v>16.433</v>
      </c>
      <c r="D8721" s="637">
        <f t="shared" si="288"/>
        <v>42.868695652173933</v>
      </c>
      <c r="E8721" s="637">
        <f t="shared" si="289"/>
        <v>52.871391304347867</v>
      </c>
    </row>
    <row r="8722" spans="1:5">
      <c r="A8722">
        <v>123013</v>
      </c>
      <c r="B8722">
        <v>600</v>
      </c>
      <c r="C8722" s="455">
        <v>16.027999999999999</v>
      </c>
      <c r="D8722" s="637">
        <f t="shared" si="288"/>
        <v>41.812173913043495</v>
      </c>
      <c r="E8722" s="637">
        <f t="shared" si="289"/>
        <v>51.568347826086992</v>
      </c>
    </row>
    <row r="8723" spans="1:5">
      <c r="A8723">
        <v>123013</v>
      </c>
      <c r="B8723">
        <v>700</v>
      </c>
      <c r="C8723" s="455">
        <v>16.047000000000001</v>
      </c>
      <c r="D8723" s="637">
        <f t="shared" si="288"/>
        <v>41.861739130434799</v>
      </c>
      <c r="E8723" s="637">
        <f t="shared" si="289"/>
        <v>51.629478260869604</v>
      </c>
    </row>
    <row r="8724" spans="1:5">
      <c r="A8724">
        <v>123013</v>
      </c>
      <c r="B8724">
        <v>800</v>
      </c>
      <c r="C8724" s="455">
        <v>17.986999999999998</v>
      </c>
      <c r="D8724" s="637">
        <f t="shared" si="288"/>
        <v>46.922608695652194</v>
      </c>
      <c r="E8724" s="637">
        <f t="shared" si="289"/>
        <v>57.871217391304391</v>
      </c>
    </row>
    <row r="8725" spans="1:5">
      <c r="A8725">
        <v>123013</v>
      </c>
      <c r="B8725">
        <v>900</v>
      </c>
      <c r="C8725" s="455">
        <v>5.3040000000000003</v>
      </c>
      <c r="D8725" s="637">
        <f t="shared" si="288"/>
        <v>13.83652173913044</v>
      </c>
      <c r="E8725" s="637">
        <f t="shared" si="289"/>
        <v>17.065043478260883</v>
      </c>
    </row>
    <row r="8726" spans="1:5">
      <c r="A8726">
        <v>123013</v>
      </c>
      <c r="B8726">
        <v>1000</v>
      </c>
      <c r="C8726" s="455">
        <v>0</v>
      </c>
      <c r="D8726" s="637">
        <f t="shared" ref="D8726:D8764" si="290">(C8726/(MAX($C$8021:$C$8764)))*$W$16</f>
        <v>0</v>
      </c>
      <c r="E8726" s="637">
        <f t="shared" ref="E8726:E8764" si="291">(C8726/(MAX($C$8021:$C$8764)))*$P$16</f>
        <v>0</v>
      </c>
    </row>
    <row r="8727" spans="1:5">
      <c r="A8727">
        <v>123013</v>
      </c>
      <c r="B8727">
        <v>1100</v>
      </c>
      <c r="C8727" s="455">
        <v>0</v>
      </c>
      <c r="D8727" s="637">
        <f t="shared" si="290"/>
        <v>0</v>
      </c>
      <c r="E8727" s="637">
        <f t="shared" si="291"/>
        <v>0</v>
      </c>
    </row>
    <row r="8728" spans="1:5">
      <c r="A8728">
        <v>123013</v>
      </c>
      <c r="B8728">
        <v>1200</v>
      </c>
      <c r="C8728" s="455">
        <v>0</v>
      </c>
      <c r="D8728" s="637">
        <f t="shared" si="290"/>
        <v>0</v>
      </c>
      <c r="E8728" s="637">
        <f t="shared" si="291"/>
        <v>0</v>
      </c>
    </row>
    <row r="8729" spans="1:5">
      <c r="A8729">
        <v>123013</v>
      </c>
      <c r="B8729">
        <v>1300</v>
      </c>
      <c r="C8729" s="455">
        <v>0</v>
      </c>
      <c r="D8729" s="637">
        <f t="shared" si="290"/>
        <v>0</v>
      </c>
      <c r="E8729" s="637">
        <f t="shared" si="291"/>
        <v>0</v>
      </c>
    </row>
    <row r="8730" spans="1:5">
      <c r="A8730">
        <v>123013</v>
      </c>
      <c r="B8730">
        <v>1400</v>
      </c>
      <c r="C8730" s="455">
        <v>0</v>
      </c>
      <c r="D8730" s="637">
        <f t="shared" si="290"/>
        <v>0</v>
      </c>
      <c r="E8730" s="637">
        <f t="shared" si="291"/>
        <v>0</v>
      </c>
    </row>
    <row r="8731" spans="1:5">
      <c r="A8731">
        <v>123013</v>
      </c>
      <c r="B8731">
        <v>1500</v>
      </c>
      <c r="C8731" s="455">
        <v>0</v>
      </c>
      <c r="D8731" s="637">
        <f t="shared" si="290"/>
        <v>0</v>
      </c>
      <c r="E8731" s="637">
        <f t="shared" si="291"/>
        <v>0</v>
      </c>
    </row>
    <row r="8732" spans="1:5">
      <c r="A8732">
        <v>123013</v>
      </c>
      <c r="B8732">
        <v>1600</v>
      </c>
      <c r="C8732" s="455">
        <v>0</v>
      </c>
      <c r="D8732" s="637">
        <f t="shared" si="290"/>
        <v>0</v>
      </c>
      <c r="E8732" s="637">
        <f t="shared" si="291"/>
        <v>0</v>
      </c>
    </row>
    <row r="8733" spans="1:5">
      <c r="A8733">
        <v>123013</v>
      </c>
      <c r="B8733">
        <v>1700</v>
      </c>
      <c r="C8733" s="455">
        <v>10.164</v>
      </c>
      <c r="D8733" s="637">
        <f t="shared" si="290"/>
        <v>26.514782608695665</v>
      </c>
      <c r="E8733" s="637">
        <f t="shared" si="291"/>
        <v>32.701565217391327</v>
      </c>
    </row>
    <row r="8734" spans="1:5">
      <c r="A8734">
        <v>123013</v>
      </c>
      <c r="B8734">
        <v>1800</v>
      </c>
      <c r="C8734" s="455">
        <v>15.425000000000001</v>
      </c>
      <c r="D8734" s="637">
        <f t="shared" si="290"/>
        <v>40.239130434782631</v>
      </c>
      <c r="E8734" s="637">
        <f t="shared" si="291"/>
        <v>49.62826086956526</v>
      </c>
    </row>
    <row r="8735" spans="1:5">
      <c r="A8735">
        <v>123013</v>
      </c>
      <c r="B8735">
        <v>1900</v>
      </c>
      <c r="C8735" s="455">
        <v>14.641</v>
      </c>
      <c r="D8735" s="637">
        <f t="shared" si="290"/>
        <v>38.193913043478275</v>
      </c>
      <c r="E8735" s="637">
        <f t="shared" si="291"/>
        <v>47.105826086956554</v>
      </c>
    </row>
    <row r="8736" spans="1:5">
      <c r="A8736">
        <v>123013</v>
      </c>
      <c r="B8736">
        <v>2000</v>
      </c>
      <c r="C8736" s="455">
        <v>13.986000000000001</v>
      </c>
      <c r="D8736" s="637">
        <f t="shared" si="290"/>
        <v>36.48521739130436</v>
      </c>
      <c r="E8736" s="637">
        <f t="shared" si="291"/>
        <v>44.998434782608726</v>
      </c>
    </row>
    <row r="8737" spans="1:5">
      <c r="A8737">
        <v>123013</v>
      </c>
      <c r="B8737">
        <v>2100</v>
      </c>
      <c r="C8737" s="455">
        <v>15.036</v>
      </c>
      <c r="D8737" s="637">
        <f t="shared" si="290"/>
        <v>39.224347826086969</v>
      </c>
      <c r="E8737" s="637">
        <f t="shared" si="291"/>
        <v>48.37669565217395</v>
      </c>
    </row>
    <row r="8738" spans="1:5">
      <c r="A8738">
        <v>123013</v>
      </c>
      <c r="B8738">
        <v>2200</v>
      </c>
      <c r="C8738" s="455">
        <v>15.243</v>
      </c>
      <c r="D8738" s="637">
        <f t="shared" si="290"/>
        <v>39.764347826086976</v>
      </c>
      <c r="E8738" s="637">
        <f t="shared" si="291"/>
        <v>49.042695652173954</v>
      </c>
    </row>
    <row r="8739" spans="1:5">
      <c r="A8739">
        <v>123013</v>
      </c>
      <c r="B8739">
        <v>2300</v>
      </c>
      <c r="C8739" s="455">
        <v>14.837</v>
      </c>
      <c r="D8739" s="637">
        <f t="shared" si="290"/>
        <v>38.705217391304359</v>
      </c>
      <c r="E8739" s="637">
        <f t="shared" si="291"/>
        <v>47.736434782608725</v>
      </c>
    </row>
    <row r="8740" spans="1:5">
      <c r="A8740">
        <v>123013</v>
      </c>
      <c r="B8740">
        <v>2400</v>
      </c>
      <c r="C8740" s="455">
        <v>15.273</v>
      </c>
      <c r="D8740" s="637">
        <f t="shared" si="290"/>
        <v>39.842608695652189</v>
      </c>
      <c r="E8740" s="637">
        <f t="shared" si="291"/>
        <v>49.139217391304378</v>
      </c>
    </row>
    <row r="8741" spans="1:5">
      <c r="A8741">
        <v>123113</v>
      </c>
      <c r="B8741">
        <v>100</v>
      </c>
      <c r="C8741" s="455">
        <v>14.872</v>
      </c>
      <c r="D8741" s="637">
        <f t="shared" si="290"/>
        <v>38.796521739130448</v>
      </c>
      <c r="E8741" s="637">
        <f t="shared" si="291"/>
        <v>47.849043478260903</v>
      </c>
    </row>
    <row r="8742" spans="1:5">
      <c r="A8742">
        <v>123113</v>
      </c>
      <c r="B8742">
        <v>200</v>
      </c>
      <c r="C8742" s="455">
        <v>15.148999999999999</v>
      </c>
      <c r="D8742" s="637">
        <f t="shared" si="290"/>
        <v>39.519130434782625</v>
      </c>
      <c r="E8742" s="637">
        <f t="shared" si="291"/>
        <v>48.740260869565255</v>
      </c>
    </row>
    <row r="8743" spans="1:5">
      <c r="A8743">
        <v>123113</v>
      </c>
      <c r="B8743">
        <v>300</v>
      </c>
      <c r="C8743" s="455">
        <v>15.66</v>
      </c>
      <c r="D8743" s="637">
        <f t="shared" si="290"/>
        <v>40.852173913043494</v>
      </c>
      <c r="E8743" s="637">
        <f t="shared" si="291"/>
        <v>50.384347826086994</v>
      </c>
    </row>
    <row r="8744" spans="1:5">
      <c r="A8744">
        <v>123113</v>
      </c>
      <c r="B8744">
        <v>400</v>
      </c>
      <c r="C8744" s="455">
        <v>15.406000000000001</v>
      </c>
      <c r="D8744" s="637">
        <f t="shared" si="290"/>
        <v>40.189565217391319</v>
      </c>
      <c r="E8744" s="637">
        <f t="shared" si="291"/>
        <v>49.567130434782648</v>
      </c>
    </row>
    <row r="8745" spans="1:5">
      <c r="A8745">
        <v>123113</v>
      </c>
      <c r="B8745">
        <v>500</v>
      </c>
      <c r="C8745" s="455">
        <v>15.476000000000001</v>
      </c>
      <c r="D8745" s="637">
        <f t="shared" si="290"/>
        <v>40.372173913043497</v>
      </c>
      <c r="E8745" s="637">
        <f t="shared" si="291"/>
        <v>49.792347826086996</v>
      </c>
    </row>
    <row r="8746" spans="1:5">
      <c r="A8746">
        <v>123113</v>
      </c>
      <c r="B8746">
        <v>600</v>
      </c>
      <c r="C8746" s="455">
        <v>15.324</v>
      </c>
      <c r="D8746" s="637">
        <f t="shared" si="290"/>
        <v>39.975652173913055</v>
      </c>
      <c r="E8746" s="637">
        <f t="shared" si="291"/>
        <v>49.303304347826121</v>
      </c>
    </row>
    <row r="8747" spans="1:5">
      <c r="A8747">
        <v>123113</v>
      </c>
      <c r="B8747">
        <v>700</v>
      </c>
      <c r="C8747" s="455">
        <v>15.542</v>
      </c>
      <c r="D8747" s="637">
        <f t="shared" si="290"/>
        <v>40.544347826086977</v>
      </c>
      <c r="E8747" s="637">
        <f t="shared" si="291"/>
        <v>50.00469565217395</v>
      </c>
    </row>
    <row r="8748" spans="1:5">
      <c r="A8748">
        <v>123113</v>
      </c>
      <c r="B8748">
        <v>800</v>
      </c>
      <c r="C8748" s="455">
        <v>16.748000000000001</v>
      </c>
      <c r="D8748" s="637">
        <f t="shared" si="290"/>
        <v>43.690434782608719</v>
      </c>
      <c r="E8748" s="637">
        <f t="shared" si="291"/>
        <v>53.884869565217436</v>
      </c>
    </row>
    <row r="8749" spans="1:5">
      <c r="A8749">
        <v>123113</v>
      </c>
      <c r="B8749">
        <v>900</v>
      </c>
      <c r="C8749" s="455">
        <v>17.491</v>
      </c>
      <c r="D8749" s="637">
        <f t="shared" si="290"/>
        <v>45.628695652173931</v>
      </c>
      <c r="E8749" s="637">
        <f t="shared" si="291"/>
        <v>56.275391304347863</v>
      </c>
    </row>
    <row r="8750" spans="1:5">
      <c r="A8750">
        <v>123113</v>
      </c>
      <c r="B8750">
        <v>1000</v>
      </c>
      <c r="C8750" s="455">
        <v>1.845</v>
      </c>
      <c r="D8750" s="637">
        <f t="shared" si="290"/>
        <v>4.8130434782608713</v>
      </c>
      <c r="E8750" s="637">
        <f t="shared" si="291"/>
        <v>5.936086956521744</v>
      </c>
    </row>
    <row r="8751" spans="1:5">
      <c r="A8751">
        <v>123113</v>
      </c>
      <c r="B8751">
        <v>1100</v>
      </c>
      <c r="C8751" s="455">
        <v>1E-3</v>
      </c>
      <c r="D8751" s="637">
        <f t="shared" si="290"/>
        <v>2.6086956521739141E-3</v>
      </c>
      <c r="E8751" s="637">
        <f t="shared" si="291"/>
        <v>3.2173913043478286E-3</v>
      </c>
    </row>
    <row r="8752" spans="1:5">
      <c r="A8752">
        <v>123113</v>
      </c>
      <c r="B8752">
        <v>1200</v>
      </c>
      <c r="C8752" s="455">
        <v>0</v>
      </c>
      <c r="D8752" s="637">
        <f t="shared" si="290"/>
        <v>0</v>
      </c>
      <c r="E8752" s="637">
        <f t="shared" si="291"/>
        <v>0</v>
      </c>
    </row>
    <row r="8753" spans="1:7">
      <c r="A8753">
        <v>123113</v>
      </c>
      <c r="B8753">
        <v>1300</v>
      </c>
      <c r="C8753" s="455">
        <v>1E-3</v>
      </c>
      <c r="D8753" s="637">
        <f t="shared" si="290"/>
        <v>2.6086956521739141E-3</v>
      </c>
      <c r="E8753" s="637">
        <f t="shared" si="291"/>
        <v>3.2173913043478286E-3</v>
      </c>
    </row>
    <row r="8754" spans="1:7">
      <c r="A8754">
        <v>123113</v>
      </c>
      <c r="B8754">
        <v>1400</v>
      </c>
      <c r="C8754" s="455">
        <v>2E-3</v>
      </c>
      <c r="D8754" s="637">
        <f t="shared" si="290"/>
        <v>5.2173913043478282E-3</v>
      </c>
      <c r="E8754" s="637">
        <f t="shared" si="291"/>
        <v>6.4347826086956572E-3</v>
      </c>
    </row>
    <row r="8755" spans="1:7">
      <c r="A8755">
        <v>123113</v>
      </c>
      <c r="B8755">
        <v>1500</v>
      </c>
      <c r="C8755" s="455">
        <v>0</v>
      </c>
      <c r="D8755" s="637">
        <f t="shared" si="290"/>
        <v>0</v>
      </c>
      <c r="E8755" s="637">
        <f t="shared" si="291"/>
        <v>0</v>
      </c>
    </row>
    <row r="8756" spans="1:7">
      <c r="A8756">
        <v>123113</v>
      </c>
      <c r="B8756">
        <v>1600</v>
      </c>
      <c r="C8756" s="455">
        <v>7.8E-2</v>
      </c>
      <c r="D8756" s="637">
        <f t="shared" si="290"/>
        <v>0.2034782608695653</v>
      </c>
      <c r="E8756" s="637">
        <f t="shared" si="291"/>
        <v>0.25095652173913063</v>
      </c>
    </row>
    <row r="8757" spans="1:7">
      <c r="A8757">
        <v>123113</v>
      </c>
      <c r="B8757">
        <v>1700</v>
      </c>
      <c r="C8757" s="455">
        <v>12.372999999999999</v>
      </c>
      <c r="D8757" s="637">
        <f t="shared" si="290"/>
        <v>32.277391304347837</v>
      </c>
      <c r="E8757" s="637">
        <f t="shared" si="291"/>
        <v>39.80878260869568</v>
      </c>
    </row>
    <row r="8758" spans="1:7">
      <c r="A8758">
        <v>123113</v>
      </c>
      <c r="B8758">
        <v>1800</v>
      </c>
      <c r="C8758" s="455">
        <v>16.347000000000001</v>
      </c>
      <c r="D8758" s="637">
        <f t="shared" si="290"/>
        <v>42.644347826086978</v>
      </c>
      <c r="E8758" s="637">
        <f t="shared" si="291"/>
        <v>52.594695652173961</v>
      </c>
    </row>
    <row r="8759" spans="1:7">
      <c r="A8759">
        <v>123113</v>
      </c>
      <c r="B8759">
        <v>1900</v>
      </c>
      <c r="C8759" s="455">
        <v>15.654999999999999</v>
      </c>
      <c r="D8759" s="637">
        <f t="shared" si="290"/>
        <v>40.839130434782625</v>
      </c>
      <c r="E8759" s="637">
        <f t="shared" si="291"/>
        <v>50.368260869565255</v>
      </c>
    </row>
    <row r="8760" spans="1:7">
      <c r="A8760">
        <v>123113</v>
      </c>
      <c r="B8760">
        <v>2000</v>
      </c>
      <c r="C8760" s="455">
        <v>15.116</v>
      </c>
      <c r="D8760" s="637">
        <f t="shared" si="290"/>
        <v>39.433043478260885</v>
      </c>
      <c r="E8760" s="637">
        <f t="shared" si="291"/>
        <v>48.63408695652177</v>
      </c>
    </row>
    <row r="8761" spans="1:7">
      <c r="A8761">
        <v>123113</v>
      </c>
      <c r="B8761">
        <v>2100</v>
      </c>
      <c r="C8761" s="455">
        <v>15.885999999999999</v>
      </c>
      <c r="D8761" s="637">
        <f t="shared" si="290"/>
        <v>41.441739130434797</v>
      </c>
      <c r="E8761" s="637">
        <f t="shared" si="291"/>
        <v>51.111478260869596</v>
      </c>
    </row>
    <row r="8762" spans="1:7">
      <c r="A8762">
        <v>123113</v>
      </c>
      <c r="B8762">
        <v>2200</v>
      </c>
      <c r="C8762" s="455">
        <v>15.961</v>
      </c>
      <c r="D8762" s="637">
        <f t="shared" si="290"/>
        <v>41.637391304347844</v>
      </c>
      <c r="E8762" s="637">
        <f t="shared" si="291"/>
        <v>51.352782608695691</v>
      </c>
    </row>
    <row r="8763" spans="1:7">
      <c r="A8763">
        <v>123113</v>
      </c>
      <c r="B8763">
        <v>2300</v>
      </c>
      <c r="C8763" s="455">
        <v>15.755000000000001</v>
      </c>
      <c r="D8763" s="637">
        <f t="shared" si="290"/>
        <v>41.100000000000023</v>
      </c>
      <c r="E8763" s="637">
        <f t="shared" si="291"/>
        <v>50.69000000000004</v>
      </c>
    </row>
    <row r="8764" spans="1:7">
      <c r="A8764">
        <v>123113</v>
      </c>
      <c r="B8764">
        <v>2400</v>
      </c>
      <c r="C8764" s="455">
        <v>15.824</v>
      </c>
      <c r="D8764" s="637">
        <f t="shared" si="290"/>
        <v>41.280000000000015</v>
      </c>
      <c r="E8764" s="637">
        <f t="shared" si="291"/>
        <v>50.912000000000042</v>
      </c>
    </row>
    <row r="8765" spans="1:7" ht="15" thickBot="1">
      <c r="A8765" s="636" t="s">
        <v>65</v>
      </c>
      <c r="B8765" s="636"/>
      <c r="C8765" s="644">
        <f>SUM(C5:C8764)</f>
        <v>49100.703000000125</v>
      </c>
      <c r="D8765" s="644">
        <f>SUM(D5:D8764)</f>
        <v>113715.47674831109</v>
      </c>
      <c r="E8765" s="644">
        <f>SUM(E5:E8764)</f>
        <v>178815.83827199417</v>
      </c>
      <c r="F8765" s="643"/>
      <c r="G8765" s="643"/>
    </row>
    <row r="8766" spans="1:7" ht="13.8" thickTop="1"/>
  </sheetData>
  <mergeCells count="19">
    <mergeCell ref="V3:V4"/>
    <mergeCell ref="W3:W4"/>
    <mergeCell ref="X3:X4"/>
    <mergeCell ref="K2:Z2"/>
    <mergeCell ref="S3:S4"/>
    <mergeCell ref="R3:R4"/>
    <mergeCell ref="P3:P4"/>
    <mergeCell ref="Q3:Q4"/>
    <mergeCell ref="Y3:Y4"/>
    <mergeCell ref="Z3:Z4"/>
    <mergeCell ref="A3:A4"/>
    <mergeCell ref="B3:B4"/>
    <mergeCell ref="C3:C4"/>
    <mergeCell ref="L3:L4"/>
    <mergeCell ref="O3:O4"/>
    <mergeCell ref="D3:D4"/>
    <mergeCell ref="M3:M4"/>
    <mergeCell ref="E3:E4"/>
    <mergeCell ref="K3:K4"/>
  </mergeCells>
  <pageMargins left="0.7" right="0.7" top="0.75" bottom="0.75" header="0.3" footer="0.3"/>
  <pageSetup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Q37"/>
  <sheetViews>
    <sheetView showGridLines="0" zoomScale="110" zoomScaleNormal="110" workbookViewId="0">
      <selection activeCell="L17" sqref="L17"/>
    </sheetView>
  </sheetViews>
  <sheetFormatPr defaultRowHeight="13.2"/>
  <cols>
    <col min="1" max="1" width="8.5546875" style="4" bestFit="1" customWidth="1"/>
    <col min="2" max="2" width="9.33203125" style="252" bestFit="1" customWidth="1"/>
    <col min="3" max="3" width="12.5546875" style="252" bestFit="1" customWidth="1"/>
    <col min="4" max="4" width="10.44140625" style="252" bestFit="1" customWidth="1"/>
    <col min="5" max="5" width="8.5546875" style="252" customWidth="1"/>
    <col min="6" max="6" width="13.109375" style="252" bestFit="1" customWidth="1"/>
    <col min="17" max="17" width="9.109375" style="66"/>
  </cols>
  <sheetData>
    <row r="1" spans="1:6" ht="16.2" thickBot="1">
      <c r="B1" s="971" t="s">
        <v>151</v>
      </c>
      <c r="C1" s="971"/>
      <c r="D1" s="971"/>
      <c r="E1" s="971"/>
      <c r="F1" s="971"/>
    </row>
    <row r="2" spans="1:6" ht="42" customHeight="1" thickBot="1">
      <c r="A2" s="261"/>
      <c r="B2" s="262" t="s">
        <v>48</v>
      </c>
      <c r="C2" s="263" t="s">
        <v>49</v>
      </c>
      <c r="D2" s="263" t="s">
        <v>55</v>
      </c>
      <c r="E2" s="707" t="s">
        <v>251</v>
      </c>
      <c r="F2" s="264" t="s">
        <v>52</v>
      </c>
    </row>
    <row r="3" spans="1:6">
      <c r="A3" s="265">
        <v>2003</v>
      </c>
      <c r="B3" s="266">
        <f>KW!C17</f>
        <v>2726683</v>
      </c>
      <c r="C3" s="267">
        <f>KW!D17</f>
        <v>1956285</v>
      </c>
      <c r="D3" s="267">
        <f>KW!E17</f>
        <v>531189</v>
      </c>
      <c r="E3" s="267">
        <f>KW!F17</f>
        <v>58415</v>
      </c>
      <c r="F3" s="414">
        <f t="shared" ref="F3:F15" si="0">SUM(B3:E3)</f>
        <v>5272572</v>
      </c>
    </row>
    <row r="4" spans="1:6">
      <c r="A4" s="265">
        <v>2004</v>
      </c>
      <c r="B4" s="268">
        <f>KW!I17</f>
        <v>2792673</v>
      </c>
      <c r="C4" s="269">
        <f>KW!J17</f>
        <v>2104962</v>
      </c>
      <c r="D4" s="269">
        <f>KW!K17</f>
        <v>505001</v>
      </c>
      <c r="E4" s="269">
        <f>KW!L17</f>
        <v>60474</v>
      </c>
      <c r="F4" s="413">
        <f t="shared" si="0"/>
        <v>5463110</v>
      </c>
    </row>
    <row r="5" spans="1:6">
      <c r="A5" s="265">
        <v>2005</v>
      </c>
      <c r="B5" s="268">
        <f>KW!O17</f>
        <v>2901457</v>
      </c>
      <c r="C5" s="269">
        <f>KW!P17</f>
        <v>2167872</v>
      </c>
      <c r="D5" s="269">
        <f>KW!Q17</f>
        <v>515785</v>
      </c>
      <c r="E5" s="269">
        <f>KW!R17</f>
        <v>65522</v>
      </c>
      <c r="F5" s="413">
        <f t="shared" si="0"/>
        <v>5650636</v>
      </c>
    </row>
    <row r="6" spans="1:6">
      <c r="A6" s="265">
        <v>2006</v>
      </c>
      <c r="B6" s="268">
        <f>KW!U17</f>
        <v>2962866</v>
      </c>
      <c r="C6" s="269">
        <f>KW!V17</f>
        <v>2137488</v>
      </c>
      <c r="D6" s="269">
        <f>KW!W17</f>
        <v>589471</v>
      </c>
      <c r="E6" s="269">
        <f>KW!X17</f>
        <v>70150</v>
      </c>
      <c r="F6" s="413">
        <f t="shared" si="0"/>
        <v>5759975</v>
      </c>
    </row>
    <row r="7" spans="1:6">
      <c r="A7" s="265">
        <v>2007</v>
      </c>
      <c r="B7" s="268">
        <f>KW!AA17</f>
        <v>3039974</v>
      </c>
      <c r="C7" s="269">
        <f>KW!AB17</f>
        <v>2106615</v>
      </c>
      <c r="D7" s="269">
        <f>KW!AC17</f>
        <v>639861</v>
      </c>
      <c r="E7" s="269">
        <f>KW!AD17</f>
        <v>76385</v>
      </c>
      <c r="F7" s="413">
        <f t="shared" si="0"/>
        <v>5862835</v>
      </c>
    </row>
    <row r="8" spans="1:6">
      <c r="A8" s="265">
        <v>2008</v>
      </c>
      <c r="B8" s="268">
        <f>KW!AG17</f>
        <v>3064109</v>
      </c>
      <c r="C8" s="269">
        <f>KW!AH17</f>
        <v>1976551</v>
      </c>
      <c r="D8" s="269">
        <f>KW!AI17</f>
        <v>712935</v>
      </c>
      <c r="E8" s="269">
        <f>KW!AJ17</f>
        <v>79929</v>
      </c>
      <c r="F8" s="413">
        <f t="shared" si="0"/>
        <v>5833524</v>
      </c>
    </row>
    <row r="9" spans="1:6">
      <c r="A9" s="265">
        <v>2009</v>
      </c>
      <c r="B9" s="268">
        <f>KW!AM17</f>
        <v>3049119</v>
      </c>
      <c r="C9" s="269">
        <f>KW!AN17</f>
        <v>1839970</v>
      </c>
      <c r="D9" s="269">
        <f>KW!AO17</f>
        <v>696851</v>
      </c>
      <c r="E9" s="269">
        <f>KW!AP17</f>
        <v>81921</v>
      </c>
      <c r="F9" s="413">
        <f t="shared" si="0"/>
        <v>5667861</v>
      </c>
    </row>
    <row r="10" spans="1:6">
      <c r="A10" s="265">
        <v>2010</v>
      </c>
      <c r="B10" s="268">
        <f>+KW!AS17</f>
        <v>3049813</v>
      </c>
      <c r="C10" s="269">
        <f>+KW!AT17</f>
        <v>1916781</v>
      </c>
      <c r="D10" s="269">
        <f>+KW!AU17</f>
        <v>684290</v>
      </c>
      <c r="E10" s="269">
        <f>+KW!AV17</f>
        <v>84893</v>
      </c>
      <c r="F10" s="413">
        <f t="shared" si="0"/>
        <v>5735777</v>
      </c>
    </row>
    <row r="11" spans="1:6">
      <c r="A11" s="265">
        <v>2011</v>
      </c>
      <c r="B11" s="300">
        <f>+KW!AY17</f>
        <v>3051053</v>
      </c>
      <c r="C11" s="271">
        <f>+KW!AZ17</f>
        <v>1894300</v>
      </c>
      <c r="D11" s="271">
        <f>+KW!BA17</f>
        <v>716743</v>
      </c>
      <c r="E11" s="271">
        <f>+KW!BB17</f>
        <v>90235</v>
      </c>
      <c r="F11" s="413">
        <f t="shared" si="0"/>
        <v>5752331</v>
      </c>
    </row>
    <row r="12" spans="1:6">
      <c r="A12" s="265">
        <v>2012</v>
      </c>
      <c r="B12" s="300">
        <f>+KW!BE17</f>
        <v>3074186</v>
      </c>
      <c r="C12" s="271">
        <f>+KW!BF17</f>
        <v>1928037</v>
      </c>
      <c r="D12" s="271">
        <f>+KW!BG17</f>
        <v>736260</v>
      </c>
      <c r="E12" s="271">
        <f>+KW!BH17</f>
        <v>92995</v>
      </c>
      <c r="F12" s="413">
        <f t="shared" si="0"/>
        <v>5831478</v>
      </c>
    </row>
    <row r="13" spans="1:6">
      <c r="A13" s="265">
        <v>2013</v>
      </c>
      <c r="B13" s="300">
        <f>KW!BK17</f>
        <v>3051058</v>
      </c>
      <c r="C13" s="271">
        <f>KW!BL17</f>
        <v>1980476</v>
      </c>
      <c r="D13" s="271">
        <f>KW!BM17</f>
        <v>701011</v>
      </c>
      <c r="E13" s="271">
        <f>KW!BN17</f>
        <v>95410</v>
      </c>
      <c r="F13" s="413">
        <f t="shared" si="0"/>
        <v>5827955</v>
      </c>
    </row>
    <row r="14" spans="1:6">
      <c r="A14" s="407">
        <v>2014</v>
      </c>
      <c r="B14" s="475">
        <f>'Rate Class Energy Model'!L77*B29</f>
        <v>2988434.1876568142</v>
      </c>
      <c r="C14" s="449">
        <f>('Rate Class Energy Model'!M77-'Rate Class Energy Model'!M73)*C29</f>
        <v>1965158.0720825971</v>
      </c>
      <c r="D14" s="449">
        <f>'Rate Class Energy Model'!N77*D29</f>
        <v>718200.0208124714</v>
      </c>
      <c r="E14" s="449">
        <f>'Rate Class Energy Model'!O77*E29</f>
        <v>97585.401322853897</v>
      </c>
      <c r="F14" s="476">
        <f t="shared" si="0"/>
        <v>5769377.6818747362</v>
      </c>
    </row>
    <row r="15" spans="1:6" ht="13.8" thickBot="1">
      <c r="A15" s="407">
        <v>2015</v>
      </c>
      <c r="B15" s="305">
        <f>'Rate Class Energy Model'!L78*B29</f>
        <v>2979825.6981246667</v>
      </c>
      <c r="C15" s="448">
        <f>('Rate Class Energy Model'!M78-'Rate Class Energy Model'!M74)*C29</f>
        <v>1969146.4021656737</v>
      </c>
      <c r="D15" s="448">
        <f>'Rate Class Energy Model'!N78*D29</f>
        <v>719987.09163337958</v>
      </c>
      <c r="E15" s="448">
        <f>'Rate Class Energy Model'!O78*E29</f>
        <v>100671.89144675127</v>
      </c>
      <c r="F15" s="447">
        <f t="shared" si="0"/>
        <v>5769631.0833704714</v>
      </c>
    </row>
    <row r="16" spans="1:6" ht="13.8" thickBot="1">
      <c r="A16" s="408"/>
      <c r="B16" s="271"/>
      <c r="C16" s="271"/>
      <c r="D16" s="271"/>
      <c r="E16" s="271"/>
      <c r="F16" s="271"/>
    </row>
    <row r="17" spans="1:17">
      <c r="A17" s="5" t="s">
        <v>92</v>
      </c>
      <c r="B17" s="272"/>
      <c r="C17" s="273"/>
      <c r="D17" s="273"/>
      <c r="E17" s="273"/>
      <c r="F17" s="274"/>
    </row>
    <row r="18" spans="1:17">
      <c r="A18" s="265">
        <v>2003</v>
      </c>
      <c r="B18" s="446">
        <f>B3/'Rate Class Energy Model'!L4</f>
        <v>2.7375432474315915E-3</v>
      </c>
      <c r="C18" s="275">
        <f>C3/'Rate Class Energy Model'!M4</f>
        <v>2.3147976109529379E-3</v>
      </c>
      <c r="D18" s="275">
        <f>D3/'Rate Class Energy Model'!N4</f>
        <v>1.8850906427982752E-3</v>
      </c>
      <c r="E18" s="275">
        <f>E3/'Rate Class Energy Model'!O4</f>
        <v>3.0566316426861185E-3</v>
      </c>
      <c r="F18" s="276"/>
    </row>
    <row r="19" spans="1:17">
      <c r="A19" s="265">
        <v>2004</v>
      </c>
      <c r="B19" s="446">
        <f>B4/'Rate Class Energy Model'!L5</f>
        <v>2.6706059998931925E-3</v>
      </c>
      <c r="C19" s="275">
        <f>C4/'Rate Class Energy Model'!M5</f>
        <v>2.2806541692189301E-3</v>
      </c>
      <c r="D19" s="275">
        <f>D4/'Rate Class Energy Model'!N5</f>
        <v>1.7394327838906255E-3</v>
      </c>
      <c r="E19" s="275">
        <f>E4/'Rate Class Energy Model'!O5</f>
        <v>2.8845532876780487E-3</v>
      </c>
      <c r="F19" s="276"/>
    </row>
    <row r="20" spans="1:17">
      <c r="A20" s="265">
        <v>2005</v>
      </c>
      <c r="B20" s="446">
        <f>B5/'Rate Class Energy Model'!L6</f>
        <v>2.6786178126509104E-3</v>
      </c>
      <c r="C20" s="275">
        <f>C5/'Rate Class Energy Model'!M6</f>
        <v>2.2722570269643836E-3</v>
      </c>
      <c r="D20" s="275">
        <f>D5/'Rate Class Energy Model'!N6</f>
        <v>1.6943072118618357E-3</v>
      </c>
      <c r="E20" s="275">
        <f>E5/'Rate Class Energy Model'!O6</f>
        <v>2.9907221519980833E-3</v>
      </c>
      <c r="F20" s="276"/>
    </row>
    <row r="21" spans="1:17">
      <c r="A21" s="265">
        <v>2006</v>
      </c>
      <c r="B21" s="446">
        <f>B6/'Rate Class Energy Model'!L7</f>
        <v>2.7413184703983942E-3</v>
      </c>
      <c r="C21" s="275">
        <f>C6/'Rate Class Energy Model'!M7</f>
        <v>2.2489964057053405E-3</v>
      </c>
      <c r="D21" s="275">
        <f>D6/'Rate Class Energy Model'!N7</f>
        <v>1.7644198264680263E-3</v>
      </c>
      <c r="E21" s="275">
        <f>E6/'Rate Class Energy Model'!O7</f>
        <v>2.9485636523478458E-3</v>
      </c>
      <c r="F21" s="276"/>
    </row>
    <row r="22" spans="1:17">
      <c r="A22" s="265">
        <v>2007</v>
      </c>
      <c r="B22" s="446">
        <f>B7/'Rate Class Energy Model'!L8</f>
        <v>2.7392301582272603E-3</v>
      </c>
      <c r="C22" s="275">
        <f>C7/'Rate Class Energy Model'!M8</f>
        <v>2.2362068756178544E-3</v>
      </c>
      <c r="D22" s="275">
        <f>D7/'Rate Class Energy Model'!N8</f>
        <v>1.8008717346845039E-3</v>
      </c>
      <c r="E22" s="275">
        <f>E7/'Rate Class Energy Model'!O8</f>
        <v>2.9622441609083996E-3</v>
      </c>
      <c r="F22" s="276"/>
    </row>
    <row r="23" spans="1:17" s="4" customFormat="1">
      <c r="A23" s="265">
        <v>2008</v>
      </c>
      <c r="B23" s="446">
        <f>B8/'Rate Class Energy Model'!L9</f>
        <v>2.7439325020279259E-3</v>
      </c>
      <c r="C23" s="275">
        <f>C8/'Rate Class Energy Model'!M9</f>
        <v>2.2657024257189628E-3</v>
      </c>
      <c r="D23" s="275">
        <f>D8/'Rate Class Energy Model'!N9</f>
        <v>1.8345853600206358E-3</v>
      </c>
      <c r="E23" s="275">
        <f>E8/'Rate Class Energy Model'!O9</f>
        <v>2.9839069800400289E-3</v>
      </c>
      <c r="F23" s="276"/>
      <c r="Q23" s="495"/>
    </row>
    <row r="24" spans="1:17" s="4" customFormat="1">
      <c r="A24" s="265">
        <v>2009</v>
      </c>
      <c r="B24" s="446">
        <f>B9/'Rate Class Energy Model'!L10</f>
        <v>2.8206264798922992E-3</v>
      </c>
      <c r="C24" s="275">
        <f>C9/'Rate Class Energy Model'!M10</f>
        <v>2.3344379346340732E-3</v>
      </c>
      <c r="D24" s="275">
        <f>D9/'Rate Class Energy Model'!N10</f>
        <v>2.0344625223988355E-3</v>
      </c>
      <c r="E24" s="275">
        <f>E9/'Rate Class Energy Model'!O10</f>
        <v>2.9960035000734728E-3</v>
      </c>
      <c r="F24" s="276"/>
      <c r="Q24" s="495"/>
    </row>
    <row r="25" spans="1:17" s="4" customFormat="1">
      <c r="A25" s="265">
        <v>2010</v>
      </c>
      <c r="B25" s="446">
        <f>B10/'Rate Class Energy Model'!L11</f>
        <v>2.8006003426336167E-3</v>
      </c>
      <c r="C25" s="275">
        <f>C10/'Rate Class Energy Model'!M11</f>
        <v>2.2821136552407762E-3</v>
      </c>
      <c r="D25" s="275">
        <f>D10/'Rate Class Energy Model'!N11</f>
        <v>1.8840646104893348E-3</v>
      </c>
      <c r="E25" s="275">
        <f>E10/'Rate Class Energy Model'!O11</f>
        <v>2.9959283423545034E-3</v>
      </c>
      <c r="F25" s="276"/>
      <c r="Q25" s="495"/>
    </row>
    <row r="26" spans="1:17" s="4" customFormat="1">
      <c r="A26" s="265">
        <v>2011</v>
      </c>
      <c r="B26" s="446">
        <f>B11/'Rate Class Energy Model'!L12</f>
        <v>2.7733182815688454E-3</v>
      </c>
      <c r="C26" s="275">
        <f>C11/'Rate Class Energy Model'!M12</f>
        <v>2.2798301185177521E-3</v>
      </c>
      <c r="D26" s="275">
        <f>D11/'Rate Class Energy Model'!N12</f>
        <v>1.8171683334524465E-3</v>
      </c>
      <c r="E26" s="275">
        <f>E11/'Rate Class Energy Model'!O12</f>
        <v>3.032850560782791E-3</v>
      </c>
      <c r="F26" s="276"/>
      <c r="Q26" s="495"/>
    </row>
    <row r="27" spans="1:17" s="4" customFormat="1">
      <c r="A27" s="265">
        <v>2012</v>
      </c>
      <c r="B27" s="446">
        <f>B12/'Rate Class Energy Model'!L13</f>
        <v>2.7896662322094814E-3</v>
      </c>
      <c r="C27" s="275">
        <f>C12/'Rate Class Energy Model'!M13</f>
        <v>2.2452684493104056E-3</v>
      </c>
      <c r="D27" s="275">
        <f>D12/'Rate Class Energy Model'!N13</f>
        <v>1.8303830656437256E-3</v>
      </c>
      <c r="E27" s="275">
        <f>E12/'Rate Class Energy Model'!O13</f>
        <v>3.0393239395743376E-3</v>
      </c>
      <c r="F27" s="276"/>
      <c r="Q27" s="495"/>
    </row>
    <row r="28" spans="1:17" s="4" customFormat="1">
      <c r="A28" s="407">
        <v>2013</v>
      </c>
      <c r="B28" s="446">
        <f>B13/'Rate Class Energy Model'!L14</f>
        <v>2.8121833111483573E-3</v>
      </c>
      <c r="C28" s="275">
        <f>C13/'Rate Class Energy Model'!M14</f>
        <v>2.2793522212995955E-3</v>
      </c>
      <c r="D28" s="275">
        <f>D13/'Rate Class Energy Model'!N14</f>
        <v>1.8425776710380391E-3</v>
      </c>
      <c r="E28" s="275">
        <f>E13/'Rate Class Energy Model'!O14</f>
        <v>3.048637048286014E-3</v>
      </c>
      <c r="F28" s="276"/>
      <c r="Q28" s="495"/>
    </row>
    <row r="29" spans="1:17" s="4" customFormat="1" ht="13.8" thickBot="1">
      <c r="A29" s="298" t="s">
        <v>26</v>
      </c>
      <c r="B29" s="663">
        <f>AVERAGE(B24:B28)</f>
        <v>2.7992789294905194E-3</v>
      </c>
      <c r="C29" s="664">
        <f t="shared" ref="C29:E29" si="1">AVERAGE(C24:C28)</f>
        <v>2.2842004758005206E-3</v>
      </c>
      <c r="D29" s="664">
        <f t="shared" si="1"/>
        <v>1.8817312406044762E-3</v>
      </c>
      <c r="E29" s="664">
        <f t="shared" si="1"/>
        <v>3.0225486782142234E-3</v>
      </c>
      <c r="F29" s="665"/>
      <c r="Q29" s="495"/>
    </row>
    <row r="30" spans="1:17">
      <c r="F30" s="271"/>
    </row>
    <row r="31" spans="1:17">
      <c r="E31" s="277"/>
    </row>
    <row r="35" spans="2:6">
      <c r="C35" s="720"/>
    </row>
    <row r="36" spans="2:6">
      <c r="B36" s="661"/>
      <c r="C36" s="661"/>
      <c r="D36" s="661"/>
      <c r="E36" s="661"/>
      <c r="F36" s="661"/>
    </row>
    <row r="37" spans="2:6">
      <c r="B37" s="661"/>
      <c r="C37" s="661"/>
      <c r="D37" s="661"/>
      <c r="E37" s="661"/>
      <c r="F37" s="661"/>
    </row>
  </sheetData>
  <mergeCells count="1">
    <mergeCell ref="B1:F1"/>
  </mergeCells>
  <pageMargins left="0.7" right="0.7" top="0.75" bottom="0.75" header="0.3" footer="0.3"/>
  <pageSetup scale="8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D63"/>
  <sheetViews>
    <sheetView workbookViewId="0">
      <selection activeCell="A62" sqref="A62:XFD62"/>
    </sheetView>
  </sheetViews>
  <sheetFormatPr defaultRowHeight="13.2"/>
  <cols>
    <col min="2" max="2" width="11.88671875" customWidth="1"/>
    <col min="3" max="3" width="14.88671875" style="455" customWidth="1"/>
    <col min="4" max="4" width="16.6640625" style="455" customWidth="1"/>
  </cols>
  <sheetData>
    <row r="1" spans="1:4" ht="15.6">
      <c r="A1" s="958" t="s">
        <v>263</v>
      </c>
      <c r="B1" s="958"/>
      <c r="C1" s="958"/>
      <c r="D1" s="958"/>
    </row>
    <row r="2" spans="1:4" ht="14.4">
      <c r="A2" s="865" t="s">
        <v>15</v>
      </c>
      <c r="B2" s="865" t="s">
        <v>193</v>
      </c>
      <c r="C2" s="866" t="s">
        <v>260</v>
      </c>
    </row>
    <row r="3" spans="1:4" ht="14.4">
      <c r="A3" s="503">
        <v>2009</v>
      </c>
      <c r="B3" s="504" t="s">
        <v>180</v>
      </c>
      <c r="C3" s="455">
        <v>4137.6000000000004</v>
      </c>
    </row>
    <row r="4" spans="1:4" ht="14.4">
      <c r="A4" s="503">
        <f>A3+0</f>
        <v>2009</v>
      </c>
      <c r="B4" s="504" t="s">
        <v>181</v>
      </c>
      <c r="C4" s="455">
        <v>4048.8</v>
      </c>
    </row>
    <row r="5" spans="1:4" ht="14.4">
      <c r="A5" s="503">
        <f t="shared" ref="A5:A14" si="0">A4+0</f>
        <v>2009</v>
      </c>
      <c r="B5" s="504" t="s">
        <v>182</v>
      </c>
      <c r="C5" s="455">
        <v>3907.2</v>
      </c>
    </row>
    <row r="6" spans="1:4" ht="14.4">
      <c r="A6" s="503">
        <f t="shared" si="0"/>
        <v>2009</v>
      </c>
      <c r="B6" s="504" t="s">
        <v>183</v>
      </c>
      <c r="C6" s="455">
        <v>3204</v>
      </c>
    </row>
    <row r="7" spans="1:4" ht="14.4">
      <c r="A7" s="503">
        <f t="shared" si="0"/>
        <v>2009</v>
      </c>
      <c r="B7" s="504" t="s">
        <v>184</v>
      </c>
      <c r="C7" s="455">
        <v>2529.6</v>
      </c>
    </row>
    <row r="8" spans="1:4" ht="14.4">
      <c r="A8" s="503">
        <f t="shared" si="0"/>
        <v>2009</v>
      </c>
      <c r="B8" s="504" t="s">
        <v>185</v>
      </c>
      <c r="C8" s="455">
        <v>2788.8</v>
      </c>
    </row>
    <row r="9" spans="1:4" ht="14.4">
      <c r="A9" s="503">
        <f t="shared" si="0"/>
        <v>2009</v>
      </c>
      <c r="B9" s="504" t="s">
        <v>186</v>
      </c>
      <c r="C9" s="455">
        <v>5064</v>
      </c>
    </row>
    <row r="10" spans="1:4" ht="14.4">
      <c r="A10" s="503">
        <f t="shared" si="0"/>
        <v>2009</v>
      </c>
      <c r="B10" s="504" t="s">
        <v>187</v>
      </c>
      <c r="C10" s="455">
        <v>2829.6</v>
      </c>
    </row>
    <row r="11" spans="1:4" ht="14.4">
      <c r="A11" s="503">
        <f t="shared" si="0"/>
        <v>2009</v>
      </c>
      <c r="B11" s="504" t="s">
        <v>188</v>
      </c>
      <c r="C11" s="455">
        <v>0</v>
      </c>
    </row>
    <row r="12" spans="1:4" ht="14.4">
      <c r="A12" s="503">
        <f t="shared" si="0"/>
        <v>2009</v>
      </c>
      <c r="B12" s="504" t="s">
        <v>189</v>
      </c>
    </row>
    <row r="13" spans="1:4" ht="14.4">
      <c r="A13" s="503">
        <f t="shared" si="0"/>
        <v>2009</v>
      </c>
      <c r="B13" s="504" t="s">
        <v>190</v>
      </c>
      <c r="C13" s="455">
        <v>2918.4</v>
      </c>
    </row>
    <row r="14" spans="1:4" s="922" customFormat="1" ht="14.4">
      <c r="A14" s="594">
        <f t="shared" si="0"/>
        <v>2009</v>
      </c>
      <c r="B14" s="595" t="s">
        <v>191</v>
      </c>
      <c r="C14" s="718">
        <v>3561.6</v>
      </c>
      <c r="D14" s="718">
        <f>SUM(C3:C14)</f>
        <v>34989.599999999999</v>
      </c>
    </row>
    <row r="15" spans="1:4" ht="14.4">
      <c r="A15" s="503">
        <f>A14+1</f>
        <v>2010</v>
      </c>
      <c r="B15" s="504" t="s">
        <v>180</v>
      </c>
      <c r="C15" s="455">
        <v>3664.8</v>
      </c>
    </row>
    <row r="16" spans="1:4" ht="14.4">
      <c r="A16" s="503">
        <f>A15+0</f>
        <v>2010</v>
      </c>
      <c r="B16" s="504" t="s">
        <v>181</v>
      </c>
      <c r="C16" s="455">
        <v>3552</v>
      </c>
    </row>
    <row r="17" spans="1:4" ht="14.4">
      <c r="A17" s="503">
        <f t="shared" ref="A17:A26" si="1">A16+0</f>
        <v>2010</v>
      </c>
      <c r="B17" s="504" t="s">
        <v>182</v>
      </c>
      <c r="C17" s="455">
        <v>3115.2</v>
      </c>
    </row>
    <row r="18" spans="1:4" ht="14.4">
      <c r="A18" s="503">
        <f t="shared" si="1"/>
        <v>2010</v>
      </c>
      <c r="B18" s="504" t="s">
        <v>183</v>
      </c>
      <c r="C18" s="455">
        <v>2856</v>
      </c>
    </row>
    <row r="19" spans="1:4" ht="14.4">
      <c r="A19" s="503">
        <f t="shared" si="1"/>
        <v>2010</v>
      </c>
      <c r="B19" s="504" t="s">
        <v>184</v>
      </c>
      <c r="C19" s="455">
        <v>5896.8</v>
      </c>
    </row>
    <row r="20" spans="1:4" ht="14.4">
      <c r="A20" s="503">
        <f t="shared" si="1"/>
        <v>2010</v>
      </c>
      <c r="B20" s="504" t="s">
        <v>185</v>
      </c>
      <c r="C20" s="455">
        <v>5344.8</v>
      </c>
    </row>
    <row r="21" spans="1:4" ht="14.4">
      <c r="A21" s="503">
        <f t="shared" si="1"/>
        <v>2010</v>
      </c>
      <c r="B21" s="504" t="s">
        <v>186</v>
      </c>
      <c r="C21" s="455">
        <v>2308.8000000000002</v>
      </c>
    </row>
    <row r="22" spans="1:4" ht="14.4">
      <c r="A22" s="503">
        <f t="shared" si="1"/>
        <v>2010</v>
      </c>
      <c r="B22" s="504" t="s">
        <v>187</v>
      </c>
      <c r="C22" s="455">
        <v>2299.1999999999998</v>
      </c>
    </row>
    <row r="23" spans="1:4" ht="14.4">
      <c r="A23" s="503">
        <f t="shared" si="1"/>
        <v>2010</v>
      </c>
      <c r="B23" s="504" t="s">
        <v>188</v>
      </c>
      <c r="C23" s="455">
        <v>2282.4</v>
      </c>
    </row>
    <row r="24" spans="1:4" ht="14.4">
      <c r="A24" s="503">
        <f t="shared" si="1"/>
        <v>2010</v>
      </c>
      <c r="B24" s="504" t="s">
        <v>189</v>
      </c>
      <c r="C24" s="455">
        <v>2068.8000000000002</v>
      </c>
    </row>
    <row r="25" spans="1:4" ht="14.4">
      <c r="A25" s="503">
        <f t="shared" si="1"/>
        <v>2010</v>
      </c>
      <c r="B25" s="504" t="s">
        <v>190</v>
      </c>
      <c r="C25" s="455">
        <v>2469.6</v>
      </c>
    </row>
    <row r="26" spans="1:4" s="922" customFormat="1" ht="14.4">
      <c r="A26" s="594">
        <f t="shared" si="1"/>
        <v>2010</v>
      </c>
      <c r="B26" s="595" t="s">
        <v>191</v>
      </c>
      <c r="C26" s="718">
        <v>3400.8</v>
      </c>
      <c r="D26" s="718">
        <f>SUM(C15:C26)</f>
        <v>39259.200000000004</v>
      </c>
    </row>
    <row r="27" spans="1:4" ht="14.4">
      <c r="A27" s="503">
        <f>A26+1</f>
        <v>2011</v>
      </c>
      <c r="B27" s="504" t="s">
        <v>180</v>
      </c>
      <c r="C27" s="455">
        <v>8719.2000000000007</v>
      </c>
    </row>
    <row r="28" spans="1:4" ht="14.4">
      <c r="A28" s="503">
        <f>A27+0</f>
        <v>2011</v>
      </c>
      <c r="B28" s="504" t="s">
        <v>181</v>
      </c>
      <c r="C28" s="455">
        <v>8709.6</v>
      </c>
    </row>
    <row r="29" spans="1:4" ht="14.4">
      <c r="A29" s="503">
        <f t="shared" ref="A29:A62" si="2">A28+0</f>
        <v>2011</v>
      </c>
      <c r="B29" s="504" t="s">
        <v>182</v>
      </c>
      <c r="C29" s="455">
        <v>7588.8</v>
      </c>
    </row>
    <row r="30" spans="1:4" ht="14.4">
      <c r="A30" s="503">
        <f t="shared" si="2"/>
        <v>2011</v>
      </c>
      <c r="B30" s="504" t="s">
        <v>183</v>
      </c>
      <c r="C30" s="455">
        <v>6422.25</v>
      </c>
    </row>
    <row r="31" spans="1:4" ht="14.4">
      <c r="A31" s="503">
        <f t="shared" si="2"/>
        <v>2011</v>
      </c>
      <c r="B31" s="504" t="s">
        <v>184</v>
      </c>
      <c r="C31" s="455">
        <v>5476.2</v>
      </c>
    </row>
    <row r="32" spans="1:4" ht="14.4">
      <c r="A32" s="503">
        <f t="shared" si="2"/>
        <v>2011</v>
      </c>
      <c r="B32" s="504" t="s">
        <v>185</v>
      </c>
      <c r="C32" s="455">
        <v>6070.64</v>
      </c>
    </row>
    <row r="33" spans="1:4" ht="14.4">
      <c r="A33" s="503">
        <f t="shared" si="2"/>
        <v>2011</v>
      </c>
      <c r="B33" s="504" t="s">
        <v>186</v>
      </c>
      <c r="C33" s="455">
        <v>7458.58</v>
      </c>
    </row>
    <row r="34" spans="1:4" ht="14.4">
      <c r="A34" s="503">
        <f t="shared" si="2"/>
        <v>2011</v>
      </c>
      <c r="B34" s="504" t="s">
        <v>187</v>
      </c>
      <c r="C34" s="455">
        <v>6480.49</v>
      </c>
    </row>
    <row r="35" spans="1:4" ht="14.4">
      <c r="A35" s="503">
        <f t="shared" si="2"/>
        <v>2011</v>
      </c>
      <c r="B35" s="504" t="s">
        <v>188</v>
      </c>
      <c r="C35" s="455">
        <v>5968.77</v>
      </c>
    </row>
    <row r="36" spans="1:4" ht="14.4">
      <c r="A36" s="503">
        <f t="shared" si="2"/>
        <v>2011</v>
      </c>
      <c r="B36" s="504" t="s">
        <v>189</v>
      </c>
      <c r="C36" s="455">
        <v>4801.09</v>
      </c>
    </row>
    <row r="37" spans="1:4" ht="14.4">
      <c r="A37" s="503">
        <f t="shared" si="2"/>
        <v>2011</v>
      </c>
      <c r="B37" s="504" t="s">
        <v>190</v>
      </c>
      <c r="C37" s="455">
        <v>5424.6</v>
      </c>
    </row>
    <row r="38" spans="1:4" s="922" customFormat="1" ht="14.4">
      <c r="A38" s="594">
        <f t="shared" si="2"/>
        <v>2011</v>
      </c>
      <c r="B38" s="595" t="s">
        <v>191</v>
      </c>
      <c r="C38" s="718">
        <v>11039.01</v>
      </c>
      <c r="D38" s="718">
        <f>SUM(C27:C38)</f>
        <v>84159.23</v>
      </c>
    </row>
    <row r="39" spans="1:4" ht="14.4">
      <c r="A39" s="503">
        <f>A38+1</f>
        <v>2012</v>
      </c>
      <c r="B39" s="504" t="s">
        <v>180</v>
      </c>
      <c r="C39" s="455">
        <v>11531.75</v>
      </c>
    </row>
    <row r="40" spans="1:4" ht="14.4">
      <c r="A40" s="503">
        <f t="shared" si="2"/>
        <v>2012</v>
      </c>
      <c r="B40" s="504" t="s">
        <v>181</v>
      </c>
      <c r="C40" s="455">
        <v>5883.68</v>
      </c>
    </row>
    <row r="41" spans="1:4" ht="14.4">
      <c r="A41" s="503">
        <f t="shared" si="2"/>
        <v>2012</v>
      </c>
      <c r="B41" s="504" t="s">
        <v>182</v>
      </c>
      <c r="C41" s="455">
        <v>5569.18</v>
      </c>
    </row>
    <row r="42" spans="1:4" ht="14.4">
      <c r="A42" s="503">
        <f t="shared" si="2"/>
        <v>2012</v>
      </c>
      <c r="B42" s="504" t="s">
        <v>183</v>
      </c>
      <c r="C42" s="455">
        <v>4731.66</v>
      </c>
    </row>
    <row r="43" spans="1:4" ht="14.4">
      <c r="A43" s="503">
        <f t="shared" si="2"/>
        <v>2012</v>
      </c>
      <c r="B43" s="504" t="s">
        <v>184</v>
      </c>
      <c r="C43" s="455">
        <v>5925.69</v>
      </c>
    </row>
    <row r="44" spans="1:4" ht="14.4">
      <c r="A44" s="503">
        <f t="shared" si="2"/>
        <v>2012</v>
      </c>
      <c r="B44" s="504" t="s">
        <v>240</v>
      </c>
      <c r="C44" s="455">
        <v>7029.58</v>
      </c>
    </row>
    <row r="45" spans="1:4" ht="14.4">
      <c r="A45" s="503">
        <f t="shared" si="2"/>
        <v>2012</v>
      </c>
      <c r="B45" s="504" t="s">
        <v>241</v>
      </c>
      <c r="C45" s="455">
        <v>7358.05</v>
      </c>
    </row>
    <row r="46" spans="1:4" ht="14.4">
      <c r="A46" s="503">
        <f t="shared" si="2"/>
        <v>2012</v>
      </c>
      <c r="B46" s="504" t="s">
        <v>242</v>
      </c>
      <c r="C46" s="455">
        <v>6533.96</v>
      </c>
    </row>
    <row r="47" spans="1:4" ht="14.4">
      <c r="A47" s="503">
        <f t="shared" si="2"/>
        <v>2012</v>
      </c>
      <c r="B47" s="504" t="s">
        <v>243</v>
      </c>
      <c r="C47" s="455">
        <v>6069.41</v>
      </c>
    </row>
    <row r="48" spans="1:4" ht="14.4">
      <c r="A48" s="503">
        <f t="shared" si="2"/>
        <v>2012</v>
      </c>
      <c r="B48" s="504" t="s">
        <v>244</v>
      </c>
      <c r="C48" s="455">
        <v>4852.51</v>
      </c>
    </row>
    <row r="49" spans="1:4" ht="14.4">
      <c r="A49" s="503">
        <f t="shared" si="2"/>
        <v>2012</v>
      </c>
      <c r="B49" s="504" t="s">
        <v>245</v>
      </c>
      <c r="C49" s="455">
        <v>5401.79</v>
      </c>
    </row>
    <row r="50" spans="1:4" s="922" customFormat="1" ht="14.4">
      <c r="A50" s="594">
        <f t="shared" si="2"/>
        <v>2012</v>
      </c>
      <c r="B50" s="595" t="s">
        <v>246</v>
      </c>
      <c r="C50" s="718">
        <v>5911.02</v>
      </c>
      <c r="D50" s="718">
        <f>SUM(C39:C50)</f>
        <v>76798.280000000013</v>
      </c>
    </row>
    <row r="51" spans="1:4" ht="14.4">
      <c r="A51" s="594">
        <f>A50+1</f>
        <v>2013</v>
      </c>
      <c r="B51" s="595" t="s">
        <v>247</v>
      </c>
      <c r="C51" s="455">
        <v>6189.71</v>
      </c>
    </row>
    <row r="52" spans="1:4" ht="14.4">
      <c r="A52" s="594">
        <f t="shared" si="2"/>
        <v>2013</v>
      </c>
      <c r="B52" s="595" t="s">
        <v>248</v>
      </c>
      <c r="C52" s="455">
        <v>5944.24</v>
      </c>
    </row>
    <row r="53" spans="1:4" ht="14.4">
      <c r="A53" s="594">
        <f t="shared" si="2"/>
        <v>2013</v>
      </c>
      <c r="B53" s="595" t="s">
        <v>249</v>
      </c>
      <c r="C53" s="455">
        <v>5426.96</v>
      </c>
    </row>
    <row r="54" spans="1:4" ht="14.4">
      <c r="A54" s="594">
        <f t="shared" si="2"/>
        <v>2013</v>
      </c>
      <c r="B54" s="595" t="s">
        <v>250</v>
      </c>
      <c r="C54" s="455">
        <v>4975.9799999999996</v>
      </c>
    </row>
    <row r="55" spans="1:4" ht="14.4">
      <c r="A55" s="594">
        <f t="shared" si="2"/>
        <v>2013</v>
      </c>
      <c r="B55" s="595" t="s">
        <v>184</v>
      </c>
      <c r="C55" s="455">
        <v>8873.26</v>
      </c>
    </row>
    <row r="56" spans="1:4" ht="14.4">
      <c r="A56" s="594">
        <f t="shared" si="2"/>
        <v>2013</v>
      </c>
      <c r="B56" s="595" t="s">
        <v>240</v>
      </c>
      <c r="C56" s="455">
        <v>10777.62</v>
      </c>
    </row>
    <row r="57" spans="1:4" ht="14.4">
      <c r="A57" s="594">
        <f t="shared" si="2"/>
        <v>2013</v>
      </c>
      <c r="B57" s="595" t="s">
        <v>241</v>
      </c>
      <c r="C57" s="455">
        <v>11851.29</v>
      </c>
    </row>
    <row r="58" spans="1:4" ht="14.4">
      <c r="A58" s="594">
        <f t="shared" si="2"/>
        <v>2013</v>
      </c>
      <c r="B58" s="595" t="s">
        <v>242</v>
      </c>
      <c r="C58" s="455">
        <v>10034.5</v>
      </c>
    </row>
    <row r="59" spans="1:4" ht="14.4">
      <c r="A59" s="594">
        <f t="shared" si="2"/>
        <v>2013</v>
      </c>
      <c r="B59" s="595" t="s">
        <v>243</v>
      </c>
      <c r="C59" s="455">
        <v>10790.31</v>
      </c>
    </row>
    <row r="60" spans="1:4" ht="14.4">
      <c r="A60" s="594">
        <f t="shared" si="2"/>
        <v>2013</v>
      </c>
      <c r="B60" s="595" t="s">
        <v>244</v>
      </c>
      <c r="C60" s="455">
        <v>7336.53</v>
      </c>
    </row>
    <row r="61" spans="1:4" ht="14.4">
      <c r="A61" s="594">
        <f t="shared" si="2"/>
        <v>2013</v>
      </c>
      <c r="B61" s="595" t="s">
        <v>245</v>
      </c>
      <c r="C61" s="455">
        <v>5980.67</v>
      </c>
    </row>
    <row r="62" spans="1:4" s="922" customFormat="1" ht="14.4">
      <c r="A62" s="594">
        <f t="shared" si="2"/>
        <v>2013</v>
      </c>
      <c r="B62" s="595" t="s">
        <v>246</v>
      </c>
      <c r="C62" s="718">
        <v>6803.8</v>
      </c>
      <c r="D62" s="718">
        <f>SUM(C51:C62)</f>
        <v>94984.87000000001</v>
      </c>
    </row>
    <row r="63" spans="1:4" ht="14.4">
      <c r="A63" s="594"/>
      <c r="B63" s="595"/>
      <c r="C63" s="718"/>
      <c r="D63" s="718"/>
    </row>
  </sheetData>
  <mergeCells count="1">
    <mergeCell ref="A1:D1"/>
  </mergeCells>
  <pageMargins left="0.7" right="0.7" top="0.75" bottom="0.75" header="0.3" footer="0.3"/>
  <pageSetup scale="70" orientation="portrait" r:id="rId1"/>
  <ignoredErrors>
    <ignoredError sqref="D14 D26 D38 D50 D62" formulaRange="1"/>
  </ignoredError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B050"/>
  </sheetPr>
  <dimension ref="B1:V147"/>
  <sheetViews>
    <sheetView showGridLines="0" zoomScale="90" zoomScaleNormal="90" workbookViewId="0">
      <pane xSplit="1" topLeftCell="C1" activePane="topRight" state="frozen"/>
      <selection activeCell="H9" sqref="H9"/>
      <selection pane="topRight" activeCell="C5" sqref="C5"/>
    </sheetView>
  </sheetViews>
  <sheetFormatPr defaultColWidth="9.109375" defaultRowHeight="13.2"/>
  <cols>
    <col min="1" max="1" width="2.5546875" style="77" customWidth="1"/>
    <col min="2" max="2" width="28.109375" style="78" bestFit="1" customWidth="1"/>
    <col min="3" max="3" width="15.33203125" style="77" customWidth="1"/>
    <col min="4" max="4" width="15.5546875" style="77" bestFit="1" customWidth="1"/>
    <col min="5" max="5" width="17" style="77" customWidth="1"/>
    <col min="6" max="14" width="15.5546875" style="77" bestFit="1" customWidth="1"/>
    <col min="15" max="15" width="1.6640625" style="77" bestFit="1" customWidth="1"/>
    <col min="16" max="16" width="17.109375" style="77" bestFit="1" customWidth="1"/>
    <col min="17" max="17" width="20.109375" style="77" bestFit="1" customWidth="1"/>
    <col min="18" max="18" width="11.5546875" style="77" hidden="1" customWidth="1"/>
    <col min="19" max="19" width="15.33203125" style="77" hidden="1" customWidth="1"/>
    <col min="20" max="20" width="0" style="77" hidden="1" customWidth="1"/>
    <col min="21" max="21" width="12" style="97" bestFit="1" customWidth="1"/>
    <col min="22" max="22" width="16.109375" style="97" bestFit="1" customWidth="1"/>
    <col min="23" max="16384" width="9.109375" style="77"/>
  </cols>
  <sheetData>
    <row r="1" spans="2:22">
      <c r="R1" s="79">
        <v>36892</v>
      </c>
      <c r="S1" s="80">
        <f>C$6</f>
        <v>280845209.75251001</v>
      </c>
    </row>
    <row r="2" spans="2:22" ht="18" thickBot="1">
      <c r="B2" s="997" t="s">
        <v>37</v>
      </c>
      <c r="C2" s="997"/>
      <c r="D2" s="997"/>
      <c r="E2" s="997"/>
      <c r="F2" s="997"/>
      <c r="G2" s="997"/>
      <c r="H2" s="997"/>
      <c r="I2" s="997"/>
      <c r="J2" s="997"/>
      <c r="K2" s="997"/>
      <c r="L2" s="997"/>
      <c r="M2" s="997"/>
      <c r="N2" s="997"/>
      <c r="O2" s="997"/>
      <c r="P2" s="997"/>
      <c r="R2" s="81">
        <v>36923</v>
      </c>
      <c r="S2" s="82">
        <f>D$6</f>
        <v>255669091.35465997</v>
      </c>
    </row>
    <row r="3" spans="2:22">
      <c r="B3" s="83"/>
      <c r="C3" s="84" t="s">
        <v>3</v>
      </c>
      <c r="D3" s="84" t="s">
        <v>4</v>
      </c>
      <c r="E3" s="84" t="s">
        <v>5</v>
      </c>
      <c r="F3" s="84" t="s">
        <v>6</v>
      </c>
      <c r="G3" s="84" t="s">
        <v>7</v>
      </c>
      <c r="H3" s="84" t="s">
        <v>8</v>
      </c>
      <c r="I3" s="84" t="s">
        <v>9</v>
      </c>
      <c r="J3" s="84" t="s">
        <v>10</v>
      </c>
      <c r="K3" s="84" t="s">
        <v>11</v>
      </c>
      <c r="L3" s="84" t="s">
        <v>23</v>
      </c>
      <c r="M3" s="84" t="s">
        <v>12</v>
      </c>
      <c r="N3" s="84" t="s">
        <v>13</v>
      </c>
      <c r="O3" s="600"/>
      <c r="P3" s="85" t="s">
        <v>38</v>
      </c>
      <c r="R3" s="81">
        <v>36951</v>
      </c>
      <c r="S3" s="82">
        <f>E$6</f>
        <v>270976955.97982997</v>
      </c>
      <c r="U3" s="88"/>
    </row>
    <row r="4" spans="2:22">
      <c r="B4" s="87"/>
      <c r="C4" s="395">
        <v>1</v>
      </c>
      <c r="D4" s="395">
        <v>2</v>
      </c>
      <c r="E4" s="395">
        <v>3</v>
      </c>
      <c r="F4" s="395">
        <v>4</v>
      </c>
      <c r="G4" s="395">
        <v>5</v>
      </c>
      <c r="H4" s="395">
        <v>6</v>
      </c>
      <c r="I4" s="395">
        <v>7</v>
      </c>
      <c r="J4" s="395">
        <v>8</v>
      </c>
      <c r="K4" s="395">
        <v>9</v>
      </c>
      <c r="L4" s="395">
        <v>10</v>
      </c>
      <c r="M4" s="395">
        <v>11</v>
      </c>
      <c r="N4" s="395">
        <v>12</v>
      </c>
      <c r="O4" s="415"/>
      <c r="P4" s="402"/>
      <c r="R4" s="81"/>
      <c r="S4" s="82"/>
      <c r="U4" s="88"/>
    </row>
    <row r="5" spans="2:22">
      <c r="B5" s="87">
        <v>2000</v>
      </c>
      <c r="C5" s="88"/>
      <c r="D5" s="88"/>
      <c r="E5" s="88"/>
      <c r="F5" s="88"/>
      <c r="G5" s="88"/>
      <c r="H5" s="88">
        <f>H48*1.003</f>
        <v>259772922.79496998</v>
      </c>
      <c r="I5" s="88">
        <f t="shared" ref="I5:N5" si="0">I48*1.003</f>
        <v>261782916.60054997</v>
      </c>
      <c r="J5" s="88">
        <f t="shared" si="0"/>
        <v>280456499.55985999</v>
      </c>
      <c r="K5" s="88">
        <f t="shared" si="0"/>
        <v>252941431.70120996</v>
      </c>
      <c r="L5" s="88">
        <f t="shared" si="0"/>
        <v>248765437.61047</v>
      </c>
      <c r="M5" s="88">
        <f t="shared" si="0"/>
        <v>257776742.84700996</v>
      </c>
      <c r="N5" s="88">
        <f t="shared" si="0"/>
        <v>277448676.24936998</v>
      </c>
      <c r="O5" s="415"/>
      <c r="P5" s="89">
        <f>SUM(C5:N5)</f>
        <v>1838944627.36344</v>
      </c>
      <c r="R5" s="81">
        <v>36982</v>
      </c>
      <c r="S5" s="82">
        <f>F$6</f>
        <v>241625476.58483997</v>
      </c>
      <c r="U5" s="88"/>
    </row>
    <row r="6" spans="2:22">
      <c r="B6" s="87">
        <v>2001</v>
      </c>
      <c r="C6" s="88">
        <f>C49*1.003</f>
        <v>280845209.75251001</v>
      </c>
      <c r="D6" s="88">
        <f t="shared" ref="D6:N6" si="1">D49*1.003</f>
        <v>255669091.35465997</v>
      </c>
      <c r="E6" s="88">
        <f t="shared" si="1"/>
        <v>270976955.97982997</v>
      </c>
      <c r="F6" s="88">
        <f t="shared" si="1"/>
        <v>241625476.58483997</v>
      </c>
      <c r="G6" s="88">
        <f t="shared" si="1"/>
        <v>254877801.64583996</v>
      </c>
      <c r="H6" s="88">
        <f t="shared" si="1"/>
        <v>280369159.40309995</v>
      </c>
      <c r="I6" s="88">
        <f t="shared" si="1"/>
        <v>283380116.97825998</v>
      </c>
      <c r="J6" s="88">
        <f t="shared" si="1"/>
        <v>309700654.12338996</v>
      </c>
      <c r="K6" s="88">
        <f t="shared" si="1"/>
        <v>256033995.80368996</v>
      </c>
      <c r="L6" s="88">
        <f t="shared" si="1"/>
        <v>262356880.71265998</v>
      </c>
      <c r="M6" s="88">
        <f t="shared" si="1"/>
        <v>263952615.63877997</v>
      </c>
      <c r="N6" s="88">
        <f t="shared" si="1"/>
        <v>272406019.65775996</v>
      </c>
      <c r="O6" s="415"/>
      <c r="P6" s="89">
        <f t="shared" ref="P6:P17" si="2">SUM(C6:N6)</f>
        <v>3232193977.6353197</v>
      </c>
      <c r="R6" s="81">
        <v>37012</v>
      </c>
      <c r="S6" s="82">
        <f>G$6</f>
        <v>254877801.64583996</v>
      </c>
      <c r="U6" s="88"/>
    </row>
    <row r="7" spans="2:22">
      <c r="B7" s="87">
        <v>2002</v>
      </c>
      <c r="C7" s="88">
        <f>C50*1.003</f>
        <v>284761887.14001</v>
      </c>
      <c r="D7" s="88">
        <f>D50*1.003</f>
        <v>261561491.35166997</v>
      </c>
      <c r="E7" s="88">
        <f>E50*1.003</f>
        <v>281058427.74325997</v>
      </c>
      <c r="F7" s="88">
        <f>F50*1.003</f>
        <v>267232388.23690996</v>
      </c>
      <c r="G7" s="90">
        <f t="shared" ref="G7:N14" si="3">G29-(G132*1.0253)+G111</f>
        <v>268731434.86896199</v>
      </c>
      <c r="H7" s="90">
        <f t="shared" si="3"/>
        <v>287224945.77904201</v>
      </c>
      <c r="I7" s="90">
        <f t="shared" si="3"/>
        <v>336393633.32335997</v>
      </c>
      <c r="J7" s="90">
        <f t="shared" si="3"/>
        <v>323078534.22408003</v>
      </c>
      <c r="K7" s="90">
        <f t="shared" si="3"/>
        <v>288951649.20455998</v>
      </c>
      <c r="L7" s="90">
        <f t="shared" si="3"/>
        <v>274918580.88071996</v>
      </c>
      <c r="M7" s="90">
        <f t="shared" si="3"/>
        <v>278120053.94287997</v>
      </c>
      <c r="N7" s="90">
        <f t="shared" si="3"/>
        <v>289471090.25279999</v>
      </c>
      <c r="O7" s="415"/>
      <c r="P7" s="89">
        <f t="shared" si="2"/>
        <v>3441504116.9482536</v>
      </c>
      <c r="R7" s="81">
        <v>37043</v>
      </c>
      <c r="S7" s="82">
        <f>H$6</f>
        <v>280369159.40309995</v>
      </c>
      <c r="U7" s="88"/>
    </row>
    <row r="8" spans="2:22">
      <c r="B8" s="87">
        <v>2003</v>
      </c>
      <c r="C8" s="90">
        <f>C30-(C133*1.0253)+C112</f>
        <v>307542956.52231997</v>
      </c>
      <c r="D8" s="90">
        <f t="shared" ref="C8:F14" si="4">D30-(D133*1.0253)+D112</f>
        <v>279902417.56527996</v>
      </c>
      <c r="E8" s="90">
        <f t="shared" si="4"/>
        <v>292786171.32015997</v>
      </c>
      <c r="F8" s="90">
        <f t="shared" si="4"/>
        <v>269814264.55328</v>
      </c>
      <c r="G8" s="90">
        <f t="shared" si="3"/>
        <v>267913711.61416</v>
      </c>
      <c r="H8" s="90">
        <f t="shared" si="3"/>
        <v>286282449.35167998</v>
      </c>
      <c r="I8" s="90">
        <f t="shared" si="3"/>
        <v>318440801.91263998</v>
      </c>
      <c r="J8" s="90">
        <f t="shared" si="3"/>
        <v>297771902.98367995</v>
      </c>
      <c r="K8" s="90">
        <f t="shared" si="3"/>
        <v>267335937.70864001</v>
      </c>
      <c r="L8" s="90">
        <f t="shared" si="3"/>
        <v>274153307.40288001</v>
      </c>
      <c r="M8" s="90">
        <f t="shared" si="3"/>
        <v>281313884.82528001</v>
      </c>
      <c r="N8" s="90">
        <f t="shared" si="3"/>
        <v>295245544.80391997</v>
      </c>
      <c r="O8" s="415"/>
      <c r="P8" s="89">
        <f t="shared" si="2"/>
        <v>3438503350.56392</v>
      </c>
      <c r="R8" s="81">
        <v>37073</v>
      </c>
      <c r="S8" s="82">
        <f>I$6</f>
        <v>283380116.97825998</v>
      </c>
      <c r="U8" s="88"/>
    </row>
    <row r="9" spans="2:22">
      <c r="B9" s="87">
        <v>2004</v>
      </c>
      <c r="C9" s="90">
        <f t="shared" si="4"/>
        <v>318825772.38951999</v>
      </c>
      <c r="D9" s="90">
        <f t="shared" si="4"/>
        <v>292561275.78360003</v>
      </c>
      <c r="E9" s="90">
        <f t="shared" si="4"/>
        <v>304403355.98512</v>
      </c>
      <c r="F9" s="90">
        <f t="shared" si="4"/>
        <v>280729503.61992002</v>
      </c>
      <c r="G9" s="90">
        <f t="shared" si="3"/>
        <v>284754157.46888</v>
      </c>
      <c r="H9" s="90">
        <f t="shared" si="3"/>
        <v>296130054.74768001</v>
      </c>
      <c r="I9" s="90">
        <f t="shared" si="3"/>
        <v>316526151.50408</v>
      </c>
      <c r="J9" s="90">
        <f t="shared" si="3"/>
        <v>311532144.03864002</v>
      </c>
      <c r="K9" s="90">
        <f t="shared" si="3"/>
        <v>300510638.83407998</v>
      </c>
      <c r="L9" s="90">
        <f t="shared" si="3"/>
        <v>288181524.40336001</v>
      </c>
      <c r="M9" s="90">
        <f t="shared" si="3"/>
        <v>296760230.17967999</v>
      </c>
      <c r="N9" s="90">
        <f t="shared" si="3"/>
        <v>315819545.97799999</v>
      </c>
      <c r="O9" s="415"/>
      <c r="P9" s="89">
        <f t="shared" si="2"/>
        <v>3606734354.93256</v>
      </c>
      <c r="Q9" s="651"/>
      <c r="R9" s="81">
        <v>37104</v>
      </c>
      <c r="S9" s="82">
        <f>J$6</f>
        <v>309700654.12338996</v>
      </c>
      <c r="U9" s="88"/>
    </row>
    <row r="10" spans="2:22">
      <c r="B10" s="87">
        <v>2005</v>
      </c>
      <c r="C10" s="90">
        <f t="shared" si="4"/>
        <v>329967590.92255998</v>
      </c>
      <c r="D10" s="90">
        <f t="shared" si="4"/>
        <v>293588957.80200005</v>
      </c>
      <c r="E10" s="90">
        <f t="shared" si="4"/>
        <v>313508513.50768</v>
      </c>
      <c r="F10" s="90">
        <f t="shared" si="4"/>
        <v>285449755.92167997</v>
      </c>
      <c r="G10" s="90">
        <f t="shared" si="3"/>
        <v>287810112.58807999</v>
      </c>
      <c r="H10" s="90">
        <f t="shared" si="3"/>
        <v>354566496.19744003</v>
      </c>
      <c r="I10" s="90">
        <f t="shared" si="3"/>
        <v>365920796.29247999</v>
      </c>
      <c r="J10" s="90">
        <f t="shared" si="3"/>
        <v>358835198.94231999</v>
      </c>
      <c r="K10" s="90">
        <f t="shared" si="3"/>
        <v>314383693.67223996</v>
      </c>
      <c r="L10" s="90">
        <f t="shared" si="3"/>
        <v>304341531.72799999</v>
      </c>
      <c r="M10" s="90">
        <f t="shared" si="3"/>
        <v>311009155.23224002</v>
      </c>
      <c r="N10" s="90">
        <f t="shared" si="3"/>
        <v>329446542.45952004</v>
      </c>
      <c r="O10" s="415"/>
      <c r="P10" s="89">
        <f t="shared" si="2"/>
        <v>3848828345.2662396</v>
      </c>
      <c r="Q10" s="651"/>
      <c r="R10" s="81">
        <v>37135</v>
      </c>
      <c r="S10" s="82">
        <f>K$6</f>
        <v>256033995.80368996</v>
      </c>
      <c r="U10" s="88"/>
    </row>
    <row r="11" spans="2:22">
      <c r="B11" s="87">
        <v>2006</v>
      </c>
      <c r="C11" s="90">
        <f t="shared" si="4"/>
        <v>329248076.85679996</v>
      </c>
      <c r="D11" s="90">
        <f t="shared" si="4"/>
        <v>304825404.56072003</v>
      </c>
      <c r="E11" s="90">
        <f t="shared" si="4"/>
        <v>325241931.66935998</v>
      </c>
      <c r="F11" s="90">
        <f t="shared" si="4"/>
        <v>289070045.05703998</v>
      </c>
      <c r="G11" s="90">
        <f t="shared" si="3"/>
        <v>310032606.06352001</v>
      </c>
      <c r="H11" s="90">
        <f t="shared" si="3"/>
        <v>333895801.36328</v>
      </c>
      <c r="I11" s="90">
        <f t="shared" si="3"/>
        <v>371225703.04703999</v>
      </c>
      <c r="J11" s="90">
        <f t="shared" si="3"/>
        <v>353706210.33784002</v>
      </c>
      <c r="K11" s="90">
        <f t="shared" si="3"/>
        <v>298103404.68008</v>
      </c>
      <c r="L11" s="90">
        <f t="shared" si="3"/>
        <v>307942170.88808</v>
      </c>
      <c r="M11" s="90">
        <f t="shared" si="3"/>
        <v>312999805.54064</v>
      </c>
      <c r="N11" s="90">
        <f t="shared" si="3"/>
        <v>317982953.65599346</v>
      </c>
      <c r="O11" s="415"/>
      <c r="P11" s="89">
        <f t="shared" si="2"/>
        <v>3854274113.7203932</v>
      </c>
      <c r="Q11" s="651"/>
      <c r="R11" s="81">
        <v>37165</v>
      </c>
      <c r="S11" s="82">
        <f>L$6</f>
        <v>262356880.71265998</v>
      </c>
      <c r="U11" s="88"/>
    </row>
    <row r="12" spans="2:22">
      <c r="B12" s="87">
        <v>2007</v>
      </c>
      <c r="C12" s="90">
        <f t="shared" si="4"/>
        <v>332533627.73552001</v>
      </c>
      <c r="D12" s="90">
        <f t="shared" si="4"/>
        <v>318174492.26888001</v>
      </c>
      <c r="E12" s="90">
        <f t="shared" si="4"/>
        <v>330329410.74735999</v>
      </c>
      <c r="F12" s="90">
        <f t="shared" si="4"/>
        <v>301193988.05048001</v>
      </c>
      <c r="G12" s="90">
        <f t="shared" si="3"/>
        <v>313881665.17031997</v>
      </c>
      <c r="H12" s="90">
        <f t="shared" si="3"/>
        <v>352305947.40079999</v>
      </c>
      <c r="I12" s="90">
        <f t="shared" si="3"/>
        <v>350987926.23040003</v>
      </c>
      <c r="J12" s="90">
        <f t="shared" si="3"/>
        <v>363680290.54207999</v>
      </c>
      <c r="K12" s="90">
        <f t="shared" si="3"/>
        <v>320412435.58792001</v>
      </c>
      <c r="L12" s="90">
        <f t="shared" si="3"/>
        <v>318245128.16911995</v>
      </c>
      <c r="M12" s="90">
        <f t="shared" si="3"/>
        <v>323515779.22904003</v>
      </c>
      <c r="N12" s="90">
        <f t="shared" si="3"/>
        <v>333331076.53263998</v>
      </c>
      <c r="O12" s="415"/>
      <c r="P12" s="89">
        <f t="shared" si="2"/>
        <v>3958591767.6645598</v>
      </c>
      <c r="Q12" s="651"/>
      <c r="R12" s="81">
        <v>37196</v>
      </c>
      <c r="S12" s="82">
        <f>M$6</f>
        <v>263952615.63877997</v>
      </c>
      <c r="U12" s="88"/>
    </row>
    <row r="13" spans="2:22" ht="13.8" thickBot="1">
      <c r="B13" s="87">
        <v>2008</v>
      </c>
      <c r="C13" s="90">
        <f t="shared" si="4"/>
        <v>344575662.39160001</v>
      </c>
      <c r="D13" s="90">
        <f t="shared" si="4"/>
        <v>326113371.71056002</v>
      </c>
      <c r="E13" s="90">
        <f t="shared" si="4"/>
        <v>331077485.06296003</v>
      </c>
      <c r="F13" s="90">
        <f t="shared" si="4"/>
        <v>303230329.28384</v>
      </c>
      <c r="G13" s="90">
        <f t="shared" si="3"/>
        <v>301056523.36776</v>
      </c>
      <c r="H13" s="90">
        <f t="shared" si="3"/>
        <v>334428490.42672002</v>
      </c>
      <c r="I13" s="90">
        <f t="shared" si="3"/>
        <v>363118366.56239998</v>
      </c>
      <c r="J13" s="90">
        <f t="shared" si="3"/>
        <v>341326026.458</v>
      </c>
      <c r="K13" s="90">
        <f t="shared" si="3"/>
        <v>317499537.95280004</v>
      </c>
      <c r="L13" s="90">
        <f t="shared" si="3"/>
        <v>310230041.67615998</v>
      </c>
      <c r="M13" s="90">
        <f t="shared" si="3"/>
        <v>313840849.62728</v>
      </c>
      <c r="N13" s="90">
        <f t="shared" si="3"/>
        <v>328946879.91896003</v>
      </c>
      <c r="O13" s="415"/>
      <c r="P13" s="89">
        <f t="shared" si="2"/>
        <v>3915443564.4390407</v>
      </c>
      <c r="Q13" s="651"/>
      <c r="R13" s="81">
        <v>37226</v>
      </c>
      <c r="S13" s="82">
        <f>N$6</f>
        <v>272406019.65775996</v>
      </c>
      <c r="U13" s="88"/>
    </row>
    <row r="14" spans="2:22" ht="14.4">
      <c r="B14" s="87">
        <v>2009</v>
      </c>
      <c r="C14" s="90">
        <f t="shared" si="4"/>
        <v>340125286.47127998</v>
      </c>
      <c r="D14" s="90">
        <f t="shared" si="4"/>
        <v>298423228.43304002</v>
      </c>
      <c r="E14" s="90">
        <f t="shared" si="4"/>
        <v>317878968.44471997</v>
      </c>
      <c r="F14" s="90">
        <f t="shared" si="4"/>
        <v>288048156.51208001</v>
      </c>
      <c r="G14" s="90">
        <f t="shared" si="3"/>
        <v>279549260.71288002</v>
      </c>
      <c r="H14" s="90">
        <f t="shared" si="3"/>
        <v>301280402.76728004</v>
      </c>
      <c r="I14" s="90">
        <f t="shared" si="3"/>
        <v>312634481.25511998</v>
      </c>
      <c r="J14" s="90">
        <f t="shared" si="3"/>
        <v>342969586.97349995</v>
      </c>
      <c r="K14" s="90">
        <f t="shared" si="3"/>
        <v>305441230.39999998</v>
      </c>
      <c r="L14" s="90">
        <f t="shared" si="3"/>
        <v>307520270</v>
      </c>
      <c r="M14" s="90">
        <f t="shared" si="3"/>
        <v>303012735.71912003</v>
      </c>
      <c r="N14" s="90">
        <f t="shared" si="3"/>
        <v>331058360.70839995</v>
      </c>
      <c r="O14" s="415"/>
      <c r="P14" s="89">
        <f t="shared" si="2"/>
        <v>3727941968.3974199</v>
      </c>
      <c r="Q14" s="651"/>
      <c r="R14" s="81">
        <v>37257</v>
      </c>
      <c r="S14" s="80">
        <f>C$7</f>
        <v>284761887.14001</v>
      </c>
      <c r="U14" s="996"/>
      <c r="V14" s="996"/>
    </row>
    <row r="15" spans="2:22" ht="14.4">
      <c r="B15" s="87">
        <v>2010</v>
      </c>
      <c r="C15" s="90">
        <f>'2010 to 2013 Actual kWh'!$J4</f>
        <v>338841929.64000005</v>
      </c>
      <c r="D15" s="90">
        <f>'2010 to 2013 Actual kWh'!$J5</f>
        <v>307563620.17000002</v>
      </c>
      <c r="E15" s="90">
        <f>'2010 to 2013 Actual kWh'!$J6</f>
        <v>317385708.60000008</v>
      </c>
      <c r="F15" s="90">
        <f>'2010 to 2013 Actual kWh'!$J7</f>
        <v>288580434.81999999</v>
      </c>
      <c r="G15" s="90">
        <f>'2010 to 2013 Actual kWh'!$J8</f>
        <v>317160058.12000006</v>
      </c>
      <c r="H15" s="90">
        <f>'2010 to 2013 Actual kWh'!$J9</f>
        <v>327911313.14999998</v>
      </c>
      <c r="I15" s="90">
        <f>'2010 to 2013 Actual kWh'!$J10</f>
        <v>387084557.87</v>
      </c>
      <c r="J15" s="90">
        <f>'2010 to 2013 Actual kWh'!$J11</f>
        <v>372085384</v>
      </c>
      <c r="K15" s="90">
        <f>'2010 to 2013 Actual kWh'!$J12</f>
        <v>309880174.61000001</v>
      </c>
      <c r="L15" s="90">
        <f>'2010 to 2013 Actual kWh'!$J13</f>
        <v>301944346.81</v>
      </c>
      <c r="M15" s="90">
        <f>'2010 to 2013 Actual kWh'!$J14</f>
        <v>309107400.75999999</v>
      </c>
      <c r="N15" s="90">
        <f>'2010 to 2013 Actual kWh'!$J15</f>
        <v>333509213.89770001</v>
      </c>
      <c r="O15" s="415"/>
      <c r="P15" s="89">
        <f t="shared" si="2"/>
        <v>3911054142.4477</v>
      </c>
      <c r="R15" s="81"/>
      <c r="S15" s="82"/>
      <c r="U15" s="996"/>
      <c r="V15" s="996"/>
    </row>
    <row r="16" spans="2:22" ht="14.4">
      <c r="B16" s="87">
        <v>2011</v>
      </c>
      <c r="C16" s="90">
        <f>'2010 to 2013 Actual kWh'!$J16</f>
        <v>346157898.25999999</v>
      </c>
      <c r="D16" s="90">
        <f>'2010 to 2013 Actual kWh'!$J17</f>
        <v>312406684.80686557</v>
      </c>
      <c r="E16" s="90">
        <f>'2010 to 2013 Actual kWh'!$J18</f>
        <v>334049130.14831591</v>
      </c>
      <c r="F16" s="90">
        <f>'2010 to 2013 Actual kWh'!$J19</f>
        <v>299909525.74392897</v>
      </c>
      <c r="G16" s="90">
        <f>'2010 to 2013 Actual kWh'!$J20</f>
        <v>308520841.60441828</v>
      </c>
      <c r="H16" s="90">
        <f>'2010 to 2013 Actual kWh'!$J21</f>
        <v>331406120.1022172</v>
      </c>
      <c r="I16" s="90">
        <f>'2010 to 2013 Actual kWh'!$J22</f>
        <v>399276723.94634914</v>
      </c>
      <c r="J16" s="90">
        <f>'2010 to 2013 Actual kWh'!$J23</f>
        <v>367773295.40579629</v>
      </c>
      <c r="K16" s="90">
        <f>'2010 to 2013 Actual kWh'!$J24</f>
        <v>313781747.26860797</v>
      </c>
      <c r="L16" s="90">
        <f>'2010 to 2013 Actual kWh'!$J25</f>
        <v>312095896.83517671</v>
      </c>
      <c r="M16" s="90">
        <f>'2010 to 2013 Actual kWh'!$J26</f>
        <v>314340389.14520544</v>
      </c>
      <c r="N16" s="90">
        <f>'2010 to 2013 Actual kWh'!$J27</f>
        <v>328784346.68523514</v>
      </c>
      <c r="O16" s="415"/>
      <c r="P16" s="89">
        <f t="shared" si="2"/>
        <v>3968502599.952116</v>
      </c>
      <c r="Q16" s="651"/>
      <c r="R16" s="81"/>
      <c r="S16" s="82"/>
      <c r="U16" s="996"/>
      <c r="V16" s="996"/>
    </row>
    <row r="17" spans="2:22" ht="14.4">
      <c r="B17" s="87">
        <v>2012</v>
      </c>
      <c r="C17" s="90">
        <f>'2010 to 2013 Actual kWh'!J28</f>
        <v>342744741.61208785</v>
      </c>
      <c r="D17" s="90">
        <f>'2010 to 2013 Actual kWh'!J29</f>
        <v>317435425.36419511</v>
      </c>
      <c r="E17" s="90">
        <f>'2010 to 2013 Actual kWh'!J30</f>
        <v>323010361.81250238</v>
      </c>
      <c r="F17" s="90">
        <f>'2010 to 2013 Actual kWh'!J31</f>
        <v>301644611.39755243</v>
      </c>
      <c r="G17" s="90">
        <f>'2010 to 2013 Actual kWh'!J32</f>
        <v>326399579.19420129</v>
      </c>
      <c r="H17" s="90">
        <f>'2010 to 2013 Actual kWh'!J33</f>
        <v>357950416.91688043</v>
      </c>
      <c r="I17" s="90">
        <f>'2010 to 2013 Actual kWh'!J34</f>
        <v>407476192.08811313</v>
      </c>
      <c r="J17" s="90">
        <f>'2010 to 2013 Actual kWh'!J35</f>
        <v>375206978.09512293</v>
      </c>
      <c r="K17" s="90">
        <f>'2010 to 2013 Actual kWh'!J36</f>
        <v>319835102.72689074</v>
      </c>
      <c r="L17" s="90">
        <f>'2010 to 2013 Actual kWh'!J37</f>
        <v>318167446.69244564</v>
      </c>
      <c r="M17" s="90">
        <f>'2010 to 2013 Actual kWh'!J38</f>
        <v>324129468.26891255</v>
      </c>
      <c r="N17" s="90">
        <f>'2010 to 2013 Actual kWh'!J39</f>
        <v>329242704.47332603</v>
      </c>
      <c r="O17" s="415"/>
      <c r="P17" s="89">
        <f t="shared" si="2"/>
        <v>4043243028.6422305</v>
      </c>
      <c r="Q17" s="651"/>
      <c r="R17" s="81"/>
      <c r="S17" s="82"/>
      <c r="U17" s="996"/>
      <c r="V17" s="996"/>
    </row>
    <row r="18" spans="2:22" ht="13.8" thickBot="1">
      <c r="B18" s="602">
        <v>2013</v>
      </c>
      <c r="C18" s="601">
        <f>'2010 to 2013 Actual kWh'!J40</f>
        <v>348513720.32204151</v>
      </c>
      <c r="D18" s="601">
        <f>'2010 to 2013 Actual kWh'!J41</f>
        <v>317590943.46700263</v>
      </c>
      <c r="E18" s="601">
        <f>'2010 to 2013 Actual kWh'!J42</f>
        <v>333368808.18886328</v>
      </c>
      <c r="F18" s="601">
        <f>'2010 to 2013 Actual kWh'!J43</f>
        <v>312277395.642299</v>
      </c>
      <c r="G18" s="601">
        <f>'2010 to 2013 Actual kWh'!J44</f>
        <v>320170212.77697694</v>
      </c>
      <c r="H18" s="601">
        <f>'2010 to 2013 Actual kWh'!J45</f>
        <v>335997920.17368233</v>
      </c>
      <c r="I18" s="601">
        <f>'2010 to 2013 Actual kWh'!J46</f>
        <v>385395997.74065989</v>
      </c>
      <c r="J18" s="601">
        <f>'2010 to 2013 Actual kWh'!J47</f>
        <v>362278436.561683</v>
      </c>
      <c r="K18" s="601">
        <f>'2010 to 2013 Actual kWh'!J48</f>
        <v>318477236.99047047</v>
      </c>
      <c r="L18" s="601">
        <f>'2010 to 2013 Actual kWh'!J49</f>
        <v>318760031.98889458</v>
      </c>
      <c r="M18" s="601">
        <f>'2010 to 2013 Actual kWh'!J50</f>
        <v>329707414.74445009</v>
      </c>
      <c r="N18" s="601">
        <f>'2010 to 2013 Actual kWh'!J51</f>
        <v>344618545.50918531</v>
      </c>
      <c r="O18" s="599"/>
      <c r="P18" s="598">
        <f t="shared" ref="P18" si="5">SUM(C18:N18)</f>
        <v>4027156664.1062088</v>
      </c>
      <c r="Q18" s="867"/>
      <c r="R18" s="81">
        <v>37316</v>
      </c>
      <c r="S18" s="82">
        <f>E$7</f>
        <v>281058427.74325997</v>
      </c>
      <c r="U18" s="88"/>
    </row>
    <row r="19" spans="2:22">
      <c r="C19" s="583"/>
      <c r="D19" s="583"/>
      <c r="E19" s="583"/>
      <c r="F19" s="583"/>
      <c r="G19" s="583"/>
      <c r="H19" s="583"/>
      <c r="I19" s="583"/>
      <c r="J19" s="583"/>
      <c r="K19" s="583"/>
      <c r="L19" s="583"/>
      <c r="M19" s="583"/>
      <c r="N19" s="583"/>
      <c r="R19" s="81">
        <v>37347</v>
      </c>
      <c r="S19" s="82">
        <f>F$7</f>
        <v>267232388.23690996</v>
      </c>
      <c r="U19" s="88"/>
      <c r="V19" s="603"/>
    </row>
    <row r="20" spans="2:22" hidden="1">
      <c r="B20" s="78" t="s">
        <v>39</v>
      </c>
      <c r="R20" s="81">
        <v>37377</v>
      </c>
      <c r="S20" s="82">
        <f>G$7</f>
        <v>268731434.86896199</v>
      </c>
      <c r="U20" s="88"/>
      <c r="V20" s="603"/>
    </row>
    <row r="21" spans="2:22" ht="13.8" hidden="1" thickBot="1">
      <c r="R21" s="81">
        <v>37408</v>
      </c>
      <c r="S21" s="82">
        <f>H$7</f>
        <v>287224945.77904201</v>
      </c>
      <c r="U21" s="88"/>
      <c r="V21" s="603"/>
    </row>
    <row r="22" spans="2:22" s="78" customFormat="1" hidden="1">
      <c r="B22" s="83"/>
      <c r="C22" s="84" t="s">
        <v>3</v>
      </c>
      <c r="D22" s="84" t="s">
        <v>4</v>
      </c>
      <c r="E22" s="84" t="s">
        <v>5</v>
      </c>
      <c r="F22" s="84" t="s">
        <v>6</v>
      </c>
      <c r="G22" s="84" t="s">
        <v>7</v>
      </c>
      <c r="H22" s="84" t="s">
        <v>8</v>
      </c>
      <c r="I22" s="84" t="s">
        <v>9</v>
      </c>
      <c r="J22" s="84" t="s">
        <v>10</v>
      </c>
      <c r="K22" s="84" t="s">
        <v>11</v>
      </c>
      <c r="L22" s="84" t="s">
        <v>23</v>
      </c>
      <c r="M22" s="84" t="s">
        <v>12</v>
      </c>
      <c r="N22" s="84" t="s">
        <v>13</v>
      </c>
      <c r="O22" s="94"/>
      <c r="P22" s="85" t="s">
        <v>38</v>
      </c>
      <c r="R22" s="81">
        <v>37438</v>
      </c>
      <c r="S22" s="82" t="s">
        <v>0</v>
      </c>
      <c r="T22" s="77"/>
      <c r="U22" s="88"/>
      <c r="V22" s="603"/>
    </row>
    <row r="23" spans="2:22" s="97" customFormat="1" hidden="1">
      <c r="B23" s="87">
        <v>1996</v>
      </c>
      <c r="C23" s="95">
        <v>242640000</v>
      </c>
      <c r="D23" s="95">
        <v>226730000</v>
      </c>
      <c r="E23" s="95">
        <v>227910000</v>
      </c>
      <c r="F23" s="95">
        <v>207750000</v>
      </c>
      <c r="G23" s="95">
        <v>207520000</v>
      </c>
      <c r="H23" s="95">
        <v>217460000</v>
      </c>
      <c r="I23" s="95">
        <v>228120000</v>
      </c>
      <c r="J23" s="95">
        <v>241620000</v>
      </c>
      <c r="K23" s="95">
        <v>215300000</v>
      </c>
      <c r="L23" s="95">
        <v>217610000</v>
      </c>
      <c r="M23" s="95">
        <v>228730000</v>
      </c>
      <c r="N23" s="95">
        <v>232760000</v>
      </c>
      <c r="O23" s="88"/>
      <c r="P23" s="96">
        <f>SUM(C23,D23,E23,F23,G23,H23,I23,J23,K23,L23,M23,N23)</f>
        <v>2694150000</v>
      </c>
      <c r="R23" s="81">
        <v>37469</v>
      </c>
      <c r="S23" s="82">
        <f>J$7</f>
        <v>323078534.22408003</v>
      </c>
      <c r="T23" s="77"/>
      <c r="U23" s="88"/>
    </row>
    <row r="24" spans="2:22" s="97" customFormat="1" hidden="1">
      <c r="B24" s="87">
        <v>1997</v>
      </c>
      <c r="C24" s="95">
        <v>248860000</v>
      </c>
      <c r="D24" s="95">
        <v>221280000</v>
      </c>
      <c r="E24" s="95">
        <v>232470000</v>
      </c>
      <c r="F24" s="95">
        <v>216220000</v>
      </c>
      <c r="G24" s="95">
        <v>209840000</v>
      </c>
      <c r="H24" s="95">
        <v>233210000</v>
      </c>
      <c r="I24" s="95">
        <v>241800000</v>
      </c>
      <c r="J24" s="95">
        <v>223700000</v>
      </c>
      <c r="K24" s="95">
        <v>213900000</v>
      </c>
      <c r="L24" s="95">
        <v>220800000</v>
      </c>
      <c r="M24" s="95">
        <v>227100000</v>
      </c>
      <c r="N24" s="95">
        <v>236200000</v>
      </c>
      <c r="O24" s="88"/>
      <c r="P24" s="96">
        <f t="shared" ref="P24:P36" si="6">SUM(C24,D24,E24,F24,G24,H24,I24,J24,K24,L24,M24,N24)</f>
        <v>2725380000</v>
      </c>
      <c r="Q24" s="652"/>
      <c r="R24" s="81">
        <v>37500</v>
      </c>
      <c r="S24" s="82">
        <f>K$7</f>
        <v>288951649.20455998</v>
      </c>
      <c r="T24" s="77"/>
      <c r="U24" s="88"/>
    </row>
    <row r="25" spans="2:22" s="97" customFormat="1" hidden="1">
      <c r="B25" s="87">
        <v>1998</v>
      </c>
      <c r="C25" s="95">
        <v>243400000</v>
      </c>
      <c r="D25" s="95">
        <v>219100000</v>
      </c>
      <c r="E25" s="95">
        <v>240800000</v>
      </c>
      <c r="F25" s="95">
        <v>213700000</v>
      </c>
      <c r="G25" s="95">
        <v>230880000</v>
      </c>
      <c r="H25" s="95">
        <v>250300000</v>
      </c>
      <c r="I25" s="95">
        <v>260900000</v>
      </c>
      <c r="J25" s="95">
        <v>265000000</v>
      </c>
      <c r="K25" s="95">
        <v>235900000</v>
      </c>
      <c r="L25" s="95">
        <v>228100000</v>
      </c>
      <c r="M25" s="95">
        <v>235600000</v>
      </c>
      <c r="N25" s="95">
        <v>244200000</v>
      </c>
      <c r="O25" s="88"/>
      <c r="P25" s="96">
        <f t="shared" si="6"/>
        <v>2867880000</v>
      </c>
      <c r="R25" s="81">
        <v>37530</v>
      </c>
      <c r="S25" s="82">
        <f>L$7</f>
        <v>274918580.88071996</v>
      </c>
      <c r="T25" s="77"/>
      <c r="U25" s="88"/>
    </row>
    <row r="26" spans="2:22" s="97" customFormat="1" hidden="1">
      <c r="B26" s="87">
        <v>1999</v>
      </c>
      <c r="C26" s="95">
        <v>260000000</v>
      </c>
      <c r="D26" s="95">
        <v>231700000</v>
      </c>
      <c r="E26" s="95">
        <v>252800000</v>
      </c>
      <c r="F26" s="95">
        <v>224900000</v>
      </c>
      <c r="G26" s="95">
        <v>233100000</v>
      </c>
      <c r="H26" s="95">
        <v>265500000</v>
      </c>
      <c r="I26" s="95">
        <v>285100000</v>
      </c>
      <c r="J26" s="95">
        <v>258600000</v>
      </c>
      <c r="K26" s="95">
        <v>243700000</v>
      </c>
      <c r="L26" s="95">
        <v>237000000</v>
      </c>
      <c r="M26" s="95">
        <v>246300000</v>
      </c>
      <c r="N26" s="95">
        <v>260100000</v>
      </c>
      <c r="O26" s="88" t="s">
        <v>0</v>
      </c>
      <c r="P26" s="96">
        <f t="shared" si="6"/>
        <v>2998800000</v>
      </c>
      <c r="R26" s="81">
        <v>37561</v>
      </c>
      <c r="S26" s="82">
        <f>M$7</f>
        <v>278120053.94287997</v>
      </c>
      <c r="T26" s="77"/>
      <c r="U26" s="88"/>
    </row>
    <row r="27" spans="2:22" s="97" customFormat="1" ht="13.8" hidden="1" thickBot="1">
      <c r="B27" s="87">
        <v>2000</v>
      </c>
      <c r="C27" s="88">
        <v>271300000</v>
      </c>
      <c r="D27" s="88">
        <v>251400000</v>
      </c>
      <c r="E27" s="88">
        <v>255100000</v>
      </c>
      <c r="F27" s="88">
        <v>235000000</v>
      </c>
      <c r="G27" s="88">
        <v>247200000</v>
      </c>
      <c r="H27" s="88">
        <v>258900000</v>
      </c>
      <c r="I27" s="88">
        <v>261400000</v>
      </c>
      <c r="J27" s="88">
        <v>280000000</v>
      </c>
      <c r="K27" s="88">
        <v>252000000</v>
      </c>
      <c r="L27" s="88">
        <v>247800000</v>
      </c>
      <c r="M27" s="88">
        <v>257000000</v>
      </c>
      <c r="N27" s="88">
        <v>276600000</v>
      </c>
      <c r="O27" s="88"/>
      <c r="P27" s="96">
        <f t="shared" si="6"/>
        <v>3093700000</v>
      </c>
      <c r="R27" s="81">
        <v>37591</v>
      </c>
      <c r="S27" s="82">
        <f>N$7</f>
        <v>289471090.25279999</v>
      </c>
      <c r="T27" s="77"/>
      <c r="U27" s="88"/>
    </row>
    <row r="28" spans="2:22" s="97" customFormat="1" hidden="1">
      <c r="B28" s="87">
        <v>2001</v>
      </c>
      <c r="C28" s="88">
        <v>280000000</v>
      </c>
      <c r="D28" s="88">
        <v>254900000</v>
      </c>
      <c r="E28" s="88">
        <v>269800000</v>
      </c>
      <c r="F28" s="88">
        <v>241200000</v>
      </c>
      <c r="G28" s="88">
        <v>254100000</v>
      </c>
      <c r="H28" s="88">
        <v>279700000</v>
      </c>
      <c r="I28" s="88">
        <v>282500000</v>
      </c>
      <c r="J28" s="88">
        <v>308700000</v>
      </c>
      <c r="K28" s="88">
        <v>255200000</v>
      </c>
      <c r="L28" s="88">
        <v>261300000</v>
      </c>
      <c r="M28" s="88">
        <v>263200000</v>
      </c>
      <c r="N28" s="88">
        <v>272000000</v>
      </c>
      <c r="O28" s="88"/>
      <c r="P28" s="96">
        <f t="shared" si="6"/>
        <v>3222600000</v>
      </c>
      <c r="R28" s="81">
        <v>37622</v>
      </c>
      <c r="S28" s="80">
        <f>C$8</f>
        <v>307542956.52231997</v>
      </c>
      <c r="T28" s="77"/>
      <c r="U28" s="88"/>
    </row>
    <row r="29" spans="2:22" hidden="1">
      <c r="B29" s="87">
        <v>2002</v>
      </c>
      <c r="C29" s="88">
        <v>284400000</v>
      </c>
      <c r="D29" s="88">
        <v>261000000</v>
      </c>
      <c r="E29" s="88">
        <v>280200000</v>
      </c>
      <c r="F29" s="88">
        <v>266400000</v>
      </c>
      <c r="G29" s="90">
        <v>265692826</v>
      </c>
      <c r="H29" s="86">
        <v>284954808</v>
      </c>
      <c r="I29" s="86">
        <v>334566989</v>
      </c>
      <c r="J29" s="86">
        <v>320564382</v>
      </c>
      <c r="K29" s="86">
        <v>286776285</v>
      </c>
      <c r="L29" s="86">
        <v>272743644</v>
      </c>
      <c r="M29" s="86">
        <v>276048413</v>
      </c>
      <c r="N29" s="86">
        <v>290778474</v>
      </c>
      <c r="O29" s="86"/>
      <c r="P29" s="96">
        <f t="shared" si="6"/>
        <v>3424125821</v>
      </c>
      <c r="R29" s="81">
        <v>37653</v>
      </c>
      <c r="S29" s="82">
        <f>D$8</f>
        <v>279902417.56527996</v>
      </c>
      <c r="U29" s="88"/>
    </row>
    <row r="30" spans="2:22" hidden="1">
      <c r="B30" s="87">
        <v>2003</v>
      </c>
      <c r="C30" s="86">
        <v>307151179</v>
      </c>
      <c r="D30" s="86">
        <v>278506402</v>
      </c>
      <c r="E30" s="86">
        <v>291158719</v>
      </c>
      <c r="F30" s="86">
        <v>267635768</v>
      </c>
      <c r="G30" s="86">
        <v>265734418</v>
      </c>
      <c r="H30" s="86">
        <v>283981271</v>
      </c>
      <c r="I30" s="86">
        <v>316304310</v>
      </c>
      <c r="J30" s="86">
        <v>295914822</v>
      </c>
      <c r="K30" s="86">
        <v>265040356</v>
      </c>
      <c r="L30" s="86">
        <v>271508239</v>
      </c>
      <c r="M30" s="86">
        <v>279428731</v>
      </c>
      <c r="N30" s="86">
        <v>293454388</v>
      </c>
      <c r="O30" s="86"/>
      <c r="P30" s="96">
        <f t="shared" si="6"/>
        <v>3415818603</v>
      </c>
      <c r="Q30" s="652"/>
      <c r="R30" s="81">
        <v>37681</v>
      </c>
      <c r="S30" s="82">
        <f>E$8</f>
        <v>292786171.32015997</v>
      </c>
      <c r="U30" s="88"/>
    </row>
    <row r="31" spans="2:22" hidden="1">
      <c r="B31" s="87">
        <v>2004</v>
      </c>
      <c r="C31" s="86">
        <v>318280210</v>
      </c>
      <c r="D31" s="86">
        <v>291131802</v>
      </c>
      <c r="E31" s="86">
        <v>303926179</v>
      </c>
      <c r="F31" s="86">
        <v>278721450</v>
      </c>
      <c r="G31" s="86">
        <v>282155777</v>
      </c>
      <c r="H31" s="86">
        <v>294063854</v>
      </c>
      <c r="I31" s="86">
        <v>314452517</v>
      </c>
      <c r="J31" s="86">
        <v>308900046</v>
      </c>
      <c r="K31" s="86">
        <v>298230076</v>
      </c>
      <c r="L31" s="86">
        <v>286942690</v>
      </c>
      <c r="M31" s="86">
        <v>295876971</v>
      </c>
      <c r="N31" s="86">
        <v>314209148</v>
      </c>
      <c r="O31" s="86"/>
      <c r="P31" s="96">
        <f t="shared" si="6"/>
        <v>3586890720</v>
      </c>
      <c r="R31" s="81">
        <v>37712</v>
      </c>
      <c r="S31" s="82">
        <f>F$8</f>
        <v>269814264.55328</v>
      </c>
      <c r="U31" s="88"/>
    </row>
    <row r="32" spans="2:22" hidden="1">
      <c r="B32" s="87">
        <v>2005</v>
      </c>
      <c r="C32" s="86">
        <v>328548341</v>
      </c>
      <c r="D32" s="86">
        <v>292146822</v>
      </c>
      <c r="E32" s="86">
        <v>311929201</v>
      </c>
      <c r="F32" s="86">
        <v>284179503</v>
      </c>
      <c r="G32" s="86">
        <v>285869156</v>
      </c>
      <c r="H32" s="86">
        <v>353873632</v>
      </c>
      <c r="I32" s="86">
        <v>365273103</v>
      </c>
      <c r="J32" s="86">
        <v>358796296</v>
      </c>
      <c r="K32" s="86">
        <v>312624787</v>
      </c>
      <c r="L32" s="86">
        <v>303664688</v>
      </c>
      <c r="M32" s="86">
        <v>309165359</v>
      </c>
      <c r="N32" s="86">
        <v>327567979</v>
      </c>
      <c r="O32" s="86"/>
      <c r="P32" s="96">
        <f t="shared" si="6"/>
        <v>3833638867</v>
      </c>
      <c r="R32" s="81">
        <v>37742</v>
      </c>
      <c r="S32" s="82">
        <f>G$8</f>
        <v>267913711.61416</v>
      </c>
      <c r="U32" s="88"/>
    </row>
    <row r="33" spans="2:21" hidden="1">
      <c r="B33" s="87">
        <v>2006</v>
      </c>
      <c r="C33" s="86">
        <v>327524576</v>
      </c>
      <c r="D33" s="86">
        <v>303198959</v>
      </c>
      <c r="E33" s="86">
        <v>323641341</v>
      </c>
      <c r="F33" s="86">
        <v>287037141</v>
      </c>
      <c r="G33" s="86">
        <v>307714624</v>
      </c>
      <c r="H33" s="86">
        <v>331875473</v>
      </c>
      <c r="I33" s="86">
        <v>370437795</v>
      </c>
      <c r="J33" s="86">
        <v>353806309</v>
      </c>
      <c r="K33" s="86">
        <v>297849317</v>
      </c>
      <c r="L33" s="86">
        <v>307739303</v>
      </c>
      <c r="M33" s="86">
        <v>313391000</v>
      </c>
      <c r="N33" s="86">
        <v>316353273</v>
      </c>
      <c r="O33" s="86"/>
      <c r="P33" s="96">
        <f t="shared" si="6"/>
        <v>3840569111</v>
      </c>
      <c r="R33" s="81">
        <v>37773</v>
      </c>
      <c r="S33" s="82">
        <f>H$8</f>
        <v>286282449.35167998</v>
      </c>
      <c r="U33" s="88"/>
    </row>
    <row r="34" spans="2:21" hidden="1">
      <c r="B34" s="87">
        <v>2007</v>
      </c>
      <c r="C34" s="86">
        <v>330571730</v>
      </c>
      <c r="D34" s="86">
        <v>317795393</v>
      </c>
      <c r="E34" s="86">
        <v>328226860</v>
      </c>
      <c r="F34" s="86">
        <v>300200735</v>
      </c>
      <c r="G34" s="86">
        <v>314780859</v>
      </c>
      <c r="H34" s="86">
        <v>350975105</v>
      </c>
      <c r="I34" s="86">
        <v>349180174</v>
      </c>
      <c r="J34" s="86">
        <v>361451900</v>
      </c>
      <c r="K34" s="86">
        <v>318138100</v>
      </c>
      <c r="L34" s="86">
        <v>316353137</v>
      </c>
      <c r="M34" s="86">
        <v>321845306</v>
      </c>
      <c r="N34" s="86">
        <v>331453603</v>
      </c>
      <c r="O34" s="86"/>
      <c r="P34" s="96">
        <f t="shared" si="6"/>
        <v>3940972902</v>
      </c>
      <c r="R34" s="81">
        <v>37803</v>
      </c>
      <c r="S34" s="82">
        <f>I$8</f>
        <v>318440801.91263998</v>
      </c>
      <c r="U34" s="88"/>
    </row>
    <row r="35" spans="2:21" hidden="1">
      <c r="B35" s="87">
        <v>2008</v>
      </c>
      <c r="C35" s="86">
        <v>343252834</v>
      </c>
      <c r="D35" s="86">
        <v>324935239</v>
      </c>
      <c r="E35" s="86">
        <v>329435542</v>
      </c>
      <c r="F35" s="86">
        <v>301214516</v>
      </c>
      <c r="G35" s="86">
        <v>299468025</v>
      </c>
      <c r="H35" s="86">
        <v>335214682</v>
      </c>
      <c r="I35" s="86">
        <v>363275604</v>
      </c>
      <c r="J35" s="86">
        <v>341413029</v>
      </c>
      <c r="K35" s="86">
        <v>317879907</v>
      </c>
      <c r="L35" s="86">
        <v>311108842</v>
      </c>
      <c r="M35" s="86">
        <v>314845964</v>
      </c>
      <c r="N35" s="86">
        <v>329840828</v>
      </c>
      <c r="O35" s="86"/>
      <c r="P35" s="96">
        <f t="shared" si="6"/>
        <v>3911885012</v>
      </c>
      <c r="R35" s="81">
        <v>37834</v>
      </c>
      <c r="S35" s="82">
        <f>J$8</f>
        <v>297771902.98367995</v>
      </c>
      <c r="U35" s="88"/>
    </row>
    <row r="36" spans="2:21" hidden="1">
      <c r="B36" s="87">
        <v>2009</v>
      </c>
      <c r="C36" s="86">
        <v>341448620</v>
      </c>
      <c r="D36" s="86">
        <v>299851275</v>
      </c>
      <c r="E36" s="86">
        <v>319213071</v>
      </c>
      <c r="F36" s="86">
        <v>288990610</v>
      </c>
      <c r="G36" s="86">
        <v>279832093</v>
      </c>
      <c r="H36" s="86">
        <v>302313056</v>
      </c>
      <c r="I36" s="86">
        <v>313310828</v>
      </c>
      <c r="J36" s="86">
        <v>343792697</v>
      </c>
      <c r="K36" s="86">
        <v>304836200</v>
      </c>
      <c r="L36" s="86">
        <v>307049222</v>
      </c>
      <c r="M36" s="86">
        <v>302579279</v>
      </c>
      <c r="N36" s="86">
        <v>332406975</v>
      </c>
      <c r="O36" s="86"/>
      <c r="P36" s="96">
        <f t="shared" si="6"/>
        <v>3735623926</v>
      </c>
      <c r="R36" s="81">
        <v>37865</v>
      </c>
      <c r="S36" s="82">
        <f>K$8</f>
        <v>267335937.70864001</v>
      </c>
      <c r="U36" s="88"/>
    </row>
    <row r="37" spans="2:21" ht="13.8" hidden="1" thickBot="1">
      <c r="B37" s="91">
        <v>2010</v>
      </c>
      <c r="C37" s="98"/>
      <c r="D37" s="98"/>
      <c r="E37" s="98"/>
      <c r="F37" s="98"/>
      <c r="G37" s="98"/>
      <c r="H37" s="98"/>
      <c r="I37" s="98"/>
      <c r="J37" s="98"/>
      <c r="K37" s="98"/>
      <c r="L37" s="98"/>
      <c r="M37" s="98"/>
      <c r="N37" s="98"/>
      <c r="O37" s="98"/>
      <c r="P37" s="99"/>
      <c r="R37" s="81"/>
      <c r="S37" s="82"/>
      <c r="U37" s="88"/>
    </row>
    <row r="38" spans="2:21" hidden="1">
      <c r="R38" s="81">
        <v>37926</v>
      </c>
      <c r="S38" s="82">
        <f>M$8</f>
        <v>281313884.82528001</v>
      </c>
      <c r="U38" s="88"/>
    </row>
    <row r="39" spans="2:21" ht="13.8" hidden="1" thickBot="1">
      <c r="B39" s="77"/>
      <c r="C39" s="584"/>
      <c r="D39" s="584"/>
      <c r="E39" s="583"/>
      <c r="F39" s="583"/>
      <c r="G39" s="583"/>
      <c r="H39" s="583"/>
      <c r="I39" s="583"/>
      <c r="J39" s="583"/>
      <c r="K39" s="583"/>
      <c r="L39" s="583"/>
      <c r="M39" s="583"/>
      <c r="N39" s="583"/>
      <c r="Q39" s="652"/>
      <c r="R39" s="81">
        <v>37956</v>
      </c>
      <c r="S39" s="82">
        <f>N$8</f>
        <v>295245544.80391997</v>
      </c>
      <c r="U39" s="88"/>
    </row>
    <row r="40" spans="2:21" hidden="1">
      <c r="C40" s="585"/>
      <c r="D40" s="585"/>
      <c r="E40" s="585"/>
      <c r="F40" s="585"/>
      <c r="G40" s="585"/>
      <c r="H40" s="585"/>
      <c r="I40" s="585"/>
      <c r="J40" s="585"/>
      <c r="K40" s="585"/>
      <c r="L40" s="585"/>
      <c r="M40" s="585"/>
      <c r="N40" s="585"/>
      <c r="R40" s="81">
        <v>37987</v>
      </c>
      <c r="S40" s="80">
        <f>C$9</f>
        <v>318825772.38951999</v>
      </c>
      <c r="U40" s="88"/>
    </row>
    <row r="41" spans="2:21" hidden="1">
      <c r="B41" s="78" t="s">
        <v>40</v>
      </c>
      <c r="C41" s="78" t="s">
        <v>41</v>
      </c>
      <c r="R41" s="81">
        <v>38018</v>
      </c>
      <c r="S41" s="82">
        <f>D$9</f>
        <v>292561275.78360003</v>
      </c>
      <c r="U41" s="88"/>
    </row>
    <row r="42" spans="2:21" ht="13.8" hidden="1" thickBot="1">
      <c r="R42" s="81">
        <v>38047</v>
      </c>
      <c r="S42" s="82">
        <f>E$9</f>
        <v>304403355.98512</v>
      </c>
      <c r="U42" s="88"/>
    </row>
    <row r="43" spans="2:21" hidden="1">
      <c r="B43" s="83"/>
      <c r="C43" s="84" t="s">
        <v>3</v>
      </c>
      <c r="D43" s="84" t="s">
        <v>4</v>
      </c>
      <c r="E43" s="84" t="s">
        <v>5</v>
      </c>
      <c r="F43" s="84" t="s">
        <v>6</v>
      </c>
      <c r="G43" s="84" t="s">
        <v>7</v>
      </c>
      <c r="H43" s="84" t="s">
        <v>8</v>
      </c>
      <c r="I43" s="84" t="s">
        <v>9</v>
      </c>
      <c r="J43" s="84" t="s">
        <v>10</v>
      </c>
      <c r="K43" s="84" t="s">
        <v>11</v>
      </c>
      <c r="L43" s="84" t="s">
        <v>23</v>
      </c>
      <c r="M43" s="84" t="s">
        <v>12</v>
      </c>
      <c r="N43" s="84" t="s">
        <v>13</v>
      </c>
      <c r="O43" s="94"/>
      <c r="P43" s="85" t="s">
        <v>38</v>
      </c>
      <c r="R43" s="81">
        <v>38078</v>
      </c>
      <c r="S43" s="82">
        <f>F$9</f>
        <v>280729503.61992002</v>
      </c>
      <c r="U43" s="88"/>
    </row>
    <row r="44" spans="2:21" hidden="1">
      <c r="B44" s="87">
        <v>1996</v>
      </c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96">
        <f>SUM(C44,D44,E44,F44,G44,H44,I44,J44,K44,L44,M44,N44)</f>
        <v>0</v>
      </c>
      <c r="R44" s="81">
        <v>38108</v>
      </c>
      <c r="S44" s="82">
        <f>G$9</f>
        <v>284754157.46888</v>
      </c>
      <c r="U44" s="88"/>
    </row>
    <row r="45" spans="2:21" hidden="1">
      <c r="B45" s="87">
        <v>1997</v>
      </c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96">
        <f t="shared" ref="P45:P58" si="7">SUM(C45,D45,E45,F45,G45,H45,I45,J45,K45,L45,M45,N45)</f>
        <v>0</v>
      </c>
      <c r="R45" s="81">
        <v>38139</v>
      </c>
      <c r="S45" s="82">
        <f>H$9</f>
        <v>296130054.74768001</v>
      </c>
      <c r="U45" s="88"/>
    </row>
    <row r="46" spans="2:21" hidden="1">
      <c r="B46" s="87">
        <v>1998</v>
      </c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96">
        <f t="shared" si="7"/>
        <v>0</v>
      </c>
      <c r="R46" s="81">
        <v>38169</v>
      </c>
      <c r="S46" s="82">
        <f>I$9</f>
        <v>316526151.50408</v>
      </c>
      <c r="U46" s="88"/>
    </row>
    <row r="47" spans="2:21" hidden="1">
      <c r="B47" s="87">
        <v>1999</v>
      </c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 t="s">
        <v>0</v>
      </c>
      <c r="P47" s="96">
        <f t="shared" si="7"/>
        <v>0</v>
      </c>
      <c r="R47" s="81">
        <v>38200</v>
      </c>
      <c r="S47" s="82">
        <f>J$9</f>
        <v>311532144.03864002</v>
      </c>
      <c r="U47" s="88"/>
    </row>
    <row r="48" spans="2:21" hidden="1">
      <c r="B48" s="87">
        <v>2000</v>
      </c>
      <c r="C48" s="88">
        <v>271405879.26999998</v>
      </c>
      <c r="D48" s="88">
        <v>251319122.71000001</v>
      </c>
      <c r="E48" s="88">
        <v>255163881.71000001</v>
      </c>
      <c r="F48" s="88">
        <v>234763042.09</v>
      </c>
      <c r="G48" s="88">
        <v>246429144.09</v>
      </c>
      <c r="H48" s="88">
        <v>258995934.99000001</v>
      </c>
      <c r="I48" s="88">
        <v>260999916.84999999</v>
      </c>
      <c r="J48" s="88">
        <v>279617646.62</v>
      </c>
      <c r="K48" s="88">
        <v>252184877.06999999</v>
      </c>
      <c r="L48" s="88">
        <v>248021373.49000001</v>
      </c>
      <c r="M48" s="88">
        <v>257005725.66999999</v>
      </c>
      <c r="N48" s="88">
        <v>276618819.79000002</v>
      </c>
      <c r="O48" s="88"/>
      <c r="P48" s="96">
        <f t="shared" si="7"/>
        <v>3092525364.3500004</v>
      </c>
      <c r="Q48" s="652"/>
      <c r="R48" s="81">
        <v>38231</v>
      </c>
      <c r="S48" s="82">
        <f>K$9</f>
        <v>300510638.83407998</v>
      </c>
      <c r="U48" s="88"/>
    </row>
    <row r="49" spans="2:21" hidden="1">
      <c r="B49" s="87">
        <v>2001</v>
      </c>
      <c r="C49" s="88">
        <v>280005194.17000002</v>
      </c>
      <c r="D49" s="88">
        <v>254904378.22</v>
      </c>
      <c r="E49" s="88">
        <v>270166456.61000001</v>
      </c>
      <c r="F49" s="88">
        <v>240902768.28</v>
      </c>
      <c r="G49" s="88">
        <v>254115455.28</v>
      </c>
      <c r="H49" s="88">
        <v>279530567.69999999</v>
      </c>
      <c r="I49" s="88">
        <v>282532519.42000002</v>
      </c>
      <c r="J49" s="88">
        <v>308774331.13</v>
      </c>
      <c r="K49" s="88">
        <v>255268191.22999999</v>
      </c>
      <c r="L49" s="88">
        <v>261572164.22</v>
      </c>
      <c r="M49" s="88">
        <v>263163126.25999999</v>
      </c>
      <c r="N49" s="88">
        <v>271591245.92000002</v>
      </c>
      <c r="O49" s="88"/>
      <c r="P49" s="96">
        <f t="shared" si="7"/>
        <v>3222526398.4399996</v>
      </c>
      <c r="R49" s="81">
        <v>38261</v>
      </c>
      <c r="S49" s="82">
        <f>L$9</f>
        <v>288181524.40336001</v>
      </c>
      <c r="U49" s="88"/>
    </row>
    <row r="50" spans="2:21" hidden="1">
      <c r="B50" s="87">
        <v>2002</v>
      </c>
      <c r="C50" s="88">
        <v>283910156.67000002</v>
      </c>
      <c r="D50" s="88">
        <v>260779153.88999999</v>
      </c>
      <c r="E50" s="88">
        <v>280217774.42000002</v>
      </c>
      <c r="F50" s="88">
        <v>266433088.97</v>
      </c>
      <c r="G50" s="90">
        <v>267652999.52000001</v>
      </c>
      <c r="H50" s="86">
        <v>286072507.02999997</v>
      </c>
      <c r="I50" s="86">
        <v>310913290.41000003</v>
      </c>
      <c r="J50" s="86">
        <v>280273477.43000001</v>
      </c>
      <c r="K50" s="86">
        <v>285752339.38</v>
      </c>
      <c r="L50" s="86">
        <v>271568290.76999998</v>
      </c>
      <c r="M50" s="86">
        <v>275056340.70999998</v>
      </c>
      <c r="N50" s="86">
        <v>289773523.69</v>
      </c>
      <c r="O50" s="86"/>
      <c r="P50" s="96">
        <f t="shared" si="7"/>
        <v>3358402942.8900003</v>
      </c>
      <c r="R50" s="81">
        <v>38292</v>
      </c>
      <c r="S50" s="82">
        <f>M$9</f>
        <v>296760230.17967999</v>
      </c>
      <c r="U50" s="88"/>
    </row>
    <row r="51" spans="2:21" ht="13.8" hidden="1" thickBot="1">
      <c r="B51" s="87">
        <v>2003</v>
      </c>
      <c r="C51" s="86">
        <v>305338655.19999999</v>
      </c>
      <c r="D51" s="86">
        <v>277510496.31999999</v>
      </c>
      <c r="E51" s="86">
        <v>290309268.73000002</v>
      </c>
      <c r="F51" s="86">
        <v>266635828.06</v>
      </c>
      <c r="G51" s="86">
        <v>264733655.03</v>
      </c>
      <c r="H51" s="86">
        <v>283006998.26999998</v>
      </c>
      <c r="I51" s="86">
        <v>314627241.98000002</v>
      </c>
      <c r="J51" s="86">
        <v>294801517.24000001</v>
      </c>
      <c r="K51" s="86">
        <v>264029460.53999999</v>
      </c>
      <c r="L51" s="86">
        <v>270462883.31999999</v>
      </c>
      <c r="M51" s="86">
        <v>278404154.44999999</v>
      </c>
      <c r="N51" s="86">
        <v>292384290.36000001</v>
      </c>
      <c r="O51" s="86"/>
      <c r="P51" s="96">
        <f t="shared" si="7"/>
        <v>3402244449.5</v>
      </c>
      <c r="R51" s="81">
        <v>38322</v>
      </c>
      <c r="S51" s="82">
        <f>N$9</f>
        <v>315819545.97799999</v>
      </c>
      <c r="U51" s="88"/>
    </row>
    <row r="52" spans="2:21" hidden="1">
      <c r="B52" s="87">
        <v>2004</v>
      </c>
      <c r="C52" s="86">
        <v>317129665.79000002</v>
      </c>
      <c r="D52" s="86">
        <v>290061053.91000003</v>
      </c>
      <c r="E52" s="86">
        <v>302831344.69</v>
      </c>
      <c r="F52" s="86">
        <v>277707709.33999997</v>
      </c>
      <c r="G52" s="86">
        <v>281102622.68000001</v>
      </c>
      <c r="H52" s="86">
        <v>292963310.12</v>
      </c>
      <c r="I52" s="86">
        <v>313764679.04000002</v>
      </c>
      <c r="J52" s="86">
        <v>307715538.66000003</v>
      </c>
      <c r="K52" s="86">
        <v>297060971.88</v>
      </c>
      <c r="L52" s="86">
        <v>285828460.51999998</v>
      </c>
      <c r="M52" s="86">
        <v>294800940.32999998</v>
      </c>
      <c r="N52" s="86">
        <v>313080811.56</v>
      </c>
      <c r="O52" s="86"/>
      <c r="P52" s="96">
        <f t="shared" si="7"/>
        <v>3574047108.52</v>
      </c>
      <c r="R52" s="81">
        <v>38353</v>
      </c>
      <c r="S52" s="80">
        <f>C$10</f>
        <v>329967590.92255998</v>
      </c>
      <c r="U52" s="88"/>
    </row>
    <row r="53" spans="2:21" hidden="1">
      <c r="B53" s="87">
        <v>2005</v>
      </c>
      <c r="C53" s="86">
        <v>327222007.45999998</v>
      </c>
      <c r="D53" s="86">
        <v>291097761.55000001</v>
      </c>
      <c r="E53" s="86">
        <v>310804793.52999997</v>
      </c>
      <c r="F53" s="86">
        <v>283133548.98000002</v>
      </c>
      <c r="G53" s="86">
        <v>285018040.47000003</v>
      </c>
      <c r="H53" s="86">
        <v>352986823.50999999</v>
      </c>
      <c r="I53" s="86">
        <v>364113262.38</v>
      </c>
      <c r="J53" s="86">
        <v>357962088.97000003</v>
      </c>
      <c r="K53" s="86">
        <v>312337963.36000001</v>
      </c>
      <c r="L53" s="86">
        <v>303163842.30000001</v>
      </c>
      <c r="M53" s="86">
        <v>308764464.24000001</v>
      </c>
      <c r="N53" s="86">
        <v>327137292.5</v>
      </c>
      <c r="O53" s="86"/>
      <c r="P53" s="96">
        <f t="shared" si="7"/>
        <v>3823741889.250001</v>
      </c>
      <c r="R53" s="81">
        <v>38384</v>
      </c>
      <c r="S53" s="82">
        <f>D$10</f>
        <v>293588957.80200005</v>
      </c>
      <c r="U53" s="88"/>
    </row>
    <row r="54" spans="2:21" hidden="1">
      <c r="B54" s="87">
        <v>2006</v>
      </c>
      <c r="C54" s="86">
        <v>327327369.76999998</v>
      </c>
      <c r="D54" s="86">
        <v>303024446.44999999</v>
      </c>
      <c r="E54" s="86">
        <v>323209606.81999999</v>
      </c>
      <c r="F54" s="86">
        <v>286517517.85000002</v>
      </c>
      <c r="G54" s="86">
        <v>307050735.80000001</v>
      </c>
      <c r="H54" s="86">
        <v>331200474.20999998</v>
      </c>
      <c r="I54" s="86">
        <v>369605664.23000002</v>
      </c>
      <c r="J54" s="86">
        <v>353376860.55000001</v>
      </c>
      <c r="K54" s="86">
        <v>297508140.95999998</v>
      </c>
      <c r="L54" s="86">
        <v>307358957.77999997</v>
      </c>
      <c r="M54" s="86">
        <v>312944683.26999998</v>
      </c>
      <c r="N54" s="86">
        <v>315921008.67000002</v>
      </c>
      <c r="O54" s="86"/>
      <c r="P54" s="96">
        <f t="shared" si="7"/>
        <v>3835045466.3600001</v>
      </c>
      <c r="R54" s="81">
        <v>38412</v>
      </c>
      <c r="S54" s="82">
        <f>E$10</f>
        <v>313508513.50768</v>
      </c>
      <c r="U54" s="88"/>
    </row>
    <row r="55" spans="2:21" hidden="1">
      <c r="B55" s="87">
        <v>2007</v>
      </c>
      <c r="C55" s="86">
        <v>329927616.69999999</v>
      </c>
      <c r="D55" s="86">
        <v>316959169.51999998</v>
      </c>
      <c r="E55" s="86">
        <v>327378826.08999997</v>
      </c>
      <c r="F55" s="86">
        <v>299497811.80000001</v>
      </c>
      <c r="G55" s="86">
        <v>313930637.94999999</v>
      </c>
      <c r="H55" s="86">
        <v>350004119.72000003</v>
      </c>
      <c r="I55" s="86">
        <v>348220788.25</v>
      </c>
      <c r="J55" s="86">
        <v>360430014.33999997</v>
      </c>
      <c r="K55" s="86">
        <v>317191965.57999998</v>
      </c>
      <c r="L55" s="86">
        <v>315326087.23000002</v>
      </c>
      <c r="M55" s="86">
        <v>320808427.38</v>
      </c>
      <c r="N55" s="86">
        <v>330422265.83999997</v>
      </c>
      <c r="O55" s="86"/>
      <c r="P55" s="96">
        <f t="shared" si="7"/>
        <v>3930097730.4000001</v>
      </c>
      <c r="R55" s="81">
        <v>38443</v>
      </c>
      <c r="S55" s="82">
        <f>F$10</f>
        <v>285449755.92167997</v>
      </c>
      <c r="U55" s="88"/>
    </row>
    <row r="56" spans="2:21" hidden="1">
      <c r="B56" s="87">
        <v>2008</v>
      </c>
      <c r="C56" s="86">
        <v>342183781.94999999</v>
      </c>
      <c r="D56" s="86">
        <v>323932690.88999999</v>
      </c>
      <c r="E56" s="86">
        <v>328430366.52999997</v>
      </c>
      <c r="F56" s="86">
        <v>299833461.16000003</v>
      </c>
      <c r="G56" s="86">
        <v>298575480.20999998</v>
      </c>
      <c r="H56" s="86">
        <v>334121024.98000002</v>
      </c>
      <c r="I56" s="86">
        <v>362104562.55000001</v>
      </c>
      <c r="J56" s="86">
        <v>340333050.19</v>
      </c>
      <c r="K56" s="86">
        <v>316872980.92000002</v>
      </c>
      <c r="L56" s="86">
        <v>310151234.31999999</v>
      </c>
      <c r="M56" s="86">
        <v>313893311.92000002</v>
      </c>
      <c r="N56" s="86">
        <v>328849870.02999997</v>
      </c>
      <c r="O56" s="86"/>
      <c r="P56" s="96">
        <f t="shared" si="7"/>
        <v>3899281815.6500006</v>
      </c>
      <c r="R56" s="81">
        <v>38473</v>
      </c>
      <c r="S56" s="82">
        <f>G$10</f>
        <v>287810112.58807999</v>
      </c>
      <c r="U56" s="88"/>
    </row>
    <row r="57" spans="2:21" hidden="1">
      <c r="B57" s="87">
        <v>2009</v>
      </c>
      <c r="C57" s="86">
        <v>340406439.82999998</v>
      </c>
      <c r="D57" s="86">
        <v>298918364.66000003</v>
      </c>
      <c r="E57" s="86">
        <v>318223549.19</v>
      </c>
      <c r="F57" s="86">
        <v>288100491.24000001</v>
      </c>
      <c r="G57" s="86">
        <v>278922788.23000002</v>
      </c>
      <c r="H57" s="86">
        <v>301334656.95999998</v>
      </c>
      <c r="I57" s="86">
        <v>312307321.13</v>
      </c>
      <c r="J57" s="86">
        <v>342676951.69999999</v>
      </c>
      <c r="K57" s="86">
        <v>303859765.29000002</v>
      </c>
      <c r="L57" s="86">
        <v>306081465.73000002</v>
      </c>
      <c r="M57" s="86">
        <v>301607368.00999999</v>
      </c>
      <c r="N57" s="86">
        <v>331360158.26999998</v>
      </c>
      <c r="O57" s="86"/>
      <c r="P57" s="96">
        <f t="shared" si="7"/>
        <v>3723799320.2400002</v>
      </c>
      <c r="Q57" s="652"/>
      <c r="R57" s="81">
        <v>38504</v>
      </c>
      <c r="S57" s="82">
        <f>H10</f>
        <v>354566496.19744003</v>
      </c>
      <c r="U57" s="88"/>
    </row>
    <row r="58" spans="2:21" ht="13.8" hidden="1" thickBot="1">
      <c r="B58" s="91">
        <v>2010</v>
      </c>
      <c r="C58" s="98"/>
      <c r="D58" s="98"/>
      <c r="E58" s="98"/>
      <c r="F58" s="98"/>
      <c r="G58" s="98"/>
      <c r="H58" s="98"/>
      <c r="I58" s="98"/>
      <c r="J58" s="98"/>
      <c r="K58" s="98"/>
      <c r="L58" s="98"/>
      <c r="M58" s="98"/>
      <c r="N58" s="98"/>
      <c r="O58" s="98"/>
      <c r="P58" s="99">
        <f t="shared" si="7"/>
        <v>0</v>
      </c>
      <c r="R58" s="81">
        <v>38534</v>
      </c>
      <c r="S58" s="82">
        <f>I$10</f>
        <v>365920796.29247999</v>
      </c>
      <c r="U58" s="88"/>
    </row>
    <row r="59" spans="2:21" hidden="1">
      <c r="R59" s="81">
        <v>38565</v>
      </c>
      <c r="S59" s="82">
        <f>J$10</f>
        <v>358835198.94231999</v>
      </c>
      <c r="U59" s="88"/>
    </row>
    <row r="60" spans="2:21" hidden="1">
      <c r="P60" s="583"/>
      <c r="R60" s="81">
        <v>38596</v>
      </c>
      <c r="S60" s="82">
        <f>K$10</f>
        <v>314383693.67223996</v>
      </c>
      <c r="U60" s="88"/>
    </row>
    <row r="61" spans="2:21" hidden="1">
      <c r="R61" s="81">
        <v>38626</v>
      </c>
      <c r="S61" s="82">
        <f>L$10</f>
        <v>304341531.72799999</v>
      </c>
      <c r="U61" s="88"/>
    </row>
    <row r="62" spans="2:21" hidden="1">
      <c r="B62" s="78" t="s">
        <v>42</v>
      </c>
      <c r="R62" s="81">
        <v>38657</v>
      </c>
      <c r="S62" s="82">
        <f>M$10</f>
        <v>311009155.23224002</v>
      </c>
      <c r="U62" s="88"/>
    </row>
    <row r="63" spans="2:21" ht="13.8" hidden="1" thickBot="1">
      <c r="R63" s="81">
        <v>38687</v>
      </c>
      <c r="S63" s="82">
        <f>N$10</f>
        <v>329446542.45952004</v>
      </c>
      <c r="U63" s="88"/>
    </row>
    <row r="64" spans="2:21" hidden="1">
      <c r="B64" s="83"/>
      <c r="C64" s="84" t="s">
        <v>3</v>
      </c>
      <c r="D64" s="84" t="s">
        <v>4</v>
      </c>
      <c r="E64" s="84" t="s">
        <v>5</v>
      </c>
      <c r="F64" s="84" t="s">
        <v>6</v>
      </c>
      <c r="G64" s="84" t="s">
        <v>7</v>
      </c>
      <c r="H64" s="84" t="s">
        <v>8</v>
      </c>
      <c r="I64" s="84" t="s">
        <v>9</v>
      </c>
      <c r="J64" s="84" t="s">
        <v>10</v>
      </c>
      <c r="K64" s="84" t="s">
        <v>11</v>
      </c>
      <c r="L64" s="84" t="s">
        <v>23</v>
      </c>
      <c r="M64" s="84" t="s">
        <v>12</v>
      </c>
      <c r="N64" s="84" t="s">
        <v>13</v>
      </c>
      <c r="O64" s="94"/>
      <c r="P64" s="85" t="s">
        <v>38</v>
      </c>
      <c r="R64" s="81">
        <v>38718</v>
      </c>
      <c r="S64" s="80">
        <f>C$11</f>
        <v>329248076.85679996</v>
      </c>
      <c r="U64" s="88"/>
    </row>
    <row r="65" spans="2:21" hidden="1">
      <c r="B65" s="87">
        <v>1996</v>
      </c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96">
        <f>SUM(C65,D65,E65,F65,G65,H65,I65,J65,K65,L65,M65,N65)</f>
        <v>0</v>
      </c>
      <c r="R65" s="81">
        <v>38749</v>
      </c>
      <c r="S65" s="82">
        <f>D$11</f>
        <v>304825404.56072003</v>
      </c>
      <c r="U65" s="88"/>
    </row>
    <row r="66" spans="2:21" hidden="1">
      <c r="B66" s="87">
        <v>1997</v>
      </c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96">
        <f t="shared" ref="P66:P79" si="8">SUM(C66,D66,E66,F66,G66,H66,I66,J66,K66,L66,M66,N66)</f>
        <v>0</v>
      </c>
      <c r="Q66" s="652"/>
      <c r="R66" s="81">
        <v>38777</v>
      </c>
      <c r="S66" s="82">
        <f>E$11</f>
        <v>325241931.66935998</v>
      </c>
      <c r="U66" s="88"/>
    </row>
    <row r="67" spans="2:21" hidden="1">
      <c r="B67" s="87">
        <v>1998</v>
      </c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96">
        <f t="shared" si="8"/>
        <v>0</v>
      </c>
      <c r="R67" s="81">
        <v>38808</v>
      </c>
      <c r="S67" s="82">
        <f>F$11</f>
        <v>289070045.05703998</v>
      </c>
      <c r="U67" s="88"/>
    </row>
    <row r="68" spans="2:21" hidden="1">
      <c r="B68" s="87">
        <v>1999</v>
      </c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 t="s">
        <v>0</v>
      </c>
      <c r="P68" s="96">
        <f t="shared" si="8"/>
        <v>0</v>
      </c>
      <c r="R68" s="81">
        <v>38838</v>
      </c>
      <c r="S68" s="82">
        <f>G$11</f>
        <v>310032606.06352001</v>
      </c>
      <c r="U68" s="88"/>
    </row>
    <row r="69" spans="2:21" hidden="1">
      <c r="B69" s="87">
        <v>2000</v>
      </c>
      <c r="C69" s="88">
        <f t="shared" ref="C69:N69" si="9">C27-C48</f>
        <v>-105879.26999998093</v>
      </c>
      <c r="D69" s="88">
        <f t="shared" si="9"/>
        <v>80877.289999991655</v>
      </c>
      <c r="E69" s="88">
        <f t="shared" si="9"/>
        <v>-63881.710000008345</v>
      </c>
      <c r="F69" s="88">
        <f t="shared" si="9"/>
        <v>236957.90999999642</v>
      </c>
      <c r="G69" s="88">
        <f t="shared" si="9"/>
        <v>770855.90999999642</v>
      </c>
      <c r="H69" s="88">
        <f t="shared" si="9"/>
        <v>-95934.990000009537</v>
      </c>
      <c r="I69" s="88">
        <f t="shared" si="9"/>
        <v>400083.15000000596</v>
      </c>
      <c r="J69" s="88">
        <f t="shared" si="9"/>
        <v>382353.37999999523</v>
      </c>
      <c r="K69" s="88">
        <f t="shared" si="9"/>
        <v>-184877.06999999285</v>
      </c>
      <c r="L69" s="88">
        <f t="shared" si="9"/>
        <v>-221373.49000000954</v>
      </c>
      <c r="M69" s="88">
        <f t="shared" si="9"/>
        <v>-5725.669999986887</v>
      </c>
      <c r="N69" s="88">
        <f t="shared" si="9"/>
        <v>-18819.790000021458</v>
      </c>
      <c r="O69" s="88"/>
      <c r="P69" s="96">
        <f t="shared" si="8"/>
        <v>1174635.6499999762</v>
      </c>
      <c r="R69" s="81">
        <v>38869</v>
      </c>
      <c r="S69" s="82">
        <f>H$11</f>
        <v>333895801.36328</v>
      </c>
      <c r="U69" s="88"/>
    </row>
    <row r="70" spans="2:21" hidden="1">
      <c r="B70" s="87">
        <v>2001</v>
      </c>
      <c r="C70" s="88">
        <f t="shared" ref="C70:N70" si="10">C28-C49</f>
        <v>-5194.1700000166893</v>
      </c>
      <c r="D70" s="88">
        <f t="shared" si="10"/>
        <v>-4378.2199999988079</v>
      </c>
      <c r="E70" s="88">
        <f t="shared" si="10"/>
        <v>-366456.61000001431</v>
      </c>
      <c r="F70" s="88">
        <f t="shared" si="10"/>
        <v>297231.71999999881</v>
      </c>
      <c r="G70" s="88">
        <f t="shared" si="10"/>
        <v>-15455.280000001192</v>
      </c>
      <c r="H70" s="88">
        <f t="shared" si="10"/>
        <v>169432.30000001192</v>
      </c>
      <c r="I70" s="88">
        <f t="shared" si="10"/>
        <v>-32519.420000016689</v>
      </c>
      <c r="J70" s="88">
        <f t="shared" si="10"/>
        <v>-74331.129999995232</v>
      </c>
      <c r="K70" s="88">
        <f t="shared" si="10"/>
        <v>-68191.229999989271</v>
      </c>
      <c r="L70" s="88">
        <f t="shared" si="10"/>
        <v>-272164.21999999881</v>
      </c>
      <c r="M70" s="88">
        <f t="shared" si="10"/>
        <v>36873.740000009537</v>
      </c>
      <c r="N70" s="88">
        <f t="shared" si="10"/>
        <v>408754.07999998331</v>
      </c>
      <c r="O70" s="88"/>
      <c r="P70" s="96">
        <f t="shared" si="8"/>
        <v>73601.559999972582</v>
      </c>
      <c r="R70" s="81">
        <v>38899</v>
      </c>
      <c r="S70" s="82">
        <f>I$11</f>
        <v>371225703.04703999</v>
      </c>
      <c r="U70" s="88"/>
    </row>
    <row r="71" spans="2:21" hidden="1">
      <c r="B71" s="87">
        <v>2002</v>
      </c>
      <c r="C71" s="88">
        <f t="shared" ref="C71:N71" si="11">C29-C50</f>
        <v>489843.32999998331</v>
      </c>
      <c r="D71" s="88">
        <f t="shared" si="11"/>
        <v>220846.11000001431</v>
      </c>
      <c r="E71" s="88">
        <f t="shared" si="11"/>
        <v>-17774.420000016689</v>
      </c>
      <c r="F71" s="88">
        <f t="shared" si="11"/>
        <v>-33088.969999998808</v>
      </c>
      <c r="G71" s="88">
        <f t="shared" si="11"/>
        <v>-1960173.5200000107</v>
      </c>
      <c r="H71" s="88">
        <f t="shared" si="11"/>
        <v>-1117699.0299999714</v>
      </c>
      <c r="I71" s="88">
        <f t="shared" si="11"/>
        <v>23653698.589999974</v>
      </c>
      <c r="J71" s="88">
        <f t="shared" si="11"/>
        <v>40290904.569999993</v>
      </c>
      <c r="K71" s="88">
        <f t="shared" si="11"/>
        <v>1023945.6200000048</v>
      </c>
      <c r="L71" s="88">
        <f t="shared" si="11"/>
        <v>1175353.2300000191</v>
      </c>
      <c r="M71" s="88">
        <f t="shared" si="11"/>
        <v>992072.29000002146</v>
      </c>
      <c r="N71" s="88">
        <f t="shared" si="11"/>
        <v>1004950.3100000024</v>
      </c>
      <c r="O71" s="86"/>
      <c r="P71" s="96">
        <f t="shared" si="8"/>
        <v>65722878.110000014</v>
      </c>
      <c r="R71" s="81">
        <v>38930</v>
      </c>
      <c r="S71" s="82">
        <f>J$11</f>
        <v>353706210.33784002</v>
      </c>
      <c r="U71" s="88"/>
    </row>
    <row r="72" spans="2:21" hidden="1">
      <c r="B72" s="87">
        <v>2003</v>
      </c>
      <c r="C72" s="88">
        <f t="shared" ref="C72:N72" si="12">C30-C51</f>
        <v>1812523.8000000119</v>
      </c>
      <c r="D72" s="88">
        <f t="shared" si="12"/>
        <v>995905.68000000715</v>
      </c>
      <c r="E72" s="88">
        <f t="shared" si="12"/>
        <v>849450.26999998093</v>
      </c>
      <c r="F72" s="88">
        <f t="shared" si="12"/>
        <v>999939.93999999762</v>
      </c>
      <c r="G72" s="88">
        <f t="shared" si="12"/>
        <v>1000762.9699999988</v>
      </c>
      <c r="H72" s="88">
        <f t="shared" si="12"/>
        <v>974272.73000001907</v>
      </c>
      <c r="I72" s="88">
        <f t="shared" si="12"/>
        <v>1677068.0199999809</v>
      </c>
      <c r="J72" s="88">
        <f t="shared" si="12"/>
        <v>1113304.7599999905</v>
      </c>
      <c r="K72" s="88">
        <f t="shared" si="12"/>
        <v>1010895.4600000083</v>
      </c>
      <c r="L72" s="88">
        <f t="shared" si="12"/>
        <v>1045355.6800000072</v>
      </c>
      <c r="M72" s="88">
        <f t="shared" si="12"/>
        <v>1024576.5500000119</v>
      </c>
      <c r="N72" s="88">
        <f t="shared" si="12"/>
        <v>1070097.6399999857</v>
      </c>
      <c r="O72" s="86"/>
      <c r="P72" s="96">
        <f t="shared" si="8"/>
        <v>13574153.5</v>
      </c>
      <c r="R72" s="81">
        <v>38961</v>
      </c>
      <c r="S72" s="82">
        <f>K$11</f>
        <v>298103404.68008</v>
      </c>
      <c r="U72" s="88"/>
    </row>
    <row r="73" spans="2:21" hidden="1">
      <c r="B73" s="87">
        <v>2004</v>
      </c>
      <c r="C73" s="88">
        <f t="shared" ref="C73:N73" si="13">C31-C52</f>
        <v>1150544.2099999785</v>
      </c>
      <c r="D73" s="88">
        <f t="shared" si="13"/>
        <v>1070748.0899999738</v>
      </c>
      <c r="E73" s="88">
        <f t="shared" si="13"/>
        <v>1094834.3100000024</v>
      </c>
      <c r="F73" s="88">
        <f t="shared" si="13"/>
        <v>1013740.6600000262</v>
      </c>
      <c r="G73" s="88">
        <f t="shared" si="13"/>
        <v>1053154.3199999928</v>
      </c>
      <c r="H73" s="88">
        <f t="shared" si="13"/>
        <v>1100543.8799999952</v>
      </c>
      <c r="I73" s="88">
        <f t="shared" si="13"/>
        <v>687837.95999997854</v>
      </c>
      <c r="J73" s="88">
        <f t="shared" si="13"/>
        <v>1184507.3399999738</v>
      </c>
      <c r="K73" s="88">
        <f t="shared" si="13"/>
        <v>1169104.1200000048</v>
      </c>
      <c r="L73" s="88">
        <f t="shared" si="13"/>
        <v>1114229.4800000191</v>
      </c>
      <c r="M73" s="88">
        <f t="shared" si="13"/>
        <v>1076030.6700000167</v>
      </c>
      <c r="N73" s="88">
        <f t="shared" si="13"/>
        <v>1128336.4399999976</v>
      </c>
      <c r="O73" s="86"/>
      <c r="P73" s="96">
        <f t="shared" si="8"/>
        <v>12843611.479999959</v>
      </c>
      <c r="R73" s="81">
        <v>38991</v>
      </c>
      <c r="S73" s="82">
        <f>L$11</f>
        <v>307942170.88808</v>
      </c>
      <c r="U73" s="88"/>
    </row>
    <row r="74" spans="2:21" hidden="1">
      <c r="B74" s="87">
        <v>2005</v>
      </c>
      <c r="C74" s="88">
        <f t="shared" ref="C74:N74" si="14">C32-C53</f>
        <v>1326333.5400000215</v>
      </c>
      <c r="D74" s="88">
        <f t="shared" si="14"/>
        <v>1049060.4499999881</v>
      </c>
      <c r="E74" s="88">
        <f t="shared" si="14"/>
        <v>1124407.4700000286</v>
      </c>
      <c r="F74" s="88">
        <f t="shared" si="14"/>
        <v>1045954.0199999809</v>
      </c>
      <c r="G74" s="88">
        <f t="shared" si="14"/>
        <v>851115.52999997139</v>
      </c>
      <c r="H74" s="88">
        <f t="shared" si="14"/>
        <v>886808.49000000954</v>
      </c>
      <c r="I74" s="88">
        <f t="shared" si="14"/>
        <v>1159840.6200000048</v>
      </c>
      <c r="J74" s="88">
        <f t="shared" si="14"/>
        <v>834207.02999997139</v>
      </c>
      <c r="K74" s="88">
        <f t="shared" si="14"/>
        <v>286823.63999998569</v>
      </c>
      <c r="L74" s="88">
        <f t="shared" si="14"/>
        <v>500845.69999998808</v>
      </c>
      <c r="M74" s="88">
        <f t="shared" si="14"/>
        <v>400894.75999999046</v>
      </c>
      <c r="N74" s="88">
        <f t="shared" si="14"/>
        <v>430686.5</v>
      </c>
      <c r="O74" s="86"/>
      <c r="P74" s="96">
        <f t="shared" si="8"/>
        <v>9896977.7499999404</v>
      </c>
      <c r="R74" s="81">
        <v>39022</v>
      </c>
      <c r="S74" s="82">
        <f>M$11</f>
        <v>312999805.54064</v>
      </c>
      <c r="U74" s="88"/>
    </row>
    <row r="75" spans="2:21" ht="13.8" hidden="1" thickBot="1">
      <c r="B75" s="87">
        <v>2006</v>
      </c>
      <c r="C75" s="88">
        <f t="shared" ref="C75:N75" si="15">C33-C54</f>
        <v>197206.23000001907</v>
      </c>
      <c r="D75" s="88">
        <f t="shared" si="15"/>
        <v>174512.55000001192</v>
      </c>
      <c r="E75" s="88">
        <f t="shared" si="15"/>
        <v>431734.18000000715</v>
      </c>
      <c r="F75" s="88">
        <f t="shared" si="15"/>
        <v>519623.14999997616</v>
      </c>
      <c r="G75" s="88">
        <f t="shared" si="15"/>
        <v>663888.19999998808</v>
      </c>
      <c r="H75" s="88">
        <f t="shared" si="15"/>
        <v>674998.79000002146</v>
      </c>
      <c r="I75" s="88">
        <f t="shared" si="15"/>
        <v>832130.76999998093</v>
      </c>
      <c r="J75" s="88">
        <f t="shared" si="15"/>
        <v>429448.44999998808</v>
      </c>
      <c r="K75" s="88">
        <f t="shared" si="15"/>
        <v>341176.04000002146</v>
      </c>
      <c r="L75" s="88">
        <f t="shared" si="15"/>
        <v>380345.22000002861</v>
      </c>
      <c r="M75" s="88">
        <f t="shared" si="15"/>
        <v>446316.73000001907</v>
      </c>
      <c r="N75" s="88">
        <f t="shared" si="15"/>
        <v>432264.32999998331</v>
      </c>
      <c r="O75" s="86"/>
      <c r="P75" s="96">
        <f t="shared" si="8"/>
        <v>5523644.6400000453</v>
      </c>
      <c r="R75" s="81">
        <v>39052</v>
      </c>
      <c r="S75" s="82">
        <f>N$11</f>
        <v>317982953.65599346</v>
      </c>
      <c r="U75" s="88"/>
    </row>
    <row r="76" spans="2:21" hidden="1">
      <c r="B76" s="87">
        <v>2007</v>
      </c>
      <c r="C76" s="88">
        <f t="shared" ref="C76:N76" si="16">C34-C55</f>
        <v>644113.30000001192</v>
      </c>
      <c r="D76" s="88">
        <f t="shared" si="16"/>
        <v>836223.48000001907</v>
      </c>
      <c r="E76" s="88">
        <f t="shared" si="16"/>
        <v>848033.91000002623</v>
      </c>
      <c r="F76" s="88">
        <f t="shared" si="16"/>
        <v>702923.19999998808</v>
      </c>
      <c r="G76" s="88">
        <f t="shared" si="16"/>
        <v>850221.05000001192</v>
      </c>
      <c r="H76" s="88">
        <f t="shared" si="16"/>
        <v>970985.27999997139</v>
      </c>
      <c r="I76" s="88">
        <f t="shared" si="16"/>
        <v>959385.75</v>
      </c>
      <c r="J76" s="88">
        <f t="shared" si="16"/>
        <v>1021885.6600000262</v>
      </c>
      <c r="K76" s="88">
        <f t="shared" si="16"/>
        <v>946134.42000001669</v>
      </c>
      <c r="L76" s="88">
        <f t="shared" si="16"/>
        <v>1027049.7699999809</v>
      </c>
      <c r="M76" s="88">
        <f t="shared" si="16"/>
        <v>1036878.6200000048</v>
      </c>
      <c r="N76" s="88">
        <f t="shared" si="16"/>
        <v>1031337.1600000262</v>
      </c>
      <c r="O76" s="86"/>
      <c r="P76" s="96">
        <f t="shared" si="8"/>
        <v>10875171.600000083</v>
      </c>
      <c r="R76" s="81">
        <v>39083</v>
      </c>
      <c r="S76" s="80">
        <f>C$12</f>
        <v>332533627.73552001</v>
      </c>
      <c r="U76" s="88"/>
    </row>
    <row r="77" spans="2:21" hidden="1">
      <c r="B77" s="87">
        <v>2008</v>
      </c>
      <c r="C77" s="88">
        <f t="shared" ref="C77:N77" si="17">C35-C56</f>
        <v>1069052.0500000119</v>
      </c>
      <c r="D77" s="88">
        <f t="shared" si="17"/>
        <v>1002548.1100000143</v>
      </c>
      <c r="E77" s="88">
        <f t="shared" si="17"/>
        <v>1005175.4700000286</v>
      </c>
      <c r="F77" s="88">
        <f t="shared" si="17"/>
        <v>1381054.8399999738</v>
      </c>
      <c r="G77" s="88">
        <f t="shared" si="17"/>
        <v>892544.79000002146</v>
      </c>
      <c r="H77" s="88">
        <f t="shared" si="17"/>
        <v>1093657.0199999809</v>
      </c>
      <c r="I77" s="88">
        <f t="shared" si="17"/>
        <v>1171041.4499999881</v>
      </c>
      <c r="J77" s="88">
        <f t="shared" si="17"/>
        <v>1079978.8100000024</v>
      </c>
      <c r="K77" s="88">
        <f t="shared" si="17"/>
        <v>1006926.0799999833</v>
      </c>
      <c r="L77" s="88">
        <f t="shared" si="17"/>
        <v>957607.68000000715</v>
      </c>
      <c r="M77" s="88">
        <f t="shared" si="17"/>
        <v>952652.07999998331</v>
      </c>
      <c r="N77" s="88">
        <f t="shared" si="17"/>
        <v>990957.97000002861</v>
      </c>
      <c r="O77" s="86"/>
      <c r="P77" s="96">
        <f t="shared" si="8"/>
        <v>12603196.350000024</v>
      </c>
      <c r="R77" s="81">
        <v>39114</v>
      </c>
      <c r="S77" s="82">
        <f>D$12</f>
        <v>318174492.26888001</v>
      </c>
      <c r="U77" s="88"/>
    </row>
    <row r="78" spans="2:21" hidden="1">
      <c r="B78" s="87">
        <v>2009</v>
      </c>
      <c r="C78" s="88">
        <f>C36-C57</f>
        <v>1042180.1700000167</v>
      </c>
      <c r="D78" s="88">
        <f t="shared" ref="D78:M78" si="18">D36-D57</f>
        <v>932910.33999997377</v>
      </c>
      <c r="E78" s="88">
        <f t="shared" si="18"/>
        <v>989521.81000000238</v>
      </c>
      <c r="F78" s="88">
        <f t="shared" si="18"/>
        <v>890118.75999999046</v>
      </c>
      <c r="G78" s="88">
        <f t="shared" si="18"/>
        <v>909304.76999998093</v>
      </c>
      <c r="H78" s="88">
        <f t="shared" si="18"/>
        <v>978399.04000002146</v>
      </c>
      <c r="I78" s="88">
        <f t="shared" si="18"/>
        <v>1003506.8700000048</v>
      </c>
      <c r="J78" s="88">
        <f t="shared" si="18"/>
        <v>1115745.3000000119</v>
      </c>
      <c r="K78" s="88">
        <f t="shared" si="18"/>
        <v>976434.70999997854</v>
      </c>
      <c r="L78" s="88">
        <f t="shared" si="18"/>
        <v>967756.26999998093</v>
      </c>
      <c r="M78" s="88">
        <f t="shared" si="18"/>
        <v>971910.99000000954</v>
      </c>
      <c r="N78" s="88">
        <f>N36-N57</f>
        <v>1046816.7300000191</v>
      </c>
      <c r="O78" s="86"/>
      <c r="P78" s="96">
        <f>SUM(C78,D78,E78,F78,G78,H78,I78,J78,K78,L78,M78,N78)</f>
        <v>11824605.75999999</v>
      </c>
      <c r="R78" s="81">
        <v>39142</v>
      </c>
      <c r="S78" s="82">
        <f>E$12</f>
        <v>330329410.74735999</v>
      </c>
      <c r="U78" s="88"/>
    </row>
    <row r="79" spans="2:21" ht="13.8" hidden="1" thickBot="1">
      <c r="B79" s="91">
        <v>2010</v>
      </c>
      <c r="C79" s="98"/>
      <c r="D79" s="98"/>
      <c r="E79" s="98"/>
      <c r="F79" s="98"/>
      <c r="G79" s="98"/>
      <c r="H79" s="98"/>
      <c r="I79" s="98"/>
      <c r="J79" s="98"/>
      <c r="K79" s="98"/>
      <c r="L79" s="98"/>
      <c r="M79" s="98"/>
      <c r="N79" s="98"/>
      <c r="O79" s="98"/>
      <c r="P79" s="99">
        <f t="shared" si="8"/>
        <v>0</v>
      </c>
      <c r="R79" s="81">
        <v>39173</v>
      </c>
      <c r="S79" s="82">
        <f>F$12</f>
        <v>301193988.05048001</v>
      </c>
      <c r="U79" s="88"/>
    </row>
    <row r="80" spans="2:21" hidden="1">
      <c r="R80" s="81">
        <v>39203</v>
      </c>
      <c r="S80" s="82">
        <f>G$12</f>
        <v>313881665.17031997</v>
      </c>
      <c r="U80" s="88"/>
    </row>
    <row r="81" spans="2:21" hidden="1">
      <c r="B81" s="77"/>
      <c r="R81" s="81">
        <v>39234</v>
      </c>
      <c r="S81" s="82">
        <f>H$12</f>
        <v>352305947.40079999</v>
      </c>
      <c r="U81" s="88"/>
    </row>
    <row r="82" spans="2:21" ht="13.8" hidden="1" thickBot="1">
      <c r="R82" s="81">
        <v>39264</v>
      </c>
      <c r="S82" s="82">
        <f>I$12</f>
        <v>350987926.23040003</v>
      </c>
      <c r="U82" s="88"/>
    </row>
    <row r="83" spans="2:21" hidden="1">
      <c r="B83" s="83"/>
      <c r="C83" s="84" t="s">
        <v>3</v>
      </c>
      <c r="D83" s="84" t="s">
        <v>4</v>
      </c>
      <c r="E83" s="84" t="s">
        <v>5</v>
      </c>
      <c r="F83" s="84" t="s">
        <v>6</v>
      </c>
      <c r="G83" s="84" t="s">
        <v>7</v>
      </c>
      <c r="H83" s="84" t="s">
        <v>8</v>
      </c>
      <c r="I83" s="84" t="s">
        <v>9</v>
      </c>
      <c r="J83" s="84" t="s">
        <v>10</v>
      </c>
      <c r="K83" s="84" t="s">
        <v>11</v>
      </c>
      <c r="L83" s="84" t="s">
        <v>23</v>
      </c>
      <c r="M83" s="84" t="s">
        <v>12</v>
      </c>
      <c r="N83" s="85" t="s">
        <v>13</v>
      </c>
      <c r="R83" s="81">
        <v>39295</v>
      </c>
      <c r="S83" s="82">
        <f>J$12</f>
        <v>363680290.54207999</v>
      </c>
      <c r="U83" s="88"/>
    </row>
    <row r="84" spans="2:21" hidden="1">
      <c r="B84" s="87">
        <v>1996</v>
      </c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9"/>
      <c r="R84" s="81">
        <v>39326</v>
      </c>
      <c r="S84" s="82">
        <f>K$12</f>
        <v>320412435.58792001</v>
      </c>
      <c r="U84" s="88"/>
    </row>
    <row r="85" spans="2:21" hidden="1">
      <c r="B85" s="87">
        <v>1997</v>
      </c>
      <c r="C85" s="100"/>
      <c r="D85" s="100"/>
      <c r="E85" s="100"/>
      <c r="F85" s="100"/>
      <c r="G85" s="100"/>
      <c r="H85" s="100"/>
      <c r="I85" s="100"/>
      <c r="J85" s="100"/>
      <c r="K85" s="100"/>
      <c r="L85" s="100"/>
      <c r="M85" s="100"/>
      <c r="N85" s="101"/>
      <c r="R85" s="81">
        <v>39356</v>
      </c>
      <c r="S85" s="82">
        <f>L$12</f>
        <v>318245128.16911995</v>
      </c>
      <c r="U85" s="88"/>
    </row>
    <row r="86" spans="2:21" hidden="1">
      <c r="B86" s="87">
        <v>1998</v>
      </c>
      <c r="C86" s="100"/>
      <c r="D86" s="100"/>
      <c r="E86" s="100"/>
      <c r="F86" s="100"/>
      <c r="G86" s="100"/>
      <c r="H86" s="100"/>
      <c r="I86" s="100"/>
      <c r="J86" s="100"/>
      <c r="K86" s="100"/>
      <c r="L86" s="100"/>
      <c r="M86" s="100"/>
      <c r="N86" s="101"/>
      <c r="R86" s="81">
        <v>39387</v>
      </c>
      <c r="S86" s="82">
        <f>M$12</f>
        <v>323515779.22904003</v>
      </c>
      <c r="U86" s="88"/>
    </row>
    <row r="87" spans="2:21" ht="13.8" hidden="1" thickBot="1">
      <c r="B87" s="87">
        <v>1999</v>
      </c>
      <c r="C87" s="100"/>
      <c r="D87" s="100"/>
      <c r="E87" s="100"/>
      <c r="F87" s="100"/>
      <c r="G87" s="100"/>
      <c r="H87" s="100"/>
      <c r="I87" s="100"/>
      <c r="J87" s="100"/>
      <c r="K87" s="100"/>
      <c r="L87" s="100"/>
      <c r="M87" s="100"/>
      <c r="N87" s="101"/>
      <c r="R87" s="81">
        <v>39417</v>
      </c>
      <c r="S87" s="82">
        <f>N$12</f>
        <v>333331076.53263998</v>
      </c>
      <c r="U87" s="88"/>
    </row>
    <row r="88" spans="2:21" hidden="1">
      <c r="B88" s="87">
        <v>2000</v>
      </c>
      <c r="C88" s="332">
        <f t="shared" ref="C88:N88" si="19">+C69/C27</f>
        <v>-3.9026638407659757E-4</v>
      </c>
      <c r="D88" s="332">
        <f t="shared" si="19"/>
        <v>3.2170759745422299E-4</v>
      </c>
      <c r="E88" s="332">
        <f t="shared" si="19"/>
        <v>-2.5041830654648511E-4</v>
      </c>
      <c r="F88" s="332">
        <f t="shared" si="19"/>
        <v>1.0083315319148784E-3</v>
      </c>
      <c r="G88" s="332">
        <f t="shared" si="19"/>
        <v>3.1183491504854226E-3</v>
      </c>
      <c r="H88" s="332">
        <f t="shared" si="19"/>
        <v>-3.7054843568949225E-4</v>
      </c>
      <c r="I88" s="332">
        <f t="shared" si="19"/>
        <v>1.5305399770466947E-3</v>
      </c>
      <c r="J88" s="332">
        <f t="shared" si="19"/>
        <v>1.3655477857142688E-3</v>
      </c>
      <c r="K88" s="332">
        <f t="shared" si="19"/>
        <v>-7.336391666666383E-4</v>
      </c>
      <c r="L88" s="332">
        <f t="shared" si="19"/>
        <v>-8.9335548829705218E-4</v>
      </c>
      <c r="M88" s="332">
        <f t="shared" si="19"/>
        <v>-2.2278871595279717E-5</v>
      </c>
      <c r="N88" s="333">
        <f t="shared" si="19"/>
        <v>-6.8039732465731951E-5</v>
      </c>
      <c r="R88" s="81">
        <v>39448</v>
      </c>
      <c r="S88" s="80">
        <f>C$13</f>
        <v>344575662.39160001</v>
      </c>
      <c r="U88" s="88"/>
    </row>
    <row r="89" spans="2:21" hidden="1">
      <c r="B89" s="87">
        <v>2001</v>
      </c>
      <c r="C89" s="332">
        <f t="shared" ref="C89:N89" si="20">+C70/C28</f>
        <v>-1.8550607142916746E-5</v>
      </c>
      <c r="D89" s="332">
        <f t="shared" si="20"/>
        <v>-1.7176225970964332E-5</v>
      </c>
      <c r="E89" s="332">
        <f t="shared" si="20"/>
        <v>-1.3582528169014615E-3</v>
      </c>
      <c r="F89" s="332">
        <f t="shared" si="20"/>
        <v>1.2323039800994976E-3</v>
      </c>
      <c r="G89" s="332">
        <f t="shared" si="20"/>
        <v>-6.0823612750890172E-5</v>
      </c>
      <c r="H89" s="332">
        <f t="shared" si="20"/>
        <v>6.05764390418348E-4</v>
      </c>
      <c r="I89" s="332">
        <f t="shared" si="20"/>
        <v>-1.1511299115050155E-4</v>
      </c>
      <c r="J89" s="332">
        <f t="shared" si="20"/>
        <v>-2.4078759313247565E-4</v>
      </c>
      <c r="K89" s="332">
        <f t="shared" si="20"/>
        <v>-2.6720701410654101E-4</v>
      </c>
      <c r="L89" s="332">
        <f t="shared" si="20"/>
        <v>-1.0415775736701063E-3</v>
      </c>
      <c r="M89" s="332">
        <f t="shared" si="20"/>
        <v>1.4009779635261983E-4</v>
      </c>
      <c r="N89" s="333">
        <f t="shared" si="20"/>
        <v>1.502772352941115E-3</v>
      </c>
      <c r="R89" s="81">
        <v>39479</v>
      </c>
      <c r="S89" s="82">
        <f>D$13</f>
        <v>326113371.71056002</v>
      </c>
      <c r="U89" s="88"/>
    </row>
    <row r="90" spans="2:21" hidden="1">
      <c r="B90" s="87">
        <v>2002</v>
      </c>
      <c r="C90" s="332">
        <f t="shared" ref="C90:N90" si="21">+C71/C29</f>
        <v>1.722374578059013E-3</v>
      </c>
      <c r="D90" s="332">
        <f t="shared" si="21"/>
        <v>8.461536781609743E-4</v>
      </c>
      <c r="E90" s="332">
        <f t="shared" si="21"/>
        <v>-6.3434760885141653E-5</v>
      </c>
      <c r="F90" s="332">
        <f t="shared" si="21"/>
        <v>-1.2420784534534086E-4</v>
      </c>
      <c r="G90" s="334">
        <f t="shared" si="21"/>
        <v>-7.3775929501386341E-3</v>
      </c>
      <c r="H90" s="334">
        <f t="shared" si="21"/>
        <v>-3.9223729469410155E-3</v>
      </c>
      <c r="I90" s="334">
        <f t="shared" si="21"/>
        <v>7.0699439477574913E-2</v>
      </c>
      <c r="J90" s="334">
        <f t="shared" si="21"/>
        <v>0.12568740269466366</v>
      </c>
      <c r="K90" s="100">
        <f t="shared" si="21"/>
        <v>3.5705379892204295E-3</v>
      </c>
      <c r="L90" s="100">
        <f t="shared" si="21"/>
        <v>4.3093698271480857E-3</v>
      </c>
      <c r="M90" s="100">
        <f t="shared" si="21"/>
        <v>3.5938344264273003E-3</v>
      </c>
      <c r="N90" s="101">
        <f t="shared" si="21"/>
        <v>3.4560684502388658E-3</v>
      </c>
      <c r="R90" s="81">
        <v>39508</v>
      </c>
      <c r="S90" s="82">
        <f>E$13</f>
        <v>331077485.06296003</v>
      </c>
      <c r="U90" s="88"/>
    </row>
    <row r="91" spans="2:21" hidden="1">
      <c r="B91" s="87">
        <v>2003</v>
      </c>
      <c r="C91" s="100">
        <f t="shared" ref="C91:N91" si="22">+C72/C30</f>
        <v>5.9010803927274256E-3</v>
      </c>
      <c r="D91" s="100">
        <f t="shared" si="22"/>
        <v>3.5758807440268723E-3</v>
      </c>
      <c r="E91" s="100">
        <f t="shared" si="22"/>
        <v>2.9174818220023182E-3</v>
      </c>
      <c r="F91" s="100">
        <f t="shared" si="22"/>
        <v>3.7361969495796152E-3</v>
      </c>
      <c r="G91" s="100">
        <f t="shared" si="22"/>
        <v>3.7660269133823637E-3</v>
      </c>
      <c r="H91" s="102">
        <f t="shared" si="22"/>
        <v>3.4307640309139227E-3</v>
      </c>
      <c r="I91" s="100">
        <f t="shared" si="22"/>
        <v>5.3020713502132831E-3</v>
      </c>
      <c r="J91" s="100">
        <f t="shared" si="22"/>
        <v>3.7622473672508047E-3</v>
      </c>
      <c r="K91" s="100">
        <f t="shared" si="22"/>
        <v>3.8141190091067049E-3</v>
      </c>
      <c r="L91" s="100">
        <f t="shared" si="22"/>
        <v>3.8501803254670556E-3</v>
      </c>
      <c r="M91" s="100">
        <f t="shared" si="22"/>
        <v>3.6666829009791837E-3</v>
      </c>
      <c r="N91" s="101">
        <f t="shared" si="22"/>
        <v>3.6465552527365367E-3</v>
      </c>
      <c r="R91" s="81">
        <v>39539</v>
      </c>
      <c r="S91" s="82">
        <f>F$13</f>
        <v>303230329.28384</v>
      </c>
      <c r="U91" s="88"/>
    </row>
    <row r="92" spans="2:21" hidden="1">
      <c r="B92" s="87">
        <v>2004</v>
      </c>
      <c r="C92" s="100">
        <f t="shared" ref="C92:N92" si="23">+C73/C31</f>
        <v>3.6148782546045781E-3</v>
      </c>
      <c r="D92" s="100">
        <f t="shared" si="23"/>
        <v>3.6778808864033814E-3</v>
      </c>
      <c r="E92" s="100">
        <f t="shared" si="23"/>
        <v>3.6023034067098328E-3</v>
      </c>
      <c r="F92" s="100">
        <f t="shared" si="23"/>
        <v>3.6371103121056029E-3</v>
      </c>
      <c r="G92" s="100">
        <f t="shared" si="23"/>
        <v>3.7325279361549021E-3</v>
      </c>
      <c r="H92" s="100">
        <f t="shared" si="23"/>
        <v>3.7425336879383865E-3</v>
      </c>
      <c r="I92" s="100">
        <f t="shared" si="23"/>
        <v>2.1874143879089336E-3</v>
      </c>
      <c r="J92" s="102">
        <f t="shared" si="23"/>
        <v>3.834597486592714E-3</v>
      </c>
      <c r="K92" s="100">
        <f t="shared" si="23"/>
        <v>3.9201415755264228E-3</v>
      </c>
      <c r="L92" s="100">
        <f t="shared" si="23"/>
        <v>3.8831080868448648E-3</v>
      </c>
      <c r="M92" s="100">
        <f t="shared" si="23"/>
        <v>3.636750323498535E-3</v>
      </c>
      <c r="N92" s="101">
        <f t="shared" si="23"/>
        <v>3.5910362482507912E-3</v>
      </c>
      <c r="R92" s="81">
        <v>39569</v>
      </c>
      <c r="S92" s="82">
        <f>G$13</f>
        <v>301056523.36776</v>
      </c>
      <c r="U92" s="88"/>
    </row>
    <row r="93" spans="2:21" hidden="1">
      <c r="B93" s="87">
        <v>2005</v>
      </c>
      <c r="C93" s="100">
        <f t="shared" ref="C93:N93" si="24">+C74/C32</f>
        <v>4.0369509581545003E-3</v>
      </c>
      <c r="D93" s="100">
        <f t="shared" si="24"/>
        <v>3.5908672318194449E-3</v>
      </c>
      <c r="E93" s="100">
        <f t="shared" si="24"/>
        <v>3.6046880715089854E-3</v>
      </c>
      <c r="F93" s="100">
        <f t="shared" si="24"/>
        <v>3.680610350001143E-3</v>
      </c>
      <c r="G93" s="100">
        <f t="shared" si="24"/>
        <v>2.9772905265791298E-3</v>
      </c>
      <c r="H93" s="100">
        <f t="shared" si="24"/>
        <v>2.5060033012010612E-3</v>
      </c>
      <c r="I93" s="100">
        <f t="shared" si="24"/>
        <v>3.1752697104555348E-3</v>
      </c>
      <c r="J93" s="100">
        <f t="shared" si="24"/>
        <v>2.3250157242425138E-3</v>
      </c>
      <c r="K93" s="100">
        <f t="shared" si="24"/>
        <v>9.1746928563276621E-4</v>
      </c>
      <c r="L93" s="100">
        <f t="shared" si="24"/>
        <v>1.6493379697806289E-3</v>
      </c>
      <c r="M93" s="102">
        <f t="shared" si="24"/>
        <v>1.2967001260965672E-3</v>
      </c>
      <c r="N93" s="101">
        <f t="shared" si="24"/>
        <v>1.3148003700325056E-3</v>
      </c>
      <c r="R93" s="81">
        <v>39600</v>
      </c>
      <c r="S93" s="82">
        <f>H$13</f>
        <v>334428490.42672002</v>
      </c>
      <c r="U93" s="88"/>
    </row>
    <row r="94" spans="2:21" hidden="1">
      <c r="B94" s="87">
        <v>2006</v>
      </c>
      <c r="C94" s="100">
        <f t="shared" ref="C94:N94" si="25">+C75/C33</f>
        <v>6.0211124431779766E-4</v>
      </c>
      <c r="D94" s="100">
        <f t="shared" si="25"/>
        <v>5.755710724587677E-4</v>
      </c>
      <c r="E94" s="100">
        <f t="shared" si="25"/>
        <v>1.3339895906561801E-3</v>
      </c>
      <c r="F94" s="100">
        <f t="shared" si="25"/>
        <v>1.8102993507727843E-3</v>
      </c>
      <c r="G94" s="100">
        <f t="shared" si="25"/>
        <v>2.1574801722780263E-3</v>
      </c>
      <c r="H94" s="100">
        <f t="shared" si="25"/>
        <v>2.0338917603592282E-3</v>
      </c>
      <c r="I94" s="100">
        <f t="shared" si="25"/>
        <v>2.2463441399114821E-3</v>
      </c>
      <c r="J94" s="100">
        <f t="shared" si="25"/>
        <v>1.2137953424679832E-3</v>
      </c>
      <c r="K94" s="100">
        <f t="shared" si="25"/>
        <v>1.1454652420774948E-3</v>
      </c>
      <c r="L94" s="100">
        <f t="shared" si="25"/>
        <v>1.2359331950525299E-3</v>
      </c>
      <c r="M94" s="100">
        <f t="shared" si="25"/>
        <v>1.4241529909921442E-3</v>
      </c>
      <c r="N94" s="101">
        <f t="shared" si="25"/>
        <v>1.3663975273617078E-3</v>
      </c>
      <c r="R94" s="81">
        <v>39630</v>
      </c>
      <c r="S94" s="82">
        <f>I$13</f>
        <v>363118366.56239998</v>
      </c>
      <c r="U94" s="88"/>
    </row>
    <row r="95" spans="2:21" hidden="1">
      <c r="B95" s="87">
        <v>2007</v>
      </c>
      <c r="C95" s="102">
        <f t="shared" ref="C95:N95" si="26">+C76/C34</f>
        <v>1.9484827090326567E-3</v>
      </c>
      <c r="D95" s="100">
        <f t="shared" si="26"/>
        <v>2.6313266284512158E-3</v>
      </c>
      <c r="E95" s="100">
        <f t="shared" si="26"/>
        <v>2.583682243433783E-3</v>
      </c>
      <c r="F95" s="100">
        <f t="shared" si="26"/>
        <v>2.341510589572634E-3</v>
      </c>
      <c r="G95" s="100">
        <f t="shared" si="26"/>
        <v>2.7009934870277862E-3</v>
      </c>
      <c r="H95" s="100">
        <f t="shared" si="26"/>
        <v>2.7665360481905731E-3</v>
      </c>
      <c r="I95" s="100">
        <f t="shared" si="26"/>
        <v>2.747537865652132E-3</v>
      </c>
      <c r="J95" s="100">
        <f t="shared" si="26"/>
        <v>2.8271691475408658E-3</v>
      </c>
      <c r="K95" s="100">
        <f t="shared" si="26"/>
        <v>2.9739739440199607E-3</v>
      </c>
      <c r="L95" s="100">
        <f t="shared" si="26"/>
        <v>3.2465294314435104E-3</v>
      </c>
      <c r="M95" s="100">
        <f t="shared" si="26"/>
        <v>3.2216676790681694E-3</v>
      </c>
      <c r="N95" s="101">
        <f t="shared" si="26"/>
        <v>3.1115581507195934E-3</v>
      </c>
      <c r="R95" s="81">
        <v>39661</v>
      </c>
      <c r="S95" s="82">
        <f>J$13</f>
        <v>341326026.458</v>
      </c>
      <c r="U95" s="88"/>
    </row>
    <row r="96" spans="2:21" hidden="1">
      <c r="B96" s="87">
        <v>2008</v>
      </c>
      <c r="C96" s="100">
        <f t="shared" ref="C96:N96" si="27">+C77/C35</f>
        <v>3.1144740672410937E-3</v>
      </c>
      <c r="D96" s="100">
        <f t="shared" si="27"/>
        <v>3.0853782220894E-3</v>
      </c>
      <c r="E96" s="100">
        <f t="shared" si="27"/>
        <v>3.0512052946613413E-3</v>
      </c>
      <c r="F96" s="100">
        <f t="shared" si="27"/>
        <v>4.5849544648106332E-3</v>
      </c>
      <c r="G96" s="100">
        <f t="shared" si="27"/>
        <v>2.980434355220466E-3</v>
      </c>
      <c r="H96" s="100">
        <f t="shared" si="27"/>
        <v>3.2625570379998478E-3</v>
      </c>
      <c r="I96" s="100">
        <f t="shared" si="27"/>
        <v>3.2235620479485545E-3</v>
      </c>
      <c r="J96" s="100">
        <f t="shared" si="27"/>
        <v>3.1632618507948106E-3</v>
      </c>
      <c r="K96" s="100">
        <f t="shared" si="27"/>
        <v>3.1676304724726854E-3</v>
      </c>
      <c r="L96" s="100">
        <f t="shared" si="27"/>
        <v>3.0780471356709532E-3</v>
      </c>
      <c r="M96" s="100">
        <f t="shared" si="27"/>
        <v>3.0257719295394346E-3</v>
      </c>
      <c r="N96" s="101">
        <f t="shared" si="27"/>
        <v>3.0043520567442565E-3</v>
      </c>
      <c r="R96" s="81">
        <v>39692</v>
      </c>
      <c r="S96" s="82">
        <f>K$13</f>
        <v>317499537.95280004</v>
      </c>
      <c r="U96" s="88"/>
    </row>
    <row r="97" spans="2:21" hidden="1">
      <c r="B97" s="87">
        <v>2009</v>
      </c>
      <c r="C97" s="100">
        <f>+C78/C36</f>
        <v>3.0522313137479268E-3</v>
      </c>
      <c r="D97" s="100">
        <f t="shared" ref="D97:N97" si="28">+D78/D36</f>
        <v>3.1112435323143906E-3</v>
      </c>
      <c r="E97" s="100">
        <f t="shared" si="28"/>
        <v>3.0998787327227036E-3</v>
      </c>
      <c r="F97" s="102">
        <f t="shared" si="28"/>
        <v>3.0800957858111394E-3</v>
      </c>
      <c r="G97" s="103">
        <f t="shared" si="28"/>
        <v>3.2494656358089025E-3</v>
      </c>
      <c r="H97" s="100">
        <f t="shared" si="28"/>
        <v>3.2363770620611946E-3</v>
      </c>
      <c r="I97" s="102">
        <f t="shared" si="28"/>
        <v>3.2029115508258295E-3</v>
      </c>
      <c r="J97" s="100">
        <f t="shared" si="28"/>
        <v>3.2454013995533242E-3</v>
      </c>
      <c r="K97" s="100">
        <f t="shared" si="28"/>
        <v>3.2031455253673236E-3</v>
      </c>
      <c r="L97" s="100">
        <f t="shared" si="28"/>
        <v>3.1517952193345108E-3</v>
      </c>
      <c r="M97" s="100">
        <f t="shared" si="28"/>
        <v>3.2120870709061657E-3</v>
      </c>
      <c r="N97" s="101">
        <f t="shared" si="28"/>
        <v>3.1492020587113707E-3</v>
      </c>
      <c r="R97" s="81">
        <v>39722</v>
      </c>
      <c r="S97" s="82">
        <f>L$13</f>
        <v>310230041.67615998</v>
      </c>
      <c r="U97" s="88"/>
    </row>
    <row r="98" spans="2:21" ht="13.8" hidden="1" thickBot="1">
      <c r="B98" s="91">
        <v>2010</v>
      </c>
      <c r="C98" s="98"/>
      <c r="D98" s="98"/>
      <c r="E98" s="98"/>
      <c r="F98" s="98"/>
      <c r="G98" s="98"/>
      <c r="H98" s="98"/>
      <c r="I98" s="98"/>
      <c r="J98" s="98"/>
      <c r="K98" s="98"/>
      <c r="L98" s="98"/>
      <c r="M98" s="98"/>
      <c r="N98" s="99"/>
      <c r="R98" s="81">
        <v>39753</v>
      </c>
      <c r="S98" s="82">
        <f>M$13</f>
        <v>313840849.62728</v>
      </c>
      <c r="U98" s="88"/>
    </row>
    <row r="99" spans="2:21" ht="13.8" hidden="1" thickBot="1">
      <c r="R99" s="81">
        <v>39783</v>
      </c>
      <c r="S99" s="82">
        <f>N$13</f>
        <v>328946879.91896003</v>
      </c>
      <c r="U99" s="88"/>
    </row>
    <row r="100" spans="2:21" hidden="1">
      <c r="R100" s="81">
        <v>39814</v>
      </c>
      <c r="S100" s="80">
        <f>C$14</f>
        <v>340125286.47127998</v>
      </c>
      <c r="U100" s="88"/>
    </row>
    <row r="101" spans="2:21" hidden="1">
      <c r="R101" s="81">
        <v>39845</v>
      </c>
      <c r="S101" s="82">
        <f>D$14</f>
        <v>298423228.43304002</v>
      </c>
      <c r="U101" s="88"/>
    </row>
    <row r="102" spans="2:21" hidden="1">
      <c r="B102" s="78" t="s">
        <v>43</v>
      </c>
      <c r="R102" s="81">
        <v>39873</v>
      </c>
      <c r="S102" s="82">
        <f>E$14</f>
        <v>317878968.44471997</v>
      </c>
      <c r="U102" s="88"/>
    </row>
    <row r="103" spans="2:21" ht="13.8" hidden="1" thickBot="1">
      <c r="R103" s="81">
        <v>39904</v>
      </c>
      <c r="S103" s="82">
        <f>F$14</f>
        <v>288048156.51208001</v>
      </c>
      <c r="U103" s="88"/>
    </row>
    <row r="104" spans="2:21" hidden="1">
      <c r="B104" s="83"/>
      <c r="C104" s="84" t="s">
        <v>3</v>
      </c>
      <c r="D104" s="84" t="s">
        <v>4</v>
      </c>
      <c r="E104" s="84" t="s">
        <v>5</v>
      </c>
      <c r="F104" s="84" t="s">
        <v>6</v>
      </c>
      <c r="G104" s="84" t="s">
        <v>7</v>
      </c>
      <c r="H104" s="84" t="s">
        <v>8</v>
      </c>
      <c r="I104" s="84" t="s">
        <v>9</v>
      </c>
      <c r="J104" s="84" t="s">
        <v>10</v>
      </c>
      <c r="K104" s="84" t="s">
        <v>11</v>
      </c>
      <c r="L104" s="84" t="s">
        <v>23</v>
      </c>
      <c r="M104" s="84" t="s">
        <v>12</v>
      </c>
      <c r="N104" s="84" t="s">
        <v>13</v>
      </c>
      <c r="O104" s="94"/>
      <c r="P104" s="85" t="s">
        <v>38</v>
      </c>
      <c r="R104" s="81">
        <v>39934</v>
      </c>
      <c r="S104" s="82">
        <f>G$14</f>
        <v>279549260.71288002</v>
      </c>
      <c r="U104" s="88"/>
    </row>
    <row r="105" spans="2:21" hidden="1">
      <c r="B105" s="87">
        <v>1996</v>
      </c>
      <c r="C105" s="95"/>
      <c r="D105" s="95"/>
      <c r="E105" s="95"/>
      <c r="F105" s="95"/>
      <c r="G105" s="95"/>
      <c r="H105" s="95"/>
      <c r="I105" s="95"/>
      <c r="J105" s="95"/>
      <c r="K105" s="95"/>
      <c r="L105" s="95"/>
      <c r="M105" s="95"/>
      <c r="N105" s="95"/>
      <c r="O105" s="88"/>
      <c r="P105" s="96">
        <f>SUM(C105,D105,E105,F105,G105,H105,I105,J105,K105,L105,M105,N105)</f>
        <v>0</v>
      </c>
      <c r="R105" s="81">
        <v>39965</v>
      </c>
      <c r="S105" s="82">
        <f>H$14</f>
        <v>301280402.76728004</v>
      </c>
      <c r="U105" s="88"/>
    </row>
    <row r="106" spans="2:21" hidden="1">
      <c r="B106" s="87">
        <v>1997</v>
      </c>
      <c r="C106" s="95"/>
      <c r="D106" s="95"/>
      <c r="E106" s="95"/>
      <c r="F106" s="95"/>
      <c r="G106" s="95"/>
      <c r="H106" s="95"/>
      <c r="I106" s="95"/>
      <c r="J106" s="95"/>
      <c r="K106" s="95"/>
      <c r="L106" s="95"/>
      <c r="M106" s="95"/>
      <c r="N106" s="95"/>
      <c r="O106" s="88"/>
      <c r="P106" s="96">
        <f t="shared" ref="P106:P119" si="29">SUM(C106,D106,E106,F106,G106,H106,I106,J106,K106,L106,M106,N106)</f>
        <v>0</v>
      </c>
      <c r="R106" s="81">
        <v>39995</v>
      </c>
      <c r="S106" s="82">
        <f>I$14</f>
        <v>312634481.25511998</v>
      </c>
      <c r="U106" s="88"/>
    </row>
    <row r="107" spans="2:21" hidden="1">
      <c r="B107" s="87">
        <v>1998</v>
      </c>
      <c r="C107" s="95"/>
      <c r="D107" s="95"/>
      <c r="E107" s="95"/>
      <c r="F107" s="95"/>
      <c r="G107" s="95"/>
      <c r="H107" s="95"/>
      <c r="I107" s="95"/>
      <c r="J107" s="95"/>
      <c r="K107" s="95"/>
      <c r="L107" s="95"/>
      <c r="M107" s="95"/>
      <c r="N107" s="95"/>
      <c r="O107" s="88"/>
      <c r="P107" s="96">
        <f t="shared" si="29"/>
        <v>0</v>
      </c>
      <c r="R107" s="81">
        <v>40026</v>
      </c>
      <c r="S107" s="82">
        <f>J$14</f>
        <v>342969586.97349995</v>
      </c>
      <c r="U107" s="88"/>
    </row>
    <row r="108" spans="2:21" hidden="1">
      <c r="B108" s="87">
        <v>1999</v>
      </c>
      <c r="C108" s="95"/>
      <c r="D108" s="95"/>
      <c r="E108" s="95"/>
      <c r="F108" s="95"/>
      <c r="G108" s="95"/>
      <c r="H108" s="95"/>
      <c r="I108" s="95"/>
      <c r="J108" s="95"/>
      <c r="K108" s="95"/>
      <c r="L108" s="95"/>
      <c r="M108" s="95"/>
      <c r="N108" s="95"/>
      <c r="O108" s="88" t="s">
        <v>0</v>
      </c>
      <c r="P108" s="96">
        <f t="shared" si="29"/>
        <v>0</v>
      </c>
      <c r="R108" s="81">
        <v>40057</v>
      </c>
      <c r="S108" s="82">
        <f>K$14</f>
        <v>305441230.39999998</v>
      </c>
      <c r="U108" s="88"/>
    </row>
    <row r="109" spans="2:21" hidden="1">
      <c r="B109" s="87">
        <v>2000</v>
      </c>
      <c r="C109" s="88">
        <v>3732268.96</v>
      </c>
      <c r="D109" s="88">
        <v>3378014.53</v>
      </c>
      <c r="E109" s="88">
        <v>4141896.16</v>
      </c>
      <c r="F109" s="88">
        <v>3872107.35</v>
      </c>
      <c r="G109" s="88">
        <v>3390163.33</v>
      </c>
      <c r="H109" s="88">
        <v>2821142.51</v>
      </c>
      <c r="I109" s="88">
        <v>3103444.92</v>
      </c>
      <c r="J109" s="88">
        <v>3586512.14</v>
      </c>
      <c r="K109" s="88">
        <v>3657705.75</v>
      </c>
      <c r="L109" s="88">
        <v>3679113.75</v>
      </c>
      <c r="M109" s="88">
        <v>3959184.16</v>
      </c>
      <c r="N109" s="88">
        <v>3811545.75</v>
      </c>
      <c r="O109" s="88"/>
      <c r="P109" s="96">
        <f t="shared" si="29"/>
        <v>43133099.310000002</v>
      </c>
      <c r="R109" s="81">
        <v>40087</v>
      </c>
      <c r="S109" s="82">
        <f>L$14</f>
        <v>307520270</v>
      </c>
      <c r="U109" s="88"/>
    </row>
    <row r="110" spans="2:21" hidden="1">
      <c r="B110" s="87">
        <v>2001</v>
      </c>
      <c r="C110" s="88">
        <v>4071614.56</v>
      </c>
      <c r="D110" s="88">
        <v>2973196.92</v>
      </c>
      <c r="E110" s="88">
        <v>4071187.36</v>
      </c>
      <c r="F110" s="88">
        <v>4564224.18</v>
      </c>
      <c r="G110" s="88">
        <v>4367395.37</v>
      </c>
      <c r="H110" s="88">
        <v>4365148.97</v>
      </c>
      <c r="I110" s="88">
        <v>4331097.7699999996</v>
      </c>
      <c r="J110" s="88">
        <v>4118112.16</v>
      </c>
      <c r="K110" s="88">
        <v>3974203.36</v>
      </c>
      <c r="L110" s="88">
        <v>3809899.35</v>
      </c>
      <c r="M110" s="88">
        <v>3498969.74</v>
      </c>
      <c r="N110" s="88">
        <v>3940675.36</v>
      </c>
      <c r="O110" s="88"/>
      <c r="P110" s="96">
        <f t="shared" si="29"/>
        <v>48085725.100000001</v>
      </c>
      <c r="R110" s="81">
        <v>40118</v>
      </c>
      <c r="S110" s="82">
        <f>M$14</f>
        <v>303012735.71912003</v>
      </c>
      <c r="U110" s="88"/>
    </row>
    <row r="111" spans="2:21" hidden="1">
      <c r="B111" s="87">
        <v>2002</v>
      </c>
      <c r="C111" s="88">
        <v>2257123.29</v>
      </c>
      <c r="D111" s="88">
        <v>3740889.75</v>
      </c>
      <c r="E111" s="88">
        <v>4823294.59</v>
      </c>
      <c r="F111" s="88">
        <v>3746395.35</v>
      </c>
      <c r="G111" s="90">
        <v>4577582.59</v>
      </c>
      <c r="H111" s="86">
        <v>3738331.35</v>
      </c>
      <c r="I111" s="86">
        <v>3492950.399999999</v>
      </c>
      <c r="J111" s="86">
        <v>4077105.6000000052</v>
      </c>
      <c r="K111" s="86">
        <v>3605231.9999999977</v>
      </c>
      <c r="L111" s="86">
        <v>3873446.4000000013</v>
      </c>
      <c r="M111" s="86">
        <v>3889487.9999999972</v>
      </c>
      <c r="N111" s="86">
        <v>859920</v>
      </c>
      <c r="O111" s="86"/>
      <c r="P111" s="96">
        <f t="shared" si="29"/>
        <v>42681759.32</v>
      </c>
      <c r="R111" s="81">
        <v>40148</v>
      </c>
      <c r="S111" s="82">
        <f>N$14</f>
        <v>331058360.70839995</v>
      </c>
      <c r="U111" s="88"/>
    </row>
    <row r="112" spans="2:21" hidden="1">
      <c r="B112" s="87">
        <v>2003</v>
      </c>
      <c r="C112" s="86">
        <v>2767526.399999998</v>
      </c>
      <c r="D112" s="86">
        <v>3517958.399999999</v>
      </c>
      <c r="E112" s="86">
        <v>4193299.2000000025</v>
      </c>
      <c r="F112" s="86">
        <v>3902663.9999999958</v>
      </c>
      <c r="G112" s="86">
        <v>3709608.0000000019</v>
      </c>
      <c r="H112" s="86">
        <v>3767659.2000000025</v>
      </c>
      <c r="I112" s="86">
        <v>3632087.9999999991</v>
      </c>
      <c r="J112" s="86">
        <v>3291326.4000000032</v>
      </c>
      <c r="K112" s="86">
        <v>3605270.399999999</v>
      </c>
      <c r="L112" s="86">
        <v>4182700.97</v>
      </c>
      <c r="M112" s="86">
        <v>3629376.14</v>
      </c>
      <c r="N112" s="86">
        <v>3886924.96</v>
      </c>
      <c r="O112" s="86"/>
      <c r="P112" s="96">
        <f t="shared" si="29"/>
        <v>44086402.070000008</v>
      </c>
      <c r="R112" s="81">
        <v>40179</v>
      </c>
      <c r="S112" s="82">
        <f>+C15</f>
        <v>338841929.64000005</v>
      </c>
    </row>
    <row r="113" spans="2:21" hidden="1">
      <c r="B113" s="87">
        <v>2004</v>
      </c>
      <c r="C113" s="86">
        <v>2950200.12</v>
      </c>
      <c r="D113" s="86">
        <v>3418953.600000001</v>
      </c>
      <c r="E113" s="86">
        <v>4073159.9999999991</v>
      </c>
      <c r="F113" s="86">
        <v>3671227.2000000007</v>
      </c>
      <c r="G113" s="86">
        <v>4000550.3999999985</v>
      </c>
      <c r="H113" s="86">
        <v>3389836.8000000031</v>
      </c>
      <c r="I113" s="86">
        <v>3460646.4000000032</v>
      </c>
      <c r="J113" s="86">
        <v>3988847.9999999995</v>
      </c>
      <c r="K113" s="86">
        <v>3591600</v>
      </c>
      <c r="L113" s="86">
        <v>2698440.0000000005</v>
      </c>
      <c r="M113" s="86">
        <v>3423475.2000000016</v>
      </c>
      <c r="N113" s="86">
        <v>3765311.9999999981</v>
      </c>
      <c r="O113" s="86"/>
      <c r="P113" s="96">
        <f t="shared" si="29"/>
        <v>42432249.720000014</v>
      </c>
      <c r="R113" s="81">
        <v>40210</v>
      </c>
      <c r="S113" s="82">
        <f>+D15</f>
        <v>307563620.17000002</v>
      </c>
      <c r="U113" s="88"/>
    </row>
    <row r="114" spans="2:21" hidden="1">
      <c r="B114" s="87">
        <v>2005</v>
      </c>
      <c r="C114" s="86">
        <v>3741067.1999999974</v>
      </c>
      <c r="D114" s="86">
        <v>3377553.5999999996</v>
      </c>
      <c r="E114" s="86">
        <v>3584567.9999999995</v>
      </c>
      <c r="F114" s="86">
        <v>2828087.9999999995</v>
      </c>
      <c r="G114" s="86">
        <v>3387148.8000000045</v>
      </c>
      <c r="H114" s="86">
        <v>2225764.8000000003</v>
      </c>
      <c r="I114" s="86">
        <v>2238095.9999999991</v>
      </c>
      <c r="J114" s="86">
        <v>1572470.4000000001</v>
      </c>
      <c r="K114" s="86">
        <v>3605635.1999999983</v>
      </c>
      <c r="L114" s="86">
        <v>3980606.4</v>
      </c>
      <c r="M114" s="86">
        <v>3492436.8000000021</v>
      </c>
      <c r="N114" s="86">
        <v>4061428.7999999966</v>
      </c>
      <c r="O114" s="86"/>
      <c r="P114" s="96">
        <f t="shared" si="29"/>
        <v>38094864</v>
      </c>
      <c r="R114" s="81">
        <v>40238</v>
      </c>
      <c r="S114" s="82">
        <f>+E15</f>
        <v>317385708.60000008</v>
      </c>
    </row>
    <row r="115" spans="2:21" hidden="1">
      <c r="B115" s="87">
        <v>2006</v>
      </c>
      <c r="C115" s="86">
        <v>3732211.200000003</v>
      </c>
      <c r="D115" s="86">
        <v>3518121.5999999996</v>
      </c>
      <c r="E115" s="86">
        <v>3479318.4000000027</v>
      </c>
      <c r="F115" s="86">
        <v>3581663.9999999991</v>
      </c>
      <c r="G115" s="86">
        <v>3739377.5999999959</v>
      </c>
      <c r="H115" s="86">
        <v>3406454.399999999</v>
      </c>
      <c r="I115" s="86">
        <v>3332951.9999999981</v>
      </c>
      <c r="J115" s="86">
        <v>3342455.9999999977</v>
      </c>
      <c r="K115" s="86">
        <v>3355483.1999999965</v>
      </c>
      <c r="L115" s="86">
        <v>3866784.0000000019</v>
      </c>
      <c r="M115" s="86">
        <v>3482318.3999999985</v>
      </c>
      <c r="N115" s="86">
        <v>3891830.399999998</v>
      </c>
      <c r="O115" s="86"/>
      <c r="P115" s="96">
        <f t="shared" si="29"/>
        <v>42728971.199999988</v>
      </c>
      <c r="R115" s="81">
        <v>40269</v>
      </c>
      <c r="S115" s="82">
        <f>+F15</f>
        <v>288580434.81999999</v>
      </c>
    </row>
    <row r="116" spans="2:21" hidden="1">
      <c r="B116" s="87">
        <v>2007</v>
      </c>
      <c r="C116" s="86">
        <v>4096656</v>
      </c>
      <c r="D116" s="86">
        <v>2531788.8000000026</v>
      </c>
      <c r="E116" s="86">
        <v>4109174.399999998</v>
      </c>
      <c r="F116" s="86">
        <v>2701708.7999999989</v>
      </c>
      <c r="G116" s="86">
        <v>526963.2000000003</v>
      </c>
      <c r="H116" s="86">
        <v>2791550.399999998</v>
      </c>
      <c r="I116" s="86">
        <v>3283396.8000000017</v>
      </c>
      <c r="J116" s="86">
        <v>3766675.1999999988</v>
      </c>
      <c r="K116" s="86">
        <v>3619092</v>
      </c>
      <c r="L116" s="86">
        <v>3581654.4000000008</v>
      </c>
      <c r="M116" s="86">
        <v>3880305.600000001</v>
      </c>
      <c r="N116" s="86">
        <v>4013472.0000000102</v>
      </c>
      <c r="O116" s="86"/>
      <c r="P116" s="96">
        <f t="shared" si="29"/>
        <v>38902437.600000009</v>
      </c>
      <c r="R116" s="81">
        <v>40299</v>
      </c>
      <c r="S116" s="82">
        <f>+G15</f>
        <v>317160058.12000006</v>
      </c>
    </row>
    <row r="117" spans="2:21" hidden="1">
      <c r="B117" s="87">
        <v>2008</v>
      </c>
      <c r="C117" s="86">
        <v>3481113.6000000029</v>
      </c>
      <c r="D117" s="86">
        <v>3255969.6000000006</v>
      </c>
      <c r="E117" s="86">
        <v>3707980.7999999989</v>
      </c>
      <c r="F117" s="86">
        <v>3529963.2000000034</v>
      </c>
      <c r="G117" s="86">
        <v>2993611.32</v>
      </c>
      <c r="H117" s="86">
        <v>595684.79999999958</v>
      </c>
      <c r="I117" s="86">
        <v>1326158.3999999985</v>
      </c>
      <c r="J117" s="86">
        <v>1349073.65</v>
      </c>
      <c r="K117" s="86">
        <v>984124.8000000004</v>
      </c>
      <c r="L117" s="86">
        <v>663263.99999999895</v>
      </c>
      <c r="M117" s="86">
        <v>759470.39999999932</v>
      </c>
      <c r="N117" s="86">
        <v>1301769.5999999999</v>
      </c>
      <c r="O117" s="86"/>
      <c r="P117" s="96">
        <f t="shared" si="29"/>
        <v>23948184.170000002</v>
      </c>
      <c r="R117" s="81">
        <v>40330</v>
      </c>
      <c r="S117" s="82">
        <f>+H15</f>
        <v>327911313.14999998</v>
      </c>
    </row>
    <row r="118" spans="2:21" hidden="1">
      <c r="B118" s="87">
        <v>2009</v>
      </c>
      <c r="C118" s="86">
        <v>1028256.0000000014</v>
      </c>
      <c r="D118" s="86">
        <v>487852.80000000022</v>
      </c>
      <c r="E118" s="86">
        <v>573691.19999999972</v>
      </c>
      <c r="F118" s="86">
        <v>681033.60000000009</v>
      </c>
      <c r="G118" s="19">
        <v>1164983.9999999993</v>
      </c>
      <c r="H118" s="86">
        <v>373281.60000000033</v>
      </c>
      <c r="I118" s="86">
        <v>676382.40000000061</v>
      </c>
      <c r="J118" s="86">
        <v>551822.40000000014</v>
      </c>
      <c r="K118" s="86">
        <v>605030.39999999921</v>
      </c>
      <c r="L118" s="86">
        <v>471048.00000000017</v>
      </c>
      <c r="M118" s="86">
        <v>534417.59999999974</v>
      </c>
      <c r="N118" s="86">
        <v>740918.40000000014</v>
      </c>
      <c r="O118" s="86"/>
      <c r="P118" s="96">
        <f t="shared" si="29"/>
        <v>7888718.4000000013</v>
      </c>
      <c r="R118" s="81">
        <v>40360</v>
      </c>
      <c r="S118" s="82">
        <f>+I15</f>
        <v>387084557.87</v>
      </c>
    </row>
    <row r="119" spans="2:21" ht="13.8" hidden="1" thickBot="1">
      <c r="B119" s="91">
        <v>2010</v>
      </c>
      <c r="C119" s="98"/>
      <c r="D119" s="98"/>
      <c r="E119" s="98"/>
      <c r="F119" s="98"/>
      <c r="G119" s="98"/>
      <c r="H119" s="98"/>
      <c r="I119" s="98"/>
      <c r="J119" s="98"/>
      <c r="K119" s="98"/>
      <c r="L119" s="98"/>
      <c r="M119" s="98"/>
      <c r="N119" s="98"/>
      <c r="O119" s="98"/>
      <c r="P119" s="99">
        <f t="shared" si="29"/>
        <v>0</v>
      </c>
      <c r="R119" s="81">
        <v>40391</v>
      </c>
      <c r="S119" s="82">
        <f>+J15</f>
        <v>372085384</v>
      </c>
    </row>
    <row r="120" spans="2:21" hidden="1">
      <c r="R120" s="81">
        <v>40422</v>
      </c>
      <c r="S120" s="82">
        <f>+K15</f>
        <v>309880174.61000001</v>
      </c>
    </row>
    <row r="121" spans="2:21" hidden="1">
      <c r="R121" s="81">
        <v>40452</v>
      </c>
      <c r="S121" s="82">
        <f>+L15</f>
        <v>301944346.81</v>
      </c>
    </row>
    <row r="122" spans="2:21" hidden="1">
      <c r="R122" s="81">
        <v>40483</v>
      </c>
      <c r="S122" s="82">
        <f>+M15</f>
        <v>309107400.75999999</v>
      </c>
    </row>
    <row r="123" spans="2:21" hidden="1">
      <c r="B123" s="78" t="s">
        <v>44</v>
      </c>
      <c r="R123" s="81">
        <v>40513</v>
      </c>
      <c r="S123" s="82">
        <f>+N15</f>
        <v>333509213.89770001</v>
      </c>
    </row>
    <row r="124" spans="2:21" ht="13.8" hidden="1" thickBot="1">
      <c r="R124" s="81">
        <v>40544</v>
      </c>
    </row>
    <row r="125" spans="2:21" hidden="1">
      <c r="B125" s="83"/>
      <c r="C125" s="84" t="s">
        <v>3</v>
      </c>
      <c r="D125" s="84" t="s">
        <v>4</v>
      </c>
      <c r="E125" s="84" t="s">
        <v>5</v>
      </c>
      <c r="F125" s="84" t="s">
        <v>6</v>
      </c>
      <c r="G125" s="84" t="s">
        <v>7</v>
      </c>
      <c r="H125" s="84" t="s">
        <v>8</v>
      </c>
      <c r="I125" s="84" t="s">
        <v>9</v>
      </c>
      <c r="J125" s="84" t="s">
        <v>10</v>
      </c>
      <c r="K125" s="84" t="s">
        <v>11</v>
      </c>
      <c r="L125" s="84" t="s">
        <v>23</v>
      </c>
      <c r="M125" s="84" t="s">
        <v>12</v>
      </c>
      <c r="N125" s="84" t="s">
        <v>13</v>
      </c>
      <c r="O125" s="94"/>
      <c r="P125" s="85" t="s">
        <v>38</v>
      </c>
      <c r="R125" s="81">
        <v>40575</v>
      </c>
    </row>
    <row r="126" spans="2:21" hidden="1">
      <c r="B126" s="87">
        <v>1996</v>
      </c>
      <c r="C126" s="95"/>
      <c r="D126" s="95"/>
      <c r="E126" s="95"/>
      <c r="F126" s="95"/>
      <c r="G126" s="95"/>
      <c r="H126" s="95"/>
      <c r="I126" s="95"/>
      <c r="J126" s="95"/>
      <c r="K126" s="95"/>
      <c r="L126" s="95"/>
      <c r="M126" s="95"/>
      <c r="N126" s="95"/>
      <c r="O126" s="88"/>
      <c r="P126" s="96">
        <f>SUM(C126,D126,E126,F126,G126,H126,I126,J126,K126,L126,M126,N126)</f>
        <v>0</v>
      </c>
      <c r="R126" s="81">
        <v>40603</v>
      </c>
    </row>
    <row r="127" spans="2:21" hidden="1">
      <c r="B127" s="87">
        <v>1997</v>
      </c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88"/>
      <c r="P127" s="96">
        <f t="shared" ref="P127:P140" si="30">SUM(C127,D127,E127,F127,G127,H127,I127,J127,K127,L127,M127,N127)</f>
        <v>0</v>
      </c>
      <c r="R127" s="81">
        <v>40634</v>
      </c>
    </row>
    <row r="128" spans="2:21" hidden="1">
      <c r="B128" s="87">
        <v>1998</v>
      </c>
      <c r="C128" s="95"/>
      <c r="D128" s="95"/>
      <c r="E128" s="95"/>
      <c r="F128" s="95"/>
      <c r="G128" s="95"/>
      <c r="H128" s="95"/>
      <c r="I128" s="95"/>
      <c r="J128" s="95"/>
      <c r="K128" s="95"/>
      <c r="L128" s="95"/>
      <c r="M128" s="95"/>
      <c r="N128" s="95"/>
      <c r="O128" s="88"/>
      <c r="P128" s="96">
        <f t="shared" si="30"/>
        <v>0</v>
      </c>
      <c r="R128" s="81">
        <v>40664</v>
      </c>
    </row>
    <row r="129" spans="2:22" hidden="1">
      <c r="B129" s="87">
        <v>1999</v>
      </c>
      <c r="C129" s="95"/>
      <c r="D129" s="95"/>
      <c r="E129" s="95"/>
      <c r="F129" s="95"/>
      <c r="G129" s="95"/>
      <c r="H129" s="95"/>
      <c r="I129" s="95"/>
      <c r="J129" s="95"/>
      <c r="K129" s="95"/>
      <c r="L129" s="95"/>
      <c r="M129" s="95"/>
      <c r="N129" s="95"/>
      <c r="O129" s="88" t="s">
        <v>0</v>
      </c>
      <c r="P129" s="96">
        <f t="shared" si="30"/>
        <v>0</v>
      </c>
      <c r="R129" s="81">
        <v>40695</v>
      </c>
    </row>
    <row r="130" spans="2:22" hidden="1">
      <c r="B130" s="87">
        <v>2000</v>
      </c>
      <c r="C130" s="88"/>
      <c r="D130" s="88"/>
      <c r="E130" s="88"/>
      <c r="F130" s="88"/>
      <c r="G130" s="88"/>
      <c r="H130" s="88">
        <v>1376664.05</v>
      </c>
      <c r="I130" s="88">
        <v>1391208.06</v>
      </c>
      <c r="J130" s="88">
        <v>1447034.46</v>
      </c>
      <c r="K130" s="88">
        <v>1364565.65</v>
      </c>
      <c r="L130" s="88">
        <v>1479446.46</v>
      </c>
      <c r="M130" s="88">
        <v>1721858.47</v>
      </c>
      <c r="N130" s="88">
        <v>2288709.69</v>
      </c>
      <c r="O130" s="88"/>
      <c r="P130" s="96">
        <f t="shared" si="30"/>
        <v>11069486.84</v>
      </c>
      <c r="R130" s="81">
        <v>40725</v>
      </c>
    </row>
    <row r="131" spans="2:22" hidden="1">
      <c r="B131" s="87">
        <v>2001</v>
      </c>
      <c r="C131" s="88">
        <v>2144510.4900000002</v>
      </c>
      <c r="D131" s="88">
        <v>1901361.68</v>
      </c>
      <c r="E131" s="88">
        <v>1966168.88</v>
      </c>
      <c r="F131" s="88">
        <v>1550726.46</v>
      </c>
      <c r="G131" s="88">
        <v>1364388.05</v>
      </c>
      <c r="H131" s="88">
        <v>1450132.86</v>
      </c>
      <c r="I131" s="88">
        <v>1434784.86</v>
      </c>
      <c r="J131" s="88">
        <v>1529512.86</v>
      </c>
      <c r="K131" s="88">
        <v>1360236.05</v>
      </c>
      <c r="L131" s="88">
        <v>1555946.46</v>
      </c>
      <c r="M131" s="88">
        <v>1652472.07</v>
      </c>
      <c r="N131" s="88">
        <v>1986470.48</v>
      </c>
      <c r="O131" s="88"/>
      <c r="P131" s="96">
        <f t="shared" si="30"/>
        <v>19896711.199999999</v>
      </c>
      <c r="R131" s="81">
        <v>40756</v>
      </c>
    </row>
    <row r="132" spans="2:22" hidden="1">
      <c r="B132" s="87">
        <v>2002</v>
      </c>
      <c r="C132" s="88">
        <v>2068041.68</v>
      </c>
      <c r="D132" s="88">
        <v>1842367.27</v>
      </c>
      <c r="E132" s="88">
        <v>1946872.88</v>
      </c>
      <c r="F132" s="88">
        <v>1605249.66</v>
      </c>
      <c r="G132" s="90">
        <v>1500998.46</v>
      </c>
      <c r="H132" s="86">
        <v>1431964.86</v>
      </c>
      <c r="I132" s="86">
        <v>1625188.7999999993</v>
      </c>
      <c r="J132" s="86">
        <v>1524386.4000000001</v>
      </c>
      <c r="K132" s="86">
        <v>1394584.8000000007</v>
      </c>
      <c r="L132" s="86">
        <v>1656597.6000000003</v>
      </c>
      <c r="M132" s="86">
        <v>1772990.399999999</v>
      </c>
      <c r="N132" s="86">
        <v>2113824.0000000033</v>
      </c>
      <c r="O132" s="86"/>
      <c r="P132" s="96">
        <f t="shared" si="30"/>
        <v>20483066.810000002</v>
      </c>
      <c r="R132" s="81">
        <v>40787</v>
      </c>
    </row>
    <row r="133" spans="2:22" hidden="1">
      <c r="B133" s="87">
        <v>2003</v>
      </c>
      <c r="C133" s="86">
        <v>2317125.599999995</v>
      </c>
      <c r="D133" s="86">
        <v>2069582.4</v>
      </c>
      <c r="E133" s="86">
        <v>2502532.7999999993</v>
      </c>
      <c r="F133" s="86">
        <v>1681622.3999999983</v>
      </c>
      <c r="G133" s="86">
        <v>1492552.8000000019</v>
      </c>
      <c r="H133" s="86">
        <v>1430294.3999999992</v>
      </c>
      <c r="I133" s="86">
        <v>1458691.2</v>
      </c>
      <c r="J133" s="86">
        <v>1398854.399999999</v>
      </c>
      <c r="K133" s="86">
        <v>1277371.1999999986</v>
      </c>
      <c r="L133" s="86">
        <v>1499690.399999999</v>
      </c>
      <c r="M133" s="86">
        <v>1701182.4</v>
      </c>
      <c r="N133" s="86">
        <v>2044053.600000002</v>
      </c>
      <c r="O133" s="86"/>
      <c r="P133" s="96">
        <f t="shared" si="30"/>
        <v>20873553.59999999</v>
      </c>
      <c r="R133" s="81">
        <v>40817</v>
      </c>
    </row>
    <row r="134" spans="2:22" hidden="1">
      <c r="B134" s="87">
        <v>2004</v>
      </c>
      <c r="C134" s="86">
        <v>2345301.600000001</v>
      </c>
      <c r="D134" s="86">
        <v>1940387.9999999981</v>
      </c>
      <c r="E134" s="86">
        <v>3507249.6</v>
      </c>
      <c r="F134" s="86">
        <v>1622133.6000000003</v>
      </c>
      <c r="G134" s="86">
        <v>1367570.4000000004</v>
      </c>
      <c r="H134" s="86">
        <v>1290974.3999999999</v>
      </c>
      <c r="I134" s="86">
        <v>1352786.4</v>
      </c>
      <c r="J134" s="86">
        <v>1323271.2000000014</v>
      </c>
      <c r="K134" s="86">
        <v>1278686.4000000013</v>
      </c>
      <c r="L134" s="86">
        <v>1423588.7999999991</v>
      </c>
      <c r="M134" s="86">
        <v>2477534.399999998</v>
      </c>
      <c r="N134" s="86">
        <v>2101740.0000000019</v>
      </c>
      <c r="O134" s="86"/>
      <c r="P134" s="96">
        <f t="shared" si="30"/>
        <v>22031224.800000004</v>
      </c>
      <c r="R134" s="81">
        <v>40848</v>
      </c>
    </row>
    <row r="135" spans="2:22" hidden="1">
      <c r="B135" s="87">
        <v>2005</v>
      </c>
      <c r="C135" s="86">
        <v>2264524.7999999998</v>
      </c>
      <c r="D135" s="86">
        <v>1887660.0000000007</v>
      </c>
      <c r="E135" s="86">
        <v>1955774.4000000001</v>
      </c>
      <c r="F135" s="86">
        <v>1519394.4000000006</v>
      </c>
      <c r="G135" s="86">
        <v>1410506.3999999987</v>
      </c>
      <c r="H135" s="86">
        <v>1495075.1999999997</v>
      </c>
      <c r="I135" s="86">
        <v>1551158.3999999994</v>
      </c>
      <c r="J135" s="86">
        <v>1495725.5999999999</v>
      </c>
      <c r="K135" s="86">
        <v>1801159.1999999997</v>
      </c>
      <c r="L135" s="86">
        <v>3222239.9999999986</v>
      </c>
      <c r="M135" s="86">
        <v>1607959.2000000011</v>
      </c>
      <c r="N135" s="86">
        <v>2129001.5999999982</v>
      </c>
      <c r="O135" s="86"/>
      <c r="P135" s="96">
        <f t="shared" si="30"/>
        <v>22340179.199999992</v>
      </c>
      <c r="R135" s="81">
        <v>40878</v>
      </c>
    </row>
    <row r="136" spans="2:22" hidden="1">
      <c r="B136" s="87">
        <v>2006</v>
      </c>
      <c r="C136" s="86">
        <v>1959144.0000000021</v>
      </c>
      <c r="D136" s="86">
        <v>1844997.600000001</v>
      </c>
      <c r="E136" s="86">
        <v>1832368.7999999991</v>
      </c>
      <c r="F136" s="86">
        <v>1510543.2000000007</v>
      </c>
      <c r="G136" s="86">
        <v>1386321.5999999985</v>
      </c>
      <c r="H136" s="86">
        <v>1351922.4000000015</v>
      </c>
      <c r="I136" s="86">
        <v>2482243.1999999988</v>
      </c>
      <c r="J136" s="86">
        <v>3357607.2000000025</v>
      </c>
      <c r="K136" s="86">
        <v>3024866.4000000027</v>
      </c>
      <c r="L136" s="86">
        <v>3573506.3999999976</v>
      </c>
      <c r="M136" s="86">
        <v>3777931.2</v>
      </c>
      <c r="N136" s="86">
        <v>2206329.6049999995</v>
      </c>
      <c r="O136" s="86"/>
      <c r="P136" s="96">
        <f t="shared" si="30"/>
        <v>28307781.605000008</v>
      </c>
      <c r="R136" s="81">
        <v>40909</v>
      </c>
    </row>
    <row r="137" spans="2:22" hidden="1">
      <c r="B137" s="87">
        <v>2007</v>
      </c>
      <c r="C137" s="86">
        <v>2082081.5999999987</v>
      </c>
      <c r="D137" s="86">
        <v>2099570.3999999994</v>
      </c>
      <c r="E137" s="86">
        <v>1957108.7999999996</v>
      </c>
      <c r="F137" s="86">
        <v>1666298.4</v>
      </c>
      <c r="G137" s="86">
        <v>1390965.6000000008</v>
      </c>
      <c r="H137" s="86">
        <v>1424664.0000000009</v>
      </c>
      <c r="I137" s="86">
        <v>1439232</v>
      </c>
      <c r="J137" s="86">
        <v>1500326.4000000001</v>
      </c>
      <c r="K137" s="86">
        <v>1311573.6000000003</v>
      </c>
      <c r="L137" s="86">
        <v>1647969.5999999982</v>
      </c>
      <c r="M137" s="86">
        <v>2155303.1999999988</v>
      </c>
      <c r="N137" s="86">
        <v>2083291.1999999981</v>
      </c>
      <c r="O137" s="86"/>
      <c r="P137" s="96">
        <f t="shared" si="30"/>
        <v>20758384.799999997</v>
      </c>
      <c r="R137" s="81">
        <v>40940</v>
      </c>
    </row>
    <row r="138" spans="2:22" hidden="1">
      <c r="B138" s="87">
        <v>2008</v>
      </c>
      <c r="C138" s="86">
        <v>2105027.9999999981</v>
      </c>
      <c r="D138" s="86">
        <v>2026564.8000000014</v>
      </c>
      <c r="E138" s="86">
        <v>2015056.8000000017</v>
      </c>
      <c r="F138" s="86">
        <v>1476787.1999999988</v>
      </c>
      <c r="G138" s="86">
        <v>1370440.7999999991</v>
      </c>
      <c r="H138" s="86">
        <v>1347777.5999999987</v>
      </c>
      <c r="I138" s="86">
        <v>1446791.9999999984</v>
      </c>
      <c r="J138" s="86">
        <v>1400640.0000000002</v>
      </c>
      <c r="K138" s="86">
        <v>1330823.9999999995</v>
      </c>
      <c r="L138" s="86">
        <v>1504012.7999999989</v>
      </c>
      <c r="M138" s="86">
        <v>1721042.4</v>
      </c>
      <c r="N138" s="86">
        <v>2141536.7999999993</v>
      </c>
      <c r="O138" s="86"/>
      <c r="P138" s="96">
        <f t="shared" si="30"/>
        <v>19886503.199999996</v>
      </c>
      <c r="R138" s="81">
        <v>40969</v>
      </c>
    </row>
    <row r="139" spans="2:22" hidden="1">
      <c r="B139" s="87">
        <v>2009</v>
      </c>
      <c r="C139" s="86">
        <v>2293562.3999999994</v>
      </c>
      <c r="D139" s="86">
        <v>1868623.1999999995</v>
      </c>
      <c r="E139" s="86">
        <v>1860717.6000000015</v>
      </c>
      <c r="F139" s="86">
        <v>1583426.3999999994</v>
      </c>
      <c r="G139" s="86">
        <v>1412090.3999999997</v>
      </c>
      <c r="H139" s="86">
        <v>1371242.4000000004</v>
      </c>
      <c r="I139" s="86">
        <v>1319349.5999999989</v>
      </c>
      <c r="J139" s="19">
        <v>1341005</v>
      </c>
      <c r="K139" s="104">
        <v>0</v>
      </c>
      <c r="L139" s="104">
        <v>0</v>
      </c>
      <c r="M139" s="86">
        <v>98469.599999999991</v>
      </c>
      <c r="N139" s="86">
        <v>2037971.9999999984</v>
      </c>
      <c r="O139" s="86"/>
      <c r="P139" s="96">
        <f t="shared" si="30"/>
        <v>15186458.599999998</v>
      </c>
      <c r="R139" s="81">
        <v>41000</v>
      </c>
    </row>
    <row r="140" spans="2:22" ht="13.8" hidden="1" thickBot="1">
      <c r="B140" s="91">
        <v>2010</v>
      </c>
      <c r="C140" s="98"/>
      <c r="D140" s="98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9">
        <f t="shared" si="30"/>
        <v>0</v>
      </c>
    </row>
    <row r="141" spans="2:22" s="415" customFormat="1" hidden="1">
      <c r="B141" s="395"/>
      <c r="C141" s="86"/>
      <c r="D141" s="86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U141" s="97"/>
      <c r="V141" s="97"/>
    </row>
    <row r="142" spans="2:22" hidden="1">
      <c r="F142" s="415"/>
      <c r="G142" s="415"/>
      <c r="H142" s="415"/>
      <c r="I142" s="415"/>
      <c r="J142" s="415"/>
      <c r="K142" s="415"/>
      <c r="L142" s="415"/>
      <c r="M142" s="415"/>
      <c r="N142" s="415"/>
    </row>
    <row r="143" spans="2:22" hidden="1"/>
    <row r="144" spans="2:22" hidden="1">
      <c r="B144" s="78" t="s">
        <v>168</v>
      </c>
    </row>
    <row r="145" spans="2:14" ht="13.8" hidden="1" thickBot="1">
      <c r="B145" s="91">
        <v>2012</v>
      </c>
      <c r="C145" s="92">
        <f>339022162</f>
        <v>339022162</v>
      </c>
      <c r="D145" s="92">
        <v>314141567</v>
      </c>
      <c r="E145" s="92">
        <v>318945004</v>
      </c>
      <c r="F145" s="92">
        <v>297295939</v>
      </c>
      <c r="G145" s="92">
        <v>322029179</v>
      </c>
      <c r="H145" s="92">
        <v>353560441</v>
      </c>
      <c r="I145" s="92">
        <v>402642407</v>
      </c>
      <c r="J145" s="92">
        <v>370293580</v>
      </c>
      <c r="K145" s="92">
        <v>315054369</v>
      </c>
      <c r="L145" s="92">
        <v>313203347</v>
      </c>
      <c r="M145" s="92">
        <v>319232515</v>
      </c>
      <c r="N145" s="93">
        <v>325187333</v>
      </c>
    </row>
    <row r="146" spans="2:14" ht="13.8" hidden="1" thickBot="1">
      <c r="B146" s="91">
        <v>2013</v>
      </c>
      <c r="C146" s="92">
        <v>344264535</v>
      </c>
      <c r="D146" s="92">
        <v>314012514</v>
      </c>
      <c r="E146" s="92">
        <v>326232438</v>
      </c>
      <c r="F146" s="92">
        <v>297762745</v>
      </c>
      <c r="G146" s="92">
        <v>317473325</v>
      </c>
      <c r="H146" s="92">
        <v>339261538</v>
      </c>
      <c r="I146" s="92">
        <v>398451742</v>
      </c>
      <c r="J146" s="92">
        <v>371842827</v>
      </c>
      <c r="K146" s="92">
        <v>314231370</v>
      </c>
      <c r="L146" s="92">
        <v>310321195</v>
      </c>
      <c r="M146" s="92">
        <v>315467888</v>
      </c>
      <c r="N146" s="93">
        <v>330677884</v>
      </c>
    </row>
    <row r="147" spans="2:14" hidden="1"/>
  </sheetData>
  <mergeCells count="5">
    <mergeCell ref="U14:V14"/>
    <mergeCell ref="U15:V15"/>
    <mergeCell ref="U16:V16"/>
    <mergeCell ref="U17:V17"/>
    <mergeCell ref="B2:P2"/>
  </mergeCells>
  <printOptions horizontalCentered="1"/>
  <pageMargins left="0.7" right="0.16" top="0.75" bottom="0.75" header="0.3" footer="0.3"/>
  <pageSetup paperSize="5" scale="65" orientation="landscape" r:id="rId1"/>
  <ignoredErrors>
    <ignoredError sqref="P15" formulaRange="1"/>
  </ignoredError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00B050"/>
  </sheetPr>
  <dimension ref="A1:AF165"/>
  <sheetViews>
    <sheetView view="pageBreakPreview" zoomScale="60" zoomScaleNormal="78" workbookViewId="0">
      <pane xSplit="2" ySplit="2" topLeftCell="F87" activePane="bottomRight" state="frozen"/>
      <selection pane="topRight" activeCell="C1" sqref="C1"/>
      <selection pane="bottomLeft" activeCell="A3" sqref="A3"/>
      <selection pane="bottomRight" sqref="A1:R158"/>
    </sheetView>
  </sheetViews>
  <sheetFormatPr defaultRowHeight="13.2"/>
  <cols>
    <col min="2" max="2" width="12" customWidth="1"/>
    <col min="3" max="3" width="18.44140625" customWidth="1"/>
    <col min="4" max="4" width="10.109375" bestFit="1" customWidth="1"/>
    <col min="5" max="5" width="17.88671875" customWidth="1"/>
    <col min="6" max="6" width="9.33203125" bestFit="1" customWidth="1"/>
    <col min="7" max="7" width="19.44140625" customWidth="1"/>
    <col min="8" max="8" width="11.88671875" customWidth="1"/>
    <col min="9" max="9" width="17" customWidth="1"/>
    <col min="10" max="10" width="14.6640625" customWidth="1"/>
    <col min="11" max="11" width="16.33203125" customWidth="1"/>
    <col min="12" max="12" width="17.44140625" customWidth="1"/>
    <col min="13" max="13" width="10.109375" bestFit="1" customWidth="1"/>
    <col min="14" max="14" width="2.5546875" customWidth="1"/>
    <col min="15" max="15" width="17.88671875" bestFit="1" customWidth="1"/>
    <col min="16" max="16" width="15.109375" customWidth="1"/>
    <col min="17" max="17" width="13.33203125" hidden="1" customWidth="1"/>
    <col min="18" max="18" width="14.6640625" style="66" customWidth="1"/>
    <col min="19" max="19" width="13.33203125" style="66" customWidth="1"/>
    <col min="20" max="20" width="20.6640625" style="66" bestFit="1" customWidth="1"/>
    <col min="21" max="21" width="14.5546875" style="66" bestFit="1" customWidth="1"/>
    <col min="22" max="22" width="13.33203125" style="66" bestFit="1" customWidth="1"/>
    <col min="23" max="23" width="11.88671875" style="66" bestFit="1" customWidth="1"/>
    <col min="24" max="24" width="13.6640625" style="66" bestFit="1" customWidth="1"/>
    <col min="25" max="25" width="18" style="66" customWidth="1"/>
    <col min="26" max="26" width="11.109375" style="66" bestFit="1" customWidth="1"/>
    <col min="27" max="27" width="13.33203125" style="66" bestFit="1" customWidth="1"/>
    <col min="28" max="29" width="11.88671875" style="66" bestFit="1" customWidth="1"/>
    <col min="30" max="30" width="9.109375" style="66"/>
  </cols>
  <sheetData>
    <row r="1" spans="1:32" ht="17.399999999999999">
      <c r="A1" s="933" t="s">
        <v>320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  <c r="Q1" s="933"/>
      <c r="R1" s="933"/>
    </row>
    <row r="2" spans="1:32" ht="28.8">
      <c r="A2" s="757" t="s">
        <v>15</v>
      </c>
      <c r="B2" s="757" t="s">
        <v>193</v>
      </c>
      <c r="C2" s="757" t="s">
        <v>53</v>
      </c>
      <c r="D2" s="757" t="s">
        <v>47</v>
      </c>
      <c r="E2" s="757" t="s">
        <v>283</v>
      </c>
      <c r="F2" s="757" t="s">
        <v>54</v>
      </c>
      <c r="G2" s="757" t="s">
        <v>49</v>
      </c>
      <c r="H2" s="757" t="s">
        <v>173</v>
      </c>
      <c r="I2" s="757" t="s">
        <v>259</v>
      </c>
      <c r="J2" s="757" t="s">
        <v>220</v>
      </c>
      <c r="K2" s="757" t="s">
        <v>225</v>
      </c>
      <c r="L2" s="757" t="s">
        <v>252</v>
      </c>
      <c r="M2" s="757" t="s">
        <v>65</v>
      </c>
      <c r="N2" s="757"/>
      <c r="O2" s="757" t="s">
        <v>258</v>
      </c>
      <c r="P2" s="868" t="s">
        <v>285</v>
      </c>
      <c r="Q2" s="869"/>
      <c r="R2" s="868" t="s">
        <v>284</v>
      </c>
    </row>
    <row r="3" spans="1:32" ht="14.4">
      <c r="A3" s="743">
        <v>2003</v>
      </c>
      <c r="B3" s="744" t="s">
        <v>180</v>
      </c>
      <c r="C3" s="745">
        <v>88846</v>
      </c>
      <c r="D3" s="745">
        <v>6469</v>
      </c>
      <c r="E3" s="745">
        <v>1105</v>
      </c>
      <c r="F3" s="746">
        <v>1319</v>
      </c>
      <c r="G3" s="746">
        <v>122</v>
      </c>
      <c r="H3" s="745">
        <v>4</v>
      </c>
      <c r="I3" s="747">
        <v>19127</v>
      </c>
      <c r="J3" s="747"/>
      <c r="K3" s="747"/>
      <c r="L3" s="747"/>
      <c r="M3" s="747">
        <f>SUM(C3:L3)</f>
        <v>116992</v>
      </c>
      <c r="N3" s="747"/>
      <c r="O3" s="747">
        <v>29768.963138859057</v>
      </c>
      <c r="P3" s="870"/>
      <c r="Q3" s="815"/>
      <c r="R3" s="818">
        <v>2</v>
      </c>
      <c r="V3" s="735"/>
      <c r="W3" s="735"/>
      <c r="X3" s="735"/>
      <c r="Y3" s="735"/>
      <c r="Z3" s="735"/>
      <c r="AA3" s="735"/>
      <c r="AB3" s="735"/>
      <c r="AC3" s="735"/>
      <c r="AD3" s="735"/>
      <c r="AE3" s="610">
        <v>21524</v>
      </c>
      <c r="AF3" s="610">
        <v>21900</v>
      </c>
    </row>
    <row r="4" spans="1:32" ht="14.4">
      <c r="A4" s="743">
        <f>A3+0</f>
        <v>2003</v>
      </c>
      <c r="B4" s="744" t="s">
        <v>181</v>
      </c>
      <c r="C4" s="745">
        <v>89106</v>
      </c>
      <c r="D4" s="745">
        <v>6480</v>
      </c>
      <c r="E4" s="745">
        <v>1105</v>
      </c>
      <c r="F4" s="746">
        <v>1321</v>
      </c>
      <c r="G4" s="746">
        <v>123</v>
      </c>
      <c r="H4" s="745">
        <v>4</v>
      </c>
      <c r="I4" s="747">
        <v>19142</v>
      </c>
      <c r="J4" s="747"/>
      <c r="K4" s="747"/>
      <c r="L4" s="747"/>
      <c r="M4" s="747">
        <f t="shared" ref="M4:M67" si="0">SUM(C4:L4)</f>
        <v>117281</v>
      </c>
      <c r="N4" s="747"/>
      <c r="O4" s="747">
        <v>29871.172018301997</v>
      </c>
      <c r="P4" s="870"/>
      <c r="Q4" s="815"/>
      <c r="R4" s="818">
        <v>2</v>
      </c>
      <c r="T4" s="718"/>
      <c r="U4" s="577"/>
      <c r="V4" s="718"/>
      <c r="W4" s="577"/>
      <c r="X4" s="577"/>
      <c r="Y4" s="577"/>
      <c r="Z4" s="577"/>
      <c r="AA4" s="577"/>
      <c r="AB4" s="577"/>
      <c r="AC4" s="577"/>
      <c r="AD4" s="577"/>
      <c r="AE4" s="36" t="e">
        <f t="shared" ref="AE4:AF4" si="1">(AE3-AD3)/AD3</f>
        <v>#DIV/0!</v>
      </c>
      <c r="AF4" s="36">
        <f t="shared" si="1"/>
        <v>1.7468871956885339E-2</v>
      </c>
    </row>
    <row r="5" spans="1:32" ht="14.4">
      <c r="A5" s="743">
        <f t="shared" ref="A5:A14" si="2">A4+0</f>
        <v>2003</v>
      </c>
      <c r="B5" s="744" t="s">
        <v>182</v>
      </c>
      <c r="C5" s="745">
        <v>89628</v>
      </c>
      <c r="D5" s="745">
        <v>6494</v>
      </c>
      <c r="E5" s="745">
        <v>1105</v>
      </c>
      <c r="F5" s="746">
        <v>1344</v>
      </c>
      <c r="G5" s="746">
        <v>124</v>
      </c>
      <c r="H5" s="745">
        <v>4</v>
      </c>
      <c r="I5" s="747">
        <v>19157</v>
      </c>
      <c r="J5" s="747"/>
      <c r="K5" s="747"/>
      <c r="L5" s="747"/>
      <c r="M5" s="747">
        <f t="shared" si="0"/>
        <v>117856</v>
      </c>
      <c r="N5" s="747"/>
      <c r="O5" s="747">
        <v>29973.73182212844</v>
      </c>
      <c r="P5" s="870"/>
      <c r="Q5" s="815"/>
      <c r="R5" s="818">
        <v>2</v>
      </c>
      <c r="T5" s="718"/>
      <c r="U5" s="577"/>
      <c r="V5" s="718"/>
    </row>
    <row r="6" spans="1:32" ht="14.4">
      <c r="A6" s="743">
        <f t="shared" si="2"/>
        <v>2003</v>
      </c>
      <c r="B6" s="744" t="s">
        <v>183</v>
      </c>
      <c r="C6" s="745">
        <v>90127</v>
      </c>
      <c r="D6" s="745">
        <v>6472</v>
      </c>
      <c r="E6" s="745">
        <v>1105</v>
      </c>
      <c r="F6" s="746">
        <v>1345</v>
      </c>
      <c r="G6" s="746">
        <v>124</v>
      </c>
      <c r="H6" s="745">
        <v>4</v>
      </c>
      <c r="I6" s="747">
        <v>19172</v>
      </c>
      <c r="J6" s="747"/>
      <c r="K6" s="747"/>
      <c r="L6" s="747"/>
      <c r="M6" s="747">
        <f t="shared" si="0"/>
        <v>118349</v>
      </c>
      <c r="N6" s="747"/>
      <c r="O6" s="747">
        <v>30076.643755203593</v>
      </c>
      <c r="P6" s="870"/>
      <c r="Q6" s="815"/>
      <c r="R6" s="818">
        <v>2</v>
      </c>
      <c r="T6" s="718"/>
      <c r="U6" s="577"/>
      <c r="V6" s="718"/>
    </row>
    <row r="7" spans="1:32" ht="14.4">
      <c r="A7" s="743">
        <f t="shared" si="2"/>
        <v>2003</v>
      </c>
      <c r="B7" s="744" t="s">
        <v>184</v>
      </c>
      <c r="C7" s="745">
        <v>90572</v>
      </c>
      <c r="D7" s="745">
        <v>6510</v>
      </c>
      <c r="E7" s="745">
        <v>1105</v>
      </c>
      <c r="F7" s="746">
        <v>1344</v>
      </c>
      <c r="G7" s="746">
        <v>124</v>
      </c>
      <c r="H7" s="745">
        <v>4</v>
      </c>
      <c r="I7" s="747">
        <v>19187</v>
      </c>
      <c r="J7" s="747"/>
      <c r="K7" s="747"/>
      <c r="L7" s="747"/>
      <c r="M7" s="747">
        <f t="shared" si="0"/>
        <v>118846</v>
      </c>
      <c r="N7" s="747"/>
      <c r="O7" s="747">
        <v>30179.909026529454</v>
      </c>
      <c r="P7" s="870"/>
      <c r="Q7" s="815"/>
      <c r="R7" s="818">
        <v>2</v>
      </c>
      <c r="T7" s="718"/>
      <c r="U7" s="577"/>
      <c r="V7" s="718"/>
    </row>
    <row r="8" spans="1:32" ht="14.4">
      <c r="A8" s="743">
        <f t="shared" si="2"/>
        <v>2003</v>
      </c>
      <c r="B8" s="744" t="s">
        <v>185</v>
      </c>
      <c r="C8" s="745">
        <v>91036</v>
      </c>
      <c r="D8" s="745">
        <v>6530</v>
      </c>
      <c r="E8" s="745">
        <v>1105</v>
      </c>
      <c r="F8" s="746">
        <v>1350</v>
      </c>
      <c r="G8" s="746">
        <v>124</v>
      </c>
      <c r="H8" s="745">
        <v>4</v>
      </c>
      <c r="I8" s="747">
        <v>19202</v>
      </c>
      <c r="J8" s="747"/>
      <c r="K8" s="747"/>
      <c r="L8" s="747"/>
      <c r="M8" s="747">
        <f t="shared" si="0"/>
        <v>119351</v>
      </c>
      <c r="N8" s="747"/>
      <c r="O8" s="747">
        <v>30283.528849259019</v>
      </c>
      <c r="P8" s="870"/>
      <c r="Q8" s="815"/>
      <c r="R8" s="818">
        <v>2</v>
      </c>
      <c r="T8" s="718"/>
      <c r="U8" s="577"/>
      <c r="V8" s="718"/>
    </row>
    <row r="9" spans="1:32" ht="14.4">
      <c r="A9" s="743">
        <f t="shared" si="2"/>
        <v>2003</v>
      </c>
      <c r="B9" s="744" t="s">
        <v>186</v>
      </c>
      <c r="C9" s="745">
        <v>91828</v>
      </c>
      <c r="D9" s="745">
        <v>6504</v>
      </c>
      <c r="E9" s="745">
        <v>1105</v>
      </c>
      <c r="F9" s="746">
        <v>1350</v>
      </c>
      <c r="G9" s="746">
        <v>124</v>
      </c>
      <c r="H9" s="745">
        <v>4</v>
      </c>
      <c r="I9" s="747">
        <v>19217</v>
      </c>
      <c r="J9" s="747"/>
      <c r="K9" s="747"/>
      <c r="L9" s="747"/>
      <c r="M9" s="747">
        <f t="shared" si="0"/>
        <v>120132</v>
      </c>
      <c r="N9" s="747"/>
      <c r="O9" s="747">
        <v>30387.504440710516</v>
      </c>
      <c r="P9" s="870"/>
      <c r="Q9" s="815"/>
      <c r="R9" s="818">
        <v>2</v>
      </c>
      <c r="T9" s="718"/>
      <c r="U9" s="577"/>
      <c r="V9" s="718"/>
    </row>
    <row r="10" spans="1:32" ht="14.4">
      <c r="A10" s="743">
        <f t="shared" si="2"/>
        <v>2003</v>
      </c>
      <c r="B10" s="744" t="s">
        <v>187</v>
      </c>
      <c r="C10" s="745">
        <v>92229</v>
      </c>
      <c r="D10" s="745">
        <v>6523</v>
      </c>
      <c r="E10" s="745">
        <v>1105</v>
      </c>
      <c r="F10" s="746">
        <v>1349</v>
      </c>
      <c r="G10" s="746">
        <v>124</v>
      </c>
      <c r="H10" s="745">
        <v>4</v>
      </c>
      <c r="I10" s="747">
        <v>19232</v>
      </c>
      <c r="J10" s="747"/>
      <c r="K10" s="747"/>
      <c r="L10" s="747"/>
      <c r="M10" s="747">
        <f t="shared" si="0"/>
        <v>120566</v>
      </c>
      <c r="N10" s="747"/>
      <c r="O10" s="747">
        <v>30491.837022381733</v>
      </c>
      <c r="P10" s="870"/>
      <c r="Q10" s="815"/>
      <c r="R10" s="818">
        <v>2</v>
      </c>
      <c r="T10" s="718"/>
      <c r="U10" s="577"/>
      <c r="V10" s="718"/>
    </row>
    <row r="11" spans="1:32" ht="14.4">
      <c r="A11" s="743">
        <f t="shared" si="2"/>
        <v>2003</v>
      </c>
      <c r="B11" s="744" t="s">
        <v>188</v>
      </c>
      <c r="C11" s="745">
        <v>93180</v>
      </c>
      <c r="D11" s="745">
        <v>6512</v>
      </c>
      <c r="E11" s="745">
        <v>1105</v>
      </c>
      <c r="F11" s="746">
        <v>1393</v>
      </c>
      <c r="G11" s="746">
        <v>127</v>
      </c>
      <c r="H11" s="745">
        <v>4</v>
      </c>
      <c r="I11" s="747">
        <v>19247</v>
      </c>
      <c r="J11" s="747"/>
      <c r="K11" s="747"/>
      <c r="L11" s="747"/>
      <c r="M11" s="747">
        <f t="shared" si="0"/>
        <v>121568</v>
      </c>
      <c r="N11" s="747"/>
      <c r="O11" s="747">
        <v>30596.52781996434</v>
      </c>
      <c r="P11" s="870"/>
      <c r="Q11" s="815"/>
      <c r="R11" s="818">
        <v>2</v>
      </c>
      <c r="T11" s="718"/>
      <c r="U11" s="577"/>
      <c r="V11" s="718"/>
    </row>
    <row r="12" spans="1:32" ht="14.4">
      <c r="A12" s="743">
        <f t="shared" si="2"/>
        <v>2003</v>
      </c>
      <c r="B12" s="744" t="s">
        <v>189</v>
      </c>
      <c r="C12" s="745">
        <v>94084</v>
      </c>
      <c r="D12" s="745">
        <v>6529</v>
      </c>
      <c r="E12" s="745">
        <v>1105</v>
      </c>
      <c r="F12" s="746">
        <v>1392</v>
      </c>
      <c r="G12" s="746">
        <v>131</v>
      </c>
      <c r="H12" s="745">
        <v>4</v>
      </c>
      <c r="I12" s="747">
        <v>19262</v>
      </c>
      <c r="J12" s="747"/>
      <c r="K12" s="747"/>
      <c r="L12" s="747"/>
      <c r="M12" s="747">
        <f t="shared" si="0"/>
        <v>122507</v>
      </c>
      <c r="N12" s="747"/>
      <c r="O12" s="747">
        <v>30701.578063358313</v>
      </c>
      <c r="P12" s="870"/>
      <c r="Q12" s="815"/>
      <c r="R12" s="818">
        <v>2</v>
      </c>
      <c r="T12" s="591"/>
      <c r="U12" s="577"/>
    </row>
    <row r="13" spans="1:32" ht="14.4">
      <c r="A13" s="743">
        <f t="shared" si="2"/>
        <v>2003</v>
      </c>
      <c r="B13" s="744" t="s">
        <v>190</v>
      </c>
      <c r="C13" s="745">
        <v>94708</v>
      </c>
      <c r="D13" s="745">
        <v>6559</v>
      </c>
      <c r="E13" s="745">
        <v>1105</v>
      </c>
      <c r="F13" s="746">
        <v>1391</v>
      </c>
      <c r="G13" s="746">
        <v>132</v>
      </c>
      <c r="H13" s="745">
        <v>4</v>
      </c>
      <c r="I13" s="747">
        <v>19277</v>
      </c>
      <c r="J13" s="747"/>
      <c r="K13" s="747"/>
      <c r="L13" s="747"/>
      <c r="M13" s="747">
        <f t="shared" si="0"/>
        <v>123176</v>
      </c>
      <c r="N13" s="747"/>
      <c r="O13" s="747">
        <v>30806.988986686363</v>
      </c>
      <c r="P13" s="870"/>
      <c r="Q13" s="815"/>
      <c r="R13" s="818">
        <v>2</v>
      </c>
      <c r="T13" s="591"/>
      <c r="U13" s="577"/>
    </row>
    <row r="14" spans="1:32" ht="14.4">
      <c r="A14" s="743">
        <f t="shared" si="2"/>
        <v>2003</v>
      </c>
      <c r="B14" s="744" t="s">
        <v>191</v>
      </c>
      <c r="C14" s="745">
        <v>94708</v>
      </c>
      <c r="D14" s="745">
        <v>6559</v>
      </c>
      <c r="E14" s="745">
        <v>1105</v>
      </c>
      <c r="F14" s="746">
        <v>1391</v>
      </c>
      <c r="G14" s="746">
        <v>132</v>
      </c>
      <c r="H14" s="745">
        <v>4</v>
      </c>
      <c r="I14" s="747">
        <v>19292</v>
      </c>
      <c r="J14" s="747"/>
      <c r="K14" s="747"/>
      <c r="L14" s="747"/>
      <c r="M14" s="747">
        <f t="shared" si="0"/>
        <v>123191</v>
      </c>
      <c r="N14" s="747"/>
      <c r="O14" s="747">
        <v>30912.761828308448</v>
      </c>
      <c r="P14" s="870"/>
      <c r="Q14" s="815"/>
      <c r="R14" s="818">
        <v>2</v>
      </c>
    </row>
    <row r="15" spans="1:32" ht="14.4">
      <c r="A15" s="743">
        <f>A14+1</f>
        <v>2004</v>
      </c>
      <c r="B15" s="744" t="s">
        <v>180</v>
      </c>
      <c r="C15" s="745">
        <v>95064</v>
      </c>
      <c r="D15" s="745">
        <v>6544</v>
      </c>
      <c r="E15" s="745">
        <v>1130</v>
      </c>
      <c r="F15" s="746">
        <v>1390</v>
      </c>
      <c r="G15" s="746">
        <v>132</v>
      </c>
      <c r="H15" s="745">
        <v>4</v>
      </c>
      <c r="I15" s="747">
        <v>19305.86175526931</v>
      </c>
      <c r="J15" s="747"/>
      <c r="K15" s="747"/>
      <c r="L15" s="747"/>
      <c r="M15" s="747">
        <f t="shared" si="0"/>
        <v>123569.86175526932</v>
      </c>
      <c r="N15" s="747"/>
      <c r="O15" s="747">
        <v>31018.839876507551</v>
      </c>
      <c r="P15" s="870"/>
      <c r="Q15" s="850"/>
      <c r="R15" s="818">
        <v>2</v>
      </c>
      <c r="S15" s="736"/>
    </row>
    <row r="16" spans="1:32" ht="14.4">
      <c r="A16" s="743">
        <f>A15+0</f>
        <v>2004</v>
      </c>
      <c r="B16" s="744" t="s">
        <v>181</v>
      </c>
      <c r="C16" s="745">
        <v>95895</v>
      </c>
      <c r="D16" s="745">
        <v>6589</v>
      </c>
      <c r="E16" s="745">
        <v>1130</v>
      </c>
      <c r="F16" s="746">
        <v>1394</v>
      </c>
      <c r="G16" s="746">
        <v>135</v>
      </c>
      <c r="H16" s="745">
        <v>3</v>
      </c>
      <c r="I16" s="747">
        <v>19319.733470535466</v>
      </c>
      <c r="J16" s="747"/>
      <c r="K16" s="747"/>
      <c r="L16" s="747"/>
      <c r="M16" s="747">
        <f t="shared" si="0"/>
        <v>124465.73347053546</v>
      </c>
      <c r="N16" s="747"/>
      <c r="O16" s="747">
        <v>31125.281934637962</v>
      </c>
      <c r="P16" s="870"/>
      <c r="Q16" s="815"/>
      <c r="R16" s="818">
        <v>2</v>
      </c>
      <c r="T16" s="718"/>
      <c r="V16" s="591"/>
    </row>
    <row r="17" spans="1:23" ht="14.4">
      <c r="A17" s="743">
        <f t="shared" ref="A17:A26" si="3">A16+0</f>
        <v>2004</v>
      </c>
      <c r="B17" s="744" t="s">
        <v>182</v>
      </c>
      <c r="C17" s="745">
        <v>96285</v>
      </c>
      <c r="D17" s="745">
        <v>6604</v>
      </c>
      <c r="E17" s="745">
        <v>1130</v>
      </c>
      <c r="F17" s="746">
        <v>1394</v>
      </c>
      <c r="G17" s="746">
        <v>134</v>
      </c>
      <c r="H17" s="745">
        <v>3</v>
      </c>
      <c r="I17" s="747">
        <v>19333.615152954961</v>
      </c>
      <c r="J17" s="747"/>
      <c r="K17" s="747"/>
      <c r="L17" s="747"/>
      <c r="M17" s="747">
        <f t="shared" si="0"/>
        <v>124883.61515295497</v>
      </c>
      <c r="N17" s="747"/>
      <c r="O17" s="747">
        <v>31232.08925181043</v>
      </c>
      <c r="P17" s="870"/>
      <c r="Q17" s="815"/>
      <c r="R17" s="818">
        <v>2</v>
      </c>
      <c r="V17" s="736"/>
    </row>
    <row r="18" spans="1:23" ht="14.4">
      <c r="A18" s="743">
        <f t="shared" si="3"/>
        <v>2004</v>
      </c>
      <c r="B18" s="744" t="s">
        <v>183</v>
      </c>
      <c r="C18" s="745">
        <v>96725</v>
      </c>
      <c r="D18" s="745">
        <v>6606</v>
      </c>
      <c r="E18" s="745">
        <v>1130</v>
      </c>
      <c r="F18" s="746">
        <v>1395</v>
      </c>
      <c r="G18" s="746">
        <v>136</v>
      </c>
      <c r="H18" s="745">
        <v>3</v>
      </c>
      <c r="I18" s="747">
        <v>19347.506809689425</v>
      </c>
      <c r="J18" s="747"/>
      <c r="K18" s="747"/>
      <c r="L18" s="747"/>
      <c r="M18" s="747">
        <f t="shared" si="0"/>
        <v>125342.50680968942</v>
      </c>
      <c r="N18" s="747"/>
      <c r="O18" s="747">
        <v>31339.263081422065</v>
      </c>
      <c r="P18" s="870"/>
      <c r="Q18" s="815"/>
      <c r="R18" s="818">
        <v>2</v>
      </c>
      <c r="W18" s="591"/>
    </row>
    <row r="19" spans="1:23" ht="14.4">
      <c r="A19" s="743">
        <f t="shared" si="3"/>
        <v>2004</v>
      </c>
      <c r="B19" s="744" t="s">
        <v>184</v>
      </c>
      <c r="C19" s="745">
        <v>97077</v>
      </c>
      <c r="D19" s="745">
        <v>6609</v>
      </c>
      <c r="E19" s="745">
        <v>1130</v>
      </c>
      <c r="F19" s="746">
        <v>1404</v>
      </c>
      <c r="G19" s="746">
        <v>118</v>
      </c>
      <c r="H19" s="745">
        <v>3</v>
      </c>
      <c r="I19" s="747">
        <v>19361.40844790564</v>
      </c>
      <c r="J19" s="747"/>
      <c r="K19" s="747"/>
      <c r="L19" s="747"/>
      <c r="M19" s="747">
        <f t="shared" si="0"/>
        <v>125702.40844790565</v>
      </c>
      <c r="N19" s="747"/>
      <c r="O19" s="747">
        <v>31446.804681171041</v>
      </c>
      <c r="P19" s="870"/>
      <c r="Q19" s="815"/>
      <c r="R19" s="818">
        <v>2</v>
      </c>
    </row>
    <row r="20" spans="1:23" ht="14.4">
      <c r="A20" s="743">
        <f t="shared" si="3"/>
        <v>2004</v>
      </c>
      <c r="B20" s="744" t="s">
        <v>185</v>
      </c>
      <c r="C20" s="745">
        <v>97807</v>
      </c>
      <c r="D20" s="745">
        <v>6615</v>
      </c>
      <c r="E20" s="745">
        <v>1130</v>
      </c>
      <c r="F20" s="746">
        <v>1397</v>
      </c>
      <c r="G20" s="746">
        <v>118</v>
      </c>
      <c r="H20" s="745">
        <v>3</v>
      </c>
      <c r="I20" s="747">
        <v>19375.320074775536</v>
      </c>
      <c r="J20" s="747"/>
      <c r="K20" s="747"/>
      <c r="L20" s="747"/>
      <c r="M20" s="747">
        <f t="shared" si="0"/>
        <v>126445.32007477553</v>
      </c>
      <c r="N20" s="747"/>
      <c r="O20" s="747">
        <v>31554.715313071363</v>
      </c>
      <c r="P20" s="870"/>
      <c r="Q20" s="815"/>
      <c r="R20" s="818">
        <v>2</v>
      </c>
    </row>
    <row r="21" spans="1:23" ht="14.4">
      <c r="A21" s="743">
        <f t="shared" si="3"/>
        <v>2004</v>
      </c>
      <c r="B21" s="744" t="s">
        <v>186</v>
      </c>
      <c r="C21" s="745">
        <v>98313</v>
      </c>
      <c r="D21" s="745">
        <v>6600</v>
      </c>
      <c r="E21" s="745">
        <v>1130</v>
      </c>
      <c r="F21" s="746">
        <v>1408</v>
      </c>
      <c r="G21" s="746">
        <v>118</v>
      </c>
      <c r="H21" s="745">
        <v>3</v>
      </c>
      <c r="I21" s="747">
        <v>19389.241697476195</v>
      </c>
      <c r="J21" s="747"/>
      <c r="K21" s="747"/>
      <c r="L21" s="747"/>
      <c r="M21" s="747">
        <f t="shared" si="0"/>
        <v>126961.24169747619</v>
      </c>
      <c r="N21" s="747"/>
      <c r="O21" s="747">
        <v>31662.996243467678</v>
      </c>
      <c r="P21" s="870"/>
      <c r="Q21" s="815"/>
      <c r="R21" s="818">
        <v>2</v>
      </c>
    </row>
    <row r="22" spans="1:23" ht="14.4">
      <c r="A22" s="743">
        <f t="shared" si="3"/>
        <v>2004</v>
      </c>
      <c r="B22" s="744" t="s">
        <v>187</v>
      </c>
      <c r="C22" s="745">
        <v>99031</v>
      </c>
      <c r="D22" s="745">
        <v>6651</v>
      </c>
      <c r="E22" s="745">
        <v>1130</v>
      </c>
      <c r="F22" s="746">
        <v>1420</v>
      </c>
      <c r="G22" s="746">
        <v>119</v>
      </c>
      <c r="H22" s="745">
        <v>3</v>
      </c>
      <c r="I22" s="747">
        <v>19403.173323189854</v>
      </c>
      <c r="J22" s="747"/>
      <c r="K22" s="747"/>
      <c r="L22" s="747"/>
      <c r="M22" s="747">
        <f t="shared" si="0"/>
        <v>127757.17332318985</v>
      </c>
      <c r="N22" s="747"/>
      <c r="O22" s="747">
        <v>31771.648743050122</v>
      </c>
      <c r="P22" s="870"/>
      <c r="Q22" s="815"/>
      <c r="R22" s="818">
        <v>2</v>
      </c>
    </row>
    <row r="23" spans="1:23" ht="14.4">
      <c r="A23" s="743">
        <f t="shared" si="3"/>
        <v>2004</v>
      </c>
      <c r="B23" s="744" t="s">
        <v>188</v>
      </c>
      <c r="C23" s="745">
        <v>99957</v>
      </c>
      <c r="D23" s="745">
        <v>6691</v>
      </c>
      <c r="E23" s="745">
        <v>1130</v>
      </c>
      <c r="F23" s="746">
        <v>1388</v>
      </c>
      <c r="G23" s="746">
        <v>118</v>
      </c>
      <c r="H23" s="745">
        <v>3</v>
      </c>
      <c r="I23" s="747">
        <v>19417.114959103914</v>
      </c>
      <c r="J23" s="747"/>
      <c r="K23" s="747"/>
      <c r="L23" s="747"/>
      <c r="M23" s="747">
        <f t="shared" si="0"/>
        <v>128704.11495910391</v>
      </c>
      <c r="N23" s="747"/>
      <c r="O23" s="747">
        <v>31880.67408686925</v>
      </c>
      <c r="P23" s="870"/>
      <c r="Q23" s="815"/>
      <c r="R23" s="818">
        <v>2</v>
      </c>
    </row>
    <row r="24" spans="1:23" ht="14.4">
      <c r="A24" s="743">
        <f t="shared" si="3"/>
        <v>2004</v>
      </c>
      <c r="B24" s="744" t="s">
        <v>189</v>
      </c>
      <c r="C24" s="745">
        <v>100574</v>
      </c>
      <c r="D24" s="745">
        <v>6703</v>
      </c>
      <c r="E24" s="745">
        <v>1130</v>
      </c>
      <c r="F24" s="746">
        <v>1376</v>
      </c>
      <c r="G24" s="746">
        <v>122</v>
      </c>
      <c r="H24" s="745">
        <v>3</v>
      </c>
      <c r="I24" s="747">
        <v>19431.066612410941</v>
      </c>
      <c r="J24" s="747"/>
      <c r="K24" s="747"/>
      <c r="L24" s="747"/>
      <c r="M24" s="747">
        <f t="shared" si="0"/>
        <v>129339.06661241094</v>
      </c>
      <c r="N24" s="747"/>
      <c r="O24" s="747">
        <v>31990.073554350987</v>
      </c>
      <c r="P24" s="870"/>
      <c r="Q24" s="815"/>
      <c r="R24" s="818">
        <v>2</v>
      </c>
    </row>
    <row r="25" spans="1:23" ht="14.4">
      <c r="A25" s="743">
        <f t="shared" si="3"/>
        <v>2004</v>
      </c>
      <c r="B25" s="744" t="s">
        <v>190</v>
      </c>
      <c r="C25" s="745">
        <v>101456</v>
      </c>
      <c r="D25" s="745">
        <v>6770</v>
      </c>
      <c r="E25" s="745">
        <v>1130</v>
      </c>
      <c r="F25" s="746">
        <v>1378</v>
      </c>
      <c r="G25" s="746">
        <v>121</v>
      </c>
      <c r="H25" s="745">
        <v>3</v>
      </c>
      <c r="I25" s="747">
        <v>19445.028290308666</v>
      </c>
      <c r="J25" s="747"/>
      <c r="K25" s="747"/>
      <c r="L25" s="747"/>
      <c r="M25" s="747">
        <f t="shared" si="0"/>
        <v>130303.02829030866</v>
      </c>
      <c r="N25" s="747"/>
      <c r="O25" s="747">
        <v>32099.848429311649</v>
      </c>
      <c r="P25" s="870"/>
      <c r="Q25" s="815"/>
      <c r="R25" s="818">
        <v>2</v>
      </c>
    </row>
    <row r="26" spans="1:23" ht="14.4">
      <c r="A26" s="743">
        <f t="shared" si="3"/>
        <v>2004</v>
      </c>
      <c r="B26" s="744" t="s">
        <v>191</v>
      </c>
      <c r="C26" s="745">
        <v>102070</v>
      </c>
      <c r="D26" s="745">
        <v>6797</v>
      </c>
      <c r="E26" s="745">
        <v>1130</v>
      </c>
      <c r="F26" s="746">
        <v>1376</v>
      </c>
      <c r="G26" s="746">
        <v>121</v>
      </c>
      <c r="H26" s="745">
        <v>3</v>
      </c>
      <c r="I26" s="747">
        <v>19458.999999999993</v>
      </c>
      <c r="J26" s="747"/>
      <c r="K26" s="747"/>
      <c r="L26" s="747"/>
      <c r="M26" s="747">
        <f t="shared" si="0"/>
        <v>130956</v>
      </c>
      <c r="N26" s="747"/>
      <c r="O26" s="747">
        <v>32209.999999972999</v>
      </c>
      <c r="P26" s="870"/>
      <c r="Q26" s="815"/>
      <c r="R26" s="818">
        <v>2</v>
      </c>
    </row>
    <row r="27" spans="1:23" ht="14.4">
      <c r="A27" s="743">
        <f>A26+1</f>
        <v>2005</v>
      </c>
      <c r="B27" s="744" t="s">
        <v>180</v>
      </c>
      <c r="C27" s="745">
        <v>102392</v>
      </c>
      <c r="D27" s="745">
        <v>6823</v>
      </c>
      <c r="E27" s="745">
        <v>1159</v>
      </c>
      <c r="F27" s="745">
        <v>1379</v>
      </c>
      <c r="G27" s="745">
        <v>125</v>
      </c>
      <c r="H27" s="745">
        <v>3</v>
      </c>
      <c r="I27" s="747">
        <v>19470.214385430376</v>
      </c>
      <c r="J27" s="747"/>
      <c r="K27" s="747"/>
      <c r="L27" s="747"/>
      <c r="M27" s="747">
        <f t="shared" si="0"/>
        <v>131351.21438543039</v>
      </c>
      <c r="N27" s="747"/>
      <c r="O27" s="747">
        <v>32320.598825294783</v>
      </c>
      <c r="P27" s="870">
        <v>73</v>
      </c>
      <c r="Q27" s="815"/>
      <c r="R27" s="818">
        <v>2</v>
      </c>
    </row>
    <row r="28" spans="1:23" ht="14.4">
      <c r="A28" s="743">
        <f>A27+0</f>
        <v>2005</v>
      </c>
      <c r="B28" s="744" t="s">
        <v>181</v>
      </c>
      <c r="C28" s="745">
        <v>102796</v>
      </c>
      <c r="D28" s="745">
        <v>6832</v>
      </c>
      <c r="E28" s="745">
        <v>1159</v>
      </c>
      <c r="F28" s="745">
        <v>1378</v>
      </c>
      <c r="G28" s="745">
        <v>126</v>
      </c>
      <c r="H28" s="745">
        <v>3</v>
      </c>
      <c r="I28" s="747">
        <v>19481.435233805441</v>
      </c>
      <c r="J28" s="747"/>
      <c r="K28" s="747"/>
      <c r="L28" s="747"/>
      <c r="M28" s="747">
        <f t="shared" si="0"/>
        <v>131775.43523380545</v>
      </c>
      <c r="N28" s="747"/>
      <c r="O28" s="747">
        <v>32431.57741156542</v>
      </c>
      <c r="P28" s="870">
        <v>72</v>
      </c>
      <c r="Q28" s="815"/>
      <c r="R28" s="818">
        <v>2</v>
      </c>
    </row>
    <row r="29" spans="1:23" ht="14.4">
      <c r="A29" s="743">
        <f t="shared" ref="A29:A38" si="4">A28+0</f>
        <v>2005</v>
      </c>
      <c r="B29" s="744" t="s">
        <v>182</v>
      </c>
      <c r="C29" s="745">
        <v>103098</v>
      </c>
      <c r="D29" s="745">
        <v>6860</v>
      </c>
      <c r="E29" s="745">
        <v>1159</v>
      </c>
      <c r="F29" s="745">
        <v>1362</v>
      </c>
      <c r="G29" s="745">
        <v>120</v>
      </c>
      <c r="H29" s="745">
        <v>3</v>
      </c>
      <c r="I29" s="747">
        <v>19492.662548849839</v>
      </c>
      <c r="J29" s="747"/>
      <c r="K29" s="747"/>
      <c r="L29" s="747"/>
      <c r="M29" s="747">
        <f t="shared" si="0"/>
        <v>132094.66254884982</v>
      </c>
      <c r="N29" s="747"/>
      <c r="O29" s="747">
        <v>32542.937062762398</v>
      </c>
      <c r="P29" s="870">
        <v>72</v>
      </c>
      <c r="Q29" s="815"/>
      <c r="R29" s="818">
        <v>2</v>
      </c>
    </row>
    <row r="30" spans="1:23" ht="14.4">
      <c r="A30" s="743">
        <f t="shared" si="4"/>
        <v>2005</v>
      </c>
      <c r="B30" s="744" t="s">
        <v>183</v>
      </c>
      <c r="C30" s="745">
        <v>103554</v>
      </c>
      <c r="D30" s="745">
        <v>6838</v>
      </c>
      <c r="E30" s="745">
        <v>1159</v>
      </c>
      <c r="F30" s="745">
        <v>1370</v>
      </c>
      <c r="G30" s="745">
        <v>120</v>
      </c>
      <c r="H30" s="745">
        <v>3</v>
      </c>
      <c r="I30" s="747">
        <v>19503.896334290363</v>
      </c>
      <c r="J30" s="747"/>
      <c r="K30" s="747"/>
      <c r="L30" s="747"/>
      <c r="M30" s="747">
        <f t="shared" si="0"/>
        <v>132547.89633429036</v>
      </c>
      <c r="N30" s="747"/>
      <c r="O30" s="747">
        <v>32654.679087340643</v>
      </c>
      <c r="P30" s="870">
        <v>72</v>
      </c>
      <c r="Q30" s="815"/>
      <c r="R30" s="818">
        <v>2</v>
      </c>
    </row>
    <row r="31" spans="1:23" ht="14.4">
      <c r="A31" s="743">
        <f t="shared" si="4"/>
        <v>2005</v>
      </c>
      <c r="B31" s="744" t="s">
        <v>184</v>
      </c>
      <c r="C31" s="745">
        <v>103932</v>
      </c>
      <c r="D31" s="745">
        <v>6864</v>
      </c>
      <c r="E31" s="745">
        <v>1159</v>
      </c>
      <c r="F31" s="745">
        <v>1353</v>
      </c>
      <c r="G31" s="745">
        <v>120</v>
      </c>
      <c r="H31" s="745">
        <v>3</v>
      </c>
      <c r="I31" s="747">
        <v>19515.136593855957</v>
      </c>
      <c r="J31" s="747"/>
      <c r="K31" s="747"/>
      <c r="L31" s="747"/>
      <c r="M31" s="747">
        <f t="shared" si="0"/>
        <v>132946.13659385595</v>
      </c>
      <c r="N31" s="747"/>
      <c r="O31" s="747">
        <v>32766.8047982479</v>
      </c>
      <c r="P31" s="870">
        <v>72</v>
      </c>
      <c r="Q31" s="815"/>
      <c r="R31" s="818">
        <v>2</v>
      </c>
    </row>
    <row r="32" spans="1:23" ht="14.4">
      <c r="A32" s="743">
        <f t="shared" si="4"/>
        <v>2005</v>
      </c>
      <c r="B32" s="744" t="s">
        <v>185</v>
      </c>
      <c r="C32" s="745">
        <v>104397</v>
      </c>
      <c r="D32" s="745">
        <v>6870</v>
      </c>
      <c r="E32" s="745">
        <v>1159</v>
      </c>
      <c r="F32" s="745">
        <v>1351</v>
      </c>
      <c r="G32" s="745">
        <v>120</v>
      </c>
      <c r="H32" s="745">
        <v>3</v>
      </c>
      <c r="I32" s="747">
        <v>19526.383331277717</v>
      </c>
      <c r="J32" s="747"/>
      <c r="K32" s="747"/>
      <c r="L32" s="747"/>
      <c r="M32" s="747">
        <f t="shared" si="0"/>
        <v>133426.38333127773</v>
      </c>
      <c r="N32" s="747"/>
      <c r="O32" s="747">
        <v>32879.315512940157</v>
      </c>
      <c r="P32" s="870">
        <v>72</v>
      </c>
      <c r="Q32" s="815"/>
      <c r="R32" s="818">
        <v>2</v>
      </c>
    </row>
    <row r="33" spans="1:18" ht="14.4">
      <c r="A33" s="743">
        <f t="shared" si="4"/>
        <v>2005</v>
      </c>
      <c r="B33" s="744" t="s">
        <v>186</v>
      </c>
      <c r="C33" s="745">
        <v>104872</v>
      </c>
      <c r="D33" s="745">
        <v>6891</v>
      </c>
      <c r="E33" s="745">
        <v>1159</v>
      </c>
      <c r="F33" s="745">
        <v>1354</v>
      </c>
      <c r="G33" s="745">
        <v>120</v>
      </c>
      <c r="H33" s="745">
        <v>3</v>
      </c>
      <c r="I33" s="747">
        <v>19537.636550288884</v>
      </c>
      <c r="J33" s="747"/>
      <c r="K33" s="747"/>
      <c r="L33" s="747"/>
      <c r="M33" s="747">
        <f t="shared" si="0"/>
        <v>133936.63655028888</v>
      </c>
      <c r="N33" s="747"/>
      <c r="O33" s="747">
        <v>32992.212553397112</v>
      </c>
      <c r="P33" s="870">
        <v>72</v>
      </c>
      <c r="Q33" s="815"/>
      <c r="R33" s="818">
        <v>2</v>
      </c>
    </row>
    <row r="34" spans="1:18" ht="14.4">
      <c r="A34" s="743">
        <f t="shared" si="4"/>
        <v>2005</v>
      </c>
      <c r="B34" s="744" t="s">
        <v>187</v>
      </c>
      <c r="C34" s="745">
        <v>105326</v>
      </c>
      <c r="D34" s="745">
        <v>6895</v>
      </c>
      <c r="E34" s="745">
        <v>1159</v>
      </c>
      <c r="F34" s="745">
        <v>1359</v>
      </c>
      <c r="G34" s="745">
        <v>120</v>
      </c>
      <c r="H34" s="745">
        <v>3</v>
      </c>
      <c r="I34" s="747">
        <v>19548.896254624855</v>
      </c>
      <c r="J34" s="747"/>
      <c r="K34" s="747"/>
      <c r="L34" s="747"/>
      <c r="M34" s="747">
        <f t="shared" si="0"/>
        <v>134410.89625462485</v>
      </c>
      <c r="N34" s="747"/>
      <c r="O34" s="747">
        <v>33105.497246137733</v>
      </c>
      <c r="P34" s="870">
        <v>72</v>
      </c>
      <c r="Q34" s="815"/>
      <c r="R34" s="818">
        <v>2</v>
      </c>
    </row>
    <row r="35" spans="1:18" ht="14.4">
      <c r="A35" s="743">
        <f t="shared" si="4"/>
        <v>2005</v>
      </c>
      <c r="B35" s="744" t="s">
        <v>188</v>
      </c>
      <c r="C35" s="745">
        <v>106046</v>
      </c>
      <c r="D35" s="745">
        <v>6931</v>
      </c>
      <c r="E35" s="745">
        <v>1159</v>
      </c>
      <c r="F35" s="745">
        <v>1366</v>
      </c>
      <c r="G35" s="745">
        <v>120</v>
      </c>
      <c r="H35" s="745">
        <v>3</v>
      </c>
      <c r="I35" s="747">
        <v>19560.162448023173</v>
      </c>
      <c r="J35" s="747"/>
      <c r="K35" s="747"/>
      <c r="L35" s="747"/>
      <c r="M35" s="747">
        <f t="shared" si="0"/>
        <v>135185.16244802318</v>
      </c>
      <c r="N35" s="747"/>
      <c r="O35" s="747">
        <v>33219.170922235826</v>
      </c>
      <c r="P35" s="870">
        <v>72</v>
      </c>
      <c r="Q35" s="815"/>
      <c r="R35" s="818">
        <v>2</v>
      </c>
    </row>
    <row r="36" spans="1:18" ht="14.4">
      <c r="A36" s="743">
        <f t="shared" si="4"/>
        <v>2005</v>
      </c>
      <c r="B36" s="744" t="s">
        <v>189</v>
      </c>
      <c r="C36" s="745">
        <v>106556</v>
      </c>
      <c r="D36" s="745">
        <v>6940</v>
      </c>
      <c r="E36" s="745">
        <v>1159</v>
      </c>
      <c r="F36" s="745">
        <v>1364</v>
      </c>
      <c r="G36" s="745">
        <v>120</v>
      </c>
      <c r="H36" s="745">
        <v>3</v>
      </c>
      <c r="I36" s="747">
        <v>19571.435134223542</v>
      </c>
      <c r="J36" s="747"/>
      <c r="K36" s="747"/>
      <c r="L36" s="747"/>
      <c r="M36" s="747">
        <f t="shared" si="0"/>
        <v>135713.43513422355</v>
      </c>
      <c r="N36" s="747"/>
      <c r="O36" s="747">
        <v>33333.234917335671</v>
      </c>
      <c r="P36" s="870">
        <v>72</v>
      </c>
      <c r="Q36" s="815"/>
      <c r="R36" s="818">
        <v>2</v>
      </c>
    </row>
    <row r="37" spans="1:18" ht="14.4">
      <c r="A37" s="743">
        <f t="shared" si="4"/>
        <v>2005</v>
      </c>
      <c r="B37" s="744" t="s">
        <v>190</v>
      </c>
      <c r="C37" s="745">
        <v>107280</v>
      </c>
      <c r="D37" s="745">
        <v>6965</v>
      </c>
      <c r="E37" s="745">
        <v>1159</v>
      </c>
      <c r="F37" s="745">
        <v>1360</v>
      </c>
      <c r="G37" s="745">
        <v>117</v>
      </c>
      <c r="H37" s="745">
        <v>3</v>
      </c>
      <c r="I37" s="747">
        <v>19582.71431696782</v>
      </c>
      <c r="J37" s="747"/>
      <c r="K37" s="747"/>
      <c r="L37" s="747"/>
      <c r="M37" s="747">
        <f t="shared" si="0"/>
        <v>136466.71431696782</v>
      </c>
      <c r="N37" s="747"/>
      <c r="O37" s="747">
        <v>33447.690571667728</v>
      </c>
      <c r="P37" s="870">
        <v>72</v>
      </c>
      <c r="Q37" s="815"/>
      <c r="R37" s="818">
        <v>2</v>
      </c>
    </row>
    <row r="38" spans="1:18" ht="14.4">
      <c r="A38" s="743">
        <f t="shared" si="4"/>
        <v>2005</v>
      </c>
      <c r="B38" s="744" t="s">
        <v>191</v>
      </c>
      <c r="C38" s="745">
        <v>107609</v>
      </c>
      <c r="D38" s="745">
        <v>6991</v>
      </c>
      <c r="E38" s="745">
        <v>1159</v>
      </c>
      <c r="F38" s="745">
        <v>1369</v>
      </c>
      <c r="G38" s="745">
        <v>118</v>
      </c>
      <c r="H38" s="745">
        <v>3</v>
      </c>
      <c r="I38" s="747">
        <v>19594.000000000018</v>
      </c>
      <c r="J38" s="747"/>
      <c r="K38" s="747"/>
      <c r="L38" s="747"/>
      <c r="M38" s="747">
        <f t="shared" si="0"/>
        <v>136843.00000000003</v>
      </c>
      <c r="N38" s="747"/>
      <c r="O38" s="747">
        <v>33562.53923006438</v>
      </c>
      <c r="P38" s="870">
        <v>74</v>
      </c>
      <c r="Q38" s="815"/>
      <c r="R38" s="818">
        <v>2</v>
      </c>
    </row>
    <row r="39" spans="1:18" ht="14.4">
      <c r="A39" s="743">
        <f>A38+1</f>
        <v>2006</v>
      </c>
      <c r="B39" s="744" t="s">
        <v>180</v>
      </c>
      <c r="C39" s="745">
        <v>108069</v>
      </c>
      <c r="D39" s="745">
        <v>7029</v>
      </c>
      <c r="E39" s="745">
        <v>1207</v>
      </c>
      <c r="F39" s="745">
        <v>1381</v>
      </c>
      <c r="G39" s="745">
        <v>119</v>
      </c>
      <c r="H39" s="745">
        <v>3</v>
      </c>
      <c r="I39" s="747">
        <v>19610.341498959981</v>
      </c>
      <c r="J39" s="747"/>
      <c r="K39" s="747"/>
      <c r="L39" s="747"/>
      <c r="M39" s="747">
        <f t="shared" si="0"/>
        <v>137418.34149895998</v>
      </c>
      <c r="N39" s="747"/>
      <c r="O39" s="747">
        <v>33677.774372502368</v>
      </c>
      <c r="P39" s="870">
        <v>72</v>
      </c>
      <c r="Q39" s="815"/>
      <c r="R39" s="818">
        <v>2</v>
      </c>
    </row>
    <row r="40" spans="1:18" ht="14.4">
      <c r="A40" s="743">
        <f>A39+0</f>
        <v>2006</v>
      </c>
      <c r="B40" s="744" t="s">
        <v>181</v>
      </c>
      <c r="C40" s="745">
        <v>108299</v>
      </c>
      <c r="D40" s="745">
        <v>7051</v>
      </c>
      <c r="E40" s="745">
        <v>1207</v>
      </c>
      <c r="F40" s="745">
        <v>1378</v>
      </c>
      <c r="G40" s="745">
        <v>118</v>
      </c>
      <c r="H40" s="745">
        <v>4</v>
      </c>
      <c r="I40" s="747">
        <v>19626.696626815945</v>
      </c>
      <c r="J40" s="747"/>
      <c r="K40" s="747"/>
      <c r="L40" s="747"/>
      <c r="M40" s="747">
        <f t="shared" si="0"/>
        <v>137683.69662681594</v>
      </c>
      <c r="N40" s="747"/>
      <c r="O40" s="747">
        <v>33793.40516849808</v>
      </c>
      <c r="P40" s="870">
        <v>72</v>
      </c>
      <c r="Q40" s="815"/>
      <c r="R40" s="818">
        <v>2</v>
      </c>
    </row>
    <row r="41" spans="1:18" ht="14.4">
      <c r="A41" s="743">
        <f t="shared" ref="A41:A50" si="5">A40+0</f>
        <v>2006</v>
      </c>
      <c r="B41" s="744" t="s">
        <v>182</v>
      </c>
      <c r="C41" s="745">
        <v>108662</v>
      </c>
      <c r="D41" s="745">
        <v>7047</v>
      </c>
      <c r="E41" s="745">
        <v>1207</v>
      </c>
      <c r="F41" s="745">
        <v>1396</v>
      </c>
      <c r="G41" s="745">
        <v>118</v>
      </c>
      <c r="H41" s="745">
        <v>4</v>
      </c>
      <c r="I41" s="747">
        <v>19643.065394934481</v>
      </c>
      <c r="J41" s="747"/>
      <c r="K41" s="747"/>
      <c r="L41" s="747"/>
      <c r="M41" s="747">
        <f t="shared" si="0"/>
        <v>138077.06539493447</v>
      </c>
      <c r="N41" s="747"/>
      <c r="O41" s="747">
        <v>33909.432976506367</v>
      </c>
      <c r="P41" s="870">
        <v>72</v>
      </c>
      <c r="Q41" s="815"/>
      <c r="R41" s="818">
        <v>2</v>
      </c>
    </row>
    <row r="42" spans="1:18" ht="14.4">
      <c r="A42" s="743">
        <f t="shared" si="5"/>
        <v>2006</v>
      </c>
      <c r="B42" s="744" t="s">
        <v>183</v>
      </c>
      <c r="C42" s="745">
        <v>108948</v>
      </c>
      <c r="D42" s="745">
        <v>7042</v>
      </c>
      <c r="E42" s="745">
        <v>1207</v>
      </c>
      <c r="F42" s="745">
        <v>1398</v>
      </c>
      <c r="G42" s="745">
        <v>118</v>
      </c>
      <c r="H42" s="745">
        <v>4</v>
      </c>
      <c r="I42" s="747">
        <v>19659.447814691641</v>
      </c>
      <c r="J42" s="747"/>
      <c r="K42" s="747"/>
      <c r="L42" s="747"/>
      <c r="M42" s="747">
        <f t="shared" si="0"/>
        <v>138376.44781469164</v>
      </c>
      <c r="N42" s="747"/>
      <c r="O42" s="747">
        <v>34025.859159646257</v>
      </c>
      <c r="P42" s="870">
        <v>73</v>
      </c>
      <c r="Q42" s="815"/>
      <c r="R42" s="818">
        <v>2</v>
      </c>
    </row>
    <row r="43" spans="1:18" ht="14.4">
      <c r="A43" s="743">
        <f t="shared" si="5"/>
        <v>2006</v>
      </c>
      <c r="B43" s="744" t="s">
        <v>184</v>
      </c>
      <c r="C43" s="745">
        <v>109247</v>
      </c>
      <c r="D43" s="745">
        <v>7046</v>
      </c>
      <c r="E43" s="745">
        <v>1207</v>
      </c>
      <c r="F43" s="745">
        <v>1412</v>
      </c>
      <c r="G43" s="745">
        <v>118</v>
      </c>
      <c r="H43" s="745">
        <v>4</v>
      </c>
      <c r="I43" s="747">
        <v>19675.843897472962</v>
      </c>
      <c r="J43" s="747"/>
      <c r="K43" s="747"/>
      <c r="L43" s="747"/>
      <c r="M43" s="747">
        <f t="shared" si="0"/>
        <v>138709.84389747295</v>
      </c>
      <c r="N43" s="747"/>
      <c r="O43" s="747">
        <v>34142.68508571697</v>
      </c>
      <c r="P43" s="870">
        <v>72</v>
      </c>
      <c r="Q43" s="815"/>
      <c r="R43" s="818">
        <v>2</v>
      </c>
    </row>
    <row r="44" spans="1:18" ht="14.4">
      <c r="A44" s="743">
        <f t="shared" si="5"/>
        <v>2006</v>
      </c>
      <c r="B44" s="744" t="s">
        <v>185</v>
      </c>
      <c r="C44" s="745">
        <v>109426</v>
      </c>
      <c r="D44" s="745">
        <v>7046</v>
      </c>
      <c r="E44" s="745">
        <v>1207</v>
      </c>
      <c r="F44" s="745">
        <v>1420</v>
      </c>
      <c r="G44" s="745">
        <v>118</v>
      </c>
      <c r="H44" s="745">
        <v>4</v>
      </c>
      <c r="I44" s="747">
        <v>19692.253654673477</v>
      </c>
      <c r="J44" s="747"/>
      <c r="K44" s="747"/>
      <c r="L44" s="747"/>
      <c r="M44" s="747">
        <f t="shared" si="0"/>
        <v>138913.25365467346</v>
      </c>
      <c r="N44" s="747"/>
      <c r="O44" s="747">
        <v>34259.912127213989</v>
      </c>
      <c r="P44" s="870">
        <v>72</v>
      </c>
      <c r="Q44" s="815"/>
      <c r="R44" s="818">
        <v>2</v>
      </c>
    </row>
    <row r="45" spans="1:18" ht="14.4">
      <c r="A45" s="743">
        <f t="shared" si="5"/>
        <v>2006</v>
      </c>
      <c r="B45" s="744" t="s">
        <v>186</v>
      </c>
      <c r="C45" s="745">
        <v>109726</v>
      </c>
      <c r="D45" s="745">
        <v>7054</v>
      </c>
      <c r="E45" s="745">
        <v>1207</v>
      </c>
      <c r="F45" s="745">
        <v>1399</v>
      </c>
      <c r="G45" s="745">
        <v>119</v>
      </c>
      <c r="H45" s="745">
        <v>4</v>
      </c>
      <c r="I45" s="747">
        <v>19708.677097697728</v>
      </c>
      <c r="J45" s="747"/>
      <c r="K45" s="747"/>
      <c r="L45" s="747"/>
      <c r="M45" s="747">
        <f t="shared" si="0"/>
        <v>139217.67709769774</v>
      </c>
      <c r="N45" s="747"/>
      <c r="O45" s="747">
        <v>34377.541661345189</v>
      </c>
      <c r="P45" s="870">
        <v>72</v>
      </c>
      <c r="Q45" s="815"/>
      <c r="R45" s="818">
        <v>2</v>
      </c>
    </row>
    <row r="46" spans="1:18" ht="14.4">
      <c r="A46" s="743">
        <f t="shared" si="5"/>
        <v>2006</v>
      </c>
      <c r="B46" s="744" t="s">
        <v>187</v>
      </c>
      <c r="C46" s="745">
        <v>110151</v>
      </c>
      <c r="D46" s="745">
        <v>7065</v>
      </c>
      <c r="E46" s="745">
        <v>1207</v>
      </c>
      <c r="F46" s="745">
        <v>1406</v>
      </c>
      <c r="G46" s="745">
        <v>119</v>
      </c>
      <c r="H46" s="745">
        <v>4</v>
      </c>
      <c r="I46" s="747">
        <v>19725.114237959759</v>
      </c>
      <c r="J46" s="747"/>
      <c r="K46" s="747"/>
      <c r="L46" s="747"/>
      <c r="M46" s="747">
        <f t="shared" si="0"/>
        <v>139677.11423795976</v>
      </c>
      <c r="N46" s="747"/>
      <c r="O46" s="747">
        <v>34495.575070047009</v>
      </c>
      <c r="P46" s="870">
        <v>72</v>
      </c>
      <c r="Q46" s="815"/>
      <c r="R46" s="818">
        <v>2</v>
      </c>
    </row>
    <row r="47" spans="1:18" ht="14.4">
      <c r="A47" s="743">
        <f t="shared" si="5"/>
        <v>2006</v>
      </c>
      <c r="B47" s="744" t="s">
        <v>188</v>
      </c>
      <c r="C47" s="745">
        <v>110556</v>
      </c>
      <c r="D47" s="745">
        <v>7074</v>
      </c>
      <c r="E47" s="745">
        <v>1207</v>
      </c>
      <c r="F47" s="745">
        <v>1410</v>
      </c>
      <c r="G47" s="745">
        <v>120</v>
      </c>
      <c r="H47" s="745">
        <v>4</v>
      </c>
      <c r="I47" s="747">
        <v>19741.56508688314</v>
      </c>
      <c r="J47" s="747"/>
      <c r="K47" s="747"/>
      <c r="L47" s="747"/>
      <c r="M47" s="747">
        <f t="shared" si="0"/>
        <v>140112.56508688314</v>
      </c>
      <c r="N47" s="747"/>
      <c r="O47" s="747">
        <v>34614.013740000693</v>
      </c>
      <c r="P47" s="870">
        <v>72</v>
      </c>
      <c r="Q47" s="815"/>
      <c r="R47" s="818">
        <v>2</v>
      </c>
    </row>
    <row r="48" spans="1:18" ht="14.4">
      <c r="A48" s="743">
        <f t="shared" si="5"/>
        <v>2006</v>
      </c>
      <c r="B48" s="744" t="s">
        <v>189</v>
      </c>
      <c r="C48" s="745">
        <v>111244</v>
      </c>
      <c r="D48" s="745">
        <v>7141</v>
      </c>
      <c r="E48" s="745">
        <v>1207</v>
      </c>
      <c r="F48" s="745">
        <v>1403</v>
      </c>
      <c r="G48" s="745">
        <v>119</v>
      </c>
      <c r="H48" s="745">
        <v>4</v>
      </c>
      <c r="I48" s="747">
        <v>19758.029655900966</v>
      </c>
      <c r="J48" s="747"/>
      <c r="K48" s="747"/>
      <c r="L48" s="747"/>
      <c r="M48" s="747">
        <f t="shared" si="0"/>
        <v>140876.02965590096</v>
      </c>
      <c r="N48" s="747"/>
      <c r="O48" s="747">
        <v>34732.859062648582</v>
      </c>
      <c r="P48" s="870">
        <v>72</v>
      </c>
      <c r="Q48" s="815"/>
      <c r="R48" s="818">
        <v>2</v>
      </c>
    </row>
    <row r="49" spans="1:18" ht="14.4">
      <c r="A49" s="743">
        <f t="shared" si="5"/>
        <v>2006</v>
      </c>
      <c r="B49" s="744" t="s">
        <v>190</v>
      </c>
      <c r="C49" s="745">
        <v>111412</v>
      </c>
      <c r="D49" s="745">
        <v>7148</v>
      </c>
      <c r="E49" s="745">
        <v>1207</v>
      </c>
      <c r="F49" s="745">
        <v>1411</v>
      </c>
      <c r="G49" s="745">
        <v>119</v>
      </c>
      <c r="H49" s="745">
        <v>4</v>
      </c>
      <c r="I49" s="747">
        <v>19774.507956455869</v>
      </c>
      <c r="J49" s="747"/>
      <c r="K49" s="747"/>
      <c r="L49" s="747"/>
      <c r="M49" s="747">
        <f t="shared" si="0"/>
        <v>141075.50795645587</v>
      </c>
      <c r="N49" s="747"/>
      <c r="O49" s="747">
        <v>34852.112434210459</v>
      </c>
      <c r="P49" s="870">
        <v>72</v>
      </c>
      <c r="Q49" s="815"/>
      <c r="R49" s="818">
        <v>2</v>
      </c>
    </row>
    <row r="50" spans="1:18" ht="14.4">
      <c r="A50" s="743">
        <f t="shared" si="5"/>
        <v>2006</v>
      </c>
      <c r="B50" s="744" t="s">
        <v>191</v>
      </c>
      <c r="C50" s="745">
        <v>111598</v>
      </c>
      <c r="D50" s="745">
        <v>7161</v>
      </c>
      <c r="E50" s="745">
        <v>1207</v>
      </c>
      <c r="F50" s="745">
        <v>1411</v>
      </c>
      <c r="G50" s="745">
        <v>119</v>
      </c>
      <c r="H50" s="745">
        <v>4</v>
      </c>
      <c r="I50" s="747">
        <v>19791.000000000025</v>
      </c>
      <c r="J50" s="747"/>
      <c r="K50" s="747"/>
      <c r="L50" s="747"/>
      <c r="M50" s="747">
        <f t="shared" si="0"/>
        <v>141291.00000000003</v>
      </c>
      <c r="N50" s="747"/>
      <c r="O50" s="747">
        <v>34971.775255699948</v>
      </c>
      <c r="P50" s="870">
        <v>70</v>
      </c>
      <c r="Q50" s="815"/>
      <c r="R50" s="818">
        <v>2</v>
      </c>
    </row>
    <row r="51" spans="1:18" ht="14.4">
      <c r="A51" s="743">
        <f>A50+1</f>
        <v>2007</v>
      </c>
      <c r="B51" s="744" t="s">
        <v>180</v>
      </c>
      <c r="C51" s="745">
        <v>111983</v>
      </c>
      <c r="D51" s="745">
        <v>7199</v>
      </c>
      <c r="E51" s="745">
        <v>1250</v>
      </c>
      <c r="F51" s="745">
        <v>1421</v>
      </c>
      <c r="G51" s="745">
        <v>119</v>
      </c>
      <c r="H51" s="745">
        <v>4</v>
      </c>
      <c r="I51" s="747">
        <v>19823.291961146355</v>
      </c>
      <c r="J51" s="747"/>
      <c r="K51" s="747"/>
      <c r="L51" s="747"/>
      <c r="M51" s="747">
        <f t="shared" si="0"/>
        <v>141799.29196114634</v>
      </c>
      <c r="N51" s="747"/>
      <c r="O51" s="747">
        <v>35091.89572008625</v>
      </c>
      <c r="P51" s="870">
        <v>70</v>
      </c>
      <c r="Q51" s="815"/>
      <c r="R51" s="818">
        <v>2</v>
      </c>
    </row>
    <row r="52" spans="1:18" ht="14.4">
      <c r="A52" s="743">
        <f>A51+0</f>
        <v>2007</v>
      </c>
      <c r="B52" s="744" t="s">
        <v>181</v>
      </c>
      <c r="C52" s="745">
        <v>112259</v>
      </c>
      <c r="D52" s="745">
        <v>7208</v>
      </c>
      <c r="E52" s="745">
        <v>1250</v>
      </c>
      <c r="F52" s="745">
        <v>1422</v>
      </c>
      <c r="G52" s="745">
        <v>120</v>
      </c>
      <c r="H52" s="745">
        <v>4</v>
      </c>
      <c r="I52" s="747">
        <v>19855.636611431924</v>
      </c>
      <c r="J52" s="747"/>
      <c r="K52" s="747"/>
      <c r="L52" s="747"/>
      <c r="M52" s="747">
        <f t="shared" si="0"/>
        <v>142118.63661143192</v>
      </c>
      <c r="N52" s="747"/>
      <c r="O52" s="747">
        <v>35212.428772219639</v>
      </c>
      <c r="P52" s="870">
        <v>70</v>
      </c>
      <c r="Q52" s="815"/>
      <c r="R52" s="818">
        <v>2</v>
      </c>
    </row>
    <row r="53" spans="1:18" ht="14.4">
      <c r="A53" s="743">
        <f t="shared" ref="A53:A62" si="6">A52+0</f>
        <v>2007</v>
      </c>
      <c r="B53" s="744" t="s">
        <v>182</v>
      </c>
      <c r="C53" s="745">
        <v>112520</v>
      </c>
      <c r="D53" s="745">
        <v>7234</v>
      </c>
      <c r="E53" s="745">
        <v>1250</v>
      </c>
      <c r="F53" s="745">
        <v>1401</v>
      </c>
      <c r="G53" s="745">
        <v>119</v>
      </c>
      <c r="H53" s="745">
        <v>5</v>
      </c>
      <c r="I53" s="747">
        <v>19888.034036826903</v>
      </c>
      <c r="J53" s="747"/>
      <c r="K53" s="747"/>
      <c r="L53" s="747"/>
      <c r="M53" s="747">
        <f t="shared" si="0"/>
        <v>142417.0340368269</v>
      </c>
      <c r="N53" s="747"/>
      <c r="O53" s="747">
        <v>35333.375829249555</v>
      </c>
      <c r="P53" s="870">
        <v>70</v>
      </c>
      <c r="Q53" s="815"/>
      <c r="R53" s="818">
        <v>2</v>
      </c>
    </row>
    <row r="54" spans="1:18" ht="14.4">
      <c r="A54" s="743">
        <f t="shared" si="6"/>
        <v>2007</v>
      </c>
      <c r="B54" s="744" t="s">
        <v>183</v>
      </c>
      <c r="C54" s="745">
        <v>112804</v>
      </c>
      <c r="D54" s="745">
        <v>7245</v>
      </c>
      <c r="E54" s="745">
        <v>1250</v>
      </c>
      <c r="F54" s="745">
        <v>1402</v>
      </c>
      <c r="G54" s="745">
        <v>118</v>
      </c>
      <c r="H54" s="745">
        <v>5</v>
      </c>
      <c r="I54" s="747">
        <v>19920.484323441735</v>
      </c>
      <c r="J54" s="747"/>
      <c r="K54" s="747"/>
      <c r="L54" s="747"/>
      <c r="M54" s="747">
        <f t="shared" si="0"/>
        <v>142744.48432344175</v>
      </c>
      <c r="N54" s="747"/>
      <c r="O54" s="747">
        <v>35454.73831319304</v>
      </c>
      <c r="P54" s="870">
        <v>70</v>
      </c>
      <c r="Q54" s="815"/>
      <c r="R54" s="818">
        <v>2</v>
      </c>
    </row>
    <row r="55" spans="1:18" ht="14.4">
      <c r="A55" s="743">
        <f t="shared" si="6"/>
        <v>2007</v>
      </c>
      <c r="B55" s="744" t="s">
        <v>184</v>
      </c>
      <c r="C55" s="745">
        <v>113200</v>
      </c>
      <c r="D55" s="745">
        <v>7258</v>
      </c>
      <c r="E55" s="745">
        <v>1250</v>
      </c>
      <c r="F55" s="745">
        <v>1411</v>
      </c>
      <c r="G55" s="745">
        <v>117</v>
      </c>
      <c r="H55" s="745">
        <v>5</v>
      </c>
      <c r="I55" s="747">
        <v>19952.987557527362</v>
      </c>
      <c r="J55" s="747"/>
      <c r="K55" s="747"/>
      <c r="L55" s="747"/>
      <c r="M55" s="747">
        <f t="shared" si="0"/>
        <v>143193.98755752738</v>
      </c>
      <c r="N55" s="747"/>
      <c r="O55" s="747">
        <v>35576.517650951464</v>
      </c>
      <c r="P55" s="870">
        <v>70</v>
      </c>
      <c r="Q55" s="815"/>
      <c r="R55" s="818">
        <v>2</v>
      </c>
    </row>
    <row r="56" spans="1:18" ht="14.4">
      <c r="A56" s="743">
        <f t="shared" si="6"/>
        <v>2007</v>
      </c>
      <c r="B56" s="744" t="s">
        <v>185</v>
      </c>
      <c r="C56" s="745">
        <v>113547</v>
      </c>
      <c r="D56" s="745">
        <v>7271</v>
      </c>
      <c r="E56" s="745">
        <v>1250</v>
      </c>
      <c r="F56" s="745">
        <v>1410</v>
      </c>
      <c r="G56" s="745">
        <v>117</v>
      </c>
      <c r="H56" s="745">
        <v>5</v>
      </c>
      <c r="I56" s="747">
        <v>19985.543825475463</v>
      </c>
      <c r="J56" s="747"/>
      <c r="K56" s="747"/>
      <c r="L56" s="747"/>
      <c r="M56" s="747">
        <f t="shared" si="0"/>
        <v>143585.54382547547</v>
      </c>
      <c r="N56" s="747"/>
      <c r="O56" s="747">
        <v>35698.715274327282</v>
      </c>
      <c r="P56" s="870">
        <v>70</v>
      </c>
      <c r="Q56" s="815"/>
      <c r="R56" s="818">
        <v>2</v>
      </c>
    </row>
    <row r="57" spans="1:18" ht="14.4">
      <c r="A57" s="743">
        <f t="shared" si="6"/>
        <v>2007</v>
      </c>
      <c r="B57" s="744" t="s">
        <v>186</v>
      </c>
      <c r="C57" s="745">
        <v>114103</v>
      </c>
      <c r="D57" s="745">
        <v>7283</v>
      </c>
      <c r="E57" s="745">
        <v>1250</v>
      </c>
      <c r="F57" s="745">
        <v>1402</v>
      </c>
      <c r="G57" s="745">
        <v>117</v>
      </c>
      <c r="H57" s="745">
        <v>5</v>
      </c>
      <c r="I57" s="747">
        <v>20018.153213818678</v>
      </c>
      <c r="J57" s="747"/>
      <c r="K57" s="747"/>
      <c r="L57" s="747"/>
      <c r="M57" s="747">
        <f t="shared" si="0"/>
        <v>144178.15321381867</v>
      </c>
      <c r="N57" s="747"/>
      <c r="O57" s="747">
        <v>35821.332620040885</v>
      </c>
      <c r="P57" s="870">
        <v>70</v>
      </c>
      <c r="Q57" s="815"/>
      <c r="R57" s="818">
        <v>2</v>
      </c>
    </row>
    <row r="58" spans="1:18" ht="14.4">
      <c r="A58" s="743">
        <f t="shared" si="6"/>
        <v>2007</v>
      </c>
      <c r="B58" s="744" t="s">
        <v>187</v>
      </c>
      <c r="C58" s="745">
        <v>114683</v>
      </c>
      <c r="D58" s="745">
        <v>7318</v>
      </c>
      <c r="E58" s="745">
        <v>1250</v>
      </c>
      <c r="F58" s="745">
        <v>1414</v>
      </c>
      <c r="G58" s="745">
        <v>117</v>
      </c>
      <c r="H58" s="745">
        <v>5</v>
      </c>
      <c r="I58" s="747">
        <v>20050.815809230829</v>
      </c>
      <c r="J58" s="747"/>
      <c r="K58" s="747"/>
      <c r="L58" s="747"/>
      <c r="M58" s="747">
        <f t="shared" si="0"/>
        <v>144837.81580923084</v>
      </c>
      <c r="N58" s="747"/>
      <c r="O58" s="747">
        <v>35944.371129747487</v>
      </c>
      <c r="P58" s="870">
        <v>70</v>
      </c>
      <c r="Q58" s="815"/>
      <c r="R58" s="818">
        <v>2</v>
      </c>
    </row>
    <row r="59" spans="1:18" ht="14.4">
      <c r="A59" s="743">
        <f t="shared" si="6"/>
        <v>2007</v>
      </c>
      <c r="B59" s="744" t="s">
        <v>188</v>
      </c>
      <c r="C59" s="745">
        <v>115068</v>
      </c>
      <c r="D59" s="745">
        <v>7322</v>
      </c>
      <c r="E59" s="745">
        <v>1250</v>
      </c>
      <c r="F59" s="745">
        <v>1420</v>
      </c>
      <c r="G59" s="745">
        <v>115</v>
      </c>
      <c r="H59" s="745">
        <v>5</v>
      </c>
      <c r="I59" s="747">
        <v>20083.531698527171</v>
      </c>
      <c r="J59" s="747"/>
      <c r="K59" s="747"/>
      <c r="L59" s="747"/>
      <c r="M59" s="747">
        <f t="shared" si="0"/>
        <v>145263.53169852716</v>
      </c>
      <c r="N59" s="747"/>
      <c r="O59" s="747">
        <v>36067.832250054074</v>
      </c>
      <c r="P59" s="870">
        <v>70</v>
      </c>
      <c r="Q59" s="815"/>
      <c r="R59" s="818">
        <v>2</v>
      </c>
    </row>
    <row r="60" spans="1:18" ht="14.4">
      <c r="A60" s="743">
        <f t="shared" si="6"/>
        <v>2007</v>
      </c>
      <c r="B60" s="744" t="s">
        <v>189</v>
      </c>
      <c r="C60" s="745">
        <v>115774</v>
      </c>
      <c r="D60" s="745">
        <v>7358</v>
      </c>
      <c r="E60" s="745">
        <v>1250</v>
      </c>
      <c r="F60" s="745">
        <v>1419</v>
      </c>
      <c r="G60" s="745">
        <v>115</v>
      </c>
      <c r="H60" s="745">
        <v>5</v>
      </c>
      <c r="I60" s="747">
        <v>20116.300968664604</v>
      </c>
      <c r="J60" s="747"/>
      <c r="K60" s="747"/>
      <c r="L60" s="747"/>
      <c r="M60" s="747">
        <f t="shared" si="0"/>
        <v>146037.30096866461</v>
      </c>
      <c r="N60" s="747"/>
      <c r="O60" s="747">
        <v>36191.71743253641</v>
      </c>
      <c r="P60" s="870">
        <v>70</v>
      </c>
      <c r="Q60" s="815"/>
      <c r="R60" s="818">
        <v>2</v>
      </c>
    </row>
    <row r="61" spans="1:18" ht="14.4">
      <c r="A61" s="743">
        <f t="shared" si="6"/>
        <v>2007</v>
      </c>
      <c r="B61" s="744" t="s">
        <v>190</v>
      </c>
      <c r="C61" s="745">
        <v>116461</v>
      </c>
      <c r="D61" s="745">
        <v>7396</v>
      </c>
      <c r="E61" s="745">
        <v>1250</v>
      </c>
      <c r="F61" s="745">
        <v>1437</v>
      </c>
      <c r="G61" s="745">
        <v>115</v>
      </c>
      <c r="H61" s="745">
        <v>5</v>
      </c>
      <c r="I61" s="747">
        <v>20149.123706741913</v>
      </c>
      <c r="J61" s="747"/>
      <c r="K61" s="747"/>
      <c r="L61" s="747"/>
      <c r="M61" s="747">
        <f t="shared" si="0"/>
        <v>146813.1237067419</v>
      </c>
      <c r="N61" s="747"/>
      <c r="O61" s="747">
        <v>36316.028133756117</v>
      </c>
      <c r="P61" s="870">
        <v>68</v>
      </c>
      <c r="Q61" s="815"/>
      <c r="R61" s="818">
        <v>2</v>
      </c>
    </row>
    <row r="62" spans="1:18" ht="14.4">
      <c r="A62" s="743">
        <f t="shared" si="6"/>
        <v>2007</v>
      </c>
      <c r="B62" s="744" t="s">
        <v>191</v>
      </c>
      <c r="C62" s="745">
        <v>117024</v>
      </c>
      <c r="D62" s="745">
        <v>7440</v>
      </c>
      <c r="E62" s="745">
        <v>1250</v>
      </c>
      <c r="F62" s="745">
        <v>1443</v>
      </c>
      <c r="G62" s="745">
        <v>113</v>
      </c>
      <c r="H62" s="745">
        <v>6</v>
      </c>
      <c r="I62" s="747">
        <v>20181.999999999996</v>
      </c>
      <c r="J62" s="747"/>
      <c r="K62" s="747"/>
      <c r="L62" s="747"/>
      <c r="M62" s="747">
        <f t="shared" si="0"/>
        <v>147458</v>
      </c>
      <c r="N62" s="747"/>
      <c r="O62" s="747">
        <v>36440.76581527778</v>
      </c>
      <c r="P62" s="870">
        <v>68</v>
      </c>
      <c r="Q62" s="815"/>
      <c r="R62" s="818">
        <v>2</v>
      </c>
    </row>
    <row r="63" spans="1:18" ht="14.4">
      <c r="A63" s="743">
        <f>A62+1</f>
        <v>2008</v>
      </c>
      <c r="B63" s="744" t="s">
        <v>180</v>
      </c>
      <c r="C63" s="745">
        <v>117488</v>
      </c>
      <c r="D63" s="745">
        <v>7434</v>
      </c>
      <c r="E63" s="745">
        <v>1267</v>
      </c>
      <c r="F63" s="745">
        <v>1461</v>
      </c>
      <c r="G63" s="745">
        <v>113</v>
      </c>
      <c r="H63" s="745">
        <v>6</v>
      </c>
      <c r="I63" s="747">
        <v>20197.352272646556</v>
      </c>
      <c r="J63" s="747"/>
      <c r="K63" s="747"/>
      <c r="L63" s="747"/>
      <c r="M63" s="747">
        <f t="shared" si="0"/>
        <v>147966.35227264656</v>
      </c>
      <c r="N63" s="747"/>
      <c r="O63" s="747">
        <v>36565.910933485364</v>
      </c>
      <c r="P63" s="870">
        <v>67</v>
      </c>
      <c r="Q63" s="815"/>
      <c r="R63" s="818">
        <v>2</v>
      </c>
    </row>
    <row r="64" spans="1:18" ht="14.4">
      <c r="A64" s="743">
        <f>A63+0</f>
        <v>2008</v>
      </c>
      <c r="B64" s="744" t="s">
        <v>181</v>
      </c>
      <c r="C64" s="745">
        <v>117900</v>
      </c>
      <c r="D64" s="745">
        <v>7428</v>
      </c>
      <c r="E64" s="745">
        <v>1267</v>
      </c>
      <c r="F64" s="745">
        <v>1479</v>
      </c>
      <c r="G64" s="745">
        <v>113</v>
      </c>
      <c r="H64" s="745">
        <v>6</v>
      </c>
      <c r="I64" s="747">
        <v>20212.716223633986</v>
      </c>
      <c r="J64" s="747"/>
      <c r="K64" s="747"/>
      <c r="L64" s="747"/>
      <c r="M64" s="747">
        <f t="shared" si="0"/>
        <v>148405.71622363399</v>
      </c>
      <c r="N64" s="747"/>
      <c r="O64" s="747">
        <v>36691.485825882948</v>
      </c>
      <c r="P64" s="870">
        <v>67</v>
      </c>
      <c r="Q64" s="815"/>
      <c r="R64" s="818">
        <v>2</v>
      </c>
    </row>
    <row r="65" spans="1:18" ht="14.4">
      <c r="A65" s="743">
        <f t="shared" ref="A65:A74" si="7">A64+0</f>
        <v>2008</v>
      </c>
      <c r="B65" s="744" t="s">
        <v>182</v>
      </c>
      <c r="C65" s="745">
        <v>118156</v>
      </c>
      <c r="D65" s="745">
        <v>7437</v>
      </c>
      <c r="E65" s="745">
        <v>1267</v>
      </c>
      <c r="F65" s="745">
        <v>1488</v>
      </c>
      <c r="G65" s="745">
        <v>113</v>
      </c>
      <c r="H65" s="745">
        <v>6</v>
      </c>
      <c r="I65" s="747">
        <v>20228.091861845896</v>
      </c>
      <c r="J65" s="747"/>
      <c r="K65" s="747"/>
      <c r="L65" s="747"/>
      <c r="M65" s="747">
        <f t="shared" si="0"/>
        <v>148695.0918618459</v>
      </c>
      <c r="N65" s="747"/>
      <c r="O65" s="747">
        <v>36817.49196840389</v>
      </c>
      <c r="P65" s="870">
        <v>67</v>
      </c>
      <c r="Q65" s="815"/>
      <c r="R65" s="818">
        <v>2</v>
      </c>
    </row>
    <row r="66" spans="1:18" ht="14.4">
      <c r="A66" s="743">
        <f t="shared" si="7"/>
        <v>2008</v>
      </c>
      <c r="B66" s="744" t="s">
        <v>183</v>
      </c>
      <c r="C66" s="745">
        <v>118500</v>
      </c>
      <c r="D66" s="745">
        <v>7424</v>
      </c>
      <c r="E66" s="745">
        <v>1267</v>
      </c>
      <c r="F66" s="745">
        <v>1482</v>
      </c>
      <c r="G66" s="745">
        <v>114</v>
      </c>
      <c r="H66" s="745">
        <v>6</v>
      </c>
      <c r="I66" s="747">
        <v>20243.479196172659</v>
      </c>
      <c r="J66" s="747"/>
      <c r="K66" s="747"/>
      <c r="L66" s="747"/>
      <c r="M66" s="747">
        <f t="shared" si="0"/>
        <v>149036.47919617267</v>
      </c>
      <c r="N66" s="747"/>
      <c r="O66" s="747">
        <v>36943.930842050206</v>
      </c>
      <c r="P66" s="870">
        <v>67</v>
      </c>
      <c r="Q66" s="815"/>
      <c r="R66" s="818">
        <v>2</v>
      </c>
    </row>
    <row r="67" spans="1:18" ht="14.4">
      <c r="A67" s="743">
        <f t="shared" si="7"/>
        <v>2008</v>
      </c>
      <c r="B67" s="744" t="s">
        <v>184</v>
      </c>
      <c r="C67" s="745">
        <v>118823</v>
      </c>
      <c r="D67" s="745">
        <v>7426</v>
      </c>
      <c r="E67" s="745">
        <v>1267</v>
      </c>
      <c r="F67" s="745">
        <v>1479</v>
      </c>
      <c r="G67" s="745">
        <v>116</v>
      </c>
      <c r="H67" s="745">
        <v>6</v>
      </c>
      <c r="I67" s="747">
        <v>20258.878235511405</v>
      </c>
      <c r="J67" s="747"/>
      <c r="K67" s="747"/>
      <c r="L67" s="747"/>
      <c r="M67" s="747">
        <f t="shared" si="0"/>
        <v>149375.87823551139</v>
      </c>
      <c r="N67" s="747"/>
      <c r="O67" s="747">
        <v>37070.803932909977</v>
      </c>
      <c r="P67" s="870">
        <v>67</v>
      </c>
      <c r="Q67" s="815"/>
      <c r="R67" s="818">
        <v>2</v>
      </c>
    </row>
    <row r="68" spans="1:18" ht="14.4">
      <c r="A68" s="743">
        <f t="shared" si="7"/>
        <v>2008</v>
      </c>
      <c r="B68" s="744" t="s">
        <v>185</v>
      </c>
      <c r="C68" s="745">
        <v>118969</v>
      </c>
      <c r="D68" s="745">
        <v>7413</v>
      </c>
      <c r="E68" s="745">
        <v>1267</v>
      </c>
      <c r="F68" s="745">
        <v>1479</v>
      </c>
      <c r="G68" s="745">
        <v>117</v>
      </c>
      <c r="H68" s="745">
        <v>6</v>
      </c>
      <c r="I68" s="747">
        <v>20274.288988766039</v>
      </c>
      <c r="J68" s="747"/>
      <c r="K68" s="747"/>
      <c r="L68" s="747"/>
      <c r="M68" s="747">
        <f t="shared" ref="M68:M131" si="8">SUM(C68:L68)</f>
        <v>149525.28898876603</v>
      </c>
      <c r="N68" s="747"/>
      <c r="O68" s="747">
        <v>37198.112732174821</v>
      </c>
      <c r="P68" s="870">
        <v>67</v>
      </c>
      <c r="Q68" s="815"/>
      <c r="R68" s="818">
        <v>2</v>
      </c>
    </row>
    <row r="69" spans="1:18" ht="14.4">
      <c r="A69" s="743">
        <f t="shared" si="7"/>
        <v>2008</v>
      </c>
      <c r="B69" s="744" t="s">
        <v>186</v>
      </c>
      <c r="C69" s="745">
        <v>119282</v>
      </c>
      <c r="D69" s="745">
        <v>7413</v>
      </c>
      <c r="E69" s="745">
        <v>1267</v>
      </c>
      <c r="F69" s="745">
        <v>1485</v>
      </c>
      <c r="G69" s="745">
        <v>117</v>
      </c>
      <c r="H69" s="745">
        <v>6</v>
      </c>
      <c r="I69" s="747">
        <v>20289.711464847234</v>
      </c>
      <c r="J69" s="747"/>
      <c r="K69" s="747"/>
      <c r="L69" s="747"/>
      <c r="M69" s="747">
        <f t="shared" si="8"/>
        <v>149859.71146484723</v>
      </c>
      <c r="N69" s="747"/>
      <c r="O69" s="747">
        <v>37325.85873615741</v>
      </c>
      <c r="P69" s="870">
        <v>67</v>
      </c>
      <c r="Q69" s="815"/>
      <c r="R69" s="818">
        <v>2</v>
      </c>
    </row>
    <row r="70" spans="1:18" ht="14.4">
      <c r="A70" s="743">
        <f t="shared" si="7"/>
        <v>2008</v>
      </c>
      <c r="B70" s="744" t="s">
        <v>187</v>
      </c>
      <c r="C70" s="745">
        <v>119438</v>
      </c>
      <c r="D70" s="745">
        <v>7419</v>
      </c>
      <c r="E70" s="745">
        <v>1267</v>
      </c>
      <c r="F70" s="745">
        <v>1491</v>
      </c>
      <c r="G70" s="745">
        <v>117</v>
      </c>
      <c r="H70" s="745">
        <v>6</v>
      </c>
      <c r="I70" s="747">
        <v>20305.145672672443</v>
      </c>
      <c r="J70" s="747"/>
      <c r="K70" s="747"/>
      <c r="L70" s="747"/>
      <c r="M70" s="747">
        <f t="shared" si="8"/>
        <v>150043.14567267243</v>
      </c>
      <c r="N70" s="747"/>
      <c r="O70" s="747">
        <v>37454.043446309079</v>
      </c>
      <c r="P70" s="870">
        <v>67</v>
      </c>
      <c r="Q70" s="815"/>
      <c r="R70" s="818">
        <v>2</v>
      </c>
    </row>
    <row r="71" spans="1:18" ht="14.4">
      <c r="A71" s="743">
        <f t="shared" si="7"/>
        <v>2008</v>
      </c>
      <c r="B71" s="744" t="s">
        <v>188</v>
      </c>
      <c r="C71" s="745">
        <v>119587</v>
      </c>
      <c r="D71" s="745">
        <v>7441</v>
      </c>
      <c r="E71" s="745">
        <v>1267</v>
      </c>
      <c r="F71" s="745">
        <v>1496</v>
      </c>
      <c r="G71" s="745">
        <v>117</v>
      </c>
      <c r="H71" s="745">
        <v>6</v>
      </c>
      <c r="I71" s="747">
        <v>20320.591621165902</v>
      </c>
      <c r="J71" s="747"/>
      <c r="K71" s="747"/>
      <c r="L71" s="747"/>
      <c r="M71" s="747">
        <f t="shared" si="8"/>
        <v>150234.59162116589</v>
      </c>
      <c r="N71" s="747"/>
      <c r="O71" s="747">
        <v>37582.668369237435</v>
      </c>
      <c r="P71" s="870">
        <v>67</v>
      </c>
      <c r="Q71" s="815"/>
      <c r="R71" s="818">
        <v>2</v>
      </c>
    </row>
    <row r="72" spans="1:18" ht="14.4">
      <c r="A72" s="743">
        <f t="shared" si="7"/>
        <v>2008</v>
      </c>
      <c r="B72" s="744" t="s">
        <v>189</v>
      </c>
      <c r="C72" s="745">
        <v>119951</v>
      </c>
      <c r="D72" s="745">
        <v>7445</v>
      </c>
      <c r="E72" s="745">
        <v>1267</v>
      </c>
      <c r="F72" s="745">
        <v>1517</v>
      </c>
      <c r="G72" s="745">
        <v>117</v>
      </c>
      <c r="H72" s="745">
        <v>6</v>
      </c>
      <c r="I72" s="747">
        <v>20336.049319258636</v>
      </c>
      <c r="J72" s="747"/>
      <c r="K72" s="747"/>
      <c r="L72" s="747"/>
      <c r="M72" s="747">
        <f t="shared" si="8"/>
        <v>150639.04931925863</v>
      </c>
      <c r="N72" s="747"/>
      <c r="O72" s="747">
        <v>37711.735016724109</v>
      </c>
      <c r="P72" s="870">
        <v>67</v>
      </c>
      <c r="Q72" s="815"/>
      <c r="R72" s="818">
        <v>2</v>
      </c>
    </row>
    <row r="73" spans="1:18" ht="14.4">
      <c r="A73" s="743">
        <f t="shared" si="7"/>
        <v>2008</v>
      </c>
      <c r="B73" s="744" t="s">
        <v>190</v>
      </c>
      <c r="C73" s="745">
        <v>120231</v>
      </c>
      <c r="D73" s="745">
        <v>7476</v>
      </c>
      <c r="E73" s="745">
        <v>1267</v>
      </c>
      <c r="F73" s="745">
        <v>1518</v>
      </c>
      <c r="G73" s="745">
        <v>117</v>
      </c>
      <c r="H73" s="745">
        <v>6</v>
      </c>
      <c r="I73" s="747">
        <v>20351.518775888464</v>
      </c>
      <c r="J73" s="747"/>
      <c r="K73" s="747"/>
      <c r="L73" s="747"/>
      <c r="M73" s="747">
        <f t="shared" si="8"/>
        <v>150966.51877588846</v>
      </c>
      <c r="N73" s="747"/>
      <c r="O73" s="747">
        <v>37841.244905742482</v>
      </c>
      <c r="P73" s="870">
        <v>67</v>
      </c>
      <c r="Q73" s="815"/>
      <c r="R73" s="818">
        <v>2</v>
      </c>
    </row>
    <row r="74" spans="1:18" ht="14.4">
      <c r="A74" s="743">
        <f t="shared" si="7"/>
        <v>2008</v>
      </c>
      <c r="B74" s="744" t="s">
        <v>191</v>
      </c>
      <c r="C74" s="745">
        <v>120395</v>
      </c>
      <c r="D74" s="745">
        <v>7485</v>
      </c>
      <c r="E74" s="745">
        <v>1267</v>
      </c>
      <c r="F74" s="745">
        <v>1519</v>
      </c>
      <c r="G74" s="745">
        <v>117</v>
      </c>
      <c r="H74" s="745">
        <v>6</v>
      </c>
      <c r="I74" s="747">
        <v>20367</v>
      </c>
      <c r="J74" s="747"/>
      <c r="K74" s="747"/>
      <c r="L74" s="747"/>
      <c r="M74" s="747">
        <f t="shared" si="8"/>
        <v>151156</v>
      </c>
      <c r="N74" s="747"/>
      <c r="O74" s="747">
        <v>37971.19955847555</v>
      </c>
      <c r="P74" s="870">
        <v>67</v>
      </c>
      <c r="Q74" s="815"/>
      <c r="R74" s="818">
        <v>2</v>
      </c>
    </row>
    <row r="75" spans="1:18" ht="14.4">
      <c r="A75" s="743">
        <f>A74+1</f>
        <v>2009</v>
      </c>
      <c r="B75" s="744" t="s">
        <v>180</v>
      </c>
      <c r="C75" s="745">
        <v>120546</v>
      </c>
      <c r="D75" s="745">
        <v>7496</v>
      </c>
      <c r="E75" s="745">
        <v>1280</v>
      </c>
      <c r="F75" s="745">
        <v>1532</v>
      </c>
      <c r="G75" s="745">
        <v>116</v>
      </c>
      <c r="H75" s="745">
        <v>6</v>
      </c>
      <c r="I75" s="747">
        <v>20382.022242873136</v>
      </c>
      <c r="J75" s="747"/>
      <c r="K75" s="747"/>
      <c r="L75" s="747"/>
      <c r="M75" s="747">
        <f t="shared" si="8"/>
        <v>151358.02224287315</v>
      </c>
      <c r="N75" s="747"/>
      <c r="O75" s="747">
        <v>38101.546346344992</v>
      </c>
      <c r="P75" s="870">
        <v>67</v>
      </c>
      <c r="Q75" s="815"/>
      <c r="R75" s="818">
        <v>2</v>
      </c>
    </row>
    <row r="76" spans="1:18" ht="14.4">
      <c r="A76" s="743">
        <f>A75+0</f>
        <v>2009</v>
      </c>
      <c r="B76" s="744" t="s">
        <v>181</v>
      </c>
      <c r="C76" s="745">
        <v>120596</v>
      </c>
      <c r="D76" s="745">
        <v>7497</v>
      </c>
      <c r="E76" s="745">
        <v>1280</v>
      </c>
      <c r="F76" s="745">
        <v>1535</v>
      </c>
      <c r="G76" s="745">
        <v>116</v>
      </c>
      <c r="H76" s="745">
        <v>6</v>
      </c>
      <c r="I76" s="747">
        <v>20397.055565816041</v>
      </c>
      <c r="J76" s="747"/>
      <c r="K76" s="747"/>
      <c r="L76" s="747"/>
      <c r="M76" s="747">
        <f t="shared" si="8"/>
        <v>151427.05556581603</v>
      </c>
      <c r="N76" s="747"/>
      <c r="O76" s="747">
        <v>38232.340586107064</v>
      </c>
      <c r="P76" s="870">
        <v>67</v>
      </c>
      <c r="Q76" s="815"/>
      <c r="R76" s="818">
        <v>2</v>
      </c>
    </row>
    <row r="77" spans="1:18" ht="14.4">
      <c r="A77" s="743">
        <f t="shared" ref="A77:A86" si="9">A76+0</f>
        <v>2009</v>
      </c>
      <c r="B77" s="744" t="s">
        <v>182</v>
      </c>
      <c r="C77" s="745">
        <v>120697</v>
      </c>
      <c r="D77" s="745">
        <v>7507</v>
      </c>
      <c r="E77" s="745">
        <v>1280</v>
      </c>
      <c r="F77" s="745">
        <v>1542</v>
      </c>
      <c r="G77" s="745">
        <v>115</v>
      </c>
      <c r="H77" s="745">
        <v>6</v>
      </c>
      <c r="I77" s="747">
        <v>20412.099977001122</v>
      </c>
      <c r="J77" s="747"/>
      <c r="K77" s="747"/>
      <c r="L77" s="747"/>
      <c r="M77" s="747">
        <f t="shared" si="8"/>
        <v>151559.09997700111</v>
      </c>
      <c r="N77" s="747"/>
      <c r="O77" s="747">
        <v>38363.583813765828</v>
      </c>
      <c r="P77" s="870">
        <v>67</v>
      </c>
      <c r="Q77" s="815"/>
      <c r="R77" s="818">
        <v>2</v>
      </c>
    </row>
    <row r="78" spans="1:18" ht="14.4">
      <c r="A78" s="743">
        <f t="shared" si="9"/>
        <v>2009</v>
      </c>
      <c r="B78" s="744" t="s">
        <v>183</v>
      </c>
      <c r="C78" s="745">
        <v>120743</v>
      </c>
      <c r="D78" s="745">
        <v>7490</v>
      </c>
      <c r="E78" s="745">
        <v>1280</v>
      </c>
      <c r="F78" s="745">
        <v>1558</v>
      </c>
      <c r="G78" s="745">
        <v>115</v>
      </c>
      <c r="H78" s="745">
        <v>6</v>
      </c>
      <c r="I78" s="747">
        <v>20427.155484606821</v>
      </c>
      <c r="J78" s="747"/>
      <c r="K78" s="747"/>
      <c r="L78" s="747"/>
      <c r="M78" s="747">
        <f t="shared" si="8"/>
        <v>151619.15548460683</v>
      </c>
      <c r="N78" s="747"/>
      <c r="O78" s="747">
        <v>38495.277570598126</v>
      </c>
      <c r="P78" s="870">
        <v>67</v>
      </c>
      <c r="Q78" s="815"/>
      <c r="R78" s="818">
        <v>2</v>
      </c>
    </row>
    <row r="79" spans="1:18" ht="14.4">
      <c r="A79" s="743">
        <f t="shared" si="9"/>
        <v>2009</v>
      </c>
      <c r="B79" s="744" t="s">
        <v>184</v>
      </c>
      <c r="C79" s="745">
        <v>120836</v>
      </c>
      <c r="D79" s="745">
        <v>7486</v>
      </c>
      <c r="E79" s="745">
        <v>1280</v>
      </c>
      <c r="F79" s="745">
        <v>1568</v>
      </c>
      <c r="G79" s="745">
        <v>116</v>
      </c>
      <c r="H79" s="745">
        <v>6</v>
      </c>
      <c r="I79" s="747">
        <v>20442.222096817608</v>
      </c>
      <c r="J79" s="747"/>
      <c r="K79" s="747"/>
      <c r="L79" s="747"/>
      <c r="M79" s="747">
        <f t="shared" si="8"/>
        <v>151734.2220968176</v>
      </c>
      <c r="N79" s="747"/>
      <c r="O79" s="747">
        <v>38627.423403171648</v>
      </c>
      <c r="P79" s="870">
        <v>67</v>
      </c>
      <c r="Q79" s="815"/>
      <c r="R79" s="818">
        <v>2</v>
      </c>
    </row>
    <row r="80" spans="1:18" ht="14.4">
      <c r="A80" s="743">
        <f t="shared" si="9"/>
        <v>2009</v>
      </c>
      <c r="B80" s="744" t="s">
        <v>185</v>
      </c>
      <c r="C80" s="745">
        <v>120918</v>
      </c>
      <c r="D80" s="745">
        <v>7489</v>
      </c>
      <c r="E80" s="745">
        <v>1280</v>
      </c>
      <c r="F80" s="745">
        <v>1570</v>
      </c>
      <c r="G80" s="745">
        <v>114</v>
      </c>
      <c r="H80" s="745">
        <v>6</v>
      </c>
      <c r="I80" s="747">
        <v>20457.299821823992</v>
      </c>
      <c r="J80" s="747"/>
      <c r="K80" s="747"/>
      <c r="L80" s="747"/>
      <c r="M80" s="747">
        <f t="shared" si="8"/>
        <v>151834.29982182398</v>
      </c>
      <c r="N80" s="747"/>
      <c r="O80" s="747">
        <v>38760.022863363112</v>
      </c>
      <c r="P80" s="870">
        <v>67</v>
      </c>
      <c r="Q80" s="815"/>
      <c r="R80" s="818">
        <v>2</v>
      </c>
    </row>
    <row r="81" spans="1:18" ht="14.4">
      <c r="A81" s="743">
        <f t="shared" si="9"/>
        <v>2009</v>
      </c>
      <c r="B81" s="744" t="s">
        <v>186</v>
      </c>
      <c r="C81" s="745">
        <v>121070</v>
      </c>
      <c r="D81" s="745">
        <v>7500</v>
      </c>
      <c r="E81" s="745">
        <v>1280</v>
      </c>
      <c r="F81" s="745">
        <v>1575</v>
      </c>
      <c r="G81" s="745">
        <v>114</v>
      </c>
      <c r="H81" s="745">
        <v>6</v>
      </c>
      <c r="I81" s="747">
        <v>20472.388667822521</v>
      </c>
      <c r="J81" s="747"/>
      <c r="K81" s="747"/>
      <c r="L81" s="747"/>
      <c r="M81" s="747">
        <f t="shared" si="8"/>
        <v>152017.38866782252</v>
      </c>
      <c r="N81" s="747"/>
      <c r="O81" s="747">
        <v>38893.077508376497</v>
      </c>
      <c r="P81" s="870">
        <v>66</v>
      </c>
      <c r="Q81" s="815"/>
      <c r="R81" s="818">
        <v>2</v>
      </c>
    </row>
    <row r="82" spans="1:18" ht="14.4">
      <c r="A82" s="743">
        <f t="shared" si="9"/>
        <v>2009</v>
      </c>
      <c r="B82" s="744" t="s">
        <v>187</v>
      </c>
      <c r="C82" s="745">
        <v>121201</v>
      </c>
      <c r="D82" s="745">
        <v>7517</v>
      </c>
      <c r="E82" s="745">
        <v>1280</v>
      </c>
      <c r="F82" s="745">
        <v>1579</v>
      </c>
      <c r="G82" s="745">
        <v>114</v>
      </c>
      <c r="H82" s="745">
        <v>6</v>
      </c>
      <c r="I82" s="747">
        <v>20487.488643015789</v>
      </c>
      <c r="J82" s="747"/>
      <c r="K82" s="747"/>
      <c r="L82" s="747"/>
      <c r="M82" s="747">
        <f t="shared" si="8"/>
        <v>152184.48864301579</v>
      </c>
      <c r="N82" s="747"/>
      <c r="O82" s="747">
        <v>39026.588900761322</v>
      </c>
      <c r="P82" s="870">
        <v>66</v>
      </c>
      <c r="Q82" s="815"/>
      <c r="R82" s="818">
        <v>2</v>
      </c>
    </row>
    <row r="83" spans="1:18" ht="14.4">
      <c r="A83" s="743">
        <f t="shared" si="9"/>
        <v>2009</v>
      </c>
      <c r="B83" s="744" t="s">
        <v>188</v>
      </c>
      <c r="C83" s="745">
        <v>121267</v>
      </c>
      <c r="D83" s="745">
        <v>7523</v>
      </c>
      <c r="E83" s="745">
        <v>1280</v>
      </c>
      <c r="F83" s="745">
        <v>1583</v>
      </c>
      <c r="G83" s="745">
        <v>113</v>
      </c>
      <c r="H83" s="745">
        <v>6</v>
      </c>
      <c r="I83" s="747">
        <v>20502.599755612442</v>
      </c>
      <c r="J83" s="747"/>
      <c r="K83" s="747"/>
      <c r="L83" s="747"/>
      <c r="M83" s="747">
        <f t="shared" si="8"/>
        <v>152274.59975561243</v>
      </c>
      <c r="N83" s="747"/>
      <c r="O83" s="747">
        <v>39160.558608430983</v>
      </c>
      <c r="P83" s="870">
        <v>66</v>
      </c>
      <c r="Q83" s="815"/>
      <c r="R83" s="818">
        <v>2</v>
      </c>
    </row>
    <row r="84" spans="1:18" ht="14.4">
      <c r="A84" s="743">
        <f t="shared" si="9"/>
        <v>2009</v>
      </c>
      <c r="B84" s="744" t="s">
        <v>189</v>
      </c>
      <c r="C84" s="745">
        <v>121405</v>
      </c>
      <c r="D84" s="745">
        <v>7604</v>
      </c>
      <c r="E84" s="745">
        <v>1280</v>
      </c>
      <c r="F84" s="745">
        <v>1532</v>
      </c>
      <c r="G84" s="745">
        <v>113</v>
      </c>
      <c r="H84" s="745">
        <v>6</v>
      </c>
      <c r="I84" s="747">
        <v>20517.722013827177</v>
      </c>
      <c r="J84" s="747"/>
      <c r="K84" s="747"/>
      <c r="L84" s="747"/>
      <c r="M84" s="747">
        <f t="shared" si="8"/>
        <v>152457.72201382718</v>
      </c>
      <c r="N84" s="747"/>
      <c r="O84" s="747">
        <v>39294.988204681191</v>
      </c>
      <c r="P84" s="870">
        <v>66</v>
      </c>
      <c r="Q84" s="815"/>
      <c r="R84" s="818">
        <v>2</v>
      </c>
    </row>
    <row r="85" spans="1:18" ht="14.4">
      <c r="A85" s="743">
        <f t="shared" si="9"/>
        <v>2009</v>
      </c>
      <c r="B85" s="744" t="s">
        <v>190</v>
      </c>
      <c r="C85" s="745">
        <v>121519</v>
      </c>
      <c r="D85" s="745">
        <v>7616</v>
      </c>
      <c r="E85" s="745">
        <v>1280</v>
      </c>
      <c r="F85" s="745">
        <v>1536</v>
      </c>
      <c r="G85" s="745">
        <v>110</v>
      </c>
      <c r="H85" s="745">
        <v>6</v>
      </c>
      <c r="I85" s="747">
        <v>20532.855425880756</v>
      </c>
      <c r="J85" s="747"/>
      <c r="K85" s="747"/>
      <c r="L85" s="747"/>
      <c r="M85" s="747">
        <f t="shared" si="8"/>
        <v>152599.85542588076</v>
      </c>
      <c r="N85" s="747"/>
      <c r="O85" s="747">
        <v>39429.879268208431</v>
      </c>
      <c r="P85" s="870">
        <v>64</v>
      </c>
      <c r="Q85" s="815"/>
      <c r="R85" s="818">
        <v>2</v>
      </c>
    </row>
    <row r="86" spans="1:18" ht="14.4">
      <c r="A86" s="743">
        <f t="shared" si="9"/>
        <v>2009</v>
      </c>
      <c r="B86" s="744" t="s">
        <v>191</v>
      </c>
      <c r="C86" s="745">
        <v>121692</v>
      </c>
      <c r="D86" s="745">
        <v>7620</v>
      </c>
      <c r="E86" s="745">
        <v>1280</v>
      </c>
      <c r="F86" s="745">
        <v>1534</v>
      </c>
      <c r="G86" s="745">
        <v>111</v>
      </c>
      <c r="H86" s="745">
        <v>6</v>
      </c>
      <c r="I86" s="747">
        <v>20547.999999999996</v>
      </c>
      <c r="J86" s="747"/>
      <c r="K86" s="747"/>
      <c r="L86" s="747"/>
      <c r="M86" s="747">
        <f t="shared" si="8"/>
        <v>152791</v>
      </c>
      <c r="N86" s="747"/>
      <c r="O86" s="747">
        <v>39565.2333831285</v>
      </c>
      <c r="P86" s="870">
        <v>64</v>
      </c>
      <c r="Q86" s="815"/>
      <c r="R86" s="818">
        <v>2</v>
      </c>
    </row>
    <row r="87" spans="1:18" ht="14.4">
      <c r="A87" s="743">
        <f>A86+1</f>
        <v>2010</v>
      </c>
      <c r="B87" s="744" t="s">
        <v>180</v>
      </c>
      <c r="C87" s="745">
        <v>121786</v>
      </c>
      <c r="D87" s="745">
        <v>7668</v>
      </c>
      <c r="E87" s="745">
        <v>1293</v>
      </c>
      <c r="F87" s="745">
        <v>1536</v>
      </c>
      <c r="G87" s="745">
        <v>112</v>
      </c>
      <c r="H87" s="745">
        <v>6</v>
      </c>
      <c r="I87" s="747">
        <v>20569.871503219503</v>
      </c>
      <c r="J87" s="747"/>
      <c r="K87" s="747"/>
      <c r="L87" s="747"/>
      <c r="M87" s="747">
        <f t="shared" si="8"/>
        <v>152970.8715032195</v>
      </c>
      <c r="N87" s="747"/>
      <c r="O87" s="747">
        <v>39701.076816778674</v>
      </c>
      <c r="P87" s="870">
        <v>64</v>
      </c>
      <c r="Q87" s="815"/>
      <c r="R87" s="818">
        <v>2</v>
      </c>
    </row>
    <row r="88" spans="1:18" ht="14.4">
      <c r="A88" s="743">
        <f>A87+0</f>
        <v>2010</v>
      </c>
      <c r="B88" s="744" t="s">
        <v>181</v>
      </c>
      <c r="C88" s="745">
        <v>121899</v>
      </c>
      <c r="D88" s="745">
        <v>7665</v>
      </c>
      <c r="E88" s="745">
        <v>1293</v>
      </c>
      <c r="F88" s="745">
        <v>1541</v>
      </c>
      <c r="G88" s="745">
        <v>112</v>
      </c>
      <c r="H88" s="745">
        <v>6</v>
      </c>
      <c r="I88" s="747">
        <v>20591.766286692713</v>
      </c>
      <c r="J88" s="747"/>
      <c r="K88" s="747"/>
      <c r="L88" s="747"/>
      <c r="M88" s="747">
        <f t="shared" si="8"/>
        <v>153107.7662866927</v>
      </c>
      <c r="N88" s="747"/>
      <c r="O88" s="747">
        <v>39837.386655827926</v>
      </c>
      <c r="P88" s="870">
        <v>64</v>
      </c>
      <c r="Q88" s="815"/>
      <c r="R88" s="818">
        <v>2</v>
      </c>
    </row>
    <row r="89" spans="1:18" ht="14.4">
      <c r="A89" s="743">
        <f t="shared" ref="A89:A98" si="10">A88+0</f>
        <v>2010</v>
      </c>
      <c r="B89" s="744" t="s">
        <v>182</v>
      </c>
      <c r="C89" s="745">
        <v>122202</v>
      </c>
      <c r="D89" s="745">
        <v>7671</v>
      </c>
      <c r="E89" s="745">
        <v>1293</v>
      </c>
      <c r="F89" s="745">
        <v>1533</v>
      </c>
      <c r="G89" s="745">
        <v>113</v>
      </c>
      <c r="H89" s="745">
        <v>6</v>
      </c>
      <c r="I89" s="747">
        <v>20613.684375199366</v>
      </c>
      <c r="J89" s="747"/>
      <c r="K89" s="747"/>
      <c r="L89" s="747"/>
      <c r="M89" s="747">
        <f t="shared" si="8"/>
        <v>153431.68437519937</v>
      </c>
      <c r="N89" s="747"/>
      <c r="O89" s="747">
        <v>39974.164501634463</v>
      </c>
      <c r="P89" s="870">
        <v>64</v>
      </c>
      <c r="Q89" s="815"/>
      <c r="R89" s="818">
        <v>2</v>
      </c>
    </row>
    <row r="90" spans="1:18" ht="14.4">
      <c r="A90" s="743">
        <f t="shared" si="10"/>
        <v>2010</v>
      </c>
      <c r="B90" s="744" t="s">
        <v>183</v>
      </c>
      <c r="C90" s="745">
        <v>122353</v>
      </c>
      <c r="D90" s="745">
        <v>7671</v>
      </c>
      <c r="E90" s="745">
        <v>1293</v>
      </c>
      <c r="F90" s="745">
        <v>1533</v>
      </c>
      <c r="G90" s="745">
        <v>114</v>
      </c>
      <c r="H90" s="745">
        <v>6</v>
      </c>
      <c r="I90" s="747">
        <v>20635.625793545583</v>
      </c>
      <c r="J90" s="747"/>
      <c r="K90" s="747"/>
      <c r="L90" s="747"/>
      <c r="M90" s="747">
        <f t="shared" si="8"/>
        <v>153605.62579354559</v>
      </c>
      <c r="N90" s="747"/>
      <c r="O90" s="747">
        <v>40111.411961054589</v>
      </c>
      <c r="P90" s="870">
        <v>62</v>
      </c>
      <c r="Q90" s="815"/>
      <c r="R90" s="818">
        <v>2</v>
      </c>
    </row>
    <row r="91" spans="1:18" ht="14.4">
      <c r="A91" s="743">
        <f t="shared" si="10"/>
        <v>2010</v>
      </c>
      <c r="B91" s="744" t="s">
        <v>184</v>
      </c>
      <c r="C91" s="745">
        <v>122492</v>
      </c>
      <c r="D91" s="745">
        <v>7665</v>
      </c>
      <c r="E91" s="745">
        <v>1293</v>
      </c>
      <c r="F91" s="745">
        <v>1538</v>
      </c>
      <c r="G91" s="745">
        <v>114</v>
      </c>
      <c r="H91" s="745">
        <v>6</v>
      </c>
      <c r="I91" s="747">
        <v>20657.590566563886</v>
      </c>
      <c r="J91" s="747"/>
      <c r="K91" s="747"/>
      <c r="L91" s="747"/>
      <c r="M91" s="747">
        <f t="shared" si="8"/>
        <v>153765.59056656389</v>
      </c>
      <c r="N91" s="747"/>
      <c r="O91" s="747">
        <v>40249.130646461606</v>
      </c>
      <c r="P91" s="870">
        <v>62</v>
      </c>
      <c r="Q91" s="815"/>
      <c r="R91" s="818">
        <v>2</v>
      </c>
    </row>
    <row r="92" spans="1:18" ht="14.4">
      <c r="A92" s="743">
        <f t="shared" si="10"/>
        <v>2010</v>
      </c>
      <c r="B92" s="744" t="s">
        <v>185</v>
      </c>
      <c r="C92" s="745">
        <v>122689</v>
      </c>
      <c r="D92" s="745">
        <v>7701</v>
      </c>
      <c r="E92" s="745">
        <v>1293</v>
      </c>
      <c r="F92" s="745">
        <v>1542</v>
      </c>
      <c r="G92" s="745">
        <v>115</v>
      </c>
      <c r="H92" s="745">
        <v>6</v>
      </c>
      <c r="I92" s="747">
        <v>20679.578719113226</v>
      </c>
      <c r="J92" s="747"/>
      <c r="K92" s="747"/>
      <c r="L92" s="747"/>
      <c r="M92" s="747">
        <f t="shared" si="8"/>
        <v>154025.57871911323</v>
      </c>
      <c r="N92" s="747"/>
      <c r="O92" s="747">
        <v>40387.322175764733</v>
      </c>
      <c r="P92" s="870">
        <v>62</v>
      </c>
      <c r="Q92" s="815"/>
      <c r="R92" s="818">
        <v>2</v>
      </c>
    </row>
    <row r="93" spans="1:18" ht="14.4">
      <c r="A93" s="743">
        <f t="shared" si="10"/>
        <v>2010</v>
      </c>
      <c r="B93" s="744" t="s">
        <v>186</v>
      </c>
      <c r="C93" s="745">
        <v>122952</v>
      </c>
      <c r="D93" s="745">
        <v>7727</v>
      </c>
      <c r="E93" s="745">
        <v>1293</v>
      </c>
      <c r="F93" s="745">
        <v>1539</v>
      </c>
      <c r="G93" s="745">
        <v>115</v>
      </c>
      <c r="H93" s="745">
        <v>6</v>
      </c>
      <c r="I93" s="747">
        <v>20701.59027607902</v>
      </c>
      <c r="J93" s="747"/>
      <c r="K93" s="747"/>
      <c r="L93" s="747"/>
      <c r="M93" s="747">
        <f t="shared" si="8"/>
        <v>154333.59027607902</v>
      </c>
      <c r="N93" s="747"/>
      <c r="O93" s="747">
        <v>40525.988172428137</v>
      </c>
      <c r="P93" s="870">
        <v>62</v>
      </c>
      <c r="Q93" s="815"/>
      <c r="R93" s="818">
        <v>2</v>
      </c>
    </row>
    <row r="94" spans="1:18" ht="14.4">
      <c r="A94" s="743">
        <f t="shared" si="10"/>
        <v>2010</v>
      </c>
      <c r="B94" s="744" t="s">
        <v>187</v>
      </c>
      <c r="C94" s="745">
        <v>123306</v>
      </c>
      <c r="D94" s="745">
        <v>7795</v>
      </c>
      <c r="E94" s="745">
        <v>1293</v>
      </c>
      <c r="F94" s="745">
        <v>1540</v>
      </c>
      <c r="G94" s="745">
        <v>115</v>
      </c>
      <c r="H94" s="745">
        <v>6</v>
      </c>
      <c r="I94" s="747">
        <v>20723.625262373167</v>
      </c>
      <c r="J94" s="747"/>
      <c r="K94" s="747"/>
      <c r="L94" s="747"/>
      <c r="M94" s="747">
        <f t="shared" si="8"/>
        <v>154778.62526237316</v>
      </c>
      <c r="N94" s="747"/>
      <c r="O94" s="747">
        <v>40665.130265489985</v>
      </c>
      <c r="P94" s="870">
        <v>61</v>
      </c>
      <c r="Q94" s="815"/>
      <c r="R94" s="818">
        <v>2</v>
      </c>
    </row>
    <row r="95" spans="1:18" ht="14.4">
      <c r="A95" s="743">
        <f t="shared" si="10"/>
        <v>2010</v>
      </c>
      <c r="B95" s="744" t="s">
        <v>188</v>
      </c>
      <c r="C95" s="745">
        <v>123592</v>
      </c>
      <c r="D95" s="745">
        <v>7817</v>
      </c>
      <c r="E95" s="745">
        <v>1293</v>
      </c>
      <c r="F95" s="745">
        <v>1540</v>
      </c>
      <c r="G95" s="745">
        <v>115</v>
      </c>
      <c r="H95" s="745">
        <v>6</v>
      </c>
      <c r="I95" s="747">
        <v>20745.68370293409</v>
      </c>
      <c r="J95" s="747"/>
      <c r="K95" s="747"/>
      <c r="L95" s="747"/>
      <c r="M95" s="747">
        <f t="shared" si="8"/>
        <v>155108.6837029341</v>
      </c>
      <c r="N95" s="747"/>
      <c r="O95" s="747">
        <v>40804.75008958159</v>
      </c>
      <c r="P95" s="870">
        <v>61</v>
      </c>
      <c r="Q95" s="815"/>
      <c r="R95" s="818">
        <v>2</v>
      </c>
    </row>
    <row r="96" spans="1:18" ht="14.4">
      <c r="A96" s="743">
        <f t="shared" si="10"/>
        <v>2010</v>
      </c>
      <c r="B96" s="744" t="s">
        <v>189</v>
      </c>
      <c r="C96" s="745">
        <v>123975</v>
      </c>
      <c r="D96" s="745">
        <v>7844</v>
      </c>
      <c r="E96" s="745">
        <v>1293</v>
      </c>
      <c r="F96" s="745">
        <v>1543</v>
      </c>
      <c r="G96" s="745">
        <v>115</v>
      </c>
      <c r="H96" s="745">
        <v>6</v>
      </c>
      <c r="I96" s="747">
        <v>20767.765622726751</v>
      </c>
      <c r="J96" s="747"/>
      <c r="K96" s="747"/>
      <c r="L96" s="747"/>
      <c r="M96" s="747">
        <f t="shared" si="8"/>
        <v>155543.76562272676</v>
      </c>
      <c r="N96" s="747"/>
      <c r="O96" s="747">
        <v>40944.84928494662</v>
      </c>
      <c r="P96" s="870">
        <v>60</v>
      </c>
      <c r="Q96" s="815"/>
      <c r="R96" s="818">
        <v>2</v>
      </c>
    </row>
    <row r="97" spans="1:18" ht="14.4">
      <c r="A97" s="743">
        <f t="shared" si="10"/>
        <v>2010</v>
      </c>
      <c r="B97" s="744" t="s">
        <v>190</v>
      </c>
      <c r="C97" s="745">
        <v>124314</v>
      </c>
      <c r="D97" s="745">
        <v>7880</v>
      </c>
      <c r="E97" s="745">
        <v>1293</v>
      </c>
      <c r="F97" s="745">
        <v>1541</v>
      </c>
      <c r="G97" s="745">
        <v>115</v>
      </c>
      <c r="H97" s="745">
        <v>6</v>
      </c>
      <c r="I97" s="747">
        <v>20789.871046742686</v>
      </c>
      <c r="J97" s="747"/>
      <c r="K97" s="747"/>
      <c r="L97" s="747"/>
      <c r="M97" s="747">
        <f t="shared" si="8"/>
        <v>155938.87104674269</v>
      </c>
      <c r="N97" s="747"/>
      <c r="O97" s="747">
        <v>41085.429497460362</v>
      </c>
      <c r="P97" s="870">
        <v>61</v>
      </c>
      <c r="Q97" s="815"/>
      <c r="R97" s="818">
        <v>2</v>
      </c>
    </row>
    <row r="98" spans="1:18" ht="14.4">
      <c r="A98" s="743">
        <f t="shared" si="10"/>
        <v>2010</v>
      </c>
      <c r="B98" s="744" t="s">
        <v>191</v>
      </c>
      <c r="C98" s="745">
        <v>124592</v>
      </c>
      <c r="D98" s="745">
        <v>7914</v>
      </c>
      <c r="E98" s="745">
        <v>1293</v>
      </c>
      <c r="F98" s="745">
        <v>1542</v>
      </c>
      <c r="G98" s="745">
        <v>113</v>
      </c>
      <c r="H98" s="745">
        <v>6</v>
      </c>
      <c r="I98" s="747">
        <v>20812.000000000033</v>
      </c>
      <c r="J98" s="747"/>
      <c r="K98" s="747"/>
      <c r="L98" s="747"/>
      <c r="M98" s="747">
        <f t="shared" si="8"/>
        <v>156272.00000000003</v>
      </c>
      <c r="N98" s="747"/>
      <c r="O98" s="747">
        <v>41226.492378649054</v>
      </c>
      <c r="P98" s="870">
        <v>61</v>
      </c>
      <c r="Q98" s="815"/>
      <c r="R98" s="818">
        <v>2</v>
      </c>
    </row>
    <row r="99" spans="1:18" ht="14.4">
      <c r="A99" s="743">
        <f>A98+1</f>
        <v>2011</v>
      </c>
      <c r="B99" s="744" t="s">
        <v>180</v>
      </c>
      <c r="C99" s="745">
        <v>124890</v>
      </c>
      <c r="D99" s="745">
        <v>7934</v>
      </c>
      <c r="E99" s="745">
        <v>1307</v>
      </c>
      <c r="F99" s="745">
        <v>1545</v>
      </c>
      <c r="G99" s="745">
        <v>112</v>
      </c>
      <c r="H99" s="745">
        <v>6</v>
      </c>
      <c r="I99" s="747">
        <v>20841.272487147398</v>
      </c>
      <c r="J99" s="748">
        <v>1</v>
      </c>
      <c r="K99" s="748">
        <v>0</v>
      </c>
      <c r="L99" s="748">
        <v>1</v>
      </c>
      <c r="M99" s="747">
        <f t="shared" si="8"/>
        <v>156637.27248714739</v>
      </c>
      <c r="N99" s="747"/>
      <c r="O99" s="747">
        <v>41260.492378649054</v>
      </c>
      <c r="P99" s="870">
        <v>61</v>
      </c>
      <c r="Q99" s="815"/>
      <c r="R99" s="818">
        <v>2</v>
      </c>
    </row>
    <row r="100" spans="1:18" ht="14.4">
      <c r="A100" s="743">
        <f>A99+0</f>
        <v>2011</v>
      </c>
      <c r="B100" s="744" t="s">
        <v>181</v>
      </c>
      <c r="C100" s="745">
        <v>125033</v>
      </c>
      <c r="D100" s="745">
        <v>7959</v>
      </c>
      <c r="E100" s="745">
        <v>1321</v>
      </c>
      <c r="F100" s="745">
        <v>1545</v>
      </c>
      <c r="G100" s="745">
        <v>112</v>
      </c>
      <c r="H100" s="745">
        <v>6</v>
      </c>
      <c r="I100" s="747">
        <v>20870.586146623409</v>
      </c>
      <c r="J100" s="748">
        <v>1</v>
      </c>
      <c r="K100" s="748">
        <v>1</v>
      </c>
      <c r="L100" s="748">
        <v>1</v>
      </c>
      <c r="M100" s="747">
        <f t="shared" si="8"/>
        <v>156849.58614662342</v>
      </c>
      <c r="N100" s="747"/>
      <c r="O100" s="747">
        <v>41294.492378649054</v>
      </c>
      <c r="P100" s="870">
        <v>61</v>
      </c>
      <c r="Q100" s="815"/>
      <c r="R100" s="818">
        <v>2</v>
      </c>
    </row>
    <row r="101" spans="1:18" ht="14.4">
      <c r="A101" s="743">
        <f t="shared" ref="A101:A110" si="11">A100+0</f>
        <v>2011</v>
      </c>
      <c r="B101" s="744" t="s">
        <v>182</v>
      </c>
      <c r="C101" s="745">
        <v>125247</v>
      </c>
      <c r="D101" s="745">
        <v>7989</v>
      </c>
      <c r="E101" s="745">
        <v>1336</v>
      </c>
      <c r="F101" s="745">
        <v>1545</v>
      </c>
      <c r="G101" s="745">
        <v>112</v>
      </c>
      <c r="H101" s="745">
        <v>6</v>
      </c>
      <c r="I101" s="747">
        <v>20899.941036337757</v>
      </c>
      <c r="J101" s="748">
        <v>1</v>
      </c>
      <c r="K101" s="748">
        <v>1</v>
      </c>
      <c r="L101" s="748">
        <v>1</v>
      </c>
      <c r="M101" s="747">
        <f t="shared" si="8"/>
        <v>157137.94103633775</v>
      </c>
      <c r="N101" s="747"/>
      <c r="O101" s="747">
        <v>41328.492378649054</v>
      </c>
      <c r="P101" s="870">
        <v>61</v>
      </c>
      <c r="Q101" s="815"/>
      <c r="R101" s="818">
        <v>2</v>
      </c>
    </row>
    <row r="102" spans="1:18" ht="14.4">
      <c r="A102" s="743">
        <f t="shared" si="11"/>
        <v>2011</v>
      </c>
      <c r="B102" s="744" t="s">
        <v>183</v>
      </c>
      <c r="C102" s="745">
        <v>125456</v>
      </c>
      <c r="D102" s="745">
        <v>8016</v>
      </c>
      <c r="E102" s="745">
        <v>1351</v>
      </c>
      <c r="F102" s="745">
        <v>1547</v>
      </c>
      <c r="G102" s="745">
        <v>112</v>
      </c>
      <c r="H102" s="745">
        <v>6</v>
      </c>
      <c r="I102" s="747">
        <v>20929.337214281582</v>
      </c>
      <c r="J102" s="748">
        <v>1</v>
      </c>
      <c r="K102" s="748">
        <v>1</v>
      </c>
      <c r="L102" s="748">
        <v>1</v>
      </c>
      <c r="M102" s="747">
        <f t="shared" si="8"/>
        <v>157420.33721428158</v>
      </c>
      <c r="N102" s="747"/>
      <c r="O102" s="747">
        <v>41362.492378649054</v>
      </c>
      <c r="P102" s="870">
        <v>61</v>
      </c>
      <c r="Q102" s="815"/>
      <c r="R102" s="818">
        <v>2</v>
      </c>
    </row>
    <row r="103" spans="1:18" ht="14.4">
      <c r="A103" s="743">
        <f t="shared" si="11"/>
        <v>2011</v>
      </c>
      <c r="B103" s="744" t="s">
        <v>184</v>
      </c>
      <c r="C103" s="745">
        <v>125752</v>
      </c>
      <c r="D103" s="745">
        <v>8027</v>
      </c>
      <c r="E103" s="745">
        <v>1366</v>
      </c>
      <c r="F103" s="745">
        <v>1544</v>
      </c>
      <c r="G103" s="745">
        <v>112</v>
      </c>
      <c r="H103" s="745">
        <v>6</v>
      </c>
      <c r="I103" s="747">
        <v>20958.774738527591</v>
      </c>
      <c r="J103" s="748">
        <v>1</v>
      </c>
      <c r="K103" s="748">
        <v>1</v>
      </c>
      <c r="L103" s="748">
        <v>1</v>
      </c>
      <c r="M103" s="747">
        <f t="shared" si="8"/>
        <v>157768.7747385276</v>
      </c>
      <c r="N103" s="747"/>
      <c r="O103" s="747">
        <v>41396.492378649054</v>
      </c>
      <c r="P103" s="870">
        <v>61</v>
      </c>
      <c r="Q103" s="815"/>
      <c r="R103" s="818">
        <v>2</v>
      </c>
    </row>
    <row r="104" spans="1:18" ht="14.4">
      <c r="A104" s="743">
        <f t="shared" si="11"/>
        <v>2011</v>
      </c>
      <c r="B104" s="744" t="s">
        <v>185</v>
      </c>
      <c r="C104" s="745">
        <v>126132</v>
      </c>
      <c r="D104" s="745">
        <v>8062</v>
      </c>
      <c r="E104" s="745">
        <v>1381</v>
      </c>
      <c r="F104" s="745">
        <v>1545</v>
      </c>
      <c r="G104" s="745">
        <v>111</v>
      </c>
      <c r="H104" s="745">
        <v>6</v>
      </c>
      <c r="I104" s="747">
        <v>20988.253667230169</v>
      </c>
      <c r="J104" s="748">
        <v>1</v>
      </c>
      <c r="K104" s="748">
        <v>1</v>
      </c>
      <c r="L104" s="748">
        <v>1</v>
      </c>
      <c r="M104" s="747">
        <f t="shared" si="8"/>
        <v>158228.25366723016</v>
      </c>
      <c r="N104" s="747"/>
      <c r="O104" s="747">
        <v>41439</v>
      </c>
      <c r="P104" s="870">
        <v>61</v>
      </c>
      <c r="Q104" s="815"/>
      <c r="R104" s="818">
        <v>2</v>
      </c>
    </row>
    <row r="105" spans="1:18" ht="14.4">
      <c r="A105" s="743">
        <f t="shared" si="11"/>
        <v>2011</v>
      </c>
      <c r="B105" s="744" t="s">
        <v>186</v>
      </c>
      <c r="C105" s="745">
        <v>126396</v>
      </c>
      <c r="D105" s="745">
        <v>8083</v>
      </c>
      <c r="E105" s="745">
        <v>1385</v>
      </c>
      <c r="F105" s="745">
        <v>1541</v>
      </c>
      <c r="G105" s="745">
        <v>112</v>
      </c>
      <c r="H105" s="745">
        <v>6</v>
      </c>
      <c r="I105" s="747">
        <v>21017.774058625499</v>
      </c>
      <c r="J105" s="748">
        <v>1</v>
      </c>
      <c r="K105" s="748">
        <v>1</v>
      </c>
      <c r="L105" s="748">
        <v>1</v>
      </c>
      <c r="M105" s="747">
        <f t="shared" si="8"/>
        <v>158543.77405862551</v>
      </c>
      <c r="N105" s="747"/>
      <c r="O105" s="747">
        <v>41434</v>
      </c>
      <c r="P105" s="870">
        <v>61</v>
      </c>
      <c r="Q105" s="815"/>
      <c r="R105" s="818">
        <v>2</v>
      </c>
    </row>
    <row r="106" spans="1:18" ht="14.4">
      <c r="A106" s="743">
        <f t="shared" si="11"/>
        <v>2011</v>
      </c>
      <c r="B106" s="744" t="s">
        <v>187</v>
      </c>
      <c r="C106" s="745">
        <v>126670</v>
      </c>
      <c r="D106" s="745">
        <v>8103</v>
      </c>
      <c r="E106" s="745">
        <v>1389</v>
      </c>
      <c r="F106" s="745">
        <v>1544</v>
      </c>
      <c r="G106" s="745">
        <v>112</v>
      </c>
      <c r="H106" s="745">
        <v>6</v>
      </c>
      <c r="I106" s="747">
        <v>21047.335971031676</v>
      </c>
      <c r="J106" s="748">
        <v>1</v>
      </c>
      <c r="K106" s="748">
        <v>2</v>
      </c>
      <c r="L106" s="748">
        <v>1</v>
      </c>
      <c r="M106" s="747">
        <f t="shared" si="8"/>
        <v>158875.33597103169</v>
      </c>
      <c r="N106" s="747"/>
      <c r="O106" s="747">
        <v>41362</v>
      </c>
      <c r="P106" s="870">
        <v>61</v>
      </c>
      <c r="Q106" s="815"/>
      <c r="R106" s="818">
        <v>2</v>
      </c>
    </row>
    <row r="107" spans="1:18" ht="14.4">
      <c r="A107" s="743">
        <f t="shared" si="11"/>
        <v>2011</v>
      </c>
      <c r="B107" s="744" t="s">
        <v>188</v>
      </c>
      <c r="C107" s="745">
        <v>127049</v>
      </c>
      <c r="D107" s="745">
        <v>8135</v>
      </c>
      <c r="E107" s="745">
        <v>1392</v>
      </c>
      <c r="F107" s="745">
        <v>1522</v>
      </c>
      <c r="G107" s="745">
        <v>112</v>
      </c>
      <c r="H107" s="745">
        <v>6</v>
      </c>
      <c r="I107" s="747">
        <v>21076.939462848815</v>
      </c>
      <c r="J107" s="748">
        <v>1</v>
      </c>
      <c r="K107" s="748">
        <v>2</v>
      </c>
      <c r="L107" s="748">
        <v>1</v>
      </c>
      <c r="M107" s="747">
        <f t="shared" si="8"/>
        <v>159296.93946284882</v>
      </c>
      <c r="N107" s="747"/>
      <c r="O107" s="747">
        <v>41547</v>
      </c>
      <c r="P107" s="870">
        <v>61</v>
      </c>
      <c r="Q107" s="815"/>
      <c r="R107" s="818">
        <v>2</v>
      </c>
    </row>
    <row r="108" spans="1:18" ht="14.4">
      <c r="A108" s="743">
        <f t="shared" si="11"/>
        <v>2011</v>
      </c>
      <c r="B108" s="744" t="s">
        <v>189</v>
      </c>
      <c r="C108" s="745">
        <v>127445</v>
      </c>
      <c r="D108" s="745">
        <v>8172</v>
      </c>
      <c r="E108" s="745">
        <v>1400</v>
      </c>
      <c r="F108" s="745">
        <v>1522</v>
      </c>
      <c r="G108" s="745">
        <v>112</v>
      </c>
      <c r="H108" s="745">
        <v>6</v>
      </c>
      <c r="I108" s="747">
        <v>21106.584592559178</v>
      </c>
      <c r="J108" s="748">
        <v>1</v>
      </c>
      <c r="K108" s="748">
        <v>2</v>
      </c>
      <c r="L108" s="748">
        <v>1</v>
      </c>
      <c r="M108" s="747">
        <f t="shared" si="8"/>
        <v>159767.58459255917</v>
      </c>
      <c r="N108" s="747"/>
      <c r="O108" s="747">
        <v>41684</v>
      </c>
      <c r="P108" s="870">
        <v>61</v>
      </c>
      <c r="Q108" s="815"/>
      <c r="R108" s="818">
        <v>2</v>
      </c>
    </row>
    <row r="109" spans="1:18" ht="14.4">
      <c r="A109" s="743">
        <f t="shared" si="11"/>
        <v>2011</v>
      </c>
      <c r="B109" s="744" t="s">
        <v>190</v>
      </c>
      <c r="C109" s="745">
        <v>127774</v>
      </c>
      <c r="D109" s="745">
        <v>8225</v>
      </c>
      <c r="E109" s="745">
        <v>1398</v>
      </c>
      <c r="F109" s="745">
        <v>1521</v>
      </c>
      <c r="G109" s="745">
        <v>112</v>
      </c>
      <c r="H109" s="745">
        <v>6</v>
      </c>
      <c r="I109" s="747">
        <v>21136.271418727276</v>
      </c>
      <c r="J109" s="748">
        <v>1</v>
      </c>
      <c r="K109" s="748">
        <v>2</v>
      </c>
      <c r="L109" s="748">
        <v>1</v>
      </c>
      <c r="M109" s="747">
        <f t="shared" si="8"/>
        <v>160176.27141872726</v>
      </c>
      <c r="N109" s="747"/>
      <c r="O109" s="747">
        <v>41755</v>
      </c>
      <c r="P109" s="870">
        <v>62</v>
      </c>
      <c r="Q109" s="815"/>
      <c r="R109" s="818">
        <v>2</v>
      </c>
    </row>
    <row r="110" spans="1:18" ht="14.4">
      <c r="A110" s="743">
        <f t="shared" si="11"/>
        <v>2011</v>
      </c>
      <c r="B110" s="744" t="s">
        <v>191</v>
      </c>
      <c r="C110" s="745">
        <v>127956</v>
      </c>
      <c r="D110" s="745">
        <v>8259</v>
      </c>
      <c r="E110" s="745">
        <v>1400</v>
      </c>
      <c r="F110" s="745">
        <v>1523</v>
      </c>
      <c r="G110" s="745">
        <v>112</v>
      </c>
      <c r="H110" s="745">
        <v>6</v>
      </c>
      <c r="I110" s="747">
        <v>21166</v>
      </c>
      <c r="J110" s="748">
        <v>1</v>
      </c>
      <c r="K110" s="748">
        <v>3</v>
      </c>
      <c r="L110" s="748">
        <v>1</v>
      </c>
      <c r="M110" s="747">
        <f t="shared" si="8"/>
        <v>160427</v>
      </c>
      <c r="N110" s="747"/>
      <c r="O110" s="747">
        <v>41780</v>
      </c>
      <c r="P110" s="870">
        <v>62</v>
      </c>
      <c r="Q110" s="815"/>
      <c r="R110" s="818">
        <v>2</v>
      </c>
    </row>
    <row r="111" spans="1:18" ht="14.4">
      <c r="A111" s="743">
        <f>A110+1</f>
        <v>2012</v>
      </c>
      <c r="B111" s="744" t="s">
        <v>180</v>
      </c>
      <c r="C111" s="745">
        <v>128080</v>
      </c>
      <c r="D111" s="745">
        <f>8264-23</f>
        <v>8241</v>
      </c>
      <c r="E111" s="745">
        <v>1405</v>
      </c>
      <c r="F111" s="745">
        <v>1523</v>
      </c>
      <c r="G111" s="745">
        <v>113</v>
      </c>
      <c r="H111" s="745">
        <v>6</v>
      </c>
      <c r="I111" s="747">
        <v>21195.604527746094</v>
      </c>
      <c r="J111" s="748">
        <v>1</v>
      </c>
      <c r="K111" s="748">
        <v>4</v>
      </c>
      <c r="L111" s="748">
        <v>1</v>
      </c>
      <c r="M111" s="747">
        <f t="shared" si="8"/>
        <v>160569.60452774609</v>
      </c>
      <c r="N111" s="747"/>
      <c r="O111" s="747">
        <v>41894</v>
      </c>
      <c r="P111" s="870">
        <v>61</v>
      </c>
      <c r="Q111" s="815"/>
      <c r="R111" s="818">
        <v>2</v>
      </c>
    </row>
    <row r="112" spans="1:18" ht="14.4">
      <c r="A112" s="743">
        <f>A111+0</f>
        <v>2012</v>
      </c>
      <c r="B112" s="744" t="s">
        <v>181</v>
      </c>
      <c r="C112" s="745">
        <v>128321</v>
      </c>
      <c r="D112" s="745">
        <f>8284-22</f>
        <v>8262</v>
      </c>
      <c r="E112" s="745">
        <v>1408</v>
      </c>
      <c r="F112" s="745">
        <v>1524</v>
      </c>
      <c r="G112" s="745">
        <v>112</v>
      </c>
      <c r="H112" s="745">
        <v>6</v>
      </c>
      <c r="I112" s="747">
        <v>21225.250462846579</v>
      </c>
      <c r="J112" s="748">
        <v>1</v>
      </c>
      <c r="K112" s="748">
        <v>4</v>
      </c>
      <c r="L112" s="748">
        <v>1</v>
      </c>
      <c r="M112" s="747">
        <f t="shared" si="8"/>
        <v>160864.25046284657</v>
      </c>
      <c r="N112" s="747"/>
      <c r="O112" s="747">
        <v>41979</v>
      </c>
      <c r="P112" s="870">
        <v>61</v>
      </c>
      <c r="Q112" s="815"/>
      <c r="R112" s="818">
        <v>2</v>
      </c>
    </row>
    <row r="113" spans="1:28" ht="14.4">
      <c r="A113" s="743">
        <f t="shared" ref="A113:A122" si="12">A112+0</f>
        <v>2012</v>
      </c>
      <c r="B113" s="744" t="s">
        <v>182</v>
      </c>
      <c r="C113" s="745">
        <v>128513</v>
      </c>
      <c r="D113" s="745">
        <f>8305-26</f>
        <v>8279</v>
      </c>
      <c r="E113" s="745">
        <v>1414</v>
      </c>
      <c r="F113" s="745">
        <v>1524</v>
      </c>
      <c r="G113" s="745">
        <v>112</v>
      </c>
      <c r="H113" s="745">
        <v>6</v>
      </c>
      <c r="I113" s="747">
        <v>21254.937863217227</v>
      </c>
      <c r="J113" s="748">
        <v>1</v>
      </c>
      <c r="K113" s="748">
        <v>4</v>
      </c>
      <c r="L113" s="748">
        <v>1</v>
      </c>
      <c r="M113" s="747">
        <f t="shared" si="8"/>
        <v>161108.93786321723</v>
      </c>
      <c r="N113" s="747"/>
      <c r="O113" s="747">
        <v>42058</v>
      </c>
      <c r="P113" s="870">
        <v>61</v>
      </c>
      <c r="Q113" s="850"/>
      <c r="R113" s="818">
        <v>2</v>
      </c>
      <c r="S113" s="736"/>
    </row>
    <row r="114" spans="1:28" ht="14.4">
      <c r="A114" s="743">
        <f t="shared" si="12"/>
        <v>2012</v>
      </c>
      <c r="B114" s="744" t="s">
        <v>183</v>
      </c>
      <c r="C114" s="745">
        <v>128731</v>
      </c>
      <c r="D114" s="745">
        <f>8320-28</f>
        <v>8292</v>
      </c>
      <c r="E114" s="745">
        <v>1420</v>
      </c>
      <c r="F114" s="745">
        <v>1515</v>
      </c>
      <c r="G114" s="745">
        <v>112</v>
      </c>
      <c r="H114" s="745">
        <v>6</v>
      </c>
      <c r="I114" s="747">
        <v>21284.66678685481</v>
      </c>
      <c r="J114" s="748">
        <v>1</v>
      </c>
      <c r="K114" s="748">
        <v>4</v>
      </c>
      <c r="L114" s="748">
        <v>1</v>
      </c>
      <c r="M114" s="747">
        <f t="shared" si="8"/>
        <v>161366.6667868548</v>
      </c>
      <c r="N114" s="747"/>
      <c r="O114" s="747">
        <v>42166</v>
      </c>
      <c r="P114" s="870">
        <v>61</v>
      </c>
      <c r="Q114" s="850"/>
      <c r="R114" s="818">
        <v>2</v>
      </c>
      <c r="S114" s="718"/>
      <c r="Z114" s="736"/>
      <c r="AA114" s="591"/>
      <c r="AB114" s="591"/>
    </row>
    <row r="115" spans="1:28" ht="14.4">
      <c r="A115" s="743">
        <f t="shared" si="12"/>
        <v>2012</v>
      </c>
      <c r="B115" s="744" t="s">
        <v>184</v>
      </c>
      <c r="C115" s="745">
        <v>128980</v>
      </c>
      <c r="D115" s="745">
        <f>8338-28</f>
        <v>8310</v>
      </c>
      <c r="E115" s="745">
        <v>1420</v>
      </c>
      <c r="F115" s="745">
        <v>1517</v>
      </c>
      <c r="G115" s="745">
        <v>112</v>
      </c>
      <c r="H115" s="745">
        <v>6</v>
      </c>
      <c r="I115" s="747">
        <v>21314.437291837225</v>
      </c>
      <c r="J115" s="748">
        <v>1</v>
      </c>
      <c r="K115" s="748">
        <v>4</v>
      </c>
      <c r="L115" s="748">
        <v>1</v>
      </c>
      <c r="M115" s="747">
        <f t="shared" si="8"/>
        <v>161665.43729183724</v>
      </c>
      <c r="N115" s="747"/>
      <c r="O115" s="747">
        <v>42345</v>
      </c>
      <c r="P115" s="870">
        <v>61</v>
      </c>
      <c r="Q115" s="850"/>
      <c r="R115" s="818">
        <v>2</v>
      </c>
      <c r="S115" s="736"/>
      <c r="Z115" s="736"/>
      <c r="AA115" s="591"/>
    </row>
    <row r="116" spans="1:28" ht="14.4">
      <c r="A116" s="743">
        <f t="shared" si="12"/>
        <v>2012</v>
      </c>
      <c r="B116" s="744" t="s">
        <v>185</v>
      </c>
      <c r="C116" s="745">
        <v>129389</v>
      </c>
      <c r="D116" s="745">
        <f>8348-31</f>
        <v>8317</v>
      </c>
      <c r="E116" s="745">
        <v>1420</v>
      </c>
      <c r="F116" s="745">
        <v>1518</v>
      </c>
      <c r="G116" s="745">
        <v>112</v>
      </c>
      <c r="H116" s="745">
        <v>6</v>
      </c>
      <c r="I116" s="747">
        <v>21344.249436323596</v>
      </c>
      <c r="J116" s="748">
        <v>1</v>
      </c>
      <c r="K116" s="748">
        <v>4</v>
      </c>
      <c r="L116" s="748">
        <v>1</v>
      </c>
      <c r="M116" s="747">
        <f t="shared" si="8"/>
        <v>162112.24943632359</v>
      </c>
      <c r="N116" s="747"/>
      <c r="O116" s="747">
        <v>42292</v>
      </c>
      <c r="P116" s="870">
        <v>61</v>
      </c>
      <c r="Q116" s="850"/>
      <c r="R116" s="818">
        <v>2</v>
      </c>
      <c r="S116" s="736"/>
      <c r="Z116" s="736"/>
      <c r="AA116" s="591"/>
    </row>
    <row r="117" spans="1:28" ht="14.4">
      <c r="A117" s="743">
        <f t="shared" si="12"/>
        <v>2012</v>
      </c>
      <c r="B117" s="744" t="s">
        <v>186</v>
      </c>
      <c r="C117" s="745">
        <v>129807</v>
      </c>
      <c r="D117" s="745">
        <f>8363-40</f>
        <v>8323</v>
      </c>
      <c r="E117" s="745">
        <v>1420</v>
      </c>
      <c r="F117" s="745">
        <v>1521</v>
      </c>
      <c r="G117" s="745">
        <v>112</v>
      </c>
      <c r="H117" s="745">
        <v>6</v>
      </c>
      <c r="I117" s="747">
        <v>21374.103278554398</v>
      </c>
      <c r="J117" s="748">
        <v>1</v>
      </c>
      <c r="K117" s="748">
        <v>4</v>
      </c>
      <c r="L117" s="748">
        <v>1</v>
      </c>
      <c r="M117" s="747">
        <f t="shared" si="8"/>
        <v>162569.10327855439</v>
      </c>
      <c r="N117" s="747"/>
      <c r="O117" s="747">
        <v>42344</v>
      </c>
      <c r="P117" s="870">
        <v>61</v>
      </c>
      <c r="Q117" s="850"/>
      <c r="R117" s="818">
        <v>2</v>
      </c>
      <c r="S117" s="736"/>
      <c r="Z117" s="736"/>
      <c r="AA117" s="591"/>
    </row>
    <row r="118" spans="1:28" ht="14.4">
      <c r="A118" s="743">
        <f t="shared" si="12"/>
        <v>2012</v>
      </c>
      <c r="B118" s="744" t="s">
        <v>187</v>
      </c>
      <c r="C118" s="745">
        <v>130175</v>
      </c>
      <c r="D118" s="745">
        <f>8371-35</f>
        <v>8336</v>
      </c>
      <c r="E118" s="745">
        <v>1421</v>
      </c>
      <c r="F118" s="745">
        <v>1524</v>
      </c>
      <c r="G118" s="745">
        <v>112</v>
      </c>
      <c r="H118" s="745">
        <v>6</v>
      </c>
      <c r="I118" s="747">
        <v>21403.998876851565</v>
      </c>
      <c r="J118" s="748">
        <v>1</v>
      </c>
      <c r="K118" s="748">
        <v>4</v>
      </c>
      <c r="L118" s="748">
        <v>1</v>
      </c>
      <c r="M118" s="747">
        <f t="shared" si="8"/>
        <v>162983.99887685158</v>
      </c>
      <c r="N118" s="747"/>
      <c r="O118" s="747">
        <v>42419</v>
      </c>
      <c r="P118" s="870">
        <v>61</v>
      </c>
      <c r="Q118" s="850"/>
      <c r="R118" s="818">
        <v>2</v>
      </c>
      <c r="S118" s="736"/>
      <c r="Z118" s="736"/>
      <c r="AA118" s="591"/>
    </row>
    <row r="119" spans="1:28" ht="14.4">
      <c r="A119" s="743">
        <f t="shared" si="12"/>
        <v>2012</v>
      </c>
      <c r="B119" s="744" t="s">
        <v>188</v>
      </c>
      <c r="C119" s="745">
        <v>130451</v>
      </c>
      <c r="D119" s="745">
        <f>8392-35</f>
        <v>8357</v>
      </c>
      <c r="E119" s="745">
        <v>1423</v>
      </c>
      <c r="F119" s="745">
        <v>1528</v>
      </c>
      <c r="G119" s="745">
        <v>111</v>
      </c>
      <c r="H119" s="745">
        <v>6</v>
      </c>
      <c r="I119" s="747">
        <v>21433.936289618603</v>
      </c>
      <c r="J119" s="748">
        <v>1</v>
      </c>
      <c r="K119" s="748">
        <v>4</v>
      </c>
      <c r="L119" s="748">
        <v>1</v>
      </c>
      <c r="M119" s="747">
        <f t="shared" si="8"/>
        <v>163315.93628961861</v>
      </c>
      <c r="N119" s="747"/>
      <c r="O119" s="747">
        <v>42533</v>
      </c>
      <c r="P119" s="870">
        <v>60</v>
      </c>
      <c r="Q119" s="850"/>
      <c r="R119" s="818">
        <v>2</v>
      </c>
      <c r="S119" s="736"/>
      <c r="Z119" s="736"/>
      <c r="AA119" s="591"/>
    </row>
    <row r="120" spans="1:28" ht="14.4">
      <c r="A120" s="743">
        <f t="shared" si="12"/>
        <v>2012</v>
      </c>
      <c r="B120" s="744" t="s">
        <v>189</v>
      </c>
      <c r="C120" s="745">
        <v>130880</v>
      </c>
      <c r="D120" s="745">
        <f>8437-53</f>
        <v>8384</v>
      </c>
      <c r="E120" s="745">
        <v>1440</v>
      </c>
      <c r="F120" s="745">
        <v>1537</v>
      </c>
      <c r="G120" s="745">
        <v>110</v>
      </c>
      <c r="H120" s="745">
        <v>6</v>
      </c>
      <c r="I120" s="747">
        <v>21463.915575340703</v>
      </c>
      <c r="J120" s="748">
        <v>1</v>
      </c>
      <c r="K120" s="748">
        <v>10</v>
      </c>
      <c r="L120" s="748">
        <v>1</v>
      </c>
      <c r="M120" s="747">
        <f t="shared" si="8"/>
        <v>163832.91557534071</v>
      </c>
      <c r="N120" s="747"/>
      <c r="O120" s="747">
        <v>42691</v>
      </c>
      <c r="P120" s="870">
        <v>60</v>
      </c>
      <c r="Q120" s="850"/>
      <c r="R120" s="818">
        <v>2</v>
      </c>
      <c r="S120" s="736"/>
      <c r="Z120" s="736"/>
      <c r="AA120" s="591"/>
    </row>
    <row r="121" spans="1:28" ht="14.4">
      <c r="A121" s="743">
        <f t="shared" si="12"/>
        <v>2012</v>
      </c>
      <c r="B121" s="744" t="s">
        <v>190</v>
      </c>
      <c r="C121" s="745">
        <v>131394</v>
      </c>
      <c r="D121" s="745">
        <f>8457-53</f>
        <v>8404</v>
      </c>
      <c r="E121" s="745">
        <v>1448</v>
      </c>
      <c r="F121" s="745">
        <v>1537</v>
      </c>
      <c r="G121" s="745">
        <v>110</v>
      </c>
      <c r="H121" s="745">
        <v>6</v>
      </c>
      <c r="I121" s="747">
        <v>21493.936792584867</v>
      </c>
      <c r="J121" s="748">
        <v>1</v>
      </c>
      <c r="K121" s="748">
        <v>12</v>
      </c>
      <c r="L121" s="748">
        <v>1</v>
      </c>
      <c r="M121" s="747">
        <f t="shared" si="8"/>
        <v>164406.93679258486</v>
      </c>
      <c r="N121" s="747"/>
      <c r="O121" s="747">
        <v>42738</v>
      </c>
      <c r="P121" s="870">
        <v>60</v>
      </c>
      <c r="Q121" s="850"/>
      <c r="R121" s="818">
        <v>2</v>
      </c>
      <c r="T121" s="736"/>
      <c r="U121" s="738"/>
      <c r="V121" s="591"/>
      <c r="X121" s="718"/>
      <c r="Y121" s="591"/>
      <c r="Z121" s="736"/>
      <c r="AA121" s="591"/>
    </row>
    <row r="122" spans="1:28" ht="14.4">
      <c r="A122" s="743">
        <f t="shared" si="12"/>
        <v>2012</v>
      </c>
      <c r="B122" s="744" t="s">
        <v>191</v>
      </c>
      <c r="C122" s="745">
        <v>131665</v>
      </c>
      <c r="D122" s="745">
        <f>8480-54</f>
        <v>8426</v>
      </c>
      <c r="E122" s="745">
        <v>1450</v>
      </c>
      <c r="F122" s="745">
        <v>1537</v>
      </c>
      <c r="G122" s="745">
        <v>110</v>
      </c>
      <c r="H122" s="745">
        <v>6</v>
      </c>
      <c r="I122" s="747">
        <v>21524.000000000007</v>
      </c>
      <c r="J122" s="748">
        <v>1</v>
      </c>
      <c r="K122" s="748">
        <v>14</v>
      </c>
      <c r="L122" s="748">
        <v>1</v>
      </c>
      <c r="M122" s="747">
        <f t="shared" si="8"/>
        <v>164734</v>
      </c>
      <c r="N122" s="747"/>
      <c r="O122" s="747">
        <v>42897</v>
      </c>
      <c r="P122" s="870">
        <v>60</v>
      </c>
      <c r="Q122" s="850"/>
      <c r="R122" s="818">
        <v>2</v>
      </c>
      <c r="T122" s="736"/>
      <c r="U122" s="738"/>
      <c r="V122" s="591"/>
      <c r="W122" s="718"/>
      <c r="X122" s="718"/>
      <c r="Y122" s="591"/>
      <c r="Z122" s="736"/>
      <c r="AA122" s="591"/>
    </row>
    <row r="123" spans="1:28" ht="14.4">
      <c r="A123" s="743">
        <f>A122+1</f>
        <v>2013</v>
      </c>
      <c r="B123" s="744" t="s">
        <v>180</v>
      </c>
      <c r="C123" s="745">
        <v>131997</v>
      </c>
      <c r="D123" s="745">
        <f>8503-54</f>
        <v>8449</v>
      </c>
      <c r="E123" s="745">
        <v>1463</v>
      </c>
      <c r="F123" s="745">
        <v>1540</v>
      </c>
      <c r="G123" s="745">
        <v>110</v>
      </c>
      <c r="H123" s="745">
        <v>6</v>
      </c>
      <c r="I123" s="747">
        <v>21555.085225642681</v>
      </c>
      <c r="J123" s="748">
        <v>1</v>
      </c>
      <c r="K123" s="748">
        <v>14</v>
      </c>
      <c r="L123" s="748">
        <v>1</v>
      </c>
      <c r="M123" s="747">
        <f t="shared" si="8"/>
        <v>165136.08522564269</v>
      </c>
      <c r="N123" s="747"/>
      <c r="O123" s="747">
        <v>43168</v>
      </c>
      <c r="P123" s="870">
        <v>60</v>
      </c>
      <c r="Q123" s="850"/>
      <c r="R123" s="818">
        <v>2</v>
      </c>
      <c r="T123" s="736"/>
      <c r="U123" s="738"/>
      <c r="V123" s="591"/>
      <c r="W123" s="739"/>
      <c r="X123" s="718"/>
      <c r="Y123" s="591"/>
      <c r="Z123" s="736"/>
      <c r="AA123" s="591"/>
    </row>
    <row r="124" spans="1:28" ht="14.4">
      <c r="A124" s="743">
        <f>A123+0</f>
        <v>2013</v>
      </c>
      <c r="B124" s="744" t="s">
        <v>181</v>
      </c>
      <c r="C124" s="745">
        <v>132243</v>
      </c>
      <c r="D124" s="745">
        <f>8511-40</f>
        <v>8471</v>
      </c>
      <c r="E124" s="745">
        <v>1464</v>
      </c>
      <c r="F124" s="745">
        <v>1538</v>
      </c>
      <c r="G124" s="745">
        <v>111</v>
      </c>
      <c r="H124" s="745">
        <v>6</v>
      </c>
      <c r="I124" s="747">
        <v>21586.215344950717</v>
      </c>
      <c r="J124" s="748">
        <v>1</v>
      </c>
      <c r="K124" s="748">
        <v>14</v>
      </c>
      <c r="L124" s="748">
        <v>1</v>
      </c>
      <c r="M124" s="747">
        <f t="shared" si="8"/>
        <v>165435.21534495073</v>
      </c>
      <c r="N124" s="747"/>
      <c r="O124" s="747">
        <v>42984</v>
      </c>
      <c r="P124" s="870">
        <v>60</v>
      </c>
      <c r="Q124" s="850"/>
      <c r="R124" s="818">
        <v>2</v>
      </c>
      <c r="T124" s="736"/>
      <c r="U124" s="738"/>
      <c r="V124" s="591"/>
      <c r="W124" s="739"/>
      <c r="X124" s="718"/>
      <c r="Y124" s="591"/>
      <c r="Z124" s="736"/>
      <c r="AA124" s="591"/>
    </row>
    <row r="125" spans="1:28" ht="14.4">
      <c r="A125" s="743">
        <f t="shared" ref="A125:A146" si="13">A124+0</f>
        <v>2013</v>
      </c>
      <c r="B125" s="744" t="s">
        <v>182</v>
      </c>
      <c r="C125" s="745">
        <v>132535</v>
      </c>
      <c r="D125" s="745">
        <f>8521-73</f>
        <v>8448</v>
      </c>
      <c r="E125" s="745">
        <v>1465</v>
      </c>
      <c r="F125" s="745">
        <v>1536</v>
      </c>
      <c r="G125" s="745">
        <v>111</v>
      </c>
      <c r="H125" s="745">
        <v>6</v>
      </c>
      <c r="I125" s="747">
        <v>21617.390422760098</v>
      </c>
      <c r="J125" s="748">
        <v>1</v>
      </c>
      <c r="K125" s="748">
        <v>16</v>
      </c>
      <c r="L125" s="748">
        <v>1</v>
      </c>
      <c r="M125" s="747">
        <f t="shared" si="8"/>
        <v>165736.3904227601</v>
      </c>
      <c r="N125" s="747"/>
      <c r="O125" s="747">
        <v>43078</v>
      </c>
      <c r="P125" s="870">
        <v>60</v>
      </c>
      <c r="Q125" s="850"/>
      <c r="R125" s="818">
        <v>2</v>
      </c>
      <c r="T125" s="736"/>
      <c r="U125" s="738"/>
      <c r="V125" s="718"/>
      <c r="W125" s="740"/>
      <c r="X125" s="718"/>
      <c r="Y125" s="591"/>
      <c r="Z125" s="736"/>
      <c r="AA125" s="591"/>
    </row>
    <row r="126" spans="1:28" ht="14.4">
      <c r="A126" s="743">
        <f t="shared" si="13"/>
        <v>2013</v>
      </c>
      <c r="B126" s="744" t="s">
        <v>183</v>
      </c>
      <c r="C126" s="745">
        <v>132899</v>
      </c>
      <c r="D126" s="745">
        <f>8582-74</f>
        <v>8508</v>
      </c>
      <c r="E126" s="745">
        <v>1476</v>
      </c>
      <c r="F126" s="745">
        <v>1495</v>
      </c>
      <c r="G126" s="745">
        <v>111</v>
      </c>
      <c r="H126" s="745">
        <v>6</v>
      </c>
      <c r="I126" s="747">
        <v>21648.610524000447</v>
      </c>
      <c r="J126" s="748">
        <v>1</v>
      </c>
      <c r="K126" s="748">
        <v>15</v>
      </c>
      <c r="L126" s="748">
        <v>1</v>
      </c>
      <c r="M126" s="747">
        <f t="shared" si="8"/>
        <v>166160.61052400045</v>
      </c>
      <c r="N126" s="747"/>
      <c r="O126" s="747">
        <v>43237</v>
      </c>
      <c r="P126" s="870">
        <v>59</v>
      </c>
      <c r="Q126" s="815"/>
      <c r="R126" s="818">
        <v>2</v>
      </c>
      <c r="T126" s="736"/>
      <c r="U126" s="738"/>
      <c r="V126" s="718"/>
      <c r="W126" s="591"/>
      <c r="X126" s="718"/>
      <c r="Z126" s="736"/>
    </row>
    <row r="127" spans="1:28" ht="14.4">
      <c r="A127" s="743">
        <f t="shared" si="13"/>
        <v>2013</v>
      </c>
      <c r="B127" s="744" t="s">
        <v>184</v>
      </c>
      <c r="C127" s="745">
        <v>133254</v>
      </c>
      <c r="D127" s="745">
        <f>8595-77</f>
        <v>8518</v>
      </c>
      <c r="E127" s="745">
        <v>1478</v>
      </c>
      <c r="F127" s="745">
        <v>1497</v>
      </c>
      <c r="G127" s="745">
        <v>117</v>
      </c>
      <c r="H127" s="745">
        <v>6</v>
      </c>
      <c r="I127" s="747">
        <v>21679.875713695157</v>
      </c>
      <c r="J127" s="748">
        <v>1</v>
      </c>
      <c r="K127" s="748">
        <v>17</v>
      </c>
      <c r="L127" s="748">
        <v>1</v>
      </c>
      <c r="M127" s="747">
        <f t="shared" si="8"/>
        <v>166568.87571369516</v>
      </c>
      <c r="N127" s="747"/>
      <c r="O127" s="747">
        <v>43420</v>
      </c>
      <c r="P127" s="870">
        <v>59</v>
      </c>
      <c r="Q127" s="815"/>
      <c r="R127" s="818">
        <v>2</v>
      </c>
      <c r="T127" s="736"/>
      <c r="U127" s="738"/>
      <c r="V127" s="577"/>
      <c r="W127" s="737"/>
      <c r="X127" s="718"/>
      <c r="Z127" s="736"/>
      <c r="AA127" s="736"/>
      <c r="AB127" s="591"/>
    </row>
    <row r="128" spans="1:28" ht="14.4">
      <c r="A128" s="743">
        <f t="shared" si="13"/>
        <v>2013</v>
      </c>
      <c r="B128" s="744" t="s">
        <v>185</v>
      </c>
      <c r="C128" s="745">
        <v>133451</v>
      </c>
      <c r="D128" s="745">
        <f>8602-87</f>
        <v>8515</v>
      </c>
      <c r="E128" s="745">
        <v>1479</v>
      </c>
      <c r="F128" s="745">
        <v>1499</v>
      </c>
      <c r="G128" s="745">
        <v>117</v>
      </c>
      <c r="H128" s="745">
        <v>6</v>
      </c>
      <c r="I128" s="747">
        <v>21711.186056961527</v>
      </c>
      <c r="J128" s="748">
        <v>1</v>
      </c>
      <c r="K128" s="748">
        <v>20</v>
      </c>
      <c r="L128" s="748">
        <v>1</v>
      </c>
      <c r="M128" s="747">
        <f t="shared" si="8"/>
        <v>166800.18605696154</v>
      </c>
      <c r="N128" s="747"/>
      <c r="O128" s="747">
        <v>43469</v>
      </c>
      <c r="P128" s="870">
        <v>59</v>
      </c>
      <c r="Q128" s="839"/>
      <c r="R128" s="818">
        <v>2</v>
      </c>
      <c r="T128" s="736"/>
      <c r="U128" s="738"/>
      <c r="V128" s="718"/>
      <c r="W128" s="578"/>
      <c r="X128" s="718"/>
      <c r="Z128" s="591"/>
      <c r="AB128" s="591"/>
    </row>
    <row r="129" spans="1:29" ht="14.4">
      <c r="A129" s="743">
        <f t="shared" si="13"/>
        <v>2013</v>
      </c>
      <c r="B129" s="744" t="s">
        <v>186</v>
      </c>
      <c r="C129" s="745">
        <v>133791</v>
      </c>
      <c r="D129" s="745">
        <f>8624-96</f>
        <v>8528</v>
      </c>
      <c r="E129" s="745">
        <v>1481</v>
      </c>
      <c r="F129" s="745">
        <v>1502</v>
      </c>
      <c r="G129" s="745">
        <v>117</v>
      </c>
      <c r="H129" s="745">
        <v>6</v>
      </c>
      <c r="I129" s="747">
        <v>21742.541619010903</v>
      </c>
      <c r="J129" s="748">
        <v>1</v>
      </c>
      <c r="K129" s="748">
        <v>21</v>
      </c>
      <c r="L129" s="748">
        <v>1</v>
      </c>
      <c r="M129" s="747">
        <f t="shared" si="8"/>
        <v>167190.54161901091</v>
      </c>
      <c r="N129" s="747"/>
      <c r="O129" s="747">
        <v>43568</v>
      </c>
      <c r="P129" s="870">
        <v>59</v>
      </c>
      <c r="Q129" s="839"/>
      <c r="R129" s="818">
        <v>2</v>
      </c>
      <c r="T129" s="736"/>
      <c r="U129" s="738"/>
      <c r="V129" s="719"/>
      <c r="W129" s="718"/>
      <c r="X129" s="718"/>
      <c r="Y129" s="736"/>
      <c r="Z129" s="577"/>
      <c r="AB129" s="737"/>
    </row>
    <row r="130" spans="1:29" ht="14.4">
      <c r="A130" s="743">
        <f t="shared" si="13"/>
        <v>2013</v>
      </c>
      <c r="B130" s="744" t="s">
        <v>187</v>
      </c>
      <c r="C130" s="745">
        <v>134201</v>
      </c>
      <c r="D130" s="745">
        <f>8629-101</f>
        <v>8528</v>
      </c>
      <c r="E130" s="745">
        <v>1480</v>
      </c>
      <c r="F130" s="745">
        <v>1505</v>
      </c>
      <c r="G130" s="745">
        <v>117</v>
      </c>
      <c r="H130" s="745">
        <v>6</v>
      </c>
      <c r="I130" s="747">
        <v>21773.942465148804</v>
      </c>
      <c r="J130" s="748">
        <v>1</v>
      </c>
      <c r="K130" s="748">
        <v>21</v>
      </c>
      <c r="L130" s="748">
        <v>1</v>
      </c>
      <c r="M130" s="747">
        <f t="shared" si="8"/>
        <v>167633.94246514881</v>
      </c>
      <c r="N130" s="747"/>
      <c r="O130" s="747">
        <v>43695</v>
      </c>
      <c r="P130" s="870">
        <v>58</v>
      </c>
      <c r="Q130" s="839"/>
      <c r="R130" s="818">
        <v>2</v>
      </c>
      <c r="T130" s="736"/>
      <c r="U130" s="738"/>
      <c r="V130" s="739"/>
      <c r="W130" s="741"/>
      <c r="X130" s="718"/>
      <c r="Y130" s="596"/>
      <c r="AB130" s="737"/>
    </row>
    <row r="131" spans="1:29" ht="14.4">
      <c r="A131" s="743">
        <f t="shared" si="13"/>
        <v>2013</v>
      </c>
      <c r="B131" s="744" t="s">
        <v>188</v>
      </c>
      <c r="C131" s="745">
        <v>134508</v>
      </c>
      <c r="D131" s="745">
        <f>8647-109</f>
        <v>8538</v>
      </c>
      <c r="E131" s="745">
        <v>1482</v>
      </c>
      <c r="F131" s="745">
        <v>1507</v>
      </c>
      <c r="G131" s="745">
        <v>117</v>
      </c>
      <c r="H131" s="745">
        <v>6</v>
      </c>
      <c r="I131" s="747">
        <v>21805.388660775072</v>
      </c>
      <c r="J131" s="748">
        <v>1</v>
      </c>
      <c r="K131" s="748">
        <v>21</v>
      </c>
      <c r="L131" s="748">
        <v>1</v>
      </c>
      <c r="M131" s="747">
        <f t="shared" si="8"/>
        <v>167986.38866077506</v>
      </c>
      <c r="N131" s="747"/>
      <c r="O131" s="747">
        <v>43733</v>
      </c>
      <c r="P131" s="870">
        <v>58</v>
      </c>
      <c r="Q131" s="815"/>
      <c r="R131" s="818">
        <v>2</v>
      </c>
      <c r="T131" s="736"/>
      <c r="U131" s="738"/>
      <c r="V131" s="739"/>
      <c r="Y131" s="736"/>
    </row>
    <row r="132" spans="1:29" ht="14.4">
      <c r="A132" s="743">
        <f t="shared" si="13"/>
        <v>2013</v>
      </c>
      <c r="B132" s="744" t="s">
        <v>189</v>
      </c>
      <c r="C132" s="749">
        <v>134865</v>
      </c>
      <c r="D132" s="749">
        <f>8661-111</f>
        <v>8550</v>
      </c>
      <c r="E132" s="750">
        <v>1486</v>
      </c>
      <c r="F132" s="750">
        <v>1504</v>
      </c>
      <c r="G132" s="749">
        <v>118</v>
      </c>
      <c r="H132" s="750">
        <v>6</v>
      </c>
      <c r="I132" s="751">
        <v>21836.88027138399</v>
      </c>
      <c r="J132" s="748">
        <v>1</v>
      </c>
      <c r="K132" s="752">
        <v>21</v>
      </c>
      <c r="L132" s="748">
        <v>1</v>
      </c>
      <c r="M132" s="747">
        <f t="shared" ref="M132:M157" si="14">SUM(C132:L132)</f>
        <v>168388.880271384</v>
      </c>
      <c r="N132" s="747"/>
      <c r="O132" s="753">
        <v>43871</v>
      </c>
      <c r="P132" s="870">
        <v>58</v>
      </c>
      <c r="Q132" s="850">
        <f>AVERAGE(O3:O14)</f>
        <v>30337.595564307605</v>
      </c>
      <c r="R132" s="818">
        <v>2</v>
      </c>
      <c r="T132" s="596"/>
      <c r="U132" s="591"/>
      <c r="V132" s="739"/>
      <c r="W132" s="740"/>
      <c r="X132" s="737"/>
      <c r="Y132" s="736"/>
    </row>
    <row r="133" spans="1:29" ht="14.4">
      <c r="A133" s="743">
        <f t="shared" si="13"/>
        <v>2013</v>
      </c>
      <c r="B133" s="744" t="s">
        <v>190</v>
      </c>
      <c r="C133" s="749">
        <v>135318</v>
      </c>
      <c r="D133" s="749">
        <f>8709-114</f>
        <v>8595</v>
      </c>
      <c r="E133" s="750">
        <v>1485</v>
      </c>
      <c r="F133" s="750">
        <v>1506</v>
      </c>
      <c r="G133" s="749">
        <v>118</v>
      </c>
      <c r="H133" s="750">
        <v>6</v>
      </c>
      <c r="I133" s="747">
        <v>21868.41736256444</v>
      </c>
      <c r="J133" s="748">
        <v>1</v>
      </c>
      <c r="K133" s="748">
        <v>22</v>
      </c>
      <c r="L133" s="748">
        <v>1</v>
      </c>
      <c r="M133" s="747">
        <f t="shared" si="14"/>
        <v>168920.41736256445</v>
      </c>
      <c r="N133" s="747"/>
      <c r="O133" s="754">
        <v>43926</v>
      </c>
      <c r="P133" s="870">
        <v>58</v>
      </c>
      <c r="Q133" s="850">
        <f>AVERAGE(O15:O26)</f>
        <v>31611.019599636918</v>
      </c>
      <c r="R133" s="818">
        <v>2</v>
      </c>
      <c r="T133" s="596"/>
      <c r="W133" s="741"/>
      <c r="Y133" s="591"/>
    </row>
    <row r="134" spans="1:29" ht="14.4">
      <c r="A134" s="743">
        <f t="shared" si="13"/>
        <v>2013</v>
      </c>
      <c r="B134" s="755" t="s">
        <v>191</v>
      </c>
      <c r="C134" s="756">
        <v>135612</v>
      </c>
      <c r="D134" s="756">
        <v>8735</v>
      </c>
      <c r="E134" s="750">
        <v>1487</v>
      </c>
      <c r="F134" s="750">
        <v>1508</v>
      </c>
      <c r="G134" s="756">
        <v>118</v>
      </c>
      <c r="H134" s="750">
        <v>6</v>
      </c>
      <c r="I134" s="754">
        <v>21900</v>
      </c>
      <c r="J134" s="748">
        <v>1</v>
      </c>
      <c r="K134" s="752">
        <v>23</v>
      </c>
      <c r="L134" s="748">
        <v>1</v>
      </c>
      <c r="M134" s="747">
        <f t="shared" si="14"/>
        <v>169391</v>
      </c>
      <c r="N134" s="747"/>
      <c r="O134" s="754">
        <v>44045</v>
      </c>
      <c r="P134" s="870">
        <v>58</v>
      </c>
      <c r="Q134" s="850">
        <f>AVERAGE(O27:O38)</f>
        <v>32938.021511582483</v>
      </c>
      <c r="R134" s="818">
        <v>2</v>
      </c>
    </row>
    <row r="135" spans="1:29" ht="14.4">
      <c r="A135" s="743">
        <f>A134+1</f>
        <v>2014</v>
      </c>
      <c r="B135" s="755" t="s">
        <v>180</v>
      </c>
      <c r="C135" s="756">
        <f>C134+((('Rate Class Customer Model'!$C$17*12)-(Customer!$C$134*12))/78)</f>
        <v>135872.16606624899</v>
      </c>
      <c r="D135" s="756">
        <f>D134+((('Rate Class Customer Model'!$D$17*12)-(Customer!$D$134*12))/78)</f>
        <v>8738.492434002761</v>
      </c>
      <c r="E135" s="756">
        <f>E134+((('Rate Class Customer Model'!$E$17*12)-(Customer!$E$134*12))/78)</f>
        <v>1491.9006426309954</v>
      </c>
      <c r="F135" s="756">
        <f>F134+((('Rate Class Customer Model'!$F$17*12)-(Customer!$F$134*12))/78)</f>
        <v>1506.9284496943426</v>
      </c>
      <c r="G135" s="756">
        <f>G134+((('Rate Class Customer Model'!$G$17*12)-(Customer!$G$134*12))/78)</f>
        <v>117.52172455715437</v>
      </c>
      <c r="H135" s="756">
        <f>ROUND(H134+((('Rate Class Customer Model'!$H$17*12)-(Customer!$H$134*12))/78),0)</f>
        <v>6</v>
      </c>
      <c r="I135" s="756">
        <f>I134+((('Rate Class Customer Model'!$I$17*12)-(Customer!$I$134*12))/78)</f>
        <v>21919.80800482045</v>
      </c>
      <c r="J135" s="756">
        <v>1</v>
      </c>
      <c r="K135" s="754">
        <f>K134+((60-23)/12)</f>
        <v>26.083333333333332</v>
      </c>
      <c r="L135" s="756">
        <v>1</v>
      </c>
      <c r="M135" s="754">
        <f t="shared" si="14"/>
        <v>169680.90065528802</v>
      </c>
      <c r="N135" s="754"/>
      <c r="O135" s="756">
        <f>O134+((($Q$143*12)-(Customer!$O$134*12))/78)</f>
        <v>44174.554729232383</v>
      </c>
      <c r="P135" s="871">
        <v>57.895932950332316</v>
      </c>
      <c r="Q135" s="850">
        <f>AVERAGE(O39:O50)</f>
        <v>34321.07884283633</v>
      </c>
      <c r="R135" s="818">
        <v>2</v>
      </c>
      <c r="V135" s="577"/>
      <c r="W135" s="577"/>
      <c r="X135" s="577"/>
      <c r="Y135" s="577"/>
      <c r="Z135" s="577"/>
      <c r="AA135" s="718"/>
      <c r="AB135" s="718"/>
      <c r="AC135" s="718"/>
    </row>
    <row r="136" spans="1:29" ht="14.4">
      <c r="A136" s="743">
        <f>A135+0</f>
        <v>2014</v>
      </c>
      <c r="B136" s="755" t="s">
        <v>181</v>
      </c>
      <c r="C136" s="756">
        <f>C135+((('Rate Class Customer Model'!$C$17*12)-(Customer!$C$134*12))/78)</f>
        <v>136132.33213249798</v>
      </c>
      <c r="D136" s="756">
        <f>D135+((('Rate Class Customer Model'!$D$17*12)-(Customer!$D$134*12))/78)</f>
        <v>8741.984868005522</v>
      </c>
      <c r="E136" s="756">
        <f>E135+((('Rate Class Customer Model'!$E$17*12)-(Customer!$E$134*12))/78)</f>
        <v>1496.8012852619909</v>
      </c>
      <c r="F136" s="756">
        <f>F135+((('Rate Class Customer Model'!$F$17*12)-(Customer!$F$134*12))/78)</f>
        <v>1505.8568993886852</v>
      </c>
      <c r="G136" s="756">
        <f>G135+((('Rate Class Customer Model'!$G$17*12)-(Customer!$G$134*12))/78)</f>
        <v>117.04344911430874</v>
      </c>
      <c r="H136" s="756">
        <f>ROUND(H135+((('Rate Class Customer Model'!$H$17*12)-(Customer!$H$134*12))/78),0)</f>
        <v>6</v>
      </c>
      <c r="I136" s="756">
        <f>I135+((('Rate Class Customer Model'!$I$17*12)-(Customer!$I$134*12))/78)</f>
        <v>21939.6160096409</v>
      </c>
      <c r="J136" s="756">
        <v>1</v>
      </c>
      <c r="K136" s="754">
        <f t="shared" ref="K136:K146" si="15">K135+((60-23)/12)</f>
        <v>29.166666666666664</v>
      </c>
      <c r="L136" s="756">
        <v>1</v>
      </c>
      <c r="M136" s="754">
        <f t="shared" si="14"/>
        <v>169970.80131057606</v>
      </c>
      <c r="N136" s="754"/>
      <c r="O136" s="756">
        <f>O135+((($Q$143*12)-(Customer!$O$134*12))/78)</f>
        <v>44304.109458464765</v>
      </c>
      <c r="P136" s="871">
        <v>57.791865900664632</v>
      </c>
      <c r="Q136" s="850">
        <f>AVERAGE(O51:O62)</f>
        <v>35762.47657845333</v>
      </c>
      <c r="R136" s="818">
        <v>2</v>
      </c>
      <c r="V136" s="577"/>
      <c r="W136" s="577"/>
      <c r="X136" s="577"/>
      <c r="Y136" s="577"/>
      <c r="Z136" s="577"/>
      <c r="AA136" s="718"/>
      <c r="AB136" s="718"/>
      <c r="AC136" s="718"/>
    </row>
    <row r="137" spans="1:29" ht="14.4">
      <c r="A137" s="743">
        <f t="shared" si="13"/>
        <v>2014</v>
      </c>
      <c r="B137" s="755" t="s">
        <v>182</v>
      </c>
      <c r="C137" s="756">
        <f>C136+((('Rate Class Customer Model'!$C$17*12)-(Customer!$C$134*12))/78)</f>
        <v>136392.49819874697</v>
      </c>
      <c r="D137" s="756">
        <f>D136+((('Rate Class Customer Model'!$D$17*12)-(Customer!$D$134*12))/78)</f>
        <v>8745.477302008283</v>
      </c>
      <c r="E137" s="756">
        <f>E136+((('Rate Class Customer Model'!$E$17*12)-(Customer!$E$134*12))/78)</f>
        <v>1501.7019278929863</v>
      </c>
      <c r="F137" s="756">
        <f>F136+((('Rate Class Customer Model'!$F$17*12)-(Customer!$F$134*12))/78)</f>
        <v>1504.7853490830278</v>
      </c>
      <c r="G137" s="756">
        <f>G136+((('Rate Class Customer Model'!$G$17*12)-(Customer!$G$134*12))/78)</f>
        <v>116.56517367146311</v>
      </c>
      <c r="H137" s="756">
        <f>ROUND(H136+((('Rate Class Customer Model'!$H$17*12)-(Customer!$H$134*12))/78),0)</f>
        <v>6</v>
      </c>
      <c r="I137" s="756">
        <f>I136+((('Rate Class Customer Model'!$I$17*12)-(Customer!$I$134*12))/78)</f>
        <v>21959.42401446135</v>
      </c>
      <c r="J137" s="756">
        <v>1</v>
      </c>
      <c r="K137" s="754">
        <f t="shared" si="15"/>
        <v>32.25</v>
      </c>
      <c r="L137" s="756">
        <v>1</v>
      </c>
      <c r="M137" s="754">
        <f t="shared" si="14"/>
        <v>170260.70196586405</v>
      </c>
      <c r="N137" s="754"/>
      <c r="O137" s="756">
        <f>O136+((($Q$143*12)-(Customer!$O$134*12))/78)</f>
        <v>44433.664187697148</v>
      </c>
      <c r="P137" s="871">
        <v>57.687798850996948</v>
      </c>
      <c r="Q137" s="850">
        <f>AVERAGE(O63:O74)</f>
        <v>37264.540522296098</v>
      </c>
      <c r="R137" s="818">
        <v>2</v>
      </c>
      <c r="T137" s="577"/>
      <c r="U137" s="738"/>
      <c r="V137" s="577"/>
      <c r="W137" s="577"/>
      <c r="X137" s="577"/>
      <c r="Y137" s="577"/>
      <c r="Z137" s="577"/>
      <c r="AA137" s="718"/>
      <c r="AB137" s="718"/>
      <c r="AC137" s="718"/>
    </row>
    <row r="138" spans="1:29" ht="14.4">
      <c r="A138" s="743">
        <f t="shared" si="13"/>
        <v>2014</v>
      </c>
      <c r="B138" s="755" t="s">
        <v>183</v>
      </c>
      <c r="C138" s="756">
        <f>C137+((('Rate Class Customer Model'!$C$17*12)-(Customer!$C$134*12))/78)</f>
        <v>136652.66426499595</v>
      </c>
      <c r="D138" s="756">
        <f>D137+((('Rate Class Customer Model'!$D$17*12)-(Customer!$D$134*12))/78)</f>
        <v>8748.969736011044</v>
      </c>
      <c r="E138" s="756">
        <f>E137+((('Rate Class Customer Model'!$E$17*12)-(Customer!$E$134*12))/78)</f>
        <v>1506.6025705239817</v>
      </c>
      <c r="F138" s="756">
        <f>F137+((('Rate Class Customer Model'!$F$17*12)-(Customer!$F$134*12))/78)</f>
        <v>1503.7137987773704</v>
      </c>
      <c r="G138" s="756">
        <f>G137+((('Rate Class Customer Model'!$G$17*12)-(Customer!$G$134*12))/78)</f>
        <v>116.08689822861749</v>
      </c>
      <c r="H138" s="756">
        <f>ROUND(H137+((('Rate Class Customer Model'!$H$17*12)-(Customer!$H$134*12))/78),0)</f>
        <v>6</v>
      </c>
      <c r="I138" s="756">
        <f>I137+((('Rate Class Customer Model'!$I$17*12)-(Customer!$I$134*12))/78)</f>
        <v>21979.232019281801</v>
      </c>
      <c r="J138" s="756">
        <v>1</v>
      </c>
      <c r="K138" s="754">
        <f t="shared" si="15"/>
        <v>35.333333333333336</v>
      </c>
      <c r="L138" s="756">
        <v>1</v>
      </c>
      <c r="M138" s="754">
        <f t="shared" si="14"/>
        <v>170550.60262115212</v>
      </c>
      <c r="N138" s="754"/>
      <c r="O138" s="756">
        <f>O137+((($Q$143*12)-(Customer!$O$134*12))/78)</f>
        <v>44563.218916929531</v>
      </c>
      <c r="P138" s="871">
        <v>57.583731801329264</v>
      </c>
      <c r="Q138" s="850">
        <f>AVERAGE(O75:O86)</f>
        <v>38829.210038078141</v>
      </c>
      <c r="R138" s="818">
        <v>2</v>
      </c>
      <c r="T138" s="577"/>
      <c r="U138" s="738"/>
      <c r="V138" s="577"/>
      <c r="W138" s="577"/>
      <c r="X138" s="577"/>
      <c r="Y138" s="577"/>
      <c r="Z138" s="577"/>
      <c r="AA138" s="718"/>
      <c r="AB138" s="718"/>
      <c r="AC138" s="718"/>
    </row>
    <row r="139" spans="1:29" ht="14.4">
      <c r="A139" s="743">
        <f t="shared" si="13"/>
        <v>2014</v>
      </c>
      <c r="B139" s="755" t="s">
        <v>184</v>
      </c>
      <c r="C139" s="756">
        <f>C138+((('Rate Class Customer Model'!$C$17*12)-(Customer!$C$134*12))/78)</f>
        <v>136912.83033124494</v>
      </c>
      <c r="D139" s="756">
        <f>D138+((('Rate Class Customer Model'!$D$17*12)-(Customer!$D$134*12))/78)</f>
        <v>8752.462170013805</v>
      </c>
      <c r="E139" s="756">
        <f>E138+((('Rate Class Customer Model'!$E$17*12)-(Customer!$E$134*12))/78)</f>
        <v>1511.5032131549772</v>
      </c>
      <c r="F139" s="756">
        <f>F138+((('Rate Class Customer Model'!$F$17*12)-(Customer!$F$134*12))/78)</f>
        <v>1502.6422484717129</v>
      </c>
      <c r="G139" s="756">
        <f>G138+((('Rate Class Customer Model'!$G$17*12)-(Customer!$G$134*12))/78)</f>
        <v>115.60862278577186</v>
      </c>
      <c r="H139" s="756">
        <f>ROUND(H138+((('Rate Class Customer Model'!$H$17*12)-(Customer!$H$134*12))/78),0)</f>
        <v>6</v>
      </c>
      <c r="I139" s="756">
        <f>I138+((('Rate Class Customer Model'!$I$17*12)-(Customer!$I$134*12))/78)</f>
        <v>21999.040024102251</v>
      </c>
      <c r="J139" s="756">
        <v>1</v>
      </c>
      <c r="K139" s="754">
        <f t="shared" si="15"/>
        <v>38.416666666666671</v>
      </c>
      <c r="L139" s="756">
        <v>1</v>
      </c>
      <c r="M139" s="754">
        <f t="shared" si="14"/>
        <v>170840.50327644011</v>
      </c>
      <c r="N139" s="754"/>
      <c r="O139" s="756">
        <f>O138+((($Q$143*12)-(Customer!$O$134*12))/78)</f>
        <v>44692.773646161913</v>
      </c>
      <c r="P139" s="871">
        <v>57.479664751661581</v>
      </c>
      <c r="Q139" s="850">
        <f>AVERAGE(O87:O98)</f>
        <v>40459.427703839814</v>
      </c>
      <c r="R139" s="818">
        <v>2</v>
      </c>
      <c r="T139" s="577"/>
      <c r="U139" s="738"/>
      <c r="V139" s="577"/>
      <c r="W139" s="577"/>
      <c r="X139" s="577"/>
      <c r="Y139" s="577"/>
      <c r="Z139" s="577"/>
      <c r="AA139" s="718"/>
      <c r="AB139" s="718"/>
      <c r="AC139" s="718"/>
    </row>
    <row r="140" spans="1:29" ht="14.4">
      <c r="A140" s="743">
        <f t="shared" si="13"/>
        <v>2014</v>
      </c>
      <c r="B140" s="755" t="s">
        <v>185</v>
      </c>
      <c r="C140" s="756">
        <f>C139+((('Rate Class Customer Model'!$C$17*12)-(Customer!$C$134*12))/78)</f>
        <v>137172.99639749393</v>
      </c>
      <c r="D140" s="756">
        <f>D139+((('Rate Class Customer Model'!$D$17*12)-(Customer!$D$134*12))/78)</f>
        <v>8755.954604016566</v>
      </c>
      <c r="E140" s="756">
        <f>E139+((('Rate Class Customer Model'!$E$17*12)-(Customer!$E$134*12))/78)</f>
        <v>1516.4038557859726</v>
      </c>
      <c r="F140" s="756">
        <f>F139+((('Rate Class Customer Model'!$F$17*12)-(Customer!$F$134*12))/78)</f>
        <v>1501.5706981660555</v>
      </c>
      <c r="G140" s="756">
        <f>G139+((('Rate Class Customer Model'!$G$17*12)-(Customer!$G$134*12))/78)</f>
        <v>115.13034734292623</v>
      </c>
      <c r="H140" s="756">
        <f>ROUND(H139+((('Rate Class Customer Model'!$H$17*12)-(Customer!$H$134*12))/78),0)</f>
        <v>6</v>
      </c>
      <c r="I140" s="756">
        <f>I139+((('Rate Class Customer Model'!$I$17*12)-(Customer!$I$134*12))/78)</f>
        <v>22018.848028922701</v>
      </c>
      <c r="J140" s="756">
        <v>1</v>
      </c>
      <c r="K140" s="754">
        <f t="shared" si="15"/>
        <v>41.500000000000007</v>
      </c>
      <c r="L140" s="756">
        <v>1</v>
      </c>
      <c r="M140" s="754">
        <f t="shared" si="14"/>
        <v>171130.40393172816</v>
      </c>
      <c r="N140" s="754"/>
      <c r="O140" s="756">
        <f>O139+((($Q$143*12)-(Customer!$O$134*12))/78)</f>
        <v>44822.328375394296</v>
      </c>
      <c r="P140" s="871">
        <v>57.375597701993897</v>
      </c>
      <c r="Q140" s="850">
        <f>AVERAGE(O99:O110)</f>
        <v>41470.288491103776</v>
      </c>
      <c r="R140" s="818">
        <v>2</v>
      </c>
      <c r="T140" s="577"/>
      <c r="U140" s="738"/>
      <c r="V140" s="577"/>
      <c r="W140" s="577"/>
      <c r="X140" s="577"/>
      <c r="Y140" s="577"/>
      <c r="Z140" s="577"/>
      <c r="AA140" s="718"/>
      <c r="AB140" s="718"/>
      <c r="AC140" s="718"/>
    </row>
    <row r="141" spans="1:29" ht="14.4">
      <c r="A141" s="743">
        <f t="shared" si="13"/>
        <v>2014</v>
      </c>
      <c r="B141" s="755" t="s">
        <v>186</v>
      </c>
      <c r="C141" s="756">
        <f>C140+((('Rate Class Customer Model'!$C$17*12)-(Customer!$C$134*12))/78)</f>
        <v>137433.16246374292</v>
      </c>
      <c r="D141" s="756">
        <f>D140+((('Rate Class Customer Model'!$D$17*12)-(Customer!$D$134*12))/78)</f>
        <v>8759.447038019327</v>
      </c>
      <c r="E141" s="756">
        <f>E140+((('Rate Class Customer Model'!$E$17*12)-(Customer!$E$134*12))/78)</f>
        <v>1521.304498416968</v>
      </c>
      <c r="F141" s="756">
        <f>F140+((('Rate Class Customer Model'!$F$17*12)-(Customer!$F$134*12))/78)</f>
        <v>1500.4991478603981</v>
      </c>
      <c r="G141" s="756">
        <f>G140+((('Rate Class Customer Model'!$G$17*12)-(Customer!$G$134*12))/78)</f>
        <v>114.6520719000806</v>
      </c>
      <c r="H141" s="756">
        <f>ROUND(H140+((('Rate Class Customer Model'!$H$17*12)-(Customer!$H$134*12))/78),0)</f>
        <v>6</v>
      </c>
      <c r="I141" s="756">
        <f>I140+((('Rate Class Customer Model'!$I$17*12)-(Customer!$I$134*12))/78)</f>
        <v>22038.656033743151</v>
      </c>
      <c r="J141" s="756">
        <v>1</v>
      </c>
      <c r="K141" s="754">
        <f t="shared" si="15"/>
        <v>44.583333333333343</v>
      </c>
      <c r="L141" s="756">
        <v>1</v>
      </c>
      <c r="M141" s="754">
        <f t="shared" si="14"/>
        <v>171420.30458701617</v>
      </c>
      <c r="N141" s="754"/>
      <c r="O141" s="756">
        <f>O140+((($Q$143*12)-(Customer!$O$134*12))/78)</f>
        <v>44951.883104626679</v>
      </c>
      <c r="P141" s="871">
        <v>57.271530652326213</v>
      </c>
      <c r="Q141" s="850">
        <f>AVERAGE(O111:O122)</f>
        <v>42363</v>
      </c>
      <c r="R141" s="818">
        <v>2</v>
      </c>
      <c r="T141" s="577"/>
      <c r="U141" s="738"/>
      <c r="V141" s="577"/>
      <c r="W141" s="577"/>
      <c r="X141" s="577"/>
      <c r="Y141" s="577"/>
      <c r="Z141" s="577"/>
      <c r="AA141" s="718"/>
      <c r="AB141" s="718"/>
      <c r="AC141" s="718"/>
    </row>
    <row r="142" spans="1:29" ht="14.4">
      <c r="A142" s="743">
        <f t="shared" si="13"/>
        <v>2014</v>
      </c>
      <c r="B142" s="755" t="s">
        <v>187</v>
      </c>
      <c r="C142" s="756">
        <f>C141+((('Rate Class Customer Model'!$C$17*12)-(Customer!$C$134*12))/78)</f>
        <v>137693.32852999191</v>
      </c>
      <c r="D142" s="756">
        <f>D141+((('Rate Class Customer Model'!$D$17*12)-(Customer!$D$134*12))/78)</f>
        <v>8762.939472022088</v>
      </c>
      <c r="E142" s="756">
        <f>E141+((('Rate Class Customer Model'!$E$17*12)-(Customer!$E$134*12))/78)</f>
        <v>1526.2051410479635</v>
      </c>
      <c r="F142" s="756">
        <f>F141+((('Rate Class Customer Model'!$F$17*12)-(Customer!$F$134*12))/78)</f>
        <v>1499.4275975547407</v>
      </c>
      <c r="G142" s="756">
        <f>G141+((('Rate Class Customer Model'!$G$17*12)-(Customer!$G$134*12))/78)</f>
        <v>114.17379645723497</v>
      </c>
      <c r="H142" s="756">
        <f>ROUND(H141+((('Rate Class Customer Model'!$H$17*12)-(Customer!$H$134*12))/78),0)</f>
        <v>6</v>
      </c>
      <c r="I142" s="756">
        <f>I141+((('Rate Class Customer Model'!$I$17*12)-(Customer!$I$134*12))/78)</f>
        <v>22058.464038563601</v>
      </c>
      <c r="J142" s="756">
        <v>1</v>
      </c>
      <c r="K142" s="754">
        <f t="shared" si="15"/>
        <v>47.666666666666679</v>
      </c>
      <c r="L142" s="756">
        <v>1</v>
      </c>
      <c r="M142" s="754">
        <f t="shared" si="14"/>
        <v>171710.20524230422</v>
      </c>
      <c r="N142" s="754"/>
      <c r="O142" s="756">
        <f>O141+((($Q$143*12)-(Customer!$O$134*12))/78)</f>
        <v>45081.437833859061</v>
      </c>
      <c r="P142" s="871">
        <v>57.167463602658529</v>
      </c>
      <c r="Q142" s="850">
        <f>AVERAGE(O123:O134)</f>
        <v>43516.166666666664</v>
      </c>
      <c r="R142" s="818">
        <v>2</v>
      </c>
      <c r="T142" s="577"/>
      <c r="U142" s="738"/>
      <c r="V142" s="577"/>
      <c r="W142" s="577"/>
      <c r="X142" s="577"/>
      <c r="Y142" s="577"/>
      <c r="Z142" s="577"/>
      <c r="AA142" s="718"/>
      <c r="AB142" s="718"/>
      <c r="AC142" s="718"/>
    </row>
    <row r="143" spans="1:29" ht="14.4">
      <c r="A143" s="743">
        <f t="shared" si="13"/>
        <v>2014</v>
      </c>
      <c r="B143" s="755" t="s">
        <v>188</v>
      </c>
      <c r="C143" s="756">
        <f>C142+((('Rate Class Customer Model'!$C$17*12)-(Customer!$C$134*12))/78)</f>
        <v>137953.4945962409</v>
      </c>
      <c r="D143" s="756">
        <f>D142+((('Rate Class Customer Model'!$D$17*12)-(Customer!$D$134*12))/78)</f>
        <v>8766.431906024849</v>
      </c>
      <c r="E143" s="756">
        <f>E142+((('Rate Class Customer Model'!$E$17*12)-(Customer!$E$134*12))/78)</f>
        <v>1531.1057836789589</v>
      </c>
      <c r="F143" s="756">
        <f>F142+((('Rate Class Customer Model'!$F$17*12)-(Customer!$F$134*12))/78)</f>
        <v>1498.3560472490833</v>
      </c>
      <c r="G143" s="756">
        <f>G142+((('Rate Class Customer Model'!$G$17*12)-(Customer!$G$134*12))/78)</f>
        <v>113.69552101438934</v>
      </c>
      <c r="H143" s="756">
        <f>ROUND(H142+((('Rate Class Customer Model'!$H$17*12)-(Customer!$H$134*12))/78),0)</f>
        <v>6</v>
      </c>
      <c r="I143" s="756">
        <f>I142+((('Rate Class Customer Model'!$I$17*12)-(Customer!$I$134*12))/78)</f>
        <v>22078.272043384051</v>
      </c>
      <c r="J143" s="756">
        <v>1</v>
      </c>
      <c r="K143" s="754">
        <f t="shared" si="15"/>
        <v>50.750000000000014</v>
      </c>
      <c r="L143" s="756">
        <v>1</v>
      </c>
      <c r="M143" s="754">
        <f t="shared" si="14"/>
        <v>172000.10589759224</v>
      </c>
      <c r="N143" s="754"/>
      <c r="O143" s="756">
        <f>O142+((($Q$143*12)-(Customer!$O$134*12))/78)</f>
        <v>45210.992563091444</v>
      </c>
      <c r="P143" s="871">
        <v>57.063396552990845</v>
      </c>
      <c r="Q143" s="817">
        <f>Q142*Q158</f>
        <v>44887.105740010476</v>
      </c>
      <c r="R143" s="818">
        <v>2</v>
      </c>
      <c r="T143" s="577"/>
      <c r="U143" s="738"/>
      <c r="V143" s="577"/>
      <c r="W143" s="577"/>
      <c r="X143" s="577"/>
      <c r="Y143" s="577"/>
      <c r="Z143" s="577"/>
      <c r="AA143" s="718"/>
      <c r="AB143" s="718"/>
      <c r="AC143" s="718"/>
    </row>
    <row r="144" spans="1:29" ht="14.4">
      <c r="A144" s="743">
        <f t="shared" si="13"/>
        <v>2014</v>
      </c>
      <c r="B144" s="755" t="s">
        <v>189</v>
      </c>
      <c r="C144" s="756">
        <f>C143+((('Rate Class Customer Model'!$C$17*12)-(Customer!$C$134*12))/78)</f>
        <v>138213.66066248988</v>
      </c>
      <c r="D144" s="756">
        <f>D143+((('Rate Class Customer Model'!$D$17*12)-(Customer!$D$134*12))/78)</f>
        <v>8769.92434002761</v>
      </c>
      <c r="E144" s="756">
        <f>E143+((('Rate Class Customer Model'!$E$17*12)-(Customer!$E$134*12))/78)</f>
        <v>1536.0064263099543</v>
      </c>
      <c r="F144" s="756">
        <f>F143+((('Rate Class Customer Model'!$F$17*12)-(Customer!$F$134*12))/78)</f>
        <v>1497.2844969434259</v>
      </c>
      <c r="G144" s="756">
        <f>G143+((('Rate Class Customer Model'!$G$17*12)-(Customer!$G$134*12))/78)</f>
        <v>113.21724557154371</v>
      </c>
      <c r="H144" s="756">
        <f>ROUND(H143+((('Rate Class Customer Model'!$H$17*12)-(Customer!$H$134*12))/78),0)</f>
        <v>6</v>
      </c>
      <c r="I144" s="756">
        <f>I143+((('Rate Class Customer Model'!$I$17*12)-(Customer!$I$134*12))/78)</f>
        <v>22098.080048204502</v>
      </c>
      <c r="J144" s="756">
        <v>1</v>
      </c>
      <c r="K144" s="754">
        <f t="shared" si="15"/>
        <v>53.83333333333335</v>
      </c>
      <c r="L144" s="756">
        <v>1</v>
      </c>
      <c r="M144" s="754">
        <f t="shared" si="14"/>
        <v>172290.00655288031</v>
      </c>
      <c r="N144" s="754"/>
      <c r="O144" s="756">
        <f>O143+((($Q$143*12)-(Customer!$O$134*12))/78)</f>
        <v>45340.547292323827</v>
      </c>
      <c r="P144" s="871">
        <v>56.959329503323161</v>
      </c>
      <c r="Q144" s="817">
        <f>Q143*Q158</f>
        <v>46301.235059343038</v>
      </c>
      <c r="R144" s="818">
        <v>2</v>
      </c>
      <c r="T144" s="577"/>
      <c r="U144" s="738"/>
      <c r="V144" s="577"/>
      <c r="W144" s="577"/>
      <c r="X144" s="577"/>
      <c r="Y144" s="577"/>
      <c r="Z144" s="577"/>
      <c r="AA144" s="718"/>
      <c r="AB144" s="718"/>
      <c r="AC144" s="718"/>
    </row>
    <row r="145" spans="1:29" ht="14.4">
      <c r="A145" s="743">
        <f t="shared" si="13"/>
        <v>2014</v>
      </c>
      <c r="B145" s="755" t="s">
        <v>190</v>
      </c>
      <c r="C145" s="756">
        <f>C144+((('Rate Class Customer Model'!$C$17*12)-(Customer!$C$134*12))/78)</f>
        <v>138473.82672873887</v>
      </c>
      <c r="D145" s="756">
        <f>D144+((('Rate Class Customer Model'!$D$17*12)-(Customer!$D$134*12))/78)</f>
        <v>8773.416774030371</v>
      </c>
      <c r="E145" s="756">
        <f>E144+((('Rate Class Customer Model'!$E$17*12)-(Customer!$E$134*12))/78)</f>
        <v>1540.9070689409498</v>
      </c>
      <c r="F145" s="756">
        <f>F144+((('Rate Class Customer Model'!$F$17*12)-(Customer!$F$134*12))/78)</f>
        <v>1496.2129466377685</v>
      </c>
      <c r="G145" s="756">
        <f>G144+((('Rate Class Customer Model'!$G$17*12)-(Customer!$G$134*12))/78)</f>
        <v>112.73897012869809</v>
      </c>
      <c r="H145" s="756">
        <f>ROUND(H144+((('Rate Class Customer Model'!$H$17*12)-(Customer!$H$134*12))/78),0)</f>
        <v>6</v>
      </c>
      <c r="I145" s="756">
        <f>I144+((('Rate Class Customer Model'!$I$17*12)-(Customer!$I$134*12))/78)</f>
        <v>22117.888053024952</v>
      </c>
      <c r="J145" s="756">
        <v>1</v>
      </c>
      <c r="K145" s="754">
        <f t="shared" si="15"/>
        <v>56.916666666666686</v>
      </c>
      <c r="L145" s="756">
        <v>1</v>
      </c>
      <c r="M145" s="754">
        <f t="shared" si="14"/>
        <v>172579.90720816827</v>
      </c>
      <c r="N145" s="754"/>
      <c r="O145" s="756">
        <f>O144+((($Q$143*12)-(Customer!$O$134*12))/78)</f>
        <v>45470.102021556209</v>
      </c>
      <c r="P145" s="871">
        <v>56.855262453655477</v>
      </c>
      <c r="Q145" s="815"/>
      <c r="R145" s="818">
        <v>2</v>
      </c>
      <c r="T145" s="577"/>
      <c r="U145" s="738"/>
      <c r="V145" s="577"/>
      <c r="W145" s="577"/>
      <c r="X145" s="577"/>
      <c r="Y145" s="577"/>
      <c r="Z145" s="577"/>
      <c r="AA145" s="718"/>
      <c r="AB145" s="718"/>
      <c r="AC145" s="718"/>
    </row>
    <row r="146" spans="1:29" ht="14.4">
      <c r="A146" s="743">
        <f t="shared" si="13"/>
        <v>2014</v>
      </c>
      <c r="B146" s="755" t="s">
        <v>191</v>
      </c>
      <c r="C146" s="756">
        <f>C145+((('Rate Class Customer Model'!$C$17*12)-(Customer!$C$134*12))/78)</f>
        <v>138733.99279498786</v>
      </c>
      <c r="D146" s="756">
        <f>D145+((('Rate Class Customer Model'!$D$17*12)-(Customer!$D$134*12))/78)</f>
        <v>8776.909208033132</v>
      </c>
      <c r="E146" s="756">
        <f>E145+((('Rate Class Customer Model'!$E$17*12)-(Customer!$E$134*12))/78)</f>
        <v>1545.8077115719452</v>
      </c>
      <c r="F146" s="756">
        <f>F145+((('Rate Class Customer Model'!$F$17*12)-(Customer!$F$134*12))/78)</f>
        <v>1495.1413963321111</v>
      </c>
      <c r="G146" s="756">
        <f>G145+((('Rate Class Customer Model'!$G$17*12)-(Customer!$G$134*12))/78)</f>
        <v>112.26069468585246</v>
      </c>
      <c r="H146" s="756">
        <f>ROUND(H145+((('Rate Class Customer Model'!$H$17*12)-(Customer!$H$134*12))/78),0)</f>
        <v>6</v>
      </c>
      <c r="I146" s="756">
        <f>I145+((('Rate Class Customer Model'!$I$17*12)-(Customer!$I$134*12))/78)</f>
        <v>22137.696057845402</v>
      </c>
      <c r="J146" s="756">
        <v>1</v>
      </c>
      <c r="K146" s="754">
        <f t="shared" si="15"/>
        <v>60.000000000000021</v>
      </c>
      <c r="L146" s="756">
        <v>1</v>
      </c>
      <c r="M146" s="754">
        <f t="shared" si="14"/>
        <v>172869.80786345631</v>
      </c>
      <c r="N146" s="754"/>
      <c r="O146" s="756">
        <f>O145+((($Q$143*12)-(Customer!$O$134*12))/78)</f>
        <v>45599.656750788592</v>
      </c>
      <c r="P146" s="871">
        <v>56.751195403987793</v>
      </c>
      <c r="Q146" s="872"/>
      <c r="R146" s="818">
        <v>2</v>
      </c>
      <c r="T146" s="577"/>
      <c r="U146" s="738"/>
      <c r="V146" s="577"/>
      <c r="W146" s="577"/>
      <c r="X146" s="577"/>
      <c r="Y146" s="577"/>
      <c r="Z146" s="577"/>
      <c r="AA146" s="718"/>
      <c r="AB146" s="718"/>
      <c r="AC146" s="718"/>
    </row>
    <row r="147" spans="1:29" ht="14.4">
      <c r="A147" s="743">
        <f>A146+1</f>
        <v>2015</v>
      </c>
      <c r="B147" s="755" t="s">
        <v>180</v>
      </c>
      <c r="C147" s="756">
        <f>C146+((('Rate Class Customer Model'!$C$18*12)-(Customer!$C$146*12))/78)</f>
        <v>139079.40647635428</v>
      </c>
      <c r="D147" s="756">
        <f>D146+((('Rate Class Customer Model'!$D$18*12)-(Customer!$D$146*12))/78)</f>
        <v>8809.6093311747372</v>
      </c>
      <c r="E147" s="756">
        <f>E146+((('Rate Class Customer Model'!$E$18*12)-(Customer!$E$146*12))/78)</f>
        <v>1548.2554731412931</v>
      </c>
      <c r="F147" s="756">
        <f>F146+((('Rate Class Customer Model'!$F$18*12)-(Customer!$F$146*12))/78)</f>
        <v>1494.4618723330477</v>
      </c>
      <c r="G147" s="756">
        <f>G146+((('Rate Class Customer Model'!$G$18*12)-(Customer!$G$146*12))/78)</f>
        <v>112.62311264462555</v>
      </c>
      <c r="H147" s="756">
        <f>ROUND(H146+((('Rate Class Customer Model'!$H$18*12)-(Customer!$H$146*12))/78),0)</f>
        <v>6</v>
      </c>
      <c r="I147" s="756">
        <f>I146+((('Rate Class Customer Model'!$I$18*12)-(Customer!$I$146*12))/78)</f>
        <v>22167.983359553844</v>
      </c>
      <c r="J147" s="756">
        <v>1</v>
      </c>
      <c r="K147" s="754">
        <f>K146+((74-60)/12)</f>
        <v>61.166666666666686</v>
      </c>
      <c r="L147" s="756">
        <v>1</v>
      </c>
      <c r="M147" s="754">
        <f t="shared" si="14"/>
        <v>173281.50629186849</v>
      </c>
      <c r="N147" s="754"/>
      <c r="O147" s="756">
        <f>O146+((($Q$144*12)-(Customer!$O$146*12))/78)</f>
        <v>45707.591875181584</v>
      </c>
      <c r="P147" s="871">
        <v>56.612940482318685</v>
      </c>
      <c r="Q147" s="873"/>
      <c r="R147" s="818">
        <v>2</v>
      </c>
      <c r="T147" s="742"/>
      <c r="U147" s="577"/>
      <c r="V147" s="742"/>
      <c r="W147" s="577"/>
      <c r="X147" s="577"/>
      <c r="Y147" s="577"/>
      <c r="Z147" s="577"/>
      <c r="AA147" s="718"/>
      <c r="AB147" s="718"/>
      <c r="AC147" s="718"/>
    </row>
    <row r="148" spans="1:29" ht="14.4">
      <c r="A148" s="743">
        <f>A147+0</f>
        <v>2015</v>
      </c>
      <c r="B148" s="755" t="s">
        <v>181</v>
      </c>
      <c r="C148" s="756">
        <f>C147+((('Rate Class Customer Model'!$C$18*12)-(Customer!$C$146*12))/78)</f>
        <v>139424.82015772071</v>
      </c>
      <c r="D148" s="756">
        <f>D147+((('Rate Class Customer Model'!$D$18*12)-(Customer!$D$146*12))/78)</f>
        <v>8842.3094543163425</v>
      </c>
      <c r="E148" s="756">
        <f>E147+((('Rate Class Customer Model'!$E$18*12)-(Customer!$E$146*12))/78)</f>
        <v>1550.703234710641</v>
      </c>
      <c r="F148" s="756">
        <f>F147+((('Rate Class Customer Model'!$F$18*12)-(Customer!$F$146*12))/78)</f>
        <v>1493.7823483339844</v>
      </c>
      <c r="G148" s="756">
        <f>G147+((('Rate Class Customer Model'!$G$18*12)-(Customer!$G$146*12))/78)</f>
        <v>112.98553060339864</v>
      </c>
      <c r="H148" s="756">
        <f>ROUND(H147+((('Rate Class Customer Model'!$H$18*12)-(Customer!$H$146*12))/78),0)</f>
        <v>6</v>
      </c>
      <c r="I148" s="756">
        <f>I147+((('Rate Class Customer Model'!$I$18*12)-(Customer!$I$146*12))/78)</f>
        <v>22198.270661262286</v>
      </c>
      <c r="J148" s="756">
        <v>1</v>
      </c>
      <c r="K148" s="754">
        <f t="shared" ref="K148:K158" si="16">K147+((74-60)/12)</f>
        <v>62.33333333333335</v>
      </c>
      <c r="L148" s="756">
        <v>1</v>
      </c>
      <c r="M148" s="754">
        <f t="shared" si="14"/>
        <v>173693.20472028069</v>
      </c>
      <c r="N148" s="754"/>
      <c r="O148" s="756">
        <f>O147+((($Q$144*12)-(Customer!$O$146*12))/78)</f>
        <v>45815.526999574577</v>
      </c>
      <c r="P148" s="871">
        <v>56.474685560649576</v>
      </c>
      <c r="Q148" s="873">
        <f>Q133/Q132</f>
        <v>1.0419751140999292</v>
      </c>
      <c r="R148" s="818">
        <v>2</v>
      </c>
      <c r="S148" s="577"/>
      <c r="T148" s="577"/>
      <c r="U148" s="577"/>
      <c r="V148" s="577"/>
      <c r="W148" s="577"/>
      <c r="X148" s="577"/>
      <c r="Y148" s="577"/>
      <c r="Z148" s="577"/>
      <c r="AA148" s="718"/>
      <c r="AB148" s="718"/>
    </row>
    <row r="149" spans="1:29" ht="14.4">
      <c r="A149" s="743">
        <f t="shared" ref="A149:A158" si="17">A148+0</f>
        <v>2015</v>
      </c>
      <c r="B149" s="755" t="s">
        <v>182</v>
      </c>
      <c r="C149" s="756">
        <f>C148+((('Rate Class Customer Model'!$C$18*12)-(Customer!$C$146*12))/78)</f>
        <v>139770.23383908713</v>
      </c>
      <c r="D149" s="756">
        <f>D148+((('Rate Class Customer Model'!$D$18*12)-(Customer!$D$146*12))/78)</f>
        <v>8875.0095774579477</v>
      </c>
      <c r="E149" s="756">
        <f>E148+((('Rate Class Customer Model'!$E$18*12)-(Customer!$E$146*12))/78)</f>
        <v>1553.1509962799889</v>
      </c>
      <c r="F149" s="756">
        <f>F148+((('Rate Class Customer Model'!$F$18*12)-(Customer!$F$146*12))/78)</f>
        <v>1493.102824334921</v>
      </c>
      <c r="G149" s="756">
        <f>G148+((('Rate Class Customer Model'!$G$18*12)-(Customer!$G$146*12))/78)</f>
        <v>113.34794856217174</v>
      </c>
      <c r="H149" s="756">
        <f>ROUND(H148+((('Rate Class Customer Model'!$H$18*12)-(Customer!$H$146*12))/78),0)</f>
        <v>6</v>
      </c>
      <c r="I149" s="756">
        <f>I148+((('Rate Class Customer Model'!$I$18*12)-(Customer!$I$146*12))/78)</f>
        <v>22228.557962970728</v>
      </c>
      <c r="J149" s="756">
        <v>1</v>
      </c>
      <c r="K149" s="754">
        <f t="shared" si="16"/>
        <v>63.500000000000014</v>
      </c>
      <c r="L149" s="756">
        <v>1</v>
      </c>
      <c r="M149" s="754">
        <f t="shared" si="14"/>
        <v>174104.90314869289</v>
      </c>
      <c r="N149" s="754"/>
      <c r="O149" s="756">
        <f>O148+((($Q$144*12)-(Customer!$O$146*12))/78)</f>
        <v>45923.462123967569</v>
      </c>
      <c r="P149" s="871">
        <v>56.336430638980467</v>
      </c>
      <c r="Q149" s="873">
        <f t="shared" ref="Q149:Q157" si="18">Q134/Q133</f>
        <v>1.041979092378305</v>
      </c>
      <c r="R149" s="818">
        <v>2</v>
      </c>
      <c r="S149" s="577"/>
      <c r="T149" s="577"/>
      <c r="U149" s="577"/>
      <c r="V149" s="577"/>
      <c r="W149" s="577"/>
      <c r="X149" s="577"/>
      <c r="Y149" s="577"/>
      <c r="Z149" s="577"/>
      <c r="AA149" s="718"/>
      <c r="AB149" s="718"/>
      <c r="AC149" s="591"/>
    </row>
    <row r="150" spans="1:29" ht="14.4">
      <c r="A150" s="743">
        <f t="shared" si="17"/>
        <v>2015</v>
      </c>
      <c r="B150" s="755" t="s">
        <v>183</v>
      </c>
      <c r="C150" s="756">
        <f>C149+((('Rate Class Customer Model'!$C$18*12)-(Customer!$C$146*12))/78)</f>
        <v>140115.64752045355</v>
      </c>
      <c r="D150" s="756">
        <f>D149+((('Rate Class Customer Model'!$D$18*12)-(Customer!$D$146*12))/78)</f>
        <v>8907.7097005995529</v>
      </c>
      <c r="E150" s="756">
        <f>E149+((('Rate Class Customer Model'!$E$18*12)-(Customer!$E$146*12))/78)</f>
        <v>1555.5987578493368</v>
      </c>
      <c r="F150" s="756">
        <f>F149+((('Rate Class Customer Model'!$F$18*12)-(Customer!$F$146*12))/78)</f>
        <v>1492.4233003358577</v>
      </c>
      <c r="G150" s="756">
        <f>G149+((('Rate Class Customer Model'!$G$18*12)-(Customer!$G$146*12))/78)</f>
        <v>113.71036652094483</v>
      </c>
      <c r="H150" s="756">
        <f>ROUND(H149+((('Rate Class Customer Model'!$H$18*12)-(Customer!$H$146*12))/78),0)</f>
        <v>6</v>
      </c>
      <c r="I150" s="756">
        <f>I149+((('Rate Class Customer Model'!$I$18*12)-(Customer!$I$146*12))/78)</f>
        <v>22258.84526467917</v>
      </c>
      <c r="J150" s="756">
        <v>1</v>
      </c>
      <c r="K150" s="754">
        <f t="shared" si="16"/>
        <v>64.666666666666686</v>
      </c>
      <c r="L150" s="756">
        <v>1</v>
      </c>
      <c r="M150" s="754">
        <f t="shared" si="14"/>
        <v>174516.60157710506</v>
      </c>
      <c r="N150" s="754"/>
      <c r="O150" s="756">
        <f>O149+((($Q$144*12)-(Customer!$O$146*12))/78)</f>
        <v>46031.397248360561</v>
      </c>
      <c r="P150" s="871">
        <v>56.198175717311358</v>
      </c>
      <c r="Q150" s="873">
        <f t="shared" si="18"/>
        <v>1.0419896905698329</v>
      </c>
      <c r="R150" s="818">
        <v>2</v>
      </c>
      <c r="S150" s="577"/>
      <c r="T150" s="577"/>
      <c r="U150" s="577"/>
      <c r="V150" s="577"/>
      <c r="W150" s="577"/>
      <c r="X150" s="577"/>
      <c r="Y150" s="577"/>
      <c r="Z150" s="577"/>
      <c r="AA150" s="718"/>
      <c r="AB150" s="718"/>
      <c r="AC150" s="591"/>
    </row>
    <row r="151" spans="1:29" ht="14.4">
      <c r="A151" s="743">
        <f t="shared" si="17"/>
        <v>2015</v>
      </c>
      <c r="B151" s="755" t="s">
        <v>184</v>
      </c>
      <c r="C151" s="756">
        <f>C150+((('Rate Class Customer Model'!$C$18*12)-(Customer!$C$146*12))/78)</f>
        <v>140461.06120181998</v>
      </c>
      <c r="D151" s="756">
        <f>D150+((('Rate Class Customer Model'!$D$18*12)-(Customer!$D$146*12))/78)</f>
        <v>8940.4098237411581</v>
      </c>
      <c r="E151" s="756">
        <f>E150+((('Rate Class Customer Model'!$E$18*12)-(Customer!$E$146*12))/78)</f>
        <v>1558.0465194186847</v>
      </c>
      <c r="F151" s="756">
        <f>F150+((('Rate Class Customer Model'!$F$18*12)-(Customer!$F$146*12))/78)</f>
        <v>1491.7437763367943</v>
      </c>
      <c r="G151" s="756">
        <f>G150+((('Rate Class Customer Model'!$G$18*12)-(Customer!$G$146*12))/78)</f>
        <v>114.07278447971792</v>
      </c>
      <c r="H151" s="756">
        <f>ROUND(H150+((('Rate Class Customer Model'!$H$18*12)-(Customer!$H$146*12))/78),0)</f>
        <v>6</v>
      </c>
      <c r="I151" s="756">
        <f>I150+((('Rate Class Customer Model'!$I$18*12)-(Customer!$I$146*12))/78)</f>
        <v>22289.132566387612</v>
      </c>
      <c r="J151" s="756">
        <v>1</v>
      </c>
      <c r="K151" s="754">
        <f t="shared" si="16"/>
        <v>65.833333333333357</v>
      </c>
      <c r="L151" s="756">
        <v>1</v>
      </c>
      <c r="M151" s="754">
        <f t="shared" si="14"/>
        <v>174928.30000551729</v>
      </c>
      <c r="N151" s="754"/>
      <c r="O151" s="756">
        <f>O150+((($Q$144*12)-(Customer!$O$146*12))/78)</f>
        <v>46139.332372753553</v>
      </c>
      <c r="P151" s="871">
        <v>56.059920795642249</v>
      </c>
      <c r="Q151" s="873">
        <f t="shared" si="18"/>
        <v>1.0419974483383077</v>
      </c>
      <c r="R151" s="818">
        <v>2</v>
      </c>
      <c r="S151" s="577"/>
      <c r="T151" s="577"/>
      <c r="U151" s="577"/>
      <c r="V151" s="577"/>
      <c r="W151" s="577"/>
      <c r="X151" s="577"/>
      <c r="Y151" s="577"/>
      <c r="Z151" s="577"/>
      <c r="AA151" s="718"/>
    </row>
    <row r="152" spans="1:29" ht="14.4">
      <c r="A152" s="743">
        <f t="shared" si="17"/>
        <v>2015</v>
      </c>
      <c r="B152" s="755" t="s">
        <v>185</v>
      </c>
      <c r="C152" s="756">
        <f>C151+((('Rate Class Customer Model'!$C$18*12)-(Customer!$C$146*12))/78)</f>
        <v>140806.4748831864</v>
      </c>
      <c r="D152" s="756">
        <f>D151+((('Rate Class Customer Model'!$D$18*12)-(Customer!$D$146*12))/78)</f>
        <v>8973.1099468827633</v>
      </c>
      <c r="E152" s="756">
        <f>E151+((('Rate Class Customer Model'!$E$18*12)-(Customer!$E$146*12))/78)</f>
        <v>1560.4942809880326</v>
      </c>
      <c r="F152" s="756">
        <f>F151+((('Rate Class Customer Model'!$F$18*12)-(Customer!$F$146*12))/78)</f>
        <v>1491.064252337731</v>
      </c>
      <c r="G152" s="756">
        <f>G151+((('Rate Class Customer Model'!$G$18*12)-(Customer!$G$146*12))/78)</f>
        <v>114.43520243849102</v>
      </c>
      <c r="H152" s="756">
        <f>ROUND(H151+((('Rate Class Customer Model'!$H$18*12)-(Customer!$H$146*12))/78),0)</f>
        <v>6</v>
      </c>
      <c r="I152" s="756">
        <f>I151+((('Rate Class Customer Model'!$I$18*12)-(Customer!$I$146*12))/78)</f>
        <v>22319.419868096054</v>
      </c>
      <c r="J152" s="756">
        <v>1</v>
      </c>
      <c r="K152" s="754">
        <f t="shared" si="16"/>
        <v>67.000000000000028</v>
      </c>
      <c r="L152" s="756">
        <v>1</v>
      </c>
      <c r="M152" s="754">
        <f t="shared" si="14"/>
        <v>175339.99843392946</v>
      </c>
      <c r="N152" s="754"/>
      <c r="O152" s="756">
        <f>O151+((($Q$144*12)-(Customer!$O$146*12))/78)</f>
        <v>46247.267497146546</v>
      </c>
      <c r="P152" s="871">
        <v>55.92166587397314</v>
      </c>
      <c r="Q152" s="873">
        <f t="shared" si="18"/>
        <v>1.0420011164648411</v>
      </c>
      <c r="R152" s="818">
        <v>2</v>
      </c>
      <c r="S152" s="577"/>
      <c r="T152" s="577"/>
      <c r="U152" s="577"/>
      <c r="V152" s="577"/>
      <c r="W152" s="577"/>
      <c r="X152" s="577"/>
      <c r="Y152" s="577"/>
      <c r="Z152" s="577"/>
      <c r="AA152" s="718"/>
    </row>
    <row r="153" spans="1:29" ht="14.4">
      <c r="A153" s="743">
        <f t="shared" si="17"/>
        <v>2015</v>
      </c>
      <c r="B153" s="755" t="s">
        <v>186</v>
      </c>
      <c r="C153" s="756">
        <f>C152+((('Rate Class Customer Model'!$C$18*12)-(Customer!$C$146*12))/78)</f>
        <v>141151.88856455282</v>
      </c>
      <c r="D153" s="756">
        <f>D152+((('Rate Class Customer Model'!$D$18*12)-(Customer!$D$146*12))/78)</f>
        <v>9005.8100700243685</v>
      </c>
      <c r="E153" s="756">
        <f>E152+((('Rate Class Customer Model'!$E$18*12)-(Customer!$E$146*12))/78)</f>
        <v>1562.9420425573805</v>
      </c>
      <c r="F153" s="756">
        <f>F152+((('Rate Class Customer Model'!$F$18*12)-(Customer!$F$146*12))/78)</f>
        <v>1490.3847283386676</v>
      </c>
      <c r="G153" s="756">
        <f>G152+((('Rate Class Customer Model'!$G$18*12)-(Customer!$G$146*12))/78)</f>
        <v>114.79762039726411</v>
      </c>
      <c r="H153" s="756">
        <f>ROUND(H152+((('Rate Class Customer Model'!$H$18*12)-(Customer!$H$146*12))/78),0)</f>
        <v>6</v>
      </c>
      <c r="I153" s="756">
        <f>I152+((('Rate Class Customer Model'!$I$18*12)-(Customer!$I$146*12))/78)</f>
        <v>22349.707169804497</v>
      </c>
      <c r="J153" s="756">
        <v>1</v>
      </c>
      <c r="K153" s="754">
        <f t="shared" si="16"/>
        <v>68.1666666666667</v>
      </c>
      <c r="L153" s="756">
        <v>1</v>
      </c>
      <c r="M153" s="754">
        <f t="shared" si="14"/>
        <v>175751.69686234163</v>
      </c>
      <c r="N153" s="754"/>
      <c r="O153" s="756">
        <f>O152+((($Q$144*12)-(Customer!$O$146*12))/78)</f>
        <v>46355.202621539538</v>
      </c>
      <c r="P153" s="871">
        <v>55.783410952304031</v>
      </c>
      <c r="Q153" s="873">
        <f t="shared" si="18"/>
        <v>1.0419881606978589</v>
      </c>
      <c r="R153" s="818">
        <v>2</v>
      </c>
      <c r="S153" s="577"/>
      <c r="T153" s="577"/>
      <c r="U153" s="577"/>
      <c r="V153" s="577"/>
      <c r="W153" s="577"/>
      <c r="X153" s="577"/>
      <c r="Y153" s="577"/>
      <c r="Z153" s="577"/>
      <c r="AA153" s="718"/>
    </row>
    <row r="154" spans="1:29" ht="14.4">
      <c r="A154" s="743">
        <f t="shared" si="17"/>
        <v>2015</v>
      </c>
      <c r="B154" s="755" t="s">
        <v>187</v>
      </c>
      <c r="C154" s="756">
        <f>C153+((('Rate Class Customer Model'!$C$18*12)-(Customer!$C$146*12))/78)</f>
        <v>141497.30224591924</v>
      </c>
      <c r="D154" s="756">
        <f>D153+((('Rate Class Customer Model'!$D$18*12)-(Customer!$D$146*12))/78)</f>
        <v>9038.5101931659738</v>
      </c>
      <c r="E154" s="756">
        <f>E153+((('Rate Class Customer Model'!$E$18*12)-(Customer!$E$146*12))/78)</f>
        <v>1565.3898041267284</v>
      </c>
      <c r="F154" s="756">
        <f>F153+((('Rate Class Customer Model'!$F$18*12)-(Customer!$F$146*12))/78)</f>
        <v>1489.7052043396043</v>
      </c>
      <c r="G154" s="756">
        <f>G153+((('Rate Class Customer Model'!$G$18*12)-(Customer!$G$146*12))/78)</f>
        <v>115.16003835603721</v>
      </c>
      <c r="H154" s="756">
        <f>ROUND(H153+((('Rate Class Customer Model'!$H$18*12)-(Customer!$H$146*12))/78),0)</f>
        <v>6</v>
      </c>
      <c r="I154" s="756">
        <f>I153+((('Rate Class Customer Model'!$I$18*12)-(Customer!$I$146*12))/78)</f>
        <v>22379.994471512939</v>
      </c>
      <c r="J154" s="756">
        <v>1</v>
      </c>
      <c r="K154" s="754">
        <f t="shared" si="16"/>
        <v>69.333333333333371</v>
      </c>
      <c r="L154" s="756">
        <v>1</v>
      </c>
      <c r="M154" s="754">
        <f t="shared" si="14"/>
        <v>176163.39529075386</v>
      </c>
      <c r="N154" s="754"/>
      <c r="O154" s="756">
        <f>O153+((($Q$144*12)-(Customer!$O$146*12))/78)</f>
        <v>46463.13774593253</v>
      </c>
      <c r="P154" s="871">
        <v>55.645156030634922</v>
      </c>
      <c r="Q154" s="873">
        <f t="shared" si="18"/>
        <v>1.0419843119178316</v>
      </c>
      <c r="R154" s="818">
        <v>2</v>
      </c>
      <c r="S154" s="577"/>
      <c r="T154" s="577"/>
      <c r="U154" s="577"/>
      <c r="V154" s="577"/>
      <c r="W154" s="577"/>
      <c r="X154" s="577"/>
      <c r="Y154" s="577"/>
      <c r="Z154" s="577"/>
      <c r="AA154" s="718"/>
    </row>
    <row r="155" spans="1:29" ht="14.4">
      <c r="A155" s="743">
        <f t="shared" si="17"/>
        <v>2015</v>
      </c>
      <c r="B155" s="755" t="s">
        <v>188</v>
      </c>
      <c r="C155" s="756">
        <f>C154+((('Rate Class Customer Model'!$C$18*12)-(Customer!$C$146*12))/78)</f>
        <v>141842.71592728567</v>
      </c>
      <c r="D155" s="756">
        <f>D154+((('Rate Class Customer Model'!$D$18*12)-(Customer!$D$146*12))/78)</f>
        <v>9071.210316307579</v>
      </c>
      <c r="E155" s="756">
        <f>E154+((('Rate Class Customer Model'!$E$18*12)-(Customer!$E$146*12))/78)</f>
        <v>1567.8375656960764</v>
      </c>
      <c r="F155" s="756">
        <f>F154+((('Rate Class Customer Model'!$F$18*12)-(Customer!$F$146*12))/78)</f>
        <v>1489.0256803405409</v>
      </c>
      <c r="G155" s="756">
        <f>G154+((('Rate Class Customer Model'!$G$18*12)-(Customer!$G$146*12))/78)</f>
        <v>115.5224563148103</v>
      </c>
      <c r="H155" s="756">
        <f>ROUND(H154+((('Rate Class Customer Model'!$H$18*12)-(Customer!$H$146*12))/78),0)</f>
        <v>6</v>
      </c>
      <c r="I155" s="756">
        <f>I154+((('Rate Class Customer Model'!$I$18*12)-(Customer!$I$146*12))/78)</f>
        <v>22410.281773221381</v>
      </c>
      <c r="J155" s="756">
        <v>1</v>
      </c>
      <c r="K155" s="754">
        <f t="shared" si="16"/>
        <v>70.500000000000043</v>
      </c>
      <c r="L155" s="756">
        <v>1</v>
      </c>
      <c r="M155" s="754">
        <f t="shared" si="14"/>
        <v>176575.09371916606</v>
      </c>
      <c r="N155" s="754"/>
      <c r="O155" s="756">
        <f>O154+((($Q$144*12)-(Customer!$O$146*12))/78)</f>
        <v>46571.072870325523</v>
      </c>
      <c r="P155" s="871">
        <v>55.506901108965813</v>
      </c>
      <c r="Q155" s="873">
        <f t="shared" si="18"/>
        <v>1.02498455476591</v>
      </c>
      <c r="R155" s="818">
        <v>2</v>
      </c>
      <c r="S155" s="577"/>
      <c r="T155" s="577"/>
      <c r="U155" s="577"/>
      <c r="V155" s="577"/>
      <c r="W155" s="577"/>
      <c r="X155" s="577"/>
      <c r="Y155" s="577"/>
      <c r="Z155" s="577"/>
      <c r="AA155" s="718"/>
    </row>
    <row r="156" spans="1:29" ht="14.4">
      <c r="A156" s="743">
        <f t="shared" si="17"/>
        <v>2015</v>
      </c>
      <c r="B156" s="755" t="s">
        <v>189</v>
      </c>
      <c r="C156" s="756">
        <f>C155+((('Rate Class Customer Model'!$C$18*12)-(Customer!$C$146*12))/78)</f>
        <v>142188.12960865209</v>
      </c>
      <c r="D156" s="756">
        <f>D155+((('Rate Class Customer Model'!$D$18*12)-(Customer!$D$146*12))/78)</f>
        <v>9103.9104394491842</v>
      </c>
      <c r="E156" s="756">
        <f>E155+((('Rate Class Customer Model'!$E$18*12)-(Customer!$E$146*12))/78)</f>
        <v>1570.2853272654243</v>
      </c>
      <c r="F156" s="756">
        <f>F155+((('Rate Class Customer Model'!$F$18*12)-(Customer!$F$146*12))/78)</f>
        <v>1488.3461563414776</v>
      </c>
      <c r="G156" s="756">
        <f>G155+((('Rate Class Customer Model'!$G$18*12)-(Customer!$G$146*12))/78)</f>
        <v>115.88487427358339</v>
      </c>
      <c r="H156" s="756">
        <f>ROUND(H155+((('Rate Class Customer Model'!$H$18*12)-(Customer!$H$146*12))/78),0)</f>
        <v>6</v>
      </c>
      <c r="I156" s="756">
        <f>I155+((('Rate Class Customer Model'!$I$18*12)-(Customer!$I$146*12))/78)</f>
        <v>22440.569074929823</v>
      </c>
      <c r="J156" s="756">
        <v>1</v>
      </c>
      <c r="K156" s="754">
        <f t="shared" si="16"/>
        <v>71.666666666666714</v>
      </c>
      <c r="L156" s="756">
        <v>1</v>
      </c>
      <c r="M156" s="754">
        <f t="shared" si="14"/>
        <v>176986.79214757824</v>
      </c>
      <c r="N156" s="754"/>
      <c r="O156" s="756">
        <f>O155+((($Q$144*12)-(Customer!$O$146*12))/78)</f>
        <v>46679.007994718515</v>
      </c>
      <c r="P156" s="871">
        <v>55.368646187296704</v>
      </c>
      <c r="Q156" s="873">
        <f t="shared" si="18"/>
        <v>1.0215265324013294</v>
      </c>
      <c r="R156" s="818">
        <v>2</v>
      </c>
      <c r="S156" s="577"/>
      <c r="T156" s="577"/>
      <c r="U156" s="577"/>
      <c r="V156" s="577"/>
      <c r="W156" s="577"/>
      <c r="X156" s="577"/>
      <c r="Y156" s="577"/>
      <c r="Z156" s="577"/>
      <c r="AA156" s="718"/>
    </row>
    <row r="157" spans="1:29" ht="14.4">
      <c r="A157" s="743">
        <f t="shared" si="17"/>
        <v>2015</v>
      </c>
      <c r="B157" s="755" t="s">
        <v>190</v>
      </c>
      <c r="C157" s="756">
        <f>C156+((('Rate Class Customer Model'!$C$18*12)-(Customer!$C$146*12))/78)</f>
        <v>142533.54329001851</v>
      </c>
      <c r="D157" s="756">
        <f>D156+((('Rate Class Customer Model'!$D$18*12)-(Customer!$D$146*12))/78)</f>
        <v>9136.6105625907894</v>
      </c>
      <c r="E157" s="756">
        <f>E156+((('Rate Class Customer Model'!$E$18*12)-(Customer!$E$146*12))/78)</f>
        <v>1572.7330888347722</v>
      </c>
      <c r="F157" s="756">
        <f>F156+((('Rate Class Customer Model'!$F$18*12)-(Customer!$F$146*12))/78)</f>
        <v>1487.6666323424142</v>
      </c>
      <c r="G157" s="756">
        <f>G156+((('Rate Class Customer Model'!$G$18*12)-(Customer!$G$146*12))/78)</f>
        <v>116.24729223235649</v>
      </c>
      <c r="H157" s="756">
        <f>ROUND(H156+((('Rate Class Customer Model'!$H$18*12)-(Customer!$H$146*12))/78),0)</f>
        <v>6</v>
      </c>
      <c r="I157" s="756">
        <f>I156+((('Rate Class Customer Model'!$I$18*12)-(Customer!$I$146*12))/78)</f>
        <v>22470.856376638265</v>
      </c>
      <c r="J157" s="756">
        <v>1</v>
      </c>
      <c r="K157" s="754">
        <f t="shared" si="16"/>
        <v>72.833333333333385</v>
      </c>
      <c r="L157" s="756">
        <v>1</v>
      </c>
      <c r="M157" s="754">
        <f t="shared" si="14"/>
        <v>177398.49057599044</v>
      </c>
      <c r="N157" s="754"/>
      <c r="O157" s="756">
        <f>O156+((($Q$144*12)-(Customer!$O$146*12))/78)</f>
        <v>46786.943119111507</v>
      </c>
      <c r="P157" s="871">
        <v>55.230391265627595</v>
      </c>
      <c r="Q157" s="873">
        <f t="shared" si="18"/>
        <v>1.02722108128949</v>
      </c>
      <c r="R157" s="818">
        <v>2</v>
      </c>
      <c r="S157" s="577"/>
      <c r="T157" s="577"/>
      <c r="U157" s="577"/>
      <c r="V157" s="577"/>
      <c r="W157" s="577"/>
      <c r="X157" s="577"/>
      <c r="Y157" s="577"/>
      <c r="Z157" s="577"/>
      <c r="AA157" s="718"/>
    </row>
    <row r="158" spans="1:29" ht="14.4">
      <c r="A158" s="743">
        <f t="shared" si="17"/>
        <v>2015</v>
      </c>
      <c r="B158" s="755" t="s">
        <v>191</v>
      </c>
      <c r="C158" s="756">
        <f>C157+((('Rate Class Customer Model'!$C$18*12)-(Customer!$C$146*12))/78)</f>
        <v>142878.95697138493</v>
      </c>
      <c r="D158" s="756">
        <f>D157+((('Rate Class Customer Model'!$D$18*12)-(Customer!$D$146*12))/78)</f>
        <v>9169.3106857323946</v>
      </c>
      <c r="E158" s="756">
        <f>E157+((('Rate Class Customer Model'!$E$18*12)-(Customer!$E$146*12))/78)</f>
        <v>1575.1808504041201</v>
      </c>
      <c r="F158" s="756">
        <f>F157+((('Rate Class Customer Model'!$F$18*12)-(Customer!$F$146*12))/78)</f>
        <v>1486.9871083433509</v>
      </c>
      <c r="G158" s="756">
        <f>G157+((('Rate Class Customer Model'!$G$18*12)-(Customer!$G$146*12))/78)</f>
        <v>116.60971019112958</v>
      </c>
      <c r="H158" s="756">
        <f>ROUND(H157+((('Rate Class Customer Model'!$H$18*12)-(Customer!$H$146*12))/78),0)</f>
        <v>6</v>
      </c>
      <c r="I158" s="756">
        <f>I157+((('Rate Class Customer Model'!$I$18*12)-(Customer!$I$146*12))/78)</f>
        <v>22501.143678346707</v>
      </c>
      <c r="J158" s="756">
        <v>1</v>
      </c>
      <c r="K158" s="754">
        <f t="shared" si="16"/>
        <v>74.000000000000057</v>
      </c>
      <c r="L158" s="756">
        <v>1</v>
      </c>
      <c r="M158" s="754">
        <f>SUM(C158:L158)</f>
        <v>177810.18900440264</v>
      </c>
      <c r="N158" s="754"/>
      <c r="O158" s="756">
        <f>O157+((($Q$144*12)-(Customer!$O$146*12))/78)</f>
        <v>46894.8782435045</v>
      </c>
      <c r="P158" s="871">
        <v>55.092136343958487</v>
      </c>
      <c r="Q158" s="874">
        <f>GEOMEAN(Q153:Q157)</f>
        <v>1.0315041323342009</v>
      </c>
      <c r="R158" s="818">
        <v>2</v>
      </c>
      <c r="S158" s="577"/>
      <c r="T158" s="577"/>
      <c r="U158" s="577"/>
      <c r="V158" s="577"/>
      <c r="W158" s="577"/>
      <c r="X158" s="577"/>
      <c r="Y158" s="577"/>
      <c r="Z158" s="577"/>
      <c r="AA158" s="718"/>
    </row>
    <row r="159" spans="1:29" ht="14.4">
      <c r="A159" s="579"/>
      <c r="B159" s="580"/>
      <c r="C159" s="443"/>
      <c r="D159" s="581"/>
      <c r="E159" s="581"/>
      <c r="F159" s="581"/>
      <c r="G159" s="581"/>
      <c r="H159" s="581"/>
      <c r="I159" s="581"/>
      <c r="J159" s="581"/>
      <c r="K159" s="581"/>
      <c r="L159" s="581"/>
      <c r="M159" s="582"/>
      <c r="N159" s="582"/>
      <c r="O159" s="581"/>
      <c r="P159" s="582"/>
      <c r="T159" s="736"/>
    </row>
    <row r="160" spans="1:29" ht="14.4">
      <c r="A160" s="579"/>
      <c r="B160" s="580"/>
      <c r="C160" s="581"/>
      <c r="D160" s="581"/>
      <c r="E160" s="581"/>
      <c r="F160" s="581"/>
      <c r="G160" s="581"/>
      <c r="H160" s="581"/>
      <c r="I160" s="581"/>
      <c r="J160" s="581"/>
      <c r="K160" s="581"/>
      <c r="L160" s="581"/>
      <c r="M160" s="582"/>
      <c r="N160" s="629"/>
      <c r="O160" s="623"/>
      <c r="P160" s="629"/>
      <c r="Q160" s="4"/>
      <c r="R160" s="495"/>
      <c r="U160" s="591"/>
      <c r="V160" s="577"/>
      <c r="W160" s="591"/>
      <c r="X160" s="591"/>
      <c r="Y160" s="591"/>
    </row>
    <row r="161" spans="1:18" ht="14.4">
      <c r="A161" s="541"/>
      <c r="B161" s="541"/>
      <c r="C161" s="542"/>
      <c r="D161" s="542"/>
      <c r="E161" s="542"/>
      <c r="F161" s="542"/>
      <c r="G161" s="542"/>
      <c r="H161" s="542"/>
      <c r="I161" s="542"/>
      <c r="J161" s="542"/>
      <c r="K161" s="542"/>
      <c r="L161" s="542"/>
      <c r="M161" s="541"/>
      <c r="N161" s="630"/>
      <c r="O161" s="542"/>
      <c r="P161" s="630"/>
      <c r="Q161" s="4"/>
      <c r="R161" s="495"/>
    </row>
    <row r="162" spans="1:18" ht="14.4">
      <c r="A162" s="541"/>
      <c r="B162" s="541"/>
      <c r="C162" s="542"/>
      <c r="D162" s="542"/>
      <c r="E162" s="542"/>
      <c r="F162" s="542"/>
      <c r="G162" s="542"/>
      <c r="H162" s="542"/>
      <c r="I162" s="542"/>
      <c r="J162" s="542"/>
      <c r="K162" s="542"/>
      <c r="L162" s="542"/>
      <c r="M162" s="541"/>
      <c r="N162" s="630"/>
      <c r="O162" s="542"/>
      <c r="P162" s="630"/>
      <c r="Q162" s="4"/>
      <c r="R162" s="495"/>
    </row>
    <row r="163" spans="1:18">
      <c r="N163" s="4"/>
      <c r="O163" s="4"/>
      <c r="P163" s="4"/>
      <c r="Q163" s="4"/>
      <c r="R163" s="495"/>
    </row>
    <row r="164" spans="1:18" ht="14.4">
      <c r="N164" s="4"/>
      <c r="O164" s="631"/>
      <c r="P164" s="631"/>
      <c r="Q164" s="4"/>
      <c r="R164" s="495"/>
    </row>
    <row r="165" spans="1:18">
      <c r="N165" s="4"/>
      <c r="O165" s="4"/>
      <c r="P165" s="4"/>
      <c r="Q165" s="4"/>
      <c r="R165" s="495"/>
    </row>
  </sheetData>
  <mergeCells count="1">
    <mergeCell ref="A1:R1"/>
  </mergeCells>
  <pageMargins left="0.70866141732283472" right="0.70866141732283472" top="0.74803149606299213" bottom="0.74803149606299213" header="0.31496062992125984" footer="0.31496062992125984"/>
  <pageSetup scale="50" orientation="landscape" r:id="rId1"/>
  <ignoredErrors>
    <ignoredError sqref="A1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>
  <dimension ref="A1:O76"/>
  <sheetViews>
    <sheetView zoomScale="70" zoomScaleNormal="70" workbookViewId="0">
      <pane xSplit="2" ySplit="2" topLeftCell="C44" activePane="bottomRight" state="frozen"/>
      <selection pane="topRight" activeCell="C1" sqref="C1"/>
      <selection pane="bottomLeft" activeCell="A3" sqref="A3"/>
      <selection pane="bottomRight" activeCell="C64" sqref="C64:L64"/>
    </sheetView>
  </sheetViews>
  <sheetFormatPr defaultRowHeight="13.2"/>
  <cols>
    <col min="1" max="1" width="8" customWidth="1"/>
    <col min="2" max="2" width="15.109375" customWidth="1"/>
    <col min="3" max="3" width="17.6640625" bestFit="1" customWidth="1"/>
    <col min="4" max="4" width="14.33203125" bestFit="1" customWidth="1"/>
    <col min="5" max="5" width="12.33203125" customWidth="1"/>
    <col min="6" max="6" width="17.6640625" customWidth="1"/>
    <col min="7" max="7" width="15.6640625" customWidth="1"/>
    <col min="8" max="8" width="14.33203125" bestFit="1" customWidth="1"/>
    <col min="9" max="12" width="15.33203125" customWidth="1"/>
    <col min="13" max="14" width="15" bestFit="1" customWidth="1"/>
  </cols>
  <sheetData>
    <row r="1" spans="1:13" ht="17.399999999999999">
      <c r="A1" s="998" t="s">
        <v>322</v>
      </c>
      <c r="B1" s="998"/>
      <c r="C1" s="998"/>
      <c r="D1" s="998"/>
      <c r="E1" s="998"/>
      <c r="F1" s="998"/>
      <c r="G1" s="998"/>
      <c r="H1" s="998"/>
      <c r="I1" s="998"/>
      <c r="J1" s="998"/>
      <c r="K1" s="998"/>
      <c r="L1" s="998"/>
      <c r="M1" s="998"/>
    </row>
    <row r="2" spans="1:13" ht="43.2">
      <c r="A2" s="875" t="s">
        <v>15</v>
      </c>
      <c r="B2" s="875" t="s">
        <v>193</v>
      </c>
      <c r="C2" s="875" t="s">
        <v>53</v>
      </c>
      <c r="D2" s="875" t="s">
        <v>47</v>
      </c>
      <c r="E2" s="875" t="s">
        <v>46</v>
      </c>
      <c r="F2" s="875" t="s">
        <v>54</v>
      </c>
      <c r="G2" s="875" t="s">
        <v>49</v>
      </c>
      <c r="H2" s="875" t="s">
        <v>55</v>
      </c>
      <c r="I2" s="875" t="s">
        <v>174</v>
      </c>
      <c r="J2" s="875" t="s">
        <v>220</v>
      </c>
      <c r="K2" s="875" t="s">
        <v>225</v>
      </c>
      <c r="L2" s="875" t="s">
        <v>236</v>
      </c>
      <c r="M2" s="875" t="s">
        <v>65</v>
      </c>
    </row>
    <row r="3" spans="1:13">
      <c r="A3" s="815">
        <v>2009</v>
      </c>
      <c r="B3" s="816" t="s">
        <v>180</v>
      </c>
      <c r="C3" s="817">
        <v>118598263.25367543</v>
      </c>
      <c r="D3" s="817">
        <v>28619586.756657977</v>
      </c>
      <c r="E3" s="817">
        <v>445252.13244166673</v>
      </c>
      <c r="F3" s="817">
        <v>103289049.53693411</v>
      </c>
      <c r="G3" s="817">
        <v>64424375.531254701</v>
      </c>
      <c r="H3" s="817">
        <v>30113961.946770493</v>
      </c>
      <c r="I3" s="817">
        <v>3002874.6101500001</v>
      </c>
      <c r="J3" s="817">
        <v>2351424.8927528257</v>
      </c>
      <c r="K3" s="817">
        <v>0</v>
      </c>
      <c r="L3" s="817">
        <v>0</v>
      </c>
      <c r="M3" s="817">
        <f>SUM(C3:L3)</f>
        <v>350844788.6606372</v>
      </c>
    </row>
    <row r="4" spans="1:13">
      <c r="A4" s="815">
        <v>2009</v>
      </c>
      <c r="B4" s="816" t="s">
        <v>181</v>
      </c>
      <c r="C4" s="817">
        <v>107071455.12733224</v>
      </c>
      <c r="D4" s="817">
        <v>28182116.51200391</v>
      </c>
      <c r="E4" s="817">
        <v>445252.13244166673</v>
      </c>
      <c r="F4" s="817">
        <v>97690729.870779529</v>
      </c>
      <c r="G4" s="817">
        <v>61815916.754052557</v>
      </c>
      <c r="H4" s="817">
        <v>29094164.452490311</v>
      </c>
      <c r="I4" s="817">
        <v>2487553.2710000002</v>
      </c>
      <c r="J4" s="817">
        <v>1978024.5867876108</v>
      </c>
      <c r="K4" s="817">
        <v>0</v>
      </c>
      <c r="L4" s="817">
        <v>0</v>
      </c>
      <c r="M4" s="817">
        <f t="shared" ref="M4:M62" si="0">SUM(C4:L4)</f>
        <v>328765212.70688784</v>
      </c>
    </row>
    <row r="5" spans="1:13">
      <c r="A5" s="815">
        <v>2009</v>
      </c>
      <c r="B5" s="816" t="s">
        <v>182</v>
      </c>
      <c r="C5" s="817">
        <v>90868323.600405231</v>
      </c>
      <c r="D5" s="817">
        <v>24534550.359470442</v>
      </c>
      <c r="E5" s="817">
        <v>445252.13244166673</v>
      </c>
      <c r="F5" s="817">
        <v>104715317.54225995</v>
      </c>
      <c r="G5" s="817">
        <v>68379224.055642292</v>
      </c>
      <c r="H5" s="817">
        <v>32323108.544101384</v>
      </c>
      <c r="I5" s="817">
        <v>2478839.4467000002</v>
      </c>
      <c r="J5" s="817">
        <v>1985241.2902841326</v>
      </c>
      <c r="K5" s="817">
        <v>0</v>
      </c>
      <c r="L5" s="817">
        <v>0</v>
      </c>
      <c r="M5" s="817">
        <f t="shared" si="0"/>
        <v>325729856.97130507</v>
      </c>
    </row>
    <row r="6" spans="1:13">
      <c r="A6" s="815">
        <v>2009</v>
      </c>
      <c r="B6" s="816" t="s">
        <v>183</v>
      </c>
      <c r="C6" s="817">
        <v>95708544.882155433</v>
      </c>
      <c r="D6" s="817">
        <v>25431086.452202111</v>
      </c>
      <c r="E6" s="817">
        <v>445252.13244166673</v>
      </c>
      <c r="F6" s="817">
        <v>91084276.506448269</v>
      </c>
      <c r="G6" s="817">
        <v>65392819.810433045</v>
      </c>
      <c r="H6" s="817">
        <v>28206089.496582188</v>
      </c>
      <c r="I6" s="817">
        <v>2078755.4525000001</v>
      </c>
      <c r="J6" s="817">
        <v>1658881.5113486194</v>
      </c>
      <c r="K6" s="817">
        <v>0</v>
      </c>
      <c r="L6" s="817">
        <v>0</v>
      </c>
      <c r="M6" s="817">
        <f t="shared" si="0"/>
        <v>310005706.2441113</v>
      </c>
    </row>
    <row r="7" spans="1:13">
      <c r="A7" s="815">
        <v>2009</v>
      </c>
      <c r="B7" s="816" t="s">
        <v>184</v>
      </c>
      <c r="C7" s="817">
        <v>83289515.279280633</v>
      </c>
      <c r="D7" s="817">
        <v>23279784.793803893</v>
      </c>
      <c r="E7" s="817">
        <v>445252.13244166673</v>
      </c>
      <c r="F7" s="817">
        <v>85546901.021536589</v>
      </c>
      <c r="G7" s="817">
        <v>68345250.569131896</v>
      </c>
      <c r="H7" s="817">
        <v>22071419.758684985</v>
      </c>
      <c r="I7" s="817">
        <v>1850410.20215</v>
      </c>
      <c r="J7" s="817">
        <v>1476658.1761642457</v>
      </c>
      <c r="K7" s="817">
        <v>0</v>
      </c>
      <c r="L7" s="817">
        <v>0</v>
      </c>
      <c r="M7" s="817">
        <f t="shared" si="0"/>
        <v>286305191.93319392</v>
      </c>
    </row>
    <row r="8" spans="1:13">
      <c r="A8" s="815">
        <v>2009</v>
      </c>
      <c r="B8" s="816" t="s">
        <v>185</v>
      </c>
      <c r="C8" s="817">
        <v>76926111.68029958</v>
      </c>
      <c r="D8" s="817">
        <v>21922184.458830502</v>
      </c>
      <c r="E8" s="817">
        <v>445252.13244166673</v>
      </c>
      <c r="F8" s="817">
        <v>87787644.076601103</v>
      </c>
      <c r="G8" s="817">
        <v>71004469.026791349</v>
      </c>
      <c r="H8" s="817">
        <v>25139773.504576083</v>
      </c>
      <c r="I8" s="817">
        <v>1635618.7789500002</v>
      </c>
      <c r="J8" s="817">
        <v>1412811.2084215335</v>
      </c>
      <c r="K8" s="817">
        <v>0</v>
      </c>
      <c r="L8" s="817">
        <v>0</v>
      </c>
      <c r="M8" s="817">
        <f t="shared" si="0"/>
        <v>286273864.86691177</v>
      </c>
    </row>
    <row r="9" spans="1:13">
      <c r="A9" s="815">
        <v>2009</v>
      </c>
      <c r="B9" s="816" t="s">
        <v>186</v>
      </c>
      <c r="C9" s="817">
        <v>107552908.20923097</v>
      </c>
      <c r="D9" s="817">
        <v>26182992.820758145</v>
      </c>
      <c r="E9" s="817">
        <v>445252.13244166673</v>
      </c>
      <c r="F9" s="817">
        <v>87193060.675447375</v>
      </c>
      <c r="G9" s="817">
        <v>75312771.132514477</v>
      </c>
      <c r="H9" s="817">
        <v>27928233.722224057</v>
      </c>
      <c r="I9" s="817">
        <v>1772911.5388500001</v>
      </c>
      <c r="J9" s="817">
        <v>1374323.27667075</v>
      </c>
      <c r="K9" s="817">
        <v>0</v>
      </c>
      <c r="L9" s="817">
        <v>0</v>
      </c>
      <c r="M9" s="817">
        <f t="shared" si="0"/>
        <v>327762453.50813746</v>
      </c>
    </row>
    <row r="10" spans="1:13">
      <c r="A10" s="815">
        <v>2009</v>
      </c>
      <c r="B10" s="816" t="s">
        <v>187</v>
      </c>
      <c r="C10" s="817">
        <v>109131328.32646495</v>
      </c>
      <c r="D10" s="817">
        <v>32100415.766656548</v>
      </c>
      <c r="E10" s="817">
        <v>445252.13244166673</v>
      </c>
      <c r="F10" s="817">
        <v>92624009.184514821</v>
      </c>
      <c r="G10" s="817">
        <v>76125779.972596943</v>
      </c>
      <c r="H10" s="817">
        <v>31314331.722693972</v>
      </c>
      <c r="I10" s="817">
        <v>2039153.13225</v>
      </c>
      <c r="J10" s="817">
        <v>1360403.3776100667</v>
      </c>
      <c r="K10" s="817">
        <v>0</v>
      </c>
      <c r="L10" s="817">
        <v>0</v>
      </c>
      <c r="M10" s="817">
        <f t="shared" si="0"/>
        <v>345140673.61522901</v>
      </c>
    </row>
    <row r="11" spans="1:13">
      <c r="A11" s="815">
        <v>2009</v>
      </c>
      <c r="B11" s="816" t="s">
        <v>188</v>
      </c>
      <c r="C11" s="817">
        <v>96799463.633352742</v>
      </c>
      <c r="D11" s="817">
        <v>16307181.891249193</v>
      </c>
      <c r="E11" s="817">
        <v>445252.13244166673</v>
      </c>
      <c r="F11" s="817">
        <v>91990313.815444216</v>
      </c>
      <c r="G11" s="817">
        <v>73953358.254073352</v>
      </c>
      <c r="H11" s="817">
        <v>30960881.535279315</v>
      </c>
      <c r="I11" s="817">
        <v>2317559.9197</v>
      </c>
      <c r="J11" s="817">
        <v>0</v>
      </c>
      <c r="K11" s="817">
        <v>0</v>
      </c>
      <c r="L11" s="817">
        <v>0</v>
      </c>
      <c r="M11" s="817">
        <f t="shared" si="0"/>
        <v>312774011.18154055</v>
      </c>
    </row>
    <row r="12" spans="1:13">
      <c r="A12" s="815">
        <v>2009</v>
      </c>
      <c r="B12" s="816" t="s">
        <v>189</v>
      </c>
      <c r="C12" s="817">
        <v>84438119.756502509</v>
      </c>
      <c r="D12" s="817">
        <v>23527742.841702051</v>
      </c>
      <c r="E12" s="817">
        <v>445252.13244166673</v>
      </c>
      <c r="F12" s="817">
        <v>91927401.952799439</v>
      </c>
      <c r="G12" s="817">
        <v>71327007.801812798</v>
      </c>
      <c r="H12" s="817">
        <v>31544231.657717183</v>
      </c>
      <c r="I12" s="817">
        <v>2775131.7072000001</v>
      </c>
      <c r="J12" s="817">
        <v>0</v>
      </c>
      <c r="K12" s="817">
        <v>0</v>
      </c>
      <c r="L12" s="817">
        <v>0</v>
      </c>
      <c r="M12" s="817">
        <f t="shared" si="0"/>
        <v>305984887.85017562</v>
      </c>
    </row>
    <row r="13" spans="1:13">
      <c r="A13" s="815">
        <v>2009</v>
      </c>
      <c r="B13" s="816" t="s">
        <v>190</v>
      </c>
      <c r="C13" s="817">
        <v>91828882.424739927</v>
      </c>
      <c r="D13" s="817">
        <v>25053061.447127532</v>
      </c>
      <c r="E13" s="817">
        <v>445252.13244166673</v>
      </c>
      <c r="F13" s="817">
        <v>92544226.125707641</v>
      </c>
      <c r="G13" s="817">
        <v>69313025.639830574</v>
      </c>
      <c r="H13" s="817">
        <v>28370191.818127062</v>
      </c>
      <c r="I13" s="817">
        <v>2967756.5439500003</v>
      </c>
      <c r="J13" s="817">
        <v>103455.48660216822</v>
      </c>
      <c r="K13" s="817">
        <v>0</v>
      </c>
      <c r="L13" s="817">
        <v>0</v>
      </c>
      <c r="M13" s="817">
        <f t="shared" si="0"/>
        <v>310625851.61852658</v>
      </c>
    </row>
    <row r="14" spans="1:13">
      <c r="A14" s="815">
        <v>2009</v>
      </c>
      <c r="B14" s="816" t="s">
        <v>191</v>
      </c>
      <c r="C14" s="817">
        <v>92620065.841288388</v>
      </c>
      <c r="D14" s="817">
        <v>25150125.755275171</v>
      </c>
      <c r="E14" s="817">
        <v>445252.13244166673</v>
      </c>
      <c r="F14" s="817">
        <v>102421318.64441979</v>
      </c>
      <c r="G14" s="817">
        <v>62970698.438765869</v>
      </c>
      <c r="H14" s="817">
        <v>32320809.197149489</v>
      </c>
      <c r="I14" s="817">
        <v>3211861.8704000004</v>
      </c>
      <c r="J14" s="817">
        <v>2141880.9509571185</v>
      </c>
      <c r="K14" s="817">
        <v>0</v>
      </c>
      <c r="L14" s="817">
        <v>0</v>
      </c>
      <c r="M14" s="817">
        <f t="shared" si="0"/>
        <v>321282012.83069754</v>
      </c>
    </row>
    <row r="15" spans="1:13">
      <c r="A15" s="815">
        <v>2010</v>
      </c>
      <c r="B15" s="816" t="s">
        <v>180</v>
      </c>
      <c r="C15" s="817">
        <v>123124605.39238104</v>
      </c>
      <c r="D15" s="817">
        <v>30030094.300789159</v>
      </c>
      <c r="E15" s="817">
        <v>447626.53711176</v>
      </c>
      <c r="F15" s="817">
        <v>100829618.77028587</v>
      </c>
      <c r="G15" s="817">
        <v>68357574.427062258</v>
      </c>
      <c r="H15" s="817">
        <v>29369612.3954124</v>
      </c>
      <c r="I15" s="817">
        <v>3151837.3456000001</v>
      </c>
      <c r="J15" s="817">
        <v>2201541.3457011082</v>
      </c>
      <c r="K15" s="817">
        <v>0</v>
      </c>
      <c r="L15" s="817">
        <v>0</v>
      </c>
      <c r="M15" s="817">
        <f t="shared" si="0"/>
        <v>357512510.51434356</v>
      </c>
    </row>
    <row r="16" spans="1:13">
      <c r="A16" s="815">
        <v>2010</v>
      </c>
      <c r="B16" s="816" t="s">
        <v>181</v>
      </c>
      <c r="C16" s="817">
        <v>100750006.55791467</v>
      </c>
      <c r="D16" s="817">
        <v>26607765.732000116</v>
      </c>
      <c r="E16" s="817">
        <v>448066.1213505601</v>
      </c>
      <c r="F16" s="817">
        <v>97057504.181268513</v>
      </c>
      <c r="G16" s="817">
        <v>65128799.824779198</v>
      </c>
      <c r="H16" s="817">
        <v>30795755.417992514</v>
      </c>
      <c r="I16" s="817">
        <v>2613724.8382999999</v>
      </c>
      <c r="J16" s="817">
        <v>1907314.662417586</v>
      </c>
      <c r="K16" s="817">
        <v>0</v>
      </c>
      <c r="L16" s="817">
        <v>0</v>
      </c>
      <c r="M16" s="817">
        <f t="shared" si="0"/>
        <v>325308937.33602315</v>
      </c>
    </row>
    <row r="17" spans="1:13">
      <c r="A17" s="815">
        <v>2010</v>
      </c>
      <c r="B17" s="816" t="s">
        <v>182</v>
      </c>
      <c r="C17" s="817">
        <v>93311171.829884604</v>
      </c>
      <c r="D17" s="817">
        <v>25182021.119088795</v>
      </c>
      <c r="E17" s="817">
        <v>448066.1213505601</v>
      </c>
      <c r="F17" s="817">
        <v>104798956.24411361</v>
      </c>
      <c r="G17" s="817">
        <v>72756230.003161192</v>
      </c>
      <c r="H17" s="817">
        <v>32711357.762233056</v>
      </c>
      <c r="I17" s="817">
        <v>2570323.4846999999</v>
      </c>
      <c r="J17" s="817">
        <v>1798012.5501317887</v>
      </c>
      <c r="K17" s="817">
        <v>0</v>
      </c>
      <c r="L17" s="817">
        <v>0</v>
      </c>
      <c r="M17" s="817">
        <f t="shared" si="0"/>
        <v>333576139.11466366</v>
      </c>
    </row>
    <row r="18" spans="1:13">
      <c r="A18" s="815">
        <v>2010</v>
      </c>
      <c r="B18" s="816" t="s">
        <v>183</v>
      </c>
      <c r="C18" s="817">
        <v>103035492.85501476</v>
      </c>
      <c r="D18" s="817">
        <v>28223548.46309961</v>
      </c>
      <c r="E18" s="817">
        <v>448066.1213505601</v>
      </c>
      <c r="F18" s="817">
        <v>90070403.982935593</v>
      </c>
      <c r="G18" s="817">
        <v>71590029.844777063</v>
      </c>
      <c r="H18" s="817">
        <v>31009829.90608735</v>
      </c>
      <c r="I18" s="817">
        <v>2161004.1708</v>
      </c>
      <c r="J18" s="817">
        <v>1333323.4744275354</v>
      </c>
      <c r="K18" s="817">
        <v>0</v>
      </c>
      <c r="L18" s="817">
        <v>0</v>
      </c>
      <c r="M18" s="817">
        <f t="shared" si="0"/>
        <v>327871698.81849241</v>
      </c>
    </row>
    <row r="19" spans="1:13">
      <c r="A19" s="815">
        <v>2010</v>
      </c>
      <c r="B19" s="816" t="s">
        <v>184</v>
      </c>
      <c r="C19" s="817">
        <v>72373830.305703565</v>
      </c>
      <c r="D19" s="817">
        <v>21211899.613575667</v>
      </c>
      <c r="E19" s="817">
        <v>460901.98112352006</v>
      </c>
      <c r="F19" s="817">
        <v>87417045.982048318</v>
      </c>
      <c r="G19" s="817">
        <v>75879166.785682932</v>
      </c>
      <c r="H19" s="817">
        <v>31909523.309138168</v>
      </c>
      <c r="I19" s="817">
        <v>1925854.2140000002</v>
      </c>
      <c r="J19" s="817">
        <v>2466013.2204821957</v>
      </c>
      <c r="K19" s="817">
        <v>0</v>
      </c>
      <c r="L19" s="817">
        <v>0</v>
      </c>
      <c r="M19" s="817">
        <f t="shared" si="0"/>
        <v>293644235.41175431</v>
      </c>
    </row>
    <row r="20" spans="1:13">
      <c r="A20" s="815">
        <v>2010</v>
      </c>
      <c r="B20" s="816" t="s">
        <v>185</v>
      </c>
      <c r="C20" s="817">
        <v>94534190.32594876</v>
      </c>
      <c r="D20" s="817">
        <v>23166158.350755278</v>
      </c>
      <c r="E20" s="817">
        <v>441275.59149024001</v>
      </c>
      <c r="F20" s="817">
        <v>91518022.370484129</v>
      </c>
      <c r="G20" s="817">
        <v>80043941.248582691</v>
      </c>
      <c r="H20" s="817">
        <v>30129045.432867058</v>
      </c>
      <c r="I20" s="817">
        <v>1691205.5396</v>
      </c>
      <c r="J20" s="817">
        <v>2205126.9455367574</v>
      </c>
      <c r="K20" s="817">
        <v>0</v>
      </c>
      <c r="L20" s="817">
        <v>0</v>
      </c>
      <c r="M20" s="817">
        <f t="shared" si="0"/>
        <v>323728965.80526489</v>
      </c>
    </row>
    <row r="21" spans="1:13">
      <c r="A21" s="815">
        <v>2010</v>
      </c>
      <c r="B21" s="816" t="s">
        <v>186</v>
      </c>
      <c r="C21" s="817">
        <v>124097363.27008417</v>
      </c>
      <c r="D21" s="817">
        <v>25544685.227407515</v>
      </c>
      <c r="E21" s="817">
        <v>445057.06257306004</v>
      </c>
      <c r="F21" s="817">
        <v>92936012.843619227</v>
      </c>
      <c r="G21" s="817">
        <v>81522096.873204619</v>
      </c>
      <c r="H21" s="817">
        <v>28527955.644291695</v>
      </c>
      <c r="I21" s="817">
        <v>1830102.20105</v>
      </c>
      <c r="J21" s="817">
        <v>1164160.4546648166</v>
      </c>
      <c r="K21" s="817">
        <v>0</v>
      </c>
      <c r="L21" s="817">
        <v>0</v>
      </c>
      <c r="M21" s="817">
        <f t="shared" si="0"/>
        <v>356067433.57689512</v>
      </c>
    </row>
    <row r="22" spans="1:13">
      <c r="A22" s="815">
        <v>2010</v>
      </c>
      <c r="B22" s="816" t="s">
        <v>187</v>
      </c>
      <c r="C22" s="817">
        <v>128698777.35970792</v>
      </c>
      <c r="D22" s="817">
        <v>25584978.234078474</v>
      </c>
      <c r="E22" s="817">
        <v>526055.45279999997</v>
      </c>
      <c r="F22" s="817">
        <v>94829891.84111385</v>
      </c>
      <c r="G22" s="817">
        <v>82176843.637005895</v>
      </c>
      <c r="H22" s="817">
        <v>34258495.125671893</v>
      </c>
      <c r="I22" s="817">
        <v>2121316.9559500003</v>
      </c>
      <c r="J22" s="817">
        <v>1165536.0319466584</v>
      </c>
      <c r="K22" s="817">
        <v>0</v>
      </c>
      <c r="L22" s="817">
        <v>0</v>
      </c>
      <c r="M22" s="817">
        <f t="shared" si="0"/>
        <v>369361894.63827467</v>
      </c>
    </row>
    <row r="23" spans="1:13">
      <c r="A23" s="815">
        <v>2010</v>
      </c>
      <c r="B23" s="816" t="s">
        <v>188</v>
      </c>
      <c r="C23" s="817">
        <v>112397012.62115836</v>
      </c>
      <c r="D23" s="817">
        <v>25716505.015683927</v>
      </c>
      <c r="E23" s="817">
        <v>450299.62793532008</v>
      </c>
      <c r="F23" s="817">
        <v>92871674.434596092</v>
      </c>
      <c r="G23" s="817">
        <v>75245117.180336013</v>
      </c>
      <c r="H23" s="817">
        <v>32675913.082413446</v>
      </c>
      <c r="I23" s="817">
        <v>2383502.8108999999</v>
      </c>
      <c r="J23" s="817">
        <v>1101810.5571710481</v>
      </c>
      <c r="K23" s="817">
        <v>0</v>
      </c>
      <c r="L23" s="817">
        <v>0</v>
      </c>
      <c r="M23" s="817">
        <f t="shared" si="0"/>
        <v>342841835.33019418</v>
      </c>
    </row>
    <row r="24" spans="1:13">
      <c r="A24" s="815">
        <v>2010</v>
      </c>
      <c r="B24" s="816" t="s">
        <v>189</v>
      </c>
      <c r="C24" s="817">
        <v>84312489.528350815</v>
      </c>
      <c r="D24" s="817">
        <v>23538564.787852962</v>
      </c>
      <c r="E24" s="817">
        <v>455995.17350000003</v>
      </c>
      <c r="F24" s="817">
        <v>88955429.707914546</v>
      </c>
      <c r="G24" s="817">
        <v>73008036.143571839</v>
      </c>
      <c r="H24" s="817">
        <v>31399057.066098101</v>
      </c>
      <c r="I24" s="817">
        <v>2835026.8688000003</v>
      </c>
      <c r="J24" s="817">
        <v>1222932.1486114517</v>
      </c>
      <c r="K24" s="817">
        <v>0</v>
      </c>
      <c r="L24" s="817">
        <v>0</v>
      </c>
      <c r="M24" s="817">
        <f t="shared" si="0"/>
        <v>305727531.42469966</v>
      </c>
    </row>
    <row r="25" spans="1:13">
      <c r="A25" s="815">
        <v>2010</v>
      </c>
      <c r="B25" s="816" t="s">
        <v>190</v>
      </c>
      <c r="C25" s="817">
        <v>85178204.206331387</v>
      </c>
      <c r="D25" s="817">
        <v>23245921.768285032</v>
      </c>
      <c r="E25" s="817">
        <v>403205.89205000002</v>
      </c>
      <c r="F25" s="817">
        <v>93468844.696767583</v>
      </c>
      <c r="G25" s="817">
        <v>72344420.387637958</v>
      </c>
      <c r="H25" s="817">
        <v>28056417.130047441</v>
      </c>
      <c r="I25" s="817">
        <v>3042503.2073000004</v>
      </c>
      <c r="J25" s="817">
        <v>1360690.8936988201</v>
      </c>
      <c r="K25" s="817">
        <v>0</v>
      </c>
      <c r="L25" s="817">
        <v>0</v>
      </c>
      <c r="M25" s="817">
        <f t="shared" si="0"/>
        <v>307100208.18211824</v>
      </c>
    </row>
    <row r="26" spans="1:13">
      <c r="A26" s="815">
        <v>2010</v>
      </c>
      <c r="B26" s="816" t="s">
        <v>191</v>
      </c>
      <c r="C26" s="817">
        <v>96952217.24029319</v>
      </c>
      <c r="D26" s="817">
        <v>25617050.647836957</v>
      </c>
      <c r="E26" s="817">
        <v>465303.26</v>
      </c>
      <c r="F26" s="817">
        <v>101526343.26408911</v>
      </c>
      <c r="G26" s="817">
        <v>64817923.915888123</v>
      </c>
      <c r="H26" s="817">
        <v>29387269.964252219</v>
      </c>
      <c r="I26" s="817">
        <v>3331010.4308500001</v>
      </c>
      <c r="J26" s="817">
        <v>1787297.5490081501</v>
      </c>
      <c r="K26" s="817">
        <v>0</v>
      </c>
      <c r="L26" s="817">
        <v>0</v>
      </c>
      <c r="M26" s="817">
        <f t="shared" si="0"/>
        <v>323884416.27221775</v>
      </c>
    </row>
    <row r="27" spans="1:13">
      <c r="A27" s="815">
        <v>2011</v>
      </c>
      <c r="B27" s="816" t="s">
        <v>180</v>
      </c>
      <c r="C27" s="817">
        <v>122033955.81922971</v>
      </c>
      <c r="D27" s="817">
        <v>29993959.524198018</v>
      </c>
      <c r="E27" s="817">
        <v>464657.45465000003</v>
      </c>
      <c r="F27" s="817">
        <v>101299329.80539106</v>
      </c>
      <c r="G27" s="817">
        <v>70367055.141256854</v>
      </c>
      <c r="H27" s="817">
        <v>31634282.699441098</v>
      </c>
      <c r="I27" s="817">
        <v>3288239.72285</v>
      </c>
      <c r="J27" s="817">
        <v>2590222.6124278079</v>
      </c>
      <c r="K27" s="817">
        <v>0</v>
      </c>
      <c r="L27" s="817">
        <v>0</v>
      </c>
      <c r="M27" s="817">
        <f t="shared" si="0"/>
        <v>361671702.77944458</v>
      </c>
    </row>
    <row r="28" spans="1:13">
      <c r="A28" s="815">
        <v>2011</v>
      </c>
      <c r="B28" s="816" t="s">
        <v>181</v>
      </c>
      <c r="C28" s="817">
        <v>104898902.31892569</v>
      </c>
      <c r="D28" s="817">
        <v>28506462.947285879</v>
      </c>
      <c r="E28" s="817">
        <v>468054.24930000002</v>
      </c>
      <c r="F28" s="817">
        <v>100095660.79697984</v>
      </c>
      <c r="G28" s="817">
        <v>64123420.047965206</v>
      </c>
      <c r="H28" s="817">
        <v>32011944.040548373</v>
      </c>
      <c r="I28" s="817">
        <v>2757058.2532500001</v>
      </c>
      <c r="J28" s="817">
        <v>4588940.0414611902</v>
      </c>
      <c r="K28" s="817">
        <v>19.094346281359996</v>
      </c>
      <c r="L28" s="817">
        <v>0</v>
      </c>
      <c r="M28" s="817">
        <f t="shared" si="0"/>
        <v>337450461.79006249</v>
      </c>
    </row>
    <row r="29" spans="1:13">
      <c r="A29" s="815">
        <v>2011</v>
      </c>
      <c r="B29" s="816" t="s">
        <v>182</v>
      </c>
      <c r="C29" s="817">
        <v>94576351.377937779</v>
      </c>
      <c r="D29" s="817">
        <v>27005620.567538902</v>
      </c>
      <c r="E29" s="817">
        <v>469350.91325000004</v>
      </c>
      <c r="F29" s="817">
        <v>105879187.29286994</v>
      </c>
      <c r="G29" s="817">
        <v>72469790.601249099</v>
      </c>
      <c r="H29" s="817">
        <v>35752112.414070189</v>
      </c>
      <c r="I29" s="817">
        <v>2715052.6073000003</v>
      </c>
      <c r="J29" s="817">
        <v>2896351.2147048428</v>
      </c>
      <c r="K29" s="817">
        <v>137.33893053566541</v>
      </c>
      <c r="L29" s="817">
        <v>0</v>
      </c>
      <c r="M29" s="817">
        <f t="shared" si="0"/>
        <v>341763954.3278513</v>
      </c>
    </row>
    <row r="30" spans="1:13">
      <c r="A30" s="815">
        <v>2011</v>
      </c>
      <c r="B30" s="816" t="s">
        <v>183</v>
      </c>
      <c r="C30" s="817">
        <v>96111585.714664802</v>
      </c>
      <c r="D30" s="817">
        <v>27024813.438957997</v>
      </c>
      <c r="E30" s="817">
        <v>476256.68470000004</v>
      </c>
      <c r="F30" s="817">
        <v>90682169.85914585</v>
      </c>
      <c r="G30" s="817">
        <v>67870000.919565752</v>
      </c>
      <c r="H30" s="817">
        <v>32719563.367619492</v>
      </c>
      <c r="I30" s="817">
        <v>2288195.4839500003</v>
      </c>
      <c r="J30" s="817">
        <v>2290437.7981186267</v>
      </c>
      <c r="K30" s="817">
        <v>112.89574075721525</v>
      </c>
      <c r="L30" s="817">
        <v>0</v>
      </c>
      <c r="M30" s="817">
        <f t="shared" si="0"/>
        <v>319463136.16246331</v>
      </c>
    </row>
    <row r="31" spans="1:13">
      <c r="A31" s="815">
        <v>2011</v>
      </c>
      <c r="B31" s="816" t="s">
        <v>184</v>
      </c>
      <c r="C31" s="817">
        <v>82814009.036045387</v>
      </c>
      <c r="D31" s="817">
        <v>24152290.374315266</v>
      </c>
      <c r="E31" s="817">
        <v>476075.77835000004</v>
      </c>
      <c r="F31" s="817">
        <v>89320255.532632738</v>
      </c>
      <c r="G31" s="817">
        <v>70239269.107966468</v>
      </c>
      <c r="H31" s="817">
        <v>34980326.141023077</v>
      </c>
      <c r="I31" s="817">
        <v>1962056.70765</v>
      </c>
      <c r="J31" s="817">
        <v>2314611.3335357462</v>
      </c>
      <c r="K31" s="817">
        <v>106.61393511710526</v>
      </c>
      <c r="L31" s="817">
        <v>0</v>
      </c>
      <c r="M31" s="817">
        <f t="shared" si="0"/>
        <v>306259000.62545383</v>
      </c>
    </row>
    <row r="32" spans="1:13">
      <c r="A32" s="815">
        <v>2011</v>
      </c>
      <c r="B32" s="816" t="s">
        <v>185</v>
      </c>
      <c r="C32" s="817">
        <v>92604349.938804924</v>
      </c>
      <c r="D32" s="817">
        <v>25519215.596395224</v>
      </c>
      <c r="E32" s="817">
        <v>476196.04570000002</v>
      </c>
      <c r="F32" s="817">
        <v>91919417.563470691</v>
      </c>
      <c r="G32" s="817">
        <v>73667438.339810044</v>
      </c>
      <c r="H32" s="817">
        <v>34766790.921069115</v>
      </c>
      <c r="I32" s="817">
        <v>1760882.7825500001</v>
      </c>
      <c r="J32" s="817">
        <v>2368039.9270653925</v>
      </c>
      <c r="K32" s="817">
        <v>95.149587527820174</v>
      </c>
      <c r="L32" s="817">
        <v>0</v>
      </c>
      <c r="M32" s="817">
        <f t="shared" si="0"/>
        <v>323082426.26445293</v>
      </c>
    </row>
    <row r="33" spans="1:13">
      <c r="A33" s="815">
        <v>2011</v>
      </c>
      <c r="B33" s="816" t="s">
        <v>186</v>
      </c>
      <c r="C33" s="817">
        <v>120214059.28004733</v>
      </c>
      <c r="D33" s="817">
        <v>26603632.118275169</v>
      </c>
      <c r="E33" s="817">
        <v>476903.50070000003</v>
      </c>
      <c r="F33" s="817">
        <v>94069992.390332341</v>
      </c>
      <c r="G33" s="817">
        <v>75212938.498442113</v>
      </c>
      <c r="H33" s="817">
        <v>35174008.150774173</v>
      </c>
      <c r="I33" s="817">
        <v>1931871.6241000001</v>
      </c>
      <c r="J33" s="817">
        <v>3197505.3238617596</v>
      </c>
      <c r="K33" s="817">
        <v>99.458784870020096</v>
      </c>
      <c r="L33" s="817">
        <v>0</v>
      </c>
      <c r="M33" s="817">
        <f t="shared" si="0"/>
        <v>356881010.34531784</v>
      </c>
    </row>
    <row r="34" spans="1:13">
      <c r="A34" s="815">
        <v>2011</v>
      </c>
      <c r="B34" s="816" t="s">
        <v>187</v>
      </c>
      <c r="C34" s="817">
        <v>134269362.80016255</v>
      </c>
      <c r="D34" s="817">
        <v>26820715.977166135</v>
      </c>
      <c r="E34" s="817">
        <v>477250.15365000005</v>
      </c>
      <c r="F34" s="817">
        <v>98443119.762498513</v>
      </c>
      <c r="G34" s="817">
        <v>76831974.086531997</v>
      </c>
      <c r="H34" s="817">
        <v>35228640.212795712</v>
      </c>
      <c r="I34" s="817">
        <v>2261136.3408500003</v>
      </c>
      <c r="J34" s="817">
        <v>2904670.5912533789</v>
      </c>
      <c r="K34" s="817">
        <v>127.51145038340508</v>
      </c>
      <c r="L34" s="817">
        <v>0</v>
      </c>
      <c r="M34" s="817">
        <f t="shared" si="0"/>
        <v>377236997.43635875</v>
      </c>
    </row>
    <row r="35" spans="1:13">
      <c r="A35" s="815">
        <v>2011</v>
      </c>
      <c r="B35" s="816" t="s">
        <v>188</v>
      </c>
      <c r="C35" s="817">
        <v>110734676.0436459</v>
      </c>
      <c r="D35" s="817">
        <v>27309054.202965181</v>
      </c>
      <c r="E35" s="817">
        <v>479034.96155000001</v>
      </c>
      <c r="F35" s="817">
        <v>93149658.530113503</v>
      </c>
      <c r="G35" s="817">
        <v>70752233.635943979</v>
      </c>
      <c r="H35" s="817">
        <v>31536231.752774205</v>
      </c>
      <c r="I35" s="817">
        <v>2564319.2130499999</v>
      </c>
      <c r="J35" s="817">
        <v>2559710.9302870552</v>
      </c>
      <c r="K35" s="817">
        <v>152.78823974480005</v>
      </c>
      <c r="L35" s="817">
        <v>0</v>
      </c>
      <c r="M35" s="817">
        <f t="shared" si="0"/>
        <v>339085072.05856955</v>
      </c>
    </row>
    <row r="36" spans="1:13">
      <c r="A36" s="815">
        <v>2011</v>
      </c>
      <c r="B36" s="816" t="s">
        <v>189</v>
      </c>
      <c r="C36" s="817">
        <v>86214835.80834198</v>
      </c>
      <c r="D36" s="817">
        <v>24400438.403612267</v>
      </c>
      <c r="E36" s="817">
        <v>479088.52600000001</v>
      </c>
      <c r="F36" s="817">
        <v>90087645.251271203</v>
      </c>
      <c r="G36" s="817">
        <v>69051007.635049924</v>
      </c>
      <c r="H36" s="817">
        <v>34054198.68393182</v>
      </c>
      <c r="I36" s="817">
        <v>2923383.9557000003</v>
      </c>
      <c r="J36" s="817">
        <v>2725358.7271164102</v>
      </c>
      <c r="K36" s="817">
        <v>176.46476892814499</v>
      </c>
      <c r="L36" s="817">
        <v>0</v>
      </c>
      <c r="M36" s="817">
        <f t="shared" si="0"/>
        <v>309936133.45579255</v>
      </c>
    </row>
    <row r="37" spans="1:13">
      <c r="A37" s="815">
        <v>2011</v>
      </c>
      <c r="B37" s="816" t="s">
        <v>190</v>
      </c>
      <c r="C37" s="817">
        <v>89450697.662209719</v>
      </c>
      <c r="D37" s="817">
        <v>25932812.163141288</v>
      </c>
      <c r="E37" s="817">
        <v>477254.19625000004</v>
      </c>
      <c r="F37" s="817">
        <v>93865586.802203089</v>
      </c>
      <c r="G37" s="817">
        <v>69234571.814191729</v>
      </c>
      <c r="H37" s="817">
        <v>32483924.979765967</v>
      </c>
      <c r="I37" s="817">
        <v>3203546.2422000002</v>
      </c>
      <c r="J37" s="817">
        <v>2840306.1063839374</v>
      </c>
      <c r="K37" s="817">
        <v>191.56474029449006</v>
      </c>
      <c r="L37" s="817">
        <v>0</v>
      </c>
      <c r="M37" s="817">
        <f t="shared" si="0"/>
        <v>317488891.53108603</v>
      </c>
    </row>
    <row r="38" spans="1:13">
      <c r="A38" s="815">
        <v>2011</v>
      </c>
      <c r="B38" s="816" t="s">
        <v>191</v>
      </c>
      <c r="C38" s="817">
        <v>100370260.12248996</v>
      </c>
      <c r="D38" s="817">
        <v>28247045.120343421</v>
      </c>
      <c r="E38" s="817">
        <v>481734.40770000004</v>
      </c>
      <c r="F38" s="817">
        <v>98485048.772065014</v>
      </c>
      <c r="G38" s="817">
        <v>61742751.902611099</v>
      </c>
      <c r="H38" s="817">
        <v>31594854.593387458</v>
      </c>
      <c r="I38" s="817">
        <v>3471873.8172000004</v>
      </c>
      <c r="J38" s="817">
        <v>3815377.3322515162</v>
      </c>
      <c r="K38" s="817">
        <v>577.71693455311993</v>
      </c>
      <c r="L38" s="817">
        <v>0</v>
      </c>
      <c r="M38" s="817">
        <f t="shared" si="0"/>
        <v>328209523.78498304</v>
      </c>
    </row>
    <row r="39" spans="1:13">
      <c r="A39" s="815">
        <v>2012</v>
      </c>
      <c r="B39" s="816" t="s">
        <v>180</v>
      </c>
      <c r="C39" s="817">
        <v>118535681.3976257</v>
      </c>
      <c r="D39" s="817">
        <v>31114267.871291816</v>
      </c>
      <c r="E39" s="817">
        <v>482260.89197159495</v>
      </c>
      <c r="F39" s="817">
        <v>102767520.8059414</v>
      </c>
      <c r="G39" s="817">
        <v>69307806.998286292</v>
      </c>
      <c r="H39" s="817">
        <v>33936791.206001513</v>
      </c>
      <c r="I39" s="817">
        <v>3438160.0384621099</v>
      </c>
      <c r="J39" s="817">
        <v>3991512.4856211557</v>
      </c>
      <c r="K39" s="817">
        <v>1018.2194032510894</v>
      </c>
      <c r="L39" s="817">
        <v>0</v>
      </c>
      <c r="M39" s="817">
        <f t="shared" si="0"/>
        <v>363575019.91460484</v>
      </c>
    </row>
    <row r="40" spans="1:13">
      <c r="A40" s="815">
        <v>2012</v>
      </c>
      <c r="B40" s="816" t="s">
        <v>181</v>
      </c>
      <c r="C40" s="817">
        <v>106279178.03585716</v>
      </c>
      <c r="D40" s="817">
        <v>30407138.830819588</v>
      </c>
      <c r="E40" s="817">
        <v>482387.44849548</v>
      </c>
      <c r="F40" s="817">
        <v>98330536.878293201</v>
      </c>
      <c r="G40" s="817">
        <v>66995130.244604416</v>
      </c>
      <c r="H40" s="817">
        <v>31584011.456588197</v>
      </c>
      <c r="I40" s="817">
        <v>2969673.9350819648</v>
      </c>
      <c r="J40" s="817">
        <v>3175844.8808524371</v>
      </c>
      <c r="K40" s="817">
        <v>849.44738831611789</v>
      </c>
      <c r="L40" s="817">
        <v>0</v>
      </c>
      <c r="M40" s="817">
        <f t="shared" si="0"/>
        <v>340224751.15798074</v>
      </c>
    </row>
    <row r="41" spans="1:13">
      <c r="A41" s="815">
        <v>2012</v>
      </c>
      <c r="B41" s="816" t="s">
        <v>182</v>
      </c>
      <c r="C41" s="817">
        <v>100132567.60326694</v>
      </c>
      <c r="D41" s="817">
        <v>29032054.014934011</v>
      </c>
      <c r="E41" s="817">
        <v>483251.37980728998</v>
      </c>
      <c r="F41" s="817">
        <v>98960634.868027881</v>
      </c>
      <c r="G41" s="817">
        <v>72081326.567192793</v>
      </c>
      <c r="H41" s="817">
        <v>34733874.862384386</v>
      </c>
      <c r="I41" s="817">
        <v>2814479.02953998</v>
      </c>
      <c r="J41" s="817">
        <v>2902405.106362944</v>
      </c>
      <c r="K41" s="817">
        <v>711.52483348022338</v>
      </c>
      <c r="L41" s="817">
        <v>0</v>
      </c>
      <c r="M41" s="817">
        <f t="shared" si="0"/>
        <v>341141304.95634973</v>
      </c>
    </row>
    <row r="42" spans="1:13">
      <c r="A42" s="815">
        <v>2012</v>
      </c>
      <c r="B42" s="816" t="s">
        <v>183</v>
      </c>
      <c r="C42" s="817">
        <v>94809367.502546266</v>
      </c>
      <c r="D42" s="817">
        <v>26892830.675308354</v>
      </c>
      <c r="E42" s="817">
        <v>483251.37980728998</v>
      </c>
      <c r="F42" s="817">
        <v>88499228.880192399</v>
      </c>
      <c r="G42" s="817">
        <v>67789586.278448164</v>
      </c>
      <c r="H42" s="817">
        <v>32490043.266292859</v>
      </c>
      <c r="I42" s="817">
        <v>2335303.6065391349</v>
      </c>
      <c r="J42" s="817">
        <v>2546844.5503741726</v>
      </c>
      <c r="K42" s="817">
        <v>614.29490772093948</v>
      </c>
      <c r="L42" s="817">
        <v>0</v>
      </c>
      <c r="M42" s="817">
        <f t="shared" si="0"/>
        <v>315847070.43441641</v>
      </c>
    </row>
    <row r="43" spans="1:13">
      <c r="A43" s="815">
        <v>2012</v>
      </c>
      <c r="B43" s="816" t="s">
        <v>184</v>
      </c>
      <c r="C43" s="817">
        <v>74764087.653208762</v>
      </c>
      <c r="D43" s="817">
        <v>23858990.893879335</v>
      </c>
      <c r="E43" s="817">
        <v>483251.37980728998</v>
      </c>
      <c r="F43" s="817">
        <v>93252482.227072418</v>
      </c>
      <c r="G43" s="817">
        <v>74164187.161036462</v>
      </c>
      <c r="H43" s="817">
        <v>35715121.162016913</v>
      </c>
      <c r="I43" s="817">
        <v>2063663.102041045</v>
      </c>
      <c r="J43" s="817">
        <v>2489015.7200913369</v>
      </c>
      <c r="K43" s="817">
        <v>460.36242965274954</v>
      </c>
      <c r="L43" s="817">
        <v>0</v>
      </c>
      <c r="M43" s="817">
        <f t="shared" si="0"/>
        <v>306791259.66158324</v>
      </c>
    </row>
    <row r="44" spans="1:13">
      <c r="A44" s="815">
        <v>2012</v>
      </c>
      <c r="B44" s="816" t="s">
        <v>185</v>
      </c>
      <c r="C44" s="817">
        <v>101015985.98231532</v>
      </c>
      <c r="D44" s="817">
        <v>25808928.248777799</v>
      </c>
      <c r="E44" s="817">
        <v>484023.27001081995</v>
      </c>
      <c r="F44" s="817">
        <v>94785126.434446752</v>
      </c>
      <c r="G44" s="817">
        <v>73132101.302513972</v>
      </c>
      <c r="H44" s="817">
        <v>35660186.395725325</v>
      </c>
      <c r="I44" s="817">
        <v>1845080.112779635</v>
      </c>
      <c r="J44" s="817">
        <v>2727279.8287009336</v>
      </c>
      <c r="K44" s="817">
        <v>420.09967438867449</v>
      </c>
      <c r="L44" s="817">
        <v>0</v>
      </c>
      <c r="M44" s="817">
        <f t="shared" si="0"/>
        <v>335459131.67494494</v>
      </c>
    </row>
    <row r="45" spans="1:13">
      <c r="A45" s="815">
        <v>2012</v>
      </c>
      <c r="B45" s="816" t="s">
        <v>186</v>
      </c>
      <c r="C45" s="817">
        <v>136931737.65489697</v>
      </c>
      <c r="D45" s="817">
        <v>27289410.644598439</v>
      </c>
      <c r="E45" s="817">
        <v>484076.61201675498</v>
      </c>
      <c r="F45" s="817">
        <v>98715330.860419914</v>
      </c>
      <c r="G45" s="817">
        <v>73321460.576966897</v>
      </c>
      <c r="H45" s="817">
        <v>34438873.700400554</v>
      </c>
      <c r="I45" s="817">
        <v>1974761.8506594149</v>
      </c>
      <c r="J45" s="817">
        <v>3160006.3618095815</v>
      </c>
      <c r="K45" s="817">
        <v>454.27725728941948</v>
      </c>
      <c r="L45" s="817">
        <v>0</v>
      </c>
      <c r="M45" s="817">
        <f t="shared" si="0"/>
        <v>376316112.53902572</v>
      </c>
    </row>
    <row r="46" spans="1:13">
      <c r="A46" s="815">
        <v>2012</v>
      </c>
      <c r="B46" s="816" t="s">
        <v>187</v>
      </c>
      <c r="C46" s="817">
        <v>137002479.13756904</v>
      </c>
      <c r="D46" s="817">
        <v>28452629.58708439</v>
      </c>
      <c r="E46" s="817">
        <v>484326.58729947003</v>
      </c>
      <c r="F46" s="817">
        <v>98956490.026465595</v>
      </c>
      <c r="G46" s="817">
        <v>74233616.923137218</v>
      </c>
      <c r="H46" s="817">
        <v>38440563.778136417</v>
      </c>
      <c r="I46" s="817">
        <v>2279655.3432887099</v>
      </c>
      <c r="J46" s="817">
        <v>2809346.3520750371</v>
      </c>
      <c r="K46" s="817">
        <v>501.55082560804948</v>
      </c>
      <c r="L46" s="817">
        <v>0</v>
      </c>
      <c r="M46" s="817">
        <f t="shared" si="0"/>
        <v>382659609.28588146</v>
      </c>
    </row>
    <row r="47" spans="1:13">
      <c r="A47" s="815">
        <v>2012</v>
      </c>
      <c r="B47" s="816" t="s">
        <v>188</v>
      </c>
      <c r="C47" s="817">
        <v>117289753.45610593</v>
      </c>
      <c r="D47" s="817">
        <v>27518141.529856514</v>
      </c>
      <c r="E47" s="817">
        <v>485790.87765847001</v>
      </c>
      <c r="F47" s="817">
        <v>91964965.381717145</v>
      </c>
      <c r="G47" s="817">
        <v>68922458.175481334</v>
      </c>
      <c r="H47" s="817">
        <v>35328754.597478069</v>
      </c>
      <c r="I47" s="817">
        <v>2559702.9662908297</v>
      </c>
      <c r="J47" s="817">
        <v>2479552.8475991813</v>
      </c>
      <c r="K47" s="817">
        <v>558.37261298904457</v>
      </c>
      <c r="L47" s="817">
        <v>0</v>
      </c>
      <c r="M47" s="817">
        <f t="shared" si="0"/>
        <v>346549678.20480055</v>
      </c>
    </row>
    <row r="48" spans="1:13">
      <c r="A48" s="815">
        <v>2012</v>
      </c>
      <c r="B48" s="816" t="s">
        <v>189</v>
      </c>
      <c r="C48" s="817">
        <v>80476833.781080395</v>
      </c>
      <c r="D48" s="817">
        <v>24038289.453612067</v>
      </c>
      <c r="E48" s="817">
        <v>486133.93997115002</v>
      </c>
      <c r="F48" s="817">
        <v>92196307.509166613</v>
      </c>
      <c r="G48" s="817">
        <v>71134836.599889621</v>
      </c>
      <c r="H48" s="817">
        <v>35249464.835851043</v>
      </c>
      <c r="I48" s="817">
        <v>2936689.7488238048</v>
      </c>
      <c r="J48" s="817">
        <v>2562899.1034790119</v>
      </c>
      <c r="K48" s="817">
        <v>1507.8791452223752</v>
      </c>
      <c r="L48" s="817">
        <v>0</v>
      </c>
      <c r="M48" s="817">
        <f t="shared" si="0"/>
        <v>309082962.85101891</v>
      </c>
    </row>
    <row r="49" spans="1:13">
      <c r="A49" s="815">
        <v>2012</v>
      </c>
      <c r="B49" s="816" t="s">
        <v>190</v>
      </c>
      <c r="C49" s="817">
        <v>91729758.573542252</v>
      </c>
      <c r="D49" s="817">
        <v>26155779.11622484</v>
      </c>
      <c r="E49" s="817">
        <v>490867.78151746001</v>
      </c>
      <c r="F49" s="817">
        <v>95786344.033289939</v>
      </c>
      <c r="G49" s="817">
        <v>69778849.025204152</v>
      </c>
      <c r="H49" s="817">
        <v>33210549.267213967</v>
      </c>
      <c r="I49" s="817">
        <v>3214802.4167086752</v>
      </c>
      <c r="J49" s="817">
        <v>2821863.124748887</v>
      </c>
      <c r="K49" s="817">
        <v>3301.1181496849849</v>
      </c>
      <c r="L49" s="817">
        <v>0</v>
      </c>
      <c r="M49" s="817">
        <f t="shared" si="0"/>
        <v>323192114.45659977</v>
      </c>
    </row>
    <row r="50" spans="1:13">
      <c r="A50" s="815">
        <v>2012</v>
      </c>
      <c r="B50" s="816" t="s">
        <v>191</v>
      </c>
      <c r="C50" s="817">
        <v>104474896.36200836</v>
      </c>
      <c r="D50" s="817">
        <v>29222206.68425129</v>
      </c>
      <c r="E50" s="817">
        <v>488051.114419755</v>
      </c>
      <c r="F50" s="817">
        <v>96869986.020930514</v>
      </c>
      <c r="G50" s="817">
        <v>62811048.977860332</v>
      </c>
      <c r="H50" s="817">
        <v>30725747.274666078</v>
      </c>
      <c r="I50" s="817">
        <v>3570370.81497622</v>
      </c>
      <c r="J50" s="817">
        <v>3357264.1044219593</v>
      </c>
      <c r="K50" s="817">
        <v>4628.5287377690365</v>
      </c>
      <c r="L50" s="817">
        <v>0</v>
      </c>
      <c r="M50" s="817">
        <f t="shared" si="0"/>
        <v>331524199.8822723</v>
      </c>
    </row>
    <row r="51" spans="1:13">
      <c r="A51" s="815">
        <v>2013</v>
      </c>
      <c r="B51" s="816" t="s">
        <v>180</v>
      </c>
      <c r="C51" s="817">
        <v>120179198.26107296</v>
      </c>
      <c r="D51" s="817">
        <v>31974496.579967901</v>
      </c>
      <c r="E51" s="817">
        <v>490420.94445000001</v>
      </c>
      <c r="F51" s="817">
        <v>100597484.74317758</v>
      </c>
      <c r="G51" s="817">
        <v>69869314.377919257</v>
      </c>
      <c r="H51" s="817">
        <v>32278030.64589148</v>
      </c>
      <c r="I51" s="817">
        <v>3460842.5724500003</v>
      </c>
      <c r="J51" s="817">
        <v>3438503.6118553933</v>
      </c>
      <c r="K51" s="817">
        <v>4674.9896249384192</v>
      </c>
      <c r="L51" s="817">
        <v>0</v>
      </c>
      <c r="M51" s="817">
        <f t="shared" si="0"/>
        <v>362292966.72640944</v>
      </c>
    </row>
    <row r="52" spans="1:13">
      <c r="A52" s="815">
        <v>2013</v>
      </c>
      <c r="B52" s="816" t="s">
        <v>181</v>
      </c>
      <c r="C52" s="817">
        <v>106948782.48212031</v>
      </c>
      <c r="D52" s="817">
        <v>29282849.3681296</v>
      </c>
      <c r="E52" s="817">
        <v>491686.27825000003</v>
      </c>
      <c r="F52" s="817">
        <v>92950523.502194047</v>
      </c>
      <c r="G52" s="817">
        <v>61396743.763078719</v>
      </c>
      <c r="H52" s="817">
        <v>29167073.683529124</v>
      </c>
      <c r="I52" s="817">
        <v>2867015.9626000002</v>
      </c>
      <c r="J52" s="817">
        <v>3028564.6194006987</v>
      </c>
      <c r="K52" s="817">
        <v>5094.7085838337543</v>
      </c>
      <c r="L52" s="817">
        <v>0</v>
      </c>
      <c r="M52" s="817">
        <f t="shared" si="0"/>
        <v>326138334.36788636</v>
      </c>
    </row>
    <row r="53" spans="1:13">
      <c r="A53" s="815">
        <v>2013</v>
      </c>
      <c r="B53" s="816" t="s">
        <v>182</v>
      </c>
      <c r="C53" s="817">
        <v>94113395.252306342</v>
      </c>
      <c r="D53" s="817">
        <v>27434116.825422954</v>
      </c>
      <c r="E53" s="817">
        <v>504705.47155000002</v>
      </c>
      <c r="F53" s="817">
        <v>91722139.895456955</v>
      </c>
      <c r="G53" s="817">
        <v>65635265.590039797</v>
      </c>
      <c r="H53" s="817">
        <v>30612036.644227665</v>
      </c>
      <c r="I53" s="817">
        <v>2845958.0592</v>
      </c>
      <c r="J53" s="817">
        <v>3019496.588083908</v>
      </c>
      <c r="K53" s="817">
        <v>3533.6286321038583</v>
      </c>
      <c r="L53" s="817">
        <v>0</v>
      </c>
      <c r="M53" s="817">
        <f t="shared" si="0"/>
        <v>315890647.95491976</v>
      </c>
    </row>
    <row r="54" spans="1:13">
      <c r="A54" s="815">
        <v>2013</v>
      </c>
      <c r="B54" s="816" t="s">
        <v>183</v>
      </c>
      <c r="C54" s="817">
        <v>100866122.70771883</v>
      </c>
      <c r="D54" s="817">
        <v>28599501.659683399</v>
      </c>
      <c r="E54" s="817">
        <v>495384.24660000001</v>
      </c>
      <c r="F54" s="817">
        <v>90404512.054545343</v>
      </c>
      <c r="G54" s="817">
        <v>70347085.30115281</v>
      </c>
      <c r="H54" s="817">
        <v>30298296.482101478</v>
      </c>
      <c r="I54" s="817">
        <v>2388376.1652000002</v>
      </c>
      <c r="J54" s="817">
        <v>2667740.7920124931</v>
      </c>
      <c r="K54" s="817">
        <v>2827.9525926861493</v>
      </c>
      <c r="L54" s="817">
        <v>0</v>
      </c>
      <c r="M54" s="817">
        <f t="shared" si="0"/>
        <v>326069847.36160707</v>
      </c>
    </row>
    <row r="55" spans="1:13">
      <c r="A55" s="815">
        <v>2013</v>
      </c>
      <c r="B55" s="816" t="s">
        <v>184</v>
      </c>
      <c r="C55" s="817">
        <v>79728650.522889987</v>
      </c>
      <c r="D55" s="817">
        <v>25664540.462302815</v>
      </c>
      <c r="E55" s="817">
        <v>497814.85985000001</v>
      </c>
      <c r="F55" s="817">
        <v>94425486.589490876</v>
      </c>
      <c r="G55" s="817">
        <v>73592929.168368325</v>
      </c>
      <c r="H55" s="817">
        <v>34419340.808112942</v>
      </c>
      <c r="I55" s="817">
        <v>2134159.2855000002</v>
      </c>
      <c r="J55" s="817">
        <v>3888564.7180088148</v>
      </c>
      <c r="K55" s="817">
        <v>2436.4431875569521</v>
      </c>
      <c r="L55" s="817">
        <v>0</v>
      </c>
      <c r="M55" s="817">
        <f t="shared" si="0"/>
        <v>314353922.85771126</v>
      </c>
    </row>
    <row r="56" spans="1:13">
      <c r="A56" s="815">
        <v>2013</v>
      </c>
      <c r="B56" s="816" t="s">
        <v>185</v>
      </c>
      <c r="C56" s="817">
        <v>96420492.116737664</v>
      </c>
      <c r="D56" s="817">
        <v>26547488.099946719</v>
      </c>
      <c r="E56" s="817">
        <v>499291.41950000002</v>
      </c>
      <c r="F56" s="817">
        <v>91796116.566156104</v>
      </c>
      <c r="G56" s="817">
        <v>75588240.691929668</v>
      </c>
      <c r="H56" s="817">
        <v>34662988.018763356</v>
      </c>
      <c r="I56" s="817">
        <v>1909093.5944000001</v>
      </c>
      <c r="J56" s="817">
        <v>4455436.2738379994</v>
      </c>
      <c r="K56" s="817">
        <v>2413.6243141553036</v>
      </c>
      <c r="L56" s="817">
        <v>0</v>
      </c>
      <c r="M56" s="817">
        <f t="shared" si="0"/>
        <v>331881560.40558565</v>
      </c>
    </row>
    <row r="57" spans="1:13">
      <c r="A57" s="815">
        <v>2013</v>
      </c>
      <c r="B57" s="816" t="s">
        <v>186</v>
      </c>
      <c r="C57" s="817">
        <v>124010559.47793557</v>
      </c>
      <c r="D57" s="817">
        <v>27317779.253149316</v>
      </c>
      <c r="E57" s="817">
        <v>494805.14415000001</v>
      </c>
      <c r="F57" s="817">
        <v>100327155.04529588</v>
      </c>
      <c r="G57" s="817">
        <v>77635400.934117168</v>
      </c>
      <c r="H57" s="817">
        <v>33639197.950917788</v>
      </c>
      <c r="I57" s="817">
        <v>2020794.675</v>
      </c>
      <c r="J57" s="817">
        <v>5171793.2420349373</v>
      </c>
      <c r="K57" s="817">
        <v>3272.6816309132046</v>
      </c>
      <c r="L57" s="817">
        <v>0</v>
      </c>
      <c r="M57" s="817">
        <f t="shared" si="0"/>
        <v>370620758.40423149</v>
      </c>
    </row>
    <row r="58" spans="1:13">
      <c r="A58" s="815">
        <v>2013</v>
      </c>
      <c r="B58" s="816" t="s">
        <v>187</v>
      </c>
      <c r="C58" s="817">
        <v>122647757.09966022</v>
      </c>
      <c r="D58" s="817">
        <v>29131573.954029892</v>
      </c>
      <c r="E58" s="817">
        <v>499001.36295000004</v>
      </c>
      <c r="F58" s="817">
        <v>96978036.508185655</v>
      </c>
      <c r="G58" s="817">
        <v>77374349.106804028</v>
      </c>
      <c r="H58" s="817">
        <v>36059996.447678134</v>
      </c>
      <c r="I58" s="817">
        <v>2371370.9683000003</v>
      </c>
      <c r="J58" s="817">
        <v>4685810.4242614238</v>
      </c>
      <c r="K58" s="817">
        <v>3587.1693631590033</v>
      </c>
      <c r="L58" s="817">
        <v>0</v>
      </c>
      <c r="M58" s="817">
        <f t="shared" si="0"/>
        <v>369751483.04123253</v>
      </c>
    </row>
    <row r="59" spans="1:13">
      <c r="A59" s="818">
        <v>2013</v>
      </c>
      <c r="B59" s="819" t="s">
        <v>188</v>
      </c>
      <c r="C59" s="817">
        <v>121272116.13533776</v>
      </c>
      <c r="D59" s="817">
        <v>28583746.703741305</v>
      </c>
      <c r="E59" s="817">
        <v>500512.28470000002</v>
      </c>
      <c r="F59" s="817">
        <v>90136023.6189152</v>
      </c>
      <c r="G59" s="817">
        <v>67175843.872557357</v>
      </c>
      <c r="H59" s="817">
        <v>32823867.069121171</v>
      </c>
      <c r="I59" s="817">
        <v>2665739.9618500001</v>
      </c>
      <c r="J59" s="820">
        <v>4243955.4162008865</v>
      </c>
      <c r="K59" s="817">
        <v>4004.2881607454342</v>
      </c>
      <c r="L59" s="817">
        <v>0</v>
      </c>
      <c r="M59" s="817">
        <f t="shared" si="0"/>
        <v>347405809.35058439</v>
      </c>
    </row>
    <row r="60" spans="1:13">
      <c r="A60" s="818">
        <v>2013</v>
      </c>
      <c r="B60" s="819" t="s">
        <v>189</v>
      </c>
      <c r="C60" s="817">
        <v>82843125.233465001</v>
      </c>
      <c r="D60" s="817">
        <v>25082033.287170723</v>
      </c>
      <c r="E60" s="817">
        <v>500513.29535000003</v>
      </c>
      <c r="F60" s="817">
        <v>95217108.716072306</v>
      </c>
      <c r="G60" s="817">
        <v>74104679.383241847</v>
      </c>
      <c r="H60" s="817">
        <v>32771766.651718117</v>
      </c>
      <c r="I60" s="817">
        <v>3131910.3595500002</v>
      </c>
      <c r="J60" s="820">
        <v>2216858.3758280608</v>
      </c>
      <c r="K60" s="817">
        <v>4876.1350078675141</v>
      </c>
      <c r="L60" s="817">
        <v>0</v>
      </c>
      <c r="M60" s="817">
        <f t="shared" si="0"/>
        <v>315872871.43740398</v>
      </c>
    </row>
    <row r="61" spans="1:13">
      <c r="A61" s="818">
        <v>2013</v>
      </c>
      <c r="B61" s="819" t="s">
        <v>190</v>
      </c>
      <c r="C61" s="817">
        <v>95304805.155097201</v>
      </c>
      <c r="D61" s="817">
        <v>26938472.310434088</v>
      </c>
      <c r="E61" s="817">
        <v>498129.17200000002</v>
      </c>
      <c r="F61" s="817">
        <v>90358489.073726237</v>
      </c>
      <c r="G61" s="817">
        <v>70449825.505095482</v>
      </c>
      <c r="H61" s="817">
        <v>31689677.360192195</v>
      </c>
      <c r="I61" s="817">
        <v>3353740.96</v>
      </c>
      <c r="J61" s="820">
        <v>2678721.6713899593</v>
      </c>
      <c r="K61" s="817">
        <v>5886.664794890482</v>
      </c>
      <c r="L61" s="817">
        <v>0</v>
      </c>
      <c r="M61" s="817">
        <f t="shared" si="0"/>
        <v>321277747.87272996</v>
      </c>
    </row>
    <row r="62" spans="1:13">
      <c r="A62" s="818">
        <v>2013</v>
      </c>
      <c r="B62" s="819" t="s">
        <v>191</v>
      </c>
      <c r="C62" s="817">
        <v>103413301.37636296</v>
      </c>
      <c r="D62" s="817">
        <v>29254081.268282924</v>
      </c>
      <c r="E62" s="817">
        <v>496735.48565000005</v>
      </c>
      <c r="F62" s="817">
        <v>92923538.799647555</v>
      </c>
      <c r="G62" s="817">
        <v>62564998.026981734</v>
      </c>
      <c r="H62" s="817">
        <v>29198020.379234865</v>
      </c>
      <c r="I62" s="817">
        <v>3584112.5636</v>
      </c>
      <c r="J62" s="820">
        <v>2117996.0624818304</v>
      </c>
      <c r="K62" s="817">
        <v>8747.2041235944853</v>
      </c>
      <c r="L62" s="817">
        <v>0</v>
      </c>
      <c r="M62" s="817">
        <f t="shared" si="0"/>
        <v>323561531.16636544</v>
      </c>
    </row>
    <row r="64" spans="1:13" ht="15.6">
      <c r="B64" s="877" t="s">
        <v>15</v>
      </c>
      <c r="C64" s="957" t="s">
        <v>324</v>
      </c>
      <c r="D64" s="957"/>
      <c r="E64" s="957"/>
      <c r="F64" s="957"/>
      <c r="G64" s="957"/>
      <c r="H64" s="957"/>
      <c r="I64" s="957"/>
      <c r="J64" s="957"/>
      <c r="K64" s="957"/>
      <c r="L64" s="957"/>
      <c r="M64" s="878" t="s">
        <v>65</v>
      </c>
    </row>
    <row r="65" spans="1:15">
      <c r="B65" s="815">
        <v>2009</v>
      </c>
      <c r="C65" s="850">
        <f>SUM(C3:C14)</f>
        <v>1154832982.0147281</v>
      </c>
      <c r="D65" s="850">
        <f t="shared" ref="D65:L65" si="1">SUM(D3:D14)</f>
        <v>300290829.85573745</v>
      </c>
      <c r="E65" s="850">
        <f t="shared" si="1"/>
        <v>5343025.589300002</v>
      </c>
      <c r="F65" s="850">
        <f t="shared" si="1"/>
        <v>1128814248.9528928</v>
      </c>
      <c r="G65" s="850">
        <f t="shared" si="1"/>
        <v>828364696.98689985</v>
      </c>
      <c r="H65" s="850">
        <f t="shared" si="1"/>
        <v>349387197.35639656</v>
      </c>
      <c r="I65" s="850">
        <f t="shared" si="1"/>
        <v>28618426.4738</v>
      </c>
      <c r="J65" s="850">
        <f t="shared" si="1"/>
        <v>15843104.757599071</v>
      </c>
      <c r="K65" s="850">
        <f t="shared" si="1"/>
        <v>0</v>
      </c>
      <c r="L65" s="850">
        <f t="shared" si="1"/>
        <v>0</v>
      </c>
      <c r="M65" s="850">
        <f>SUM(M3:M14)</f>
        <v>3811494511.9873538</v>
      </c>
      <c r="N65" s="537"/>
      <c r="O65" s="537"/>
    </row>
    <row r="66" spans="1:15">
      <c r="B66" s="815">
        <f>B65+1</f>
        <v>2010</v>
      </c>
      <c r="C66" s="850">
        <f>SUM(C15:C26)</f>
        <v>1218765361.4927733</v>
      </c>
      <c r="D66" s="850">
        <f t="shared" ref="D66:M66" si="2">SUM(D15:D26)</f>
        <v>303669193.26045352</v>
      </c>
      <c r="E66" s="850">
        <f t="shared" si="2"/>
        <v>5439918.94263558</v>
      </c>
      <c r="F66" s="850">
        <f t="shared" si="2"/>
        <v>1136279748.3192363</v>
      </c>
      <c r="G66" s="850">
        <f t="shared" si="2"/>
        <v>882870180.27168977</v>
      </c>
      <c r="H66" s="850">
        <f t="shared" si="2"/>
        <v>370230232.23650533</v>
      </c>
      <c r="I66" s="850">
        <f t="shared" si="2"/>
        <v>29657412.067849997</v>
      </c>
      <c r="J66" s="850">
        <f t="shared" si="2"/>
        <v>19713759.833797917</v>
      </c>
      <c r="K66" s="850">
        <f t="shared" si="2"/>
        <v>0</v>
      </c>
      <c r="L66" s="850">
        <f t="shared" si="2"/>
        <v>0</v>
      </c>
      <c r="M66" s="850">
        <f t="shared" si="2"/>
        <v>3966625806.424942</v>
      </c>
      <c r="N66" s="537"/>
      <c r="O66" s="537"/>
    </row>
    <row r="67" spans="1:15">
      <c r="B67" s="815">
        <f t="shared" ref="B67:B69" si="3">B66+1</f>
        <v>2011</v>
      </c>
      <c r="C67" s="850">
        <f>SUM(C27:C38)</f>
        <v>1234293045.9225056</v>
      </c>
      <c r="D67" s="850">
        <f t="shared" ref="D67:M67" si="4">SUM(D27:D38)</f>
        <v>321516060.43419474</v>
      </c>
      <c r="E67" s="850">
        <f t="shared" si="4"/>
        <v>5701856.8718000008</v>
      </c>
      <c r="F67" s="850">
        <f t="shared" si="4"/>
        <v>1147297072.3589737</v>
      </c>
      <c r="G67" s="850">
        <f>SUM(G27:G38)</f>
        <v>841562451.73058438</v>
      </c>
      <c r="H67" s="850">
        <f t="shared" si="4"/>
        <v>401936877.95720071</v>
      </c>
      <c r="I67" s="850">
        <f t="shared" si="4"/>
        <v>31127616.75065</v>
      </c>
      <c r="J67" s="850">
        <f t="shared" si="4"/>
        <v>35091531.938467667</v>
      </c>
      <c r="K67" s="850">
        <f t="shared" si="4"/>
        <v>1796.5974589931463</v>
      </c>
      <c r="L67" s="850">
        <f t="shared" si="4"/>
        <v>0</v>
      </c>
      <c r="M67" s="850">
        <f t="shared" si="4"/>
        <v>4018528310.5618362</v>
      </c>
      <c r="N67" s="537"/>
      <c r="O67" s="537"/>
    </row>
    <row r="68" spans="1:15">
      <c r="B68" s="815">
        <f t="shared" si="3"/>
        <v>2012</v>
      </c>
      <c r="C68" s="850">
        <f>SUM(C39:C50)</f>
        <v>1263442327.140023</v>
      </c>
      <c r="D68" s="850">
        <f t="shared" ref="D68:M68" si="5">SUM(D39:D50)</f>
        <v>329790667.55063844</v>
      </c>
      <c r="E68" s="850">
        <f t="shared" si="5"/>
        <v>5817672.6627828246</v>
      </c>
      <c r="F68" s="850">
        <f t="shared" si="5"/>
        <v>1151084953.9259636</v>
      </c>
      <c r="G68" s="850">
        <f>SUM(G39:G50)</f>
        <v>843672408.8306216</v>
      </c>
      <c r="H68" s="850">
        <f t="shared" si="5"/>
        <v>411513981.80275536</v>
      </c>
      <c r="I68" s="850">
        <f t="shared" si="5"/>
        <v>32002342.965191521</v>
      </c>
      <c r="J68" s="850">
        <f t="shared" si="5"/>
        <v>35023834.466136642</v>
      </c>
      <c r="K68" s="850">
        <f t="shared" si="5"/>
        <v>15025.675365372703</v>
      </c>
      <c r="L68" s="850">
        <f t="shared" si="5"/>
        <v>0</v>
      </c>
      <c r="M68" s="850">
        <f t="shared" si="5"/>
        <v>4072363215.0194783</v>
      </c>
      <c r="N68" s="537"/>
      <c r="O68" s="537"/>
    </row>
    <row r="69" spans="1:15">
      <c r="B69" s="815">
        <f t="shared" si="3"/>
        <v>2013</v>
      </c>
      <c r="C69" s="850">
        <f>SUM(C51:C62)</f>
        <v>1247748305.8207047</v>
      </c>
      <c r="D69" s="850">
        <f t="shared" ref="D69:L69" si="6">SUM(D51:D62)</f>
        <v>335810679.77226168</v>
      </c>
      <c r="E69" s="850">
        <f t="shared" si="6"/>
        <v>5968999.9650000008</v>
      </c>
      <c r="F69" s="850">
        <f t="shared" si="6"/>
        <v>1127836615.1128638</v>
      </c>
      <c r="G69" s="850">
        <f>SUM(G51:G62)</f>
        <v>845734675.7212863</v>
      </c>
      <c r="H69" s="850">
        <f t="shared" si="6"/>
        <v>387620292.14148831</v>
      </c>
      <c r="I69" s="850">
        <f t="shared" si="6"/>
        <v>32733115.12765</v>
      </c>
      <c r="J69" s="850">
        <f t="shared" si="6"/>
        <v>41613441.795396402</v>
      </c>
      <c r="K69" s="850">
        <f t="shared" si="6"/>
        <v>51355.490016444557</v>
      </c>
      <c r="L69" s="850">
        <f t="shared" si="6"/>
        <v>0</v>
      </c>
      <c r="M69" s="850">
        <f>SUM(M51:M62)</f>
        <v>4025117480.9466677</v>
      </c>
      <c r="N69" s="537"/>
      <c r="O69" s="537"/>
    </row>
    <row r="70" spans="1:15" ht="15">
      <c r="C70" s="876"/>
      <c r="D70" s="876"/>
      <c r="E70" s="876"/>
      <c r="F70" s="876"/>
      <c r="G70" s="876"/>
      <c r="H70" s="876"/>
      <c r="I70" s="876"/>
      <c r="J70" s="876"/>
      <c r="K70" s="876"/>
      <c r="L70" s="876"/>
      <c r="M70" s="537"/>
      <c r="N70" s="537"/>
      <c r="O70" s="537"/>
    </row>
    <row r="71" spans="1:15" ht="15.6">
      <c r="A71" s="877" t="s">
        <v>15</v>
      </c>
      <c r="B71" s="877" t="s">
        <v>96</v>
      </c>
      <c r="C71" s="999" t="s">
        <v>323</v>
      </c>
      <c r="D71" s="999"/>
      <c r="E71" s="999"/>
      <c r="F71" s="999"/>
      <c r="G71" s="999"/>
      <c r="H71" s="999"/>
      <c r="I71" s="999"/>
      <c r="J71" s="999"/>
      <c r="K71" s="999"/>
      <c r="L71" s="999"/>
      <c r="M71" s="878" t="s">
        <v>65</v>
      </c>
    </row>
    <row r="72" spans="1:15">
      <c r="A72" s="815">
        <v>2009</v>
      </c>
      <c r="B72" s="815">
        <v>1.0348999999999999</v>
      </c>
      <c r="C72" s="817">
        <f>C65/$B72</f>
        <v>1115888474.2629511</v>
      </c>
      <c r="D72" s="817">
        <f t="shared" ref="D72:F72" si="7">D65/$B72</f>
        <v>290164102.6724683</v>
      </c>
      <c r="E72" s="817">
        <f t="shared" si="7"/>
        <v>5162842.3898927458</v>
      </c>
      <c r="F72" s="817">
        <f t="shared" si="7"/>
        <v>1090747172.6281698</v>
      </c>
      <c r="G72" s="817">
        <f>G65/1.034</f>
        <v>801126399.40705979</v>
      </c>
      <c r="H72" s="817">
        <f>H65/1.0128</f>
        <v>344971561.37084973</v>
      </c>
      <c r="I72" s="817">
        <f>I65/$B72</f>
        <v>27653325.416755244</v>
      </c>
      <c r="J72" s="817">
        <f>J65/1.0247</f>
        <v>15461212.801404383</v>
      </c>
      <c r="K72" s="817">
        <f t="shared" ref="K72:L76" si="8">K65/$B72</f>
        <v>0</v>
      </c>
      <c r="L72" s="817">
        <f t="shared" si="8"/>
        <v>0</v>
      </c>
      <c r="M72" s="850">
        <f>SUM(C72:L72)</f>
        <v>3691175090.9495511</v>
      </c>
    </row>
    <row r="73" spans="1:15">
      <c r="A73" s="815">
        <f>A72+1</f>
        <v>2010</v>
      </c>
      <c r="B73" s="815">
        <v>1.0348999999999999</v>
      </c>
      <c r="C73" s="817">
        <f>C66/$B73</f>
        <v>1177664857.9503076</v>
      </c>
      <c r="D73" s="817">
        <f t="shared" ref="D73:F76" si="9">D66/$B73</f>
        <v>293428537.30839074</v>
      </c>
      <c r="E73" s="817">
        <f t="shared" si="9"/>
        <v>5256468.2023727708</v>
      </c>
      <c r="F73" s="817">
        <f t="shared" si="9"/>
        <v>1097960912.4738972</v>
      </c>
      <c r="G73" s="817">
        <f t="shared" ref="G73:G75" si="10">G66/1.034</f>
        <v>853839632.7579205</v>
      </c>
      <c r="H73" s="817">
        <f t="shared" ref="H73:H75" si="11">H66/1.0128</f>
        <v>365551177.1687454</v>
      </c>
      <c r="I73" s="817">
        <f>I66/$B73</f>
        <v>28657273.232051406</v>
      </c>
      <c r="J73" s="817">
        <f t="shared" ref="J73:J75" si="12">J66/1.0247</f>
        <v>19238567.22338042</v>
      </c>
      <c r="K73" s="817">
        <f t="shared" si="8"/>
        <v>0</v>
      </c>
      <c r="L73" s="817">
        <f t="shared" si="8"/>
        <v>0</v>
      </c>
      <c r="M73" s="850">
        <f t="shared" ref="M73:M76" si="13">SUM(C73:L73)</f>
        <v>3841597426.3170667</v>
      </c>
    </row>
    <row r="74" spans="1:15">
      <c r="A74" s="815">
        <f t="shared" ref="A74:A76" si="14">A73+1</f>
        <v>2011</v>
      </c>
      <c r="B74" s="815">
        <v>1.0348999999999999</v>
      </c>
      <c r="C74" s="817">
        <f>C67/$B74</f>
        <v>1192668901.268244</v>
      </c>
      <c r="D74" s="817">
        <f t="shared" si="9"/>
        <v>310673553.41984224</v>
      </c>
      <c r="E74" s="817">
        <f t="shared" si="9"/>
        <v>5509572.7817180417</v>
      </c>
      <c r="F74" s="817">
        <f t="shared" si="9"/>
        <v>1108606698.5785813</v>
      </c>
      <c r="G74" s="817">
        <f t="shared" si="10"/>
        <v>813890185.42609704</v>
      </c>
      <c r="H74" s="817">
        <f t="shared" si="11"/>
        <v>396857106.98775744</v>
      </c>
      <c r="I74" s="817">
        <f>I67/$B74</f>
        <v>30077898.10672529</v>
      </c>
      <c r="J74" s="817">
        <f t="shared" si="12"/>
        <v>34245664.036759704</v>
      </c>
      <c r="K74" s="817">
        <f t="shared" si="8"/>
        <v>1736.0106860500014</v>
      </c>
      <c r="L74" s="817">
        <f t="shared" si="8"/>
        <v>0</v>
      </c>
      <c r="M74" s="850">
        <f t="shared" si="13"/>
        <v>3892531316.6164112</v>
      </c>
    </row>
    <row r="75" spans="1:15">
      <c r="A75" s="815">
        <f t="shared" si="14"/>
        <v>2012</v>
      </c>
      <c r="B75" s="815">
        <v>1.0348999999999999</v>
      </c>
      <c r="C75" s="817">
        <f>C68/$B75</f>
        <v>1220835179.3796725</v>
      </c>
      <c r="D75" s="817">
        <f t="shared" si="9"/>
        <v>318669115.42239684</v>
      </c>
      <c r="E75" s="817">
        <f t="shared" si="9"/>
        <v>5621482.9092499996</v>
      </c>
      <c r="F75" s="817">
        <f t="shared" si="9"/>
        <v>1112266841.1691601</v>
      </c>
      <c r="G75" s="817">
        <f t="shared" si="10"/>
        <v>815930762.89228392</v>
      </c>
      <c r="H75" s="817">
        <f t="shared" si="11"/>
        <v>406313173.1859749</v>
      </c>
      <c r="I75" s="817">
        <f>I68/$B75</f>
        <v>30923125.872249998</v>
      </c>
      <c r="J75" s="817">
        <f t="shared" si="12"/>
        <v>34179598.386002384</v>
      </c>
      <c r="K75" s="817">
        <f t="shared" si="8"/>
        <v>14518.963537899994</v>
      </c>
      <c r="L75" s="817">
        <f t="shared" si="8"/>
        <v>0</v>
      </c>
      <c r="M75" s="850">
        <f t="shared" si="13"/>
        <v>3944753798.1805291</v>
      </c>
    </row>
    <row r="76" spans="1:15">
      <c r="A76" s="815">
        <f t="shared" si="14"/>
        <v>2013</v>
      </c>
      <c r="B76" s="815">
        <v>1.0348999999999999</v>
      </c>
      <c r="C76" s="817">
        <f>C69/$B76</f>
        <v>1205670408.5618947</v>
      </c>
      <c r="D76" s="817">
        <f t="shared" si="9"/>
        <v>324486114.38038623</v>
      </c>
      <c r="E76" s="817">
        <f t="shared" si="9"/>
        <v>5767706.9910136256</v>
      </c>
      <c r="F76" s="817">
        <f t="shared" si="9"/>
        <v>1089802507.5977039</v>
      </c>
      <c r="G76" s="817">
        <f>G69/1.034</f>
        <v>817925218.29911637</v>
      </c>
      <c r="H76" s="817">
        <f>H69/1.0128</f>
        <v>382721457.48567176</v>
      </c>
      <c r="I76" s="817">
        <f>I69/$B76</f>
        <v>31629254.157551456</v>
      </c>
      <c r="J76" s="817">
        <f>J69/1.0247</f>
        <v>40610365.761097305</v>
      </c>
      <c r="K76" s="817">
        <f t="shared" si="8"/>
        <v>49623.625486950004</v>
      </c>
      <c r="L76" s="817">
        <f t="shared" si="8"/>
        <v>0</v>
      </c>
      <c r="M76" s="850">
        <f t="shared" si="13"/>
        <v>3898662656.8599219</v>
      </c>
    </row>
  </sheetData>
  <mergeCells count="3">
    <mergeCell ref="A1:M1"/>
    <mergeCell ref="C71:L71"/>
    <mergeCell ref="C64:L64"/>
  </mergeCells>
  <pageMargins left="0.7" right="0.7" top="0.75" bottom="0.75" header="0.3" footer="0.3"/>
  <pageSetup scale="65" orientation="landscape" r:id="rId1"/>
  <ignoredErrors>
    <ignoredError sqref="D71:L71 C77:M77 C72:I76 K72:M76 C65:M69" formulaRange="1"/>
    <ignoredError sqref="J72:J76" formula="1" formulaRange="1"/>
  </ignoredErrors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00B050"/>
  </sheetPr>
  <dimension ref="A1:M169"/>
  <sheetViews>
    <sheetView showGridLines="0" zoomScaleNormal="100" workbookViewId="0">
      <pane xSplit="1" ySplit="1" topLeftCell="B30" activePane="bottomRight" state="frozen"/>
      <selection activeCell="H9" sqref="H9"/>
      <selection pane="topRight" activeCell="H9" sqref="H9"/>
      <selection pane="bottomLeft" activeCell="H9" sqref="H9"/>
      <selection pane="bottomRight" activeCell="Q1" sqref="Q1:Q1048576"/>
    </sheetView>
  </sheetViews>
  <sheetFormatPr defaultColWidth="9.109375" defaultRowHeight="13.2"/>
  <cols>
    <col min="1" max="1" width="12.44140625" style="66" bestFit="1" customWidth="1"/>
    <col min="2" max="2" width="20.33203125" style="76" bestFit="1" customWidth="1"/>
    <col min="3" max="3" width="15" style="76" bestFit="1" customWidth="1"/>
    <col min="4" max="4" width="12.6640625" style="76" bestFit="1" customWidth="1"/>
    <col min="5" max="6" width="12.44140625" style="76" customWidth="1"/>
    <col min="7" max="7" width="13" style="76" customWidth="1"/>
    <col min="8" max="8" width="11.109375" style="65" bestFit="1" customWidth="1"/>
    <col min="9" max="9" width="11.88671875" style="65" bestFit="1" customWidth="1"/>
    <col min="10" max="10" width="9.109375" style="65"/>
    <col min="11" max="11" width="28.6640625" style="65" hidden="1" customWidth="1"/>
    <col min="12" max="16384" width="9.109375" style="66"/>
  </cols>
  <sheetData>
    <row r="1" spans="1:9" ht="42" customHeight="1" thickBot="1">
      <c r="A1" s="384"/>
      <c r="B1" s="385" t="s">
        <v>29</v>
      </c>
      <c r="C1" s="385" t="s">
        <v>30</v>
      </c>
      <c r="D1" s="385" t="s">
        <v>31</v>
      </c>
      <c r="E1" s="385" t="s">
        <v>32</v>
      </c>
      <c r="F1" s="385" t="s">
        <v>33</v>
      </c>
      <c r="G1" s="385" t="s">
        <v>34</v>
      </c>
      <c r="H1" s="386" t="s">
        <v>35</v>
      </c>
    </row>
    <row r="2" spans="1:9">
      <c r="A2" s="67">
        <v>37987</v>
      </c>
      <c r="B2" s="68">
        <f>VLOOKUP($A2,'HDD-CDD'!$O$125:Q$136,3,FALSE)</f>
        <v>849.1</v>
      </c>
      <c r="C2" s="68">
        <f>VLOOKUP($A2,'HDD-CDD'!$O$125:R$136,4,FALSE)</f>
        <v>0</v>
      </c>
      <c r="D2" s="69">
        <f t="shared" ref="D2:D53" si="0">DAY(EOMONTH(A2,0))</f>
        <v>31</v>
      </c>
      <c r="E2" s="70">
        <v>0</v>
      </c>
      <c r="F2" s="70">
        <v>0</v>
      </c>
      <c r="G2" s="69">
        <v>336</v>
      </c>
      <c r="H2" s="71">
        <f>GDP!G26</f>
        <v>1.0159128651183942</v>
      </c>
      <c r="I2" s="72"/>
    </row>
    <row r="3" spans="1:9">
      <c r="A3" s="67">
        <v>38018</v>
      </c>
      <c r="B3" s="68">
        <f>VLOOKUP($A3,'HDD-CDD'!$O$125:Q$136,3,FALSE)</f>
        <v>631.70000000000005</v>
      </c>
      <c r="C3" s="68">
        <f>VLOOKUP($A3,'HDD-CDD'!$O$125:R$136,4,FALSE)</f>
        <v>0</v>
      </c>
      <c r="D3" s="69">
        <f t="shared" si="0"/>
        <v>29</v>
      </c>
      <c r="E3" s="70">
        <v>0</v>
      </c>
      <c r="F3" s="70">
        <v>0</v>
      </c>
      <c r="G3" s="69">
        <v>320</v>
      </c>
      <c r="H3" s="71">
        <f>GDP!G27</f>
        <v>1.0180619339601864</v>
      </c>
      <c r="I3" s="72"/>
    </row>
    <row r="4" spans="1:9">
      <c r="A4" s="67">
        <v>38047</v>
      </c>
      <c r="B4" s="68">
        <f>VLOOKUP($A4,'HDD-CDD'!$O$125:Q$136,3,FALSE)</f>
        <v>487.3</v>
      </c>
      <c r="C4" s="68">
        <f>VLOOKUP($A4,'HDD-CDD'!$O$125:R$136,4,FALSE)</f>
        <v>0</v>
      </c>
      <c r="D4" s="69">
        <f t="shared" si="0"/>
        <v>31</v>
      </c>
      <c r="E4" s="70">
        <v>1</v>
      </c>
      <c r="F4" s="70">
        <v>0</v>
      </c>
      <c r="G4" s="69">
        <v>368</v>
      </c>
      <c r="H4" s="71">
        <f>GDP!G28</f>
        <v>1.0202155489565214</v>
      </c>
      <c r="I4" s="72"/>
    </row>
    <row r="5" spans="1:9">
      <c r="A5" s="67">
        <v>38078</v>
      </c>
      <c r="B5" s="68">
        <f>VLOOKUP($A5,'HDD-CDD'!$O$125:Q$136,3,FALSE)</f>
        <v>331.5</v>
      </c>
      <c r="C5" s="68">
        <f>VLOOKUP($A5,'HDD-CDD'!$O$125:R$136,4,FALSE)</f>
        <v>0</v>
      </c>
      <c r="D5" s="69">
        <f t="shared" si="0"/>
        <v>30</v>
      </c>
      <c r="E5" s="70">
        <v>1</v>
      </c>
      <c r="F5" s="70">
        <v>0</v>
      </c>
      <c r="G5" s="69">
        <v>336</v>
      </c>
      <c r="H5" s="71">
        <f>GDP!G29</f>
        <v>1.0223737197243647</v>
      </c>
      <c r="I5" s="72"/>
    </row>
    <row r="6" spans="1:9">
      <c r="A6" s="67">
        <v>38108</v>
      </c>
      <c r="B6" s="68">
        <f>VLOOKUP($A6,'HDD-CDD'!$O$125:Q$136,3,FALSE)</f>
        <v>158.9</v>
      </c>
      <c r="C6" s="68">
        <f>VLOOKUP($A6,'HDD-CDD'!$O$125:R$136,4,FALSE)</f>
        <v>8.6</v>
      </c>
      <c r="D6" s="69">
        <f t="shared" si="0"/>
        <v>31</v>
      </c>
      <c r="E6" s="70">
        <v>1</v>
      </c>
      <c r="F6" s="70">
        <v>0</v>
      </c>
      <c r="G6" s="69">
        <v>320</v>
      </c>
      <c r="H6" s="71">
        <f>GDP!G30</f>
        <v>1.0245364559010257</v>
      </c>
      <c r="I6" s="72"/>
    </row>
    <row r="7" spans="1:9">
      <c r="A7" s="67">
        <v>38139</v>
      </c>
      <c r="B7" s="68">
        <f>VLOOKUP($A7,'HDD-CDD'!$O$125:Q$136,3,FALSE)</f>
        <v>44.2</v>
      </c>
      <c r="C7" s="68">
        <f>VLOOKUP($A7,'HDD-CDD'!$O$125:R$136,4,FALSE)</f>
        <v>31.6</v>
      </c>
      <c r="D7" s="69">
        <f t="shared" si="0"/>
        <v>30</v>
      </c>
      <c r="E7" s="70">
        <v>0</v>
      </c>
      <c r="F7" s="70">
        <v>0</v>
      </c>
      <c r="G7" s="69">
        <v>352</v>
      </c>
      <c r="H7" s="71">
        <f>GDP!G31</f>
        <v>1.0267037671442005</v>
      </c>
      <c r="I7" s="72"/>
    </row>
    <row r="8" spans="1:9">
      <c r="A8" s="67">
        <v>38169</v>
      </c>
      <c r="B8" s="68">
        <f>VLOOKUP($A8,'HDD-CDD'!$O$125:Q$136,3,FALSE)</f>
        <v>3.6</v>
      </c>
      <c r="C8" s="68">
        <f>VLOOKUP($A8,'HDD-CDD'!$O$125:R$136,4,FALSE)</f>
        <v>86.4</v>
      </c>
      <c r="D8" s="69">
        <f t="shared" si="0"/>
        <v>31</v>
      </c>
      <c r="E8" s="70">
        <v>0</v>
      </c>
      <c r="F8" s="70">
        <v>0</v>
      </c>
      <c r="G8" s="69">
        <v>336</v>
      </c>
      <c r="H8" s="71">
        <f>GDP!G32</f>
        <v>1.0288756631320157</v>
      </c>
      <c r="I8" s="72"/>
    </row>
    <row r="9" spans="1:9">
      <c r="A9" s="67">
        <v>38200</v>
      </c>
      <c r="B9" s="68">
        <f>VLOOKUP($A9,'HDD-CDD'!$O$125:Q$136,3,FALSE)</f>
        <v>12.8</v>
      </c>
      <c r="C9" s="68">
        <f>VLOOKUP($A9,'HDD-CDD'!$O$125:R$136,4,FALSE)</f>
        <v>59.6</v>
      </c>
      <c r="D9" s="69">
        <f t="shared" si="0"/>
        <v>31</v>
      </c>
      <c r="E9" s="70">
        <v>0</v>
      </c>
      <c r="F9" s="70">
        <v>0</v>
      </c>
      <c r="G9" s="69">
        <v>336</v>
      </c>
      <c r="H9" s="71">
        <f>GDP!G33</f>
        <v>1.0310521535630701</v>
      </c>
      <c r="I9" s="72"/>
    </row>
    <row r="10" spans="1:9">
      <c r="A10" s="67">
        <v>38231</v>
      </c>
      <c r="B10" s="68">
        <f>VLOOKUP($A10,'HDD-CDD'!$O$125:Q$136,3,FALSE)</f>
        <v>30</v>
      </c>
      <c r="C10" s="68">
        <f>VLOOKUP($A10,'HDD-CDD'!$O$125:R$136,4,FALSE)</f>
        <v>41.2</v>
      </c>
      <c r="D10" s="69">
        <f t="shared" si="0"/>
        <v>30</v>
      </c>
      <c r="E10" s="70">
        <v>1</v>
      </c>
      <c r="F10" s="70">
        <v>0</v>
      </c>
      <c r="G10" s="69">
        <v>336</v>
      </c>
      <c r="H10" s="71">
        <f>GDP!G34</f>
        <v>1.0332332481564799</v>
      </c>
      <c r="I10" s="72"/>
    </row>
    <row r="11" spans="1:9">
      <c r="A11" s="67">
        <v>38261</v>
      </c>
      <c r="B11" s="68">
        <f>VLOOKUP($A11,'HDD-CDD'!$O$125:Q$136,3,FALSE)</f>
        <v>226.3</v>
      </c>
      <c r="C11" s="68">
        <f>VLOOKUP($A11,'HDD-CDD'!$O$125:R$136,4,FALSE)</f>
        <v>1.5</v>
      </c>
      <c r="D11" s="69">
        <f t="shared" si="0"/>
        <v>31</v>
      </c>
      <c r="E11" s="70">
        <v>1</v>
      </c>
      <c r="F11" s="70">
        <v>0</v>
      </c>
      <c r="G11" s="69">
        <v>320</v>
      </c>
      <c r="H11" s="71">
        <f>GDP!G35</f>
        <v>1.0354189566519207</v>
      </c>
      <c r="I11" s="394"/>
    </row>
    <row r="12" spans="1:9">
      <c r="A12" s="67">
        <v>38292</v>
      </c>
      <c r="B12" s="68">
        <f>VLOOKUP($A12,'HDD-CDD'!$O$125:Q$136,3,FALSE)</f>
        <v>379.1</v>
      </c>
      <c r="C12" s="68">
        <f>VLOOKUP($A12,'HDD-CDD'!$O$125:R$136,4,FALSE)</f>
        <v>0</v>
      </c>
      <c r="D12" s="69">
        <f t="shared" si="0"/>
        <v>30</v>
      </c>
      <c r="E12" s="70">
        <v>1</v>
      </c>
      <c r="F12" s="70">
        <v>0</v>
      </c>
      <c r="G12" s="69">
        <v>352</v>
      </c>
      <c r="H12" s="71">
        <f>GDP!G36</f>
        <v>1.0376092888096715</v>
      </c>
      <c r="I12" s="567"/>
    </row>
    <row r="13" spans="1:9">
      <c r="A13" s="67">
        <v>38322</v>
      </c>
      <c r="B13" s="68">
        <f>VLOOKUP($A13,'HDD-CDD'!$O$125:Q$136,3,FALSE)</f>
        <v>643.4</v>
      </c>
      <c r="C13" s="68">
        <f>VLOOKUP($A13,'HDD-CDD'!$O$125:R$136,4,FALSE)</f>
        <v>0</v>
      </c>
      <c r="D13" s="69">
        <f t="shared" si="0"/>
        <v>31</v>
      </c>
      <c r="E13" s="70">
        <v>0</v>
      </c>
      <c r="F13" s="70">
        <v>0</v>
      </c>
      <c r="G13" s="69">
        <v>336</v>
      </c>
      <c r="H13" s="71">
        <f>GDP!G37</f>
        <v>1.0398042544106587</v>
      </c>
      <c r="I13" s="567"/>
    </row>
    <row r="14" spans="1:9">
      <c r="A14" s="67">
        <v>38353</v>
      </c>
      <c r="B14" s="68">
        <f>VLOOKUP($A14,'HDD-CDD'!$O$137:Q$148,3,FALSE)</f>
        <v>770</v>
      </c>
      <c r="C14" s="68">
        <f>VLOOKUP($A14,'HDD-CDD'!$O$137:R$148,4,FALSE)</f>
        <v>0</v>
      </c>
      <c r="D14" s="69">
        <f t="shared" si="0"/>
        <v>31</v>
      </c>
      <c r="E14" s="70">
        <v>0</v>
      </c>
      <c r="F14" s="70">
        <v>0</v>
      </c>
      <c r="G14" s="69">
        <v>320</v>
      </c>
      <c r="H14" s="71">
        <f>GDP!H26</f>
        <v>1.0421691144657905</v>
      </c>
      <c r="I14" s="567"/>
    </row>
    <row r="15" spans="1:9">
      <c r="A15" s="67">
        <v>38384</v>
      </c>
      <c r="B15" s="68">
        <f>VLOOKUP($A15,'HDD-CDD'!$O$137:Q$148,3,FALSE)</f>
        <v>616.4</v>
      </c>
      <c r="C15" s="68">
        <f>VLOOKUP($A15,'HDD-CDD'!$O$137:R$148,4,FALSE)</f>
        <v>0</v>
      </c>
      <c r="D15" s="69">
        <f t="shared" si="0"/>
        <v>28</v>
      </c>
      <c r="E15" s="70">
        <v>0</v>
      </c>
      <c r="F15" s="70">
        <v>0</v>
      </c>
      <c r="G15" s="69">
        <v>320</v>
      </c>
      <c r="H15" s="71">
        <f>GDP!H27</f>
        <v>1.0445393529977427</v>
      </c>
    </row>
    <row r="16" spans="1:9">
      <c r="A16" s="67">
        <v>38412</v>
      </c>
      <c r="B16" s="68">
        <f>VLOOKUP($A16,'HDD-CDD'!$O$137:Q$148,3,FALSE)</f>
        <v>608.6</v>
      </c>
      <c r="C16" s="68">
        <f>VLOOKUP($A16,'HDD-CDD'!$O$137:R$148,4,FALSE)</f>
        <v>0</v>
      </c>
      <c r="D16" s="69">
        <f t="shared" si="0"/>
        <v>31</v>
      </c>
      <c r="E16" s="70">
        <v>1</v>
      </c>
      <c r="F16" s="70">
        <v>0</v>
      </c>
      <c r="G16" s="69">
        <v>352</v>
      </c>
      <c r="H16" s="71">
        <f>GDP!H28</f>
        <v>1.0469149822389572</v>
      </c>
    </row>
    <row r="17" spans="1:9">
      <c r="A17" s="67">
        <v>38443</v>
      </c>
      <c r="B17" s="68">
        <f>VLOOKUP($A17,'HDD-CDD'!$O$137:Q$148,3,FALSE)</f>
        <v>306.8</v>
      </c>
      <c r="C17" s="68">
        <f>VLOOKUP($A17,'HDD-CDD'!$O$137:R$148,4,FALSE)</f>
        <v>0</v>
      </c>
      <c r="D17" s="69">
        <f t="shared" si="0"/>
        <v>30</v>
      </c>
      <c r="E17" s="70">
        <v>1</v>
      </c>
      <c r="F17" s="70">
        <v>0</v>
      </c>
      <c r="G17" s="69">
        <v>336</v>
      </c>
      <c r="H17" s="71">
        <f>GDP!H29</f>
        <v>1.0492960144496968</v>
      </c>
    </row>
    <row r="18" spans="1:9">
      <c r="A18" s="67">
        <v>38473</v>
      </c>
      <c r="B18" s="68">
        <f>VLOOKUP($A18,'HDD-CDD'!$O$137:Q$148,3,FALSE)</f>
        <v>189.4</v>
      </c>
      <c r="C18" s="68">
        <f>VLOOKUP($A18,'HDD-CDD'!$O$137:R$148,4,FALSE)</f>
        <v>0.8</v>
      </c>
      <c r="D18" s="69">
        <f t="shared" si="0"/>
        <v>31</v>
      </c>
      <c r="E18" s="70">
        <v>1</v>
      </c>
      <c r="F18" s="70">
        <v>0</v>
      </c>
      <c r="G18" s="69">
        <v>336</v>
      </c>
      <c r="H18" s="71">
        <f>GDP!H30</f>
        <v>1.0516824619181071</v>
      </c>
    </row>
    <row r="19" spans="1:9">
      <c r="A19" s="67">
        <v>38504</v>
      </c>
      <c r="B19" s="68">
        <f>VLOOKUP($A19,'HDD-CDD'!$O$137:Q$148,3,FALSE)</f>
        <v>8.9</v>
      </c>
      <c r="C19" s="68">
        <f>VLOOKUP($A19,'HDD-CDD'!$O$137:R$148,4,FALSE)</f>
        <v>146.30000000000001</v>
      </c>
      <c r="D19" s="69">
        <f t="shared" si="0"/>
        <v>30</v>
      </c>
      <c r="E19" s="70">
        <v>0</v>
      </c>
      <c r="F19" s="70">
        <v>0</v>
      </c>
      <c r="G19" s="69">
        <v>352</v>
      </c>
      <c r="H19" s="71">
        <f>GDP!H31</f>
        <v>1.0540743369602825</v>
      </c>
    </row>
    <row r="20" spans="1:9">
      <c r="A20" s="67">
        <v>38534</v>
      </c>
      <c r="B20" s="68">
        <f>VLOOKUP($A20,'HDD-CDD'!$O$137:Q$148,3,FALSE)</f>
        <v>0</v>
      </c>
      <c r="C20" s="68">
        <f>VLOOKUP($A20,'HDD-CDD'!$O$137:R$148,4,FALSE)</f>
        <v>188.7</v>
      </c>
      <c r="D20" s="69">
        <f t="shared" si="0"/>
        <v>31</v>
      </c>
      <c r="E20" s="70">
        <v>0</v>
      </c>
      <c r="F20" s="70">
        <v>0</v>
      </c>
      <c r="G20" s="69">
        <v>320</v>
      </c>
      <c r="H20" s="71">
        <f>GDP!H32</f>
        <v>1.0564716519203272</v>
      </c>
    </row>
    <row r="21" spans="1:9">
      <c r="A21" s="67">
        <v>38565</v>
      </c>
      <c r="B21" s="68">
        <f>VLOOKUP($A21,'HDD-CDD'!$O$137:Q$148,3,FALSE)</f>
        <v>0.2</v>
      </c>
      <c r="C21" s="68">
        <f>VLOOKUP($A21,'HDD-CDD'!$O$137:R$148,4,FALSE)</f>
        <v>140.69999999999999</v>
      </c>
      <c r="D21" s="69">
        <f t="shared" si="0"/>
        <v>31</v>
      </c>
      <c r="E21" s="70">
        <v>0</v>
      </c>
      <c r="F21" s="70">
        <v>0</v>
      </c>
      <c r="G21" s="69">
        <v>352</v>
      </c>
      <c r="H21" s="71">
        <f>GDP!H33</f>
        <v>1.05887441917042</v>
      </c>
    </row>
    <row r="22" spans="1:9">
      <c r="A22" s="67">
        <v>38596</v>
      </c>
      <c r="B22" s="68">
        <f>VLOOKUP($A22,'HDD-CDD'!$O$137:Q$148,3,FALSE)</f>
        <v>22.6</v>
      </c>
      <c r="C22" s="68">
        <f>VLOOKUP($A22,'HDD-CDD'!$O$137:R$148,4,FALSE)</f>
        <v>52.1</v>
      </c>
      <c r="D22" s="69">
        <f t="shared" si="0"/>
        <v>30</v>
      </c>
      <c r="E22" s="70">
        <v>1</v>
      </c>
      <c r="F22" s="70">
        <v>0</v>
      </c>
      <c r="G22" s="69">
        <v>336</v>
      </c>
      <c r="H22" s="71">
        <f>GDP!H34</f>
        <v>1.0612826511108788</v>
      </c>
      <c r="I22" s="72"/>
    </row>
    <row r="23" spans="1:9">
      <c r="A23" s="67">
        <v>38626</v>
      </c>
      <c r="B23" s="68">
        <f>VLOOKUP($A23,'HDD-CDD'!$O$137:Q$148,3,FALSE)</f>
        <v>220.2</v>
      </c>
      <c r="C23" s="68">
        <f>VLOOKUP($A23,'HDD-CDD'!$O$137:R$148,4,FALSE)</f>
        <v>7.6</v>
      </c>
      <c r="D23" s="69">
        <f t="shared" si="0"/>
        <v>31</v>
      </c>
      <c r="E23" s="70">
        <v>1</v>
      </c>
      <c r="F23" s="70">
        <v>0</v>
      </c>
      <c r="G23" s="69">
        <v>320</v>
      </c>
      <c r="H23" s="71">
        <f>GDP!H35</f>
        <v>1.0636963601702236</v>
      </c>
      <c r="I23" s="72"/>
    </row>
    <row r="24" spans="1:9">
      <c r="A24" s="67">
        <v>38657</v>
      </c>
      <c r="B24" s="68">
        <f>VLOOKUP($A24,'HDD-CDD'!$O$137:Q$148,3,FALSE)</f>
        <v>388.4</v>
      </c>
      <c r="C24" s="68">
        <f>VLOOKUP($A24,'HDD-CDD'!$O$137:R$148,4,FALSE)</f>
        <v>0</v>
      </c>
      <c r="D24" s="69">
        <f t="shared" si="0"/>
        <v>30</v>
      </c>
      <c r="E24" s="70">
        <v>1</v>
      </c>
      <c r="F24" s="70">
        <v>0</v>
      </c>
      <c r="G24" s="69">
        <v>352</v>
      </c>
      <c r="H24" s="71">
        <f>GDP!H36</f>
        <v>1.0661155588052409</v>
      </c>
      <c r="I24" s="72"/>
    </row>
    <row r="25" spans="1:9">
      <c r="A25" s="67">
        <v>38687</v>
      </c>
      <c r="B25" s="68">
        <f>VLOOKUP($A25,'HDD-CDD'!$O$137:Q$148,3,FALSE)</f>
        <v>665.3</v>
      </c>
      <c r="C25" s="68">
        <f>VLOOKUP($A25,'HDD-CDD'!$O$137:R$148,4,FALSE)</f>
        <v>0</v>
      </c>
      <c r="D25" s="69">
        <f t="shared" si="0"/>
        <v>31</v>
      </c>
      <c r="E25" s="70">
        <v>0</v>
      </c>
      <c r="F25" s="70">
        <v>0</v>
      </c>
      <c r="G25" s="69">
        <v>320</v>
      </c>
      <c r="H25" s="71">
        <f>GDP!H37</f>
        <v>1.068540259501048</v>
      </c>
      <c r="I25" s="72"/>
    </row>
    <row r="26" spans="1:9">
      <c r="A26" s="67">
        <v>38718</v>
      </c>
      <c r="B26" s="68">
        <f>VLOOKUP($A26,'HDD-CDD'!$O$149:Q$160,3,FALSE)</f>
        <v>551.79999999999995</v>
      </c>
      <c r="C26" s="68">
        <f>VLOOKUP($A26,'HDD-CDD'!$O$149:R$160,4,FALSE)</f>
        <v>0</v>
      </c>
      <c r="D26" s="69">
        <f t="shared" si="0"/>
        <v>31</v>
      </c>
      <c r="E26" s="70">
        <v>0</v>
      </c>
      <c r="F26" s="70">
        <v>0</v>
      </c>
      <c r="G26" s="69">
        <v>336</v>
      </c>
      <c r="H26" s="71">
        <f>GDP!I26</f>
        <v>1.0706945906258896</v>
      </c>
      <c r="I26" s="72"/>
    </row>
    <row r="27" spans="1:9">
      <c r="A27" s="67">
        <v>38749</v>
      </c>
      <c r="B27" s="68">
        <f>VLOOKUP($A27,'HDD-CDD'!$O$149:Q$160,3,FALSE)</f>
        <v>604.29999999999995</v>
      </c>
      <c r="C27" s="68">
        <f>VLOOKUP($A27,'HDD-CDD'!$O$149:R$160,4,FALSE)</f>
        <v>0</v>
      </c>
      <c r="D27" s="69">
        <f t="shared" si="0"/>
        <v>28</v>
      </c>
      <c r="E27" s="70">
        <v>0</v>
      </c>
      <c r="F27" s="70">
        <v>0</v>
      </c>
      <c r="G27" s="69">
        <v>320</v>
      </c>
      <c r="H27" s="71">
        <f>GDP!I27</f>
        <v>1.0728532651926865</v>
      </c>
      <c r="I27" s="72"/>
    </row>
    <row r="28" spans="1:9">
      <c r="A28" s="67">
        <v>38777</v>
      </c>
      <c r="B28" s="68">
        <f>VLOOKUP($A28,'HDD-CDD'!$O$149:Q$160,3,FALSE)</f>
        <v>516.6</v>
      </c>
      <c r="C28" s="68">
        <f>VLOOKUP($A28,'HDD-CDD'!$O$149:R$160,4,FALSE)</f>
        <v>0</v>
      </c>
      <c r="D28" s="69">
        <f t="shared" si="0"/>
        <v>31</v>
      </c>
      <c r="E28" s="70">
        <v>1</v>
      </c>
      <c r="F28" s="70">
        <v>0</v>
      </c>
      <c r="G28" s="69">
        <v>368</v>
      </c>
      <c r="H28" s="71">
        <f>GDP!I28</f>
        <v>1.0750162919584452</v>
      </c>
      <c r="I28" s="72"/>
    </row>
    <row r="29" spans="1:9">
      <c r="A29" s="67">
        <v>38808</v>
      </c>
      <c r="B29" s="68">
        <f>VLOOKUP($A29,'HDD-CDD'!$O$149:Q$160,3,FALSE)</f>
        <v>293.3</v>
      </c>
      <c r="C29" s="68">
        <f>VLOOKUP($A29,'HDD-CDD'!$O$149:R$160,4,FALSE)</f>
        <v>0</v>
      </c>
      <c r="D29" s="69">
        <f t="shared" si="0"/>
        <v>30</v>
      </c>
      <c r="E29" s="70">
        <v>1</v>
      </c>
      <c r="F29" s="70">
        <v>0</v>
      </c>
      <c r="G29" s="69">
        <v>304</v>
      </c>
      <c r="H29" s="71">
        <f>GDP!I29</f>
        <v>1.0771836796978254</v>
      </c>
      <c r="I29" s="72"/>
    </row>
    <row r="30" spans="1:9">
      <c r="A30" s="67">
        <v>38838</v>
      </c>
      <c r="B30" s="68">
        <f>VLOOKUP($A30,'HDD-CDD'!$O$149:Q$160,3,FALSE)</f>
        <v>136.9</v>
      </c>
      <c r="C30" s="68">
        <f>VLOOKUP($A30,'HDD-CDD'!$O$149:R$160,4,FALSE)</f>
        <v>26</v>
      </c>
      <c r="D30" s="69">
        <f t="shared" si="0"/>
        <v>31</v>
      </c>
      <c r="E30" s="70">
        <v>1</v>
      </c>
      <c r="F30" s="70">
        <v>0</v>
      </c>
      <c r="G30" s="69">
        <v>352</v>
      </c>
      <c r="H30" s="71">
        <f>GDP!I30</f>
        <v>1.0793554372031784</v>
      </c>
      <c r="I30" s="72"/>
    </row>
    <row r="31" spans="1:9">
      <c r="A31" s="67">
        <v>38869</v>
      </c>
      <c r="B31" s="68">
        <f>VLOOKUP($A31,'HDD-CDD'!$O$149:Q$160,3,FALSE)</f>
        <v>19.5</v>
      </c>
      <c r="C31" s="68">
        <f>VLOOKUP($A31,'HDD-CDD'!$O$149:R$160,4,FALSE)</f>
        <v>73.599999999999994</v>
      </c>
      <c r="D31" s="69">
        <f t="shared" si="0"/>
        <v>30</v>
      </c>
      <c r="E31" s="70">
        <v>0</v>
      </c>
      <c r="F31" s="70">
        <v>0</v>
      </c>
      <c r="G31" s="69">
        <v>352</v>
      </c>
      <c r="H31" s="71">
        <f>GDP!I31</f>
        <v>1.0815315732845823</v>
      </c>
      <c r="I31" s="72"/>
    </row>
    <row r="32" spans="1:9">
      <c r="A32" s="67">
        <v>38899</v>
      </c>
      <c r="B32" s="68">
        <f>VLOOKUP($A32,'HDD-CDD'!$O$149:Q$160,3,FALSE)</f>
        <v>0</v>
      </c>
      <c r="C32" s="68">
        <f>VLOOKUP($A32,'HDD-CDD'!$O$149:R$160,4,FALSE)</f>
        <v>167.3</v>
      </c>
      <c r="D32" s="69">
        <f t="shared" si="0"/>
        <v>31</v>
      </c>
      <c r="E32" s="70">
        <v>0</v>
      </c>
      <c r="F32" s="70">
        <v>0</v>
      </c>
      <c r="G32" s="69">
        <v>320</v>
      </c>
      <c r="H32" s="71">
        <f>GDP!I32</f>
        <v>1.0837120967698766</v>
      </c>
      <c r="I32" s="72"/>
    </row>
    <row r="33" spans="1:9">
      <c r="A33" s="67">
        <v>38930</v>
      </c>
      <c r="B33" s="68">
        <f>VLOOKUP($A33,'HDD-CDD'!$O$149:Q$160,3,FALSE)</f>
        <v>4.2</v>
      </c>
      <c r="C33" s="68">
        <f>VLOOKUP($A33,'HDD-CDD'!$O$149:R$160,4,FALSE)</f>
        <v>101.6</v>
      </c>
      <c r="D33" s="69">
        <f t="shared" si="0"/>
        <v>31</v>
      </c>
      <c r="E33" s="70">
        <v>0</v>
      </c>
      <c r="F33" s="70">
        <v>0</v>
      </c>
      <c r="G33" s="69">
        <v>352</v>
      </c>
      <c r="H33" s="71">
        <f>GDP!I33</f>
        <v>1.0858970165047004</v>
      </c>
      <c r="I33" s="72"/>
    </row>
    <row r="34" spans="1:9">
      <c r="A34" s="67">
        <v>38961</v>
      </c>
      <c r="B34" s="68">
        <f>VLOOKUP($A34,'HDD-CDD'!$O$149:Q$160,3,FALSE)</f>
        <v>80.900000000000006</v>
      </c>
      <c r="C34" s="68">
        <f>VLOOKUP($A34,'HDD-CDD'!$O$149:R$160,4,FALSE)</f>
        <v>12.9</v>
      </c>
      <c r="D34" s="69">
        <f t="shared" si="0"/>
        <v>30</v>
      </c>
      <c r="E34" s="70">
        <v>1</v>
      </c>
      <c r="F34" s="70">
        <v>0</v>
      </c>
      <c r="G34" s="69">
        <v>320</v>
      </c>
      <c r="H34" s="71">
        <f>GDP!I34</f>
        <v>1.0880863413525259</v>
      </c>
      <c r="I34" s="72"/>
    </row>
    <row r="35" spans="1:9">
      <c r="A35" s="67">
        <v>38991</v>
      </c>
      <c r="B35" s="68">
        <f>VLOOKUP($A35,'HDD-CDD'!$O$149:Q$160,3,FALSE)</f>
        <v>288.3</v>
      </c>
      <c r="C35" s="68">
        <f>VLOOKUP($A35,'HDD-CDD'!$O$149:R$160,4,FALSE)</f>
        <v>1.1000000000000001</v>
      </c>
      <c r="D35" s="69">
        <f t="shared" si="0"/>
        <v>31</v>
      </c>
      <c r="E35" s="70">
        <v>1</v>
      </c>
      <c r="F35" s="70">
        <v>0</v>
      </c>
      <c r="G35" s="69">
        <v>336</v>
      </c>
      <c r="H35" s="71">
        <f>GDP!I35</f>
        <v>1.0902800801946957</v>
      </c>
      <c r="I35" s="72"/>
    </row>
    <row r="36" spans="1:9">
      <c r="A36" s="67">
        <v>39022</v>
      </c>
      <c r="B36" s="68">
        <f>VLOOKUP($A36,'HDD-CDD'!$O$149:Q$160,3,FALSE)</f>
        <v>382.2</v>
      </c>
      <c r="C36" s="68">
        <f>VLOOKUP($A36,'HDD-CDD'!$O$149:R$160,4,FALSE)</f>
        <v>0</v>
      </c>
      <c r="D36" s="69">
        <f t="shared" si="0"/>
        <v>30</v>
      </c>
      <c r="E36" s="70">
        <v>1</v>
      </c>
      <c r="F36" s="70">
        <v>0</v>
      </c>
      <c r="G36" s="69">
        <v>352</v>
      </c>
      <c r="H36" s="71">
        <f>GDP!I36</f>
        <v>1.0924782419304584</v>
      </c>
      <c r="I36" s="72"/>
    </row>
    <row r="37" spans="1:9">
      <c r="A37" s="67">
        <v>39052</v>
      </c>
      <c r="B37" s="68">
        <f>VLOOKUP($A37,'HDD-CDD'!$O$149:Q$160,3,FALSE)</f>
        <v>500.5</v>
      </c>
      <c r="C37" s="68">
        <f>VLOOKUP($A37,'HDD-CDD'!$O$149:R$160,4,FALSE)</f>
        <v>0</v>
      </c>
      <c r="D37" s="69">
        <f t="shared" si="0"/>
        <v>31</v>
      </c>
      <c r="E37" s="70">
        <v>0</v>
      </c>
      <c r="F37" s="70">
        <v>0</v>
      </c>
      <c r="G37" s="69">
        <v>304</v>
      </c>
      <c r="H37" s="71">
        <f>GDP!I37</f>
        <v>1.0946808354770046</v>
      </c>
      <c r="I37" s="72"/>
    </row>
    <row r="38" spans="1:9">
      <c r="A38" s="67">
        <v>39083</v>
      </c>
      <c r="B38" s="68">
        <f>VLOOKUP($A38,'HDD-CDD'!$O$161:Q$172,3,FALSE)</f>
        <v>647.1</v>
      </c>
      <c r="C38" s="68">
        <f>VLOOKUP($A38,'HDD-CDD'!$O$161:R$172,4,FALSE)</f>
        <v>0</v>
      </c>
      <c r="D38" s="69">
        <f t="shared" si="0"/>
        <v>31</v>
      </c>
      <c r="E38" s="70">
        <v>0</v>
      </c>
      <c r="F38" s="70">
        <v>0</v>
      </c>
      <c r="G38" s="69">
        <v>352</v>
      </c>
      <c r="H38" s="71">
        <f>GDP!J26</f>
        <v>1.0964502498500059</v>
      </c>
      <c r="I38" s="567"/>
    </row>
    <row r="39" spans="1:9">
      <c r="A39" s="67">
        <v>39114</v>
      </c>
      <c r="B39" s="68">
        <f>VLOOKUP($A39,'HDD-CDD'!$O$161:Q$172,3,FALSE)</f>
        <v>740.1</v>
      </c>
      <c r="C39" s="68">
        <f>VLOOKUP($A39,'HDD-CDD'!$O$161:R$172,4,FALSE)</f>
        <v>0</v>
      </c>
      <c r="D39" s="69">
        <f t="shared" si="0"/>
        <v>28</v>
      </c>
      <c r="E39" s="70">
        <v>0</v>
      </c>
      <c r="F39" s="70">
        <v>0</v>
      </c>
      <c r="G39" s="69">
        <v>320</v>
      </c>
      <c r="H39" s="71">
        <f>GDP!J27</f>
        <v>1.09822252425958</v>
      </c>
      <c r="I39" s="567"/>
    </row>
    <row r="40" spans="1:9">
      <c r="A40" s="67">
        <v>39142</v>
      </c>
      <c r="B40" s="68">
        <f>VLOOKUP($A40,'HDD-CDD'!$O$161:Q$172,3,FALSE)</f>
        <v>546.70000000000005</v>
      </c>
      <c r="C40" s="68">
        <f>VLOOKUP($A40,'HDD-CDD'!$O$161:R$172,4,FALSE)</f>
        <v>0</v>
      </c>
      <c r="D40" s="69">
        <f t="shared" si="0"/>
        <v>31</v>
      </c>
      <c r="E40" s="70">
        <v>1</v>
      </c>
      <c r="F40" s="70">
        <v>0</v>
      </c>
      <c r="G40" s="69">
        <v>352</v>
      </c>
      <c r="H40" s="71">
        <f>GDP!J28</f>
        <v>1.0999976633286159</v>
      </c>
    </row>
    <row r="41" spans="1:9">
      <c r="A41" s="67">
        <v>39173</v>
      </c>
      <c r="B41" s="68">
        <f>VLOOKUP($A41,'HDD-CDD'!$O$161:Q$172,3,FALSE)</f>
        <v>356.4</v>
      </c>
      <c r="C41" s="68">
        <f>VLOOKUP($A41,'HDD-CDD'!$O$161:R$172,4,FALSE)</f>
        <v>0</v>
      </c>
      <c r="D41" s="69">
        <f t="shared" si="0"/>
        <v>30</v>
      </c>
      <c r="E41" s="70">
        <v>1</v>
      </c>
      <c r="F41" s="70">
        <v>0</v>
      </c>
      <c r="G41" s="69">
        <v>320</v>
      </c>
      <c r="H41" s="71">
        <f>GDP!J29</f>
        <v>1.1017756716874769</v>
      </c>
    </row>
    <row r="42" spans="1:9">
      <c r="A42" s="67">
        <v>39203</v>
      </c>
      <c r="B42" s="68">
        <f>VLOOKUP($A42,'HDD-CDD'!$O$161:Q$172,3,FALSE)</f>
        <v>136.4</v>
      </c>
      <c r="C42" s="68">
        <f>VLOOKUP($A42,'HDD-CDD'!$O$161:R$172,4,FALSE)</f>
        <v>22.4</v>
      </c>
      <c r="D42" s="69">
        <f t="shared" si="0"/>
        <v>31</v>
      </c>
      <c r="E42" s="70">
        <v>1</v>
      </c>
      <c r="F42" s="70">
        <v>0</v>
      </c>
      <c r="G42" s="69">
        <v>352</v>
      </c>
      <c r="H42" s="71">
        <f>GDP!J30</f>
        <v>1.10355655397401</v>
      </c>
    </row>
    <row r="43" spans="1:9">
      <c r="A43" s="67">
        <v>39234</v>
      </c>
      <c r="B43" s="68">
        <f>VLOOKUP($A43,'HDD-CDD'!$O$161:Q$172,3,FALSE)</f>
        <v>16.5</v>
      </c>
      <c r="C43" s="68">
        <f>VLOOKUP($A43,'HDD-CDD'!$O$161:R$172,4,FALSE)</f>
        <v>99.2</v>
      </c>
      <c r="D43" s="69">
        <f t="shared" si="0"/>
        <v>30</v>
      </c>
      <c r="E43" s="70">
        <v>0</v>
      </c>
      <c r="F43" s="70">
        <v>0</v>
      </c>
      <c r="G43" s="69">
        <v>336</v>
      </c>
      <c r="H43" s="71">
        <f>GDP!J31</f>
        <v>1.1053403148335597</v>
      </c>
    </row>
    <row r="44" spans="1:9">
      <c r="A44" s="67">
        <v>39264</v>
      </c>
      <c r="B44" s="68">
        <f>VLOOKUP($A44,'HDD-CDD'!$O$161:Q$172,3,FALSE)</f>
        <v>3.2</v>
      </c>
      <c r="C44" s="68">
        <f>VLOOKUP($A44,'HDD-CDD'!$O$161:R$172,4,FALSE)</f>
        <v>106.1</v>
      </c>
      <c r="D44" s="69">
        <f t="shared" si="0"/>
        <v>31</v>
      </c>
      <c r="E44" s="70">
        <v>0</v>
      </c>
      <c r="F44" s="70">
        <v>0</v>
      </c>
      <c r="G44" s="69">
        <v>336</v>
      </c>
      <c r="H44" s="71">
        <f>GDP!J32</f>
        <v>1.1071269589189776</v>
      </c>
    </row>
    <row r="45" spans="1:9">
      <c r="A45" s="67">
        <v>39295</v>
      </c>
      <c r="B45" s="68">
        <f>VLOOKUP($A45,'HDD-CDD'!$O$161:Q$172,3,FALSE)</f>
        <v>5.2</v>
      </c>
      <c r="C45" s="68">
        <f>VLOOKUP($A45,'HDD-CDD'!$O$161:R$172,4,FALSE)</f>
        <v>141</v>
      </c>
      <c r="D45" s="69">
        <f t="shared" si="0"/>
        <v>31</v>
      </c>
      <c r="E45" s="70">
        <v>0</v>
      </c>
      <c r="F45" s="70">
        <v>0</v>
      </c>
      <c r="G45" s="69">
        <v>352</v>
      </c>
      <c r="H45" s="71">
        <f>GDP!J33</f>
        <v>1.1089164908906379</v>
      </c>
      <c r="I45" s="72"/>
    </row>
    <row r="46" spans="1:9">
      <c r="A46" s="67">
        <v>39326</v>
      </c>
      <c r="B46" s="68">
        <f>VLOOKUP($A46,'HDD-CDD'!$O$161:Q$172,3,FALSE)</f>
        <v>36.9</v>
      </c>
      <c r="C46" s="68">
        <f>VLOOKUP($A46,'HDD-CDD'!$O$161:R$172,4,FALSE)</f>
        <v>47.5</v>
      </c>
      <c r="D46" s="69">
        <f t="shared" si="0"/>
        <v>30</v>
      </c>
      <c r="E46" s="70">
        <v>1</v>
      </c>
      <c r="F46" s="70">
        <v>0</v>
      </c>
      <c r="G46" s="69">
        <v>304</v>
      </c>
      <c r="H46" s="71">
        <f>GDP!J34</f>
        <v>1.1107089154164462</v>
      </c>
      <c r="I46" s="72"/>
    </row>
    <row r="47" spans="1:9">
      <c r="A47" s="67">
        <v>39356</v>
      </c>
      <c r="B47" s="68">
        <f>VLOOKUP($A47,'HDD-CDD'!$O$161:Q$172,3,FALSE)</f>
        <v>137.69999999999999</v>
      </c>
      <c r="C47" s="68">
        <f>VLOOKUP($A47,'HDD-CDD'!$O$161:R$172,4,FALSE)</f>
        <v>19.8</v>
      </c>
      <c r="D47" s="69">
        <f t="shared" si="0"/>
        <v>31</v>
      </c>
      <c r="E47" s="70">
        <v>1</v>
      </c>
      <c r="F47" s="70">
        <v>0</v>
      </c>
      <c r="G47" s="69">
        <v>352</v>
      </c>
      <c r="H47" s="71">
        <f>GDP!J35</f>
        <v>1.1125042371718541</v>
      </c>
      <c r="I47" s="72"/>
    </row>
    <row r="48" spans="1:9">
      <c r="A48" s="67">
        <v>39387</v>
      </c>
      <c r="B48" s="68">
        <f>VLOOKUP($A48,'HDD-CDD'!$O$161:Q$172,3,FALSE)</f>
        <v>462.5</v>
      </c>
      <c r="C48" s="68">
        <f>VLOOKUP($A48,'HDD-CDD'!$O$161:R$172,4,FALSE)</f>
        <v>0</v>
      </c>
      <c r="D48" s="69">
        <f t="shared" si="0"/>
        <v>30</v>
      </c>
      <c r="E48" s="70">
        <v>1</v>
      </c>
      <c r="F48" s="70">
        <v>0</v>
      </c>
      <c r="G48" s="69">
        <v>352</v>
      </c>
      <c r="H48" s="71">
        <f>GDP!J36</f>
        <v>1.1143024608398699</v>
      </c>
      <c r="I48" s="72"/>
    </row>
    <row r="49" spans="1:10">
      <c r="A49" s="67">
        <v>39417</v>
      </c>
      <c r="B49" s="68">
        <f>VLOOKUP($A49,'HDD-CDD'!$O$161:Q$172,3,FALSE)</f>
        <v>630.70000000000005</v>
      </c>
      <c r="C49" s="68">
        <f>VLOOKUP($A49,'HDD-CDD'!$O$161:R$172,4,FALSE)</f>
        <v>0</v>
      </c>
      <c r="D49" s="69">
        <f t="shared" si="0"/>
        <v>31</v>
      </c>
      <c r="E49" s="70">
        <v>0</v>
      </c>
      <c r="F49" s="70">
        <v>0</v>
      </c>
      <c r="G49" s="69">
        <v>304</v>
      </c>
      <c r="H49" s="71">
        <f>GDP!J37</f>
        <v>1.1161035911110719</v>
      </c>
      <c r="I49" s="72"/>
    </row>
    <row r="50" spans="1:10">
      <c r="A50" s="67">
        <v>39448</v>
      </c>
      <c r="B50" s="68">
        <f>VLOOKUP($A50,'HDD-CDD'!$O$173:Q$184,3,FALSE)</f>
        <v>623.5</v>
      </c>
      <c r="C50" s="68">
        <f>VLOOKUP($A50,'HDD-CDD'!$O$173:R$184,4,FALSE)</f>
        <v>0</v>
      </c>
      <c r="D50" s="69">
        <f t="shared" si="0"/>
        <v>31</v>
      </c>
      <c r="E50" s="70">
        <v>0</v>
      </c>
      <c r="F50" s="70">
        <v>0</v>
      </c>
      <c r="G50" s="55">
        <v>352</v>
      </c>
      <c r="H50" s="71">
        <f>GDP!K26</f>
        <v>1.1155079320471661</v>
      </c>
      <c r="I50" s="394"/>
    </row>
    <row r="51" spans="1:10">
      <c r="A51" s="67">
        <v>39479</v>
      </c>
      <c r="B51" s="68">
        <f>VLOOKUP($A51,'HDD-CDD'!$O$173:Q$184,3,FALSE)</f>
        <v>674.7</v>
      </c>
      <c r="C51" s="68">
        <f>VLOOKUP($A51,'HDD-CDD'!$O$173:R$184,4,FALSE)</f>
        <v>0</v>
      </c>
      <c r="D51" s="69">
        <f t="shared" si="0"/>
        <v>29</v>
      </c>
      <c r="E51" s="70">
        <v>0</v>
      </c>
      <c r="F51" s="70">
        <v>0</v>
      </c>
      <c r="G51" s="55">
        <v>320</v>
      </c>
      <c r="H51" s="71">
        <f>GDP!K27</f>
        <v>1.1149125908836075</v>
      </c>
      <c r="I51" s="72"/>
    </row>
    <row r="52" spans="1:10">
      <c r="A52" s="67">
        <v>39508</v>
      </c>
      <c r="B52" s="68">
        <f>VLOOKUP($A52,'HDD-CDD'!$O$173:Q$184,3,FALSE)</f>
        <v>610.20000000000005</v>
      </c>
      <c r="C52" s="68">
        <f>VLOOKUP($A52,'HDD-CDD'!$O$173:R$184,4,FALSE)</f>
        <v>0</v>
      </c>
      <c r="D52" s="69">
        <f t="shared" si="0"/>
        <v>31</v>
      </c>
      <c r="E52" s="70">
        <v>1</v>
      </c>
      <c r="F52" s="70">
        <v>0</v>
      </c>
      <c r="G52" s="55">
        <v>304</v>
      </c>
      <c r="H52" s="71">
        <f>GDP!K28</f>
        <v>1.1143175674507355</v>
      </c>
      <c r="I52" s="72"/>
    </row>
    <row r="53" spans="1:10">
      <c r="A53" s="67">
        <v>39539</v>
      </c>
      <c r="B53" s="68">
        <f>VLOOKUP($A53,'HDD-CDD'!$O$173:Q$184,3,FALSE)</f>
        <v>253.9</v>
      </c>
      <c r="C53" s="68">
        <f>VLOOKUP($A53,'HDD-CDD'!$O$173:R$184,4,FALSE)</f>
        <v>0</v>
      </c>
      <c r="D53" s="69">
        <f t="shared" si="0"/>
        <v>30</v>
      </c>
      <c r="E53" s="70">
        <v>1</v>
      </c>
      <c r="F53" s="70">
        <v>0</v>
      </c>
      <c r="G53" s="55">
        <v>352</v>
      </c>
      <c r="H53" s="71">
        <f>GDP!K29</f>
        <v>1.1137228615789785</v>
      </c>
      <c r="I53" s="72"/>
    </row>
    <row r="54" spans="1:10">
      <c r="A54" s="67">
        <v>39569</v>
      </c>
      <c r="B54" s="68">
        <f>VLOOKUP($A54,'HDD-CDD'!$O$173:Q$184,3,FALSE)</f>
        <v>193.5</v>
      </c>
      <c r="C54" s="68">
        <f>VLOOKUP($A54,'HDD-CDD'!$O$173:R$184,4,FALSE)</f>
        <v>2.5</v>
      </c>
      <c r="D54" s="69">
        <f t="shared" ref="D54:D75" si="1">DAY(EOMONTH(A54,0))</f>
        <v>31</v>
      </c>
      <c r="E54" s="70">
        <v>1</v>
      </c>
      <c r="F54" s="70">
        <v>0</v>
      </c>
      <c r="G54" s="55">
        <v>336</v>
      </c>
      <c r="H54" s="71">
        <f>GDP!K30</f>
        <v>1.113128473098856</v>
      </c>
      <c r="I54" s="72"/>
    </row>
    <row r="55" spans="1:10">
      <c r="A55" s="67">
        <v>39600</v>
      </c>
      <c r="B55" s="68">
        <f>VLOOKUP($A55,'HDD-CDD'!$O$173:Q$184,3,FALSE)</f>
        <v>22.7</v>
      </c>
      <c r="C55" s="68">
        <f>VLOOKUP($A55,'HDD-CDD'!$O$173:R$184,4,FALSE)</f>
        <v>71.5</v>
      </c>
      <c r="D55" s="69">
        <f t="shared" si="1"/>
        <v>30</v>
      </c>
      <c r="E55" s="70">
        <v>0</v>
      </c>
      <c r="F55" s="70">
        <v>0</v>
      </c>
      <c r="G55" s="55">
        <v>336</v>
      </c>
      <c r="H55" s="71">
        <f>GDP!K31</f>
        <v>1.1125344018409773</v>
      </c>
      <c r="I55" s="72"/>
    </row>
    <row r="56" spans="1:10">
      <c r="A56" s="67">
        <v>39630</v>
      </c>
      <c r="B56" s="68">
        <f>VLOOKUP($A56,'HDD-CDD'!$O$173:Q$184,3,FALSE)</f>
        <v>1</v>
      </c>
      <c r="C56" s="68">
        <f>VLOOKUP($A56,'HDD-CDD'!$O$173:R$184,4,FALSE)</f>
        <v>111</v>
      </c>
      <c r="D56" s="69">
        <f t="shared" si="1"/>
        <v>31</v>
      </c>
      <c r="E56" s="70">
        <v>0</v>
      </c>
      <c r="F56" s="70">
        <v>0</v>
      </c>
      <c r="G56" s="55">
        <v>352</v>
      </c>
      <c r="H56" s="71">
        <f>GDP!K32</f>
        <v>1.1119406476360427</v>
      </c>
      <c r="I56" s="72"/>
    </row>
    <row r="57" spans="1:10">
      <c r="A57" s="67">
        <v>39661</v>
      </c>
      <c r="B57" s="68">
        <f>VLOOKUP($A57,'HDD-CDD'!$O$173:Q$184,3,FALSE)</f>
        <v>12.7</v>
      </c>
      <c r="C57" s="68">
        <f>VLOOKUP($A57,'HDD-CDD'!$O$173:R$184,4,FALSE)</f>
        <v>64</v>
      </c>
      <c r="D57" s="69">
        <f t="shared" si="1"/>
        <v>31</v>
      </c>
      <c r="E57" s="70">
        <v>0</v>
      </c>
      <c r="F57" s="70">
        <v>0</v>
      </c>
      <c r="G57" s="55">
        <v>320</v>
      </c>
      <c r="H57" s="71">
        <f>GDP!K33</f>
        <v>1.1113472103148427</v>
      </c>
      <c r="I57" s="72"/>
    </row>
    <row r="58" spans="1:10">
      <c r="A58" s="67">
        <v>39692</v>
      </c>
      <c r="B58" s="68">
        <f>VLOOKUP($A58,'HDD-CDD'!$O$173:Q$184,3,FALSE)</f>
        <v>59</v>
      </c>
      <c r="C58" s="68">
        <f>VLOOKUP($A58,'HDD-CDD'!$O$173:R$184,4,FALSE)</f>
        <v>26.7</v>
      </c>
      <c r="D58" s="69">
        <f t="shared" si="1"/>
        <v>30</v>
      </c>
      <c r="E58" s="70">
        <v>1</v>
      </c>
      <c r="F58" s="70">
        <v>0</v>
      </c>
      <c r="G58" s="55">
        <v>336</v>
      </c>
      <c r="H58" s="71">
        <f>GDP!K34</f>
        <v>1.1107540897082573</v>
      </c>
      <c r="I58" s="72"/>
    </row>
    <row r="59" spans="1:10">
      <c r="A59" s="67">
        <v>39722</v>
      </c>
      <c r="B59" s="68">
        <f>VLOOKUP($A59,'HDD-CDD'!$O$173:Q$184,3,FALSE)</f>
        <v>278.60000000000002</v>
      </c>
      <c r="C59" s="68">
        <f>VLOOKUP($A59,'HDD-CDD'!$O$173:R$184,4,FALSE)</f>
        <v>0</v>
      </c>
      <c r="D59" s="69">
        <f t="shared" si="1"/>
        <v>31</v>
      </c>
      <c r="E59" s="70">
        <v>1</v>
      </c>
      <c r="F59" s="70">
        <v>0</v>
      </c>
      <c r="G59" s="55">
        <v>352</v>
      </c>
      <c r="H59" s="71">
        <f>GDP!K35</f>
        <v>1.110161285647258</v>
      </c>
      <c r="I59" s="72"/>
    </row>
    <row r="60" spans="1:10">
      <c r="A60" s="67">
        <v>39753</v>
      </c>
      <c r="B60" s="68">
        <f>VLOOKUP($A60,'HDD-CDD'!$O$173:Q$184,3,FALSE)</f>
        <v>451.6</v>
      </c>
      <c r="C60" s="68">
        <f>VLOOKUP($A60,'HDD-CDD'!$O$173:R$184,4,FALSE)</f>
        <v>0</v>
      </c>
      <c r="D60" s="69">
        <f t="shared" si="1"/>
        <v>30</v>
      </c>
      <c r="E60" s="70">
        <v>1</v>
      </c>
      <c r="F60" s="70">
        <v>0</v>
      </c>
      <c r="G60" s="55">
        <v>304</v>
      </c>
      <c r="H60" s="71">
        <f>GDP!K36</f>
        <v>1.1095687979629063</v>
      </c>
      <c r="I60" s="72"/>
    </row>
    <row r="61" spans="1:10">
      <c r="A61" s="67">
        <v>39783</v>
      </c>
      <c r="B61" s="68">
        <f>VLOOKUP($A61,'HDD-CDD'!$O$173:Q$184,3,FALSE)</f>
        <v>654.6</v>
      </c>
      <c r="C61" s="68">
        <f>VLOOKUP($A61,'HDD-CDD'!$O$173:R$184,4,FALSE)</f>
        <v>0</v>
      </c>
      <c r="D61" s="69">
        <f t="shared" si="1"/>
        <v>31</v>
      </c>
      <c r="E61" s="70">
        <v>0</v>
      </c>
      <c r="F61" s="70">
        <v>0</v>
      </c>
      <c r="G61" s="55">
        <v>336</v>
      </c>
      <c r="H61" s="71">
        <f>GDP!K37</f>
        <v>1.1089766264863528</v>
      </c>
      <c r="I61" s="72"/>
    </row>
    <row r="62" spans="1:10">
      <c r="A62" s="67">
        <v>39814</v>
      </c>
      <c r="B62" s="68">
        <f>VLOOKUP($A62,'HDD-CDD'!$O$185:Q$196,3,FALSE)</f>
        <v>830.2</v>
      </c>
      <c r="C62" s="68">
        <f>VLOOKUP($A62,'HDD-CDD'!$O$185:R$196,4,FALSE)</f>
        <v>0</v>
      </c>
      <c r="D62" s="69">
        <f t="shared" si="1"/>
        <v>31</v>
      </c>
      <c r="E62" s="70">
        <v>0</v>
      </c>
      <c r="F62" s="70">
        <v>0</v>
      </c>
      <c r="G62" s="55">
        <v>336</v>
      </c>
      <c r="H62" s="71">
        <f>GDP!L26</f>
        <v>1.105941193882537</v>
      </c>
      <c r="I62" s="394"/>
    </row>
    <row r="63" spans="1:10">
      <c r="A63" s="67">
        <v>39845</v>
      </c>
      <c r="B63" s="68">
        <f>VLOOKUP($A63,'HDD-CDD'!$O$185:Q$196,3,FALSE)</f>
        <v>606.4</v>
      </c>
      <c r="C63" s="68">
        <f>VLOOKUP($A63,'HDD-CDD'!$O$185:R$196,4,FALSE)</f>
        <v>0</v>
      </c>
      <c r="D63" s="69">
        <f t="shared" si="1"/>
        <v>28</v>
      </c>
      <c r="E63" s="70">
        <v>0</v>
      </c>
      <c r="F63" s="70">
        <v>0</v>
      </c>
      <c r="G63" s="55">
        <v>304</v>
      </c>
      <c r="H63" s="71">
        <f>GDP!L27</f>
        <v>1.1029140697054922</v>
      </c>
      <c r="I63" s="394"/>
    </row>
    <row r="64" spans="1:10">
      <c r="A64" s="67">
        <v>39873</v>
      </c>
      <c r="B64" s="68">
        <f>VLOOKUP($A64,'HDD-CDD'!$O$185:Q$196,3,FALSE)</f>
        <v>533.79999999999995</v>
      </c>
      <c r="C64" s="68">
        <f>VLOOKUP($A64,'HDD-CDD'!$O$185:R$196,4,FALSE)</f>
        <v>0</v>
      </c>
      <c r="D64" s="69">
        <f t="shared" si="1"/>
        <v>31</v>
      </c>
      <c r="E64" s="70">
        <v>1</v>
      </c>
      <c r="F64" s="70">
        <v>0</v>
      </c>
      <c r="G64" s="55">
        <v>352</v>
      </c>
      <c r="H64" s="71">
        <f>GDP!L28</f>
        <v>1.0998952312138288</v>
      </c>
      <c r="I64" s="394"/>
      <c r="J64" s="70"/>
    </row>
    <row r="65" spans="1:11">
      <c r="A65" s="67">
        <v>39904</v>
      </c>
      <c r="B65" s="68">
        <f>VLOOKUP($A65,'HDD-CDD'!$O$185:Q$196,3,FALSE)</f>
        <v>305.8</v>
      </c>
      <c r="C65" s="68">
        <f>VLOOKUP($A65,'HDD-CDD'!$O$185:R$196,4,FALSE)</f>
        <v>1.2</v>
      </c>
      <c r="D65" s="69">
        <f t="shared" si="1"/>
        <v>30</v>
      </c>
      <c r="E65" s="70">
        <v>1</v>
      </c>
      <c r="F65" s="70">
        <v>0</v>
      </c>
      <c r="G65" s="55">
        <v>320</v>
      </c>
      <c r="H65" s="71">
        <f>GDP!L29</f>
        <v>1.0968846557284044</v>
      </c>
      <c r="I65" s="394"/>
      <c r="J65" s="69"/>
    </row>
    <row r="66" spans="1:11">
      <c r="A66" s="67">
        <v>39934</v>
      </c>
      <c r="B66" s="68">
        <f>VLOOKUP($A66,'HDD-CDD'!$O$185:Q$196,3,FALSE)</f>
        <v>158.80000000000001</v>
      </c>
      <c r="C66" s="68">
        <f>VLOOKUP($A66,'HDD-CDD'!$O$185:R$196,4,FALSE)</f>
        <v>6.9</v>
      </c>
      <c r="D66" s="69">
        <f t="shared" si="1"/>
        <v>31</v>
      </c>
      <c r="E66" s="70">
        <v>1</v>
      </c>
      <c r="F66" s="70">
        <v>0</v>
      </c>
      <c r="G66" s="55">
        <v>320</v>
      </c>
      <c r="H66" s="71">
        <f>GDP!L30</f>
        <v>1.093882320632152</v>
      </c>
      <c r="I66" s="394"/>
    </row>
    <row r="67" spans="1:11">
      <c r="A67" s="67">
        <v>39965</v>
      </c>
      <c r="B67" s="68">
        <f>VLOOKUP($A67,'HDD-CDD'!$O$185:Q$196,3,FALSE)</f>
        <v>49.3</v>
      </c>
      <c r="C67" s="68">
        <f>VLOOKUP($A67,'HDD-CDD'!$O$185:R$196,4,FALSE)</f>
        <v>34.200000000000003</v>
      </c>
      <c r="D67" s="69">
        <f t="shared" si="1"/>
        <v>30</v>
      </c>
      <c r="E67" s="70">
        <v>0</v>
      </c>
      <c r="F67" s="70">
        <v>0</v>
      </c>
      <c r="G67" s="55">
        <v>352</v>
      </c>
      <c r="H67" s="71">
        <f>GDP!L31</f>
        <v>1.0908882033699105</v>
      </c>
      <c r="I67" s="394"/>
    </row>
    <row r="68" spans="1:11">
      <c r="A68" s="67">
        <v>39995</v>
      </c>
      <c r="B68" s="68">
        <f>VLOOKUP($A68,'HDD-CDD'!$O$185:Q$196,3,FALSE)</f>
        <v>6.2</v>
      </c>
      <c r="C68" s="68">
        <f>VLOOKUP($A68,'HDD-CDD'!$O$185:R$196,4,FALSE)</f>
        <v>43.7</v>
      </c>
      <c r="D68" s="69">
        <f t="shared" si="1"/>
        <v>31</v>
      </c>
      <c r="E68" s="70">
        <v>0</v>
      </c>
      <c r="F68" s="70">
        <v>0</v>
      </c>
      <c r="G68" s="55">
        <v>352</v>
      </c>
      <c r="H68" s="71">
        <f>GDP!L32</f>
        <v>1.0879022814482564</v>
      </c>
      <c r="I68" s="394"/>
    </row>
    <row r="69" spans="1:11">
      <c r="A69" s="67">
        <v>40026</v>
      </c>
      <c r="B69" s="68">
        <f>VLOOKUP($A69,'HDD-CDD'!$O$185:Q$196,3,FALSE)</f>
        <v>9.8000000000000007</v>
      </c>
      <c r="C69" s="68">
        <f>VLOOKUP($A69,'HDD-CDD'!$O$185:R$196,4,FALSE)</f>
        <v>91</v>
      </c>
      <c r="D69" s="69">
        <f t="shared" si="1"/>
        <v>31</v>
      </c>
      <c r="E69" s="70">
        <v>0</v>
      </c>
      <c r="F69" s="70">
        <v>0</v>
      </c>
      <c r="G69" s="55">
        <v>320</v>
      </c>
      <c r="H69" s="71">
        <f>GDP!L33</f>
        <v>1.0849245324353336</v>
      </c>
      <c r="I69" s="394"/>
    </row>
    <row r="70" spans="1:11">
      <c r="A70" s="67">
        <v>40057</v>
      </c>
      <c r="B70" s="68">
        <f>VLOOKUP($A70,'HDD-CDD'!$O$185:Q$196,3,FALSE)</f>
        <v>55.2</v>
      </c>
      <c r="C70" s="68">
        <f>VLOOKUP($A70,'HDD-CDD'!$O$185:R$196,4,FALSE)</f>
        <v>20.9</v>
      </c>
      <c r="D70" s="69">
        <f t="shared" si="1"/>
        <v>30</v>
      </c>
      <c r="E70" s="70">
        <v>1</v>
      </c>
      <c r="F70" s="70">
        <v>0</v>
      </c>
      <c r="G70" s="55">
        <v>336</v>
      </c>
      <c r="H70" s="71">
        <f>GDP!L34</f>
        <v>1.0819549339606855</v>
      </c>
      <c r="I70" s="394"/>
      <c r="J70" s="67"/>
      <c r="K70" s="67"/>
    </row>
    <row r="71" spans="1:11">
      <c r="A71" s="67">
        <v>40087</v>
      </c>
      <c r="B71" s="68">
        <f>VLOOKUP($A71,'HDD-CDD'!$O$185:Q$196,3,FALSE)</f>
        <v>287.8</v>
      </c>
      <c r="C71" s="68">
        <f>VLOOKUP($A71,'HDD-CDD'!$O$185:R$196,4,FALSE)</f>
        <v>0</v>
      </c>
      <c r="D71" s="69">
        <f t="shared" si="1"/>
        <v>31</v>
      </c>
      <c r="E71" s="70">
        <v>1</v>
      </c>
      <c r="F71" s="70">
        <v>0</v>
      </c>
      <c r="G71" s="55">
        <v>336</v>
      </c>
      <c r="H71" s="71">
        <f>GDP!L35</f>
        <v>1.0789934637150864</v>
      </c>
      <c r="I71" s="394"/>
      <c r="J71" s="67"/>
      <c r="K71" s="67"/>
    </row>
    <row r="72" spans="1:11">
      <c r="A72" s="67">
        <v>40118</v>
      </c>
      <c r="B72" s="68">
        <f>VLOOKUP($A72,'HDD-CDD'!$O$185:Q$196,3,FALSE)</f>
        <v>361.2</v>
      </c>
      <c r="C72" s="68">
        <f>VLOOKUP($A72,'HDD-CDD'!$O$185:R$196,4,FALSE)</f>
        <v>0</v>
      </c>
      <c r="D72" s="69">
        <f t="shared" si="1"/>
        <v>30</v>
      </c>
      <c r="E72" s="70">
        <v>1</v>
      </c>
      <c r="F72" s="70">
        <v>0</v>
      </c>
      <c r="G72" s="55">
        <v>320</v>
      </c>
      <c r="H72" s="71">
        <f>GDP!L36</f>
        <v>1.0760400994503745</v>
      </c>
      <c r="I72" s="394"/>
    </row>
    <row r="73" spans="1:11">
      <c r="A73" s="67">
        <v>40148</v>
      </c>
      <c r="B73" s="68">
        <f>VLOOKUP($A73,'HDD-CDD'!$O$185:Q$196,3,FALSE)</f>
        <v>631.29999999999995</v>
      </c>
      <c r="C73" s="68">
        <f>VLOOKUP($A73,'HDD-CDD'!$O$185:R$196,4,FALSE)</f>
        <v>0</v>
      </c>
      <c r="D73" s="69">
        <f t="shared" si="1"/>
        <v>31</v>
      </c>
      <c r="E73" s="70">
        <v>0</v>
      </c>
      <c r="F73" s="70">
        <v>0</v>
      </c>
      <c r="G73" s="55">
        <v>352</v>
      </c>
      <c r="H73" s="71">
        <f>GDP!L37</f>
        <v>1.0730948189792846</v>
      </c>
      <c r="I73" s="72"/>
      <c r="K73" s="394"/>
    </row>
    <row r="74" spans="1:11">
      <c r="A74" s="67">
        <v>40179</v>
      </c>
      <c r="B74" s="68">
        <f>VLOOKUP($A74,'HDD-CDD'!$O$197:Q$208,3,FALSE)</f>
        <v>720</v>
      </c>
      <c r="C74" s="68">
        <f>VLOOKUP($A74,'HDD-CDD'!$O$197:R$208,4,FALSE)</f>
        <v>0</v>
      </c>
      <c r="D74" s="69">
        <f t="shared" si="1"/>
        <v>31</v>
      </c>
      <c r="E74" s="70">
        <v>0</v>
      </c>
      <c r="F74" s="70">
        <v>0</v>
      </c>
      <c r="G74" s="389">
        <v>320</v>
      </c>
      <c r="H74" s="71">
        <f>HLOOKUP(YEAR($A74),GDP!$25:$37,2,FALSE)</f>
        <v>1.0756984776680034</v>
      </c>
      <c r="I74" s="72"/>
    </row>
    <row r="75" spans="1:11">
      <c r="A75" s="67">
        <v>40210</v>
      </c>
      <c r="B75" s="68">
        <f>VLOOKUP($A75,'HDD-CDD'!$O$197:Q$208,3,FALSE)</f>
        <v>598.29999999999995</v>
      </c>
      <c r="C75" s="68">
        <f>VLOOKUP($A75,'HDD-CDD'!$O$197:R$208,4,FALSE)</f>
        <v>0</v>
      </c>
      <c r="D75" s="69">
        <f t="shared" si="1"/>
        <v>28</v>
      </c>
      <c r="E75" s="70">
        <v>0</v>
      </c>
      <c r="F75" s="70">
        <v>0</v>
      </c>
      <c r="G75" s="389">
        <v>304</v>
      </c>
      <c r="H75" s="71">
        <f>HLOOKUP(YEAR($A75),GDP!$25:$37,3,FALSE)</f>
        <v>1.0783084536349796</v>
      </c>
      <c r="I75" s="72"/>
    </row>
    <row r="76" spans="1:11">
      <c r="A76" s="67">
        <v>40238</v>
      </c>
      <c r="B76" s="68">
        <f>VLOOKUP($A76,'HDD-CDD'!$O$197:Q$208,3,FALSE)</f>
        <v>422.8</v>
      </c>
      <c r="C76" s="68">
        <f>VLOOKUP($A76,'HDD-CDD'!$O$197:R$208,4,FALSE)</f>
        <v>0</v>
      </c>
      <c r="D76" s="69">
        <f>DAY(EOMONTH(A76,0))</f>
        <v>31</v>
      </c>
      <c r="E76" s="70">
        <v>1</v>
      </c>
      <c r="F76" s="70">
        <v>0</v>
      </c>
      <c r="G76" s="389">
        <v>368</v>
      </c>
      <c r="H76" s="71">
        <f>HLOOKUP(YEAR($A76),GDP!$25:$37,4,FALSE)</f>
        <v>1.0809247622078761</v>
      </c>
      <c r="I76" s="72"/>
    </row>
    <row r="77" spans="1:11">
      <c r="A77" s="67">
        <v>40269</v>
      </c>
      <c r="B77" s="68">
        <f>VLOOKUP($A77,'HDD-CDD'!$O$197:Q$208,3,FALSE)</f>
        <v>225.1</v>
      </c>
      <c r="C77" s="68">
        <f>VLOOKUP($A77,'HDD-CDD'!$O$197:R$208,4,FALSE)</f>
        <v>0</v>
      </c>
      <c r="D77" s="69">
        <f t="shared" ref="D77:D133" si="2">DAY(EOMONTH(A77,0))</f>
        <v>30</v>
      </c>
      <c r="E77" s="70">
        <v>1</v>
      </c>
      <c r="F77" s="70">
        <v>0</v>
      </c>
      <c r="G77" s="389">
        <v>320</v>
      </c>
      <c r="H77" s="71">
        <f>HLOOKUP(YEAR($A77),GDP!$25:$37,5,FALSE)</f>
        <v>1.0835474187515461</v>
      </c>
      <c r="I77" s="72"/>
    </row>
    <row r="78" spans="1:11">
      <c r="A78" s="67">
        <v>40299</v>
      </c>
      <c r="B78" s="68">
        <f>VLOOKUP($A78,'HDD-CDD'!$O$197:Q$208,3,FALSE)</f>
        <v>107.9</v>
      </c>
      <c r="C78" s="68">
        <f>VLOOKUP($A78,'HDD-CDD'!$O$197:R$208,4,FALSE)</f>
        <v>45.7</v>
      </c>
      <c r="D78" s="69">
        <f t="shared" si="2"/>
        <v>31</v>
      </c>
      <c r="E78" s="70">
        <v>1</v>
      </c>
      <c r="F78" s="70">
        <v>0</v>
      </c>
      <c r="G78" s="389">
        <v>320</v>
      </c>
      <c r="H78" s="71">
        <f>HLOOKUP(YEAR($A78),GDP!$25:$37,6,FALSE)</f>
        <v>1.086176438668123</v>
      </c>
      <c r="I78" s="72"/>
    </row>
    <row r="79" spans="1:11">
      <c r="A79" s="67">
        <v>40330</v>
      </c>
      <c r="B79" s="68">
        <f>VLOOKUP($A79,'HDD-CDD'!$O$197:Q$208,3,FALSE)</f>
        <v>21.7</v>
      </c>
      <c r="C79" s="68">
        <f>VLOOKUP($A79,'HDD-CDD'!$O$197:R$208,4,FALSE)</f>
        <v>58.7</v>
      </c>
      <c r="D79" s="69">
        <f t="shared" si="2"/>
        <v>30</v>
      </c>
      <c r="E79" s="70">
        <v>0</v>
      </c>
      <c r="F79" s="70">
        <v>0</v>
      </c>
      <c r="G79" s="389">
        <v>352</v>
      </c>
      <c r="H79" s="71">
        <f>HLOOKUP(YEAR($A79),GDP!$25:$37,7,FALSE)</f>
        <v>1.0888118373971101</v>
      </c>
      <c r="I79" s="72"/>
    </row>
    <row r="80" spans="1:11">
      <c r="A80" s="67">
        <v>40360</v>
      </c>
      <c r="B80" s="68">
        <f>VLOOKUP($A80,'HDD-CDD'!$O$197:Q$208,3,FALSE)</f>
        <v>1.8</v>
      </c>
      <c r="C80" s="68">
        <f>VLOOKUP($A80,'HDD-CDD'!$O$197:R$208,4,FALSE)</f>
        <v>164.9</v>
      </c>
      <c r="D80" s="69">
        <f t="shared" si="2"/>
        <v>31</v>
      </c>
      <c r="E80" s="70">
        <v>0</v>
      </c>
      <c r="F80" s="70">
        <v>0</v>
      </c>
      <c r="G80" s="389">
        <v>336</v>
      </c>
      <c r="H80" s="71">
        <f>HLOOKUP(YEAR($A80),GDP!$25:$37,8,FALSE)</f>
        <v>1.0914536304154718</v>
      </c>
      <c r="I80" s="567"/>
    </row>
    <row r="81" spans="1:11">
      <c r="A81" s="67">
        <v>40391</v>
      </c>
      <c r="B81" s="68">
        <f>VLOOKUP($A81,'HDD-CDD'!$O$197:Q$208,3,FALSE)</f>
        <v>2.1</v>
      </c>
      <c r="C81" s="68">
        <f>VLOOKUP($A81,'HDD-CDD'!$O$197:R$208,4,FALSE)</f>
        <v>138.80000000000001</v>
      </c>
      <c r="D81" s="69">
        <f t="shared" si="2"/>
        <v>31</v>
      </c>
      <c r="E81" s="70">
        <v>0</v>
      </c>
      <c r="F81" s="70">
        <v>0</v>
      </c>
      <c r="G81" s="389">
        <v>336</v>
      </c>
      <c r="H81" s="71">
        <f>HLOOKUP(YEAR($A81),GDP!$25:$37,9,FALSE)</f>
        <v>1.0941018332377244</v>
      </c>
      <c r="I81" s="567"/>
    </row>
    <row r="82" spans="1:11">
      <c r="A82" s="67">
        <v>40422</v>
      </c>
      <c r="B82" s="68">
        <f>VLOOKUP($A82,'HDD-CDD'!$O$197:Q$208,3,FALSE)</f>
        <v>78.2</v>
      </c>
      <c r="C82" s="68">
        <f>VLOOKUP($A82,'HDD-CDD'!$O$197:R$208,4,FALSE)</f>
        <v>31.5</v>
      </c>
      <c r="D82" s="69">
        <f t="shared" si="2"/>
        <v>30</v>
      </c>
      <c r="E82" s="70">
        <v>1</v>
      </c>
      <c r="F82" s="70">
        <v>0</v>
      </c>
      <c r="G82" s="389">
        <v>336</v>
      </c>
      <c r="H82" s="71">
        <f>HLOOKUP(YEAR($A82),GDP!$25:$37,10,FALSE)</f>
        <v>1.0967564614160272</v>
      </c>
      <c r="I82" s="567"/>
    </row>
    <row r="83" spans="1:11">
      <c r="A83" s="67">
        <v>40452</v>
      </c>
      <c r="B83" s="68">
        <f>VLOOKUP($A83,'HDD-CDD'!$O$197:Q$208,3,FALSE)</f>
        <v>241.6</v>
      </c>
      <c r="C83" s="68">
        <f>VLOOKUP($A83,'HDD-CDD'!$O$197:R$208,4,FALSE)</f>
        <v>0</v>
      </c>
      <c r="D83" s="69">
        <f t="shared" si="2"/>
        <v>31</v>
      </c>
      <c r="E83" s="70">
        <v>1</v>
      </c>
      <c r="F83" s="70">
        <v>0</v>
      </c>
      <c r="G83" s="389">
        <v>320</v>
      </c>
      <c r="H83" s="71">
        <f>HLOOKUP(YEAR($A83),GDP!$25:$37,11,FALSE)</f>
        <v>1.0994175305402742</v>
      </c>
      <c r="I83" s="567"/>
    </row>
    <row r="84" spans="1:11">
      <c r="A84" s="67">
        <v>40483</v>
      </c>
      <c r="B84" s="68">
        <f>VLOOKUP($A84,'HDD-CDD'!$O$197:Q$208,3,FALSE)</f>
        <v>405.3</v>
      </c>
      <c r="C84" s="68">
        <f>VLOOKUP($A84,'HDD-CDD'!$O$197:R$208,4,FALSE)</f>
        <v>0</v>
      </c>
      <c r="D84" s="69">
        <f t="shared" si="2"/>
        <v>30</v>
      </c>
      <c r="E84" s="70">
        <v>1</v>
      </c>
      <c r="F84" s="70">
        <v>0</v>
      </c>
      <c r="G84" s="389">
        <v>336</v>
      </c>
      <c r="H84" s="71">
        <f>HLOOKUP(YEAR($A84),GDP!$25:$37,12,FALSE)</f>
        <v>1.1020850562381843</v>
      </c>
      <c r="I84" s="567"/>
    </row>
    <row r="85" spans="1:11">
      <c r="A85" s="67">
        <v>40513</v>
      </c>
      <c r="B85" s="68">
        <f>VLOOKUP($A85,'HDD-CDD'!$O$197:Q$208,3,FALSE)</f>
        <v>676.2</v>
      </c>
      <c r="C85" s="68">
        <f>VLOOKUP($A85,'HDD-CDD'!$O$197:R$208,4,FALSE)</f>
        <v>0</v>
      </c>
      <c r="D85" s="69">
        <f t="shared" si="2"/>
        <v>31</v>
      </c>
      <c r="E85" s="70">
        <v>0</v>
      </c>
      <c r="F85" s="70">
        <v>0</v>
      </c>
      <c r="G85" s="389">
        <v>368</v>
      </c>
      <c r="H85" s="71">
        <f>HLOOKUP(YEAR($A85),GDP!$25:$37,13,FALSE)</f>
        <v>1.1047590541753953</v>
      </c>
      <c r="I85" s="72"/>
    </row>
    <row r="86" spans="1:11">
      <c r="A86" s="67">
        <v>40544</v>
      </c>
      <c r="B86" s="68">
        <f>VLOOKUP($A86,'HDD-CDD'!$O$209:Q$220,3,FALSE)</f>
        <v>775.3</v>
      </c>
      <c r="C86" s="68">
        <f>VLOOKUP($A86,'HDD-CDD'!$O$209:R$220,4,FALSE)</f>
        <v>0</v>
      </c>
      <c r="D86" s="69">
        <f t="shared" si="2"/>
        <v>31</v>
      </c>
      <c r="E86" s="70">
        <v>0</v>
      </c>
      <c r="F86" s="70">
        <v>0</v>
      </c>
      <c r="G86" s="389">
        <f>20*16</f>
        <v>320</v>
      </c>
      <c r="H86" s="71">
        <f>HLOOKUP(YEAR($A86),GDP!$25:$37,2,FALSE)</f>
        <v>1.106402672454752</v>
      </c>
      <c r="I86" s="72"/>
    </row>
    <row r="87" spans="1:11">
      <c r="A87" s="67">
        <v>40575</v>
      </c>
      <c r="B87" s="68">
        <f>VLOOKUP($A87,'HDD-CDD'!$O$209:Q$220,3,FALSE)</f>
        <v>654.20000000000005</v>
      </c>
      <c r="C87" s="68">
        <f>VLOOKUP($A87,'HDD-CDD'!$O$209:R$220,4,FALSE)</f>
        <v>0</v>
      </c>
      <c r="D87" s="69">
        <f>DAY(EOMONTH(A87,0))</f>
        <v>28</v>
      </c>
      <c r="E87" s="70">
        <v>0</v>
      </c>
      <c r="F87" s="70">
        <v>0</v>
      </c>
      <c r="G87" s="389">
        <f>19*16</f>
        <v>304</v>
      </c>
      <c r="H87" s="71">
        <f>HLOOKUP(YEAR($A87),GDP!$25:$37,3,FALSE)</f>
        <v>1.1080487396470626</v>
      </c>
      <c r="I87" s="72"/>
    </row>
    <row r="88" spans="1:11">
      <c r="A88" s="67">
        <v>40603</v>
      </c>
      <c r="B88" s="68">
        <f>VLOOKUP($A88,'HDD-CDD'!$O$209:Q$220,3,FALSE)</f>
        <v>572.79999999999995</v>
      </c>
      <c r="C88" s="68">
        <f>VLOOKUP($A88,'HDD-CDD'!$O$209:R$220,4,FALSE)</f>
        <v>0</v>
      </c>
      <c r="D88" s="69">
        <f t="shared" si="2"/>
        <v>31</v>
      </c>
      <c r="E88" s="70">
        <v>1</v>
      </c>
      <c r="F88" s="70">
        <v>0</v>
      </c>
      <c r="G88" s="389">
        <f>23*16</f>
        <v>368</v>
      </c>
      <c r="H88" s="71">
        <f>HLOOKUP(YEAR($A88),GDP!$25:$37,4,FALSE)</f>
        <v>1.1096972557523284</v>
      </c>
      <c r="I88" s="72"/>
      <c r="K88" s="396"/>
    </row>
    <row r="89" spans="1:11">
      <c r="A89" s="67">
        <v>40634</v>
      </c>
      <c r="B89" s="68">
        <f>VLOOKUP($A89,'HDD-CDD'!$O$209:Q$220,3,FALSE)</f>
        <v>332.3</v>
      </c>
      <c r="C89" s="68">
        <f>VLOOKUP($A89,'HDD-CDD'!$O$209:R$220,4,FALSE)</f>
        <v>0</v>
      </c>
      <c r="D89" s="69">
        <f t="shared" si="2"/>
        <v>30</v>
      </c>
      <c r="E89" s="70">
        <v>1</v>
      </c>
      <c r="F89" s="70">
        <v>0</v>
      </c>
      <c r="G89" s="389">
        <f>19*16</f>
        <v>304</v>
      </c>
      <c r="H89" s="71">
        <f>HLOOKUP(YEAR($A89),GDP!$25:$37,5,FALSE)</f>
        <v>1.1113482207705487</v>
      </c>
      <c r="I89" s="72"/>
      <c r="K89" s="396"/>
    </row>
    <row r="90" spans="1:11">
      <c r="A90" s="67">
        <v>40664</v>
      </c>
      <c r="B90" s="68">
        <f>VLOOKUP($A90,'HDD-CDD'!$O$209:Q$220,3,FALSE)</f>
        <v>134.1</v>
      </c>
      <c r="C90" s="68">
        <f>VLOOKUP($A90,'HDD-CDD'!$O$209:R$220,4,FALSE)</f>
        <v>13</v>
      </c>
      <c r="D90" s="69">
        <f t="shared" si="2"/>
        <v>31</v>
      </c>
      <c r="E90" s="70">
        <v>1</v>
      </c>
      <c r="F90" s="70">
        <v>0</v>
      </c>
      <c r="G90" s="389">
        <f>21*16</f>
        <v>336</v>
      </c>
      <c r="H90" s="71">
        <f>HLOOKUP(YEAR($A90),GDP!$25:$37,6,FALSE)</f>
        <v>1.1130016556326037</v>
      </c>
      <c r="I90" s="72"/>
      <c r="K90" s="461" t="s">
        <v>212</v>
      </c>
    </row>
    <row r="91" spans="1:11">
      <c r="A91" s="67">
        <v>40695</v>
      </c>
      <c r="B91" s="68">
        <f>VLOOKUP($A91,'HDD-CDD'!$O$209:Q$220,3,FALSE)</f>
        <v>19</v>
      </c>
      <c r="C91" s="68">
        <f>VLOOKUP($A91,'HDD-CDD'!$O$209:R$220,4,FALSE)</f>
        <v>52.2</v>
      </c>
      <c r="D91" s="69">
        <f t="shared" si="2"/>
        <v>30</v>
      </c>
      <c r="E91" s="70">
        <v>0</v>
      </c>
      <c r="F91" s="70">
        <v>0</v>
      </c>
      <c r="G91" s="389">
        <f>22*16</f>
        <v>352</v>
      </c>
      <c r="H91" s="71">
        <f>HLOOKUP(YEAR($A91),GDP!$25:$37,7,FALSE)</f>
        <v>1.1146575394076135</v>
      </c>
      <c r="I91" s="72"/>
      <c r="K91" s="396">
        <v>40910</v>
      </c>
    </row>
    <row r="92" spans="1:11">
      <c r="A92" s="67">
        <v>40725</v>
      </c>
      <c r="B92" s="68">
        <f>VLOOKUP($A92,'HDD-CDD'!$O$209:Q$220,3,FALSE)</f>
        <v>0</v>
      </c>
      <c r="C92" s="68">
        <f>VLOOKUP($A92,'HDD-CDD'!$O$209:R$220,4,FALSE)</f>
        <v>198.6</v>
      </c>
      <c r="D92" s="69">
        <f t="shared" si="2"/>
        <v>31</v>
      </c>
      <c r="E92" s="70">
        <v>0</v>
      </c>
      <c r="F92" s="70">
        <v>0</v>
      </c>
      <c r="G92" s="389">
        <f>20*16</f>
        <v>320</v>
      </c>
      <c r="H92" s="71">
        <f>HLOOKUP(YEAR($A92),GDP!$25:$37,8,FALSE)</f>
        <v>1.1163158930264581</v>
      </c>
      <c r="I92" s="72"/>
      <c r="K92" s="396">
        <v>40959</v>
      </c>
    </row>
    <row r="93" spans="1:11">
      <c r="A93" s="67">
        <v>40756</v>
      </c>
      <c r="B93" s="68">
        <f>VLOOKUP($A93,'HDD-CDD'!$O$209:Q$220,3,FALSE)</f>
        <v>0</v>
      </c>
      <c r="C93" s="68">
        <f>VLOOKUP($A93,'HDD-CDD'!$O$209:R$220,4,FALSE)</f>
        <v>122.2</v>
      </c>
      <c r="D93" s="69">
        <f t="shared" si="2"/>
        <v>31</v>
      </c>
      <c r="E93" s="70">
        <v>0</v>
      </c>
      <c r="F93" s="70">
        <v>0</v>
      </c>
      <c r="G93" s="389">
        <f>22*16</f>
        <v>352</v>
      </c>
      <c r="H93" s="71">
        <f>HLOOKUP(YEAR($A93),GDP!$25:$37,9,FALSE)</f>
        <v>1.1179767164891372</v>
      </c>
      <c r="I93" s="72"/>
      <c r="K93" s="396">
        <v>41005</v>
      </c>
    </row>
    <row r="94" spans="1:11">
      <c r="A94" s="67">
        <v>40787</v>
      </c>
      <c r="B94" s="68">
        <f>VLOOKUP($A94,'HDD-CDD'!$O$209:Q$220,3,FALSE)</f>
        <v>48.2</v>
      </c>
      <c r="C94" s="68">
        <f>VLOOKUP($A94,'HDD-CDD'!$O$209:R$220,4,FALSE)</f>
        <v>39.700000000000003</v>
      </c>
      <c r="D94" s="69">
        <f t="shared" si="2"/>
        <v>30</v>
      </c>
      <c r="E94" s="70">
        <v>1</v>
      </c>
      <c r="F94" s="70">
        <v>0</v>
      </c>
      <c r="G94" s="389">
        <f>21*16</f>
        <v>336</v>
      </c>
      <c r="H94" s="71">
        <f>HLOOKUP(YEAR($A94),GDP!$25:$37,10,FALSE)</f>
        <v>1.1196399888647712</v>
      </c>
      <c r="I94" s="72"/>
      <c r="K94" s="396">
        <v>41050</v>
      </c>
    </row>
    <row r="95" spans="1:11">
      <c r="A95" s="67">
        <v>40817</v>
      </c>
      <c r="B95" s="68">
        <f>VLOOKUP($A95,'HDD-CDD'!$O$209:Q$220,3,FALSE)</f>
        <v>235.5</v>
      </c>
      <c r="C95" s="68">
        <f>VLOOKUP($A95,'HDD-CDD'!$O$209:R$220,4,FALSE)</f>
        <v>2.4</v>
      </c>
      <c r="D95" s="69">
        <f t="shared" si="2"/>
        <v>31</v>
      </c>
      <c r="E95" s="70">
        <v>1</v>
      </c>
      <c r="F95" s="70">
        <v>0</v>
      </c>
      <c r="G95" s="389">
        <f>21*16</f>
        <v>336</v>
      </c>
      <c r="H95" s="71">
        <f>HLOOKUP(YEAR($A95),GDP!$25:$37,11,FALSE)</f>
        <v>1.1213057520151197</v>
      </c>
      <c r="I95" s="72"/>
      <c r="K95" s="396">
        <v>41091</v>
      </c>
    </row>
    <row r="96" spans="1:11">
      <c r="A96" s="67">
        <v>40848</v>
      </c>
      <c r="B96" s="68">
        <f>VLOOKUP($A96,'HDD-CDD'!$O$209:Q$220,3,FALSE)</f>
        <v>342.1</v>
      </c>
      <c r="C96" s="68">
        <f>VLOOKUP($A96,'HDD-CDD'!$O$209:R$220,4,FALSE)</f>
        <v>0</v>
      </c>
      <c r="D96" s="69">
        <f t="shared" si="2"/>
        <v>30</v>
      </c>
      <c r="E96" s="70">
        <v>1</v>
      </c>
      <c r="F96" s="70">
        <v>0</v>
      </c>
      <c r="G96" s="389">
        <f>22*16</f>
        <v>352</v>
      </c>
      <c r="H96" s="71">
        <f>HLOOKUP(YEAR($A96),GDP!$25:$37,12,FALSE)</f>
        <v>1.122973985009303</v>
      </c>
      <c r="I96" s="72"/>
      <c r="K96" s="396">
        <v>41127</v>
      </c>
    </row>
    <row r="97" spans="1:13">
      <c r="A97" s="67">
        <v>40878</v>
      </c>
      <c r="B97" s="68">
        <f>VLOOKUP($A97,'HDD-CDD'!$O$209:Q$220,3,FALSE)</f>
        <v>534</v>
      </c>
      <c r="C97" s="68">
        <f>VLOOKUP($A97,'HDD-CDD'!$O$209:R$220,4,FALSE)</f>
        <v>0</v>
      </c>
      <c r="D97" s="69">
        <f t="shared" si="2"/>
        <v>31</v>
      </c>
      <c r="E97" s="70">
        <v>0</v>
      </c>
      <c r="F97" s="70">
        <v>0</v>
      </c>
      <c r="G97" s="389">
        <f>21*16</f>
        <v>336</v>
      </c>
      <c r="H97" s="71">
        <f>HLOOKUP(YEAR($A97),GDP!$25:$37,13,FALSE)</f>
        <v>1.124644708778201</v>
      </c>
      <c r="I97" s="72"/>
      <c r="K97" s="396">
        <v>41155</v>
      </c>
    </row>
    <row r="98" spans="1:13">
      <c r="A98" s="67">
        <v>40909</v>
      </c>
      <c r="B98" s="68">
        <f>VLOOKUP($A98,'HDD-CDD'!$O$221:Q$232,3,FALSE)</f>
        <v>611.1</v>
      </c>
      <c r="C98" s="68">
        <f>VLOOKUP($A98,'HDD-CDD'!$O$221:R$232,4,FALSE)</f>
        <v>0</v>
      </c>
      <c r="D98" s="69">
        <f t="shared" si="2"/>
        <v>31</v>
      </c>
      <c r="E98" s="70">
        <v>0</v>
      </c>
      <c r="F98" s="70">
        <v>0</v>
      </c>
      <c r="G98" s="589">
        <f>NETWORKDAYS(A98,A99-1,$K$91:$K$131)*16</f>
        <v>336</v>
      </c>
      <c r="H98" s="71">
        <f>HLOOKUP(YEAR($A98),GDP!$25:$37,2,FALSE)</f>
        <v>1.1260409497522648</v>
      </c>
      <c r="I98" s="394"/>
      <c r="J98" s="394"/>
      <c r="K98" s="396">
        <v>41190</v>
      </c>
      <c r="L98" s="591"/>
      <c r="M98" s="591"/>
    </row>
    <row r="99" spans="1:13">
      <c r="A99" s="67">
        <v>40940</v>
      </c>
      <c r="B99" s="68">
        <f>VLOOKUP($A99,'HDD-CDD'!$O$221:Q$232,3,FALSE)</f>
        <v>531.70000000000005</v>
      </c>
      <c r="C99" s="68">
        <f>VLOOKUP($A99,'HDD-CDD'!$O$221:R$232,4,FALSE)</f>
        <v>0</v>
      </c>
      <c r="D99" s="69">
        <f t="shared" si="2"/>
        <v>29</v>
      </c>
      <c r="E99" s="70">
        <v>0</v>
      </c>
      <c r="F99" s="70">
        <v>0</v>
      </c>
      <c r="G99" s="589">
        <f t="shared" ref="G99:G120" si="3">NETWORKDAYS(A99,A100-1,$K$91:$K$131)*16</f>
        <v>320</v>
      </c>
      <c r="H99" s="71">
        <f>HLOOKUP(YEAR($A99),GDP!$25:$37,3,FALSE)</f>
        <v>1.127438915759601</v>
      </c>
      <c r="I99" s="394"/>
      <c r="J99" s="394"/>
      <c r="K99" s="396">
        <v>41268</v>
      </c>
      <c r="L99" s="591"/>
      <c r="M99" s="591"/>
    </row>
    <row r="100" spans="1:13">
      <c r="A100" s="67">
        <v>40969</v>
      </c>
      <c r="B100" s="68">
        <f>VLOOKUP($A100,'HDD-CDD'!$O$221:Q$232,3,FALSE)</f>
        <v>349.4</v>
      </c>
      <c r="C100" s="68">
        <f>VLOOKUP($A100,'HDD-CDD'!$O$221:R$232,4,FALSE)</f>
        <v>0.2</v>
      </c>
      <c r="D100" s="69">
        <f t="shared" si="2"/>
        <v>31</v>
      </c>
      <c r="E100" s="70">
        <v>1</v>
      </c>
      <c r="F100" s="70">
        <v>0</v>
      </c>
      <c r="G100" s="589">
        <f t="shared" si="3"/>
        <v>352</v>
      </c>
      <c r="H100" s="71">
        <f>HLOOKUP(YEAR($A100),GDP!$25:$37,4,FALSE)</f>
        <v>1.1288386173245635</v>
      </c>
      <c r="I100" s="394"/>
      <c r="J100" s="394"/>
      <c r="K100" s="396">
        <v>41269</v>
      </c>
      <c r="L100" s="591"/>
      <c r="M100" s="591"/>
    </row>
    <row r="101" spans="1:13">
      <c r="A101" s="67">
        <v>41000</v>
      </c>
      <c r="B101" s="68">
        <f>VLOOKUP($A101,'HDD-CDD'!$O$221:Q$232,3,FALSE)</f>
        <v>321.7</v>
      </c>
      <c r="C101" s="68">
        <f>VLOOKUP($A101,'HDD-CDD'!$O$221:R$232,4,FALSE)</f>
        <v>0</v>
      </c>
      <c r="D101" s="69">
        <f t="shared" si="2"/>
        <v>30</v>
      </c>
      <c r="E101" s="70">
        <v>1</v>
      </c>
      <c r="F101" s="70">
        <v>0</v>
      </c>
      <c r="G101" s="589">
        <f t="shared" si="3"/>
        <v>320</v>
      </c>
      <c r="H101" s="71">
        <f>HLOOKUP(YEAR($A101),GDP!$25:$37,5,FALSE)</f>
        <v>1.1302400566018256</v>
      </c>
      <c r="I101" s="394"/>
      <c r="J101" s="394"/>
      <c r="K101" s="396">
        <v>41275</v>
      </c>
      <c r="L101" s="591"/>
      <c r="M101" s="591"/>
    </row>
    <row r="102" spans="1:13">
      <c r="A102" s="67">
        <v>41030</v>
      </c>
      <c r="B102" s="68">
        <f>VLOOKUP($A102,'HDD-CDD'!$O$221:Q$232,3,FALSE)</f>
        <v>80.7</v>
      </c>
      <c r="C102" s="68">
        <f>VLOOKUP($A102,'HDD-CDD'!$O$221:R$232,4,FALSE)</f>
        <v>36.700000000000003</v>
      </c>
      <c r="D102" s="69">
        <f t="shared" si="2"/>
        <v>31</v>
      </c>
      <c r="E102" s="70">
        <v>1</v>
      </c>
      <c r="F102" s="70">
        <v>0</v>
      </c>
      <c r="G102" s="589">
        <f t="shared" si="3"/>
        <v>352</v>
      </c>
      <c r="H102" s="71">
        <f>HLOOKUP(YEAR($A102),GDP!$25:$37,6,FALSE)</f>
        <v>1.1316432357487356</v>
      </c>
      <c r="I102" s="394"/>
      <c r="J102" s="394"/>
      <c r="K102" s="396">
        <v>41323</v>
      </c>
      <c r="L102" s="591"/>
      <c r="M102" s="591"/>
    </row>
    <row r="103" spans="1:13">
      <c r="A103" s="67">
        <v>41061</v>
      </c>
      <c r="B103" s="68">
        <f>VLOOKUP($A103,'HDD-CDD'!$O$221:Q$232,3,FALSE)</f>
        <v>23.2</v>
      </c>
      <c r="C103" s="68">
        <f>VLOOKUP($A103,'HDD-CDD'!$O$221:R$232,4,FALSE)</f>
        <v>101.6</v>
      </c>
      <c r="D103" s="69">
        <f t="shared" si="2"/>
        <v>30</v>
      </c>
      <c r="E103" s="70">
        <v>0</v>
      </c>
      <c r="F103" s="70">
        <v>0</v>
      </c>
      <c r="G103" s="589">
        <f t="shared" si="3"/>
        <v>336</v>
      </c>
      <c r="H103" s="71">
        <f>HLOOKUP(YEAR($A103),GDP!$25:$37,7,FALSE)</f>
        <v>1.1330481569253206</v>
      </c>
      <c r="I103" s="394"/>
      <c r="J103" s="394"/>
      <c r="K103" s="396">
        <v>41362</v>
      </c>
      <c r="L103" s="591"/>
      <c r="M103" s="591"/>
    </row>
    <row r="104" spans="1:13">
      <c r="A104" s="67">
        <v>41091</v>
      </c>
      <c r="B104" s="68">
        <f>VLOOKUP($A104,'HDD-CDD'!$O$221:Q$232,3,FALSE)</f>
        <v>0</v>
      </c>
      <c r="C104" s="68">
        <f>VLOOKUP($A104,'HDD-CDD'!$O$221:R$232,4,FALSE)</f>
        <v>195.4</v>
      </c>
      <c r="D104" s="69">
        <f t="shared" si="2"/>
        <v>31</v>
      </c>
      <c r="E104" s="70">
        <v>0</v>
      </c>
      <c r="F104" s="70">
        <v>0</v>
      </c>
      <c r="G104" s="589">
        <f t="shared" si="3"/>
        <v>352</v>
      </c>
      <c r="H104" s="71">
        <f>HLOOKUP(YEAR($A104),GDP!$25:$37,8,FALSE)</f>
        <v>1.134454822294289</v>
      </c>
      <c r="I104" s="394"/>
      <c r="J104" s="394"/>
      <c r="K104" s="396">
        <v>41414</v>
      </c>
      <c r="L104" s="591"/>
      <c r="M104" s="591"/>
    </row>
    <row r="105" spans="1:13">
      <c r="A105" s="67">
        <v>41122</v>
      </c>
      <c r="B105" s="68">
        <f>VLOOKUP($A105,'HDD-CDD'!$O$221:Q$232,3,FALSE)</f>
        <v>2</v>
      </c>
      <c r="C105" s="68">
        <f>VLOOKUP($A105,'HDD-CDD'!$O$221:R$232,4,FALSE)</f>
        <v>112.1</v>
      </c>
      <c r="D105" s="69">
        <f t="shared" si="2"/>
        <v>31</v>
      </c>
      <c r="E105" s="70">
        <v>0</v>
      </c>
      <c r="F105" s="70">
        <v>0</v>
      </c>
      <c r="G105" s="589">
        <f t="shared" si="3"/>
        <v>352</v>
      </c>
      <c r="H105" s="71">
        <f>HLOOKUP(YEAR($A105),GDP!$25:$37,9,FALSE)</f>
        <v>1.135863234021034</v>
      </c>
      <c r="I105" s="394"/>
      <c r="J105" s="394"/>
      <c r="K105" s="396">
        <v>41456</v>
      </c>
      <c r="L105" s="591"/>
      <c r="M105" s="591"/>
    </row>
    <row r="106" spans="1:13">
      <c r="A106" s="67">
        <v>41153</v>
      </c>
      <c r="B106" s="68">
        <f>VLOOKUP($A106,'HDD-CDD'!$O$221:Q$232,3,FALSE)</f>
        <v>85</v>
      </c>
      <c r="C106" s="68">
        <f>VLOOKUP($A106,'HDD-CDD'!$O$221:R$232,4,FALSE)</f>
        <v>35.6</v>
      </c>
      <c r="D106" s="69">
        <f t="shared" si="2"/>
        <v>30</v>
      </c>
      <c r="E106" s="70">
        <v>1</v>
      </c>
      <c r="F106" s="70">
        <v>0</v>
      </c>
      <c r="G106" s="589">
        <f t="shared" si="3"/>
        <v>304</v>
      </c>
      <c r="H106" s="71">
        <f>HLOOKUP(YEAR($A106),GDP!$25:$37,10,FALSE)</f>
        <v>1.1372733942736375</v>
      </c>
      <c r="I106" s="394"/>
      <c r="J106" s="394"/>
      <c r="K106" s="396">
        <v>41491</v>
      </c>
      <c r="L106" s="591"/>
      <c r="M106" s="591"/>
    </row>
    <row r="107" spans="1:13">
      <c r="A107" s="67">
        <v>41183</v>
      </c>
      <c r="B107" s="68">
        <f>VLOOKUP($A107,'HDD-CDD'!$O$221:Q$232,3,FALSE)</f>
        <v>242.5</v>
      </c>
      <c r="C107" s="68">
        <f>VLOOKUP($A107,'HDD-CDD'!$O$221:R$232,4,FALSE)</f>
        <v>1.1000000000000001</v>
      </c>
      <c r="D107" s="69">
        <f t="shared" si="2"/>
        <v>31</v>
      </c>
      <c r="E107" s="70">
        <v>1</v>
      </c>
      <c r="F107" s="70">
        <v>0</v>
      </c>
      <c r="G107" s="589">
        <f t="shared" si="3"/>
        <v>352</v>
      </c>
      <c r="H107" s="71">
        <f>HLOOKUP(YEAR($A107),GDP!$25:$37,11,FALSE)</f>
        <v>1.1386853052228729</v>
      </c>
      <c r="I107" s="394"/>
      <c r="J107" s="394"/>
      <c r="K107" s="396">
        <v>41519</v>
      </c>
      <c r="L107" s="591"/>
      <c r="M107" s="591"/>
    </row>
    <row r="108" spans="1:13">
      <c r="A108" s="67">
        <v>41214</v>
      </c>
      <c r="B108" s="68">
        <f>VLOOKUP($A108,'HDD-CDD'!$O$221:Q$232,3,FALSE)</f>
        <v>434</v>
      </c>
      <c r="C108" s="68">
        <f>VLOOKUP($A108,'HDD-CDD'!$O$221:R$232,4,FALSE)</f>
        <v>0</v>
      </c>
      <c r="D108" s="69">
        <f>DAY(EOMONTH(A108,0))</f>
        <v>30</v>
      </c>
      <c r="E108" s="70">
        <v>1</v>
      </c>
      <c r="F108" s="70">
        <v>0</v>
      </c>
      <c r="G108" s="589">
        <f t="shared" si="3"/>
        <v>352</v>
      </c>
      <c r="H108" s="71">
        <f>HLOOKUP(YEAR($A108),GDP!$25:$37,12,FALSE)</f>
        <v>1.1400989690422085</v>
      </c>
      <c r="I108" s="394"/>
      <c r="J108" s="394"/>
      <c r="K108" s="396">
        <v>41561</v>
      </c>
      <c r="L108" s="591"/>
      <c r="M108" s="591"/>
    </row>
    <row r="109" spans="1:13">
      <c r="A109" s="67">
        <v>41244</v>
      </c>
      <c r="B109" s="68">
        <f>VLOOKUP($A109,'HDD-CDD'!$O$221:Q$232,3,FALSE)</f>
        <v>533.5</v>
      </c>
      <c r="C109" s="68">
        <f>VLOOKUP($A109,'HDD-CDD'!$O$221:R$232,4,FALSE)</f>
        <v>0</v>
      </c>
      <c r="D109" s="69">
        <f t="shared" si="2"/>
        <v>31</v>
      </c>
      <c r="E109" s="70">
        <v>0</v>
      </c>
      <c r="F109" s="70">
        <v>0</v>
      </c>
      <c r="G109" s="589">
        <f>NETWORKDAYS(A109,A109+30,$K$91:$K$131)*16</f>
        <v>304</v>
      </c>
      <c r="H109" s="71">
        <f>HLOOKUP(YEAR($A109),GDP!$25:$37,13,FALSE)</f>
        <v>1.1415143879078107</v>
      </c>
      <c r="I109" s="394"/>
      <c r="J109" s="394"/>
      <c r="K109" s="396">
        <v>41633</v>
      </c>
      <c r="L109" s="591"/>
      <c r="M109" s="591"/>
    </row>
    <row r="110" spans="1:13">
      <c r="A110" s="67">
        <v>41275</v>
      </c>
      <c r="B110" s="68">
        <f>VLOOKUP($A110,'HDD-CDD'!$O$233:Q$244,3,FALSE)</f>
        <v>624.4</v>
      </c>
      <c r="C110" s="68">
        <f>VLOOKUP($A110,'HDD-CDD'!$O$233:R$244,4,FALSE)</f>
        <v>0</v>
      </c>
      <c r="D110" s="69">
        <f>DAY(EOMONTH(A110,0))</f>
        <v>31</v>
      </c>
      <c r="E110" s="70">
        <v>0</v>
      </c>
      <c r="F110" s="70">
        <v>0</v>
      </c>
      <c r="G110" s="589">
        <f>NETWORKDAYS(A110,A111-1,$K$91:$K$131)*16</f>
        <v>352</v>
      </c>
      <c r="H110" s="71">
        <f>HLOOKUP(YEAR($A110),GDP!$25:$37,2,FALSE)</f>
        <v>1.1427437208015847</v>
      </c>
      <c r="I110" s="394"/>
      <c r="J110" s="394"/>
      <c r="K110" s="396">
        <v>41634</v>
      </c>
      <c r="L110" s="591"/>
      <c r="M110" s="591"/>
    </row>
    <row r="111" spans="1:13">
      <c r="A111" s="67">
        <v>41306</v>
      </c>
      <c r="B111" s="68">
        <f>VLOOKUP($A111,'HDD-CDD'!$O$233:Q$244,3,FALSE)</f>
        <v>631.5</v>
      </c>
      <c r="C111" s="68">
        <f>VLOOKUP($A111,'HDD-CDD'!$O$233:R$244,4,FALSE)</f>
        <v>0</v>
      </c>
      <c r="D111" s="69">
        <f t="shared" si="2"/>
        <v>28</v>
      </c>
      <c r="E111" s="70">
        <v>0</v>
      </c>
      <c r="F111" s="70">
        <v>0</v>
      </c>
      <c r="G111" s="589">
        <f t="shared" si="3"/>
        <v>304</v>
      </c>
      <c r="H111" s="71">
        <f>HLOOKUP(YEAR($A111),GDP!$25:$37,3,FALSE)</f>
        <v>1.1439743776027749</v>
      </c>
      <c r="I111" s="394"/>
      <c r="J111" s="394"/>
      <c r="K111" s="396">
        <v>41640</v>
      </c>
      <c r="L111" s="591"/>
      <c r="M111" s="591"/>
    </row>
    <row r="112" spans="1:13">
      <c r="A112" s="67">
        <v>41334</v>
      </c>
      <c r="B112" s="68">
        <f>VLOOKUP($A112,'HDD-CDD'!$O$233:Q$244,3,FALSE)</f>
        <v>554.79999999999995</v>
      </c>
      <c r="C112" s="68">
        <f>VLOOKUP($A112,'HDD-CDD'!$O$233:R$244,4,FALSE)</f>
        <v>0</v>
      </c>
      <c r="D112" s="69">
        <f t="shared" si="2"/>
        <v>31</v>
      </c>
      <c r="E112" s="70">
        <v>1</v>
      </c>
      <c r="F112" s="70">
        <v>0</v>
      </c>
      <c r="G112" s="589">
        <f t="shared" si="3"/>
        <v>320</v>
      </c>
      <c r="H112" s="71">
        <f>HLOOKUP(YEAR($A112),GDP!$25:$37,4,FALSE)</f>
        <v>1.1452063597371387</v>
      </c>
      <c r="I112" s="394"/>
      <c r="J112" s="394"/>
      <c r="K112" s="396">
        <v>41687</v>
      </c>
      <c r="L112" s="591"/>
      <c r="M112" s="591"/>
    </row>
    <row r="113" spans="1:13">
      <c r="A113" s="67">
        <v>41365</v>
      </c>
      <c r="B113" s="68">
        <f>VLOOKUP($A113,'HDD-CDD'!$O$233:Q$244,3,FALSE)</f>
        <v>358.6</v>
      </c>
      <c r="C113" s="68">
        <f>VLOOKUP($A113,'HDD-CDD'!$O$233:R$244,4,FALSE)</f>
        <v>0</v>
      </c>
      <c r="D113" s="69">
        <f t="shared" si="2"/>
        <v>30</v>
      </c>
      <c r="E113" s="70">
        <v>1</v>
      </c>
      <c r="F113" s="70">
        <v>0</v>
      </c>
      <c r="G113" s="589">
        <f t="shared" si="3"/>
        <v>352</v>
      </c>
      <c r="H113" s="71">
        <f>HLOOKUP(YEAR($A113),GDP!$25:$37,5,FALSE)</f>
        <v>1.1464396686319696</v>
      </c>
      <c r="I113" s="394"/>
      <c r="J113" s="394"/>
      <c r="K113" s="396">
        <v>41726</v>
      </c>
      <c r="L113" s="591"/>
      <c r="M113" s="591"/>
    </row>
    <row r="114" spans="1:13">
      <c r="A114" s="67">
        <v>41395</v>
      </c>
      <c r="B114" s="68">
        <f>VLOOKUP($A114,'HDD-CDD'!$O$233:Q$244,3,FALSE)</f>
        <v>109.1</v>
      </c>
      <c r="C114" s="68">
        <f>VLOOKUP($A114,'HDD-CDD'!$O$233:R$244,4,FALSE)</f>
        <v>23.1</v>
      </c>
      <c r="D114" s="69">
        <f t="shared" si="2"/>
        <v>31</v>
      </c>
      <c r="E114" s="70">
        <v>1</v>
      </c>
      <c r="F114" s="70">
        <v>0</v>
      </c>
      <c r="G114" s="589">
        <f t="shared" si="3"/>
        <v>352</v>
      </c>
      <c r="H114" s="71">
        <f>HLOOKUP(YEAR($A114),GDP!$25:$37,6,FALSE)</f>
        <v>1.1476743057160976</v>
      </c>
      <c r="I114" s="394"/>
      <c r="J114" s="394"/>
      <c r="K114" s="396">
        <v>41778</v>
      </c>
      <c r="L114" s="591"/>
      <c r="M114" s="591"/>
    </row>
    <row r="115" spans="1:13">
      <c r="A115" s="67">
        <v>41426</v>
      </c>
      <c r="B115" s="68">
        <f>VLOOKUP($A115,'HDD-CDD'!$O$233:Q$244,3,FALSE)</f>
        <v>33.4</v>
      </c>
      <c r="C115" s="68">
        <f>VLOOKUP($A115,'HDD-CDD'!$O$233:R$244,4,FALSE)</f>
        <v>59.3</v>
      </c>
      <c r="D115" s="69">
        <f t="shared" si="2"/>
        <v>30</v>
      </c>
      <c r="E115" s="70">
        <v>0</v>
      </c>
      <c r="F115" s="70">
        <v>0</v>
      </c>
      <c r="G115" s="589">
        <f t="shared" si="3"/>
        <v>320</v>
      </c>
      <c r="H115" s="71">
        <f>HLOOKUP(YEAR($A115),GDP!$25:$37,7,FALSE)</f>
        <v>1.1489102724198916</v>
      </c>
      <c r="I115" s="394"/>
      <c r="J115" s="394"/>
      <c r="K115" s="396">
        <v>41821</v>
      </c>
      <c r="L115" s="591"/>
      <c r="M115" s="591"/>
    </row>
    <row r="116" spans="1:13">
      <c r="A116" s="67">
        <v>41456</v>
      </c>
      <c r="B116" s="68">
        <f>VLOOKUP($A116,'HDD-CDD'!$O$233:Q$244,3,FALSE)</f>
        <v>1.4</v>
      </c>
      <c r="C116" s="68">
        <f>VLOOKUP($A116,'HDD-CDD'!$O$233:R$244,4,FALSE)</f>
        <v>133.30000000000001</v>
      </c>
      <c r="D116" s="69">
        <f t="shared" si="2"/>
        <v>31</v>
      </c>
      <c r="E116" s="70">
        <v>0</v>
      </c>
      <c r="F116" s="70">
        <v>0</v>
      </c>
      <c r="G116" s="589">
        <f t="shared" si="3"/>
        <v>352</v>
      </c>
      <c r="H116" s="71">
        <f>HLOOKUP(YEAR($A116),GDP!$25:$37,8,FALSE)</f>
        <v>1.1501475701752613</v>
      </c>
      <c r="I116" s="394"/>
      <c r="J116" s="394"/>
      <c r="K116" s="396">
        <v>41855</v>
      </c>
      <c r="L116" s="591"/>
      <c r="M116" s="591"/>
    </row>
    <row r="117" spans="1:13">
      <c r="A117" s="67">
        <v>41487</v>
      </c>
      <c r="B117" s="68">
        <f>VLOOKUP($A117,'HDD-CDD'!$O$233:Q$244,3,FALSE)</f>
        <v>4.5999999999999996</v>
      </c>
      <c r="C117" s="68">
        <f>VLOOKUP($A117,'HDD-CDD'!$O$233:R$244,4,FALSE)</f>
        <v>93.2</v>
      </c>
      <c r="D117" s="69">
        <f t="shared" si="2"/>
        <v>31</v>
      </c>
      <c r="E117" s="70">
        <v>0</v>
      </c>
      <c r="F117" s="70">
        <v>0</v>
      </c>
      <c r="G117" s="589">
        <f t="shared" si="3"/>
        <v>336</v>
      </c>
      <c r="H117" s="71">
        <f>HLOOKUP(YEAR($A117),GDP!$25:$37,9,FALSE)</f>
        <v>1.1513862004156583</v>
      </c>
      <c r="I117" s="394"/>
      <c r="J117" s="394"/>
      <c r="K117" s="396">
        <v>41883</v>
      </c>
      <c r="L117" s="591"/>
      <c r="M117" s="591"/>
    </row>
    <row r="118" spans="1:13">
      <c r="A118" s="67">
        <v>41518</v>
      </c>
      <c r="B118" s="68">
        <f>VLOOKUP($A118,'HDD-CDD'!$O$233:Q$244,3,FALSE)</f>
        <v>89.6</v>
      </c>
      <c r="C118" s="68">
        <f>VLOOKUP($A118,'HDD-CDD'!$O$233:R$244,4,FALSE)</f>
        <v>28</v>
      </c>
      <c r="D118" s="69">
        <f t="shared" si="2"/>
        <v>30</v>
      </c>
      <c r="E118" s="70">
        <v>1</v>
      </c>
      <c r="F118" s="70">
        <v>0</v>
      </c>
      <c r="G118" s="589">
        <f t="shared" si="3"/>
        <v>320</v>
      </c>
      <c r="H118" s="71">
        <f>HLOOKUP(YEAR($A118),GDP!$25:$37,10,FALSE)</f>
        <v>1.1526261645760774</v>
      </c>
      <c r="I118" s="394"/>
      <c r="J118" s="394"/>
      <c r="K118" s="396">
        <v>41925</v>
      </c>
      <c r="L118" s="591"/>
      <c r="M118" s="591"/>
    </row>
    <row r="119" spans="1:13">
      <c r="A119" s="67">
        <v>41548</v>
      </c>
      <c r="B119" s="68">
        <f>VLOOKUP($A119,'HDD-CDD'!$O$233:Q$244,3,FALSE)</f>
        <v>224.2</v>
      </c>
      <c r="C119" s="68">
        <f>VLOOKUP($A119,'HDD-CDD'!$O$233:R$244,4,FALSE)</f>
        <v>0</v>
      </c>
      <c r="D119" s="69">
        <f t="shared" si="2"/>
        <v>31</v>
      </c>
      <c r="E119" s="70">
        <v>1</v>
      </c>
      <c r="F119" s="70">
        <v>0</v>
      </c>
      <c r="G119" s="589">
        <f t="shared" si="3"/>
        <v>352</v>
      </c>
      <c r="H119" s="71">
        <f>HLOOKUP(YEAR($A119),GDP!$25:$37,11,FALSE)</f>
        <v>1.1538674640930595</v>
      </c>
      <c r="I119" s="394"/>
      <c r="J119" s="394"/>
      <c r="K119" s="396">
        <v>41998</v>
      </c>
      <c r="L119" s="591"/>
      <c r="M119" s="591"/>
    </row>
    <row r="120" spans="1:13">
      <c r="A120" s="67">
        <v>41579</v>
      </c>
      <c r="B120" s="68">
        <f>VLOOKUP($A120,'HDD-CDD'!$O$233:Q$244,3,FALSE)</f>
        <v>478.3</v>
      </c>
      <c r="C120" s="68">
        <f>VLOOKUP($A120,'HDD-CDD'!$O$233:R$244,4,FALSE)</f>
        <v>0</v>
      </c>
      <c r="D120" s="69">
        <f t="shared" si="2"/>
        <v>30</v>
      </c>
      <c r="E120" s="70">
        <v>1</v>
      </c>
      <c r="F120" s="70">
        <v>0</v>
      </c>
      <c r="G120" s="589">
        <f t="shared" si="3"/>
        <v>336</v>
      </c>
      <c r="H120" s="71">
        <f>HLOOKUP(YEAR($A120),GDP!$25:$37,12,FALSE)</f>
        <v>1.155110100404692</v>
      </c>
      <c r="I120" s="394"/>
      <c r="J120" s="394"/>
      <c r="K120" s="396">
        <v>41999</v>
      </c>
      <c r="L120" s="591"/>
      <c r="M120" s="591"/>
    </row>
    <row r="121" spans="1:13">
      <c r="A121" s="67">
        <v>41609</v>
      </c>
      <c r="B121" s="68">
        <f>VLOOKUP($A121,'HDD-CDD'!$O$233:Q$244,3,FALSE)</f>
        <v>687.7</v>
      </c>
      <c r="C121" s="68">
        <f>VLOOKUP($A121,'HDD-CDD'!$O$233:R$244,4,FALSE)</f>
        <v>0</v>
      </c>
      <c r="D121" s="69">
        <f t="shared" si="2"/>
        <v>31</v>
      </c>
      <c r="E121" s="70">
        <v>0</v>
      </c>
      <c r="F121" s="70">
        <v>0</v>
      </c>
      <c r="G121" s="589">
        <f>NETWORKDAYS(A121,A121+30,$K$91:$K$131)*16</f>
        <v>320</v>
      </c>
      <c r="H121" s="71">
        <f>HLOOKUP(YEAR($A121),GDP!$25:$37,13,FALSE)</f>
        <v>1.1563540749506114</v>
      </c>
      <c r="I121" s="394"/>
      <c r="J121" s="394"/>
      <c r="K121" s="396">
        <v>42005</v>
      </c>
      <c r="L121" s="591"/>
      <c r="M121" s="591"/>
    </row>
    <row r="122" spans="1:13">
      <c r="A122" s="67">
        <v>41640</v>
      </c>
      <c r="B122" s="341">
        <f>'HDD-CDD'!C6</f>
        <v>700.25</v>
      </c>
      <c r="C122" s="466">
        <f>'HDD-CDD'!D6</f>
        <v>0</v>
      </c>
      <c r="D122" s="69">
        <f>DAY(EOMONTH(A122,0))</f>
        <v>31</v>
      </c>
      <c r="E122" s="70">
        <v>0</v>
      </c>
      <c r="F122" s="70">
        <v>0</v>
      </c>
      <c r="G122" s="589">
        <f>NETWORKDAYS(A122,A123-1,$K$91:$K$131)*16</f>
        <v>352</v>
      </c>
      <c r="H122" s="71">
        <f>HLOOKUP(YEAR($A122),GDP!$25:$37,2,FALSE)</f>
        <v>1.1583584746270237</v>
      </c>
      <c r="I122" s="394"/>
      <c r="J122" s="394"/>
      <c r="K122" s="396">
        <v>42051</v>
      </c>
      <c r="L122" s="591"/>
      <c r="M122" s="591"/>
    </row>
    <row r="123" spans="1:13">
      <c r="A123" s="67">
        <v>41671</v>
      </c>
      <c r="B123" s="341">
        <f>'HDD-CDD'!C7</f>
        <v>628.92999999999995</v>
      </c>
      <c r="C123" s="466">
        <f>'HDD-CDD'!D7</f>
        <v>0</v>
      </c>
      <c r="D123" s="69">
        <f t="shared" si="2"/>
        <v>28</v>
      </c>
      <c r="E123" s="70">
        <v>0</v>
      </c>
      <c r="F123" s="70">
        <v>0</v>
      </c>
      <c r="G123" s="589">
        <f t="shared" ref="G123:G132" si="4">NETWORKDAYS(A123,A124-1,$K$91:$K$131)*16</f>
        <v>304</v>
      </c>
      <c r="H123" s="71">
        <f>HLOOKUP(YEAR($A123),GDP!$25:$37,3,FALSE)</f>
        <v>1.1603663486874065</v>
      </c>
      <c r="I123" s="394"/>
      <c r="J123" s="394"/>
      <c r="K123" s="396">
        <v>42097</v>
      </c>
      <c r="L123" s="591"/>
      <c r="M123" s="591"/>
    </row>
    <row r="124" spans="1:13">
      <c r="A124" s="67">
        <v>41699</v>
      </c>
      <c r="B124" s="341">
        <f>'HDD-CDD'!C8</f>
        <v>520.29999999999995</v>
      </c>
      <c r="C124" s="466">
        <f>'HDD-CDD'!D8</f>
        <v>0.02</v>
      </c>
      <c r="D124" s="69">
        <f t="shared" si="2"/>
        <v>31</v>
      </c>
      <c r="E124" s="70">
        <v>1</v>
      </c>
      <c r="F124" s="70">
        <v>0</v>
      </c>
      <c r="G124" s="589">
        <f t="shared" si="4"/>
        <v>320</v>
      </c>
      <c r="H124" s="71">
        <f>HLOOKUP(YEAR($A124),GDP!$25:$37,4,FALSE)</f>
        <v>1.1623777031541842</v>
      </c>
      <c r="I124" s="394"/>
      <c r="J124" s="394"/>
      <c r="K124" s="396">
        <v>42142</v>
      </c>
      <c r="L124" s="591"/>
      <c r="M124" s="591"/>
    </row>
    <row r="125" spans="1:13">
      <c r="A125" s="67">
        <v>41730</v>
      </c>
      <c r="B125" s="341">
        <f>'HDD-CDD'!C9</f>
        <v>308.53999999999996</v>
      </c>
      <c r="C125" s="466">
        <f>'HDD-CDD'!D9</f>
        <v>0.12</v>
      </c>
      <c r="D125" s="69">
        <f t="shared" si="2"/>
        <v>30</v>
      </c>
      <c r="E125" s="70">
        <v>1</v>
      </c>
      <c r="F125" s="70">
        <v>0</v>
      </c>
      <c r="G125" s="589">
        <f t="shared" si="4"/>
        <v>352</v>
      </c>
      <c r="H125" s="71">
        <f>HLOOKUP(YEAR($A125),GDP!$25:$37,5,FALSE)</f>
        <v>1.1643925440602192</v>
      </c>
      <c r="I125" s="394"/>
      <c r="J125" s="394"/>
      <c r="K125" s="396">
        <v>42186</v>
      </c>
      <c r="L125" s="591"/>
      <c r="M125" s="591"/>
    </row>
    <row r="126" spans="1:13">
      <c r="A126" s="67">
        <v>41760</v>
      </c>
      <c r="B126" s="341">
        <f>'HDD-CDD'!C10</f>
        <v>140.57</v>
      </c>
      <c r="C126" s="466">
        <f>'HDD-CDD'!D10</f>
        <v>18.57</v>
      </c>
      <c r="D126" s="69">
        <f t="shared" si="2"/>
        <v>31</v>
      </c>
      <c r="E126" s="70">
        <v>1</v>
      </c>
      <c r="F126" s="70">
        <v>0</v>
      </c>
      <c r="G126" s="589">
        <f t="shared" si="4"/>
        <v>336</v>
      </c>
      <c r="H126" s="71">
        <f>HLOOKUP(YEAR($A126),GDP!$25:$37,6,FALSE)</f>
        <v>1.1664108774488315</v>
      </c>
      <c r="I126" s="394"/>
      <c r="J126" s="394"/>
      <c r="K126" s="396">
        <v>42219</v>
      </c>
      <c r="L126" s="591"/>
      <c r="M126" s="591"/>
    </row>
    <row r="127" spans="1:13">
      <c r="A127" s="67">
        <v>41791</v>
      </c>
      <c r="B127" s="341">
        <f>'HDD-CDD'!C11</f>
        <v>25.84</v>
      </c>
      <c r="C127" s="466">
        <f>'HDD-CDD'!D11</f>
        <v>72.819999999999993</v>
      </c>
      <c r="D127" s="69">
        <f t="shared" si="2"/>
        <v>30</v>
      </c>
      <c r="E127" s="70">
        <v>0</v>
      </c>
      <c r="F127" s="70">
        <v>0</v>
      </c>
      <c r="G127" s="589">
        <f t="shared" si="4"/>
        <v>336</v>
      </c>
      <c r="H127" s="71">
        <f>HLOOKUP(YEAR($A127),GDP!$25:$37,7,FALSE)</f>
        <v>1.1684327093738167</v>
      </c>
      <c r="I127" s="394"/>
      <c r="J127" s="394"/>
      <c r="K127" s="396">
        <v>42254</v>
      </c>
      <c r="L127" s="591"/>
      <c r="M127" s="591"/>
    </row>
    <row r="128" spans="1:13">
      <c r="A128" s="67">
        <v>41821</v>
      </c>
      <c r="B128" s="341">
        <f>'HDD-CDD'!C12</f>
        <v>1.7200000000000002</v>
      </c>
      <c r="C128" s="466">
        <f>'HDD-CDD'!D12</f>
        <v>139.54000000000002</v>
      </c>
      <c r="D128" s="69">
        <f t="shared" si="2"/>
        <v>31</v>
      </c>
      <c r="E128" s="70">
        <v>0</v>
      </c>
      <c r="F128" s="70">
        <v>0</v>
      </c>
      <c r="G128" s="589">
        <f t="shared" si="4"/>
        <v>352</v>
      </c>
      <c r="H128" s="71">
        <f>HLOOKUP(YEAR($A128),GDP!$25:$37,8,FALSE)</f>
        <v>1.1704580458994638</v>
      </c>
      <c r="I128" s="394"/>
      <c r="J128" s="394"/>
      <c r="K128" s="396">
        <v>42289</v>
      </c>
      <c r="L128" s="591"/>
      <c r="M128" s="591"/>
    </row>
    <row r="129" spans="1:13">
      <c r="A129" s="67">
        <v>41852</v>
      </c>
      <c r="B129" s="341">
        <f>'HDD-CDD'!C13</f>
        <v>5.3599999999999994</v>
      </c>
      <c r="C129" s="466">
        <f>'HDD-CDD'!D13</f>
        <v>106.42000000000002</v>
      </c>
      <c r="D129" s="69">
        <f t="shared" si="2"/>
        <v>31</v>
      </c>
      <c r="E129" s="70">
        <v>0</v>
      </c>
      <c r="F129" s="70">
        <v>0</v>
      </c>
      <c r="G129" s="589">
        <f t="shared" si="4"/>
        <v>320</v>
      </c>
      <c r="H129" s="71">
        <f>HLOOKUP(YEAR($A129),GDP!$25:$37,9,FALSE)</f>
        <v>1.172486893100573</v>
      </c>
      <c r="I129" s="394"/>
      <c r="J129" s="394"/>
      <c r="K129" s="396">
        <v>42363</v>
      </c>
      <c r="L129" s="591"/>
      <c r="M129" s="591"/>
    </row>
    <row r="130" spans="1:13">
      <c r="A130" s="67">
        <v>41883</v>
      </c>
      <c r="B130" s="341">
        <f>'HDD-CDD'!C14</f>
        <v>58.56</v>
      </c>
      <c r="C130" s="466">
        <f>'HDD-CDD'!D14</f>
        <v>33.610000000000007</v>
      </c>
      <c r="D130" s="69">
        <f t="shared" si="2"/>
        <v>30</v>
      </c>
      <c r="E130" s="70">
        <v>1</v>
      </c>
      <c r="F130" s="70">
        <v>0</v>
      </c>
      <c r="G130" s="589">
        <f t="shared" si="4"/>
        <v>336</v>
      </c>
      <c r="H130" s="71">
        <f>HLOOKUP(YEAR($A130),GDP!$25:$37,10,FALSE)</f>
        <v>1.174519257062475</v>
      </c>
      <c r="I130" s="394"/>
      <c r="J130" s="394"/>
      <c r="K130" s="396">
        <v>42364</v>
      </c>
      <c r="L130" s="591"/>
      <c r="M130" s="591"/>
    </row>
    <row r="131" spans="1:13">
      <c r="A131" s="67">
        <v>41913</v>
      </c>
      <c r="B131" s="341">
        <f>'HDD-CDD'!C15</f>
        <v>238.26999999999998</v>
      </c>
      <c r="C131" s="466">
        <f>'HDD-CDD'!D15</f>
        <v>3.35</v>
      </c>
      <c r="D131" s="69">
        <f t="shared" si="2"/>
        <v>31</v>
      </c>
      <c r="E131" s="70">
        <v>1</v>
      </c>
      <c r="F131" s="70">
        <v>0</v>
      </c>
      <c r="G131" s="589">
        <f t="shared" si="4"/>
        <v>352</v>
      </c>
      <c r="H131" s="71">
        <f>HLOOKUP(YEAR($A131),GDP!$25:$37,11,FALSE)</f>
        <v>1.1765551438810484</v>
      </c>
      <c r="I131" s="394"/>
      <c r="J131" s="394"/>
      <c r="K131" s="396"/>
      <c r="L131" s="591"/>
      <c r="M131" s="591"/>
    </row>
    <row r="132" spans="1:13">
      <c r="A132" s="67">
        <v>41944</v>
      </c>
      <c r="B132" s="341">
        <f>'HDD-CDD'!C16</f>
        <v>408.47</v>
      </c>
      <c r="C132" s="466">
        <f>'HDD-CDD'!D16</f>
        <v>0</v>
      </c>
      <c r="D132" s="69">
        <f t="shared" si="2"/>
        <v>30</v>
      </c>
      <c r="E132" s="70">
        <v>1</v>
      </c>
      <c r="F132" s="70">
        <v>0</v>
      </c>
      <c r="G132" s="589">
        <f t="shared" si="4"/>
        <v>320</v>
      </c>
      <c r="H132" s="71">
        <f>HLOOKUP(YEAR($A132),GDP!$25:$37,12,FALSE)</f>
        <v>1.1785945596627387</v>
      </c>
      <c r="I132" s="394"/>
      <c r="J132" s="394"/>
      <c r="L132" s="591"/>
      <c r="M132" s="591"/>
    </row>
    <row r="133" spans="1:13">
      <c r="A133" s="67">
        <v>41974</v>
      </c>
      <c r="B133" s="341">
        <f>'HDD-CDD'!C17</f>
        <v>615.7199999999998</v>
      </c>
      <c r="C133" s="466">
        <f>'HDD-CDD'!D17</f>
        <v>0</v>
      </c>
      <c r="D133" s="69">
        <f t="shared" si="2"/>
        <v>31</v>
      </c>
      <c r="E133" s="70">
        <v>0</v>
      </c>
      <c r="F133" s="70">
        <v>0</v>
      </c>
      <c r="G133" s="589">
        <f>NETWORKDAYS(A133,A133+30,$K$91:$K$131)*16</f>
        <v>336</v>
      </c>
      <c r="H133" s="71">
        <f>HLOOKUP(YEAR($A133),GDP!$25:$37,13,FALSE)</f>
        <v>1.1806375105245757</v>
      </c>
      <c r="I133" s="394"/>
      <c r="J133" s="394"/>
      <c r="L133" s="591"/>
      <c r="M133" s="591"/>
    </row>
    <row r="134" spans="1:13">
      <c r="A134" s="67">
        <v>42005</v>
      </c>
      <c r="B134" s="341">
        <f>B122</f>
        <v>700.25</v>
      </c>
      <c r="C134" s="466">
        <f>C122</f>
        <v>0</v>
      </c>
      <c r="D134" s="69">
        <f t="shared" ref="D134:D145" si="5">DAY(EOMONTH(A134,0))</f>
        <v>31</v>
      </c>
      <c r="E134" s="70">
        <v>0</v>
      </c>
      <c r="F134" s="70">
        <v>0</v>
      </c>
      <c r="G134" s="589">
        <f>NETWORKDAYS(A134,A135-1,$K$91:$K$131)*16</f>
        <v>336</v>
      </c>
      <c r="H134" s="71">
        <f>HLOOKUP(YEAR($A134),GDP!$25:$37,2,FALSE)</f>
        <v>1.1830694304902911</v>
      </c>
      <c r="I134" s="394"/>
      <c r="J134" s="394"/>
      <c r="L134" s="591"/>
      <c r="M134" s="591"/>
    </row>
    <row r="135" spans="1:13">
      <c r="A135" s="67">
        <v>42036</v>
      </c>
      <c r="B135" s="341">
        <f t="shared" ref="B135:C145" si="6">B123</f>
        <v>628.92999999999995</v>
      </c>
      <c r="C135" s="466">
        <f t="shared" si="6"/>
        <v>0</v>
      </c>
      <c r="D135" s="69">
        <f t="shared" si="5"/>
        <v>28</v>
      </c>
      <c r="E135" s="70">
        <v>0</v>
      </c>
      <c r="F135" s="70">
        <v>0</v>
      </c>
      <c r="G135" s="589">
        <f t="shared" ref="G135:G144" si="7">NETWORKDAYS(A135,A136-1,$K$91:$K$131)*16</f>
        <v>304</v>
      </c>
      <c r="H135" s="71">
        <f>HLOOKUP(YEAR($A135),GDP!$25:$37,3,FALSE)</f>
        <v>1.1855063598129572</v>
      </c>
      <c r="I135" s="394"/>
      <c r="J135" s="394"/>
      <c r="L135" s="591"/>
      <c r="M135" s="591"/>
    </row>
    <row r="136" spans="1:13">
      <c r="A136" s="67">
        <v>42064</v>
      </c>
      <c r="B136" s="341">
        <f t="shared" si="6"/>
        <v>520.29999999999995</v>
      </c>
      <c r="C136" s="466">
        <f>C124</f>
        <v>0.02</v>
      </c>
      <c r="D136" s="69">
        <f t="shared" si="5"/>
        <v>31</v>
      </c>
      <c r="E136" s="70">
        <v>1</v>
      </c>
      <c r="F136" s="70">
        <v>0</v>
      </c>
      <c r="G136" s="662">
        <f t="shared" si="7"/>
        <v>352</v>
      </c>
      <c r="H136" s="71">
        <f>HLOOKUP(YEAR($A136),GDP!$25:$37,4,FALSE)</f>
        <v>1.187948308811029</v>
      </c>
      <c r="I136" s="394"/>
      <c r="J136" s="394"/>
      <c r="L136" s="591"/>
      <c r="M136" s="591"/>
    </row>
    <row r="137" spans="1:13">
      <c r="A137" s="67">
        <v>42095</v>
      </c>
      <c r="B137" s="341">
        <f t="shared" si="6"/>
        <v>308.53999999999996</v>
      </c>
      <c r="C137" s="466">
        <f t="shared" si="6"/>
        <v>0.12</v>
      </c>
      <c r="D137" s="69">
        <f t="shared" si="5"/>
        <v>30</v>
      </c>
      <c r="E137" s="70">
        <v>1</v>
      </c>
      <c r="F137" s="70">
        <v>0</v>
      </c>
      <c r="G137" s="662">
        <f t="shared" si="7"/>
        <v>336</v>
      </c>
      <c r="H137" s="71">
        <f>HLOOKUP(YEAR($A137),GDP!$25:$37,5,FALSE)</f>
        <v>1.1903952878242163</v>
      </c>
      <c r="I137" s="394"/>
      <c r="J137" s="394"/>
      <c r="L137" s="591"/>
      <c r="M137" s="591"/>
    </row>
    <row r="138" spans="1:13">
      <c r="A138" s="67">
        <v>42125</v>
      </c>
      <c r="B138" s="341">
        <f t="shared" si="6"/>
        <v>140.57</v>
      </c>
      <c r="C138" s="466">
        <f t="shared" ref="C138:C144" si="8">C126</f>
        <v>18.57</v>
      </c>
      <c r="D138" s="69">
        <f t="shared" si="5"/>
        <v>31</v>
      </c>
      <c r="E138" s="70">
        <v>1</v>
      </c>
      <c r="F138" s="70">
        <v>0</v>
      </c>
      <c r="G138" s="662">
        <f t="shared" si="7"/>
        <v>320</v>
      </c>
      <c r="H138" s="71">
        <f>HLOOKUP(YEAR($A138),GDP!$25:$37,6,FALSE)</f>
        <v>1.1928473072135266</v>
      </c>
      <c r="I138" s="394"/>
      <c r="J138" s="394"/>
      <c r="L138" s="591"/>
      <c r="M138" s="591"/>
    </row>
    <row r="139" spans="1:13">
      <c r="A139" s="67">
        <v>42156</v>
      </c>
      <c r="B139" s="341">
        <f t="shared" si="6"/>
        <v>25.84</v>
      </c>
      <c r="C139" s="466">
        <f t="shared" si="8"/>
        <v>72.819999999999993</v>
      </c>
      <c r="D139" s="69">
        <f t="shared" si="5"/>
        <v>30</v>
      </c>
      <c r="E139" s="70">
        <v>0</v>
      </c>
      <c r="F139" s="70">
        <v>0</v>
      </c>
      <c r="G139" s="662">
        <f t="shared" si="7"/>
        <v>352</v>
      </c>
      <c r="H139" s="71">
        <f>HLOOKUP(YEAR($A139),GDP!$25:$37,7,FALSE)</f>
        <v>1.1953043773613092</v>
      </c>
      <c r="I139" s="394"/>
      <c r="J139" s="394"/>
      <c r="L139" s="591"/>
      <c r="M139" s="591"/>
    </row>
    <row r="140" spans="1:13">
      <c r="A140" s="67">
        <v>42186</v>
      </c>
      <c r="B140" s="341">
        <f t="shared" si="6"/>
        <v>1.7200000000000002</v>
      </c>
      <c r="C140" s="466">
        <f t="shared" si="8"/>
        <v>139.54000000000002</v>
      </c>
      <c r="D140" s="69">
        <f t="shared" si="5"/>
        <v>31</v>
      </c>
      <c r="E140" s="70">
        <v>0</v>
      </c>
      <c r="F140" s="70">
        <v>0</v>
      </c>
      <c r="G140" s="662">
        <f t="shared" si="7"/>
        <v>352</v>
      </c>
      <c r="H140" s="71">
        <f>HLOOKUP(YEAR($A140),GDP!$25:$37,8,FALSE)</f>
        <v>1.1977665086713001</v>
      </c>
      <c r="I140" s="394"/>
      <c r="J140" s="394"/>
      <c r="L140" s="591"/>
      <c r="M140" s="591"/>
    </row>
    <row r="141" spans="1:13">
      <c r="A141" s="67">
        <v>42217</v>
      </c>
      <c r="B141" s="341">
        <f t="shared" si="6"/>
        <v>5.3599999999999994</v>
      </c>
      <c r="C141" s="466">
        <f t="shared" si="8"/>
        <v>106.42000000000002</v>
      </c>
      <c r="D141" s="69">
        <f t="shared" si="5"/>
        <v>31</v>
      </c>
      <c r="E141" s="70">
        <v>0</v>
      </c>
      <c r="F141" s="70">
        <v>0</v>
      </c>
      <c r="G141" s="662">
        <f t="shared" si="7"/>
        <v>320</v>
      </c>
      <c r="H141" s="71">
        <f>HLOOKUP(YEAR($A141),GDP!$25:$37,9,FALSE)</f>
        <v>1.2002337115686641</v>
      </c>
      <c r="I141" s="394"/>
      <c r="J141" s="394"/>
      <c r="L141" s="591"/>
      <c r="M141" s="591"/>
    </row>
    <row r="142" spans="1:13">
      <c r="A142" s="67">
        <v>42248</v>
      </c>
      <c r="B142" s="341">
        <f t="shared" si="6"/>
        <v>58.56</v>
      </c>
      <c r="C142" s="466">
        <f t="shared" si="8"/>
        <v>33.610000000000007</v>
      </c>
      <c r="D142" s="69">
        <f t="shared" si="5"/>
        <v>30</v>
      </c>
      <c r="E142" s="70">
        <v>1</v>
      </c>
      <c r="F142" s="70">
        <v>0</v>
      </c>
      <c r="G142" s="662">
        <f t="shared" si="7"/>
        <v>336</v>
      </c>
      <c r="H142" s="71">
        <f>HLOOKUP(YEAR($A142),GDP!$25:$37,10,FALSE)</f>
        <v>1.2027059965000411</v>
      </c>
      <c r="I142" s="394"/>
      <c r="J142" s="394"/>
      <c r="L142" s="591"/>
      <c r="M142" s="591"/>
    </row>
    <row r="143" spans="1:13">
      <c r="A143" s="67">
        <v>42278</v>
      </c>
      <c r="B143" s="341">
        <f t="shared" si="6"/>
        <v>238.26999999999998</v>
      </c>
      <c r="C143" s="466">
        <f t="shared" si="8"/>
        <v>3.35</v>
      </c>
      <c r="D143" s="69">
        <f t="shared" si="5"/>
        <v>31</v>
      </c>
      <c r="E143" s="70">
        <v>1</v>
      </c>
      <c r="F143" s="70">
        <v>0</v>
      </c>
      <c r="G143" s="662">
        <f t="shared" si="7"/>
        <v>336</v>
      </c>
      <c r="H143" s="71">
        <f>HLOOKUP(YEAR($A143),GDP!$25:$37,11,FALSE)</f>
        <v>1.2051833739335891</v>
      </c>
      <c r="I143" s="394"/>
      <c r="J143" s="394"/>
      <c r="L143" s="591"/>
      <c r="M143" s="591"/>
    </row>
    <row r="144" spans="1:13">
      <c r="A144" s="67">
        <v>42309</v>
      </c>
      <c r="B144" s="341">
        <f t="shared" si="6"/>
        <v>408.47</v>
      </c>
      <c r="C144" s="466">
        <f t="shared" si="8"/>
        <v>0</v>
      </c>
      <c r="D144" s="69">
        <f t="shared" si="5"/>
        <v>30</v>
      </c>
      <c r="E144" s="70">
        <v>1</v>
      </c>
      <c r="F144" s="70">
        <v>0</v>
      </c>
      <c r="G144" s="662">
        <f t="shared" si="7"/>
        <v>336</v>
      </c>
      <c r="H144" s="71">
        <f>HLOOKUP(YEAR($A144),GDP!$25:$37,12,FALSE)</f>
        <v>1.2076658543590291</v>
      </c>
      <c r="I144" s="394"/>
      <c r="J144" s="394"/>
      <c r="L144" s="591"/>
      <c r="M144" s="591"/>
    </row>
    <row r="145" spans="1:13" ht="13.8" thickBot="1">
      <c r="A145" s="67">
        <v>42339</v>
      </c>
      <c r="B145" s="341">
        <f t="shared" si="6"/>
        <v>615.7199999999998</v>
      </c>
      <c r="C145" s="466">
        <f t="shared" si="6"/>
        <v>0</v>
      </c>
      <c r="D145" s="69">
        <f t="shared" si="5"/>
        <v>31</v>
      </c>
      <c r="E145" s="70">
        <v>0</v>
      </c>
      <c r="F145" s="70">
        <v>0</v>
      </c>
      <c r="G145" s="662">
        <f>NETWORKDAYS(A145,A145+30,$K$91:$K$131)*16</f>
        <v>352</v>
      </c>
      <c r="H145" s="71">
        <f>HLOOKUP(YEAR($A145),GDP!$25:$37,13,FALSE)</f>
        <v>1.2101534482876883</v>
      </c>
      <c r="I145" s="394"/>
      <c r="J145" s="394"/>
      <c r="L145" s="591"/>
      <c r="M145" s="591"/>
    </row>
    <row r="146" spans="1:13" ht="13.8" thickBot="1">
      <c r="A146" s="75"/>
      <c r="B146" s="936" t="s">
        <v>36</v>
      </c>
      <c r="C146" s="937"/>
      <c r="D146" s="69"/>
      <c r="H146" s="71"/>
    </row>
    <row r="147" spans="1:13">
      <c r="D147" s="69"/>
    </row>
    <row r="148" spans="1:13">
      <c r="D148" s="69"/>
    </row>
    <row r="149" spans="1:13">
      <c r="D149" s="69"/>
    </row>
    <row r="150" spans="1:13">
      <c r="D150" s="69"/>
    </row>
    <row r="151" spans="1:13">
      <c r="D151" s="69"/>
    </row>
    <row r="152" spans="1:13">
      <c r="D152" s="69"/>
    </row>
    <row r="153" spans="1:13">
      <c r="D153" s="69"/>
    </row>
    <row r="154" spans="1:13">
      <c r="D154" s="69"/>
    </row>
    <row r="155" spans="1:13">
      <c r="D155" s="69"/>
    </row>
    <row r="156" spans="1:13">
      <c r="D156" s="69"/>
    </row>
    <row r="157" spans="1:13">
      <c r="D157" s="69"/>
    </row>
    <row r="158" spans="1:13">
      <c r="D158" s="69"/>
    </row>
    <row r="159" spans="1:13">
      <c r="D159" s="69"/>
    </row>
    <row r="160" spans="1:13">
      <c r="D160" s="69"/>
    </row>
    <row r="161" spans="4:4">
      <c r="D161" s="69"/>
    </row>
    <row r="162" spans="4:4">
      <c r="D162" s="69"/>
    </row>
    <row r="163" spans="4:4">
      <c r="D163" s="69"/>
    </row>
    <row r="164" spans="4:4">
      <c r="D164" s="69"/>
    </row>
    <row r="165" spans="4:4">
      <c r="D165" s="69"/>
    </row>
    <row r="166" spans="4:4">
      <c r="D166" s="69"/>
    </row>
    <row r="167" spans="4:4">
      <c r="D167" s="69"/>
    </row>
    <row r="168" spans="4:4">
      <c r="D168" s="69"/>
    </row>
    <row r="169" spans="4:4">
      <c r="D169" s="69"/>
    </row>
  </sheetData>
  <mergeCells count="1">
    <mergeCell ref="B146:C146"/>
  </mergeCells>
  <printOptions horizontalCentered="1"/>
  <pageMargins left="0.7" right="0.7" top="0.75" bottom="0.75" header="0.3" footer="0.3"/>
  <pageSetup scale="70" orientation="portrait" r:id="rId1"/>
  <rowBreaks count="1" manualBreakCount="1">
    <brk id="37" max="16383" man="1"/>
  </rowBreaks>
  <ignoredErrors>
    <ignoredError sqref="G92:G96 G88 G133 G121 G109" formula="1"/>
  </ignoredError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00B050"/>
  </sheetPr>
  <dimension ref="A1:X83"/>
  <sheetViews>
    <sheetView showGridLines="0" topLeftCell="J33" zoomScaleNormal="100" workbookViewId="0">
      <selection activeCell="R49" sqref="R49"/>
    </sheetView>
  </sheetViews>
  <sheetFormatPr defaultRowHeight="13.2"/>
  <cols>
    <col min="1" max="1" width="16.88671875" bestFit="1" customWidth="1"/>
    <col min="2" max="2" width="10.88671875" customWidth="1"/>
    <col min="3" max="3" width="12.88671875" style="36" customWidth="1"/>
    <col min="4" max="12" width="11.88671875" bestFit="1" customWidth="1"/>
    <col min="13" max="13" width="11.44140625" bestFit="1" customWidth="1"/>
    <col min="14" max="15" width="10.109375" customWidth="1"/>
    <col min="16" max="16" width="9.88671875" customWidth="1"/>
    <col min="17" max="24" width="10.33203125" customWidth="1"/>
    <col min="25" max="25" width="5" bestFit="1" customWidth="1"/>
    <col min="26" max="26" width="5.88671875" customWidth="1"/>
  </cols>
  <sheetData>
    <row r="1" spans="1:24" ht="18" thickBot="1">
      <c r="A1" s="933" t="s">
        <v>321</v>
      </c>
      <c r="B1" s="933"/>
      <c r="C1" s="933"/>
      <c r="D1" s="933"/>
      <c r="E1" s="933"/>
      <c r="F1" s="933"/>
      <c r="G1" s="933"/>
      <c r="H1" s="933"/>
      <c r="I1" s="933"/>
      <c r="J1" s="933"/>
      <c r="K1" s="933"/>
      <c r="L1" s="933"/>
      <c r="M1" s="933"/>
      <c r="N1" s="933"/>
      <c r="O1" s="933"/>
      <c r="P1" s="933"/>
      <c r="Q1" s="933"/>
      <c r="R1" s="933"/>
    </row>
    <row r="2" spans="1:24">
      <c r="A2" s="37"/>
      <c r="B2" s="38"/>
      <c r="C2" s="38"/>
      <c r="D2" s="39" t="s">
        <v>24</v>
      </c>
      <c r="E2" s="40"/>
      <c r="F2" s="323"/>
      <c r="G2" s="323"/>
    </row>
    <row r="3" spans="1:24" ht="13.8" thickBot="1">
      <c r="A3" s="41"/>
      <c r="B3" s="42"/>
      <c r="C3" s="43" t="s">
        <v>158</v>
      </c>
      <c r="D3" s="43" t="s">
        <v>164</v>
      </c>
      <c r="E3" s="44" t="s">
        <v>175</v>
      </c>
      <c r="F3" s="574"/>
      <c r="G3" s="574"/>
    </row>
    <row r="4" spans="1:24">
      <c r="A4" s="45" t="s">
        <v>25</v>
      </c>
      <c r="B4" s="46"/>
      <c r="C4" s="568">
        <v>1.2999999999999999E-2</v>
      </c>
      <c r="D4" s="568">
        <v>2.1000000000000001E-2</v>
      </c>
      <c r="E4" s="590">
        <v>2.5000000000000001E-2</v>
      </c>
      <c r="F4" s="575"/>
      <c r="G4" s="575"/>
      <c r="H4" s="36"/>
    </row>
    <row r="5" spans="1:24">
      <c r="A5" s="45"/>
      <c r="B5" s="46"/>
      <c r="C5" s="569"/>
      <c r="D5" s="569"/>
      <c r="E5" s="47"/>
      <c r="F5" s="575"/>
      <c r="G5" s="575"/>
    </row>
    <row r="6" spans="1:24" ht="13.8" thickBot="1">
      <c r="A6" s="45" t="s">
        <v>26</v>
      </c>
      <c r="B6" s="46"/>
      <c r="C6" s="570">
        <f>AVERAGE(C4)</f>
        <v>1.2999999999999999E-2</v>
      </c>
      <c r="D6" s="570">
        <f>AVERAGE(D4)</f>
        <v>2.1000000000000001E-2</v>
      </c>
      <c r="E6" s="47">
        <f>AVERAGE(E4)</f>
        <v>2.5000000000000001E-2</v>
      </c>
      <c r="F6" s="575"/>
      <c r="G6" s="575"/>
      <c r="O6" s="537"/>
    </row>
    <row r="7" spans="1:24" ht="13.8" thickBot="1">
      <c r="A7" s="48" t="s">
        <v>27</v>
      </c>
      <c r="B7" s="49"/>
      <c r="C7" s="50">
        <f>(1+C6)^(1/12)-1</f>
        <v>1.0769315803607071E-3</v>
      </c>
      <c r="D7" s="50">
        <f>(1+D6)^(1/12)-1</f>
        <v>1.73337883251512E-3</v>
      </c>
      <c r="E7" s="51">
        <f>(1+E6)^(1/12)-1</f>
        <v>2.0598362698427408E-3</v>
      </c>
      <c r="F7" s="576">
        <f>(1+C7)^12-1</f>
        <v>1.2999999999999456E-2</v>
      </c>
      <c r="G7" s="576"/>
    </row>
    <row r="8" spans="1:24">
      <c r="A8" s="52"/>
      <c r="B8" s="53"/>
      <c r="C8" s="54"/>
      <c r="D8" s="54"/>
      <c r="E8" s="54"/>
    </row>
    <row r="9" spans="1:24" s="55" customFormat="1" ht="13.8" thickBot="1">
      <c r="A9" s="1001" t="s">
        <v>28</v>
      </c>
      <c r="B9" s="1001"/>
      <c r="C9" s="1001"/>
      <c r="D9" s="1001"/>
      <c r="E9" s="1001"/>
      <c r="F9" s="1001"/>
      <c r="G9" s="1001"/>
      <c r="H9" s="1001"/>
      <c r="I9" s="1001"/>
      <c r="J9" s="1001"/>
      <c r="K9" s="1001"/>
      <c r="L9" s="1001"/>
      <c r="M9" s="1001"/>
      <c r="N9" s="1001"/>
      <c r="O9" s="1001"/>
      <c r="P9" s="1001"/>
      <c r="Q9" s="1001"/>
      <c r="R9" s="1001"/>
      <c r="S9" s="393"/>
      <c r="T9" s="393"/>
      <c r="U9" s="393"/>
    </row>
    <row r="10" spans="1:24" ht="13.8" thickBot="1">
      <c r="A10" s="12"/>
      <c r="B10" s="10">
        <v>1999</v>
      </c>
      <c r="C10" s="10">
        <v>2000</v>
      </c>
      <c r="D10" s="10">
        <v>2001</v>
      </c>
      <c r="E10" s="10">
        <v>2002</v>
      </c>
      <c r="F10" s="10">
        <v>2003</v>
      </c>
      <c r="G10" s="10">
        <v>2004</v>
      </c>
      <c r="H10" s="10">
        <v>2005</v>
      </c>
      <c r="I10" s="10">
        <v>2006</v>
      </c>
      <c r="J10" s="10">
        <v>2007</v>
      </c>
      <c r="K10" s="10">
        <v>2008</v>
      </c>
      <c r="L10" s="10">
        <v>2009</v>
      </c>
      <c r="M10" s="10">
        <v>2010</v>
      </c>
      <c r="N10" s="11">
        <v>2011</v>
      </c>
      <c r="O10" s="10">
        <v>2012</v>
      </c>
      <c r="P10" s="11">
        <v>2013</v>
      </c>
      <c r="Q10" s="13">
        <v>2014</v>
      </c>
      <c r="R10" s="13">
        <v>2015</v>
      </c>
    </row>
    <row r="11" spans="1:24">
      <c r="A11" s="18" t="s">
        <v>3</v>
      </c>
      <c r="B11" s="477">
        <v>402076.17516341701</v>
      </c>
      <c r="C11" s="478">
        <v>431769.22656862653</v>
      </c>
      <c r="D11" s="478">
        <v>455905.44293818704</v>
      </c>
      <c r="E11" s="478">
        <v>464540.7253813998</v>
      </c>
      <c r="F11" s="478">
        <v>478307.73759503814</v>
      </c>
      <c r="G11" s="478">
        <v>485365.57817755971</v>
      </c>
      <c r="H11" s="478">
        <v>497909.84263451979</v>
      </c>
      <c r="I11" s="478">
        <v>511538.25970119721</v>
      </c>
      <c r="J11" s="478">
        <v>523843.36071908881</v>
      </c>
      <c r="K11" s="478">
        <v>532948.41613865062</v>
      </c>
      <c r="L11" s="478">
        <v>528377.78261290293</v>
      </c>
      <c r="M11" s="478">
        <v>513928.93178609869</v>
      </c>
      <c r="N11" s="478">
        <v>528598.26</v>
      </c>
      <c r="O11" s="478">
        <v>537980.70227649168</v>
      </c>
      <c r="P11" s="479">
        <f>O22*(1+C$7)</f>
        <v>545960.66828132793</v>
      </c>
      <c r="Q11" s="571">
        <f t="shared" ref="Q11" si="0">P22*(1+D$7)</f>
        <v>553420.81991323107</v>
      </c>
      <c r="R11" s="479">
        <f>Q22*(1+E$7)</f>
        <v>565226.80031933333</v>
      </c>
      <c r="S11" s="393"/>
      <c r="T11" s="393"/>
      <c r="U11" s="393"/>
      <c r="V11" s="393"/>
      <c r="W11" s="393"/>
      <c r="X11" s="393"/>
    </row>
    <row r="12" spans="1:24">
      <c r="A12" s="18" t="s">
        <v>4</v>
      </c>
      <c r="B12" s="480">
        <v>404512.01820080506</v>
      </c>
      <c r="C12" s="397">
        <v>433851.44651154178</v>
      </c>
      <c r="D12" s="397">
        <v>456577.87621457211</v>
      </c>
      <c r="E12" s="397">
        <v>465727.47479346831</v>
      </c>
      <c r="F12" s="397">
        <v>478853.09629101428</v>
      </c>
      <c r="G12" s="397">
        <v>486392.32375462091</v>
      </c>
      <c r="H12" s="397">
        <v>499042.25490626087</v>
      </c>
      <c r="I12" s="397">
        <v>512569.59453825391</v>
      </c>
      <c r="J12" s="397">
        <v>524690.08785783011</v>
      </c>
      <c r="K12" s="397">
        <v>532663.98415832536</v>
      </c>
      <c r="L12" s="397">
        <v>526931.53468470543</v>
      </c>
      <c r="M12" s="397">
        <v>515175.88173400913</v>
      </c>
      <c r="N12" s="397">
        <v>529384.68999999994</v>
      </c>
      <c r="O12" s="397">
        <v>538648.59871005465</v>
      </c>
      <c r="P12" s="481">
        <f>P11*(1+C$7)</f>
        <v>546548.63056663494</v>
      </c>
      <c r="Q12" s="572">
        <f t="shared" ref="Q12:R22" si="1">Q11*(1+D$7)</f>
        <v>554380.10784794181</v>
      </c>
      <c r="R12" s="481">
        <f t="shared" si="1"/>
        <v>566391.07498331822</v>
      </c>
    </row>
    <row r="13" spans="1:24">
      <c r="A13" s="18" t="s">
        <v>5</v>
      </c>
      <c r="B13" s="480">
        <v>406962.61797253683</v>
      </c>
      <c r="C13" s="397">
        <v>435943.70802209055</v>
      </c>
      <c r="D13" s="397">
        <v>457251.30128984485</v>
      </c>
      <c r="E13" s="397">
        <v>466917.25596161355</v>
      </c>
      <c r="F13" s="397">
        <v>479399.07679609762</v>
      </c>
      <c r="G13" s="397">
        <v>487421.2413161149</v>
      </c>
      <c r="H13" s="397">
        <v>500177.2426594313</v>
      </c>
      <c r="I13" s="397">
        <v>513603.00869494304</v>
      </c>
      <c r="J13" s="397">
        <v>525538.18362486991</v>
      </c>
      <c r="K13" s="397">
        <v>532379.7039779661</v>
      </c>
      <c r="L13" s="397">
        <v>525489.24535041291</v>
      </c>
      <c r="M13" s="397">
        <v>516425.85716672189</v>
      </c>
      <c r="N13" s="397">
        <v>530172.29</v>
      </c>
      <c r="O13" s="397">
        <v>539317.32432883582</v>
      </c>
      <c r="P13" s="481">
        <f t="shared" ref="P13:P22" si="2">P12*(1+C$7)</f>
        <v>547137.22604709503</v>
      </c>
      <c r="Q13" s="572">
        <f t="shared" si="1"/>
        <v>555341.0585920529</v>
      </c>
      <c r="R13" s="481">
        <f t="shared" si="1"/>
        <v>567557.74786248407</v>
      </c>
      <c r="S13" s="393"/>
      <c r="T13" s="393"/>
      <c r="U13" s="393"/>
      <c r="V13" s="393"/>
      <c r="W13" s="393"/>
      <c r="X13" s="393"/>
    </row>
    <row r="14" spans="1:24">
      <c r="A14" s="18" t="s">
        <v>6</v>
      </c>
      <c r="B14" s="480">
        <v>409428.06387731532</v>
      </c>
      <c r="C14" s="397">
        <v>438046.0595260316</v>
      </c>
      <c r="D14" s="397">
        <v>457925.71962684934</v>
      </c>
      <c r="E14" s="397">
        <v>468110.07663097931</v>
      </c>
      <c r="F14" s="397">
        <v>479945.6798192648</v>
      </c>
      <c r="G14" s="397">
        <v>488452.33545667201</v>
      </c>
      <c r="H14" s="397">
        <v>501314.8117515308</v>
      </c>
      <c r="I14" s="397">
        <v>514638.50636347255</v>
      </c>
      <c r="J14" s="397">
        <v>526387.65023242438</v>
      </c>
      <c r="K14" s="397">
        <v>532095.5755165579</v>
      </c>
      <c r="L14" s="397">
        <v>524050.90377477009</v>
      </c>
      <c r="M14" s="397">
        <v>517678.86542499537</v>
      </c>
      <c r="N14" s="397">
        <v>530961.06000000006</v>
      </c>
      <c r="O14" s="397">
        <v>539986.8801622584</v>
      </c>
      <c r="P14" s="481">
        <f t="shared" si="2"/>
        <v>547726.45540461608</v>
      </c>
      <c r="Q14" s="572">
        <f t="shared" si="1"/>
        <v>556303.67502784287</v>
      </c>
      <c r="R14" s="481">
        <f t="shared" si="1"/>
        <v>568726.82389676152</v>
      </c>
    </row>
    <row r="15" spans="1:24">
      <c r="A15" s="18" t="s">
        <v>7</v>
      </c>
      <c r="B15" s="480">
        <v>411908.44585543557</v>
      </c>
      <c r="C15" s="397">
        <v>440158.54968265828</v>
      </c>
      <c r="D15" s="397">
        <v>458601.13269058726</v>
      </c>
      <c r="E15" s="397">
        <v>469305.94456649577</v>
      </c>
      <c r="F15" s="397">
        <v>480492.90607030079</v>
      </c>
      <c r="G15" s="397">
        <v>489485.61078064208</v>
      </c>
      <c r="H15" s="397">
        <v>502454.96805338102</v>
      </c>
      <c r="I15" s="397">
        <v>515676.09174450254</v>
      </c>
      <c r="J15" s="397">
        <v>527238.48989628535</v>
      </c>
      <c r="K15" s="397">
        <v>531811.59869312914</v>
      </c>
      <c r="L15" s="397">
        <v>522616.49915217917</v>
      </c>
      <c r="M15" s="397">
        <v>518934.91386739886</v>
      </c>
      <c r="N15" s="397">
        <v>531751.01</v>
      </c>
      <c r="O15" s="397">
        <v>540657.2672410236</v>
      </c>
      <c r="P15" s="481">
        <f t="shared" si="2"/>
        <v>548316.3193218403</v>
      </c>
      <c r="Q15" s="572">
        <f t="shared" si="1"/>
        <v>557267.96004258655</v>
      </c>
      <c r="R15" s="481">
        <f t="shared" si="1"/>
        <v>569898.30803625658</v>
      </c>
      <c r="S15" s="393"/>
      <c r="T15" s="393"/>
      <c r="U15" s="393"/>
      <c r="V15" s="393"/>
      <c r="W15" s="393"/>
      <c r="X15" s="393"/>
    </row>
    <row r="16" spans="1:24">
      <c r="A16" s="18" t="s">
        <v>8</v>
      </c>
      <c r="B16" s="480">
        <v>414403.85439206555</v>
      </c>
      <c r="C16" s="397">
        <v>442281.22738592484</v>
      </c>
      <c r="D16" s="397">
        <v>459277.54194822104</v>
      </c>
      <c r="E16" s="397">
        <v>470504.86755292997</v>
      </c>
      <c r="F16" s="397">
        <v>481040.75625979982</v>
      </c>
      <c r="G16" s="397">
        <v>490521.07190211507</v>
      </c>
      <c r="H16" s="397">
        <v>503597.71744915581</v>
      </c>
      <c r="I16" s="397">
        <v>516715.7690471622</v>
      </c>
      <c r="J16" s="397">
        <v>528090.7048358263</v>
      </c>
      <c r="K16" s="397">
        <v>531527.77342675126</v>
      </c>
      <c r="L16" s="397">
        <v>521186.0207066189</v>
      </c>
      <c r="M16" s="397">
        <v>520194.00987035589</v>
      </c>
      <c r="N16" s="397">
        <v>532542.13</v>
      </c>
      <c r="O16" s="397">
        <v>541328.48659711238</v>
      </c>
      <c r="P16" s="481">
        <f t="shared" si="2"/>
        <v>548906.81848214508</v>
      </c>
      <c r="Q16" s="572">
        <f t="shared" si="1"/>
        <v>558233.91652856325</v>
      </c>
      <c r="R16" s="481">
        <f t="shared" si="1"/>
        <v>571072.20524127164</v>
      </c>
    </row>
    <row r="17" spans="1:24">
      <c r="A17" s="18" t="s">
        <v>9</v>
      </c>
      <c r="B17" s="480">
        <v>416914.38052054716</v>
      </c>
      <c r="C17" s="397">
        <v>444414.14176557813</v>
      </c>
      <c r="D17" s="397">
        <v>459954.9488690772</v>
      </c>
      <c r="E17" s="397">
        <v>471706.85339493636</v>
      </c>
      <c r="F17" s="397">
        <v>481589.23109916638</v>
      </c>
      <c r="G17" s="397">
        <v>491558.72344494157</v>
      </c>
      <c r="H17" s="397">
        <v>504743.06583641161</v>
      </c>
      <c r="I17" s="397">
        <v>517757.54248906695</v>
      </c>
      <c r="J17" s="397">
        <v>528944.29727400793</v>
      </c>
      <c r="K17" s="397">
        <v>531244.09963653912</v>
      </c>
      <c r="L17" s="397">
        <v>519759.4576915637</v>
      </c>
      <c r="M17" s="397">
        <v>521456.16082818742</v>
      </c>
      <c r="N17" s="397">
        <v>533334.43000000005</v>
      </c>
      <c r="O17" s="397">
        <v>542000.53926378675</v>
      </c>
      <c r="P17" s="481">
        <f t="shared" si="2"/>
        <v>549497.95356964378</v>
      </c>
      <c r="Q17" s="572">
        <f t="shared" si="1"/>
        <v>559201.54738306592</v>
      </c>
      <c r="R17" s="481">
        <f t="shared" si="1"/>
        <v>572248.52048232674</v>
      </c>
      <c r="S17" s="393"/>
      <c r="T17" s="393"/>
      <c r="U17" s="393"/>
      <c r="V17" s="393"/>
      <c r="W17" s="393"/>
      <c r="X17" s="393"/>
    </row>
    <row r="18" spans="1:24">
      <c r="A18" s="18" t="s">
        <v>10</v>
      </c>
      <c r="B18" s="480">
        <v>419440.1158257171</v>
      </c>
      <c r="C18" s="397">
        <v>446557.34218829457</v>
      </c>
      <c r="D18" s="397">
        <v>460633.35492464929</v>
      </c>
      <c r="E18" s="397">
        <v>472911.9099171079</v>
      </c>
      <c r="F18" s="397">
        <v>482138.33130061615</v>
      </c>
      <c r="G18" s="397">
        <v>492598.57004275348</v>
      </c>
      <c r="H18" s="397">
        <v>505891.01912611775</v>
      </c>
      <c r="I18" s="397">
        <v>518801.41629633558</v>
      </c>
      <c r="J18" s="397">
        <v>529799.26943738421</v>
      </c>
      <c r="K18" s="397">
        <v>530960.57724165055</v>
      </c>
      <c r="L18" s="397">
        <v>518336.79938990268</v>
      </c>
      <c r="M18" s="397">
        <v>522721.37415315531</v>
      </c>
      <c r="N18" s="397">
        <v>534127.91</v>
      </c>
      <c r="O18" s="397">
        <v>542673.4262755916</v>
      </c>
      <c r="P18" s="481">
        <f t="shared" si="2"/>
        <v>550089.72526918654</v>
      </c>
      <c r="Q18" s="572">
        <f t="shared" si="1"/>
        <v>560170.85550840944</v>
      </c>
      <c r="R18" s="481">
        <f t="shared" si="1"/>
        <v>573427.25874018006</v>
      </c>
    </row>
    <row r="19" spans="1:24">
      <c r="A19" s="18" t="s">
        <v>11</v>
      </c>
      <c r="B19" s="480">
        <v>421981.15244724805</v>
      </c>
      <c r="C19" s="397">
        <v>448710.87825882295</v>
      </c>
      <c r="D19" s="397">
        <v>461312.76158860134</v>
      </c>
      <c r="E19" s="397">
        <v>474120.04496402666</v>
      </c>
      <c r="F19" s="397">
        <v>482688.05757717672</v>
      </c>
      <c r="G19" s="397">
        <v>493640.61633898469</v>
      </c>
      <c r="H19" s="397">
        <v>507041.58324268722</v>
      </c>
      <c r="I19" s="397">
        <v>519847.39470360725</v>
      </c>
      <c r="J19" s="397">
        <v>530655.62355610798</v>
      </c>
      <c r="K19" s="397">
        <v>530677.20616128657</v>
      </c>
      <c r="L19" s="397">
        <v>516918.03511385934</v>
      </c>
      <c r="M19" s="397">
        <v>523989.65727550583</v>
      </c>
      <c r="N19" s="397">
        <v>534922.56000000006</v>
      </c>
      <c r="O19" s="397">
        <v>543347.14866835624</v>
      </c>
      <c r="P19" s="481">
        <f t="shared" si="2"/>
        <v>550682.1342663609</v>
      </c>
      <c r="Q19" s="572">
        <f t="shared" si="1"/>
        <v>561141.84381193959</v>
      </c>
      <c r="R19" s="481">
        <f t="shared" si="1"/>
        <v>574608.42500584957</v>
      </c>
      <c r="S19" s="393"/>
      <c r="T19" s="393"/>
      <c r="U19" s="393"/>
      <c r="V19" s="393"/>
      <c r="W19" s="393"/>
      <c r="X19" s="393"/>
    </row>
    <row r="20" spans="1:24">
      <c r="A20" s="18" t="s">
        <v>23</v>
      </c>
      <c r="B20" s="480">
        <v>424537.5830830097</v>
      </c>
      <c r="C20" s="397">
        <v>450874.79982113239</v>
      </c>
      <c r="D20" s="397">
        <v>461993.17033677088</v>
      </c>
      <c r="E20" s="397">
        <v>475331.26640031516</v>
      </c>
      <c r="F20" s="397">
        <v>483238.41064268874</v>
      </c>
      <c r="G20" s="397">
        <v>494684.86698689195</v>
      </c>
      <c r="H20" s="397">
        <v>508194.76412400696</v>
      </c>
      <c r="I20" s="397">
        <v>520895.48195405881</v>
      </c>
      <c r="J20" s="397">
        <v>531513.36186393688</v>
      </c>
      <c r="K20" s="397">
        <v>530393.98631469137</v>
      </c>
      <c r="L20" s="397">
        <v>515503.1542049112</v>
      </c>
      <c r="M20" s="397">
        <v>525261.01764351339</v>
      </c>
      <c r="N20" s="397">
        <v>535718.40000000002</v>
      </c>
      <c r="O20" s="397">
        <v>544021.70747919579</v>
      </c>
      <c r="P20" s="481">
        <f t="shared" si="2"/>
        <v>551275.18124749279</v>
      </c>
      <c r="Q20" s="572">
        <f t="shared" si="1"/>
        <v>562114.51520604175</v>
      </c>
      <c r="R20" s="481">
        <f t="shared" si="1"/>
        <v>575792.02428063378</v>
      </c>
    </row>
    <row r="21" spans="1:24">
      <c r="A21" s="18" t="s">
        <v>12</v>
      </c>
      <c r="B21" s="480">
        <v>427109.50099245069</v>
      </c>
      <c r="C21" s="397">
        <v>453049.15695956605</v>
      </c>
      <c r="D21" s="397">
        <v>462674.58264717227</v>
      </c>
      <c r="E21" s="397">
        <v>476545.58211068745</v>
      </c>
      <c r="F21" s="397">
        <v>483789.3912118068</v>
      </c>
      <c r="G21" s="397">
        <v>495731.32664957549</v>
      </c>
      <c r="H21" s="397">
        <v>509350.56772146869</v>
      </c>
      <c r="I21" s="397">
        <v>521945.68229942198</v>
      </c>
      <c r="J21" s="397">
        <v>532372.48659823916</v>
      </c>
      <c r="K21" s="397">
        <v>530110.91762115236</v>
      </c>
      <c r="L21" s="397">
        <v>514092.14603370969</v>
      </c>
      <c r="M21" s="397">
        <v>526535.46272352408</v>
      </c>
      <c r="N21" s="397">
        <v>536515.42000000004</v>
      </c>
      <c r="O21" s="397">
        <v>544697.10374651302</v>
      </c>
      <c r="P21" s="481">
        <f t="shared" si="2"/>
        <v>551868.86689964728</v>
      </c>
      <c r="Q21" s="572">
        <f t="shared" si="1"/>
        <v>563088.87260814942</v>
      </c>
      <c r="R21" s="481">
        <f t="shared" si="1"/>
        <v>576978.06157613324</v>
      </c>
      <c r="S21" s="393"/>
      <c r="T21" s="393"/>
      <c r="U21" s="393"/>
      <c r="V21" s="393"/>
      <c r="W21" s="393"/>
      <c r="X21" s="393"/>
    </row>
    <row r="22" spans="1:24" ht="13.8" thickBot="1">
      <c r="A22" s="28" t="s">
        <v>13</v>
      </c>
      <c r="B22" s="482">
        <v>429697.00000000052</v>
      </c>
      <c r="C22" s="483">
        <v>455234.00000000029</v>
      </c>
      <c r="D22" s="483">
        <v>463356.99999999977</v>
      </c>
      <c r="E22" s="483">
        <v>477763.00000000035</v>
      </c>
      <c r="F22" s="483">
        <v>484341.00000000029</v>
      </c>
      <c r="G22" s="483">
        <v>496779.99999999988</v>
      </c>
      <c r="H22" s="483">
        <v>510508.99999999959</v>
      </c>
      <c r="I22" s="483">
        <v>522998.00000000052</v>
      </c>
      <c r="J22" s="483">
        <v>533232.99999999942</v>
      </c>
      <c r="K22" s="483">
        <v>529827.99999999977</v>
      </c>
      <c r="L22" s="483">
        <v>512685.00000000035</v>
      </c>
      <c r="M22" s="483">
        <v>527812.99999999977</v>
      </c>
      <c r="N22" s="483">
        <v>537313.63</v>
      </c>
      <c r="O22" s="483">
        <v>545373.3385099998</v>
      </c>
      <c r="P22" s="484">
        <f t="shared" si="2"/>
        <v>552463.19191062939</v>
      </c>
      <c r="Q22" s="573">
        <f t="shared" si="1"/>
        <v>564064.91894075321</v>
      </c>
      <c r="R22" s="484">
        <f t="shared" si="1"/>
        <v>578166.54191427131</v>
      </c>
    </row>
    <row r="23" spans="1:24" ht="13.8" thickBot="1">
      <c r="A23" s="2"/>
      <c r="B23" s="397"/>
      <c r="C23" s="397"/>
      <c r="D23" s="401"/>
      <c r="E23" s="401"/>
      <c r="F23" s="401"/>
      <c r="G23" s="401"/>
      <c r="H23" s="401"/>
      <c r="I23" s="401"/>
      <c r="J23" s="401"/>
      <c r="K23" s="401"/>
      <c r="L23" s="401"/>
      <c r="M23" s="401"/>
      <c r="N23" s="56"/>
    </row>
    <row r="24" spans="1:24" s="55" customFormat="1" ht="13.8" thickBot="1">
      <c r="A24" s="1000" t="s">
        <v>28</v>
      </c>
      <c r="B24" s="1001"/>
      <c r="C24" s="1001"/>
      <c r="D24" s="1001"/>
      <c r="E24" s="1001"/>
      <c r="F24" s="1001"/>
      <c r="G24" s="1001"/>
      <c r="H24" s="1001"/>
      <c r="I24" s="1001"/>
      <c r="J24" s="1001"/>
      <c r="K24" s="1001"/>
      <c r="L24" s="1001"/>
      <c r="M24" s="1001"/>
      <c r="N24" s="1001"/>
      <c r="O24" s="1001"/>
      <c r="P24" s="1001"/>
      <c r="Q24" s="11"/>
      <c r="R24" s="11"/>
      <c r="S24" s="393"/>
      <c r="T24" s="393"/>
      <c r="U24" s="393"/>
      <c r="V24" s="393"/>
      <c r="W24" s="393"/>
      <c r="X24" s="393"/>
    </row>
    <row r="25" spans="1:24" ht="13.8" thickBot="1">
      <c r="A25" s="12"/>
      <c r="B25" s="10">
        <v>1999</v>
      </c>
      <c r="C25" s="10">
        <v>2000</v>
      </c>
      <c r="D25" s="10">
        <v>2001</v>
      </c>
      <c r="E25" s="10">
        <v>2002</v>
      </c>
      <c r="F25" s="10">
        <v>2003</v>
      </c>
      <c r="G25" s="10">
        <v>2004</v>
      </c>
      <c r="H25" s="10">
        <v>2005</v>
      </c>
      <c r="I25" s="10">
        <v>2006</v>
      </c>
      <c r="J25" s="10">
        <v>2007</v>
      </c>
      <c r="K25" s="10">
        <v>2008</v>
      </c>
      <c r="L25" s="10">
        <v>2009</v>
      </c>
      <c r="M25" s="10">
        <v>2010</v>
      </c>
      <c r="N25" s="10">
        <v>2011</v>
      </c>
      <c r="O25" s="10">
        <v>2012</v>
      </c>
      <c r="P25" s="11">
        <v>2013</v>
      </c>
      <c r="Q25" s="11">
        <v>2014</v>
      </c>
      <c r="R25" s="11">
        <v>2015</v>
      </c>
    </row>
    <row r="26" spans="1:24">
      <c r="A26" s="57" t="s">
        <v>3</v>
      </c>
      <c r="B26" s="58">
        <f>B11/$E$22</f>
        <v>0.84158081551609631</v>
      </c>
      <c r="C26" s="58">
        <f t="shared" ref="C26:J26" si="3">C11/$E$22</f>
        <v>0.9037309849624735</v>
      </c>
      <c r="D26" s="58">
        <f t="shared" si="3"/>
        <v>0.95425020970269092</v>
      </c>
      <c r="E26" s="58">
        <f t="shared" si="3"/>
        <v>0.97232461572243867</v>
      </c>
      <c r="F26" s="58">
        <f t="shared" si="3"/>
        <v>1.001140183720878</v>
      </c>
      <c r="G26" s="58">
        <f t="shared" si="3"/>
        <v>1.0159128651183942</v>
      </c>
      <c r="H26" s="58">
        <f t="shared" si="3"/>
        <v>1.0421691144657905</v>
      </c>
      <c r="I26" s="58">
        <f t="shared" si="3"/>
        <v>1.0706945906258896</v>
      </c>
      <c r="J26" s="58">
        <f t="shared" si="3"/>
        <v>1.0964502498500059</v>
      </c>
      <c r="K26" s="58">
        <f t="shared" ref="K26:Q26" si="4">K11/$E$22</f>
        <v>1.1155079320471661</v>
      </c>
      <c r="L26" s="58">
        <f t="shared" si="4"/>
        <v>1.105941193882537</v>
      </c>
      <c r="M26" s="58">
        <f t="shared" si="4"/>
        <v>1.0756984776680034</v>
      </c>
      <c r="N26" s="58">
        <f t="shared" si="4"/>
        <v>1.106402672454752</v>
      </c>
      <c r="O26" s="58">
        <f>O11/$E$22</f>
        <v>1.1260409497522648</v>
      </c>
      <c r="P26" s="59">
        <f>P11/$E$22</f>
        <v>1.1427437208015847</v>
      </c>
      <c r="Q26" s="59">
        <f t="shared" si="4"/>
        <v>1.1583584746270237</v>
      </c>
      <c r="R26" s="59">
        <f>R11/$E$22</f>
        <v>1.1830694304902911</v>
      </c>
      <c r="S26" s="393"/>
      <c r="T26" s="393"/>
      <c r="U26" s="393"/>
      <c r="V26" s="393"/>
      <c r="W26" s="393"/>
      <c r="X26" s="393"/>
    </row>
    <row r="27" spans="1:24">
      <c r="A27" s="57" t="s">
        <v>4</v>
      </c>
      <c r="B27" s="58">
        <f t="shared" ref="B27:L37" si="5">B12/$E$22</f>
        <v>0.84667924933660577</v>
      </c>
      <c r="C27" s="58">
        <f t="shared" si="5"/>
        <v>0.90808925452900591</v>
      </c>
      <c r="D27" s="58">
        <f t="shared" si="5"/>
        <v>0.95565767172127558</v>
      </c>
      <c r="E27" s="58">
        <f t="shared" si="5"/>
        <v>0.97480858667052073</v>
      </c>
      <c r="F27" s="58">
        <f t="shared" si="5"/>
        <v>1.0022816674606738</v>
      </c>
      <c r="G27" s="58">
        <f t="shared" si="5"/>
        <v>1.0180619339601864</v>
      </c>
      <c r="H27" s="58">
        <f t="shared" si="5"/>
        <v>1.0445393529977427</v>
      </c>
      <c r="I27" s="58">
        <f t="shared" si="5"/>
        <v>1.0728532651926865</v>
      </c>
      <c r="J27" s="58">
        <f t="shared" si="5"/>
        <v>1.09822252425958</v>
      </c>
      <c r="K27" s="58">
        <f t="shared" si="5"/>
        <v>1.1149125908836075</v>
      </c>
      <c r="L27" s="58">
        <f t="shared" si="5"/>
        <v>1.1029140697054922</v>
      </c>
      <c r="M27" s="58">
        <f t="shared" ref="M27:N27" si="6">M12/$E$22</f>
        <v>1.0783084536349796</v>
      </c>
      <c r="N27" s="58">
        <f t="shared" si="6"/>
        <v>1.1080487396470626</v>
      </c>
      <c r="O27" s="58">
        <f t="shared" ref="O27:O36" si="7">O12/$E$22</f>
        <v>1.127438915759601</v>
      </c>
      <c r="P27" s="59">
        <f t="shared" ref="P27:Q37" si="8">P12/$E$22</f>
        <v>1.1439743776027749</v>
      </c>
      <c r="Q27" s="59">
        <f t="shared" si="8"/>
        <v>1.1603663486874065</v>
      </c>
      <c r="R27" s="59">
        <f t="shared" ref="R27" si="9">R12/$E$22</f>
        <v>1.1855063598129572</v>
      </c>
    </row>
    <row r="28" spans="1:24">
      <c r="A28" s="57" t="s">
        <v>5</v>
      </c>
      <c r="B28" s="58">
        <f t="shared" si="5"/>
        <v>0.85180857030062296</v>
      </c>
      <c r="C28" s="58">
        <f t="shared" si="5"/>
        <v>0.91246854198020821</v>
      </c>
      <c r="D28" s="58">
        <f t="shared" si="5"/>
        <v>0.95706720966220593</v>
      </c>
      <c r="E28" s="58">
        <f t="shared" si="5"/>
        <v>0.97729890335085223</v>
      </c>
      <c r="F28" s="58">
        <f t="shared" si="5"/>
        <v>1.0034244527016476</v>
      </c>
      <c r="G28" s="58">
        <f t="shared" si="5"/>
        <v>1.0202155489565214</v>
      </c>
      <c r="H28" s="58">
        <f t="shared" si="5"/>
        <v>1.0469149822389572</v>
      </c>
      <c r="I28" s="58">
        <f t="shared" si="5"/>
        <v>1.0750162919584452</v>
      </c>
      <c r="J28" s="58">
        <f t="shared" si="5"/>
        <v>1.0999976633286159</v>
      </c>
      <c r="K28" s="58">
        <f t="shared" si="5"/>
        <v>1.1143175674507355</v>
      </c>
      <c r="L28" s="58">
        <f t="shared" si="5"/>
        <v>1.0998952312138288</v>
      </c>
      <c r="M28" s="58">
        <f t="shared" ref="M28:N28" si="10">M13/$E$22</f>
        <v>1.0809247622078761</v>
      </c>
      <c r="N28" s="58">
        <f t="shared" si="10"/>
        <v>1.1096972557523284</v>
      </c>
      <c r="O28" s="58">
        <f t="shared" si="7"/>
        <v>1.1288386173245635</v>
      </c>
      <c r="P28" s="59">
        <f t="shared" si="8"/>
        <v>1.1452063597371387</v>
      </c>
      <c r="Q28" s="59">
        <f t="shared" si="8"/>
        <v>1.1623777031541842</v>
      </c>
      <c r="R28" s="59">
        <f t="shared" ref="R28" si="11">R13/$E$22</f>
        <v>1.187948308811029</v>
      </c>
    </row>
    <row r="29" spans="1:24">
      <c r="A29" s="57" t="s">
        <v>6</v>
      </c>
      <c r="B29" s="58">
        <f t="shared" si="5"/>
        <v>0.85696896552750013</v>
      </c>
      <c r="C29" s="58">
        <f t="shared" si="5"/>
        <v>0.91686894867545476</v>
      </c>
      <c r="D29" s="58">
        <f t="shared" si="5"/>
        <v>0.95847882658734351</v>
      </c>
      <c r="E29" s="58">
        <f t="shared" si="5"/>
        <v>0.97979558197470074</v>
      </c>
      <c r="F29" s="58">
        <f t="shared" si="5"/>
        <v>1.0045685409277496</v>
      </c>
      <c r="G29" s="58">
        <f t="shared" si="5"/>
        <v>1.0223737197243647</v>
      </c>
      <c r="H29" s="58">
        <f t="shared" si="5"/>
        <v>1.0492960144496968</v>
      </c>
      <c r="I29" s="58">
        <f t="shared" si="5"/>
        <v>1.0771836796978254</v>
      </c>
      <c r="J29" s="58">
        <f t="shared" si="5"/>
        <v>1.1017756716874769</v>
      </c>
      <c r="K29" s="58">
        <f t="shared" si="5"/>
        <v>1.1137228615789785</v>
      </c>
      <c r="L29" s="58">
        <f t="shared" si="5"/>
        <v>1.0968846557284044</v>
      </c>
      <c r="M29" s="58">
        <f t="shared" ref="M29:N29" si="12">M14/$E$22</f>
        <v>1.0835474187515461</v>
      </c>
      <c r="N29" s="58">
        <f t="shared" si="12"/>
        <v>1.1113482207705487</v>
      </c>
      <c r="O29" s="58">
        <f t="shared" si="7"/>
        <v>1.1302400566018256</v>
      </c>
      <c r="P29" s="59">
        <f t="shared" si="8"/>
        <v>1.1464396686319696</v>
      </c>
      <c r="Q29" s="59">
        <f t="shared" si="8"/>
        <v>1.1643925440602192</v>
      </c>
      <c r="R29" s="59">
        <f t="shared" ref="R29" si="13">R14/$E$22</f>
        <v>1.1903952878242163</v>
      </c>
    </row>
    <row r="30" spans="1:24">
      <c r="A30" s="57" t="s">
        <v>7</v>
      </c>
      <c r="B30" s="58">
        <f t="shared" si="5"/>
        <v>0.86216062327018894</v>
      </c>
      <c r="C30" s="58">
        <f t="shared" si="5"/>
        <v>0.92129057646292822</v>
      </c>
      <c r="D30" s="58">
        <f t="shared" si="5"/>
        <v>0.95989252556306559</v>
      </c>
      <c r="E30" s="58">
        <f t="shared" si="5"/>
        <v>0.98229863879474855</v>
      </c>
      <c r="F30" s="58">
        <f t="shared" si="5"/>
        <v>1.0057139336246224</v>
      </c>
      <c r="G30" s="58">
        <f t="shared" si="5"/>
        <v>1.0245364559010257</v>
      </c>
      <c r="H30" s="58">
        <f t="shared" si="5"/>
        <v>1.0516824619181071</v>
      </c>
      <c r="I30" s="58">
        <f t="shared" si="5"/>
        <v>1.0793554372031784</v>
      </c>
      <c r="J30" s="58">
        <f t="shared" si="5"/>
        <v>1.10355655397401</v>
      </c>
      <c r="K30" s="58">
        <f t="shared" si="5"/>
        <v>1.113128473098856</v>
      </c>
      <c r="L30" s="58">
        <f t="shared" si="5"/>
        <v>1.093882320632152</v>
      </c>
      <c r="M30" s="58">
        <f t="shared" ref="M30:N30" si="14">M15/$E$22</f>
        <v>1.086176438668123</v>
      </c>
      <c r="N30" s="58">
        <f t="shared" si="14"/>
        <v>1.1130016556326037</v>
      </c>
      <c r="O30" s="58">
        <f>O15/$E$22</f>
        <v>1.1316432357487356</v>
      </c>
      <c r="P30" s="59">
        <f t="shared" si="8"/>
        <v>1.1476743057160976</v>
      </c>
      <c r="Q30" s="930">
        <f>Q15/$E$22</f>
        <v>1.1664108774488315</v>
      </c>
      <c r="R30" s="59">
        <f>R15/$E$22</f>
        <v>1.1928473072135266</v>
      </c>
    </row>
    <row r="31" spans="1:24">
      <c r="A31" s="57" t="s">
        <v>8</v>
      </c>
      <c r="B31" s="58">
        <f t="shared" si="5"/>
        <v>0.86738373292210835</v>
      </c>
      <c r="C31" s="58">
        <f t="shared" si="5"/>
        <v>0.92573352768197725</v>
      </c>
      <c r="D31" s="58">
        <f t="shared" si="5"/>
        <v>0.96130830966027236</v>
      </c>
      <c r="E31" s="58">
        <f t="shared" si="5"/>
        <v>0.98480809010519776</v>
      </c>
      <c r="F31" s="58">
        <f t="shared" si="5"/>
        <v>1.0068606322796019</v>
      </c>
      <c r="G31" s="58">
        <f t="shared" si="5"/>
        <v>1.0267037671442005</v>
      </c>
      <c r="H31" s="58">
        <f t="shared" si="5"/>
        <v>1.0540743369602825</v>
      </c>
      <c r="I31" s="58">
        <f t="shared" si="5"/>
        <v>1.0815315732845823</v>
      </c>
      <c r="J31" s="58">
        <f t="shared" si="5"/>
        <v>1.1053403148335597</v>
      </c>
      <c r="K31" s="58">
        <f t="shared" si="5"/>
        <v>1.1125344018409773</v>
      </c>
      <c r="L31" s="58">
        <f t="shared" si="5"/>
        <v>1.0908882033699105</v>
      </c>
      <c r="M31" s="58">
        <f t="shared" ref="M31:N31" si="15">M16/$E$22</f>
        <v>1.0888118373971101</v>
      </c>
      <c r="N31" s="58">
        <f t="shared" si="15"/>
        <v>1.1146575394076135</v>
      </c>
      <c r="O31" s="58">
        <f t="shared" si="7"/>
        <v>1.1330481569253206</v>
      </c>
      <c r="P31" s="59">
        <f t="shared" si="8"/>
        <v>1.1489102724198916</v>
      </c>
      <c r="Q31" s="59">
        <f t="shared" si="8"/>
        <v>1.1684327093738167</v>
      </c>
      <c r="R31" s="59">
        <f t="shared" ref="R31" si="16">R16/$E$22</f>
        <v>1.1953043773613092</v>
      </c>
    </row>
    <row r="32" spans="1:24">
      <c r="A32" s="57" t="s">
        <v>9</v>
      </c>
      <c r="B32" s="58">
        <f t="shared" si="5"/>
        <v>0.8726384850240535</v>
      </c>
      <c r="C32" s="58">
        <f t="shared" si="5"/>
        <v>0.93019790516548539</v>
      </c>
      <c r="D32" s="58">
        <f t="shared" si="5"/>
        <v>0.96272618195439341</v>
      </c>
      <c r="E32" s="58">
        <f t="shared" si="5"/>
        <v>0.9873239522418773</v>
      </c>
      <c r="F32" s="58">
        <f t="shared" si="5"/>
        <v>1.0080086383817206</v>
      </c>
      <c r="G32" s="58">
        <f t="shared" si="5"/>
        <v>1.0288756631320157</v>
      </c>
      <c r="H32" s="58">
        <f t="shared" si="5"/>
        <v>1.0564716519203272</v>
      </c>
      <c r="I32" s="58">
        <f t="shared" si="5"/>
        <v>1.0837120967698766</v>
      </c>
      <c r="J32" s="58">
        <f t="shared" si="5"/>
        <v>1.1071269589189776</v>
      </c>
      <c r="K32" s="58">
        <f t="shared" si="5"/>
        <v>1.1119406476360427</v>
      </c>
      <c r="L32" s="58">
        <f t="shared" si="5"/>
        <v>1.0879022814482564</v>
      </c>
      <c r="M32" s="58">
        <f t="shared" ref="M32" si="17">M17/$E$22</f>
        <v>1.0914536304154718</v>
      </c>
      <c r="N32" s="58">
        <f>N17/$E$22</f>
        <v>1.1163158930264581</v>
      </c>
      <c r="O32" s="58">
        <f t="shared" si="7"/>
        <v>1.134454822294289</v>
      </c>
      <c r="P32" s="59">
        <f t="shared" si="8"/>
        <v>1.1501475701752613</v>
      </c>
      <c r="Q32" s="59">
        <f t="shared" si="8"/>
        <v>1.1704580458994638</v>
      </c>
      <c r="R32" s="59">
        <f t="shared" ref="R32" si="18">R17/$E$22</f>
        <v>1.1977665086713001</v>
      </c>
    </row>
    <row r="33" spans="1:18">
      <c r="A33" s="57" t="s">
        <v>10</v>
      </c>
      <c r="B33" s="58">
        <f t="shared" si="5"/>
        <v>0.87792507127114661</v>
      </c>
      <c r="C33" s="58">
        <f t="shared" si="5"/>
        <v>0.93468381224225028</v>
      </c>
      <c r="D33" s="58">
        <f t="shared" si="5"/>
        <v>0.96414614552539435</v>
      </c>
      <c r="E33" s="58">
        <f t="shared" si="5"/>
        <v>0.98984624158234846</v>
      </c>
      <c r="F33" s="58">
        <f t="shared" si="5"/>
        <v>1.0091579534217086</v>
      </c>
      <c r="G33" s="58">
        <f t="shared" si="5"/>
        <v>1.0310521535630701</v>
      </c>
      <c r="H33" s="58">
        <f t="shared" si="5"/>
        <v>1.05887441917042</v>
      </c>
      <c r="I33" s="58">
        <f t="shared" si="5"/>
        <v>1.0858970165047004</v>
      </c>
      <c r="J33" s="58">
        <f t="shared" si="5"/>
        <v>1.1089164908906379</v>
      </c>
      <c r="K33" s="58">
        <f t="shared" si="5"/>
        <v>1.1113472103148427</v>
      </c>
      <c r="L33" s="58">
        <f t="shared" si="5"/>
        <v>1.0849245324353336</v>
      </c>
      <c r="M33" s="58">
        <f t="shared" ref="M33:N33" si="19">M18/$E$22</f>
        <v>1.0941018332377244</v>
      </c>
      <c r="N33" s="58">
        <f t="shared" si="19"/>
        <v>1.1179767164891372</v>
      </c>
      <c r="O33" s="58">
        <f t="shared" si="7"/>
        <v>1.135863234021034</v>
      </c>
      <c r="P33" s="59">
        <f t="shared" si="8"/>
        <v>1.1513862004156583</v>
      </c>
      <c r="Q33" s="59">
        <f t="shared" si="8"/>
        <v>1.172486893100573</v>
      </c>
      <c r="R33" s="59">
        <f t="shared" ref="R33" si="20">R18/$E$22</f>
        <v>1.2002337115686641</v>
      </c>
    </row>
    <row r="34" spans="1:18">
      <c r="A34" s="57" t="s">
        <v>11</v>
      </c>
      <c r="B34" s="58">
        <f t="shared" si="5"/>
        <v>0.88324368451983037</v>
      </c>
      <c r="C34" s="58">
        <f t="shared" si="5"/>
        <v>0.93919135273937626</v>
      </c>
      <c r="D34" s="58">
        <f t="shared" si="5"/>
        <v>0.96556820345778349</v>
      </c>
      <c r="E34" s="58">
        <f t="shared" si="5"/>
        <v>0.99237497454601198</v>
      </c>
      <c r="F34" s="58">
        <f t="shared" si="5"/>
        <v>1.0103085788919954</v>
      </c>
      <c r="G34" s="58">
        <f t="shared" si="5"/>
        <v>1.0332332481564799</v>
      </c>
      <c r="H34" s="58">
        <f t="shared" si="5"/>
        <v>1.0612826511108788</v>
      </c>
      <c r="I34" s="58">
        <f t="shared" si="5"/>
        <v>1.0880863413525259</v>
      </c>
      <c r="J34" s="58">
        <f t="shared" si="5"/>
        <v>1.1107089154164462</v>
      </c>
      <c r="K34" s="58">
        <f t="shared" si="5"/>
        <v>1.1107540897082573</v>
      </c>
      <c r="L34" s="58">
        <f t="shared" si="5"/>
        <v>1.0819549339606855</v>
      </c>
      <c r="M34" s="58">
        <f t="shared" ref="M34:N34" si="21">M19/$E$22</f>
        <v>1.0967564614160272</v>
      </c>
      <c r="N34" s="58">
        <f t="shared" si="21"/>
        <v>1.1196399888647712</v>
      </c>
      <c r="O34" s="58">
        <f t="shared" si="7"/>
        <v>1.1372733942736375</v>
      </c>
      <c r="P34" s="59">
        <f t="shared" si="8"/>
        <v>1.1526261645760774</v>
      </c>
      <c r="Q34" s="59">
        <f t="shared" si="8"/>
        <v>1.174519257062475</v>
      </c>
      <c r="R34" s="59">
        <f t="shared" ref="R34" si="22">R19/$E$22</f>
        <v>1.2027059965000411</v>
      </c>
    </row>
    <row r="35" spans="1:18">
      <c r="A35" s="57" t="s">
        <v>23</v>
      </c>
      <c r="B35" s="58">
        <f t="shared" si="5"/>
        <v>0.88859451879490325</v>
      </c>
      <c r="C35" s="58">
        <f t="shared" si="5"/>
        <v>0.94372063098467662</v>
      </c>
      <c r="D35" s="58">
        <f t="shared" si="5"/>
        <v>0.96699235884061874</v>
      </c>
      <c r="E35" s="58">
        <f t="shared" si="5"/>
        <v>0.99491016759421469</v>
      </c>
      <c r="F35" s="58">
        <f t="shared" si="5"/>
        <v>1.0114605162867121</v>
      </c>
      <c r="G35" s="58">
        <f t="shared" si="5"/>
        <v>1.0354189566519207</v>
      </c>
      <c r="H35" s="58">
        <f t="shared" si="5"/>
        <v>1.0636963601702236</v>
      </c>
      <c r="I35" s="58">
        <f t="shared" si="5"/>
        <v>1.0902800801946957</v>
      </c>
      <c r="J35" s="58">
        <f t="shared" si="5"/>
        <v>1.1125042371718541</v>
      </c>
      <c r="K35" s="58">
        <f t="shared" si="5"/>
        <v>1.110161285647258</v>
      </c>
      <c r="L35" s="58">
        <f t="shared" si="5"/>
        <v>1.0789934637150864</v>
      </c>
      <c r="M35" s="58">
        <f t="shared" ref="M35:N35" si="23">M20/$E$22</f>
        <v>1.0994175305402742</v>
      </c>
      <c r="N35" s="58">
        <f t="shared" si="23"/>
        <v>1.1213057520151197</v>
      </c>
      <c r="O35" s="58">
        <f t="shared" si="7"/>
        <v>1.1386853052228729</v>
      </c>
      <c r="P35" s="59">
        <f t="shared" si="8"/>
        <v>1.1538674640930595</v>
      </c>
      <c r="Q35" s="59">
        <f t="shared" si="8"/>
        <v>1.1765551438810484</v>
      </c>
      <c r="R35" s="59">
        <f t="shared" ref="R35" si="24">R20/$E$22</f>
        <v>1.2051833739335891</v>
      </c>
    </row>
    <row r="36" spans="1:18">
      <c r="A36" s="57" t="s">
        <v>12</v>
      </c>
      <c r="B36" s="58">
        <f t="shared" si="5"/>
        <v>0.89397776929659767</v>
      </c>
      <c r="C36" s="58">
        <f t="shared" si="5"/>
        <v>0.94827175180908885</v>
      </c>
      <c r="D36" s="58">
        <f t="shared" si="5"/>
        <v>0.96841861476751434</v>
      </c>
      <c r="E36" s="58">
        <f t="shared" si="5"/>
        <v>0.99745183723035713</v>
      </c>
      <c r="F36" s="58">
        <f t="shared" si="5"/>
        <v>1.0126137671016937</v>
      </c>
      <c r="G36" s="58">
        <f t="shared" si="5"/>
        <v>1.0376092888096715</v>
      </c>
      <c r="H36" s="58">
        <f t="shared" si="5"/>
        <v>1.0661155588052409</v>
      </c>
      <c r="I36" s="58">
        <f t="shared" si="5"/>
        <v>1.0924782419304584</v>
      </c>
      <c r="J36" s="58">
        <f t="shared" si="5"/>
        <v>1.1143024608398699</v>
      </c>
      <c r="K36" s="58">
        <f t="shared" si="5"/>
        <v>1.1095687979629063</v>
      </c>
      <c r="L36" s="58">
        <f t="shared" si="5"/>
        <v>1.0760400994503745</v>
      </c>
      <c r="M36" s="58">
        <f t="shared" ref="M36:N36" si="25">M21/$E$22</f>
        <v>1.1020850562381843</v>
      </c>
      <c r="N36" s="58">
        <f t="shared" si="25"/>
        <v>1.122973985009303</v>
      </c>
      <c r="O36" s="58">
        <f t="shared" si="7"/>
        <v>1.1400989690422085</v>
      </c>
      <c r="P36" s="59">
        <f t="shared" si="8"/>
        <v>1.155110100404692</v>
      </c>
      <c r="Q36" s="59">
        <f t="shared" si="8"/>
        <v>1.1785945596627387</v>
      </c>
      <c r="R36" s="59">
        <f t="shared" ref="R36" si="26">R21/$E$22</f>
        <v>1.2076658543590291</v>
      </c>
    </row>
    <row r="37" spans="1:18" ht="13.8" thickBot="1">
      <c r="A37" s="60" t="s">
        <v>13</v>
      </c>
      <c r="B37" s="61">
        <f t="shared" si="5"/>
        <v>0.89939363240770054</v>
      </c>
      <c r="C37" s="61">
        <f t="shared" si="5"/>
        <v>0.95284482054910058</v>
      </c>
      <c r="D37" s="61">
        <f t="shared" si="5"/>
        <v>0.96984697433664691</v>
      </c>
      <c r="E37" s="61">
        <f>E22/$E$22</f>
        <v>1</v>
      </c>
      <c r="F37" s="61">
        <f t="shared" si="5"/>
        <v>1.0137683328344806</v>
      </c>
      <c r="G37" s="61">
        <f t="shared" si="5"/>
        <v>1.0398042544106587</v>
      </c>
      <c r="H37" s="61">
        <f t="shared" si="5"/>
        <v>1.068540259501048</v>
      </c>
      <c r="I37" s="61">
        <f t="shared" si="5"/>
        <v>1.0946808354770046</v>
      </c>
      <c r="J37" s="61">
        <f t="shared" si="5"/>
        <v>1.1161035911110719</v>
      </c>
      <c r="K37" s="61">
        <f t="shared" si="5"/>
        <v>1.1089766264863528</v>
      </c>
      <c r="L37" s="61">
        <f t="shared" si="5"/>
        <v>1.0730948189792846</v>
      </c>
      <c r="M37" s="61">
        <f t="shared" ref="M37:N37" si="27">M22/$E$22</f>
        <v>1.1047590541753953</v>
      </c>
      <c r="N37" s="61">
        <f t="shared" si="27"/>
        <v>1.124644708778201</v>
      </c>
      <c r="O37" s="61">
        <f>O22/$E$22</f>
        <v>1.1415143879078107</v>
      </c>
      <c r="P37" s="62">
        <f t="shared" si="8"/>
        <v>1.1563540749506114</v>
      </c>
      <c r="Q37" s="62">
        <f>Q22/$E$22</f>
        <v>1.1806375105245757</v>
      </c>
      <c r="R37" s="62">
        <f>R22/$E$22</f>
        <v>1.2101534482876883</v>
      </c>
    </row>
    <row r="39" spans="1:18">
      <c r="K39" s="451"/>
      <c r="L39" s="451"/>
      <c r="M39" s="451"/>
      <c r="N39" s="451"/>
      <c r="O39" s="453"/>
      <c r="P39" s="451"/>
      <c r="Q39" s="451"/>
    </row>
    <row r="40" spans="1:18">
      <c r="K40" s="36"/>
      <c r="L40" s="36"/>
      <c r="M40" s="36"/>
      <c r="N40" s="452"/>
    </row>
    <row r="41" spans="1:18">
      <c r="N41" s="443"/>
    </row>
    <row r="48" spans="1:18">
      <c r="Q48" s="922"/>
    </row>
    <row r="49" spans="17:17">
      <c r="Q49" s="922"/>
    </row>
    <row r="50" spans="17:17">
      <c r="Q50" s="922"/>
    </row>
    <row r="51" spans="17:17">
      <c r="Q51" s="922"/>
    </row>
    <row r="52" spans="17:17">
      <c r="Q52" s="922"/>
    </row>
    <row r="53" spans="17:17">
      <c r="Q53" s="922"/>
    </row>
    <row r="54" spans="17:17">
      <c r="Q54" s="922"/>
    </row>
    <row r="55" spans="17:17">
      <c r="Q55" s="922"/>
    </row>
    <row r="56" spans="17:17">
      <c r="Q56" s="922"/>
    </row>
    <row r="57" spans="17:17">
      <c r="Q57" s="922"/>
    </row>
    <row r="58" spans="17:17">
      <c r="Q58" s="922"/>
    </row>
    <row r="59" spans="17:17">
      <c r="Q59" s="922"/>
    </row>
    <row r="60" spans="17:17">
      <c r="Q60" s="922"/>
    </row>
    <row r="61" spans="17:17">
      <c r="Q61" s="922"/>
    </row>
    <row r="62" spans="17:17">
      <c r="Q62" s="922"/>
    </row>
    <row r="63" spans="17:17">
      <c r="Q63" s="922"/>
    </row>
    <row r="64" spans="17:17">
      <c r="Q64" s="922"/>
    </row>
    <row r="65" spans="17:17">
      <c r="Q65" s="922"/>
    </row>
    <row r="66" spans="17:17">
      <c r="Q66" s="922"/>
    </row>
    <row r="67" spans="17:17">
      <c r="Q67" s="922"/>
    </row>
    <row r="68" spans="17:17">
      <c r="Q68" s="922"/>
    </row>
    <row r="69" spans="17:17">
      <c r="Q69" s="922"/>
    </row>
    <row r="70" spans="17:17">
      <c r="Q70" s="922"/>
    </row>
    <row r="71" spans="17:17">
      <c r="Q71" s="922"/>
    </row>
    <row r="72" spans="17:17">
      <c r="Q72" s="922"/>
    </row>
    <row r="73" spans="17:17">
      <c r="Q73" s="922"/>
    </row>
    <row r="74" spans="17:17">
      <c r="Q74" s="922"/>
    </row>
    <row r="75" spans="17:17">
      <c r="Q75" s="922"/>
    </row>
    <row r="76" spans="17:17">
      <c r="Q76" s="922"/>
    </row>
    <row r="77" spans="17:17">
      <c r="Q77" s="922"/>
    </row>
    <row r="78" spans="17:17">
      <c r="Q78" s="922"/>
    </row>
    <row r="79" spans="17:17">
      <c r="Q79" s="922"/>
    </row>
    <row r="80" spans="17:17">
      <c r="Q80" s="922"/>
    </row>
    <row r="81" spans="17:17">
      <c r="Q81" s="922"/>
    </row>
    <row r="82" spans="17:17">
      <c r="Q82" s="922"/>
    </row>
    <row r="83" spans="17:17">
      <c r="Q83" s="922"/>
    </row>
  </sheetData>
  <mergeCells count="3">
    <mergeCell ref="A24:P24"/>
    <mergeCell ref="A9:R9"/>
    <mergeCell ref="A1:R1"/>
  </mergeCells>
  <printOptions horizontalCentered="1" verticalCentered="1"/>
  <pageMargins left="0.7" right="0.7" top="0.75" bottom="0.75" header="0.3" footer="0.3"/>
  <pageSetup scale="55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C000"/>
  </sheetPr>
  <dimension ref="A1:T206"/>
  <sheetViews>
    <sheetView showGridLines="0" zoomScale="80" zoomScaleNormal="80" workbookViewId="0">
      <pane xSplit="2" ySplit="22" topLeftCell="K68" activePane="bottomRight" state="frozen"/>
      <selection activeCell="H9" sqref="H9"/>
      <selection pane="topRight" activeCell="H9" sqref="H9"/>
      <selection pane="bottomLeft" activeCell="H9" sqref="H9"/>
      <selection pane="bottomRight" activeCell="O175" sqref="O175"/>
    </sheetView>
  </sheetViews>
  <sheetFormatPr defaultRowHeight="13.2"/>
  <cols>
    <col min="1" max="1" width="2.109375" customWidth="1"/>
    <col min="2" max="2" width="44" customWidth="1"/>
    <col min="3" max="3" width="13.6640625" style="764" hidden="1" customWidth="1"/>
    <col min="4" max="4" width="17.44140625" style="764" hidden="1" customWidth="1"/>
    <col min="5" max="5" width="14.44140625" style="764" hidden="1" customWidth="1"/>
    <col min="6" max="8" width="17.44140625" style="764" hidden="1" customWidth="1"/>
    <col min="9" max="9" width="17.44140625" style="764" bestFit="1" customWidth="1"/>
    <col min="10" max="12" width="15" style="764" customWidth="1"/>
    <col min="13" max="13" width="14.5546875" style="764" customWidth="1"/>
    <col min="14" max="14" width="18.88671875" bestFit="1" customWidth="1"/>
    <col min="15" max="17" width="16" customWidth="1"/>
    <col min="18" max="18" width="7.88671875" customWidth="1"/>
    <col min="20" max="20" width="11.33203125" bestFit="1" customWidth="1"/>
  </cols>
  <sheetData>
    <row r="1" spans="1:18" ht="17.399999999999999">
      <c r="A1" s="884" t="s">
        <v>307</v>
      </c>
      <c r="B1" s="884"/>
      <c r="C1" s="884"/>
      <c r="D1" s="884"/>
      <c r="E1" s="884"/>
      <c r="F1" s="884"/>
      <c r="G1" s="884"/>
      <c r="H1" s="884"/>
      <c r="I1" s="884"/>
      <c r="J1" s="884"/>
      <c r="K1" s="884"/>
      <c r="L1" s="884"/>
      <c r="M1" s="884"/>
      <c r="N1" s="884"/>
      <c r="O1" s="884"/>
      <c r="P1" s="884"/>
      <c r="Q1" s="884"/>
      <c r="R1" s="53"/>
    </row>
    <row r="2" spans="1:18" ht="17.25" customHeight="1" thickBot="1">
      <c r="B2" s="343"/>
      <c r="C2" s="885"/>
      <c r="D2" s="885"/>
      <c r="E2" s="885"/>
      <c r="F2" s="885"/>
      <c r="G2" s="885"/>
      <c r="H2" s="885"/>
      <c r="I2" s="885"/>
      <c r="J2" s="406"/>
      <c r="K2" s="406"/>
      <c r="L2" s="406"/>
      <c r="M2" s="406"/>
      <c r="Q2" s="25"/>
    </row>
    <row r="3" spans="1:18">
      <c r="B3" s="331"/>
      <c r="C3" s="304"/>
      <c r="D3" s="304"/>
      <c r="E3" s="304"/>
      <c r="F3" s="304"/>
      <c r="G3" s="304"/>
      <c r="H3" s="304"/>
      <c r="I3" s="304"/>
      <c r="J3" s="304"/>
      <c r="K3" s="304"/>
      <c r="L3" s="304"/>
      <c r="M3" s="304"/>
      <c r="N3" s="331"/>
      <c r="O3" s="331"/>
      <c r="P3" s="331"/>
      <c r="Q3" s="4"/>
    </row>
    <row r="4" spans="1:18" s="344" customFormat="1" ht="26.4">
      <c r="B4" s="345"/>
      <c r="C4" s="346"/>
      <c r="D4" s="346"/>
      <c r="E4" s="346"/>
      <c r="F4" s="346"/>
      <c r="G4" s="346"/>
      <c r="H4" s="346"/>
      <c r="I4" s="346" t="s">
        <v>286</v>
      </c>
      <c r="J4" s="346" t="s">
        <v>287</v>
      </c>
      <c r="K4" s="346" t="s">
        <v>291</v>
      </c>
      <c r="L4" s="346" t="s">
        <v>265</v>
      </c>
      <c r="M4" s="346" t="s">
        <v>288</v>
      </c>
      <c r="N4" s="346" t="s">
        <v>289</v>
      </c>
      <c r="O4" s="346" t="s">
        <v>290</v>
      </c>
      <c r="P4" s="346" t="s">
        <v>172</v>
      </c>
      <c r="Q4" s="346" t="s">
        <v>177</v>
      </c>
    </row>
    <row r="5" spans="1:18" s="66" customFormat="1" ht="13.8" thickBot="1"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821"/>
    </row>
    <row r="6" spans="1:18">
      <c r="B6" s="6" t="s">
        <v>254</v>
      </c>
      <c r="C6" s="781"/>
      <c r="D6" s="781"/>
      <c r="E6" s="781"/>
      <c r="F6" s="782"/>
      <c r="G6" s="782"/>
      <c r="H6" s="782"/>
      <c r="I6" s="782">
        <f>'Model # Two'!C158</f>
        <v>3727941968.3974199</v>
      </c>
      <c r="J6" s="782">
        <f>'Model # Two'!C159</f>
        <v>3911054142.4477</v>
      </c>
      <c r="K6" s="782"/>
      <c r="L6" s="782"/>
      <c r="M6" s="782">
        <f>'Model # Two'!C160</f>
        <v>3968502599.952116</v>
      </c>
      <c r="N6" s="782">
        <f>'Model # Two'!C161</f>
        <v>4043243028.6422305</v>
      </c>
      <c r="O6" s="783">
        <f>'Model # Two'!C162</f>
        <v>4027156664.1062088</v>
      </c>
      <c r="P6" s="784"/>
      <c r="Q6" s="785"/>
    </row>
    <row r="7" spans="1:18">
      <c r="B7" s="2" t="s">
        <v>214</v>
      </c>
      <c r="C7" s="786"/>
      <c r="D7" s="786"/>
      <c r="E7" s="786"/>
      <c r="F7" s="786"/>
      <c r="G7" s="786"/>
      <c r="H7" s="786"/>
      <c r="I7" s="786">
        <f t="shared" ref="I7:N7" si="0">I13</f>
        <v>0</v>
      </c>
      <c r="J7" s="786">
        <f t="shared" si="0"/>
        <v>0</v>
      </c>
      <c r="K7" s="786"/>
      <c r="L7" s="786"/>
      <c r="M7" s="788">
        <f>M13</f>
        <v>-30590627.167539999</v>
      </c>
      <c r="N7" s="788">
        <f t="shared" si="0"/>
        <v>-52650053.076280005</v>
      </c>
      <c r="O7" s="788">
        <f>O13</f>
        <v>-57812379.869816013</v>
      </c>
      <c r="P7" s="787"/>
      <c r="Q7" s="787"/>
    </row>
    <row r="8" spans="1:18">
      <c r="B8" s="2" t="s">
        <v>220</v>
      </c>
      <c r="C8" s="786"/>
      <c r="D8" s="786"/>
      <c r="E8" s="786"/>
      <c r="F8" s="786"/>
      <c r="G8" s="786"/>
      <c r="H8" s="786"/>
      <c r="I8" s="786">
        <f t="shared" ref="I8:O9" si="1">I15</f>
        <v>15570646.49</v>
      </c>
      <c r="J8" s="786">
        <f t="shared" si="1"/>
        <v>19512252.349999998</v>
      </c>
      <c r="K8" s="786"/>
      <c r="L8" s="786"/>
      <c r="M8" s="786">
        <f t="shared" si="1"/>
        <v>34785128.149999999</v>
      </c>
      <c r="N8" s="786">
        <f t="shared" si="1"/>
        <v>34641332.100000001</v>
      </c>
      <c r="O8" s="786">
        <f t="shared" si="1"/>
        <v>41319933.199999996</v>
      </c>
      <c r="P8" s="785"/>
      <c r="Q8" s="785"/>
    </row>
    <row r="9" spans="1:18">
      <c r="B9" s="2" t="s">
        <v>225</v>
      </c>
      <c r="C9" s="786"/>
      <c r="D9" s="786"/>
      <c r="E9" s="786"/>
      <c r="F9" s="786"/>
      <c r="G9" s="786"/>
      <c r="H9" s="786"/>
      <c r="I9" s="786">
        <f t="shared" si="1"/>
        <v>0</v>
      </c>
      <c r="J9" s="786">
        <f t="shared" si="1"/>
        <v>0</v>
      </c>
      <c r="K9" s="786"/>
      <c r="L9" s="786"/>
      <c r="M9" s="786">
        <f t="shared" si="1"/>
        <v>1796.5974589931463</v>
      </c>
      <c r="N9" s="786">
        <f t="shared" si="1"/>
        <v>15025.675365372703</v>
      </c>
      <c r="O9" s="786">
        <f t="shared" si="1"/>
        <v>51355.490016444557</v>
      </c>
      <c r="P9" s="785"/>
      <c r="Q9" s="785"/>
    </row>
    <row r="10" spans="1:18">
      <c r="B10" s="2" t="s">
        <v>253</v>
      </c>
      <c r="C10" s="786"/>
      <c r="D10" s="786"/>
      <c r="E10" s="786"/>
      <c r="F10" s="786"/>
      <c r="G10" s="786"/>
      <c r="H10" s="786"/>
      <c r="I10" s="786">
        <f t="shared" ref="I10:N10" si="2">SUM(I6:I9)</f>
        <v>3743512614.8874197</v>
      </c>
      <c r="J10" s="786">
        <f t="shared" si="2"/>
        <v>3930566394.7976999</v>
      </c>
      <c r="K10" s="786"/>
      <c r="L10" s="786"/>
      <c r="M10" s="786">
        <f>SUM(M6:M9)</f>
        <v>3972698897.5320349</v>
      </c>
      <c r="N10" s="786">
        <f t="shared" si="2"/>
        <v>4025249333.3413157</v>
      </c>
      <c r="O10" s="786">
        <f>SUM(O6:O9)</f>
        <v>4010715572.9264092</v>
      </c>
      <c r="P10" s="785"/>
      <c r="Q10" s="785"/>
    </row>
    <row r="11" spans="1:18">
      <c r="B11" s="2"/>
      <c r="C11" s="786"/>
      <c r="D11" s="786"/>
      <c r="E11" s="786"/>
      <c r="F11" s="786"/>
      <c r="G11" s="786"/>
      <c r="H11" s="786"/>
      <c r="I11" s="785"/>
      <c r="J11" s="785"/>
      <c r="K11" s="786"/>
      <c r="L11" s="785"/>
      <c r="M11" s="785"/>
      <c r="N11" s="785"/>
      <c r="O11" s="785"/>
      <c r="P11" s="785"/>
      <c r="Q11" s="785"/>
    </row>
    <row r="12" spans="1:18">
      <c r="B12" s="2" t="s">
        <v>233</v>
      </c>
      <c r="C12" s="786"/>
      <c r="D12" s="786"/>
      <c r="E12" s="786"/>
      <c r="F12" s="786"/>
      <c r="G12" s="786"/>
      <c r="H12" s="786"/>
      <c r="I12" s="786">
        <f>'Model # Two'!D158</f>
        <v>3781079154.0180035</v>
      </c>
      <c r="J12" s="786">
        <f>'Model # Two'!D159</f>
        <v>3889917169.2406254</v>
      </c>
      <c r="K12" s="786"/>
      <c r="L12" s="786">
        <v>3962537441.748795</v>
      </c>
      <c r="M12" s="786">
        <f>'Model # Two'!D160</f>
        <v>3969819877.0134583</v>
      </c>
      <c r="N12" s="786">
        <f>'Model # Two'!D161</f>
        <v>4039088422.7731237</v>
      </c>
      <c r="O12" s="786">
        <f>'Model # Two'!D162</f>
        <v>4036523438.1173348</v>
      </c>
      <c r="P12" s="786">
        <f>'Model # Two'!D163</f>
        <v>4109065669.8450508</v>
      </c>
      <c r="Q12" s="786">
        <f>'Model # Two'!D164</f>
        <v>4194973860.0719819</v>
      </c>
      <c r="R12" s="493"/>
    </row>
    <row r="13" spans="1:18">
      <c r="B13" s="2" t="s">
        <v>214</v>
      </c>
      <c r="C13" s="786"/>
      <c r="D13" s="786"/>
      <c r="E13" s="786"/>
      <c r="F13" s="786"/>
      <c r="G13" s="786"/>
      <c r="H13" s="786"/>
      <c r="I13" s="786"/>
      <c r="J13" s="786"/>
      <c r="K13" s="786"/>
      <c r="L13" s="786"/>
      <c r="M13" s="788">
        <f>-SUM('WH MRK PART.'!E4:E15)</f>
        <v>-30590627.167539999</v>
      </c>
      <c r="N13" s="788">
        <f>-SUM('WH MRK PART.'!E16:E27)</f>
        <v>-52650053.076280005</v>
      </c>
      <c r="O13" s="788">
        <f>-SUM('WH MRK PART.'!E28:E39)</f>
        <v>-57812379.869816013</v>
      </c>
      <c r="P13" s="788">
        <f>-SUM('WH MRK PART.'!E40:E51)</f>
        <v>-57815958.491016895</v>
      </c>
      <c r="Q13" s="788">
        <f>-SUM('WH MRK PART.'!E52:E63)</f>
        <v>-57825129.165200219</v>
      </c>
    </row>
    <row r="14" spans="1:18">
      <c r="B14" s="2" t="s">
        <v>213</v>
      </c>
      <c r="C14" s="786"/>
      <c r="D14" s="786"/>
      <c r="E14" s="786"/>
      <c r="F14" s="786"/>
      <c r="G14" s="786"/>
      <c r="H14" s="786"/>
      <c r="I14" s="786"/>
      <c r="J14" s="786"/>
      <c r="K14" s="786"/>
      <c r="L14" s="788">
        <f>-19000000</f>
        <v>-19000000</v>
      </c>
      <c r="M14" s="786"/>
      <c r="N14" s="786"/>
      <c r="O14" s="786"/>
      <c r="P14" s="789">
        <v>-45863104.422104999</v>
      </c>
      <c r="Q14" s="788">
        <v>-53726379.902346201</v>
      </c>
    </row>
    <row r="15" spans="1:18">
      <c r="B15" s="2" t="s">
        <v>220</v>
      </c>
      <c r="C15" s="786"/>
      <c r="D15" s="786"/>
      <c r="E15" s="786"/>
      <c r="F15" s="786"/>
      <c r="G15" s="786"/>
      <c r="H15" s="786"/>
      <c r="I15" s="786">
        <v>15570646.49</v>
      </c>
      <c r="J15" s="786">
        <f>-SUM('2010 to 2013 Actual kWh'!E4:E15)</f>
        <v>19512252.349999998</v>
      </c>
      <c r="K15" s="786"/>
      <c r="L15" s="808">
        <f>-SUM('2010 to 2013 Actual kWh'!E16:E27)</f>
        <v>34785128.149999999</v>
      </c>
      <c r="M15" s="786">
        <f>-SUM('2010 to 2013 Actual kWh'!E16:E27)</f>
        <v>34785128.149999999</v>
      </c>
      <c r="N15" s="786">
        <f>-SUM('2010 to 2013 Actual kWh'!E28:E39)</f>
        <v>34641332.100000001</v>
      </c>
      <c r="O15" s="786">
        <f>-SUM('2010 to 2013 Actual kWh'!E40:E51)</f>
        <v>41319933.199999996</v>
      </c>
      <c r="P15" s="790">
        <f>P129*1.0247</f>
        <v>0</v>
      </c>
      <c r="Q15" s="788">
        <f>'Emb. Dist. Forecast'!P16</f>
        <v>17432620.442314733</v>
      </c>
    </row>
    <row r="16" spans="1:18">
      <c r="B16" s="2" t="s">
        <v>225</v>
      </c>
      <c r="C16" s="786"/>
      <c r="D16" s="786"/>
      <c r="E16" s="786"/>
      <c r="F16" s="786"/>
      <c r="G16" s="786"/>
      <c r="H16" s="786"/>
      <c r="I16" s="786"/>
      <c r="J16" s="786"/>
      <c r="K16" s="786"/>
      <c r="L16" s="786"/>
      <c r="M16" s="786">
        <f>M145*1.0349</f>
        <v>1796.5974589931463</v>
      </c>
      <c r="N16" s="786">
        <f t="shared" ref="N16:O16" si="3">N145*1.0349</f>
        <v>15025.675365372703</v>
      </c>
      <c r="O16" s="786">
        <f t="shared" si="3"/>
        <v>51355.490016444557</v>
      </c>
      <c r="P16" s="788">
        <f>'Dist. Gen. Forecast'!Z17</f>
        <v>117684.14688682696</v>
      </c>
      <c r="Q16" s="788">
        <f>'Dist. Gen. Forecast'!S17</f>
        <v>184913.45835706929</v>
      </c>
    </row>
    <row r="17" spans="2:18">
      <c r="B17" s="2" t="s">
        <v>235</v>
      </c>
      <c r="C17" s="787"/>
      <c r="D17" s="787"/>
      <c r="E17" s="787"/>
      <c r="F17" s="786"/>
      <c r="G17" s="786"/>
      <c r="H17" s="786"/>
      <c r="I17" s="786">
        <f t="shared" ref="I17:N17" si="4">SUM(I12:I16)</f>
        <v>3796649800.5080032</v>
      </c>
      <c r="J17" s="786">
        <f>SUM(J12:J16)</f>
        <v>3909429421.5906253</v>
      </c>
      <c r="K17" s="786"/>
      <c r="L17" s="786">
        <f>SUM(L12:L16)</f>
        <v>3978322569.8987951</v>
      </c>
      <c r="M17" s="786">
        <f>SUM(M12:M16)</f>
        <v>3974016174.5933771</v>
      </c>
      <c r="N17" s="786">
        <f t="shared" si="4"/>
        <v>4021094727.472209</v>
      </c>
      <c r="O17" s="786">
        <f>SUM(O12:O16)</f>
        <v>4020082346.9375353</v>
      </c>
      <c r="P17" s="786">
        <f>SUM(P12:P16)</f>
        <v>4005504291.0788159</v>
      </c>
      <c r="Q17" s="786">
        <f>SUM(Q12:Q16)</f>
        <v>4101039884.905107</v>
      </c>
    </row>
    <row r="18" spans="2:18" s="348" customFormat="1">
      <c r="B18" s="349" t="s">
        <v>140</v>
      </c>
      <c r="C18" s="791"/>
      <c r="D18" s="791"/>
      <c r="E18" s="791"/>
      <c r="F18" s="791"/>
      <c r="G18" s="791"/>
      <c r="H18" s="791"/>
      <c r="I18" s="791">
        <f>(I17-I10)/I6</f>
        <v>1.4253758795345821E-2</v>
      </c>
      <c r="J18" s="791">
        <f t="shared" ref="J18:N18" si="5">(J17-J10)/J6</f>
        <v>-5.4044184604016363E-3</v>
      </c>
      <c r="K18" s="786"/>
      <c r="L18" s="791"/>
      <c r="M18" s="791">
        <f t="shared" si="5"/>
        <v>3.319330221323614E-4</v>
      </c>
      <c r="N18" s="791">
        <f t="shared" si="5"/>
        <v>-1.0275429499724967E-3</v>
      </c>
      <c r="O18" s="791">
        <f>(O17-O10)/O6</f>
        <v>2.3259025641121692E-3</v>
      </c>
      <c r="P18" s="792"/>
      <c r="Q18" s="793"/>
      <c r="R18" s="350"/>
    </row>
    <row r="19" spans="2:18" ht="6" customHeight="1">
      <c r="B19" s="2"/>
      <c r="C19" s="794"/>
      <c r="D19" s="794"/>
      <c r="E19" s="794"/>
      <c r="F19" s="794"/>
      <c r="G19" s="794"/>
      <c r="H19" s="794"/>
      <c r="I19" s="794"/>
      <c r="J19" s="794"/>
      <c r="K19" s="786"/>
      <c r="L19" s="794"/>
      <c r="M19" s="795"/>
      <c r="N19" s="796"/>
      <c r="O19" s="796"/>
      <c r="P19" s="796"/>
      <c r="Q19" s="796"/>
    </row>
    <row r="20" spans="2:18" ht="16.5" customHeight="1" thickBot="1">
      <c r="B20" s="118" t="s">
        <v>141</v>
      </c>
      <c r="C20" s="797"/>
      <c r="D20" s="797"/>
      <c r="E20" s="797"/>
      <c r="F20" s="797"/>
      <c r="G20" s="797"/>
      <c r="H20" s="797"/>
      <c r="I20" s="797">
        <f>'Rate Class Energy Model'!H10+I129</f>
        <v>3632175993.8014045</v>
      </c>
      <c r="J20" s="797">
        <f>'Rate Class Energy Model'!H11+J129</f>
        <v>3807969431.8402839</v>
      </c>
      <c r="K20" s="797"/>
      <c r="L20" s="797">
        <v>3850115760.1599712</v>
      </c>
      <c r="M20" s="798">
        <f>'Rate Class Energy Model'!H12+M129+M145-SUM('WH MRK PART.'!I4:I15)</f>
        <v>3865533885.5952678</v>
      </c>
      <c r="N20" s="799">
        <f>'Rate Class Energy Model'!H13+N129+N145-SUM('WH MRK PART.'!I16:I27)</f>
        <v>3910338523.2705059</v>
      </c>
      <c r="O20" s="799">
        <f>'Rate Class Energy Model'!H14+O129+O145-SUM('WH MRK PART.'!I28:I39)</f>
        <v>3877345711.8663158</v>
      </c>
      <c r="P20" s="799">
        <f>'Rate Class Energy Model'!H77+'Rate Class Energy Model'!S82</f>
        <v>3879975810.415029</v>
      </c>
      <c r="Q20" s="799">
        <f>'Rate Class Energy Model'!H78+'Rate Class Energy Model'!S83</f>
        <v>3972635062.5123034</v>
      </c>
    </row>
    <row r="21" spans="2:18">
      <c r="B21" s="1"/>
      <c r="C21" s="800"/>
      <c r="D21" s="801"/>
      <c r="E21" s="800"/>
      <c r="F21" s="800"/>
      <c r="G21" s="800"/>
      <c r="H21" s="800"/>
      <c r="I21" s="800"/>
      <c r="J21" s="800">
        <f>+J17/I17</f>
        <v>1.0297050365476246</v>
      </c>
      <c r="K21" s="800"/>
      <c r="L21" s="800"/>
      <c r="M21" s="800">
        <f>+M17/L17</f>
        <v>0.99891753490830493</v>
      </c>
      <c r="N21" s="800">
        <f>+N17/M17</f>
        <v>1.0118465931718683</v>
      </c>
      <c r="O21" s="800">
        <f t="shared" ref="O21:Q21" si="6">+O17/N17</f>
        <v>0.99974823260746459</v>
      </c>
      <c r="P21" s="800">
        <f t="shared" si="6"/>
        <v>0.99637369222801497</v>
      </c>
      <c r="Q21" s="800">
        <f t="shared" si="6"/>
        <v>1.0238510776381069</v>
      </c>
    </row>
    <row r="22" spans="2:18" ht="15.6">
      <c r="B22" s="343" t="s">
        <v>142</v>
      </c>
      <c r="C22" s="253"/>
      <c r="D22" s="253"/>
      <c r="E22" s="253"/>
      <c r="F22" s="253"/>
      <c r="G22" s="253"/>
      <c r="H22" s="253"/>
      <c r="I22" s="253"/>
      <c r="J22" s="253"/>
      <c r="K22" s="253"/>
      <c r="L22" s="253"/>
      <c r="M22" s="253"/>
      <c r="N22" s="773"/>
      <c r="O22" s="773"/>
      <c r="P22" s="772"/>
      <c r="Q22" s="773"/>
    </row>
    <row r="23" spans="2:18" ht="16.2" thickBot="1">
      <c r="B23" s="343"/>
      <c r="C23" s="253"/>
      <c r="D23" s="253"/>
      <c r="E23" s="253"/>
      <c r="F23" s="253"/>
      <c r="G23" s="253"/>
      <c r="H23" s="253"/>
      <c r="I23" s="253"/>
      <c r="J23" s="253"/>
      <c r="K23" s="253"/>
      <c r="L23" s="253"/>
      <c r="M23" s="253"/>
      <c r="N23" s="773"/>
      <c r="O23" s="773"/>
      <c r="P23" s="773"/>
      <c r="Q23" s="802"/>
    </row>
    <row r="24" spans="2:18">
      <c r="B24" s="351" t="s">
        <v>53</v>
      </c>
      <c r="C24" s="769"/>
      <c r="D24" s="769"/>
      <c r="E24" s="769"/>
      <c r="F24" s="769"/>
      <c r="G24" s="769"/>
      <c r="H24" s="769"/>
      <c r="I24" s="769"/>
      <c r="J24" s="769"/>
      <c r="K24" s="769"/>
      <c r="L24" s="769"/>
      <c r="M24" s="769"/>
      <c r="N24" s="770"/>
      <c r="O24" s="770"/>
      <c r="P24" s="770"/>
      <c r="Q24" s="796"/>
      <c r="R24" s="36"/>
    </row>
    <row r="25" spans="2:18">
      <c r="B25" s="4" t="s">
        <v>143</v>
      </c>
      <c r="C25" s="377"/>
      <c r="D25" s="377"/>
      <c r="E25" s="377"/>
      <c r="F25" s="377"/>
      <c r="G25" s="377"/>
      <c r="H25" s="377"/>
      <c r="I25" s="377">
        <f>'Rate Class Customer Model'!C12</f>
        <v>121040.83333333333</v>
      </c>
      <c r="J25" s="377">
        <f>'Rate Class Customer Model'!C13</f>
        <v>123012.66666666667</v>
      </c>
      <c r="K25" s="377"/>
      <c r="L25" s="377">
        <v>124915.99999990324</v>
      </c>
      <c r="M25" s="377">
        <f>'Rate Class Customer Model'!C14</f>
        <v>126316.66666666667</v>
      </c>
      <c r="N25" s="371">
        <f>'Rate Class Customer Model'!C15</f>
        <v>129698.83333333333</v>
      </c>
      <c r="O25" s="371">
        <f>'Rate Class Customer Model'!C16</f>
        <v>133722.83333333334</v>
      </c>
      <c r="P25" s="371">
        <f>'Rate Class Customer Model'!C17</f>
        <v>137303.07943061844</v>
      </c>
      <c r="Q25" s="371">
        <f>'Rate Class Customer Model'!C18</f>
        <v>140979.18172386952</v>
      </c>
      <c r="R25" s="493"/>
    </row>
    <row r="26" spans="2:18">
      <c r="B26" s="4" t="s">
        <v>144</v>
      </c>
      <c r="C26" s="377"/>
      <c r="D26" s="377"/>
      <c r="E26" s="377"/>
      <c r="F26" s="377"/>
      <c r="G26" s="377"/>
      <c r="H26" s="377"/>
      <c r="I26" s="377">
        <f>'WeatherNorm. Data'!C72</f>
        <v>1115888474.2629511</v>
      </c>
      <c r="J26" s="377">
        <f>'WeatherNorm. Data'!C73</f>
        <v>1177664857.9503076</v>
      </c>
      <c r="K26" s="807"/>
      <c r="L26" s="377">
        <v>1123427772.1634932</v>
      </c>
      <c r="M26" s="377">
        <f>'WeatherNorm. Data'!C74</f>
        <v>1192668901.268244</v>
      </c>
      <c r="N26" s="377">
        <f>'WeatherNorm. Data'!C75</f>
        <v>1220835179.3796725</v>
      </c>
      <c r="O26" s="377">
        <f>'WeatherNorm. Data'!C76</f>
        <v>1205670408.5618947</v>
      </c>
      <c r="P26" s="371">
        <f>'Rate Class Energy Model'!I77</f>
        <v>1249454159.1945403</v>
      </c>
      <c r="Q26" s="371">
        <f>'Rate Class Energy Model'!I78</f>
        <v>1308264983.2731071</v>
      </c>
    </row>
    <row r="27" spans="2:18">
      <c r="B27" s="495" t="s">
        <v>270</v>
      </c>
      <c r="C27" s="377"/>
      <c r="D27" s="377"/>
      <c r="E27" s="377"/>
      <c r="F27" s="377"/>
      <c r="G27" s="377"/>
      <c r="H27" s="377"/>
      <c r="I27" s="377">
        <f t="shared" ref="I27:Q27" si="7">I26/I25</f>
        <v>9219.1076641873024</v>
      </c>
      <c r="J27" s="377">
        <f t="shared" si="7"/>
        <v>9573.5251487676687</v>
      </c>
      <c r="K27" s="806"/>
      <c r="L27" s="377">
        <f t="shared" si="7"/>
        <v>8993.4657863233151</v>
      </c>
      <c r="M27" s="377">
        <f t="shared" si="7"/>
        <v>9441.8965663141098</v>
      </c>
      <c r="N27" s="377">
        <f t="shared" si="7"/>
        <v>9412.8462685709528</v>
      </c>
      <c r="O27" s="377">
        <f t="shared" si="7"/>
        <v>9016.1895205772234</v>
      </c>
      <c r="P27" s="377">
        <f t="shared" si="7"/>
        <v>9099.9718606159186</v>
      </c>
      <c r="Q27" s="377">
        <f t="shared" si="7"/>
        <v>9279.8452032127352</v>
      </c>
    </row>
    <row r="28" spans="2:18">
      <c r="B28" s="4" t="s">
        <v>266</v>
      </c>
      <c r="C28" s="377"/>
      <c r="D28" s="377"/>
      <c r="E28" s="377"/>
      <c r="F28" s="377"/>
      <c r="G28" s="377"/>
      <c r="H28" s="377"/>
      <c r="I28" s="377">
        <f t="shared" ref="I28:Q29" si="8">I25-H25</f>
        <v>121040.83333333333</v>
      </c>
      <c r="J28" s="377">
        <f t="shared" si="8"/>
        <v>1971.833333333343</v>
      </c>
      <c r="K28" s="377">
        <f>M25-J25</f>
        <v>3304</v>
      </c>
      <c r="L28" s="377"/>
      <c r="M28" s="377">
        <f>M25-L25</f>
        <v>1400.6666667634272</v>
      </c>
      <c r="N28" s="377">
        <f t="shared" si="8"/>
        <v>3382.166666666657</v>
      </c>
      <c r="O28" s="377">
        <f t="shared" si="8"/>
        <v>4024.0000000000146</v>
      </c>
      <c r="P28" s="377">
        <f t="shared" si="8"/>
        <v>3580.2460972850968</v>
      </c>
      <c r="Q28" s="377">
        <f t="shared" si="8"/>
        <v>3676.1022932510823</v>
      </c>
    </row>
    <row r="29" spans="2:18">
      <c r="B29" s="4" t="s">
        <v>268</v>
      </c>
      <c r="C29" s="377"/>
      <c r="D29" s="377"/>
      <c r="E29" s="377"/>
      <c r="F29" s="807"/>
      <c r="G29" s="807"/>
      <c r="H29" s="807"/>
      <c r="I29" s="807">
        <f>I26-H26</f>
        <v>1115888474.2629511</v>
      </c>
      <c r="J29" s="377">
        <f>J26-I26</f>
        <v>61776383.687356472</v>
      </c>
      <c r="K29" s="377">
        <f>M26-J26</f>
        <v>15004043.31793642</v>
      </c>
      <c r="L29" s="377"/>
      <c r="M29" s="377">
        <f>M26-L26</f>
        <v>69241129.104750872</v>
      </c>
      <c r="N29" s="377">
        <f>N26-M26</f>
        <v>28166278.111428499</v>
      </c>
      <c r="O29" s="807">
        <f t="shared" si="8"/>
        <v>-15164770.817777872</v>
      </c>
      <c r="P29" s="377">
        <f t="shared" si="8"/>
        <v>43783750.632645607</v>
      </c>
      <c r="Q29" s="377">
        <f t="shared" si="8"/>
        <v>58810824.07856679</v>
      </c>
    </row>
    <row r="30" spans="2:18">
      <c r="B30" s="495" t="s">
        <v>274</v>
      </c>
      <c r="C30" s="377"/>
      <c r="D30" s="807"/>
      <c r="E30" s="807"/>
      <c r="F30" s="807"/>
      <c r="G30" s="807"/>
      <c r="H30" s="807"/>
      <c r="I30" s="807">
        <f t="shared" ref="I30:Q30" si="9">I27-H27</f>
        <v>9219.1076641873024</v>
      </c>
      <c r="J30" s="807">
        <f t="shared" si="9"/>
        <v>354.41748458036636</v>
      </c>
      <c r="K30" s="806">
        <f t="shared" ref="K30" si="10">M27-J27</f>
        <v>-131.62858245355892</v>
      </c>
      <c r="L30" s="377"/>
      <c r="M30" s="377">
        <f t="shared" si="9"/>
        <v>448.43077999079469</v>
      </c>
      <c r="N30" s="807">
        <f t="shared" si="9"/>
        <v>-29.050297743156989</v>
      </c>
      <c r="O30" s="807">
        <f t="shared" si="9"/>
        <v>-396.65674799372937</v>
      </c>
      <c r="P30" s="377">
        <f t="shared" si="9"/>
        <v>83.782340038695111</v>
      </c>
      <c r="Q30" s="377">
        <f t="shared" si="9"/>
        <v>179.87334259681666</v>
      </c>
    </row>
    <row r="31" spans="2:18">
      <c r="B31" s="4" t="s">
        <v>267</v>
      </c>
      <c r="C31" s="377"/>
      <c r="D31" s="376"/>
      <c r="E31" s="376"/>
      <c r="F31" s="376"/>
      <c r="G31" s="376"/>
      <c r="H31" s="376"/>
      <c r="I31" s="376"/>
      <c r="J31" s="376">
        <f t="shared" ref="J31:Q32" si="11">J28/I25</f>
        <v>1.6290645718731362E-2</v>
      </c>
      <c r="K31" s="376">
        <f>M25/J25</f>
        <v>1.0268590226480743</v>
      </c>
      <c r="L31" s="376"/>
      <c r="M31" s="376">
        <f t="shared" si="11"/>
        <v>1.1212868381668578E-2</v>
      </c>
      <c r="N31" s="376">
        <f t="shared" si="11"/>
        <v>2.677530017152651E-2</v>
      </c>
      <c r="O31" s="376">
        <f t="shared" si="11"/>
        <v>3.1025722410764539E-2</v>
      </c>
      <c r="P31" s="376">
        <f t="shared" si="11"/>
        <v>2.6773633253496448E-2</v>
      </c>
      <c r="Q31" s="376">
        <f t="shared" si="11"/>
        <v>2.6773633253496538E-2</v>
      </c>
    </row>
    <row r="32" spans="2:18">
      <c r="B32" s="4" t="s">
        <v>269</v>
      </c>
      <c r="C32" s="377"/>
      <c r="D32" s="376"/>
      <c r="E32" s="376"/>
      <c r="F32" s="376"/>
      <c r="G32" s="376"/>
      <c r="H32" s="376"/>
      <c r="I32" s="376"/>
      <c r="J32" s="376">
        <f t="shared" si="11"/>
        <v>5.5360714903126877E-2</v>
      </c>
      <c r="K32" s="376">
        <f>M26/J26</f>
        <v>1.0127405035623211</v>
      </c>
      <c r="L32" s="376"/>
      <c r="M32" s="376">
        <f t="shared" si="11"/>
        <v>6.1633805768755878E-2</v>
      </c>
      <c r="N32" s="376">
        <f t="shared" si="11"/>
        <v>2.3616175521536133E-2</v>
      </c>
      <c r="O32" s="376">
        <f t="shared" si="11"/>
        <v>-1.2421636494357374E-2</v>
      </c>
      <c r="P32" s="376">
        <f t="shared" si="11"/>
        <v>3.6314858788705114E-2</v>
      </c>
      <c r="Q32" s="376">
        <f t="shared" si="11"/>
        <v>4.7069213100606383E-2</v>
      </c>
    </row>
    <row r="33" spans="2:18" ht="13.8" thickBot="1">
      <c r="B33" s="495" t="s">
        <v>271</v>
      </c>
      <c r="C33" s="376"/>
      <c r="D33" s="376"/>
      <c r="E33" s="376"/>
      <c r="F33" s="376"/>
      <c r="G33" s="376"/>
      <c r="H33" s="376"/>
      <c r="I33" s="376"/>
      <c r="J33" s="376">
        <f t="shared" ref="J33:Q33" si="12">(J27-I27)/I27</f>
        <v>3.8443794940929303E-2</v>
      </c>
      <c r="K33" s="823">
        <f>M27/J27</f>
        <v>0.98625077174728026</v>
      </c>
      <c r="L33" s="376"/>
      <c r="M33" s="376">
        <f t="shared" si="12"/>
        <v>4.9861843103104854E-2</v>
      </c>
      <c r="N33" s="376">
        <f t="shared" si="12"/>
        <v>-3.0767439082948489E-3</v>
      </c>
      <c r="O33" s="376">
        <f t="shared" si="12"/>
        <v>-4.2139936919839797E-2</v>
      </c>
      <c r="P33" s="766">
        <f t="shared" si="12"/>
        <v>9.2924333331151302E-3</v>
      </c>
      <c r="Q33" s="766">
        <f t="shared" si="12"/>
        <v>1.976636250660254E-2</v>
      </c>
    </row>
    <row r="34" spans="2:18">
      <c r="B34" s="351" t="s">
        <v>47</v>
      </c>
      <c r="C34" s="769"/>
      <c r="D34" s="769"/>
      <c r="E34" s="769"/>
      <c r="F34" s="769"/>
      <c r="G34" s="769"/>
      <c r="H34" s="769"/>
      <c r="I34" s="769"/>
      <c r="J34" s="769"/>
      <c r="K34" s="769"/>
      <c r="L34" s="769"/>
      <c r="M34" s="769"/>
      <c r="N34" s="770"/>
      <c r="O34" s="770"/>
      <c r="P34" s="796"/>
      <c r="Q34" s="796"/>
    </row>
    <row r="35" spans="2:18">
      <c r="B35" s="4" t="s">
        <v>143</v>
      </c>
      <c r="C35" s="377"/>
      <c r="D35" s="377"/>
      <c r="E35" s="377"/>
      <c r="F35" s="377"/>
      <c r="G35" s="377"/>
      <c r="H35" s="377"/>
      <c r="I35" s="377">
        <f>'Rate Class Customer Model'!D12</f>
        <v>7528.75</v>
      </c>
      <c r="J35" s="377">
        <f>'Rate Class Customer Model'!D13</f>
        <v>7751.5</v>
      </c>
      <c r="K35" s="377"/>
      <c r="L35" s="377">
        <v>7892.9535566663899</v>
      </c>
      <c r="M35" s="377">
        <f>'Rate Class Customer Model'!D14</f>
        <v>8080.333333333333</v>
      </c>
      <c r="N35" s="371">
        <f>'Rate Class Customer Model'!D15</f>
        <v>8327.5833333333339</v>
      </c>
      <c r="O35" s="371">
        <f>'Rate Class Customer Model'!D16</f>
        <v>8531.9166666666661</v>
      </c>
      <c r="P35" s="371">
        <f>'Rate Class Customer Model'!D17</f>
        <v>8757.7008210179465</v>
      </c>
      <c r="Q35" s="371">
        <f>'Rate Class Customer Model'!D18</f>
        <v>8989.4600084535614</v>
      </c>
    </row>
    <row r="36" spans="2:18">
      <c r="B36" s="4" t="s">
        <v>144</v>
      </c>
      <c r="C36" s="377"/>
      <c r="D36" s="377"/>
      <c r="E36" s="377"/>
      <c r="F36" s="377"/>
      <c r="G36" s="377"/>
      <c r="H36" s="377"/>
      <c r="I36" s="377">
        <f>'WeatherNorm. Data'!D72</f>
        <v>290164102.6724683</v>
      </c>
      <c r="J36" s="377">
        <f>'WeatherNorm. Data'!D73</f>
        <v>293428537.30839074</v>
      </c>
      <c r="K36" s="377"/>
      <c r="L36" s="377">
        <v>291481574.35899746</v>
      </c>
      <c r="M36" s="377">
        <f>'WeatherNorm. Data'!D74</f>
        <v>310673553.41984224</v>
      </c>
      <c r="N36" s="377">
        <f>'WeatherNorm. Data'!D75</f>
        <v>318669115.42239684</v>
      </c>
      <c r="O36" s="377">
        <f>'WeatherNorm. Data'!D76</f>
        <v>324486114.38038623</v>
      </c>
      <c r="P36" s="371">
        <f>'Rate Class Energy Model'!J77</f>
        <v>338649622.87125695</v>
      </c>
      <c r="Q36" s="371">
        <f>'Rate Class Energy Model'!J78</f>
        <v>354668870.2835499</v>
      </c>
      <c r="R36" s="456"/>
    </row>
    <row r="37" spans="2:18">
      <c r="B37" s="495" t="s">
        <v>270</v>
      </c>
      <c r="C37" s="377"/>
      <c r="D37" s="377"/>
      <c r="E37" s="377"/>
      <c r="F37" s="377"/>
      <c r="G37" s="377"/>
      <c r="H37" s="377"/>
      <c r="I37" s="377">
        <f t="shared" ref="I37:Q37" si="13">I36/I35</f>
        <v>38540.807261825445</v>
      </c>
      <c r="J37" s="377">
        <f t="shared" si="13"/>
        <v>37854.420087517348</v>
      </c>
      <c r="K37" s="377"/>
      <c r="L37" s="377">
        <f t="shared" si="13"/>
        <v>36929.341122603219</v>
      </c>
      <c r="M37" s="377">
        <f t="shared" si="13"/>
        <v>38448.111062230382</v>
      </c>
      <c r="N37" s="377">
        <f t="shared" si="13"/>
        <v>38266.697872219447</v>
      </c>
      <c r="O37" s="377">
        <f t="shared" si="13"/>
        <v>38032.030440255076</v>
      </c>
      <c r="P37" s="377">
        <f t="shared" si="13"/>
        <v>38668.781886053766</v>
      </c>
      <c r="Q37" s="377">
        <f t="shared" si="13"/>
        <v>39453.857067056786</v>
      </c>
      <c r="R37" s="456"/>
    </row>
    <row r="38" spans="2:18">
      <c r="B38" s="4" t="s">
        <v>266</v>
      </c>
      <c r="C38" s="377"/>
      <c r="D38" s="377"/>
      <c r="E38" s="377"/>
      <c r="F38" s="377"/>
      <c r="G38" s="377"/>
      <c r="H38" s="377"/>
      <c r="I38" s="377">
        <f t="shared" ref="I38:J39" si="14">I35-H35</f>
        <v>7528.75</v>
      </c>
      <c r="J38" s="377">
        <f t="shared" si="14"/>
        <v>222.75</v>
      </c>
      <c r="K38" s="377">
        <f>M35-J35</f>
        <v>328.83333333333303</v>
      </c>
      <c r="L38" s="377"/>
      <c r="M38" s="377">
        <f>M35-L35</f>
        <v>187.37977666694314</v>
      </c>
      <c r="N38" s="377">
        <f t="shared" ref="N38:Q39" si="15">N35-M35</f>
        <v>247.25000000000091</v>
      </c>
      <c r="O38" s="377">
        <f t="shared" si="15"/>
        <v>204.33333333333212</v>
      </c>
      <c r="P38" s="377">
        <f t="shared" si="15"/>
        <v>225.78415435128045</v>
      </c>
      <c r="Q38" s="377">
        <f t="shared" si="15"/>
        <v>231.75918743561488</v>
      </c>
      <c r="R38" s="456"/>
    </row>
    <row r="39" spans="2:18">
      <c r="B39" s="4" t="s">
        <v>268</v>
      </c>
      <c r="C39" s="377"/>
      <c r="D39" s="807"/>
      <c r="E39" s="807"/>
      <c r="F39" s="807"/>
      <c r="G39" s="807"/>
      <c r="H39" s="807"/>
      <c r="I39" s="807">
        <f t="shared" si="14"/>
        <v>290164102.6724683</v>
      </c>
      <c r="J39" s="807">
        <f>J36-I36</f>
        <v>3264434.6359224319</v>
      </c>
      <c r="K39" s="377">
        <f>M36-J36</f>
        <v>17245016.111451507</v>
      </c>
      <c r="L39" s="807"/>
      <c r="M39" s="807">
        <f>M36-L36</f>
        <v>19191979.060844779</v>
      </c>
      <c r="N39" s="807">
        <f>N36-M36</f>
        <v>7995562.0025545955</v>
      </c>
      <c r="O39" s="807">
        <f t="shared" si="15"/>
        <v>5816998.9579893947</v>
      </c>
      <c r="P39" s="807">
        <f t="shared" si="15"/>
        <v>14163508.490870714</v>
      </c>
      <c r="Q39" s="807">
        <f t="shared" si="15"/>
        <v>16019247.412292957</v>
      </c>
      <c r="R39" s="432"/>
    </row>
    <row r="40" spans="2:18">
      <c r="B40" s="495" t="s">
        <v>274</v>
      </c>
      <c r="C40" s="377"/>
      <c r="D40" s="807"/>
      <c r="E40" s="807"/>
      <c r="F40" s="807"/>
      <c r="G40" s="807"/>
      <c r="H40" s="807"/>
      <c r="I40" s="807">
        <f t="shared" ref="I40:Q40" si="16">I37-H37</f>
        <v>38540.807261825445</v>
      </c>
      <c r="J40" s="807">
        <f>J37-I37</f>
        <v>-686.38717430809629</v>
      </c>
      <c r="K40" s="806">
        <f t="shared" ref="K40" si="17">M37-J37</f>
        <v>593.69097471303394</v>
      </c>
      <c r="L40" s="807"/>
      <c r="M40" s="807">
        <f>M37-L37</f>
        <v>1518.7699396271637</v>
      </c>
      <c r="N40" s="807">
        <f t="shared" si="16"/>
        <v>-181.41319001093507</v>
      </c>
      <c r="O40" s="807">
        <f t="shared" si="16"/>
        <v>-234.66743196437164</v>
      </c>
      <c r="P40" s="807">
        <f t="shared" si="16"/>
        <v>636.75144579869084</v>
      </c>
      <c r="Q40" s="807">
        <f t="shared" si="16"/>
        <v>785.07518100301968</v>
      </c>
      <c r="R40" s="432"/>
    </row>
    <row r="41" spans="2:18">
      <c r="B41" s="4" t="s">
        <v>267</v>
      </c>
      <c r="C41" s="377"/>
      <c r="D41" s="376"/>
      <c r="E41" s="376"/>
      <c r="F41" s="376"/>
      <c r="G41" s="376"/>
      <c r="H41" s="376"/>
      <c r="I41" s="376"/>
      <c r="J41" s="376">
        <f t="shared" ref="J41:J42" si="18">J38/I35</f>
        <v>2.9586584758426033E-2</v>
      </c>
      <c r="K41" s="376">
        <f>M35/J35</f>
        <v>1.0424218968371712</v>
      </c>
      <c r="L41" s="376"/>
      <c r="M41" s="376">
        <f t="shared" ref="M41:Q42" si="19">M38/L35</f>
        <v>2.3740134199659917E-2</v>
      </c>
      <c r="N41" s="376">
        <f t="shared" si="19"/>
        <v>3.0598985190380047E-2</v>
      </c>
      <c r="O41" s="376">
        <f t="shared" si="19"/>
        <v>2.4536930482032454E-2</v>
      </c>
      <c r="P41" s="376">
        <f t="shared" si="19"/>
        <v>2.6463473938206201E-2</v>
      </c>
      <c r="Q41" s="376">
        <f t="shared" si="19"/>
        <v>2.6463473938206132E-2</v>
      </c>
      <c r="R41" s="456"/>
    </row>
    <row r="42" spans="2:18">
      <c r="B42" s="4" t="s">
        <v>269</v>
      </c>
      <c r="C42" s="377"/>
      <c r="D42" s="376"/>
      <c r="E42" s="376"/>
      <c r="F42" s="376"/>
      <c r="G42" s="376"/>
      <c r="H42" s="376"/>
      <c r="I42" s="376"/>
      <c r="J42" s="376">
        <f t="shared" si="18"/>
        <v>1.1250304933850703E-2</v>
      </c>
      <c r="K42" s="376">
        <f>M36/J36</f>
        <v>1.0587707530754826</v>
      </c>
      <c r="L42" s="376"/>
      <c r="M42" s="376">
        <f t="shared" si="19"/>
        <v>6.5842855086295643E-2</v>
      </c>
      <c r="N42" s="376">
        <f t="shared" si="19"/>
        <v>2.5736217050150532E-2</v>
      </c>
      <c r="O42" s="376">
        <f t="shared" si="19"/>
        <v>1.8254040559528166E-2</v>
      </c>
      <c r="P42" s="376">
        <f t="shared" si="19"/>
        <v>4.3649043404881169E-2</v>
      </c>
      <c r="Q42" s="376">
        <f t="shared" si="19"/>
        <v>4.7303307992706461E-2</v>
      </c>
      <c r="R42" s="456"/>
    </row>
    <row r="43" spans="2:18" s="348" customFormat="1" ht="13.8" thickBot="1">
      <c r="B43" s="495" t="s">
        <v>271</v>
      </c>
      <c r="C43" s="376"/>
      <c r="D43" s="376"/>
      <c r="E43" s="376"/>
      <c r="F43" s="376"/>
      <c r="G43" s="376"/>
      <c r="H43" s="376"/>
      <c r="I43" s="376"/>
      <c r="J43" s="376">
        <f t="shared" ref="J43:Q43" si="20">J40/I37</f>
        <v>-1.7809361637008594E-2</v>
      </c>
      <c r="K43" s="823">
        <f>M37/J37</f>
        <v>1.015683531099947</v>
      </c>
      <c r="L43" s="376"/>
      <c r="M43" s="376">
        <f t="shared" si="20"/>
        <v>4.1126375219772748E-2</v>
      </c>
      <c r="N43" s="376">
        <f t="shared" si="20"/>
        <v>-4.7183901887223496E-3</v>
      </c>
      <c r="O43" s="376">
        <f t="shared" si="20"/>
        <v>-6.1324191794122282E-3</v>
      </c>
      <c r="P43" s="376">
        <f t="shared" si="20"/>
        <v>1.6742504631693817E-2</v>
      </c>
      <c r="Q43" s="376">
        <f t="shared" si="20"/>
        <v>2.0302557844113622E-2</v>
      </c>
      <c r="R43" s="456"/>
    </row>
    <row r="44" spans="2:18">
      <c r="B44" s="351" t="s">
        <v>46</v>
      </c>
      <c r="C44" s="769"/>
      <c r="D44" s="769"/>
      <c r="E44" s="769"/>
      <c r="F44" s="769"/>
      <c r="G44" s="769"/>
      <c r="H44" s="769"/>
      <c r="I44" s="769"/>
      <c r="J44" s="769"/>
      <c r="K44" s="769"/>
      <c r="L44" s="769"/>
      <c r="M44" s="769"/>
      <c r="N44" s="769"/>
      <c r="O44" s="769"/>
      <c r="P44" s="769"/>
      <c r="Q44" s="769"/>
      <c r="R44" s="456"/>
    </row>
    <row r="45" spans="2:18">
      <c r="B45" s="765" t="s">
        <v>143</v>
      </c>
      <c r="C45" s="407"/>
      <c r="D45" s="407"/>
      <c r="E45" s="407"/>
      <c r="F45" s="807"/>
      <c r="G45" s="807"/>
      <c r="H45" s="807"/>
      <c r="I45" s="807">
        <f>AVERAGE(Customer!$P75:$P86)</f>
        <v>66.166666666666671</v>
      </c>
      <c r="J45" s="807">
        <f>AVERAGE(Customer!$P87:$P98)</f>
        <v>62</v>
      </c>
      <c r="K45" s="807"/>
      <c r="L45" s="807">
        <v>62</v>
      </c>
      <c r="M45" s="807">
        <f>AVERAGE(Customer!$P99:$P110)</f>
        <v>61.166666666666664</v>
      </c>
      <c r="N45" s="807">
        <f>AVERAGE(Customer!$P111:$P122)</f>
        <v>60.666666666666664</v>
      </c>
      <c r="O45" s="807">
        <f>AVERAGE(Customer!$P123:$P134)</f>
        <v>58.833333333333336</v>
      </c>
      <c r="P45" s="807">
        <f>AVERAGE(Customer!$P135:$P146)</f>
        <v>57.323564177160051</v>
      </c>
      <c r="Q45" s="807">
        <f>AVERAGE(Customer!$P147:$P158)</f>
        <v>55.852538413138596</v>
      </c>
      <c r="R45" s="456"/>
    </row>
    <row r="46" spans="2:18">
      <c r="B46" s="4" t="s">
        <v>145</v>
      </c>
      <c r="C46" s="377"/>
      <c r="D46" s="377"/>
      <c r="E46" s="377"/>
      <c r="F46" s="377"/>
      <c r="G46" s="377"/>
      <c r="H46" s="377"/>
      <c r="I46" s="377">
        <f>'Rate Class Customer Model'!E12</f>
        <v>1280</v>
      </c>
      <c r="J46" s="377">
        <f>'Rate Class Customer Model'!E13</f>
        <v>1293</v>
      </c>
      <c r="K46" s="377"/>
      <c r="L46" s="377">
        <v>1300.4051714878062</v>
      </c>
      <c r="M46" s="377">
        <f>'Rate Class Customer Model'!E14</f>
        <v>1368.8333333333333</v>
      </c>
      <c r="N46" s="371">
        <f>'Rate Class Customer Model'!E15</f>
        <v>1424.0833333333333</v>
      </c>
      <c r="O46" s="371">
        <f>'Rate Class Customer Model'!E16</f>
        <v>1477.1666666666667</v>
      </c>
      <c r="P46" s="371">
        <f>'Rate Class Customer Model'!E17</f>
        <v>1518.8541771014698</v>
      </c>
      <c r="Q46" s="371">
        <f>'Rate Class Customer Model'!E18</f>
        <v>1561.7181617727065</v>
      </c>
      <c r="R46" s="456"/>
    </row>
    <row r="47" spans="2:18">
      <c r="B47" s="4" t="s">
        <v>144</v>
      </c>
      <c r="C47" s="807"/>
      <c r="D47" s="807"/>
      <c r="E47" s="807"/>
      <c r="F47" s="807"/>
      <c r="G47" s="807"/>
      <c r="H47" s="807"/>
      <c r="I47" s="807">
        <f>'WeatherNorm. Data'!E72</f>
        <v>5162842.3898927458</v>
      </c>
      <c r="J47" s="807">
        <f>'WeatherNorm. Data'!E73</f>
        <v>5256468.2023727708</v>
      </c>
      <c r="K47" s="807"/>
      <c r="L47" s="807">
        <v>4969698.2993811732</v>
      </c>
      <c r="M47" s="807">
        <f>'WeatherNorm. Data'!E74</f>
        <v>5509572.7817180417</v>
      </c>
      <c r="N47" s="807">
        <f>'WeatherNorm. Data'!E75</f>
        <v>5621482.9092499996</v>
      </c>
      <c r="O47" s="807">
        <f>'WeatherNorm. Data'!E76</f>
        <v>5767706.9910136256</v>
      </c>
      <c r="P47" s="812">
        <f>'Rate Class Energy Model'!K77</f>
        <v>5818253.4698772868</v>
      </c>
      <c r="Q47" s="812">
        <f>'Rate Class Energy Model'!K78</f>
        <v>5931732.9043365736</v>
      </c>
      <c r="R47" s="456"/>
    </row>
    <row r="48" spans="2:18">
      <c r="B48" s="495" t="s">
        <v>270</v>
      </c>
      <c r="C48" s="807"/>
      <c r="D48" s="807"/>
      <c r="E48" s="807"/>
      <c r="F48" s="807"/>
      <c r="G48" s="807"/>
      <c r="H48" s="807"/>
      <c r="I48" s="807">
        <f t="shared" ref="I48:Q48" si="21">I47/I46</f>
        <v>4033.4706171037078</v>
      </c>
      <c r="J48" s="807">
        <f t="shared" si="21"/>
        <v>4065.3273026858242</v>
      </c>
      <c r="K48" s="807"/>
      <c r="L48" s="807">
        <f t="shared" si="21"/>
        <v>3821.6537494197237</v>
      </c>
      <c r="M48" s="807">
        <f t="shared" si="21"/>
        <v>4025.0135992095766</v>
      </c>
      <c r="N48" s="807">
        <f t="shared" si="21"/>
        <v>3947.439575809</v>
      </c>
      <c r="O48" s="807">
        <f t="shared" si="21"/>
        <v>3904.574291558361</v>
      </c>
      <c r="P48" s="807">
        <f t="shared" si="21"/>
        <v>3830.6860247641721</v>
      </c>
      <c r="Q48" s="807">
        <f t="shared" si="21"/>
        <v>3798.2095934668923</v>
      </c>
      <c r="R48" s="456"/>
    </row>
    <row r="49" spans="2:18">
      <c r="B49" s="4" t="s">
        <v>266</v>
      </c>
      <c r="C49" s="807"/>
      <c r="D49" s="807"/>
      <c r="E49" s="807"/>
      <c r="F49" s="807"/>
      <c r="G49" s="807"/>
      <c r="H49" s="807"/>
      <c r="I49" s="807">
        <f t="shared" ref="I49:Q52" si="22">I45-H45</f>
        <v>66.166666666666671</v>
      </c>
      <c r="J49" s="807">
        <f t="shared" si="22"/>
        <v>-4.1666666666666714</v>
      </c>
      <c r="K49" s="807">
        <f>M45-J45</f>
        <v>-0.8333333333333357</v>
      </c>
      <c r="L49" s="807"/>
      <c r="M49" s="807">
        <f t="shared" si="22"/>
        <v>-0.8333333333333357</v>
      </c>
      <c r="N49" s="807">
        <f t="shared" si="22"/>
        <v>-0.5</v>
      </c>
      <c r="O49" s="807">
        <f t="shared" si="22"/>
        <v>-1.8333333333333286</v>
      </c>
      <c r="P49" s="807">
        <f t="shared" si="22"/>
        <v>-1.5097691561732844</v>
      </c>
      <c r="Q49" s="807">
        <f t="shared" si="22"/>
        <v>-1.471025764021455</v>
      </c>
      <c r="R49" s="456"/>
    </row>
    <row r="50" spans="2:18">
      <c r="B50" s="4" t="s">
        <v>272</v>
      </c>
      <c r="C50" s="807"/>
      <c r="D50" s="807"/>
      <c r="E50" s="807"/>
      <c r="F50" s="807"/>
      <c r="G50" s="807"/>
      <c r="H50" s="807"/>
      <c r="I50" s="807">
        <f t="shared" si="22"/>
        <v>1280</v>
      </c>
      <c r="J50" s="807">
        <f t="shared" si="22"/>
        <v>13</v>
      </c>
      <c r="K50" s="807">
        <f>M46-J46</f>
        <v>75.833333333333258</v>
      </c>
      <c r="L50" s="807"/>
      <c r="M50" s="807">
        <f>M46-L46</f>
        <v>68.428161845527029</v>
      </c>
      <c r="N50" s="807">
        <f t="shared" si="22"/>
        <v>55.25</v>
      </c>
      <c r="O50" s="807">
        <f t="shared" si="22"/>
        <v>53.083333333333485</v>
      </c>
      <c r="P50" s="807">
        <f t="shared" si="22"/>
        <v>41.687510434803016</v>
      </c>
      <c r="Q50" s="807">
        <f t="shared" si="22"/>
        <v>42.863984671236722</v>
      </c>
      <c r="R50" s="456"/>
    </row>
    <row r="51" spans="2:18">
      <c r="B51" s="4" t="s">
        <v>268</v>
      </c>
      <c r="C51" s="807"/>
      <c r="D51" s="807"/>
      <c r="E51" s="807"/>
      <c r="F51" s="807"/>
      <c r="G51" s="807"/>
      <c r="H51" s="807"/>
      <c r="I51" s="807">
        <f t="shared" si="22"/>
        <v>5162842.3898927458</v>
      </c>
      <c r="J51" s="807">
        <f t="shared" si="22"/>
        <v>93625.812480024993</v>
      </c>
      <c r="K51" s="807">
        <f>M47-J47</f>
        <v>253104.57934527099</v>
      </c>
      <c r="L51" s="807"/>
      <c r="M51" s="807">
        <f t="shared" si="22"/>
        <v>539874.48233686853</v>
      </c>
      <c r="N51" s="807">
        <f t="shared" si="22"/>
        <v>111910.12753195781</v>
      </c>
      <c r="O51" s="807">
        <f t="shared" si="22"/>
        <v>146224.08176362608</v>
      </c>
      <c r="P51" s="807">
        <f t="shared" si="22"/>
        <v>50546.478863661177</v>
      </c>
      <c r="Q51" s="807">
        <f t="shared" si="22"/>
        <v>113479.43445928674</v>
      </c>
      <c r="R51" s="456"/>
    </row>
    <row r="52" spans="2:18">
      <c r="B52" s="495" t="s">
        <v>274</v>
      </c>
      <c r="C52" s="807"/>
      <c r="D52" s="807"/>
      <c r="E52" s="807"/>
      <c r="F52" s="807"/>
      <c r="G52" s="807"/>
      <c r="H52" s="807"/>
      <c r="I52" s="807">
        <f t="shared" si="22"/>
        <v>4033.4706171037078</v>
      </c>
      <c r="J52" s="807">
        <f t="shared" si="22"/>
        <v>31.85668558211637</v>
      </c>
      <c r="K52" s="807">
        <f>M48-J48</f>
        <v>-40.313703476247611</v>
      </c>
      <c r="L52" s="807"/>
      <c r="M52" s="807">
        <f t="shared" si="22"/>
        <v>203.35984978985289</v>
      </c>
      <c r="N52" s="807">
        <f t="shared" si="22"/>
        <v>-77.574023400576607</v>
      </c>
      <c r="O52" s="807">
        <f t="shared" si="22"/>
        <v>-42.865284250638979</v>
      </c>
      <c r="P52" s="807">
        <f t="shared" si="22"/>
        <v>-73.888266794188894</v>
      </c>
      <c r="Q52" s="807">
        <f t="shared" si="22"/>
        <v>-32.47643129727976</v>
      </c>
    </row>
    <row r="53" spans="2:18">
      <c r="B53" s="4" t="s">
        <v>267</v>
      </c>
      <c r="C53" s="377"/>
      <c r="D53" s="813"/>
      <c r="E53" s="813"/>
      <c r="F53" s="813"/>
      <c r="G53" s="376"/>
      <c r="H53" s="376"/>
      <c r="I53" s="376"/>
      <c r="J53" s="376">
        <f t="shared" ref="J53:K55" si="23">J49/I45</f>
        <v>-6.2972292191435839E-2</v>
      </c>
      <c r="K53" s="376">
        <f>K49/J45</f>
        <v>-1.3440860215053802E-2</v>
      </c>
      <c r="L53" s="376"/>
      <c r="M53" s="376">
        <f t="shared" ref="M53:Q55" si="24">M49/L45</f>
        <v>-1.3440860215053802E-2</v>
      </c>
      <c r="N53" s="376">
        <f t="shared" si="24"/>
        <v>-8.1743869209809274E-3</v>
      </c>
      <c r="O53" s="376">
        <f t="shared" si="24"/>
        <v>-3.0219780219780144E-2</v>
      </c>
      <c r="P53" s="376">
        <f t="shared" si="24"/>
        <v>-2.5661798688497751E-2</v>
      </c>
      <c r="Q53" s="376">
        <f t="shared" si="24"/>
        <v>-2.566179868849762E-2</v>
      </c>
      <c r="R53" s="456"/>
    </row>
    <row r="54" spans="2:18">
      <c r="B54" s="4" t="s">
        <v>273</v>
      </c>
      <c r="C54" s="377"/>
      <c r="D54" s="376"/>
      <c r="E54" s="376"/>
      <c r="F54" s="376"/>
      <c r="G54" s="376"/>
      <c r="H54" s="376"/>
      <c r="I54" s="376"/>
      <c r="J54" s="376">
        <f t="shared" si="23"/>
        <v>1.015625E-2</v>
      </c>
      <c r="K54" s="376">
        <f t="shared" si="23"/>
        <v>5.8649136375354412E-2</v>
      </c>
      <c r="L54" s="376"/>
      <c r="M54" s="376">
        <f t="shared" si="24"/>
        <v>5.2620647276600492E-2</v>
      </c>
      <c r="N54" s="376">
        <f t="shared" si="24"/>
        <v>4.0362839400949715E-2</v>
      </c>
      <c r="O54" s="376">
        <f t="shared" si="24"/>
        <v>3.7275440341740407E-2</v>
      </c>
      <c r="P54" s="376">
        <f t="shared" si="24"/>
        <v>2.8221263974818694E-2</v>
      </c>
      <c r="Q54" s="376">
        <f t="shared" si="24"/>
        <v>2.8221263974818774E-2</v>
      </c>
      <c r="R54" s="456"/>
    </row>
    <row r="55" spans="2:18">
      <c r="B55" s="4" t="s">
        <v>269</v>
      </c>
      <c r="C55" s="377"/>
      <c r="D55" s="376"/>
      <c r="E55" s="376"/>
      <c r="F55" s="376"/>
      <c r="G55" s="376"/>
      <c r="H55" s="376"/>
      <c r="I55" s="376"/>
      <c r="J55" s="376">
        <f t="shared" si="23"/>
        <v>1.8134547872953759E-2</v>
      </c>
      <c r="K55" s="376">
        <f t="shared" si="23"/>
        <v>4.8151072088863683E-2</v>
      </c>
      <c r="L55" s="376"/>
      <c r="M55" s="376">
        <f t="shared" si="24"/>
        <v>0.10863325091667912</v>
      </c>
      <c r="N55" s="376">
        <f t="shared" si="24"/>
        <v>2.0311942861214197E-2</v>
      </c>
      <c r="O55" s="376">
        <f t="shared" si="24"/>
        <v>2.601165637682866E-2</v>
      </c>
      <c r="P55" s="376">
        <f t="shared" si="24"/>
        <v>8.7637043529456525E-3</v>
      </c>
      <c r="Q55" s="376">
        <f t="shared" si="24"/>
        <v>1.950403760283069E-2</v>
      </c>
      <c r="R55" s="456"/>
    </row>
    <row r="56" spans="2:18" s="348" customFormat="1" ht="13.8" thickBot="1">
      <c r="B56" s="495" t="s">
        <v>271</v>
      </c>
      <c r="C56" s="803"/>
      <c r="D56" s="376"/>
      <c r="E56" s="376"/>
      <c r="F56" s="376"/>
      <c r="G56" s="376"/>
      <c r="H56" s="376"/>
      <c r="I56" s="376"/>
      <c r="J56" s="376">
        <f t="shared" ref="J56:Q56" si="25">J52/I48</f>
        <v>7.8980829678118557E-3</v>
      </c>
      <c r="K56" s="823">
        <f>M48/J48</f>
        <v>0.99008352821933587</v>
      </c>
      <c r="L56" s="376"/>
      <c r="M56" s="376">
        <f t="shared" si="25"/>
        <v>5.3212526074799649E-2</v>
      </c>
      <c r="N56" s="376">
        <f t="shared" si="25"/>
        <v>-1.9272984174714448E-2</v>
      </c>
      <c r="O56" s="376">
        <f t="shared" si="25"/>
        <v>-1.0859009600382304E-2</v>
      </c>
      <c r="P56" s="376">
        <f t="shared" si="25"/>
        <v>-1.892351413416166E-2</v>
      </c>
      <c r="Q56" s="376">
        <f t="shared" si="25"/>
        <v>-8.4779674155829824E-3</v>
      </c>
      <c r="R56" s="456"/>
    </row>
    <row r="57" spans="2:18">
      <c r="B57" s="351" t="s">
        <v>54</v>
      </c>
      <c r="C57" s="769"/>
      <c r="D57" s="519"/>
      <c r="E57" s="519"/>
      <c r="F57" s="519"/>
      <c r="G57" s="519"/>
      <c r="H57" s="519"/>
      <c r="I57" s="519"/>
      <c r="J57" s="519"/>
      <c r="K57" s="519"/>
      <c r="L57" s="519"/>
      <c r="M57" s="519"/>
      <c r="N57" s="519"/>
      <c r="O57" s="519"/>
      <c r="P57" s="519"/>
      <c r="Q57" s="519"/>
      <c r="R57" s="456"/>
    </row>
    <row r="58" spans="2:18">
      <c r="B58" s="4" t="s">
        <v>143</v>
      </c>
      <c r="C58" s="377"/>
      <c r="D58" s="377"/>
      <c r="E58" s="377"/>
      <c r="F58" s="377"/>
      <c r="G58" s="377"/>
      <c r="H58" s="377"/>
      <c r="I58" s="377">
        <f>'Rate Class Customer Model'!F12</f>
        <v>1553.6666666666667</v>
      </c>
      <c r="J58" s="377">
        <f>'Rate Class Customer Model'!F13</f>
        <v>1539</v>
      </c>
      <c r="K58" s="377"/>
      <c r="L58" s="377">
        <v>1552.2130766767457</v>
      </c>
      <c r="M58" s="377">
        <f>'Rate Class Customer Model'!F14</f>
        <v>1537</v>
      </c>
      <c r="N58" s="371">
        <f>'Rate Class Customer Model'!F15</f>
        <v>1525.4166666666667</v>
      </c>
      <c r="O58" s="371">
        <f>'Rate Class Customer Model'!F16</f>
        <v>1511.4166666666667</v>
      </c>
      <c r="P58" s="371">
        <f>'Rate Class Customer Model'!F17</f>
        <v>1501.0349230132276</v>
      </c>
      <c r="Q58" s="371">
        <f>'Rate Class Customer Model'!F18</f>
        <v>1490.7244903381988</v>
      </c>
      <c r="R58" s="456"/>
    </row>
    <row r="59" spans="2:18">
      <c r="B59" s="4" t="s">
        <v>144</v>
      </c>
      <c r="C59" s="377"/>
      <c r="D59" s="377"/>
      <c r="E59" s="377"/>
      <c r="F59" s="377"/>
      <c r="G59" s="377"/>
      <c r="H59" s="377"/>
      <c r="I59" s="377">
        <f>'WeatherNorm. Data'!F72</f>
        <v>1090747172.6281698</v>
      </c>
      <c r="J59" s="377">
        <f>'WeatherNorm. Data'!F73</f>
        <v>1097960912.4738972</v>
      </c>
      <c r="K59" s="377"/>
      <c r="L59" s="377">
        <v>1131611317.2405796</v>
      </c>
      <c r="M59" s="377">
        <f>'WeatherNorm. Data'!F74</f>
        <v>1108606698.5785813</v>
      </c>
      <c r="N59" s="377">
        <f>'WeatherNorm. Data'!F75</f>
        <v>1112266841.1691601</v>
      </c>
      <c r="O59" s="377">
        <f>'WeatherNorm. Data'!F76</f>
        <v>1089802507.5977039</v>
      </c>
      <c r="P59" s="371">
        <f>'Rate Class Energy Model'!L77</f>
        <v>1067572851.0558689</v>
      </c>
      <c r="Q59" s="371">
        <f>'Rate Class Energy Model'!L78</f>
        <v>1064497598.5537131</v>
      </c>
      <c r="R59" s="456"/>
    </row>
    <row r="60" spans="2:18">
      <c r="B60" s="4" t="s">
        <v>146</v>
      </c>
      <c r="C60" s="377"/>
      <c r="D60" s="377"/>
      <c r="E60" s="377"/>
      <c r="F60" s="377"/>
      <c r="G60" s="377"/>
      <c r="H60" s="377"/>
      <c r="I60" s="377">
        <f>Summary!I60/Summary!I59*I59</f>
        <v>3076590.3579826723</v>
      </c>
      <c r="J60" s="377">
        <f>Summary!J60/Summary!J59*J59</f>
        <v>3074949.7076727147</v>
      </c>
      <c r="K60" s="377"/>
      <c r="L60" s="377">
        <v>3101357.838611037</v>
      </c>
      <c r="M60" s="377">
        <f>Summary!M60/Summary!M59*M59</f>
        <v>3074519.2242376623</v>
      </c>
      <c r="N60" s="377">
        <f>Summary!N60/Summary!N59*N59</f>
        <v>3102853.2480159127</v>
      </c>
      <c r="O60" s="377">
        <f>Summary!O60/Summary!O59*O59</f>
        <v>3064724.424313894</v>
      </c>
      <c r="P60" s="371">
        <f>'Rate Class Load Model'!B14</f>
        <v>2988434.1876568142</v>
      </c>
      <c r="Q60" s="371">
        <f>'Rate Class Load Model'!B15</f>
        <v>2979825.6981246667</v>
      </c>
      <c r="R60" s="456"/>
    </row>
    <row r="61" spans="2:18">
      <c r="B61" s="495" t="s">
        <v>270</v>
      </c>
      <c r="C61" s="377"/>
      <c r="D61" s="377"/>
      <c r="E61" s="377"/>
      <c r="F61" s="377"/>
      <c r="G61" s="377"/>
      <c r="H61" s="377"/>
      <c r="I61" s="377">
        <f t="shared" ref="I61:Q61" si="26">I59/I58</f>
        <v>702047.09673557372</v>
      </c>
      <c r="J61" s="377">
        <f t="shared" si="26"/>
        <v>713424.89439499495</v>
      </c>
      <c r="K61" s="377"/>
      <c r="L61" s="377">
        <f t="shared" si="26"/>
        <v>729030.91350276128</v>
      </c>
      <c r="M61" s="377">
        <f t="shared" si="26"/>
        <v>721279.56966726179</v>
      </c>
      <c r="N61" s="377">
        <f t="shared" si="26"/>
        <v>729156.08271127671</v>
      </c>
      <c r="O61" s="377">
        <f t="shared" si="26"/>
        <v>721047.0359581213</v>
      </c>
      <c r="P61" s="377">
        <f t="shared" si="26"/>
        <v>711224.52561782335</v>
      </c>
      <c r="Q61" s="377">
        <f t="shared" si="26"/>
        <v>714080.70736948296</v>
      </c>
      <c r="R61" s="456"/>
    </row>
    <row r="62" spans="2:18">
      <c r="B62" s="495" t="s">
        <v>275</v>
      </c>
      <c r="C62" s="377"/>
      <c r="D62" s="377"/>
      <c r="E62" s="377"/>
      <c r="F62" s="377"/>
      <c r="G62" s="377"/>
      <c r="H62" s="377"/>
      <c r="I62" s="377">
        <f t="shared" ref="I62:Q62" si="27">I60/I58</f>
        <v>1980.2126311838697</v>
      </c>
      <c r="J62" s="377">
        <f t="shared" si="27"/>
        <v>1998.0180036859745</v>
      </c>
      <c r="K62" s="377"/>
      <c r="L62" s="377">
        <f>L60/L58</f>
        <v>1998.0232644676441</v>
      </c>
      <c r="M62" s="377">
        <f t="shared" si="27"/>
        <v>2000.3378166803268</v>
      </c>
      <c r="N62" s="377">
        <f t="shared" si="27"/>
        <v>2034.1021019497925</v>
      </c>
      <c r="O62" s="377">
        <f t="shared" si="27"/>
        <v>2027.7164410744183</v>
      </c>
      <c r="P62" s="377">
        <f t="shared" si="27"/>
        <v>1990.9158286988632</v>
      </c>
      <c r="Q62" s="377">
        <f t="shared" si="27"/>
        <v>1998.9110780950793</v>
      </c>
      <c r="R62" s="456"/>
    </row>
    <row r="63" spans="2:18">
      <c r="B63" s="4" t="s">
        <v>266</v>
      </c>
      <c r="C63" s="807"/>
      <c r="D63" s="807"/>
      <c r="E63" s="807"/>
      <c r="F63" s="807"/>
      <c r="G63" s="807"/>
      <c r="H63" s="807"/>
      <c r="I63" s="807">
        <f t="shared" ref="I63:Q67" si="28">I58-H58</f>
        <v>1553.6666666666667</v>
      </c>
      <c r="J63" s="807">
        <f t="shared" si="28"/>
        <v>-14.666666666666742</v>
      </c>
      <c r="K63" s="807">
        <f>M58-J58</f>
        <v>-2</v>
      </c>
      <c r="L63" s="807"/>
      <c r="M63" s="807">
        <f t="shared" si="28"/>
        <v>-15.213076676745686</v>
      </c>
      <c r="N63" s="807">
        <f t="shared" si="28"/>
        <v>-11.583333333333258</v>
      </c>
      <c r="O63" s="807">
        <f t="shared" si="28"/>
        <v>-14</v>
      </c>
      <c r="P63" s="807">
        <f t="shared" si="28"/>
        <v>-10.381743653439116</v>
      </c>
      <c r="Q63" s="807">
        <f t="shared" si="28"/>
        <v>-10.310432675028778</v>
      </c>
      <c r="R63" s="456"/>
    </row>
    <row r="64" spans="2:18">
      <c r="B64" s="4" t="s">
        <v>268</v>
      </c>
      <c r="C64" s="807"/>
      <c r="D64" s="807"/>
      <c r="E64" s="807"/>
      <c r="F64" s="807"/>
      <c r="G64" s="807"/>
      <c r="H64" s="807"/>
      <c r="I64" s="807">
        <f t="shared" si="28"/>
        <v>1090747172.6281698</v>
      </c>
      <c r="J64" s="807">
        <f t="shared" si="28"/>
        <v>7213739.8457274437</v>
      </c>
      <c r="K64" s="807">
        <f t="shared" ref="K64:K66" si="29">M59-J59</f>
        <v>10645786.104684114</v>
      </c>
      <c r="L64" s="807"/>
      <c r="M64" s="807">
        <f t="shared" si="28"/>
        <v>-23004618.661998272</v>
      </c>
      <c r="N64" s="807">
        <f t="shared" si="28"/>
        <v>3660142.5905787945</v>
      </c>
      <c r="O64" s="807">
        <f t="shared" si="28"/>
        <v>-22464333.571456194</v>
      </c>
      <c r="P64" s="807">
        <f t="shared" si="28"/>
        <v>-22229656.54183507</v>
      </c>
      <c r="Q64" s="807">
        <f t="shared" si="28"/>
        <v>-3075252.5021557808</v>
      </c>
      <c r="R64" s="456"/>
    </row>
    <row r="65" spans="2:18">
      <c r="B65" s="4" t="s">
        <v>276</v>
      </c>
      <c r="C65" s="807"/>
      <c r="D65" s="807"/>
      <c r="E65" s="807"/>
      <c r="F65" s="807"/>
      <c r="G65" s="807"/>
      <c r="H65" s="807"/>
      <c r="I65" s="807">
        <f t="shared" si="28"/>
        <v>3076590.3579826723</v>
      </c>
      <c r="J65" s="807">
        <f t="shared" si="28"/>
        <v>-1640.6503099575639</v>
      </c>
      <c r="K65" s="807">
        <f t="shared" si="29"/>
        <v>-430.48343505244702</v>
      </c>
      <c r="L65" s="807"/>
      <c r="M65" s="807">
        <f t="shared" si="28"/>
        <v>-26838.61437337473</v>
      </c>
      <c r="N65" s="807">
        <f t="shared" si="28"/>
        <v>28334.023778250441</v>
      </c>
      <c r="O65" s="807">
        <f t="shared" si="28"/>
        <v>-38128.823702018708</v>
      </c>
      <c r="P65" s="807">
        <f t="shared" si="28"/>
        <v>-76290.236657079775</v>
      </c>
      <c r="Q65" s="807">
        <f t="shared" si="28"/>
        <v>-8608.4895321475342</v>
      </c>
      <c r="R65" s="456"/>
    </row>
    <row r="66" spans="2:18">
      <c r="B66" s="495" t="s">
        <v>274</v>
      </c>
      <c r="C66" s="807"/>
      <c r="D66" s="807"/>
      <c r="E66" s="807"/>
      <c r="F66" s="807"/>
      <c r="G66" s="807"/>
      <c r="H66" s="807"/>
      <c r="I66" s="807">
        <f t="shared" si="28"/>
        <v>702047.09673557372</v>
      </c>
      <c r="J66" s="807">
        <f t="shared" si="28"/>
        <v>11377.797659421223</v>
      </c>
      <c r="K66" s="807">
        <f t="shared" si="29"/>
        <v>7854.6752722668462</v>
      </c>
      <c r="L66" s="807"/>
      <c r="M66" s="807">
        <f t="shared" si="28"/>
        <v>-7751.3438354994869</v>
      </c>
      <c r="N66" s="807">
        <f t="shared" si="28"/>
        <v>7876.5130440149223</v>
      </c>
      <c r="O66" s="807">
        <f t="shared" si="28"/>
        <v>-8109.0467531554168</v>
      </c>
      <c r="P66" s="807">
        <f t="shared" si="28"/>
        <v>-9822.5103402979439</v>
      </c>
      <c r="Q66" s="807">
        <f t="shared" si="28"/>
        <v>2856.1817516596057</v>
      </c>
      <c r="R66" s="456"/>
    </row>
    <row r="67" spans="2:18">
      <c r="B67" s="495" t="s">
        <v>277</v>
      </c>
      <c r="C67" s="807"/>
      <c r="D67" s="807"/>
      <c r="E67" s="807"/>
      <c r="F67" s="807"/>
      <c r="G67" s="807"/>
      <c r="H67" s="807"/>
      <c r="I67" s="807">
        <f t="shared" si="28"/>
        <v>1980.2126311838697</v>
      </c>
      <c r="J67" s="807">
        <f t="shared" si="28"/>
        <v>17.805372502104774</v>
      </c>
      <c r="K67" s="807">
        <f>M62-J62</f>
        <v>2.3198129943523327</v>
      </c>
      <c r="L67" s="807"/>
      <c r="M67" s="807">
        <f t="shared" si="28"/>
        <v>2.3145522126826563</v>
      </c>
      <c r="N67" s="807">
        <f t="shared" si="28"/>
        <v>33.764285269465745</v>
      </c>
      <c r="O67" s="807">
        <f t="shared" si="28"/>
        <v>-6.3856608753742421</v>
      </c>
      <c r="P67" s="807">
        <f t="shared" si="28"/>
        <v>-36.800612375555147</v>
      </c>
      <c r="Q67" s="807">
        <f t="shared" si="28"/>
        <v>7.9952493962161952</v>
      </c>
      <c r="R67" s="456"/>
    </row>
    <row r="68" spans="2:18">
      <c r="B68" s="4" t="s">
        <v>267</v>
      </c>
      <c r="C68" s="377"/>
      <c r="D68" s="376"/>
      <c r="E68" s="376"/>
      <c r="F68" s="376"/>
      <c r="G68" s="376"/>
      <c r="H68" s="376"/>
      <c r="I68" s="376"/>
      <c r="J68" s="376">
        <f t="shared" ref="J68:Q72" si="30">J63/I58</f>
        <v>-9.440034327397602E-3</v>
      </c>
      <c r="K68" s="376">
        <f>K63/J58</f>
        <v>-1.2995451591942819E-3</v>
      </c>
      <c r="L68" s="376"/>
      <c r="M68" s="376">
        <f t="shared" si="30"/>
        <v>-9.8008945455584952E-3</v>
      </c>
      <c r="N68" s="376">
        <f t="shared" si="30"/>
        <v>-7.5363261765343248E-3</v>
      </c>
      <c r="O68" s="376">
        <f t="shared" si="30"/>
        <v>-9.1778202676864248E-3</v>
      </c>
      <c r="P68" s="376">
        <f t="shared" si="30"/>
        <v>-6.8688826068958146E-3</v>
      </c>
      <c r="Q68" s="376">
        <f t="shared" si="30"/>
        <v>-6.8688826068958285E-3</v>
      </c>
      <c r="R68" s="456"/>
    </row>
    <row r="69" spans="2:18">
      <c r="B69" s="4" t="s">
        <v>269</v>
      </c>
      <c r="C69" s="377"/>
      <c r="D69" s="376"/>
      <c r="E69" s="376"/>
      <c r="F69" s="376"/>
      <c r="G69" s="376"/>
      <c r="H69" s="376"/>
      <c r="I69" s="376"/>
      <c r="J69" s="376">
        <f t="shared" si="30"/>
        <v>6.6135764792732326E-3</v>
      </c>
      <c r="K69" s="376">
        <f>K64/J59</f>
        <v>9.695960925145599E-3</v>
      </c>
      <c r="L69" s="376"/>
      <c r="M69" s="376">
        <f t="shared" si="30"/>
        <v>-2.0329081471272974E-2</v>
      </c>
      <c r="N69" s="376">
        <f t="shared" si="30"/>
        <v>3.301569975422039E-3</v>
      </c>
      <c r="O69" s="376">
        <f t="shared" si="30"/>
        <v>-2.0196892274377966E-2</v>
      </c>
      <c r="P69" s="376">
        <f t="shared" si="30"/>
        <v>-2.0397876116872594E-2</v>
      </c>
      <c r="Q69" s="376">
        <f t="shared" si="30"/>
        <v>-2.880602011482629E-3</v>
      </c>
      <c r="R69" s="456"/>
    </row>
    <row r="70" spans="2:18">
      <c r="B70" s="4" t="s">
        <v>278</v>
      </c>
      <c r="C70" s="377"/>
      <c r="D70" s="376"/>
      <c r="E70" s="376"/>
      <c r="F70" s="376"/>
      <c r="G70" s="376"/>
      <c r="H70" s="376"/>
      <c r="I70" s="376"/>
      <c r="J70" s="376">
        <f t="shared" si="30"/>
        <v>-5.3326901506424212E-4</v>
      </c>
      <c r="K70" s="376">
        <f>K65/J60</f>
        <v>-1.3999690270650303E-4</v>
      </c>
      <c r="L70" s="376"/>
      <c r="M70" s="376">
        <f t="shared" si="30"/>
        <v>-8.6538270557629613E-3</v>
      </c>
      <c r="N70" s="376">
        <f t="shared" si="30"/>
        <v>9.2157575580864882E-3</v>
      </c>
      <c r="O70" s="376">
        <f t="shared" si="30"/>
        <v>-1.2288310356411406E-2</v>
      </c>
      <c r="P70" s="376">
        <f t="shared" si="30"/>
        <v>-2.4893016824558058E-2</v>
      </c>
      <c r="Q70" s="376">
        <f t="shared" si="30"/>
        <v>-2.8806020114825817E-3</v>
      </c>
      <c r="R70" s="456"/>
    </row>
    <row r="71" spans="2:18">
      <c r="B71" s="495" t="s">
        <v>271</v>
      </c>
      <c r="C71" s="377"/>
      <c r="D71" s="376"/>
      <c r="E71" s="376"/>
      <c r="F71" s="376"/>
      <c r="G71" s="376"/>
      <c r="H71" s="376"/>
      <c r="I71" s="376"/>
      <c r="J71" s="376">
        <f t="shared" si="30"/>
        <v>1.6206601682887772E-2</v>
      </c>
      <c r="K71" s="376">
        <f>K66/J61</f>
        <v>1.1009813834612317E-2</v>
      </c>
      <c r="L71" s="376"/>
      <c r="M71" s="376">
        <f t="shared" si="30"/>
        <v>-1.063239389706638E-2</v>
      </c>
      <c r="N71" s="376">
        <f t="shared" si="30"/>
        <v>1.0920194298097877E-2</v>
      </c>
      <c r="O71" s="376">
        <f t="shared" si="30"/>
        <v>-1.1121139829215893E-2</v>
      </c>
      <c r="P71" s="376">
        <f t="shared" si="30"/>
        <v>-1.3622565311909054E-2</v>
      </c>
      <c r="Q71" s="376">
        <f t="shared" si="30"/>
        <v>4.0158651013595323E-3</v>
      </c>
      <c r="R71" s="456"/>
    </row>
    <row r="72" spans="2:18" s="348" customFormat="1" ht="13.8" thickBot="1">
      <c r="B72" s="495" t="s">
        <v>279</v>
      </c>
      <c r="C72" s="803"/>
      <c r="D72" s="376"/>
      <c r="E72" s="376"/>
      <c r="F72" s="376"/>
      <c r="G72" s="376"/>
      <c r="H72" s="376"/>
      <c r="I72" s="376"/>
      <c r="J72" s="376">
        <f t="shared" si="30"/>
        <v>8.9916467664686271E-3</v>
      </c>
      <c r="K72" s="376">
        <f>K67/J62</f>
        <v>1.1610571026250543E-3</v>
      </c>
      <c r="L72" s="376"/>
      <c r="M72" s="376">
        <f t="shared" si="30"/>
        <v>1.1584210523691517E-3</v>
      </c>
      <c r="N72" s="376">
        <f t="shared" si="30"/>
        <v>1.6879291581608689E-2</v>
      </c>
      <c r="O72" s="376">
        <f t="shared" si="30"/>
        <v>-3.139302038601334E-3</v>
      </c>
      <c r="P72" s="376">
        <f t="shared" si="30"/>
        <v>-1.8148796167996618E-2</v>
      </c>
      <c r="Q72" s="376">
        <f t="shared" si="30"/>
        <v>4.0158651013596017E-3</v>
      </c>
      <c r="R72" s="456"/>
    </row>
    <row r="73" spans="2:18">
      <c r="B73" s="351" t="s">
        <v>49</v>
      </c>
      <c r="C73" s="769"/>
      <c r="D73" s="769"/>
      <c r="E73" s="769"/>
      <c r="F73" s="769"/>
      <c r="G73" s="769"/>
      <c r="H73" s="767"/>
      <c r="I73" s="767"/>
      <c r="J73" s="767"/>
      <c r="K73" s="767"/>
      <c r="L73" s="767"/>
      <c r="M73" s="767"/>
      <c r="N73" s="804"/>
      <c r="O73" s="770"/>
      <c r="P73" s="770"/>
      <c r="Q73" s="770"/>
      <c r="R73" s="456"/>
    </row>
    <row r="74" spans="2:18">
      <c r="B74" s="4" t="s">
        <v>143</v>
      </c>
      <c r="C74" s="377"/>
      <c r="D74" s="377"/>
      <c r="E74" s="377"/>
      <c r="F74" s="377"/>
      <c r="G74" s="377"/>
      <c r="H74" s="377"/>
      <c r="I74" s="377">
        <f>'Rate Class Customer Model'!G12</f>
        <v>113.91666666666667</v>
      </c>
      <c r="J74" s="377">
        <f>'Rate Class Customer Model'!G13</f>
        <v>114</v>
      </c>
      <c r="K74" s="377"/>
      <c r="L74" s="377">
        <v>105.9532852783358</v>
      </c>
      <c r="M74" s="377">
        <f>'Rate Class Customer Model'!G14</f>
        <v>111.91666666666667</v>
      </c>
      <c r="N74" s="371">
        <f>'Rate Class Customer Model'!G15</f>
        <v>111.5</v>
      </c>
      <c r="O74" s="371">
        <f>'Rate Class Customer Model'!G16</f>
        <v>115.16666666666667</v>
      </c>
      <c r="P74" s="371">
        <f>'Rate Class Customer Model'!G17</f>
        <v>114.89120962150339</v>
      </c>
      <c r="Q74" s="371">
        <f>'Rate Class Customer Model'!G18</f>
        <v>114.61641141787757</v>
      </c>
      <c r="R74" s="456"/>
    </row>
    <row r="75" spans="2:18">
      <c r="B75" s="4" t="s">
        <v>144</v>
      </c>
      <c r="C75" s="377"/>
      <c r="D75" s="377"/>
      <c r="E75" s="377"/>
      <c r="F75" s="377"/>
      <c r="G75" s="377"/>
      <c r="H75" s="377"/>
      <c r="I75" s="377">
        <f>'WeatherNorm. Data'!G72</f>
        <v>801126399.40705979</v>
      </c>
      <c r="J75" s="377">
        <f>'WeatherNorm. Data'!G73</f>
        <v>853839632.7579205</v>
      </c>
      <c r="K75" s="377"/>
      <c r="L75" s="377">
        <v>843484098.03830779</v>
      </c>
      <c r="M75" s="374">
        <f>'WeatherNorm. Data'!G74</f>
        <v>813890185.42609704</v>
      </c>
      <c r="N75" s="374">
        <f>'WeatherNorm. Data'!G75</f>
        <v>815930762.89228392</v>
      </c>
      <c r="O75" s="374">
        <f>'WeatherNorm. Data'!G76</f>
        <v>817925218.29911637</v>
      </c>
      <c r="P75" s="371">
        <f>'Rate Class Energy Model'!M77</f>
        <v>804411590.24426258</v>
      </c>
      <c r="Q75" s="371">
        <f>'Rate Class Energy Model'!M78</f>
        <v>806154179.88763332</v>
      </c>
      <c r="R75" s="456"/>
    </row>
    <row r="76" spans="2:18">
      <c r="B76" s="116" t="s">
        <v>147</v>
      </c>
      <c r="C76" s="377"/>
      <c r="D76" s="377"/>
      <c r="E76" s="377"/>
      <c r="F76" s="377"/>
      <c r="G76" s="377"/>
      <c r="H76" s="377"/>
      <c r="I76" s="377">
        <f>Summary!I76/Summary!I75*I75</f>
        <v>1870179.8572126483</v>
      </c>
      <c r="J76" s="377">
        <f>Summary!J76/Summary!J75*J75</f>
        <v>1948559.08530262</v>
      </c>
      <c r="K76" s="377"/>
      <c r="L76" s="377">
        <v>1904929.1556661564</v>
      </c>
      <c r="M76" s="377">
        <f>Summary!M76/Summary!M75*M75</f>
        <v>1924038.4144886211</v>
      </c>
      <c r="N76" s="377">
        <f>Summary!N76/Summary!N75*N75</f>
        <v>1947461.8343146879</v>
      </c>
      <c r="O76" s="377">
        <f>Summary!O76/Summary!O75*O75</f>
        <v>1992558.9460804102</v>
      </c>
      <c r="P76" s="371">
        <f>'Rate Class Load Model'!C14</f>
        <v>1965158.0720825971</v>
      </c>
      <c r="Q76" s="371">
        <f>'Rate Class Load Model'!C15</f>
        <v>1969146.4021656737</v>
      </c>
      <c r="R76" s="456"/>
    </row>
    <row r="77" spans="2:18">
      <c r="B77" s="495" t="s">
        <v>270</v>
      </c>
      <c r="C77" s="377"/>
      <c r="D77" s="377"/>
      <c r="E77" s="377"/>
      <c r="F77" s="377"/>
      <c r="G77" s="377"/>
      <c r="H77" s="377"/>
      <c r="I77" s="377">
        <f t="shared" ref="I77:Q77" si="31">I75/I74</f>
        <v>7032565.3203253234</v>
      </c>
      <c r="J77" s="377">
        <f t="shared" si="31"/>
        <v>7489821.339981759</v>
      </c>
      <c r="K77" s="377"/>
      <c r="L77" s="377">
        <f>L75/L74</f>
        <v>7960905.5615642574</v>
      </c>
      <c r="M77" s="377">
        <f>M75/M74</f>
        <v>7272287.5838519465</v>
      </c>
      <c r="N77" s="377">
        <f t="shared" si="31"/>
        <v>7317764.6896168962</v>
      </c>
      <c r="O77" s="377">
        <f t="shared" si="31"/>
        <v>7102100.3036102718</v>
      </c>
      <c r="P77" s="377">
        <f t="shared" si="31"/>
        <v>7001506.8419447336</v>
      </c>
      <c r="Q77" s="377">
        <f t="shared" si="31"/>
        <v>7033496.9479064625</v>
      </c>
      <c r="R77" s="456"/>
    </row>
    <row r="78" spans="2:18">
      <c r="B78" s="495" t="s">
        <v>275</v>
      </c>
      <c r="C78" s="377"/>
      <c r="D78" s="377"/>
      <c r="E78" s="377"/>
      <c r="F78" s="377"/>
      <c r="G78" s="377"/>
      <c r="H78" s="377"/>
      <c r="I78" s="377">
        <f t="shared" ref="I78:Q78" si="32">I76/I74</f>
        <v>16417.087261559456</v>
      </c>
      <c r="J78" s="377">
        <f t="shared" si="32"/>
        <v>17092.62355528614</v>
      </c>
      <c r="K78" s="377"/>
      <c r="L78" s="377">
        <f t="shared" si="32"/>
        <v>17978.953183584352</v>
      </c>
      <c r="M78" s="377">
        <f t="shared" si="32"/>
        <v>17191.705862891624</v>
      </c>
      <c r="N78" s="377">
        <f t="shared" si="32"/>
        <v>17466.025419862672</v>
      </c>
      <c r="O78" s="377">
        <f t="shared" si="32"/>
        <v>17301.524857427583</v>
      </c>
      <c r="P78" s="377">
        <f t="shared" si="32"/>
        <v>17104.511986222416</v>
      </c>
      <c r="Q78" s="377">
        <f t="shared" si="32"/>
        <v>17180.318052241262</v>
      </c>
      <c r="R78" s="456"/>
    </row>
    <row r="79" spans="2:18">
      <c r="B79" s="4" t="s">
        <v>266</v>
      </c>
      <c r="C79" s="807"/>
      <c r="D79" s="807"/>
      <c r="E79" s="807"/>
      <c r="F79" s="807"/>
      <c r="G79" s="807"/>
      <c r="H79" s="807"/>
      <c r="I79" s="807">
        <f t="shared" ref="I79:Q83" si="33">I74-H74</f>
        <v>113.91666666666667</v>
      </c>
      <c r="J79" s="807">
        <f t="shared" si="33"/>
        <v>8.3333333333328596E-2</v>
      </c>
      <c r="K79" s="807">
        <f>M74-J74</f>
        <v>-2.0833333333333286</v>
      </c>
      <c r="L79" s="807"/>
      <c r="M79" s="807">
        <f t="shared" si="33"/>
        <v>5.9633813883308733</v>
      </c>
      <c r="N79" s="807">
        <f t="shared" si="33"/>
        <v>-0.4166666666666714</v>
      </c>
      <c r="O79" s="807">
        <f t="shared" si="33"/>
        <v>3.6666666666666714</v>
      </c>
      <c r="P79" s="807">
        <f t="shared" si="33"/>
        <v>-0.27545704516327874</v>
      </c>
      <c r="Q79" s="807">
        <f t="shared" si="33"/>
        <v>-0.27479820362582075</v>
      </c>
      <c r="R79" s="456"/>
    </row>
    <row r="80" spans="2:18">
      <c r="B80" s="4" t="s">
        <v>268</v>
      </c>
      <c r="C80" s="807"/>
      <c r="D80" s="807"/>
      <c r="E80" s="807"/>
      <c r="F80" s="807"/>
      <c r="G80" s="807"/>
      <c r="H80" s="807"/>
      <c r="I80" s="807">
        <f t="shared" si="33"/>
        <v>801126399.40705979</v>
      </c>
      <c r="J80" s="807">
        <f t="shared" si="33"/>
        <v>52713233.350860715</v>
      </c>
      <c r="K80" s="807">
        <f t="shared" ref="K80:K82" si="34">M75-J75</f>
        <v>-39949447.331823468</v>
      </c>
      <c r="L80" s="807"/>
      <c r="M80" s="807">
        <f t="shared" si="33"/>
        <v>-29593912.612210751</v>
      </c>
      <c r="N80" s="807">
        <f t="shared" si="33"/>
        <v>2040577.4661868811</v>
      </c>
      <c r="O80" s="807">
        <f t="shared" si="33"/>
        <v>1994455.4068324566</v>
      </c>
      <c r="P80" s="807">
        <f t="shared" si="33"/>
        <v>-13513628.054853797</v>
      </c>
      <c r="Q80" s="807">
        <f t="shared" si="33"/>
        <v>1742589.6433707476</v>
      </c>
      <c r="R80" s="456"/>
    </row>
    <row r="81" spans="2:18">
      <c r="B81" s="4" t="s">
        <v>276</v>
      </c>
      <c r="C81" s="807"/>
      <c r="D81" s="807"/>
      <c r="E81" s="807"/>
      <c r="F81" s="807"/>
      <c r="G81" s="807"/>
      <c r="H81" s="807"/>
      <c r="I81" s="807">
        <f t="shared" si="33"/>
        <v>1870179.8572126483</v>
      </c>
      <c r="J81" s="807">
        <f t="shared" si="33"/>
        <v>78379.228089971701</v>
      </c>
      <c r="K81" s="807">
        <f t="shared" si="34"/>
        <v>-24520.670813998906</v>
      </c>
      <c r="L81" s="807"/>
      <c r="M81" s="807">
        <f t="shared" si="33"/>
        <v>19109.258822464617</v>
      </c>
      <c r="N81" s="807">
        <f t="shared" si="33"/>
        <v>23423.41982606682</v>
      </c>
      <c r="O81" s="807">
        <f t="shared" si="33"/>
        <v>45097.111765722279</v>
      </c>
      <c r="P81" s="807">
        <f t="shared" si="33"/>
        <v>-27400.873997813091</v>
      </c>
      <c r="Q81" s="807">
        <f t="shared" si="33"/>
        <v>3988.3300830766093</v>
      </c>
      <c r="R81" s="456"/>
    </row>
    <row r="82" spans="2:18">
      <c r="B82" s="495" t="s">
        <v>274</v>
      </c>
      <c r="C82" s="807"/>
      <c r="D82" s="807"/>
      <c r="E82" s="807"/>
      <c r="F82" s="807"/>
      <c r="G82" s="807"/>
      <c r="H82" s="807"/>
      <c r="I82" s="807">
        <f t="shared" si="33"/>
        <v>7032565.3203253234</v>
      </c>
      <c r="J82" s="807">
        <f t="shared" si="33"/>
        <v>457256.01965643559</v>
      </c>
      <c r="K82" s="807">
        <f t="shared" si="34"/>
        <v>-217533.75612981245</v>
      </c>
      <c r="L82" s="807"/>
      <c r="M82" s="807">
        <f t="shared" si="33"/>
        <v>-688617.97771231085</v>
      </c>
      <c r="N82" s="807">
        <f t="shared" si="33"/>
        <v>45477.105764949694</v>
      </c>
      <c r="O82" s="807">
        <f t="shared" si="33"/>
        <v>-215664.38600662444</v>
      </c>
      <c r="P82" s="807">
        <f t="shared" si="33"/>
        <v>-100593.46166553814</v>
      </c>
      <c r="Q82" s="807">
        <f t="shared" si="33"/>
        <v>31990.105961728841</v>
      </c>
      <c r="R82" s="456"/>
    </row>
    <row r="83" spans="2:18">
      <c r="B83" s="495" t="s">
        <v>277</v>
      </c>
      <c r="C83" s="807"/>
      <c r="D83" s="807"/>
      <c r="E83" s="807"/>
      <c r="F83" s="807"/>
      <c r="G83" s="807"/>
      <c r="H83" s="807"/>
      <c r="I83" s="807">
        <f t="shared" si="33"/>
        <v>16417.087261559456</v>
      </c>
      <c r="J83" s="807">
        <f t="shared" si="33"/>
        <v>675.53629372668365</v>
      </c>
      <c r="K83" s="807">
        <f>M78-J78</f>
        <v>99.082307605483948</v>
      </c>
      <c r="L83" s="807"/>
      <c r="M83" s="807">
        <f t="shared" si="33"/>
        <v>-787.24732069272795</v>
      </c>
      <c r="N83" s="807">
        <f t="shared" si="33"/>
        <v>274.31955697104786</v>
      </c>
      <c r="O83" s="807">
        <f t="shared" si="33"/>
        <v>-164.5005624350888</v>
      </c>
      <c r="P83" s="807">
        <f t="shared" si="33"/>
        <v>-197.01287120516645</v>
      </c>
      <c r="Q83" s="807">
        <f t="shared" si="33"/>
        <v>75.80606601884574</v>
      </c>
      <c r="R83" s="456"/>
    </row>
    <row r="84" spans="2:18">
      <c r="B84" s="4" t="s">
        <v>267</v>
      </c>
      <c r="C84" s="377"/>
      <c r="D84" s="376"/>
      <c r="E84" s="376"/>
      <c r="F84" s="376"/>
      <c r="G84" s="376"/>
      <c r="H84" s="376"/>
      <c r="I84" s="376"/>
      <c r="J84" s="376">
        <f t="shared" ref="J84:Q88" si="35">J79/I74</f>
        <v>7.3152889539132636E-4</v>
      </c>
      <c r="K84" s="376">
        <f>K79/J74</f>
        <v>-1.8274853801169548E-2</v>
      </c>
      <c r="L84" s="376"/>
      <c r="M84" s="376">
        <f t="shared" si="35"/>
        <v>5.6283119231888529E-2</v>
      </c>
      <c r="N84" s="376">
        <f t="shared" si="35"/>
        <v>-3.7230081906180616E-3</v>
      </c>
      <c r="O84" s="376">
        <f t="shared" si="35"/>
        <v>3.2884902840059835E-2</v>
      </c>
      <c r="P84" s="376">
        <f t="shared" si="35"/>
        <v>-2.3918122590154446E-3</v>
      </c>
      <c r="Q84" s="376">
        <f t="shared" si="35"/>
        <v>-2.3918122590154073E-3</v>
      </c>
      <c r="R84" s="456"/>
    </row>
    <row r="85" spans="2:18">
      <c r="B85" s="4" t="s">
        <v>269</v>
      </c>
      <c r="C85" s="377"/>
      <c r="D85" s="376"/>
      <c r="E85" s="376"/>
      <c r="F85" s="376"/>
      <c r="G85" s="376"/>
      <c r="H85" s="376"/>
      <c r="I85" s="376"/>
      <c r="J85" s="376">
        <f t="shared" si="35"/>
        <v>6.5798896890522554E-2</v>
      </c>
      <c r="K85" s="376">
        <f>K80/J75</f>
        <v>-4.6787998353725851E-2</v>
      </c>
      <c r="L85" s="376"/>
      <c r="M85" s="376">
        <f t="shared" si="35"/>
        <v>-3.5085323696128184E-2</v>
      </c>
      <c r="N85" s="376">
        <f t="shared" si="35"/>
        <v>2.5071901624155535E-3</v>
      </c>
      <c r="O85" s="376">
        <f t="shared" si="35"/>
        <v>2.4443929528561691E-3</v>
      </c>
      <c r="P85" s="376">
        <f t="shared" si="35"/>
        <v>-1.6521838124707196E-2</v>
      </c>
      <c r="Q85" s="376">
        <f t="shared" si="35"/>
        <v>2.1662910685332167E-3</v>
      </c>
      <c r="R85" s="456"/>
    </row>
    <row r="86" spans="2:18">
      <c r="B86" s="4" t="s">
        <v>278</v>
      </c>
      <c r="C86" s="377"/>
      <c r="D86" s="376"/>
      <c r="E86" s="376"/>
      <c r="F86" s="376"/>
      <c r="G86" s="376"/>
      <c r="H86" s="376"/>
      <c r="I86" s="376"/>
      <c r="J86" s="376">
        <f t="shared" si="35"/>
        <v>4.1909994799532058E-2</v>
      </c>
      <c r="K86" s="376">
        <f>K81/J76</f>
        <v>-1.2584001685630557E-2</v>
      </c>
      <c r="L86" s="376"/>
      <c r="M86" s="376">
        <f t="shared" si="35"/>
        <v>1.0031480050386484E-2</v>
      </c>
      <c r="N86" s="376">
        <f t="shared" si="35"/>
        <v>1.2174091561624249E-2</v>
      </c>
      <c r="O86" s="376">
        <f t="shared" si="35"/>
        <v>2.3156865501085394E-2</v>
      </c>
      <c r="P86" s="376">
        <f t="shared" si="35"/>
        <v>-1.3751600198184211E-2</v>
      </c>
      <c r="Q86" s="376">
        <f t="shared" si="35"/>
        <v>2.0295212582313719E-3</v>
      </c>
      <c r="R86" s="456"/>
    </row>
    <row r="87" spans="2:18">
      <c r="B87" s="495" t="s">
        <v>271</v>
      </c>
      <c r="C87" s="377"/>
      <c r="D87" s="376"/>
      <c r="E87" s="376"/>
      <c r="F87" s="376"/>
      <c r="G87" s="376"/>
      <c r="H87" s="376"/>
      <c r="I87" s="376"/>
      <c r="J87" s="376">
        <f t="shared" si="35"/>
        <v>6.5019804129637732E-2</v>
      </c>
      <c r="K87" s="376">
        <f>K82/J77</f>
        <v>-2.9043917906103518E-2</v>
      </c>
      <c r="L87" s="376"/>
      <c r="M87" s="376">
        <f t="shared" si="35"/>
        <v>-8.6499955612713314E-2</v>
      </c>
      <c r="N87" s="376">
        <f t="shared" si="35"/>
        <v>6.2534801107056361E-3</v>
      </c>
      <c r="O87" s="376">
        <f t="shared" si="35"/>
        <v>-2.9471347488479439E-2</v>
      </c>
      <c r="P87" s="376">
        <f t="shared" si="35"/>
        <v>-1.4163903263151973E-2</v>
      </c>
      <c r="Q87" s="376">
        <f t="shared" si="35"/>
        <v>4.5690315933253154E-3</v>
      </c>
      <c r="R87" s="456"/>
    </row>
    <row r="88" spans="2:18" s="348" customFormat="1" ht="13.8" thickBot="1">
      <c r="B88" s="495" t="s">
        <v>279</v>
      </c>
      <c r="C88" s="803"/>
      <c r="D88" s="766"/>
      <c r="E88" s="766"/>
      <c r="F88" s="766"/>
      <c r="G88" s="766"/>
      <c r="H88" s="766"/>
      <c r="I88" s="766"/>
      <c r="J88" s="766">
        <f t="shared" si="35"/>
        <v>4.1148364686374617E-2</v>
      </c>
      <c r="K88" s="376">
        <f>K83/J78</f>
        <v>5.7967875607276989E-3</v>
      </c>
      <c r="L88" s="766"/>
      <c r="M88" s="766">
        <f t="shared" si="35"/>
        <v>-4.3787161168622572E-2</v>
      </c>
      <c r="N88" s="766">
        <f t="shared" si="35"/>
        <v>1.5956505954604999E-2</v>
      </c>
      <c r="O88" s="766">
        <f t="shared" si="35"/>
        <v>-9.4183169027119273E-3</v>
      </c>
      <c r="P88" s="766">
        <f t="shared" si="35"/>
        <v>-1.1387023561717358E-2</v>
      </c>
      <c r="Q88" s="766">
        <f t="shared" si="35"/>
        <v>4.4319338710105891E-3</v>
      </c>
      <c r="R88" s="456"/>
    </row>
    <row r="89" spans="2:18">
      <c r="B89" s="351" t="s">
        <v>55</v>
      </c>
      <c r="C89" s="769"/>
      <c r="D89" s="769"/>
      <c r="E89" s="769"/>
      <c r="F89" s="769"/>
      <c r="G89" s="769"/>
      <c r="H89" s="767"/>
      <c r="I89" s="767"/>
      <c r="J89" s="767"/>
      <c r="K89" s="767"/>
      <c r="L89" s="767"/>
      <c r="M89" s="767"/>
      <c r="N89" s="768"/>
      <c r="O89" s="768"/>
      <c r="P89" s="768"/>
      <c r="Q89" s="768"/>
      <c r="R89" s="456"/>
    </row>
    <row r="90" spans="2:18">
      <c r="B90" s="4" t="s">
        <v>143</v>
      </c>
      <c r="C90" s="377"/>
      <c r="D90" s="377"/>
      <c r="E90" s="377"/>
      <c r="F90" s="377"/>
      <c r="G90" s="377"/>
      <c r="H90" s="377"/>
      <c r="I90" s="377">
        <f>'Rate Class Customer Model'!H12</f>
        <v>6</v>
      </c>
      <c r="J90" s="377">
        <f>'Rate Class Customer Model'!H13</f>
        <v>6</v>
      </c>
      <c r="K90" s="377"/>
      <c r="L90" s="377">
        <v>6</v>
      </c>
      <c r="M90" s="377">
        <f>'Rate Class Customer Model'!H14</f>
        <v>6</v>
      </c>
      <c r="N90" s="371">
        <f>'Rate Class Customer Model'!H15</f>
        <v>6</v>
      </c>
      <c r="O90" s="371">
        <f>'Rate Class Customer Model'!H16</f>
        <v>6</v>
      </c>
      <c r="P90" s="371">
        <f>'Rate Class Customer Model'!H17</f>
        <v>6</v>
      </c>
      <c r="Q90" s="371">
        <f>'Rate Class Customer Model'!H18</f>
        <v>6</v>
      </c>
      <c r="R90" s="456"/>
    </row>
    <row r="91" spans="2:18">
      <c r="B91" s="4" t="s">
        <v>144</v>
      </c>
      <c r="C91" s="377"/>
      <c r="D91" s="377"/>
      <c r="E91" s="377"/>
      <c r="F91" s="377"/>
      <c r="G91" s="377"/>
      <c r="H91" s="377"/>
      <c r="I91" s="377">
        <f>'WeatherNorm. Data'!H72</f>
        <v>344971561.37084973</v>
      </c>
      <c r="J91" s="377">
        <f>'WeatherNorm. Data'!H73</f>
        <v>365551177.1687454</v>
      </c>
      <c r="K91" s="377"/>
      <c r="L91" s="377">
        <v>391244133.72784579</v>
      </c>
      <c r="M91" s="377">
        <f>'WeatherNorm. Data'!H74</f>
        <v>396857106.98775744</v>
      </c>
      <c r="N91" s="377">
        <f>'WeatherNorm. Data'!H75</f>
        <v>406313173.1859749</v>
      </c>
      <c r="O91" s="377">
        <f>'WeatherNorm. Data'!H76</f>
        <v>382721457.48567176</v>
      </c>
      <c r="P91" s="371">
        <f>'Rate Class Energy Model'!N77</f>
        <v>381669818.36458278</v>
      </c>
      <c r="Q91" s="371">
        <f>'Rate Class Energy Model'!N78</f>
        <v>382619513.4019751</v>
      </c>
      <c r="R91" s="456"/>
    </row>
    <row r="92" spans="2:18">
      <c r="B92" s="116" t="s">
        <v>147</v>
      </c>
      <c r="C92" s="377"/>
      <c r="D92" s="377"/>
      <c r="E92" s="377"/>
      <c r="F92" s="377"/>
      <c r="G92" s="377"/>
      <c r="H92" s="377"/>
      <c r="I92" s="377">
        <f>Summary!I92/Summary!I91*I91</f>
        <v>701831.71290240355</v>
      </c>
      <c r="J92" s="377">
        <f>Summary!J92/Summary!J91*J91</f>
        <v>688722.03622635012</v>
      </c>
      <c r="K92" s="377"/>
      <c r="L92" s="377">
        <v>711951.13804452005</v>
      </c>
      <c r="M92" s="377">
        <f>Summary!M92/Summary!M91*M91</f>
        <v>721156.1677237025</v>
      </c>
      <c r="N92" s="377">
        <f>Summary!N92/Summary!N91*N91</f>
        <v>743708.75154757476</v>
      </c>
      <c r="O92" s="377">
        <f>Summary!O92/Summary!O91*O91</f>
        <v>705194.01179023297</v>
      </c>
      <c r="P92" s="371">
        <f>'Rate Class Load Model'!D14</f>
        <v>718200.0208124714</v>
      </c>
      <c r="Q92" s="371">
        <f>'Rate Class Load Model'!D15</f>
        <v>719987.09163337958</v>
      </c>
      <c r="R92" s="456"/>
    </row>
    <row r="93" spans="2:18">
      <c r="B93" s="495" t="s">
        <v>270</v>
      </c>
      <c r="C93" s="377"/>
      <c r="D93" s="377"/>
      <c r="E93" s="377"/>
      <c r="F93" s="377"/>
      <c r="G93" s="377"/>
      <c r="H93" s="377"/>
      <c r="I93" s="377">
        <f t="shared" ref="I93:P93" si="36">I91/I90</f>
        <v>57495260.228474952</v>
      </c>
      <c r="J93" s="377">
        <f t="shared" si="36"/>
        <v>60925196.1947909</v>
      </c>
      <c r="K93" s="377"/>
      <c r="L93" s="377">
        <f t="shared" si="36"/>
        <v>65207355.621307634</v>
      </c>
      <c r="M93" s="377">
        <f t="shared" si="36"/>
        <v>66142851.164626241</v>
      </c>
      <c r="N93" s="377">
        <f t="shared" si="36"/>
        <v>67718862.197662488</v>
      </c>
      <c r="O93" s="377">
        <f t="shared" si="36"/>
        <v>63786909.580945291</v>
      </c>
      <c r="P93" s="377">
        <f t="shared" si="36"/>
        <v>63611636.394097127</v>
      </c>
      <c r="Q93" s="377">
        <f>Q91/Q90</f>
        <v>63769918.90032918</v>
      </c>
      <c r="R93" s="456"/>
    </row>
    <row r="94" spans="2:18">
      <c r="B94" s="495" t="s">
        <v>275</v>
      </c>
      <c r="C94" s="377"/>
      <c r="D94" s="377"/>
      <c r="E94" s="377"/>
      <c r="F94" s="377"/>
      <c r="G94" s="377"/>
      <c r="H94" s="377"/>
      <c r="I94" s="377">
        <f t="shared" ref="I94:Q94" si="37">I92/I90</f>
        <v>116971.9521504006</v>
      </c>
      <c r="J94" s="377">
        <f t="shared" si="37"/>
        <v>114787.00603772502</v>
      </c>
      <c r="K94" s="377"/>
      <c r="L94" s="377">
        <f t="shared" si="37"/>
        <v>118658.52300742001</v>
      </c>
      <c r="M94" s="377">
        <f t="shared" si="37"/>
        <v>120192.69462061708</v>
      </c>
      <c r="N94" s="377">
        <f t="shared" si="37"/>
        <v>123951.45859126246</v>
      </c>
      <c r="O94" s="377">
        <f t="shared" si="37"/>
        <v>117532.33529837216</v>
      </c>
      <c r="P94" s="377">
        <f t="shared" si="37"/>
        <v>119700.00346874523</v>
      </c>
      <c r="Q94" s="377">
        <f t="shared" si="37"/>
        <v>119997.84860556327</v>
      </c>
      <c r="R94" s="456"/>
    </row>
    <row r="95" spans="2:18">
      <c r="B95" s="4" t="s">
        <v>266</v>
      </c>
      <c r="C95" s="807"/>
      <c r="D95" s="807"/>
      <c r="E95" s="807"/>
      <c r="F95" s="807"/>
      <c r="G95" s="807"/>
      <c r="H95" s="807"/>
      <c r="I95" s="807">
        <f t="shared" ref="I95:Q99" si="38">I90-H90</f>
        <v>6</v>
      </c>
      <c r="J95" s="807">
        <f t="shared" si="38"/>
        <v>0</v>
      </c>
      <c r="K95" s="807">
        <f>M90-J90</f>
        <v>0</v>
      </c>
      <c r="L95" s="807"/>
      <c r="M95" s="807">
        <f t="shared" si="38"/>
        <v>0</v>
      </c>
      <c r="N95" s="807">
        <f t="shared" si="38"/>
        <v>0</v>
      </c>
      <c r="O95" s="807">
        <f t="shared" si="38"/>
        <v>0</v>
      </c>
      <c r="P95" s="807">
        <f t="shared" si="38"/>
        <v>0</v>
      </c>
      <c r="Q95" s="807">
        <f t="shared" si="38"/>
        <v>0</v>
      </c>
      <c r="R95" s="456"/>
    </row>
    <row r="96" spans="2:18">
      <c r="B96" s="4" t="s">
        <v>268</v>
      </c>
      <c r="C96" s="807"/>
      <c r="D96" s="807"/>
      <c r="E96" s="807"/>
      <c r="F96" s="807"/>
      <c r="G96" s="807"/>
      <c r="H96" s="807"/>
      <c r="I96" s="807">
        <f t="shared" si="38"/>
        <v>344971561.37084973</v>
      </c>
      <c r="J96" s="807">
        <f t="shared" si="38"/>
        <v>20579615.79789567</v>
      </c>
      <c r="K96" s="807">
        <f t="shared" ref="K96:K98" si="39">M91-J91</f>
        <v>31305929.819012046</v>
      </c>
      <c r="L96" s="807"/>
      <c r="M96" s="807">
        <f t="shared" si="38"/>
        <v>5612973.2599116564</v>
      </c>
      <c r="N96" s="807">
        <f t="shared" si="38"/>
        <v>9456066.1982174516</v>
      </c>
      <c r="O96" s="807">
        <f t="shared" si="38"/>
        <v>-23591715.700303137</v>
      </c>
      <c r="P96" s="807">
        <f t="shared" si="38"/>
        <v>-1051639.1210889816</v>
      </c>
      <c r="Q96" s="807">
        <f t="shared" si="38"/>
        <v>949695.03739231825</v>
      </c>
      <c r="R96" s="456"/>
    </row>
    <row r="97" spans="2:18">
      <c r="B97" s="4" t="s">
        <v>276</v>
      </c>
      <c r="C97" s="807"/>
      <c r="D97" s="807"/>
      <c r="E97" s="807"/>
      <c r="F97" s="807"/>
      <c r="G97" s="807"/>
      <c r="H97" s="807"/>
      <c r="I97" s="807">
        <f t="shared" si="38"/>
        <v>701831.71290240355</v>
      </c>
      <c r="J97" s="807">
        <f t="shared" si="38"/>
        <v>-13109.676676053437</v>
      </c>
      <c r="K97" s="807">
        <f t="shared" si="39"/>
        <v>32434.131497352384</v>
      </c>
      <c r="L97" s="807"/>
      <c r="M97" s="807">
        <f t="shared" si="38"/>
        <v>9205.0296791824512</v>
      </c>
      <c r="N97" s="807">
        <f t="shared" si="38"/>
        <v>22552.583823872264</v>
      </c>
      <c r="O97" s="807">
        <f t="shared" si="38"/>
        <v>-38514.739757341798</v>
      </c>
      <c r="P97" s="807">
        <f t="shared" si="38"/>
        <v>13006.009022238431</v>
      </c>
      <c r="Q97" s="807">
        <f t="shared" si="38"/>
        <v>1787.0708209081786</v>
      </c>
      <c r="R97" s="456"/>
    </row>
    <row r="98" spans="2:18">
      <c r="B98" s="495" t="s">
        <v>274</v>
      </c>
      <c r="C98" s="807"/>
      <c r="D98" s="807"/>
      <c r="E98" s="807"/>
      <c r="F98" s="807"/>
      <c r="G98" s="807"/>
      <c r="H98" s="807"/>
      <c r="I98" s="807">
        <f t="shared" si="38"/>
        <v>57495260.228474952</v>
      </c>
      <c r="J98" s="807">
        <f t="shared" si="38"/>
        <v>3429935.9663159475</v>
      </c>
      <c r="K98" s="807">
        <f t="shared" si="39"/>
        <v>5217654.969835341</v>
      </c>
      <c r="L98" s="807"/>
      <c r="M98" s="807">
        <f t="shared" si="38"/>
        <v>935495.54331860691</v>
      </c>
      <c r="N98" s="807">
        <f t="shared" si="38"/>
        <v>1576011.0330362469</v>
      </c>
      <c r="O98" s="807">
        <f t="shared" si="38"/>
        <v>-3931952.616717197</v>
      </c>
      <c r="P98" s="807">
        <f t="shared" si="38"/>
        <v>-175273.1868481636</v>
      </c>
      <c r="Q98" s="807">
        <f t="shared" si="38"/>
        <v>158282.50623205304</v>
      </c>
      <c r="R98" s="456"/>
    </row>
    <row r="99" spans="2:18">
      <c r="B99" s="495" t="s">
        <v>277</v>
      </c>
      <c r="C99" s="807"/>
      <c r="D99" s="807"/>
      <c r="E99" s="807"/>
      <c r="F99" s="807"/>
      <c r="G99" s="807"/>
      <c r="H99" s="807"/>
      <c r="I99" s="807">
        <f t="shared" si="38"/>
        <v>116971.9521504006</v>
      </c>
      <c r="J99" s="807">
        <f t="shared" si="38"/>
        <v>-2184.9461126755778</v>
      </c>
      <c r="K99" s="807">
        <f>M94-J94</f>
        <v>5405.688582892064</v>
      </c>
      <c r="L99" s="807"/>
      <c r="M99" s="807">
        <f t="shared" si="38"/>
        <v>1534.1716131970752</v>
      </c>
      <c r="N99" s="807">
        <f t="shared" si="38"/>
        <v>3758.7639706453774</v>
      </c>
      <c r="O99" s="807">
        <f t="shared" si="38"/>
        <v>-6419.1232928903046</v>
      </c>
      <c r="P99" s="807">
        <f t="shared" si="38"/>
        <v>2167.6681703730719</v>
      </c>
      <c r="Q99" s="807">
        <f t="shared" si="38"/>
        <v>297.84513681803946</v>
      </c>
      <c r="R99" s="456"/>
    </row>
    <row r="100" spans="2:18">
      <c r="B100" s="4" t="s">
        <v>267</v>
      </c>
      <c r="C100" s="377"/>
      <c r="D100" s="376"/>
      <c r="E100" s="376"/>
      <c r="F100" s="376"/>
      <c r="G100" s="376"/>
      <c r="H100" s="376"/>
      <c r="I100" s="376"/>
      <c r="J100" s="376">
        <f t="shared" ref="J100:Q104" si="40">J95/I90</f>
        <v>0</v>
      </c>
      <c r="K100" s="376">
        <f>K95/J90</f>
        <v>0</v>
      </c>
      <c r="L100" s="376"/>
      <c r="M100" s="376">
        <f t="shared" si="40"/>
        <v>0</v>
      </c>
      <c r="N100" s="376">
        <f t="shared" si="40"/>
        <v>0</v>
      </c>
      <c r="O100" s="376">
        <f t="shared" si="40"/>
        <v>0</v>
      </c>
      <c r="P100" s="376">
        <f t="shared" si="40"/>
        <v>0</v>
      </c>
      <c r="Q100" s="376">
        <f t="shared" si="40"/>
        <v>0</v>
      </c>
      <c r="R100" s="456"/>
    </row>
    <row r="101" spans="2:18">
      <c r="B101" s="4" t="s">
        <v>269</v>
      </c>
      <c r="C101" s="377"/>
      <c r="D101" s="376"/>
      <c r="E101" s="376"/>
      <c r="F101" s="376"/>
      <c r="G101" s="376"/>
      <c r="H101" s="376"/>
      <c r="I101" s="376"/>
      <c r="J101" s="376">
        <f t="shared" si="40"/>
        <v>5.9655977774273013E-2</v>
      </c>
      <c r="K101" s="376">
        <f>K96/J91</f>
        <v>8.5640347437755976E-2</v>
      </c>
      <c r="L101" s="376"/>
      <c r="M101" s="376">
        <f t="shared" si="40"/>
        <v>1.4346472639551727E-2</v>
      </c>
      <c r="N101" s="376">
        <f t="shared" si="40"/>
        <v>2.3827382782662776E-2</v>
      </c>
      <c r="O101" s="376">
        <f t="shared" si="40"/>
        <v>-5.806288660374026E-2</v>
      </c>
      <c r="P101" s="376">
        <f t="shared" si="40"/>
        <v>-2.7477924232360363E-3</v>
      </c>
      <c r="Q101" s="376">
        <f t="shared" si="40"/>
        <v>2.4882633933740609E-3</v>
      </c>
      <c r="R101" s="456"/>
    </row>
    <row r="102" spans="2:18">
      <c r="B102" s="4" t="s">
        <v>278</v>
      </c>
      <c r="C102" s="377"/>
      <c r="D102" s="376"/>
      <c r="E102" s="376"/>
      <c r="F102" s="376"/>
      <c r="G102" s="376"/>
      <c r="H102" s="376"/>
      <c r="I102" s="376"/>
      <c r="J102" s="376">
        <f t="shared" si="40"/>
        <v>-1.8679230982365801E-2</v>
      </c>
      <c r="K102" s="376">
        <f>K97/J92</f>
        <v>4.7093210019916988E-2</v>
      </c>
      <c r="L102" s="376"/>
      <c r="M102" s="376">
        <f t="shared" si="40"/>
        <v>1.2929299761308672E-2</v>
      </c>
      <c r="N102" s="376">
        <f t="shared" si="40"/>
        <v>3.1272815560960253E-2</v>
      </c>
      <c r="O102" s="376">
        <f t="shared" si="40"/>
        <v>-5.1787396177867921E-2</v>
      </c>
      <c r="P102" s="376">
        <f t="shared" si="40"/>
        <v>1.8443164299170482E-2</v>
      </c>
      <c r="Q102" s="376">
        <f t="shared" si="40"/>
        <v>2.4882633933740851E-3</v>
      </c>
      <c r="R102" s="456"/>
    </row>
    <row r="103" spans="2:18">
      <c r="B103" s="495" t="s">
        <v>271</v>
      </c>
      <c r="C103" s="377"/>
      <c r="D103" s="376"/>
      <c r="E103" s="376"/>
      <c r="F103" s="376"/>
      <c r="G103" s="376"/>
      <c r="H103" s="376"/>
      <c r="I103" s="376"/>
      <c r="J103" s="376">
        <f t="shared" si="40"/>
        <v>5.9655977774273061E-2</v>
      </c>
      <c r="K103" s="376">
        <f>K98/J93</f>
        <v>8.5640347437755976E-2</v>
      </c>
      <c r="L103" s="376"/>
      <c r="M103" s="376">
        <f t="shared" si="40"/>
        <v>1.4346472639551688E-2</v>
      </c>
      <c r="N103" s="376">
        <f t="shared" si="40"/>
        <v>2.3827382782662852E-2</v>
      </c>
      <c r="O103" s="376">
        <f t="shared" si="40"/>
        <v>-5.8062886603740364E-2</v>
      </c>
      <c r="P103" s="376">
        <f t="shared" si="40"/>
        <v>-2.7477924232360363E-3</v>
      </c>
      <c r="Q103" s="376">
        <f t="shared" si="40"/>
        <v>2.4882633933740613E-3</v>
      </c>
      <c r="R103" s="456"/>
    </row>
    <row r="104" spans="2:18" ht="13.8" thickBot="1">
      <c r="B104" s="495" t="s">
        <v>279</v>
      </c>
      <c r="C104" s="803"/>
      <c r="D104" s="766"/>
      <c r="E104" s="766"/>
      <c r="F104" s="766"/>
      <c r="G104" s="766"/>
      <c r="H104" s="766"/>
      <c r="I104" s="766"/>
      <c r="J104" s="766">
        <f t="shared" si="40"/>
        <v>-1.8679230982365843E-2</v>
      </c>
      <c r="K104" s="376">
        <f t="shared" ref="K104" si="41">K99/J94</f>
        <v>4.7093210019916988E-2</v>
      </c>
      <c r="L104" s="766"/>
      <c r="M104" s="766">
        <f t="shared" si="40"/>
        <v>1.2929299761308672E-2</v>
      </c>
      <c r="N104" s="766">
        <f t="shared" si="40"/>
        <v>3.1272815560960253E-2</v>
      </c>
      <c r="O104" s="766">
        <f t="shared" si="40"/>
        <v>-5.1787396177867963E-2</v>
      </c>
      <c r="P104" s="766">
        <f t="shared" si="40"/>
        <v>1.8443164299170482E-2</v>
      </c>
      <c r="Q104" s="766">
        <f t="shared" si="40"/>
        <v>2.4882633933741662E-3</v>
      </c>
      <c r="R104" s="456"/>
    </row>
    <row r="105" spans="2:18">
      <c r="B105" s="351" t="s">
        <v>148</v>
      </c>
      <c r="C105" s="769"/>
      <c r="D105" s="769"/>
      <c r="E105" s="769"/>
      <c r="F105" s="769"/>
      <c r="G105" s="769"/>
      <c r="H105" s="769"/>
      <c r="I105" s="769"/>
      <c r="J105" s="769"/>
      <c r="K105" s="769"/>
      <c r="L105" s="769"/>
      <c r="M105" s="769"/>
      <c r="N105" s="410"/>
      <c r="O105" s="770"/>
      <c r="P105" s="770"/>
      <c r="Q105" s="770"/>
      <c r="R105" s="456"/>
    </row>
    <row r="106" spans="2:18">
      <c r="B106" s="22" t="s">
        <v>143</v>
      </c>
      <c r="C106" s="407"/>
      <c r="D106" s="407"/>
      <c r="E106" s="407"/>
      <c r="F106" s="407"/>
      <c r="G106" s="407"/>
      <c r="H106" s="407"/>
      <c r="I106" s="407">
        <v>2</v>
      </c>
      <c r="J106" s="407">
        <v>2</v>
      </c>
      <c r="K106" s="407"/>
      <c r="L106" s="407">
        <v>2</v>
      </c>
      <c r="M106" s="407">
        <v>2</v>
      </c>
      <c r="N106" s="407">
        <v>2</v>
      </c>
      <c r="O106" s="407">
        <v>2</v>
      </c>
      <c r="P106" s="407">
        <v>2</v>
      </c>
      <c r="Q106" s="407">
        <v>2</v>
      </c>
      <c r="R106" s="456"/>
    </row>
    <row r="107" spans="2:18">
      <c r="B107" s="22" t="s">
        <v>280</v>
      </c>
      <c r="C107" s="807"/>
      <c r="D107" s="807"/>
      <c r="E107" s="807"/>
      <c r="F107" s="807"/>
      <c r="G107" s="807"/>
      <c r="H107" s="807"/>
      <c r="I107" s="807">
        <f>AVERAGE(Customer!$O75:$O86)</f>
        <v>38829.210038078141</v>
      </c>
      <c r="J107" s="807">
        <f>AVERAGE(Customer!$O87:$O98)</f>
        <v>40459.427703839814</v>
      </c>
      <c r="K107" s="807"/>
      <c r="L107" s="807">
        <v>42158</v>
      </c>
      <c r="M107" s="807">
        <f>AVERAGE(Customer!$O99:$O110)</f>
        <v>41470.288491103776</v>
      </c>
      <c r="N107" s="807">
        <f>AVERAGE(Customer!$O111:$O122)</f>
        <v>42363</v>
      </c>
      <c r="O107" s="807">
        <f>AVERAGE(Customer!$O123:$O134)</f>
        <v>43516.166666666664</v>
      </c>
      <c r="P107" s="807">
        <f>AVERAGE(Customer!$O135:$O146)</f>
        <v>44887.105740010484</v>
      </c>
      <c r="Q107" s="807">
        <f>AVERAGE(Customer!$O147:$O158)</f>
        <v>46301.235059343046</v>
      </c>
      <c r="R107" s="456"/>
    </row>
    <row r="108" spans="2:18">
      <c r="B108" s="4" t="s">
        <v>145</v>
      </c>
      <c r="C108" s="377"/>
      <c r="D108" s="377"/>
      <c r="E108" s="377"/>
      <c r="F108" s="377"/>
      <c r="G108" s="377"/>
      <c r="H108" s="377"/>
      <c r="I108" s="377">
        <f>'Rate Class Customer Model'!I12</f>
        <v>20464.909141258118</v>
      </c>
      <c r="J108" s="377">
        <f>'Rate Class Customer Model'!I13</f>
        <v>20690.721096265836</v>
      </c>
      <c r="K108" s="377"/>
      <c r="L108" s="377">
        <v>21218.875738132239</v>
      </c>
      <c r="M108" s="377">
        <f>'Rate Class Customer Model'!I14</f>
        <v>21003.255899495027</v>
      </c>
      <c r="N108" s="371">
        <f>'Rate Class Customer Model'!I15</f>
        <v>21359.419765147974</v>
      </c>
      <c r="O108" s="371">
        <f>'Rate Class Customer Model'!I16</f>
        <v>21727.127805574488</v>
      </c>
      <c r="P108" s="371">
        <f>'Rate Class Customer Model'!I17</f>
        <v>22028.752031332919</v>
      </c>
      <c r="Q108" s="371">
        <f>'Rate Class Customer Model'!I18</f>
        <v>22334.563518950279</v>
      </c>
      <c r="R108" s="456"/>
    </row>
    <row r="109" spans="2:18">
      <c r="B109" s="4" t="s">
        <v>144</v>
      </c>
      <c r="C109" s="377"/>
      <c r="D109" s="377"/>
      <c r="E109" s="377"/>
      <c r="F109" s="377"/>
      <c r="G109" s="377"/>
      <c r="H109" s="377"/>
      <c r="I109" s="377">
        <f>'WeatherNorm. Data'!I72</f>
        <v>27653325.416755244</v>
      </c>
      <c r="J109" s="377">
        <f>'WeatherNorm. Data'!I73</f>
        <v>28657273.232051406</v>
      </c>
      <c r="K109" s="377"/>
      <c r="L109" s="377">
        <v>29651502.294606268</v>
      </c>
      <c r="M109" s="377">
        <f>'WeatherNorm. Data'!I74</f>
        <v>30077898.10672529</v>
      </c>
      <c r="N109" s="377">
        <f>'WeatherNorm. Data'!I75</f>
        <v>30923125.872249998</v>
      </c>
      <c r="O109" s="377">
        <f>'WeatherNorm. Data'!I76</f>
        <v>31629254.157551456</v>
      </c>
      <c r="P109" s="371">
        <f>'Rate Class Energy Model'!O77</f>
        <v>32285799.737891771</v>
      </c>
      <c r="Q109" s="371">
        <f>'Rate Class Energy Model'!O78</f>
        <v>33306954.548778366</v>
      </c>
      <c r="R109" s="456"/>
    </row>
    <row r="110" spans="2:18">
      <c r="B110" s="4" t="s">
        <v>146</v>
      </c>
      <c r="C110" s="377"/>
      <c r="D110" s="377"/>
      <c r="E110" s="377"/>
      <c r="F110" s="377"/>
      <c r="G110" s="377"/>
      <c r="H110" s="377"/>
      <c r="I110" s="377">
        <f>Summary!I110/Summary!I109*I109</f>
        <v>82849.459737269441</v>
      </c>
      <c r="J110" s="377">
        <f>Summary!J110/Summary!J109*J109</f>
        <v>85855.137090499848</v>
      </c>
      <c r="K110" s="377"/>
      <c r="L110" s="377">
        <v>88253.993877635105</v>
      </c>
      <c r="M110" s="377">
        <f>Summary!M110/Summary!M109*M109</f>
        <v>91221.770140149441</v>
      </c>
      <c r="N110" s="377">
        <f>Summary!N110/Summary!N109*N109</f>
        <v>93985.396749999985</v>
      </c>
      <c r="O110" s="377">
        <f>Summary!O110/Summary!O109*O109</f>
        <v>96426.116034365812</v>
      </c>
      <c r="P110" s="371">
        <f>'Rate Class Load Model'!E14</f>
        <v>97585.401322853897</v>
      </c>
      <c r="Q110" s="371">
        <f>'Rate Class Load Model'!E15</f>
        <v>100671.89144675127</v>
      </c>
      <c r="R110" s="456"/>
    </row>
    <row r="111" spans="2:18">
      <c r="B111" s="495" t="s">
        <v>270</v>
      </c>
      <c r="C111" s="377"/>
      <c r="D111" s="377"/>
      <c r="E111" s="377"/>
      <c r="F111" s="377"/>
      <c r="G111" s="377"/>
      <c r="H111" s="377"/>
      <c r="I111" s="377">
        <f t="shared" ref="I111:Q111" si="42">I109/I108</f>
        <v>1351.255714153403</v>
      </c>
      <c r="J111" s="377">
        <f t="shared" si="42"/>
        <v>1385.030183274924</v>
      </c>
      <c r="K111" s="377"/>
      <c r="L111" s="377">
        <f t="shared" si="42"/>
        <v>1397.4115622591557</v>
      </c>
      <c r="M111" s="377">
        <f t="shared" si="42"/>
        <v>1432.0588317665758</v>
      </c>
      <c r="N111" s="377">
        <f t="shared" si="42"/>
        <v>1447.7512129195129</v>
      </c>
      <c r="O111" s="377">
        <f t="shared" si="42"/>
        <v>1455.7494410023398</v>
      </c>
      <c r="P111" s="377">
        <f t="shared" si="42"/>
        <v>1465.6209163355959</v>
      </c>
      <c r="Q111" s="377">
        <f t="shared" si="42"/>
        <v>1491.2740300708499</v>
      </c>
      <c r="R111" s="456"/>
    </row>
    <row r="112" spans="2:18">
      <c r="B112" s="495" t="s">
        <v>275</v>
      </c>
      <c r="C112" s="807"/>
      <c r="D112" s="807"/>
      <c r="E112" s="807"/>
      <c r="F112" s="807"/>
      <c r="G112" s="807"/>
      <c r="H112" s="807"/>
      <c r="I112" s="807">
        <f t="shared" ref="I112:Q112" si="43">I110/I108</f>
        <v>4.0483668490978753</v>
      </c>
      <c r="J112" s="807">
        <f t="shared" si="43"/>
        <v>4.1494511810897965</v>
      </c>
      <c r="K112" s="807"/>
      <c r="L112" s="807">
        <f t="shared" si="43"/>
        <v>4.1592210146664224</v>
      </c>
      <c r="M112" s="807">
        <f t="shared" si="43"/>
        <v>4.3432204309972082</v>
      </c>
      <c r="N112" s="807">
        <f t="shared" si="43"/>
        <v>4.4001849199740599</v>
      </c>
      <c r="O112" s="807">
        <f t="shared" si="43"/>
        <v>4.4380516788613882</v>
      </c>
      <c r="P112" s="807">
        <f t="shared" si="43"/>
        <v>4.4299105634332747</v>
      </c>
      <c r="Q112" s="807">
        <f t="shared" si="43"/>
        <v>4.5074483484458456</v>
      </c>
      <c r="R112" s="456"/>
    </row>
    <row r="113" spans="2:18">
      <c r="B113" s="4" t="s">
        <v>266</v>
      </c>
      <c r="C113" s="807"/>
      <c r="D113" s="807"/>
      <c r="E113" s="807"/>
      <c r="F113" s="807"/>
      <c r="G113" s="807"/>
      <c r="H113" s="807"/>
      <c r="I113" s="807">
        <f t="shared" ref="I113:Q119" si="44">I106-H106</f>
        <v>2</v>
      </c>
      <c r="J113" s="807">
        <f t="shared" si="44"/>
        <v>0</v>
      </c>
      <c r="K113" s="807">
        <f t="shared" ref="K113:K119" si="45">M106-J106</f>
        <v>0</v>
      </c>
      <c r="L113" s="807"/>
      <c r="M113" s="807">
        <f t="shared" si="44"/>
        <v>0</v>
      </c>
      <c r="N113" s="807">
        <f t="shared" si="44"/>
        <v>0</v>
      </c>
      <c r="O113" s="807">
        <f t="shared" si="44"/>
        <v>0</v>
      </c>
      <c r="P113" s="807">
        <f t="shared" si="44"/>
        <v>0</v>
      </c>
      <c r="Q113" s="807">
        <f t="shared" si="44"/>
        <v>0</v>
      </c>
      <c r="R113" s="456"/>
    </row>
    <row r="114" spans="2:18">
      <c r="B114" s="4" t="s">
        <v>281</v>
      </c>
      <c r="C114" s="807"/>
      <c r="D114" s="807"/>
      <c r="E114" s="807"/>
      <c r="F114" s="807"/>
      <c r="G114" s="807"/>
      <c r="H114" s="807"/>
      <c r="I114" s="807">
        <f t="shared" si="44"/>
        <v>38829.210038078141</v>
      </c>
      <c r="J114" s="807">
        <f t="shared" si="44"/>
        <v>1630.2176657616728</v>
      </c>
      <c r="K114" s="807">
        <f t="shared" si="45"/>
        <v>1010.8607872639623</v>
      </c>
      <c r="L114" s="807"/>
      <c r="M114" s="807">
        <f t="shared" si="44"/>
        <v>-687.71150889622368</v>
      </c>
      <c r="N114" s="807">
        <f t="shared" si="44"/>
        <v>892.71150889622368</v>
      </c>
      <c r="O114" s="807">
        <f t="shared" si="44"/>
        <v>1153.1666666666642</v>
      </c>
      <c r="P114" s="807">
        <f t="shared" si="44"/>
        <v>1370.9390733438195</v>
      </c>
      <c r="Q114" s="807">
        <f t="shared" si="44"/>
        <v>1414.1293193325619</v>
      </c>
      <c r="R114" s="456"/>
    </row>
    <row r="115" spans="2:18">
      <c r="B115" s="4" t="s">
        <v>272</v>
      </c>
      <c r="C115" s="807"/>
      <c r="D115" s="807"/>
      <c r="E115" s="807"/>
      <c r="F115" s="807"/>
      <c r="G115" s="807"/>
      <c r="H115" s="807"/>
      <c r="I115" s="807">
        <f t="shared" si="44"/>
        <v>20464.909141258118</v>
      </c>
      <c r="J115" s="807">
        <f t="shared" si="44"/>
        <v>225.81195500771719</v>
      </c>
      <c r="K115" s="807">
        <f t="shared" si="45"/>
        <v>312.53480322919131</v>
      </c>
      <c r="L115" s="807"/>
      <c r="M115" s="807">
        <f t="shared" si="44"/>
        <v>-215.61983863721252</v>
      </c>
      <c r="N115" s="807">
        <f t="shared" si="44"/>
        <v>356.1638656529467</v>
      </c>
      <c r="O115" s="807">
        <f t="shared" si="44"/>
        <v>367.70804042651434</v>
      </c>
      <c r="P115" s="807">
        <f t="shared" si="44"/>
        <v>301.62422575843084</v>
      </c>
      <c r="Q115" s="807">
        <f t="shared" si="44"/>
        <v>305.8114876173604</v>
      </c>
      <c r="R115" s="456"/>
    </row>
    <row r="116" spans="2:18">
      <c r="B116" s="4" t="s">
        <v>268</v>
      </c>
      <c r="C116" s="807"/>
      <c r="D116" s="807"/>
      <c r="E116" s="807"/>
      <c r="F116" s="807"/>
      <c r="G116" s="807"/>
      <c r="H116" s="807"/>
      <c r="I116" s="807">
        <f t="shared" si="44"/>
        <v>27653325.416755244</v>
      </c>
      <c r="J116" s="807">
        <f t="shared" si="44"/>
        <v>1003947.8152961619</v>
      </c>
      <c r="K116" s="807">
        <f t="shared" si="45"/>
        <v>1420624.8746738844</v>
      </c>
      <c r="L116" s="807"/>
      <c r="M116" s="807">
        <f t="shared" si="44"/>
        <v>426395.81211902201</v>
      </c>
      <c r="N116" s="807">
        <f t="shared" si="44"/>
        <v>845227.76552470773</v>
      </c>
      <c r="O116" s="807">
        <f t="shared" si="44"/>
        <v>706128.28530145809</v>
      </c>
      <c r="P116" s="807">
        <f t="shared" si="44"/>
        <v>656545.58034031466</v>
      </c>
      <c r="Q116" s="807">
        <f t="shared" si="44"/>
        <v>1021154.8108865954</v>
      </c>
      <c r="R116" s="456"/>
    </row>
    <row r="117" spans="2:18">
      <c r="B117" s="4" t="s">
        <v>276</v>
      </c>
      <c r="C117" s="807"/>
      <c r="D117" s="807"/>
      <c r="E117" s="807"/>
      <c r="F117" s="807"/>
      <c r="G117" s="807"/>
      <c r="H117" s="807"/>
      <c r="I117" s="807">
        <f t="shared" si="44"/>
        <v>82849.459737269441</v>
      </c>
      <c r="J117" s="807">
        <f t="shared" si="44"/>
        <v>3005.6773532304069</v>
      </c>
      <c r="K117" s="807">
        <f t="shared" si="45"/>
        <v>5366.6330496495939</v>
      </c>
      <c r="L117" s="807"/>
      <c r="M117" s="807">
        <f t="shared" si="44"/>
        <v>2967.7762625143368</v>
      </c>
      <c r="N117" s="807">
        <f t="shared" si="44"/>
        <v>2763.6266098505439</v>
      </c>
      <c r="O117" s="807">
        <f t="shared" si="44"/>
        <v>2440.7192843658268</v>
      </c>
      <c r="P117" s="807">
        <f t="shared" si="44"/>
        <v>1159.2852884880849</v>
      </c>
      <c r="Q117" s="807">
        <f t="shared" si="44"/>
        <v>3086.4901238973689</v>
      </c>
      <c r="R117" s="456"/>
    </row>
    <row r="118" spans="2:18">
      <c r="B118" s="495" t="s">
        <v>274</v>
      </c>
      <c r="C118" s="807"/>
      <c r="D118" s="807"/>
      <c r="E118" s="807"/>
      <c r="F118" s="807"/>
      <c r="G118" s="807"/>
      <c r="H118" s="807"/>
      <c r="I118" s="807">
        <f t="shared" si="44"/>
        <v>1351.255714153403</v>
      </c>
      <c r="J118" s="807">
        <f t="shared" si="44"/>
        <v>33.774469121520951</v>
      </c>
      <c r="K118" s="807">
        <f t="shared" si="45"/>
        <v>47.028648491651893</v>
      </c>
      <c r="L118" s="807"/>
      <c r="M118" s="807">
        <f t="shared" si="44"/>
        <v>34.647269507420106</v>
      </c>
      <c r="N118" s="807">
        <f t="shared" si="44"/>
        <v>15.69238115293706</v>
      </c>
      <c r="O118" s="807">
        <f t="shared" si="44"/>
        <v>7.9982280828269268</v>
      </c>
      <c r="P118" s="807">
        <f t="shared" si="44"/>
        <v>9.8714753332560576</v>
      </c>
      <c r="Q118" s="807">
        <f t="shared" si="44"/>
        <v>25.65311373525401</v>
      </c>
      <c r="R118" s="456"/>
    </row>
    <row r="119" spans="2:18">
      <c r="B119" s="495" t="s">
        <v>277</v>
      </c>
      <c r="C119" s="807"/>
      <c r="D119" s="807"/>
      <c r="E119" s="807"/>
      <c r="F119" s="807"/>
      <c r="G119" s="807"/>
      <c r="H119" s="807"/>
      <c r="I119" s="807">
        <f t="shared" si="44"/>
        <v>4.0483668490978753</v>
      </c>
      <c r="J119" s="807">
        <f t="shared" si="44"/>
        <v>0.10108433199192124</v>
      </c>
      <c r="K119" s="807">
        <f t="shared" si="45"/>
        <v>0.19376924990741173</v>
      </c>
      <c r="L119" s="807"/>
      <c r="M119" s="807">
        <f t="shared" si="44"/>
        <v>0.18399941633078587</v>
      </c>
      <c r="N119" s="807">
        <f t="shared" si="44"/>
        <v>5.696448897685169E-2</v>
      </c>
      <c r="O119" s="807">
        <f t="shared" si="44"/>
        <v>3.7866758887328267E-2</v>
      </c>
      <c r="P119" s="807">
        <f t="shared" si="44"/>
        <v>-8.1411154281134657E-3</v>
      </c>
      <c r="Q119" s="807">
        <f t="shared" si="44"/>
        <v>7.7537785012570914E-2</v>
      </c>
      <c r="R119" s="456"/>
    </row>
    <row r="120" spans="2:18">
      <c r="B120" s="4" t="s">
        <v>267</v>
      </c>
      <c r="C120" s="377"/>
      <c r="D120" s="376"/>
      <c r="E120" s="376"/>
      <c r="F120" s="376"/>
      <c r="G120" s="376"/>
      <c r="H120" s="376"/>
      <c r="I120" s="376"/>
      <c r="J120" s="376">
        <f t="shared" ref="J120:Q121" si="46">J113/I106</f>
        <v>0</v>
      </c>
      <c r="K120" s="376">
        <f t="shared" ref="K120:K126" si="47">K113/J106</f>
        <v>0</v>
      </c>
      <c r="L120" s="376"/>
      <c r="M120" s="376">
        <f t="shared" si="46"/>
        <v>0</v>
      </c>
      <c r="N120" s="376">
        <f t="shared" si="46"/>
        <v>0</v>
      </c>
      <c r="O120" s="376">
        <f t="shared" si="46"/>
        <v>0</v>
      </c>
      <c r="P120" s="376">
        <f t="shared" si="46"/>
        <v>0</v>
      </c>
      <c r="Q120" s="376">
        <f t="shared" si="46"/>
        <v>0</v>
      </c>
      <c r="R120" s="456"/>
    </row>
    <row r="121" spans="2:18">
      <c r="B121" s="4" t="s">
        <v>282</v>
      </c>
      <c r="C121" s="377"/>
      <c r="D121" s="376"/>
      <c r="E121" s="376"/>
      <c r="F121" s="376"/>
      <c r="G121" s="376"/>
      <c r="H121" s="376"/>
      <c r="I121" s="376"/>
      <c r="J121" s="376">
        <f t="shared" si="46"/>
        <v>4.1984311917831661E-2</v>
      </c>
      <c r="K121" s="376">
        <f t="shared" si="47"/>
        <v>2.4984554765910005E-2</v>
      </c>
      <c r="L121" s="376"/>
      <c r="M121" s="376">
        <f t="shared" si="46"/>
        <v>-1.6312716658670328E-2</v>
      </c>
      <c r="N121" s="376">
        <f t="shared" si="46"/>
        <v>2.1526532401329412E-2</v>
      </c>
      <c r="O121" s="376">
        <f t="shared" si="46"/>
        <v>2.7221081289489985E-2</v>
      </c>
      <c r="P121" s="376">
        <f t="shared" si="46"/>
        <v>3.150413233420115E-2</v>
      </c>
      <c r="Q121" s="376">
        <f t="shared" si="46"/>
        <v>3.1504132334200963E-2</v>
      </c>
      <c r="R121" s="456"/>
    </row>
    <row r="122" spans="2:18">
      <c r="B122" s="4" t="s">
        <v>273</v>
      </c>
      <c r="C122" s="377"/>
      <c r="D122" s="376"/>
      <c r="E122" s="376"/>
      <c r="F122" s="376"/>
      <c r="G122" s="376"/>
      <c r="H122" s="376"/>
      <c r="I122" s="376"/>
      <c r="J122" s="376">
        <f t="shared" ref="J122:Q123" si="48">J115/I108</f>
        <v>1.1034104937826026E-2</v>
      </c>
      <c r="K122" s="376">
        <f t="shared" si="47"/>
        <v>1.5105070614749919E-2</v>
      </c>
      <c r="L122" s="376"/>
      <c r="M122" s="376">
        <f t="shared" si="48"/>
        <v>-1.016169948390452E-2</v>
      </c>
      <c r="N122" s="376">
        <f t="shared" si="48"/>
        <v>1.69575549313528E-2</v>
      </c>
      <c r="O122" s="376">
        <f t="shared" si="48"/>
        <v>1.7215263545056647E-2</v>
      </c>
      <c r="P122" s="376">
        <f t="shared" si="48"/>
        <v>1.3882379137156071E-2</v>
      </c>
      <c r="Q122" s="376">
        <f t="shared" si="48"/>
        <v>1.3882379137156065E-2</v>
      </c>
      <c r="R122" s="456"/>
    </row>
    <row r="123" spans="2:18">
      <c r="B123" s="4" t="s">
        <v>269</v>
      </c>
      <c r="C123" s="377"/>
      <c r="D123" s="376"/>
      <c r="E123" s="376"/>
      <c r="F123" s="376"/>
      <c r="G123" s="376"/>
      <c r="H123" s="376"/>
      <c r="I123" s="376"/>
      <c r="J123" s="376">
        <f t="shared" si="48"/>
        <v>3.6304777098810206E-2</v>
      </c>
      <c r="K123" s="376">
        <f t="shared" si="47"/>
        <v>4.9572925629400161E-2</v>
      </c>
      <c r="L123" s="376"/>
      <c r="M123" s="376">
        <f t="shared" si="48"/>
        <v>1.438024312840922E-2</v>
      </c>
      <c r="N123" s="376">
        <f t="shared" si="48"/>
        <v>2.8101290938801284E-2</v>
      </c>
      <c r="O123" s="376">
        <f t="shared" si="48"/>
        <v>2.2834958154574155E-2</v>
      </c>
      <c r="P123" s="376">
        <f t="shared" si="48"/>
        <v>2.07575422762084E-2</v>
      </c>
      <c r="Q123" s="376">
        <f t="shared" si="48"/>
        <v>3.1628605119796108E-2</v>
      </c>
      <c r="R123" s="456"/>
    </row>
    <row r="124" spans="2:18">
      <c r="B124" s="4" t="s">
        <v>278</v>
      </c>
      <c r="C124" s="377"/>
      <c r="D124" s="376"/>
      <c r="E124" s="376"/>
      <c r="F124" s="376"/>
      <c r="G124" s="376"/>
      <c r="H124" s="376"/>
      <c r="I124" s="376"/>
      <c r="J124" s="376">
        <f t="shared" ref="J124:Q126" si="49">J117/I110</f>
        <v>3.6278780365761598E-2</v>
      </c>
      <c r="K124" s="376">
        <f t="shared" si="47"/>
        <v>6.250800163527348E-2</v>
      </c>
      <c r="L124" s="376"/>
      <c r="M124" s="376">
        <f t="shared" si="49"/>
        <v>3.3627670908913013E-2</v>
      </c>
      <c r="N124" s="376">
        <f t="shared" si="49"/>
        <v>3.029569153947155E-2</v>
      </c>
      <c r="O124" s="376">
        <f t="shared" si="49"/>
        <v>2.5969133171380981E-2</v>
      </c>
      <c r="P124" s="376">
        <f t="shared" si="49"/>
        <v>1.2022523940245826E-2</v>
      </c>
      <c r="Q124" s="376">
        <f t="shared" si="49"/>
        <v>3.1628605119796052E-2</v>
      </c>
      <c r="R124" s="456"/>
    </row>
    <row r="125" spans="2:18" s="348" customFormat="1">
      <c r="B125" s="495" t="s">
        <v>271</v>
      </c>
      <c r="C125" s="811"/>
      <c r="D125" s="810"/>
      <c r="E125" s="810"/>
      <c r="F125" s="810"/>
      <c r="G125" s="810"/>
      <c r="H125" s="809"/>
      <c r="I125" s="809"/>
      <c r="J125" s="809">
        <f t="shared" si="49"/>
        <v>2.4994876075459586E-2</v>
      </c>
      <c r="K125" s="376">
        <f t="shared" si="47"/>
        <v>3.3954962902289949E-2</v>
      </c>
      <c r="L125" s="809"/>
      <c r="M125" s="809">
        <f t="shared" si="49"/>
        <v>2.4793890678424649E-2</v>
      </c>
      <c r="N125" s="809">
        <f t="shared" si="49"/>
        <v>1.0957916535858425E-2</v>
      </c>
      <c r="O125" s="809">
        <f t="shared" si="49"/>
        <v>5.5245873817627977E-3</v>
      </c>
      <c r="P125" s="809">
        <f t="shared" si="49"/>
        <v>6.7810263601812996E-3</v>
      </c>
      <c r="Q125" s="809">
        <f t="shared" si="49"/>
        <v>1.7503239377473511E-2</v>
      </c>
      <c r="R125" s="356"/>
    </row>
    <row r="126" spans="2:18" s="348" customFormat="1" ht="13.8" thickBot="1">
      <c r="B126" s="495" t="s">
        <v>279</v>
      </c>
      <c r="C126" s="805"/>
      <c r="D126" s="810"/>
      <c r="E126" s="810"/>
      <c r="F126" s="810"/>
      <c r="G126" s="810"/>
      <c r="H126" s="810"/>
      <c r="I126" s="810"/>
      <c r="J126" s="810">
        <f t="shared" si="49"/>
        <v>2.4969163062494335E-2</v>
      </c>
      <c r="K126" s="376">
        <f t="shared" si="47"/>
        <v>4.669756106312857E-2</v>
      </c>
      <c r="L126" s="810"/>
      <c r="M126" s="810">
        <f t="shared" si="49"/>
        <v>4.4238912931522344E-2</v>
      </c>
      <c r="N126" s="810">
        <f t="shared" si="49"/>
        <v>1.3115725964609302E-2</v>
      </c>
      <c r="O126" s="810">
        <f t="shared" si="49"/>
        <v>8.6057198904157649E-3</v>
      </c>
      <c r="P126" s="810">
        <f t="shared" si="49"/>
        <v>-1.8343895062984312E-3</v>
      </c>
      <c r="Q126" s="810">
        <f t="shared" si="49"/>
        <v>1.7503239377473456E-2</v>
      </c>
      <c r="R126" s="356"/>
    </row>
    <row r="127" spans="2:18">
      <c r="B127" s="351" t="s">
        <v>220</v>
      </c>
      <c r="C127" s="769"/>
      <c r="D127" s="769"/>
      <c r="E127" s="769"/>
      <c r="F127" s="769"/>
      <c r="G127" s="769"/>
      <c r="H127" s="769"/>
      <c r="I127" s="769"/>
      <c r="J127" s="769"/>
      <c r="K127" s="769"/>
      <c r="L127" s="769"/>
      <c r="M127" s="769"/>
      <c r="N127" s="410"/>
      <c r="O127" s="770"/>
      <c r="P127" s="770"/>
      <c r="Q127" s="770"/>
      <c r="R127" s="456"/>
    </row>
    <row r="128" spans="2:18">
      <c r="B128" s="4" t="s">
        <v>143</v>
      </c>
      <c r="C128" s="377"/>
      <c r="D128" s="377"/>
      <c r="E128" s="377"/>
      <c r="F128" s="377"/>
      <c r="G128" s="377"/>
      <c r="H128" s="377"/>
      <c r="I128" s="377">
        <v>1</v>
      </c>
      <c r="J128" s="377">
        <v>1</v>
      </c>
      <c r="K128" s="377"/>
      <c r="L128" s="377">
        <v>1</v>
      </c>
      <c r="M128" s="377">
        <v>1</v>
      </c>
      <c r="N128" s="377">
        <v>1</v>
      </c>
      <c r="O128" s="377">
        <v>1</v>
      </c>
      <c r="P128" s="371">
        <v>1</v>
      </c>
      <c r="Q128" s="371">
        <v>1</v>
      </c>
      <c r="R128" s="456"/>
    </row>
    <row r="129" spans="2:18">
      <c r="B129" s="4" t="s">
        <v>144</v>
      </c>
      <c r="C129" s="377"/>
      <c r="D129" s="377"/>
      <c r="E129" s="377"/>
      <c r="F129" s="377"/>
      <c r="G129" s="377"/>
      <c r="H129" s="377"/>
      <c r="I129" s="377">
        <f>'WeatherNorm. Data'!J72</f>
        <v>15461212.801404383</v>
      </c>
      <c r="J129" s="377">
        <f>'WeatherNorm. Data'!J73</f>
        <v>19238567.22338042</v>
      </c>
      <c r="K129" s="377"/>
      <c r="L129" s="377">
        <v>34245664.036759704</v>
      </c>
      <c r="M129" s="377">
        <f>'WeatherNorm. Data'!J74</f>
        <v>34245664.036759704</v>
      </c>
      <c r="N129" s="377">
        <f>'WeatherNorm. Data'!J75</f>
        <v>34179598.386002384</v>
      </c>
      <c r="O129" s="377">
        <f>'WeatherNorm. Data'!J76</f>
        <v>40610365.761097305</v>
      </c>
      <c r="P129" s="371">
        <v>0</v>
      </c>
      <c r="Q129" s="371">
        <f>'Emb. Dist. Forecast'!N16</f>
        <v>17012413.820937574</v>
      </c>
      <c r="R129" s="456"/>
    </row>
    <row r="130" spans="2:18">
      <c r="B130" s="4" t="s">
        <v>146</v>
      </c>
      <c r="C130" s="377"/>
      <c r="D130" s="377"/>
      <c r="E130" s="377"/>
      <c r="F130" s="377"/>
      <c r="G130" s="377"/>
      <c r="H130" s="377"/>
      <c r="I130" s="377">
        <f>Summary!I130/Summary!I129*I129</f>
        <v>35601.854976446026</v>
      </c>
      <c r="J130" s="377">
        <f>Summary!J130/Summary!J129*J129</f>
        <v>39664.638719529445</v>
      </c>
      <c r="K130" s="377"/>
      <c r="L130" s="377">
        <v>84900.544126983368</v>
      </c>
      <c r="M130" s="377">
        <f>Summary!M130/Summary!M129*M129</f>
        <v>84900.544126983368</v>
      </c>
      <c r="N130" s="377">
        <f>Summary!N130/Summary!N129*N129</f>
        <v>77646.270594888949</v>
      </c>
      <c r="O130" s="377">
        <f>Summary!O130/Summary!O129*O129</f>
        <v>95659.577668153026</v>
      </c>
      <c r="P130" s="371">
        <v>0</v>
      </c>
      <c r="Q130" s="371">
        <f>'Emb. Dist. Forecast'!M16</f>
        <v>40073.436725163534</v>
      </c>
      <c r="R130" s="456"/>
    </row>
    <row r="131" spans="2:18">
      <c r="B131" s="495" t="s">
        <v>270</v>
      </c>
      <c r="C131" s="377"/>
      <c r="D131" s="377"/>
      <c r="E131" s="377"/>
      <c r="F131" s="377"/>
      <c r="G131" s="377"/>
      <c r="H131" s="377"/>
      <c r="I131" s="377">
        <f t="shared" ref="I131:P131" si="50">I129/I128</f>
        <v>15461212.801404383</v>
      </c>
      <c r="J131" s="377">
        <f t="shared" si="50"/>
        <v>19238567.22338042</v>
      </c>
      <c r="K131" s="377"/>
      <c r="L131" s="377">
        <f t="shared" si="50"/>
        <v>34245664.036759704</v>
      </c>
      <c r="M131" s="377">
        <f t="shared" si="50"/>
        <v>34245664.036759704</v>
      </c>
      <c r="N131" s="377">
        <f t="shared" si="50"/>
        <v>34179598.386002384</v>
      </c>
      <c r="O131" s="377">
        <f t="shared" si="50"/>
        <v>40610365.761097305</v>
      </c>
      <c r="P131" s="377">
        <f t="shared" si="50"/>
        <v>0</v>
      </c>
      <c r="Q131" s="377">
        <f>Q129/Q128</f>
        <v>17012413.820937574</v>
      </c>
      <c r="R131" s="456"/>
    </row>
    <row r="132" spans="2:18">
      <c r="B132" s="495" t="s">
        <v>275</v>
      </c>
      <c r="C132" s="377"/>
      <c r="D132" s="377"/>
      <c r="E132" s="377"/>
      <c r="F132" s="377"/>
      <c r="G132" s="377"/>
      <c r="H132" s="377"/>
      <c r="I132" s="377">
        <f t="shared" ref="I132:Q132" si="51">I130/I128</f>
        <v>35601.854976446026</v>
      </c>
      <c r="J132" s="377">
        <f t="shared" si="51"/>
        <v>39664.638719529445</v>
      </c>
      <c r="K132" s="377"/>
      <c r="L132" s="377">
        <f t="shared" si="51"/>
        <v>84900.544126983368</v>
      </c>
      <c r="M132" s="377">
        <f>M130/M128</f>
        <v>84900.544126983368</v>
      </c>
      <c r="N132" s="377">
        <f t="shared" si="51"/>
        <v>77646.270594888949</v>
      </c>
      <c r="O132" s="377">
        <f t="shared" si="51"/>
        <v>95659.577668153026</v>
      </c>
      <c r="P132" s="377">
        <f t="shared" si="51"/>
        <v>0</v>
      </c>
      <c r="Q132" s="377">
        <f t="shared" si="51"/>
        <v>40073.436725163534</v>
      </c>
      <c r="R132" s="456"/>
    </row>
    <row r="133" spans="2:18">
      <c r="B133" s="4" t="s">
        <v>266</v>
      </c>
      <c r="C133" s="807"/>
      <c r="D133" s="807"/>
      <c r="E133" s="807"/>
      <c r="F133" s="807"/>
      <c r="G133" s="807"/>
      <c r="H133" s="807"/>
      <c r="I133" s="807">
        <f t="shared" ref="I133:J137" si="52">I128-H128</f>
        <v>1</v>
      </c>
      <c r="J133" s="807">
        <f t="shared" si="52"/>
        <v>0</v>
      </c>
      <c r="K133" s="807">
        <f>M128-J128</f>
        <v>0</v>
      </c>
      <c r="L133" s="807"/>
      <c r="M133" s="807">
        <f>M128-L128</f>
        <v>0</v>
      </c>
      <c r="N133" s="807">
        <f>N128-M128</f>
        <v>0</v>
      </c>
      <c r="O133" s="807">
        <f t="shared" ref="O133:Q137" si="53">O128-N128</f>
        <v>0</v>
      </c>
      <c r="P133" s="807">
        <f t="shared" si="53"/>
        <v>0</v>
      </c>
      <c r="Q133" s="807">
        <f t="shared" si="53"/>
        <v>0</v>
      </c>
      <c r="R133" s="456"/>
    </row>
    <row r="134" spans="2:18">
      <c r="B134" s="4" t="s">
        <v>268</v>
      </c>
      <c r="C134" s="807"/>
      <c r="D134" s="807"/>
      <c r="E134" s="807"/>
      <c r="F134" s="807"/>
      <c r="G134" s="807"/>
      <c r="H134" s="807"/>
      <c r="I134" s="807">
        <f>I129-H129</f>
        <v>15461212.801404383</v>
      </c>
      <c r="J134" s="807">
        <f t="shared" si="52"/>
        <v>3777354.4219760373</v>
      </c>
      <c r="K134" s="807">
        <f t="shared" ref="K134:K136" si="54">M129-J129</f>
        <v>15007096.813379284</v>
      </c>
      <c r="L134" s="807"/>
      <c r="M134" s="807">
        <f t="shared" ref="M134:N137" si="55">M129-L129</f>
        <v>0</v>
      </c>
      <c r="N134" s="807">
        <f t="shared" si="55"/>
        <v>-66065.650757320225</v>
      </c>
      <c r="O134" s="807">
        <f t="shared" si="53"/>
        <v>6430767.3750949204</v>
      </c>
      <c r="P134" s="807">
        <f>P129-O129</f>
        <v>-40610365.761097305</v>
      </c>
      <c r="Q134" s="807">
        <f t="shared" si="53"/>
        <v>17012413.820937574</v>
      </c>
      <c r="R134" s="456"/>
    </row>
    <row r="135" spans="2:18">
      <c r="B135" s="4" t="s">
        <v>276</v>
      </c>
      <c r="C135" s="807"/>
      <c r="D135" s="807"/>
      <c r="E135" s="807"/>
      <c r="F135" s="807"/>
      <c r="G135" s="807"/>
      <c r="H135" s="807"/>
      <c r="I135" s="807">
        <f t="shared" ref="I135" si="56">I130-H130</f>
        <v>35601.854976446026</v>
      </c>
      <c r="J135" s="807">
        <f t="shared" si="52"/>
        <v>4062.7837430834188</v>
      </c>
      <c r="K135" s="807">
        <f t="shared" si="54"/>
        <v>45235.905407453924</v>
      </c>
      <c r="L135" s="807"/>
      <c r="M135" s="807">
        <f t="shared" si="55"/>
        <v>0</v>
      </c>
      <c r="N135" s="807">
        <f t="shared" si="55"/>
        <v>-7254.2735320944194</v>
      </c>
      <c r="O135" s="807">
        <f t="shared" si="53"/>
        <v>18013.307073264077</v>
      </c>
      <c r="P135" s="807">
        <f t="shared" si="53"/>
        <v>-95659.577668153026</v>
      </c>
      <c r="Q135" s="807">
        <f t="shared" si="53"/>
        <v>40073.436725163534</v>
      </c>
      <c r="R135" s="456"/>
    </row>
    <row r="136" spans="2:18">
      <c r="B136" s="495" t="s">
        <v>274</v>
      </c>
      <c r="C136" s="807"/>
      <c r="D136" s="807"/>
      <c r="E136" s="807"/>
      <c r="F136" s="807"/>
      <c r="G136" s="807"/>
      <c r="H136" s="807"/>
      <c r="I136" s="807"/>
      <c r="J136" s="807">
        <f t="shared" si="52"/>
        <v>3777354.4219760373</v>
      </c>
      <c r="K136" s="807">
        <f t="shared" si="54"/>
        <v>15007096.813379284</v>
      </c>
      <c r="L136" s="807"/>
      <c r="M136" s="807">
        <f t="shared" si="55"/>
        <v>0</v>
      </c>
      <c r="N136" s="807">
        <f t="shared" si="55"/>
        <v>-66065.650757320225</v>
      </c>
      <c r="O136" s="807">
        <f t="shared" si="53"/>
        <v>6430767.3750949204</v>
      </c>
      <c r="P136" s="807">
        <f t="shared" si="53"/>
        <v>-40610365.761097305</v>
      </c>
      <c r="Q136" s="807">
        <f t="shared" si="53"/>
        <v>17012413.820937574</v>
      </c>
      <c r="R136" s="456"/>
    </row>
    <row r="137" spans="2:18">
      <c r="B137" s="495" t="s">
        <v>277</v>
      </c>
      <c r="C137" s="807"/>
      <c r="D137" s="807"/>
      <c r="E137" s="807"/>
      <c r="F137" s="807"/>
      <c r="G137" s="807"/>
      <c r="H137" s="807"/>
      <c r="I137" s="807"/>
      <c r="J137" s="807">
        <f t="shared" si="52"/>
        <v>4062.7837430834188</v>
      </c>
      <c r="K137" s="807">
        <f>M132-J132</f>
        <v>45235.905407453924</v>
      </c>
      <c r="L137" s="807"/>
      <c r="M137" s="807">
        <f t="shared" si="55"/>
        <v>0</v>
      </c>
      <c r="N137" s="807">
        <f t="shared" si="55"/>
        <v>-7254.2735320944194</v>
      </c>
      <c r="O137" s="807">
        <f t="shared" si="53"/>
        <v>18013.307073264077</v>
      </c>
      <c r="P137" s="807">
        <f t="shared" si="53"/>
        <v>-95659.577668153026</v>
      </c>
      <c r="Q137" s="807">
        <f t="shared" si="53"/>
        <v>40073.436725163534</v>
      </c>
      <c r="R137" s="456"/>
    </row>
    <row r="138" spans="2:18">
      <c r="B138" s="4" t="s">
        <v>267</v>
      </c>
      <c r="C138" s="377"/>
      <c r="D138" s="376"/>
      <c r="E138" s="377"/>
      <c r="F138" s="376"/>
      <c r="G138" s="377"/>
      <c r="H138" s="376"/>
      <c r="I138" s="376"/>
      <c r="J138" s="376">
        <f t="shared" ref="J138:J142" si="57">J133/I128</f>
        <v>0</v>
      </c>
      <c r="K138" s="376">
        <f>K133/J128</f>
        <v>0</v>
      </c>
      <c r="L138" s="377"/>
      <c r="M138" s="376">
        <f t="shared" ref="M138:Q142" si="58">M133/L128</f>
        <v>0</v>
      </c>
      <c r="N138" s="376">
        <f t="shared" si="58"/>
        <v>0</v>
      </c>
      <c r="O138" s="376">
        <f t="shared" si="58"/>
        <v>0</v>
      </c>
      <c r="P138" s="376">
        <f t="shared" si="58"/>
        <v>0</v>
      </c>
      <c r="Q138" s="376">
        <f t="shared" si="58"/>
        <v>0</v>
      </c>
      <c r="R138" s="456"/>
    </row>
    <row r="139" spans="2:18">
      <c r="B139" s="4" t="s">
        <v>269</v>
      </c>
      <c r="C139" s="377"/>
      <c r="D139" s="376"/>
      <c r="E139" s="377"/>
      <c r="F139" s="376"/>
      <c r="G139" s="377"/>
      <c r="H139" s="376"/>
      <c r="I139" s="376"/>
      <c r="J139" s="376">
        <f t="shared" si="57"/>
        <v>0.24431165074145608</v>
      </c>
      <c r="K139" s="376">
        <f>K134/J129</f>
        <v>0.78005272633511524</v>
      </c>
      <c r="L139" s="377"/>
      <c r="M139" s="376">
        <f t="shared" si="58"/>
        <v>0</v>
      </c>
      <c r="N139" s="376">
        <f t="shared" si="58"/>
        <v>-1.9291683375274771E-3</v>
      </c>
      <c r="O139" s="376">
        <f t="shared" si="58"/>
        <v>0.18814637031336567</v>
      </c>
      <c r="P139" s="376">
        <f t="shared" si="58"/>
        <v>-1</v>
      </c>
      <c r="Q139" s="376">
        <f>IFERROR(Q134/P129,0)</f>
        <v>0</v>
      </c>
      <c r="R139" s="456"/>
    </row>
    <row r="140" spans="2:18">
      <c r="B140" s="4" t="s">
        <v>278</v>
      </c>
      <c r="C140" s="377"/>
      <c r="D140" s="376"/>
      <c r="E140" s="377"/>
      <c r="F140" s="376"/>
      <c r="G140" s="377"/>
      <c r="H140" s="376"/>
      <c r="I140" s="376"/>
      <c r="J140" s="376">
        <f t="shared" si="57"/>
        <v>0.1141171926510945</v>
      </c>
      <c r="K140" s="376">
        <f>K135/J130</f>
        <v>1.1404592823174104</v>
      </c>
      <c r="L140" s="377"/>
      <c r="M140" s="376">
        <f t="shared" si="58"/>
        <v>0</v>
      </c>
      <c r="N140" s="376">
        <f t="shared" si="58"/>
        <v>-8.5444370312213844E-2</v>
      </c>
      <c r="O140" s="376">
        <f t="shared" si="58"/>
        <v>0.23199191584160644</v>
      </c>
      <c r="P140" s="376">
        <f t="shared" si="58"/>
        <v>-1</v>
      </c>
      <c r="Q140" s="376">
        <f t="shared" ref="Q140:Q141" si="59">IFERROR(Q135/P130,0)</f>
        <v>0</v>
      </c>
      <c r="R140" s="456"/>
    </row>
    <row r="141" spans="2:18">
      <c r="B141" s="495" t="s">
        <v>271</v>
      </c>
      <c r="C141" s="377"/>
      <c r="D141" s="376"/>
      <c r="E141" s="377"/>
      <c r="F141" s="376"/>
      <c r="G141" s="377"/>
      <c r="H141" s="376"/>
      <c r="I141" s="376"/>
      <c r="J141" s="376">
        <f t="shared" si="57"/>
        <v>0.24431165074145608</v>
      </c>
      <c r="K141" s="823">
        <f>M131/J131</f>
        <v>1.7800527263351151</v>
      </c>
      <c r="L141" s="377"/>
      <c r="M141" s="376">
        <f t="shared" si="58"/>
        <v>0</v>
      </c>
      <c r="N141" s="376">
        <f t="shared" si="58"/>
        <v>-1.9291683375274771E-3</v>
      </c>
      <c r="O141" s="376">
        <f t="shared" si="58"/>
        <v>0.18814637031336567</v>
      </c>
      <c r="P141" s="376">
        <f t="shared" si="58"/>
        <v>-1</v>
      </c>
      <c r="Q141" s="376">
        <f t="shared" si="59"/>
        <v>0</v>
      </c>
      <c r="R141" s="456"/>
    </row>
    <row r="142" spans="2:18" s="348" customFormat="1" ht="13.8" thickBot="1">
      <c r="B142" s="495" t="s">
        <v>279</v>
      </c>
      <c r="C142" s="803"/>
      <c r="D142" s="766"/>
      <c r="E142" s="803"/>
      <c r="F142" s="766"/>
      <c r="G142" s="803"/>
      <c r="H142" s="766"/>
      <c r="I142" s="766"/>
      <c r="J142" s="766">
        <f t="shared" si="57"/>
        <v>0.1141171926510945</v>
      </c>
      <c r="K142" s="823">
        <f>M132/J132</f>
        <v>2.1404592823174107</v>
      </c>
      <c r="L142" s="803"/>
      <c r="M142" s="766">
        <f t="shared" si="58"/>
        <v>0</v>
      </c>
      <c r="N142" s="766">
        <f t="shared" si="58"/>
        <v>-8.5444370312213844E-2</v>
      </c>
      <c r="O142" s="766">
        <f t="shared" si="58"/>
        <v>0.23199191584160644</v>
      </c>
      <c r="P142" s="766">
        <f t="shared" si="58"/>
        <v>-1</v>
      </c>
      <c r="Q142" s="766">
        <f>IFERROR(Q137/P132,0)</f>
        <v>0</v>
      </c>
      <c r="R142" s="356"/>
    </row>
    <row r="143" spans="2:18">
      <c r="B143" s="351" t="s">
        <v>225</v>
      </c>
      <c r="C143" s="769"/>
      <c r="D143" s="769"/>
      <c r="E143" s="769"/>
      <c r="F143" s="769"/>
      <c r="G143" s="769"/>
      <c r="H143" s="769"/>
      <c r="I143" s="769"/>
      <c r="J143" s="769"/>
      <c r="K143" s="769"/>
      <c r="L143" s="769"/>
      <c r="M143" s="769"/>
      <c r="N143" s="410"/>
      <c r="O143" s="770"/>
      <c r="P143" s="770"/>
      <c r="Q143" s="770"/>
      <c r="R143" s="456"/>
    </row>
    <row r="144" spans="2:18">
      <c r="B144" s="4" t="s">
        <v>143</v>
      </c>
      <c r="C144" s="377"/>
      <c r="D144" s="377"/>
      <c r="E144" s="377"/>
      <c r="F144" s="377"/>
      <c r="G144" s="377"/>
      <c r="H144" s="377"/>
      <c r="I144" s="377">
        <v>0</v>
      </c>
      <c r="J144" s="377">
        <v>0</v>
      </c>
      <c r="K144" s="377"/>
      <c r="L144" s="377">
        <v>0</v>
      </c>
      <c r="M144" s="374">
        <f>AVERAGE(Customer!K99:K110)</f>
        <v>1.4166666666666667</v>
      </c>
      <c r="N144" s="371">
        <f>AVERAGE(Customer!K111:K122)</f>
        <v>6</v>
      </c>
      <c r="O144" s="371">
        <f>AVERAGE(Customer!K123:K134)</f>
        <v>18.75</v>
      </c>
      <c r="P144" s="371">
        <f>'Dist. Gen. Forecast'!V17</f>
        <v>43.041666666666679</v>
      </c>
      <c r="Q144" s="371">
        <f>'Dist. Gen. Forecast'!O17</f>
        <v>67.583333333333371</v>
      </c>
      <c r="R144" s="456"/>
    </row>
    <row r="145" spans="2:18">
      <c r="B145" s="4" t="s">
        <v>144</v>
      </c>
      <c r="C145" s="377"/>
      <c r="D145" s="377"/>
      <c r="E145" s="377"/>
      <c r="F145" s="377"/>
      <c r="G145" s="377"/>
      <c r="H145" s="377"/>
      <c r="I145" s="377">
        <f>'WeatherNorm. Data'!K72</f>
        <v>0</v>
      </c>
      <c r="J145" s="377">
        <f>'WeatherNorm. Data'!K73</f>
        <v>0</v>
      </c>
      <c r="K145" s="377"/>
      <c r="L145" s="377">
        <v>0</v>
      </c>
      <c r="M145" s="377">
        <f>'WeatherNorm. Data'!K74</f>
        <v>1736.0106860500014</v>
      </c>
      <c r="N145" s="377">
        <f>'WeatherNorm. Data'!K75</f>
        <v>14518.963537899994</v>
      </c>
      <c r="O145" s="377">
        <f>'WeatherNorm. Data'!K76</f>
        <v>49623.625486950004</v>
      </c>
      <c r="P145" s="371">
        <f>'Dist. Gen. Forecast'!X17</f>
        <v>113715.47674831092</v>
      </c>
      <c r="Q145" s="371">
        <f>'Dist. Gen. Forecast'!Q17</f>
        <v>178815.83827199429</v>
      </c>
      <c r="R145" s="456"/>
    </row>
    <row r="146" spans="2:18">
      <c r="B146" s="495" t="s">
        <v>270</v>
      </c>
      <c r="C146" s="377"/>
      <c r="D146" s="377"/>
      <c r="E146" s="377"/>
      <c r="F146" s="377"/>
      <c r="G146" s="377"/>
      <c r="H146" s="377"/>
      <c r="I146" s="377">
        <f>IFERROR(I145/I144,0)</f>
        <v>0</v>
      </c>
      <c r="J146" s="377">
        <f>IFERROR(J145/J144,0)</f>
        <v>0</v>
      </c>
      <c r="K146" s="377"/>
      <c r="L146" s="377">
        <f>IFERROR(L145/L144,0)</f>
        <v>0</v>
      </c>
      <c r="M146" s="377">
        <f t="shared" ref="M146:Q146" si="60">M145/M144</f>
        <v>1225.419307800001</v>
      </c>
      <c r="N146" s="377">
        <f t="shared" si="60"/>
        <v>2419.8272563166656</v>
      </c>
      <c r="O146" s="377">
        <f t="shared" si="60"/>
        <v>2646.5933593040004</v>
      </c>
      <c r="P146" s="377">
        <f t="shared" si="60"/>
        <v>2641.985907027552</v>
      </c>
      <c r="Q146" s="377">
        <f t="shared" si="60"/>
        <v>2645.857039782898</v>
      </c>
      <c r="R146" s="456"/>
    </row>
    <row r="147" spans="2:18">
      <c r="B147" s="4" t="s">
        <v>266</v>
      </c>
      <c r="C147" s="807"/>
      <c r="D147" s="807"/>
      <c r="E147" s="807"/>
      <c r="F147" s="807"/>
      <c r="G147" s="807"/>
      <c r="H147" s="807"/>
      <c r="I147" s="807">
        <f t="shared" ref="I147:J149" si="61">I144-H144</f>
        <v>0</v>
      </c>
      <c r="J147" s="807">
        <f t="shared" si="61"/>
        <v>0</v>
      </c>
      <c r="K147" s="377">
        <f>M144-J144</f>
        <v>1.4166666666666667</v>
      </c>
      <c r="L147" s="807"/>
      <c r="M147" s="807">
        <f t="shared" ref="M147:Q149" si="62">M144-L144</f>
        <v>1.4166666666666667</v>
      </c>
      <c r="N147" s="807">
        <f t="shared" si="62"/>
        <v>4.583333333333333</v>
      </c>
      <c r="O147" s="807">
        <f t="shared" si="62"/>
        <v>12.75</v>
      </c>
      <c r="P147" s="807">
        <f t="shared" si="62"/>
        <v>24.291666666666679</v>
      </c>
      <c r="Q147" s="807">
        <f t="shared" si="62"/>
        <v>24.541666666666693</v>
      </c>
      <c r="R147" s="456"/>
    </row>
    <row r="148" spans="2:18">
      <c r="B148" s="4" t="s">
        <v>268</v>
      </c>
      <c r="C148" s="807"/>
      <c r="D148" s="807"/>
      <c r="E148" s="807"/>
      <c r="F148" s="807"/>
      <c r="G148" s="807"/>
      <c r="H148" s="807"/>
      <c r="I148" s="807">
        <f t="shared" si="61"/>
        <v>0</v>
      </c>
      <c r="J148" s="807">
        <f t="shared" si="61"/>
        <v>0</v>
      </c>
      <c r="K148" s="377">
        <f>M145-J145</f>
        <v>1736.0106860500014</v>
      </c>
      <c r="L148" s="807"/>
      <c r="M148" s="807">
        <f t="shared" si="62"/>
        <v>1736.0106860500014</v>
      </c>
      <c r="N148" s="807">
        <f>N145-M145</f>
        <v>12782.952851849992</v>
      </c>
      <c r="O148" s="807">
        <f t="shared" si="62"/>
        <v>35104.661949050009</v>
      </c>
      <c r="P148" s="807">
        <f t="shared" si="62"/>
        <v>64091.851261360913</v>
      </c>
      <c r="Q148" s="807">
        <f t="shared" si="62"/>
        <v>65100.361523683372</v>
      </c>
      <c r="R148" s="456"/>
    </row>
    <row r="149" spans="2:18">
      <c r="B149" s="495" t="s">
        <v>274</v>
      </c>
      <c r="C149" s="807"/>
      <c r="D149" s="807"/>
      <c r="E149" s="807"/>
      <c r="F149" s="807"/>
      <c r="G149" s="807"/>
      <c r="H149" s="807"/>
      <c r="I149" s="807">
        <f t="shared" si="61"/>
        <v>0</v>
      </c>
      <c r="J149" s="807">
        <f t="shared" si="61"/>
        <v>0</v>
      </c>
      <c r="K149" s="806">
        <f t="shared" ref="K149" si="63">M146-J146</f>
        <v>1225.419307800001</v>
      </c>
      <c r="L149" s="807"/>
      <c r="M149" s="807">
        <f t="shared" si="62"/>
        <v>1225.419307800001</v>
      </c>
      <c r="N149" s="807">
        <f>N146-M146</f>
        <v>1194.4079485166646</v>
      </c>
      <c r="O149" s="807">
        <f t="shared" si="62"/>
        <v>226.76610298733476</v>
      </c>
      <c r="P149" s="807">
        <f t="shared" si="62"/>
        <v>-4.6074522764483845</v>
      </c>
      <c r="Q149" s="807">
        <f t="shared" si="62"/>
        <v>3.8711327553460251</v>
      </c>
      <c r="R149" s="456"/>
    </row>
    <row r="150" spans="2:18">
      <c r="B150" s="4" t="s">
        <v>267</v>
      </c>
      <c r="C150" s="377"/>
      <c r="D150" s="376"/>
      <c r="E150" s="376"/>
      <c r="F150" s="376"/>
      <c r="G150" s="376"/>
      <c r="H150" s="376"/>
      <c r="I150" s="376">
        <f>IFERROR(I147/H144,0)</f>
        <v>0</v>
      </c>
      <c r="J150" s="376">
        <f>IFERROR(J147/I144,0)</f>
        <v>0</v>
      </c>
      <c r="K150" s="376">
        <f>IFERROR(M144/J144,0)</f>
        <v>0</v>
      </c>
      <c r="L150" s="376"/>
      <c r="M150" s="376">
        <f>IFERROR(M147/L144,0)</f>
        <v>0</v>
      </c>
      <c r="N150" s="376">
        <f t="shared" ref="N150:Q152" si="64">N147/M144</f>
        <v>3.2352941176470584</v>
      </c>
      <c r="O150" s="376">
        <f t="shared" si="64"/>
        <v>2.125</v>
      </c>
      <c r="P150" s="376">
        <f t="shared" si="64"/>
        <v>1.2955555555555562</v>
      </c>
      <c r="Q150" s="376">
        <f t="shared" si="64"/>
        <v>0.57018393030009729</v>
      </c>
      <c r="R150" s="456"/>
    </row>
    <row r="151" spans="2:18">
      <c r="B151" s="4" t="s">
        <v>269</v>
      </c>
      <c r="C151" s="377"/>
      <c r="D151" s="376"/>
      <c r="E151" s="376"/>
      <c r="F151" s="376"/>
      <c r="G151" s="376"/>
      <c r="H151" s="376"/>
      <c r="I151" s="376">
        <f t="shared" ref="I151:J152" si="65">IFERROR(I148/H145,0)</f>
        <v>0</v>
      </c>
      <c r="J151" s="376">
        <f t="shared" si="65"/>
        <v>0</v>
      </c>
      <c r="K151" s="376">
        <f t="shared" ref="K151:K152" si="66">IFERROR(M145/J145,0)</f>
        <v>0</v>
      </c>
      <c r="L151" s="376"/>
      <c r="M151" s="376">
        <f t="shared" ref="M151:M152" si="67">IFERROR(M148/L145,0)</f>
        <v>0</v>
      </c>
      <c r="N151" s="376">
        <f>N148/M145</f>
        <v>7.3634067777171568</v>
      </c>
      <c r="O151" s="376">
        <f t="shared" si="64"/>
        <v>2.4178490329157136</v>
      </c>
      <c r="P151" s="376">
        <f t="shared" si="64"/>
        <v>1.2915592247127481</v>
      </c>
      <c r="Q151" s="376">
        <f>Q148/P145</f>
        <v>0.57248462025772884</v>
      </c>
      <c r="R151" s="456"/>
    </row>
    <row r="152" spans="2:18" ht="13.8" thickBot="1">
      <c r="B152" s="495" t="s">
        <v>271</v>
      </c>
      <c r="C152" s="376"/>
      <c r="D152" s="376"/>
      <c r="E152" s="376"/>
      <c r="F152" s="376"/>
      <c r="G152" s="376"/>
      <c r="H152" s="376"/>
      <c r="I152" s="376">
        <f t="shared" si="65"/>
        <v>0</v>
      </c>
      <c r="J152" s="376">
        <f t="shared" si="65"/>
        <v>0</v>
      </c>
      <c r="K152" s="376">
        <f t="shared" si="66"/>
        <v>0</v>
      </c>
      <c r="L152" s="376"/>
      <c r="M152" s="376">
        <f t="shared" si="67"/>
        <v>0</v>
      </c>
      <c r="N152" s="376">
        <f>N149/M146</f>
        <v>0.97469326696099545</v>
      </c>
      <c r="O152" s="376">
        <f t="shared" si="64"/>
        <v>9.3711690533028483E-2</v>
      </c>
      <c r="P152" s="376">
        <f t="shared" si="64"/>
        <v>-1.7408992054827983E-3</v>
      </c>
      <c r="Q152" s="376">
        <f>Q149/P146</f>
        <v>1.4652359594534562E-3</v>
      </c>
      <c r="R152" s="456"/>
    </row>
    <row r="153" spans="2:18">
      <c r="B153" s="351" t="s">
        <v>237</v>
      </c>
      <c r="C153" s="769"/>
      <c r="D153" s="769"/>
      <c r="E153" s="769"/>
      <c r="F153" s="769"/>
      <c r="G153" s="769"/>
      <c r="H153" s="769"/>
      <c r="I153" s="769"/>
      <c r="J153" s="769"/>
      <c r="K153" s="769"/>
      <c r="L153" s="769"/>
      <c r="M153" s="769"/>
      <c r="N153" s="410"/>
      <c r="O153" s="770"/>
      <c r="P153" s="770"/>
      <c r="Q153" s="770"/>
      <c r="R153" s="456"/>
    </row>
    <row r="154" spans="2:18">
      <c r="B154" s="4" t="s">
        <v>143</v>
      </c>
      <c r="C154" s="807"/>
      <c r="D154" s="807"/>
      <c r="E154" s="807"/>
      <c r="F154" s="807"/>
      <c r="G154" s="807"/>
      <c r="H154" s="807"/>
      <c r="I154" s="807">
        <v>1</v>
      </c>
      <c r="J154" s="807">
        <v>1</v>
      </c>
      <c r="K154" s="807"/>
      <c r="L154" s="807">
        <v>1</v>
      </c>
      <c r="M154" s="812">
        <v>1</v>
      </c>
      <c r="N154" s="812">
        <v>1</v>
      </c>
      <c r="O154" s="812">
        <v>1</v>
      </c>
      <c r="P154" s="812">
        <v>1</v>
      </c>
      <c r="Q154" s="812">
        <v>1</v>
      </c>
      <c r="R154" s="456"/>
    </row>
    <row r="155" spans="2:18">
      <c r="B155" s="4" t="s">
        <v>144</v>
      </c>
      <c r="C155" s="807"/>
      <c r="D155" s="807"/>
      <c r="E155" s="807"/>
      <c r="F155" s="807"/>
      <c r="G155" s="807"/>
      <c r="H155" s="807"/>
      <c r="I155" s="807">
        <v>0</v>
      </c>
      <c r="J155" s="807">
        <v>0</v>
      </c>
      <c r="K155" s="807"/>
      <c r="L155" s="807">
        <v>0</v>
      </c>
      <c r="M155" s="807">
        <v>0</v>
      </c>
      <c r="N155" s="807">
        <v>0</v>
      </c>
      <c r="O155" s="807">
        <v>0</v>
      </c>
      <c r="P155" s="807">
        <v>0</v>
      </c>
      <c r="Q155" s="807">
        <v>0</v>
      </c>
      <c r="R155" s="456"/>
    </row>
    <row r="156" spans="2:18">
      <c r="B156" s="4" t="s">
        <v>146</v>
      </c>
      <c r="C156" s="807"/>
      <c r="D156" s="807"/>
      <c r="E156" s="807"/>
      <c r="F156" s="807"/>
      <c r="G156" s="807"/>
      <c r="H156" s="807"/>
      <c r="I156" s="807">
        <v>0</v>
      </c>
      <c r="J156" s="807">
        <v>0</v>
      </c>
      <c r="K156" s="807"/>
      <c r="L156" s="807">
        <v>0</v>
      </c>
      <c r="M156" s="807">
        <v>0</v>
      </c>
      <c r="N156" s="807">
        <v>0</v>
      </c>
      <c r="O156" s="807">
        <v>0</v>
      </c>
      <c r="P156" s="807">
        <v>0</v>
      </c>
      <c r="Q156" s="807">
        <v>0</v>
      </c>
      <c r="R156" s="456"/>
    </row>
    <row r="157" spans="2:18">
      <c r="B157" s="495" t="s">
        <v>270</v>
      </c>
      <c r="C157" s="807"/>
      <c r="D157" s="807"/>
      <c r="E157" s="807"/>
      <c r="F157" s="807"/>
      <c r="G157" s="807"/>
      <c r="H157" s="807"/>
      <c r="I157" s="807">
        <f t="shared" ref="I157:Q157" si="68">I155/I154</f>
        <v>0</v>
      </c>
      <c r="J157" s="807">
        <f t="shared" si="68"/>
        <v>0</v>
      </c>
      <c r="K157" s="807"/>
      <c r="L157" s="807">
        <f>IFERROR(L155/L154,0)</f>
        <v>0</v>
      </c>
      <c r="M157" s="807">
        <f t="shared" si="68"/>
        <v>0</v>
      </c>
      <c r="N157" s="807">
        <f t="shared" si="68"/>
        <v>0</v>
      </c>
      <c r="O157" s="807">
        <f t="shared" si="68"/>
        <v>0</v>
      </c>
      <c r="P157" s="807">
        <f t="shared" si="68"/>
        <v>0</v>
      </c>
      <c r="Q157" s="807">
        <f t="shared" si="68"/>
        <v>0</v>
      </c>
      <c r="R157" s="456"/>
    </row>
    <row r="158" spans="2:18">
      <c r="B158" s="495" t="s">
        <v>275</v>
      </c>
      <c r="C158" s="807"/>
      <c r="D158" s="807"/>
      <c r="E158" s="807"/>
      <c r="F158" s="807"/>
      <c r="G158" s="807"/>
      <c r="H158" s="807"/>
      <c r="I158" s="807">
        <f t="shared" ref="I158:J158" si="69">I156/I154</f>
        <v>0</v>
      </c>
      <c r="J158" s="807">
        <f t="shared" si="69"/>
        <v>0</v>
      </c>
      <c r="K158" s="807"/>
      <c r="L158" s="807">
        <f>IFERROR(L156/L154,0)</f>
        <v>0</v>
      </c>
      <c r="M158" s="807">
        <f>M156/M154</f>
        <v>0</v>
      </c>
      <c r="N158" s="807">
        <f t="shared" ref="N158:Q158" si="70">N156/N154</f>
        <v>0</v>
      </c>
      <c r="O158" s="807">
        <f t="shared" si="70"/>
        <v>0</v>
      </c>
      <c r="P158" s="807">
        <f t="shared" si="70"/>
        <v>0</v>
      </c>
      <c r="Q158" s="807">
        <f t="shared" si="70"/>
        <v>0</v>
      </c>
      <c r="R158" s="456"/>
    </row>
    <row r="159" spans="2:18">
      <c r="B159" s="4" t="s">
        <v>266</v>
      </c>
      <c r="C159" s="807"/>
      <c r="D159" s="807"/>
      <c r="E159" s="807"/>
      <c r="F159" s="807"/>
      <c r="G159" s="807"/>
      <c r="H159" s="807"/>
      <c r="I159" s="807">
        <f t="shared" ref="I159:J160" si="71">I154-H154</f>
        <v>1</v>
      </c>
      <c r="J159" s="807">
        <f t="shared" si="71"/>
        <v>0</v>
      </c>
      <c r="K159" s="807">
        <f>M154-J154</f>
        <v>0</v>
      </c>
      <c r="L159" s="807">
        <v>0</v>
      </c>
      <c r="M159" s="807">
        <f>M154-L154</f>
        <v>0</v>
      </c>
      <c r="N159" s="807">
        <f>N154-M154</f>
        <v>0</v>
      </c>
      <c r="O159" s="807">
        <f t="shared" ref="O159:Q163" si="72">O154-N154</f>
        <v>0</v>
      </c>
      <c r="P159" s="807">
        <f t="shared" si="72"/>
        <v>0</v>
      </c>
      <c r="Q159" s="807">
        <f t="shared" si="72"/>
        <v>0</v>
      </c>
      <c r="R159" s="456"/>
    </row>
    <row r="160" spans="2:18">
      <c r="B160" s="4" t="s">
        <v>268</v>
      </c>
      <c r="C160" s="807"/>
      <c r="D160" s="807"/>
      <c r="E160" s="807"/>
      <c r="F160" s="807"/>
      <c r="G160" s="807"/>
      <c r="H160" s="807"/>
      <c r="I160" s="807">
        <f>I155-H155</f>
        <v>0</v>
      </c>
      <c r="J160" s="807">
        <f t="shared" si="71"/>
        <v>0</v>
      </c>
      <c r="K160" s="807">
        <f t="shared" ref="K160:K162" si="73">M155-J155</f>
        <v>0</v>
      </c>
      <c r="L160" s="807">
        <v>0</v>
      </c>
      <c r="M160" s="807">
        <f t="shared" ref="M160:P163" si="74">M155-L155</f>
        <v>0</v>
      </c>
      <c r="N160" s="807">
        <f t="shared" si="74"/>
        <v>0</v>
      </c>
      <c r="O160" s="807">
        <f t="shared" si="74"/>
        <v>0</v>
      </c>
      <c r="P160" s="807">
        <f>P155-O155</f>
        <v>0</v>
      </c>
      <c r="Q160" s="807">
        <f t="shared" si="72"/>
        <v>0</v>
      </c>
      <c r="R160" s="456"/>
    </row>
    <row r="161" spans="2:18">
      <c r="B161" s="4" t="s">
        <v>276</v>
      </c>
      <c r="C161" s="807"/>
      <c r="D161" s="807"/>
      <c r="E161" s="807"/>
      <c r="F161" s="807"/>
      <c r="G161" s="807"/>
      <c r="H161" s="807"/>
      <c r="I161" s="807">
        <f t="shared" ref="I161:J163" si="75">I156-H156</f>
        <v>0</v>
      </c>
      <c r="J161" s="807">
        <f t="shared" si="75"/>
        <v>0</v>
      </c>
      <c r="K161" s="807">
        <f t="shared" si="73"/>
        <v>0</v>
      </c>
      <c r="L161" s="807">
        <v>0</v>
      </c>
      <c r="M161" s="807">
        <f t="shared" si="74"/>
        <v>0</v>
      </c>
      <c r="N161" s="807">
        <f t="shared" si="74"/>
        <v>0</v>
      </c>
      <c r="O161" s="807">
        <f t="shared" si="74"/>
        <v>0</v>
      </c>
      <c r="P161" s="807">
        <f t="shared" si="74"/>
        <v>0</v>
      </c>
      <c r="Q161" s="807">
        <f t="shared" si="72"/>
        <v>0</v>
      </c>
      <c r="R161" s="456"/>
    </row>
    <row r="162" spans="2:18">
      <c r="B162" s="495" t="s">
        <v>274</v>
      </c>
      <c r="C162" s="807"/>
      <c r="D162" s="807"/>
      <c r="E162" s="807"/>
      <c r="F162" s="807"/>
      <c r="G162" s="807"/>
      <c r="H162" s="807"/>
      <c r="I162" s="807">
        <f t="shared" si="75"/>
        <v>0</v>
      </c>
      <c r="J162" s="807">
        <f t="shared" si="75"/>
        <v>0</v>
      </c>
      <c r="K162" s="807">
        <f t="shared" si="73"/>
        <v>0</v>
      </c>
      <c r="L162" s="807">
        <v>0</v>
      </c>
      <c r="M162" s="807">
        <f t="shared" si="74"/>
        <v>0</v>
      </c>
      <c r="N162" s="807">
        <f t="shared" si="74"/>
        <v>0</v>
      </c>
      <c r="O162" s="807">
        <f t="shared" si="74"/>
        <v>0</v>
      </c>
      <c r="P162" s="807">
        <f t="shared" si="74"/>
        <v>0</v>
      </c>
      <c r="Q162" s="807">
        <f t="shared" si="72"/>
        <v>0</v>
      </c>
      <c r="R162" s="456"/>
    </row>
    <row r="163" spans="2:18">
      <c r="B163" s="495" t="s">
        <v>277</v>
      </c>
      <c r="C163" s="807"/>
      <c r="D163" s="807"/>
      <c r="E163" s="807"/>
      <c r="F163" s="807"/>
      <c r="G163" s="807"/>
      <c r="H163" s="807"/>
      <c r="I163" s="807">
        <f t="shared" si="75"/>
        <v>0</v>
      </c>
      <c r="J163" s="807">
        <f t="shared" si="75"/>
        <v>0</v>
      </c>
      <c r="K163" s="807">
        <f>M158-J158</f>
        <v>0</v>
      </c>
      <c r="L163" s="807">
        <v>0</v>
      </c>
      <c r="M163" s="807">
        <f t="shared" si="74"/>
        <v>0</v>
      </c>
      <c r="N163" s="807">
        <f t="shared" si="74"/>
        <v>0</v>
      </c>
      <c r="O163" s="807">
        <f t="shared" si="74"/>
        <v>0</v>
      </c>
      <c r="P163" s="807">
        <f t="shared" si="74"/>
        <v>0</v>
      </c>
      <c r="Q163" s="807">
        <f t="shared" si="72"/>
        <v>0</v>
      </c>
      <c r="R163" s="456"/>
    </row>
    <row r="164" spans="2:18">
      <c r="B164" s="4" t="s">
        <v>267</v>
      </c>
      <c r="C164" s="377"/>
      <c r="D164" s="376"/>
      <c r="E164" s="377"/>
      <c r="F164" s="376"/>
      <c r="G164" s="377"/>
      <c r="H164" s="376"/>
      <c r="I164" s="376">
        <f>IFERROR(I159/H154,0)</f>
        <v>0</v>
      </c>
      <c r="J164" s="376">
        <f>IFERROR(J159/I154,0)</f>
        <v>0</v>
      </c>
      <c r="K164" s="376">
        <f>K159/J154</f>
        <v>0</v>
      </c>
      <c r="L164" s="376">
        <f>IFERROR(L159/J154,0)</f>
        <v>0</v>
      </c>
      <c r="M164" s="376">
        <f t="shared" ref="M164:Q165" si="76">IFERROR(M159/L154,0)</f>
        <v>0</v>
      </c>
      <c r="N164" s="376">
        <f t="shared" si="76"/>
        <v>0</v>
      </c>
      <c r="O164" s="376">
        <f t="shared" si="76"/>
        <v>0</v>
      </c>
      <c r="P164" s="376">
        <f t="shared" si="76"/>
        <v>0</v>
      </c>
      <c r="Q164" s="376">
        <f t="shared" si="76"/>
        <v>0</v>
      </c>
      <c r="R164" s="456"/>
    </row>
    <row r="165" spans="2:18">
      <c r="B165" s="4" t="s">
        <v>269</v>
      </c>
      <c r="C165" s="377"/>
      <c r="D165" s="376"/>
      <c r="E165" s="377"/>
      <c r="F165" s="376"/>
      <c r="G165" s="377"/>
      <c r="H165" s="376"/>
      <c r="I165" s="376">
        <f>IFERROR(I160/H155,0)</f>
        <v>0</v>
      </c>
      <c r="J165" s="376">
        <f>IFERROR(J160/I155,0)</f>
        <v>0</v>
      </c>
      <c r="K165" s="376">
        <f>IFERROR(K160/J155,0)</f>
        <v>0</v>
      </c>
      <c r="L165" s="376">
        <f>IFERROR(L160/J155,0)</f>
        <v>0</v>
      </c>
      <c r="M165" s="376">
        <f t="shared" si="76"/>
        <v>0</v>
      </c>
      <c r="N165" s="376">
        <f t="shared" si="76"/>
        <v>0</v>
      </c>
      <c r="O165" s="376">
        <f t="shared" si="76"/>
        <v>0</v>
      </c>
      <c r="P165" s="376">
        <f t="shared" si="76"/>
        <v>0</v>
      </c>
      <c r="Q165" s="376">
        <f t="shared" si="76"/>
        <v>0</v>
      </c>
      <c r="R165" s="456"/>
    </row>
    <row r="166" spans="2:18">
      <c r="B166" s="4" t="s">
        <v>278</v>
      </c>
      <c r="C166" s="377"/>
      <c r="D166" s="376"/>
      <c r="E166" s="377"/>
      <c r="F166" s="376"/>
      <c r="G166" s="377"/>
      <c r="H166" s="376"/>
      <c r="I166" s="376">
        <f t="shared" ref="I166:Q168" si="77">IFERROR(I161/H156,0)</f>
        <v>0</v>
      </c>
      <c r="J166" s="376">
        <f t="shared" si="77"/>
        <v>0</v>
      </c>
      <c r="K166" s="376">
        <f t="shared" si="77"/>
        <v>0</v>
      </c>
      <c r="L166" s="376">
        <f>IFERROR(L161/J156,0)</f>
        <v>0</v>
      </c>
      <c r="M166" s="376">
        <f t="shared" si="77"/>
        <v>0</v>
      </c>
      <c r="N166" s="376">
        <f t="shared" si="77"/>
        <v>0</v>
      </c>
      <c r="O166" s="376">
        <f t="shared" si="77"/>
        <v>0</v>
      </c>
      <c r="P166" s="376">
        <f t="shared" si="77"/>
        <v>0</v>
      </c>
      <c r="Q166" s="376">
        <f t="shared" si="77"/>
        <v>0</v>
      </c>
      <c r="R166" s="456"/>
    </row>
    <row r="167" spans="2:18">
      <c r="B167" s="495" t="s">
        <v>271</v>
      </c>
      <c r="C167" s="377"/>
      <c r="D167" s="376"/>
      <c r="E167" s="377"/>
      <c r="F167" s="376"/>
      <c r="G167" s="377"/>
      <c r="H167" s="376"/>
      <c r="I167" s="376">
        <f t="shared" si="77"/>
        <v>0</v>
      </c>
      <c r="J167" s="376">
        <f t="shared" si="77"/>
        <v>0</v>
      </c>
      <c r="K167" s="376">
        <f t="shared" si="77"/>
        <v>0</v>
      </c>
      <c r="L167" s="376">
        <f>IFERROR(L162/J157,0)</f>
        <v>0</v>
      </c>
      <c r="M167" s="376">
        <f t="shared" si="77"/>
        <v>0</v>
      </c>
      <c r="N167" s="376">
        <f t="shared" si="77"/>
        <v>0</v>
      </c>
      <c r="O167" s="376">
        <f t="shared" si="77"/>
        <v>0</v>
      </c>
      <c r="P167" s="376">
        <f t="shared" si="77"/>
        <v>0</v>
      </c>
      <c r="Q167" s="376">
        <f t="shared" si="77"/>
        <v>0</v>
      </c>
      <c r="R167" s="456"/>
    </row>
    <row r="168" spans="2:18" ht="13.8" thickBot="1">
      <c r="B168" s="495" t="s">
        <v>279</v>
      </c>
      <c r="C168" s="803"/>
      <c r="D168" s="766"/>
      <c r="E168" s="803"/>
      <c r="F168" s="766"/>
      <c r="G168" s="803"/>
      <c r="H168" s="766"/>
      <c r="I168" s="376">
        <f t="shared" si="77"/>
        <v>0</v>
      </c>
      <c r="J168" s="376">
        <f t="shared" si="77"/>
        <v>0</v>
      </c>
      <c r="K168" s="376">
        <f t="shared" si="77"/>
        <v>0</v>
      </c>
      <c r="L168" s="376">
        <f>IFERROR(L163/J158,0)</f>
        <v>0</v>
      </c>
      <c r="M168" s="376">
        <f t="shared" si="77"/>
        <v>0</v>
      </c>
      <c r="N168" s="376">
        <f t="shared" si="77"/>
        <v>0</v>
      </c>
      <c r="O168" s="376">
        <f t="shared" si="77"/>
        <v>0</v>
      </c>
      <c r="P168" s="376">
        <f t="shared" si="77"/>
        <v>0</v>
      </c>
      <c r="Q168" s="376">
        <f t="shared" si="77"/>
        <v>0</v>
      </c>
      <c r="R168" s="456"/>
    </row>
    <row r="169" spans="2:18">
      <c r="B169" s="351" t="s">
        <v>257</v>
      </c>
      <c r="C169" s="769"/>
      <c r="D169" s="769"/>
      <c r="E169" s="769"/>
      <c r="F169" s="769"/>
      <c r="G169" s="769"/>
      <c r="H169" s="769"/>
      <c r="I169" s="769"/>
      <c r="J169" s="769"/>
      <c r="K169" s="769"/>
      <c r="L169" s="769"/>
      <c r="M169" s="769"/>
      <c r="N169" s="410"/>
      <c r="O169" s="770"/>
      <c r="P169" s="770"/>
      <c r="Q169" s="770"/>
      <c r="R169" s="456"/>
    </row>
    <row r="170" spans="2:18">
      <c r="B170" s="4" t="s">
        <v>143</v>
      </c>
      <c r="C170" s="806"/>
      <c r="D170" s="806"/>
      <c r="E170" s="806"/>
      <c r="F170" s="806"/>
      <c r="G170" s="806"/>
      <c r="H170" s="806"/>
      <c r="I170" s="806">
        <v>0</v>
      </c>
      <c r="J170" s="806">
        <v>0</v>
      </c>
      <c r="K170" s="806"/>
      <c r="L170" s="806">
        <v>0</v>
      </c>
      <c r="M170" s="806">
        <v>0</v>
      </c>
      <c r="N170" s="806">
        <v>0</v>
      </c>
      <c r="O170" s="807">
        <v>1</v>
      </c>
      <c r="P170" s="807">
        <v>1</v>
      </c>
      <c r="Q170" s="807">
        <v>1</v>
      </c>
      <c r="R170" s="456"/>
    </row>
    <row r="171" spans="2:18">
      <c r="B171" s="4" t="s">
        <v>144</v>
      </c>
      <c r="C171" s="806"/>
      <c r="D171" s="806"/>
      <c r="E171" s="806"/>
      <c r="F171" s="806"/>
      <c r="G171" s="806"/>
      <c r="H171" s="806"/>
      <c r="I171" s="806">
        <v>0</v>
      </c>
      <c r="J171" s="806">
        <v>0</v>
      </c>
      <c r="K171" s="806"/>
      <c r="L171" s="806">
        <v>0</v>
      </c>
      <c r="M171" s="806">
        <v>0</v>
      </c>
      <c r="N171" s="806">
        <v>0</v>
      </c>
      <c r="O171" s="807">
        <v>0</v>
      </c>
      <c r="P171" s="807">
        <v>0</v>
      </c>
      <c r="Q171" s="807">
        <v>0</v>
      </c>
      <c r="R171" s="456"/>
    </row>
    <row r="172" spans="2:18">
      <c r="B172" s="4" t="s">
        <v>146</v>
      </c>
      <c r="C172" s="806"/>
      <c r="D172" s="806"/>
      <c r="E172" s="806"/>
      <c r="F172" s="806"/>
      <c r="G172" s="806"/>
      <c r="H172" s="806"/>
      <c r="I172" s="806">
        <v>0</v>
      </c>
      <c r="J172" s="806">
        <v>0</v>
      </c>
      <c r="K172" s="806"/>
      <c r="L172" s="806">
        <v>0</v>
      </c>
      <c r="M172" s="806">
        <v>0</v>
      </c>
      <c r="N172" s="806">
        <v>0</v>
      </c>
      <c r="O172" s="807">
        <v>40934.799999999996</v>
      </c>
      <c r="P172" s="807">
        <v>54579.733333333323</v>
      </c>
      <c r="Q172" s="807">
        <v>54579.733333333323</v>
      </c>
      <c r="R172" s="456"/>
    </row>
    <row r="173" spans="2:18">
      <c r="B173" s="495" t="s">
        <v>270</v>
      </c>
      <c r="C173" s="806"/>
      <c r="D173" s="806"/>
      <c r="E173" s="806"/>
      <c r="F173" s="806"/>
      <c r="G173" s="806"/>
      <c r="H173" s="806"/>
      <c r="I173" s="806">
        <f>IFERROR(I171/I170,0)</f>
        <v>0</v>
      </c>
      <c r="J173" s="806">
        <f>IFERROR(J171/J170,0)</f>
        <v>0</v>
      </c>
      <c r="K173" s="806"/>
      <c r="L173" s="806">
        <f t="shared" ref="L173:Q173" si="78">IFERROR(L171/L170,0)</f>
        <v>0</v>
      </c>
      <c r="M173" s="806">
        <f t="shared" si="78"/>
        <v>0</v>
      </c>
      <c r="N173" s="806">
        <f t="shared" si="78"/>
        <v>0</v>
      </c>
      <c r="O173" s="807">
        <f t="shared" si="78"/>
        <v>0</v>
      </c>
      <c r="P173" s="807">
        <f t="shared" si="78"/>
        <v>0</v>
      </c>
      <c r="Q173" s="807">
        <f t="shared" si="78"/>
        <v>0</v>
      </c>
      <c r="R173" s="456"/>
    </row>
    <row r="174" spans="2:18">
      <c r="B174" s="495" t="s">
        <v>275</v>
      </c>
      <c r="C174" s="806"/>
      <c r="D174" s="806"/>
      <c r="E174" s="806"/>
      <c r="F174" s="806"/>
      <c r="G174" s="806"/>
      <c r="H174" s="806"/>
      <c r="I174" s="806">
        <f>IFERROR(I172/I170,0)</f>
        <v>0</v>
      </c>
      <c r="J174" s="806">
        <f>IFERROR(J172/J170,0)</f>
        <v>0</v>
      </c>
      <c r="K174" s="806"/>
      <c r="L174" s="806">
        <f t="shared" ref="L174:Q174" si="79">IFERROR(L172/L170,0)</f>
        <v>0</v>
      </c>
      <c r="M174" s="806">
        <f t="shared" si="79"/>
        <v>0</v>
      </c>
      <c r="N174" s="806">
        <f t="shared" si="79"/>
        <v>0</v>
      </c>
      <c r="O174" s="807">
        <f>IFERROR(O172/O170,0)</f>
        <v>40934.799999999996</v>
      </c>
      <c r="P174" s="807">
        <f t="shared" si="79"/>
        <v>54579.733333333323</v>
      </c>
      <c r="Q174" s="807">
        <f t="shared" si="79"/>
        <v>54579.733333333323</v>
      </c>
      <c r="R174" s="456"/>
    </row>
    <row r="175" spans="2:18">
      <c r="B175" s="4" t="s">
        <v>266</v>
      </c>
      <c r="C175" s="806"/>
      <c r="D175" s="806"/>
      <c r="E175" s="806"/>
      <c r="F175" s="806"/>
      <c r="G175" s="806"/>
      <c r="H175" s="806"/>
      <c r="I175" s="806">
        <f t="shared" ref="I175:J176" si="80">I170-H170</f>
        <v>0</v>
      </c>
      <c r="J175" s="806">
        <f t="shared" si="80"/>
        <v>0</v>
      </c>
      <c r="K175" s="807">
        <f>M170-J170</f>
        <v>0</v>
      </c>
      <c r="L175" s="806">
        <v>0</v>
      </c>
      <c r="M175" s="806">
        <f>M170-L170</f>
        <v>0</v>
      </c>
      <c r="N175" s="806">
        <f>N170-M170</f>
        <v>0</v>
      </c>
      <c r="O175" s="807">
        <f t="shared" ref="O175:Q176" si="81">O170-N170</f>
        <v>1</v>
      </c>
      <c r="P175" s="807">
        <f t="shared" si="81"/>
        <v>0</v>
      </c>
      <c r="Q175" s="807">
        <f t="shared" si="81"/>
        <v>0</v>
      </c>
      <c r="R175" s="456"/>
    </row>
    <row r="176" spans="2:18">
      <c r="B176" s="4" t="s">
        <v>268</v>
      </c>
      <c r="C176" s="806"/>
      <c r="D176" s="806"/>
      <c r="E176" s="806"/>
      <c r="F176" s="806"/>
      <c r="G176" s="806"/>
      <c r="H176" s="806"/>
      <c r="I176" s="806">
        <f>I171-H171</f>
        <v>0</v>
      </c>
      <c r="J176" s="806">
        <f t="shared" si="80"/>
        <v>0</v>
      </c>
      <c r="K176" s="807">
        <f t="shared" ref="K176:K178" si="82">M171-J171</f>
        <v>0</v>
      </c>
      <c r="L176" s="806">
        <v>0</v>
      </c>
      <c r="M176" s="806">
        <f t="shared" ref="M176:Q179" si="83">M171-L171</f>
        <v>0</v>
      </c>
      <c r="N176" s="806">
        <f t="shared" si="83"/>
        <v>0</v>
      </c>
      <c r="O176" s="807">
        <f t="shared" si="83"/>
        <v>0</v>
      </c>
      <c r="P176" s="807">
        <f>P171-O171</f>
        <v>0</v>
      </c>
      <c r="Q176" s="807">
        <f t="shared" si="81"/>
        <v>0</v>
      </c>
      <c r="R176" s="456"/>
    </row>
    <row r="177" spans="2:20">
      <c r="B177" s="4" t="s">
        <v>276</v>
      </c>
      <c r="C177" s="806"/>
      <c r="D177" s="806"/>
      <c r="E177" s="806"/>
      <c r="F177" s="806"/>
      <c r="G177" s="806"/>
      <c r="H177" s="806"/>
      <c r="I177" s="806">
        <f t="shared" ref="I177:J177" si="84">I172-H172</f>
        <v>0</v>
      </c>
      <c r="J177" s="806">
        <f t="shared" si="84"/>
        <v>0</v>
      </c>
      <c r="K177" s="807">
        <f t="shared" si="82"/>
        <v>0</v>
      </c>
      <c r="L177" s="806">
        <v>0</v>
      </c>
      <c r="M177" s="806">
        <f t="shared" si="83"/>
        <v>0</v>
      </c>
      <c r="N177" s="806">
        <f t="shared" si="83"/>
        <v>0</v>
      </c>
      <c r="O177" s="807">
        <f>O172-N172</f>
        <v>40934.799999999996</v>
      </c>
      <c r="P177" s="807">
        <f>P172-O172</f>
        <v>13644.933333333327</v>
      </c>
      <c r="Q177" s="807">
        <f t="shared" si="83"/>
        <v>0</v>
      </c>
      <c r="R177" s="456"/>
    </row>
    <row r="178" spans="2:20">
      <c r="B178" s="495" t="s">
        <v>274</v>
      </c>
      <c r="C178" s="806"/>
      <c r="D178" s="806"/>
      <c r="E178" s="806"/>
      <c r="F178" s="806"/>
      <c r="G178" s="806"/>
      <c r="H178" s="806"/>
      <c r="I178" s="806">
        <f>IFERROR(I173/H168,0)</f>
        <v>0</v>
      </c>
      <c r="J178" s="806">
        <f>IFERROR(J173/I168,0)</f>
        <v>0</v>
      </c>
      <c r="K178" s="807">
        <f t="shared" si="82"/>
        <v>0</v>
      </c>
      <c r="L178" s="806">
        <v>0</v>
      </c>
      <c r="M178" s="806">
        <f t="shared" si="83"/>
        <v>0</v>
      </c>
      <c r="N178" s="806">
        <f t="shared" si="83"/>
        <v>0</v>
      </c>
      <c r="O178" s="807">
        <f t="shared" si="83"/>
        <v>0</v>
      </c>
      <c r="P178" s="807">
        <f t="shared" si="83"/>
        <v>0</v>
      </c>
      <c r="Q178" s="807">
        <f t="shared" si="83"/>
        <v>0</v>
      </c>
      <c r="R178" s="456"/>
    </row>
    <row r="179" spans="2:20">
      <c r="B179" s="495" t="s">
        <v>277</v>
      </c>
      <c r="C179" s="806"/>
      <c r="D179" s="806"/>
      <c r="E179" s="806"/>
      <c r="F179" s="806"/>
      <c r="G179" s="806"/>
      <c r="H179" s="806"/>
      <c r="I179" s="806">
        <f t="shared" ref="I179:J179" si="85">IFERROR(I174/H169,0)</f>
        <v>0</v>
      </c>
      <c r="J179" s="806">
        <f t="shared" si="85"/>
        <v>0</v>
      </c>
      <c r="K179" s="807">
        <f>M174-J174</f>
        <v>0</v>
      </c>
      <c r="L179" s="806">
        <v>0</v>
      </c>
      <c r="M179" s="806">
        <f t="shared" si="83"/>
        <v>0</v>
      </c>
      <c r="N179" s="806">
        <f t="shared" si="83"/>
        <v>0</v>
      </c>
      <c r="O179" s="807">
        <f t="shared" si="83"/>
        <v>40934.799999999996</v>
      </c>
      <c r="P179" s="807">
        <f t="shared" si="83"/>
        <v>13644.933333333327</v>
      </c>
      <c r="Q179" s="807">
        <f t="shared" si="83"/>
        <v>0</v>
      </c>
      <c r="R179" s="456"/>
      <c r="T179" s="443"/>
    </row>
    <row r="180" spans="2:20">
      <c r="B180" s="4" t="s">
        <v>267</v>
      </c>
      <c r="C180" s="377"/>
      <c r="D180" s="376"/>
      <c r="E180" s="377"/>
      <c r="F180" s="376"/>
      <c r="G180" s="377"/>
      <c r="H180" s="376"/>
      <c r="I180" s="376">
        <f t="shared" ref="I180:K181" si="86">IFERROR(I175/H170,0)</f>
        <v>0</v>
      </c>
      <c r="J180" s="376">
        <f t="shared" si="86"/>
        <v>0</v>
      </c>
      <c r="K180" s="376">
        <f t="shared" si="86"/>
        <v>0</v>
      </c>
      <c r="L180" s="376">
        <f>IFERROR(L175/J170,0)</f>
        <v>0</v>
      </c>
      <c r="M180" s="376">
        <f t="shared" ref="M180:Q181" si="87">IFERROR(M175/L170,0)</f>
        <v>0</v>
      </c>
      <c r="N180" s="376">
        <f t="shared" si="87"/>
        <v>0</v>
      </c>
      <c r="O180" s="376">
        <f t="shared" si="87"/>
        <v>0</v>
      </c>
      <c r="P180" s="376">
        <f t="shared" si="87"/>
        <v>0</v>
      </c>
      <c r="Q180" s="376">
        <f t="shared" si="87"/>
        <v>0</v>
      </c>
      <c r="R180" s="456"/>
    </row>
    <row r="181" spans="2:20">
      <c r="B181" s="4" t="s">
        <v>269</v>
      </c>
      <c r="C181" s="377"/>
      <c r="D181" s="376"/>
      <c r="E181" s="377"/>
      <c r="F181" s="376"/>
      <c r="G181" s="377"/>
      <c r="H181" s="376"/>
      <c r="I181" s="376">
        <f t="shared" si="86"/>
        <v>0</v>
      </c>
      <c r="J181" s="376">
        <f t="shared" si="86"/>
        <v>0</v>
      </c>
      <c r="K181" s="376">
        <f t="shared" si="86"/>
        <v>0</v>
      </c>
      <c r="L181" s="376">
        <f>IFERROR(L176/J171,0)</f>
        <v>0</v>
      </c>
      <c r="M181" s="376">
        <f t="shared" si="87"/>
        <v>0</v>
      </c>
      <c r="N181" s="376">
        <f t="shared" si="87"/>
        <v>0</v>
      </c>
      <c r="O181" s="376">
        <f t="shared" si="87"/>
        <v>0</v>
      </c>
      <c r="P181" s="376">
        <f t="shared" si="87"/>
        <v>0</v>
      </c>
      <c r="Q181" s="376">
        <f t="shared" si="87"/>
        <v>0</v>
      </c>
      <c r="R181" s="456"/>
    </row>
    <row r="182" spans="2:20">
      <c r="B182" s="4" t="s">
        <v>278</v>
      </c>
      <c r="C182" s="377"/>
      <c r="D182" s="376"/>
      <c r="E182" s="377"/>
      <c r="F182" s="376"/>
      <c r="G182" s="377"/>
      <c r="H182" s="376"/>
      <c r="I182" s="376">
        <f t="shared" ref="I182:Q184" si="88">IFERROR(I177/H172,0)</f>
        <v>0</v>
      </c>
      <c r="J182" s="376">
        <f t="shared" si="88"/>
        <v>0</v>
      </c>
      <c r="K182" s="376">
        <f t="shared" si="88"/>
        <v>0</v>
      </c>
      <c r="L182" s="376">
        <f>IFERROR(L177/J172,0)</f>
        <v>0</v>
      </c>
      <c r="M182" s="376">
        <f t="shared" si="88"/>
        <v>0</v>
      </c>
      <c r="N182" s="376">
        <f t="shared" si="88"/>
        <v>0</v>
      </c>
      <c r="O182" s="376">
        <f t="shared" si="88"/>
        <v>0</v>
      </c>
      <c r="P182" s="376">
        <f t="shared" si="88"/>
        <v>0.3333333333333332</v>
      </c>
      <c r="Q182" s="376">
        <f t="shared" si="88"/>
        <v>0</v>
      </c>
      <c r="R182" s="456"/>
    </row>
    <row r="183" spans="2:20">
      <c r="B183" s="495" t="s">
        <v>271</v>
      </c>
      <c r="C183" s="377"/>
      <c r="D183" s="376"/>
      <c r="E183" s="377"/>
      <c r="F183" s="376"/>
      <c r="G183" s="377"/>
      <c r="H183" s="376"/>
      <c r="I183" s="376">
        <f t="shared" si="88"/>
        <v>0</v>
      </c>
      <c r="J183" s="376">
        <f t="shared" si="88"/>
        <v>0</v>
      </c>
      <c r="K183" s="376">
        <f t="shared" si="88"/>
        <v>0</v>
      </c>
      <c r="L183" s="376">
        <f>IFERROR(L178/J173,0)</f>
        <v>0</v>
      </c>
      <c r="M183" s="376">
        <f t="shared" si="88"/>
        <v>0</v>
      </c>
      <c r="N183" s="376">
        <f t="shared" si="88"/>
        <v>0</v>
      </c>
      <c r="O183" s="376">
        <f t="shared" si="88"/>
        <v>0</v>
      </c>
      <c r="P183" s="376">
        <f t="shared" si="88"/>
        <v>0</v>
      </c>
      <c r="Q183" s="376">
        <f t="shared" si="88"/>
        <v>0</v>
      </c>
      <c r="R183" s="456"/>
    </row>
    <row r="184" spans="2:20" ht="13.8" thickBot="1">
      <c r="B184" s="666" t="s">
        <v>279</v>
      </c>
      <c r="C184" s="803"/>
      <c r="D184" s="766"/>
      <c r="E184" s="803"/>
      <c r="F184" s="766"/>
      <c r="G184" s="803"/>
      <c r="H184" s="766"/>
      <c r="I184" s="766">
        <f t="shared" si="88"/>
        <v>0</v>
      </c>
      <c r="J184" s="766">
        <f t="shared" si="88"/>
        <v>0</v>
      </c>
      <c r="K184" s="766">
        <f t="shared" si="88"/>
        <v>0</v>
      </c>
      <c r="L184" s="766">
        <f>IFERROR(L179/J174,0)</f>
        <v>0</v>
      </c>
      <c r="M184" s="766">
        <f t="shared" si="88"/>
        <v>0</v>
      </c>
      <c r="N184" s="766">
        <f t="shared" si="88"/>
        <v>0</v>
      </c>
      <c r="O184" s="766">
        <f t="shared" si="88"/>
        <v>0</v>
      </c>
      <c r="P184" s="766">
        <f t="shared" si="88"/>
        <v>0.3333333333333332</v>
      </c>
      <c r="Q184" s="766">
        <f t="shared" si="88"/>
        <v>0</v>
      </c>
      <c r="R184" s="456"/>
    </row>
    <row r="185" spans="2:20">
      <c r="B185" s="179" t="s">
        <v>65</v>
      </c>
      <c r="C185" s="255"/>
      <c r="D185" s="255"/>
      <c r="E185" s="255"/>
      <c r="F185" s="255"/>
      <c r="G185" s="253"/>
      <c r="H185" s="255"/>
      <c r="I185" s="255"/>
      <c r="J185" s="255"/>
      <c r="K185" s="255"/>
      <c r="L185" s="255"/>
      <c r="M185" s="255"/>
      <c r="N185" s="773"/>
      <c r="O185" s="773"/>
      <c r="P185" s="773"/>
      <c r="Q185" s="773"/>
    </row>
    <row r="186" spans="2:20">
      <c r="B186" t="s">
        <v>143</v>
      </c>
      <c r="C186" s="776"/>
      <c r="D186" s="776"/>
      <c r="E186" s="776"/>
      <c r="F186" s="776"/>
      <c r="G186" s="776"/>
      <c r="H186" s="776"/>
      <c r="I186" s="776">
        <f>SUM(I106,I90,I74,I58,I45,I35,I25,I128,I144,I154,I170)</f>
        <v>130313.33333333333</v>
      </c>
      <c r="J186" s="776">
        <f t="shared" ref="J186:P186" si="89">SUM(J106,J90,J74,J58,J45,J35,J25,J128,J144,J154,J170)</f>
        <v>132489.16666666669</v>
      </c>
      <c r="K186" s="776">
        <f t="shared" si="89"/>
        <v>0</v>
      </c>
      <c r="L186" s="776">
        <f>SUM(L106,L90,L74,L58,L45,L35,L25,L128,L144,L154,L170)</f>
        <v>134539.11991852472</v>
      </c>
      <c r="M186" s="776">
        <f t="shared" si="89"/>
        <v>136118.5</v>
      </c>
      <c r="N186" s="776">
        <f t="shared" si="89"/>
        <v>139740</v>
      </c>
      <c r="O186" s="776">
        <f t="shared" si="89"/>
        <v>143969.91666666669</v>
      </c>
      <c r="P186" s="776">
        <f t="shared" si="89"/>
        <v>147788.07161511492</v>
      </c>
      <c r="Q186" s="776">
        <f>SUM(Q106,Q90,Q74,Q58,Q45,Q35,Q25,Q128,Q144,Q154,Q170)</f>
        <v>151708.41850582566</v>
      </c>
    </row>
    <row r="187" spans="2:20">
      <c r="B187" t="s">
        <v>145</v>
      </c>
      <c r="C187" s="776"/>
      <c r="D187" s="776"/>
      <c r="E187" s="776"/>
      <c r="F187" s="776"/>
      <c r="G187" s="776"/>
      <c r="H187" s="776"/>
      <c r="I187" s="776">
        <f>SUM(I46,I108)</f>
        <v>21744.909141258118</v>
      </c>
      <c r="J187" s="776">
        <f t="shared" ref="J187:Q187" si="90">SUM(J46,J108)</f>
        <v>21983.721096265836</v>
      </c>
      <c r="K187" s="776">
        <f t="shared" si="90"/>
        <v>0</v>
      </c>
      <c r="L187" s="776">
        <f>SUM(L46,L108)</f>
        <v>22519.280909620047</v>
      </c>
      <c r="M187" s="776">
        <f t="shared" si="90"/>
        <v>22372.089232828359</v>
      </c>
      <c r="N187" s="776">
        <f t="shared" si="90"/>
        <v>22783.503098481306</v>
      </c>
      <c r="O187" s="776">
        <f t="shared" si="90"/>
        <v>23204.294472241156</v>
      </c>
      <c r="P187" s="776">
        <f t="shared" si="90"/>
        <v>23547.606208434387</v>
      </c>
      <c r="Q187" s="776">
        <f t="shared" si="90"/>
        <v>23896.281680722986</v>
      </c>
    </row>
    <row r="188" spans="2:20">
      <c r="B188" t="s">
        <v>144</v>
      </c>
      <c r="C188" s="814"/>
      <c r="D188" s="814"/>
      <c r="E188" s="814"/>
      <c r="F188" s="814"/>
      <c r="G188" s="814"/>
      <c r="H188" s="814"/>
      <c r="I188" s="814">
        <f>SUM(I109,I91,I75,I59,I47,I36,I26,I129,I145,I171,)</f>
        <v>3691175090.9495511</v>
      </c>
      <c r="J188" s="814">
        <f t="shared" ref="J188:P188" si="91">SUM(J109,J91,J75,J59,J47,J36,J26,J129,J145,J171,)</f>
        <v>3841597426.3170657</v>
      </c>
      <c r="K188" s="814">
        <f t="shared" si="91"/>
        <v>0</v>
      </c>
      <c r="L188" s="814">
        <f t="shared" si="91"/>
        <v>3850115760.1599708</v>
      </c>
      <c r="M188" s="814">
        <f t="shared" si="91"/>
        <v>3892531316.6164117</v>
      </c>
      <c r="N188" s="814">
        <f t="shared" si="91"/>
        <v>3944753798.1805282</v>
      </c>
      <c r="O188" s="814">
        <f t="shared" si="91"/>
        <v>3898662656.8599224</v>
      </c>
      <c r="P188" s="814">
        <f t="shared" si="91"/>
        <v>3879975810.4150286</v>
      </c>
      <c r="Q188" s="814">
        <f>SUM(Q109,Q91,Q75,Q59,Q47,Q36,Q26,Q129,Q145,Q171,)</f>
        <v>3972635062.5123029</v>
      </c>
    </row>
    <row r="189" spans="2:20">
      <c r="B189" t="s">
        <v>149</v>
      </c>
      <c r="C189" s="776"/>
      <c r="D189" s="776"/>
      <c r="E189" s="776"/>
      <c r="F189" s="776"/>
      <c r="G189" s="776"/>
      <c r="H189" s="776"/>
      <c r="I189" s="776">
        <f t="shared" ref="I189:Q189" si="92">SUM(I110,I92,I76,I60,I130,I156,I172)</f>
        <v>5767053.2428114405</v>
      </c>
      <c r="J189" s="776">
        <f t="shared" si="92"/>
        <v>5837750.6050117146</v>
      </c>
      <c r="K189" s="776">
        <f t="shared" si="92"/>
        <v>0</v>
      </c>
      <c r="L189" s="776">
        <f>SUM(L110,L92,L76,L60,L130,L156,L172)</f>
        <v>5891392.6703263316</v>
      </c>
      <c r="M189" s="776">
        <f t="shared" si="92"/>
        <v>5895836.1207171194</v>
      </c>
      <c r="N189" s="776">
        <f t="shared" si="92"/>
        <v>5965655.501223065</v>
      </c>
      <c r="O189" s="776">
        <f>SUM(O110,O92,O76,O60,O130,O156,O172)</f>
        <v>5995497.8758870559</v>
      </c>
      <c r="P189" s="776">
        <f t="shared" si="92"/>
        <v>5823957.4152080705</v>
      </c>
      <c r="Q189" s="776">
        <f t="shared" si="92"/>
        <v>5864284.2534289686</v>
      </c>
    </row>
    <row r="190" spans="2:20" ht="13.8" thickBot="1">
      <c r="B190" s="25"/>
      <c r="C190" s="774"/>
      <c r="D190" s="774"/>
      <c r="E190" s="774"/>
      <c r="F190" s="774"/>
      <c r="G190" s="774"/>
      <c r="H190" s="774"/>
      <c r="I190" s="774"/>
      <c r="J190" s="774"/>
      <c r="K190" s="774"/>
      <c r="L190" s="774"/>
      <c r="M190" s="774"/>
      <c r="N190" s="775"/>
      <c r="O190" s="775"/>
      <c r="P190" s="775"/>
      <c r="Q190" s="775"/>
    </row>
    <row r="191" spans="2:20">
      <c r="C191" s="253"/>
      <c r="D191" s="253"/>
      <c r="E191" s="253"/>
      <c r="F191" s="253"/>
      <c r="G191" s="253"/>
      <c r="H191" s="253"/>
      <c r="I191" s="253"/>
      <c r="J191" s="253"/>
      <c r="K191" s="253"/>
      <c r="L191" s="253"/>
      <c r="M191" s="253"/>
      <c r="N191" s="772"/>
      <c r="O191" s="773"/>
      <c r="P191" s="773"/>
      <c r="Q191" s="773"/>
    </row>
    <row r="192" spans="2:20">
      <c r="C192" s="253"/>
      <c r="D192" s="253"/>
      <c r="E192" s="253"/>
      <c r="F192" s="253"/>
      <c r="G192" s="253"/>
      <c r="H192" s="253"/>
      <c r="I192" s="253"/>
      <c r="J192" s="253"/>
      <c r="K192" s="253"/>
      <c r="L192" s="253"/>
      <c r="M192" s="253"/>
      <c r="N192" s="772"/>
      <c r="O192" s="773"/>
      <c r="P192" s="773"/>
      <c r="Q192" s="773"/>
    </row>
    <row r="193" spans="3:17">
      <c r="C193" s="253"/>
      <c r="D193" s="253"/>
      <c r="E193" s="253"/>
      <c r="F193" s="253"/>
      <c r="G193" s="253"/>
      <c r="H193" s="253"/>
      <c r="I193" s="253"/>
      <c r="J193" s="253"/>
      <c r="K193" s="253"/>
      <c r="L193" s="253"/>
      <c r="M193" s="776"/>
      <c r="N193" s="776"/>
      <c r="O193" s="776"/>
      <c r="P193" s="776"/>
      <c r="Q193" s="776"/>
    </row>
    <row r="194" spans="3:17">
      <c r="C194" s="253"/>
      <c r="D194" s="253"/>
      <c r="E194" s="253"/>
      <c r="F194" s="253"/>
      <c r="G194" s="253"/>
      <c r="H194" s="253"/>
      <c r="I194" s="253"/>
      <c r="J194" s="253"/>
      <c r="K194" s="253"/>
      <c r="L194" s="253"/>
      <c r="M194" s="776"/>
      <c r="N194" s="776"/>
      <c r="O194" s="776"/>
      <c r="P194" s="776"/>
      <c r="Q194" s="776"/>
    </row>
    <row r="195" spans="3:17">
      <c r="C195" s="253"/>
      <c r="D195" s="253"/>
      <c r="E195" s="253"/>
      <c r="F195" s="253"/>
      <c r="G195" s="2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</row>
    <row r="196" spans="3:17">
      <c r="C196" s="253"/>
      <c r="D196" s="253"/>
      <c r="E196" s="253"/>
      <c r="F196" s="253"/>
      <c r="G196" s="253"/>
      <c r="H196" s="253"/>
      <c r="I196" s="253"/>
      <c r="J196" s="253"/>
      <c r="K196" s="253"/>
      <c r="L196" s="253"/>
      <c r="M196" s="253"/>
      <c r="N196" s="777"/>
      <c r="O196" s="253"/>
      <c r="P196" s="778"/>
      <c r="Q196" s="776"/>
    </row>
    <row r="197" spans="3:17">
      <c r="C197" s="253"/>
      <c r="D197" s="253"/>
      <c r="E197" s="253"/>
      <c r="F197" s="253"/>
      <c r="G197" s="253"/>
      <c r="H197" s="253"/>
      <c r="I197" s="253"/>
      <c r="J197" s="253"/>
      <c r="K197" s="253"/>
      <c r="L197" s="253"/>
      <c r="M197" s="253"/>
      <c r="N197" s="779"/>
      <c r="O197" s="253"/>
      <c r="P197" s="253"/>
      <c r="Q197" s="776"/>
    </row>
    <row r="198" spans="3:17">
      <c r="C198" s="253"/>
      <c r="D198" s="253"/>
      <c r="E198" s="253"/>
      <c r="F198" s="253"/>
      <c r="G198" s="253"/>
      <c r="H198" s="253"/>
      <c r="I198" s="253"/>
      <c r="J198" s="253"/>
      <c r="K198" s="253"/>
      <c r="L198" s="253"/>
      <c r="M198" s="777"/>
      <c r="N198" s="777"/>
      <c r="O198" s="253"/>
      <c r="P198" s="253"/>
      <c r="Q198" s="253"/>
    </row>
    <row r="199" spans="3:17">
      <c r="C199" s="253"/>
      <c r="D199" s="253"/>
      <c r="E199" s="253"/>
      <c r="F199" s="253"/>
      <c r="G199" s="253"/>
      <c r="H199" s="253"/>
      <c r="I199" s="253"/>
      <c r="J199" s="253"/>
      <c r="K199" s="253"/>
      <c r="L199" s="253"/>
      <c r="M199" s="777"/>
      <c r="N199" s="777"/>
      <c r="O199" s="253"/>
      <c r="P199" s="253"/>
      <c r="Q199" s="255"/>
    </row>
    <row r="200" spans="3:17">
      <c r="C200" s="253"/>
      <c r="D200" s="253"/>
      <c r="E200" s="253"/>
      <c r="F200" s="253"/>
      <c r="G200" s="253"/>
      <c r="H200" s="253"/>
      <c r="I200" s="253"/>
      <c r="J200" s="253"/>
      <c r="K200" s="253"/>
      <c r="L200" s="253"/>
      <c r="M200" s="777"/>
      <c r="N200" s="777"/>
      <c r="O200" s="253"/>
      <c r="P200" s="253"/>
      <c r="Q200" s="253"/>
    </row>
    <row r="201" spans="3:17">
      <c r="C201" s="253"/>
      <c r="D201" s="253"/>
      <c r="E201" s="253"/>
      <c r="F201" s="253"/>
      <c r="G201" s="253"/>
      <c r="H201" s="253"/>
      <c r="I201" s="253"/>
      <c r="J201" s="253"/>
      <c r="K201" s="253"/>
      <c r="L201" s="253"/>
      <c r="M201" s="777"/>
      <c r="N201" s="777"/>
      <c r="O201" s="253"/>
      <c r="P201" s="253"/>
      <c r="Q201" s="253"/>
    </row>
    <row r="202" spans="3:17">
      <c r="C202" s="253"/>
      <c r="D202" s="253"/>
      <c r="E202" s="253"/>
      <c r="F202" s="253"/>
      <c r="G202" s="253"/>
      <c r="H202" s="253"/>
      <c r="I202" s="253"/>
      <c r="J202" s="253"/>
      <c r="K202" s="253"/>
      <c r="L202" s="253"/>
      <c r="M202" s="777"/>
      <c r="N202" s="777"/>
      <c r="O202" s="253"/>
      <c r="P202" s="253"/>
      <c r="Q202" s="253"/>
    </row>
    <row r="203" spans="3:17">
      <c r="C203" s="253"/>
      <c r="D203" s="253"/>
      <c r="E203" s="253"/>
      <c r="F203" s="253"/>
      <c r="G203" s="253"/>
      <c r="H203" s="253"/>
      <c r="I203" s="253"/>
      <c r="J203" s="253"/>
      <c r="K203" s="253"/>
      <c r="L203" s="253"/>
      <c r="M203" s="777"/>
      <c r="N203" s="777"/>
      <c r="O203" s="253"/>
      <c r="P203" s="253"/>
      <c r="Q203" s="253"/>
    </row>
    <row r="204" spans="3:17">
      <c r="C204" s="253"/>
      <c r="D204" s="253"/>
      <c r="E204" s="253"/>
      <c r="F204" s="253"/>
      <c r="G204" s="253"/>
      <c r="H204" s="253"/>
      <c r="I204" s="253"/>
      <c r="J204" s="253"/>
      <c r="K204" s="253"/>
      <c r="L204" s="253"/>
      <c r="M204" s="777"/>
      <c r="N204" s="777"/>
      <c r="O204" s="253"/>
      <c r="P204" s="253"/>
      <c r="Q204" s="253"/>
    </row>
    <row r="205" spans="3:17">
      <c r="C205" s="253"/>
      <c r="D205" s="253"/>
      <c r="E205" s="253"/>
      <c r="F205" s="253"/>
      <c r="G205" s="253"/>
      <c r="H205" s="253"/>
      <c r="I205" s="253"/>
      <c r="J205" s="253"/>
      <c r="K205" s="253"/>
      <c r="L205" s="253"/>
      <c r="M205" s="777"/>
      <c r="N205" s="777"/>
      <c r="O205" s="253"/>
      <c r="P205" s="253"/>
      <c r="Q205" s="253"/>
    </row>
    <row r="206" spans="3:17">
      <c r="C206" s="253"/>
      <c r="D206" s="253"/>
      <c r="E206" s="253"/>
      <c r="F206" s="253"/>
      <c r="G206" s="253"/>
      <c r="H206" s="253"/>
      <c r="I206" s="253"/>
      <c r="J206" s="253"/>
      <c r="K206" s="253"/>
      <c r="L206" s="253"/>
      <c r="M206" s="780"/>
      <c r="N206" s="780"/>
      <c r="O206" s="776"/>
      <c r="P206" s="776"/>
      <c r="Q206" s="776"/>
    </row>
  </sheetData>
  <pageMargins left="0.70866141732283472" right="0.70866141732283472" top="0.74803149606299213" bottom="0.74803149606299213" header="0.31496062992125984" footer="0.31496062992125984"/>
  <pageSetup scale="65" orientation="landscape" r:id="rId1"/>
  <ignoredErrors>
    <ignoredError sqref="M45:Q45 L15:O15 J15 I45:J45 M144:O144 M107:O107 B107 I107:J107" formulaRange="1"/>
    <ignoredError sqref="L164:L169 L173:L184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00B050"/>
  </sheetPr>
  <dimension ref="A1:AH420"/>
  <sheetViews>
    <sheetView showGridLines="0" zoomScaleNormal="100" workbookViewId="0">
      <pane xSplit="2" ySplit="2" topLeftCell="S3" activePane="bottomRight" state="frozen"/>
      <selection activeCell="H9" sqref="H9"/>
      <selection pane="topRight" activeCell="H9" sqref="H9"/>
      <selection pane="bottomLeft" activeCell="H9" sqref="H9"/>
      <selection pane="bottomRight" activeCell="D24" sqref="D24"/>
    </sheetView>
  </sheetViews>
  <sheetFormatPr defaultRowHeight="13.2" outlineLevelCol="1"/>
  <cols>
    <col min="1" max="1" width="1.5546875" customWidth="1" outlineLevel="1"/>
    <col min="2" max="2" width="9.33203125" customWidth="1" outlineLevel="1"/>
    <col min="3" max="3" width="10.88671875" customWidth="1" outlineLevel="1"/>
    <col min="4" max="4" width="15" customWidth="1" outlineLevel="1"/>
    <col min="5" max="5" width="13.33203125" customWidth="1" outlineLevel="1"/>
    <col min="6" max="6" width="10.44140625" customWidth="1" outlineLevel="1"/>
    <col min="7" max="7" width="11.33203125" customWidth="1" outlineLevel="1"/>
    <col min="8" max="8" width="15.88671875" customWidth="1" outlineLevel="1"/>
    <col min="9" max="9" width="1.6640625" customWidth="1" outlineLevel="1"/>
    <col min="10" max="10" width="1.5546875" customWidth="1" outlineLevel="1"/>
    <col min="11" max="11" width="11" customWidth="1" outlineLevel="1"/>
    <col min="12" max="14" width="8.109375" customWidth="1" outlineLevel="1"/>
    <col min="15" max="28" width="7.5546875" customWidth="1" outlineLevel="1"/>
    <col min="29" max="29" width="8.44140625" customWidth="1" outlineLevel="1"/>
    <col min="30" max="31" width="7.5546875" customWidth="1" outlineLevel="1"/>
    <col min="32" max="32" width="5" customWidth="1" outlineLevel="1"/>
    <col min="33" max="33" width="5" bestFit="1" customWidth="1"/>
    <col min="34" max="34" width="9.33203125" customWidth="1"/>
  </cols>
  <sheetData>
    <row r="1" spans="1:34" ht="13.8" thickBot="1">
      <c r="A1" s="5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7"/>
      <c r="AG1" s="1002" t="s">
        <v>14</v>
      </c>
      <c r="AH1" s="1"/>
    </row>
    <row r="2" spans="1:34" ht="13.8" thickBot="1">
      <c r="A2" s="8"/>
      <c r="B2" s="9" t="s">
        <v>15</v>
      </c>
      <c r="C2" s="10" t="s">
        <v>16</v>
      </c>
      <c r="D2" s="10" t="s">
        <v>17</v>
      </c>
      <c r="E2" s="10" t="s">
        <v>18</v>
      </c>
      <c r="F2" s="10" t="s">
        <v>19</v>
      </c>
      <c r="G2" s="10" t="s">
        <v>20</v>
      </c>
      <c r="H2" s="10" t="s">
        <v>21</v>
      </c>
      <c r="I2" s="11"/>
      <c r="J2" s="4"/>
      <c r="K2" s="9"/>
      <c r="L2" s="9">
        <v>1996</v>
      </c>
      <c r="M2" s="10">
        <v>1997</v>
      </c>
      <c r="N2" s="10">
        <v>1998</v>
      </c>
      <c r="O2" s="10">
        <v>1999</v>
      </c>
      <c r="P2" s="10">
        <v>2000</v>
      </c>
      <c r="Q2" s="10">
        <v>2001</v>
      </c>
      <c r="R2" s="10">
        <v>2002</v>
      </c>
      <c r="S2" s="10">
        <v>2003</v>
      </c>
      <c r="T2" s="10">
        <v>2004</v>
      </c>
      <c r="U2" s="10">
        <v>2005</v>
      </c>
      <c r="V2" s="10">
        <v>2006</v>
      </c>
      <c r="W2" s="10">
        <v>2007</v>
      </c>
      <c r="X2" s="10">
        <v>2008</v>
      </c>
      <c r="Y2" s="10">
        <v>2009</v>
      </c>
      <c r="Z2" s="10">
        <v>2010</v>
      </c>
      <c r="AA2" s="10">
        <v>2011</v>
      </c>
      <c r="AB2" s="10">
        <v>2012</v>
      </c>
      <c r="AC2" s="10">
        <v>2013</v>
      </c>
      <c r="AD2" s="11">
        <v>2014</v>
      </c>
      <c r="AE2" s="11">
        <v>2015</v>
      </c>
      <c r="AF2" s="14"/>
      <c r="AG2" s="1003"/>
    </row>
    <row r="3" spans="1:34">
      <c r="A3" s="8"/>
      <c r="B3" s="422">
        <v>35429</v>
      </c>
      <c r="C3" s="423">
        <v>280000</v>
      </c>
      <c r="D3" s="352" t="s">
        <v>22</v>
      </c>
      <c r="E3" s="424"/>
      <c r="F3" s="424"/>
      <c r="G3" s="424"/>
      <c r="H3" s="424"/>
      <c r="I3" s="425"/>
      <c r="J3" s="4"/>
      <c r="K3" s="5" t="s">
        <v>3</v>
      </c>
      <c r="L3" s="464"/>
      <c r="M3" s="166">
        <f>L14+H4</f>
        <v>281000</v>
      </c>
      <c r="N3" s="166">
        <f>M14+$H$4</f>
        <v>293000</v>
      </c>
      <c r="O3" s="166">
        <f>N14+$H$4</f>
        <v>305000</v>
      </c>
      <c r="P3" s="166">
        <f>O14+$H$4</f>
        <v>317000</v>
      </c>
      <c r="Q3" s="166">
        <f>P14+$H$4</f>
        <v>329000</v>
      </c>
      <c r="R3" s="166">
        <f>Q14+$H$5</f>
        <v>341333.33333333331</v>
      </c>
      <c r="S3" s="166">
        <f>R14+$H$6</f>
        <v>357333.33333333308</v>
      </c>
      <c r="T3" s="166">
        <f>S14+$H$7</f>
        <v>373416.66666666622</v>
      </c>
      <c r="U3" s="166">
        <f>T14+$H$8</f>
        <v>390999.99999999977</v>
      </c>
      <c r="V3" s="166">
        <f>U14+$H$9</f>
        <v>414666.66666666645</v>
      </c>
      <c r="W3" s="166">
        <f>V14+$H$10</f>
        <v>434416.66666666669</v>
      </c>
      <c r="X3" s="166">
        <f>W14+$H$11</f>
        <v>451250.00000000023</v>
      </c>
      <c r="Y3" s="166">
        <f>X14+$H$12</f>
        <v>467666.66666666692</v>
      </c>
      <c r="Z3" s="166">
        <f>Y14+$H$13</f>
        <v>497583.33333333378</v>
      </c>
      <c r="AA3" s="166">
        <f>Z14+$H$14</f>
        <v>505659.25000000023</v>
      </c>
      <c r="AB3" s="166">
        <f>AA14+$H$15</f>
        <v>525084.8333333336</v>
      </c>
      <c r="AC3" s="166">
        <f>AB14+$H$16</f>
        <v>539267.7500000007</v>
      </c>
      <c r="AD3" s="166">
        <f>AC14+$H$17</f>
        <v>554324.66666666733</v>
      </c>
      <c r="AE3" s="168">
        <f>AD14+$H$18</f>
        <v>567268.5833333336</v>
      </c>
      <c r="AF3" s="14"/>
      <c r="AG3" s="1003"/>
    </row>
    <row r="4" spans="1:34">
      <c r="A4" s="8"/>
      <c r="B4" s="15">
        <v>37255</v>
      </c>
      <c r="C4" s="16">
        <v>340000</v>
      </c>
      <c r="D4" s="17" t="s">
        <v>22</v>
      </c>
      <c r="E4" s="21">
        <f t="shared" ref="E4:E13" si="0">C4-C3</f>
        <v>60000</v>
      </c>
      <c r="F4" s="4">
        <v>5</v>
      </c>
      <c r="G4" s="4">
        <f>F4*12</f>
        <v>60</v>
      </c>
      <c r="H4" s="22">
        <f t="shared" ref="H4:H13" si="1">E4/G4</f>
        <v>1000</v>
      </c>
      <c r="I4" s="14"/>
      <c r="J4" s="4"/>
      <c r="K4" s="57" t="s">
        <v>4</v>
      </c>
      <c r="L4" s="430"/>
      <c r="M4" s="19">
        <f t="shared" ref="M4:Q13" si="2">M3+$H$4</f>
        <v>282000</v>
      </c>
      <c r="N4" s="19">
        <f t="shared" si="2"/>
        <v>294000</v>
      </c>
      <c r="O4" s="19">
        <f t="shared" si="2"/>
        <v>306000</v>
      </c>
      <c r="P4" s="19">
        <f t="shared" si="2"/>
        <v>318000</v>
      </c>
      <c r="Q4" s="19">
        <f t="shared" si="2"/>
        <v>330000</v>
      </c>
      <c r="R4" s="19">
        <f>R3+$H$5</f>
        <v>342666.66666666663</v>
      </c>
      <c r="S4" s="19">
        <f>S3+$H$6</f>
        <v>358666.6666666664</v>
      </c>
      <c r="T4" s="19">
        <f t="shared" ref="T4:T13" si="3">T3+$H$7</f>
        <v>374833.33333333291</v>
      </c>
      <c r="U4" s="19">
        <f t="shared" ref="U4:U13" si="4">U3+$H$8</f>
        <v>392999.99999999977</v>
      </c>
      <c r="V4" s="19">
        <f t="shared" ref="V4:V13" si="5">V3+$H$9</f>
        <v>416333.33333333314</v>
      </c>
      <c r="W4" s="19">
        <f t="shared" ref="W4:W13" si="6">W3+$H$10</f>
        <v>435833.33333333337</v>
      </c>
      <c r="X4" s="19">
        <f t="shared" ref="X4:X13" si="7">X3+$H$11</f>
        <v>452500.00000000023</v>
      </c>
      <c r="Y4" s="19">
        <f>Y3+$H$12</f>
        <v>470333.3333333336</v>
      </c>
      <c r="Z4" s="19">
        <f>Z3+$H$13</f>
        <v>498166.66666666709</v>
      </c>
      <c r="AA4" s="19">
        <f t="shared" ref="AA4:AA14" si="8">AA3+$H$14</f>
        <v>507318.50000000023</v>
      </c>
      <c r="AB4" s="19">
        <f>AB3+$H$15</f>
        <v>526258.66666666698</v>
      </c>
      <c r="AC4" s="19">
        <f>AC3+$H$16</f>
        <v>540538.5000000007</v>
      </c>
      <c r="AD4" s="19">
        <f>AD3+$H$17</f>
        <v>555403.33333333395</v>
      </c>
      <c r="AE4" s="20">
        <f t="shared" ref="AE4:AE14" si="9">AE3+$H$18</f>
        <v>568347.16666666698</v>
      </c>
      <c r="AF4" s="14"/>
      <c r="AG4" s="1003"/>
    </row>
    <row r="5" spans="1:34">
      <c r="A5" s="8"/>
      <c r="B5" s="15">
        <v>37621</v>
      </c>
      <c r="C5" s="16">
        <v>356000</v>
      </c>
      <c r="D5" s="17" t="s">
        <v>22</v>
      </c>
      <c r="E5" s="21">
        <f t="shared" si="0"/>
        <v>16000</v>
      </c>
      <c r="F5" s="4">
        <v>1</v>
      </c>
      <c r="G5" s="4">
        <f>+F5*12</f>
        <v>12</v>
      </c>
      <c r="H5" s="22">
        <f t="shared" si="1"/>
        <v>1333.3333333333333</v>
      </c>
      <c r="I5" s="14"/>
      <c r="J5" s="4"/>
      <c r="K5" s="57" t="s">
        <v>5</v>
      </c>
      <c r="L5" s="430"/>
      <c r="M5" s="19">
        <f t="shared" si="2"/>
        <v>283000</v>
      </c>
      <c r="N5" s="19">
        <f t="shared" si="2"/>
        <v>295000</v>
      </c>
      <c r="O5" s="19">
        <f t="shared" si="2"/>
        <v>307000</v>
      </c>
      <c r="P5" s="19">
        <f t="shared" si="2"/>
        <v>319000</v>
      </c>
      <c r="Q5" s="19">
        <f t="shared" si="2"/>
        <v>331000</v>
      </c>
      <c r="R5" s="19">
        <f t="shared" ref="R5:R13" si="10">R4+$H$5</f>
        <v>343999.99999999994</v>
      </c>
      <c r="S5" s="19">
        <f t="shared" ref="S5:S13" si="11">S4+$H$6</f>
        <v>359999.99999999971</v>
      </c>
      <c r="T5" s="19">
        <f t="shared" si="3"/>
        <v>376249.99999999959</v>
      </c>
      <c r="U5" s="19">
        <f t="shared" si="4"/>
        <v>394999.99999999977</v>
      </c>
      <c r="V5" s="19">
        <f t="shared" si="5"/>
        <v>417999.99999999983</v>
      </c>
      <c r="W5" s="19">
        <f t="shared" si="6"/>
        <v>437250.00000000006</v>
      </c>
      <c r="X5" s="19">
        <f t="shared" si="7"/>
        <v>453750.00000000023</v>
      </c>
      <c r="Y5" s="19">
        <f t="shared" ref="Y5:Y13" si="12">Y4+$H$12</f>
        <v>473000.00000000029</v>
      </c>
      <c r="Z5" s="19">
        <f t="shared" ref="Z5:Z13" si="13">Z4+$H$13</f>
        <v>498750.00000000041</v>
      </c>
      <c r="AA5" s="19">
        <f t="shared" si="8"/>
        <v>508977.75000000023</v>
      </c>
      <c r="AB5" s="19">
        <f t="shared" ref="AB5:AB14" si="14">AB4+$H$15</f>
        <v>527432.50000000035</v>
      </c>
      <c r="AC5" s="19">
        <f t="shared" ref="AC5:AC14" si="15">AC4+$H$16</f>
        <v>541809.2500000007</v>
      </c>
      <c r="AD5" s="19">
        <f t="shared" ref="AD5:AD12" si="16">AD4+$H$17</f>
        <v>556482.00000000058</v>
      </c>
      <c r="AE5" s="20">
        <f t="shared" si="9"/>
        <v>569425.75000000035</v>
      </c>
      <c r="AF5" s="14"/>
      <c r="AG5" s="1003"/>
    </row>
    <row r="6" spans="1:34">
      <c r="A6" s="8"/>
      <c r="B6" s="15">
        <v>37986</v>
      </c>
      <c r="C6" s="16">
        <v>372000</v>
      </c>
      <c r="D6" s="17" t="s">
        <v>22</v>
      </c>
      <c r="E6" s="21">
        <f t="shared" si="0"/>
        <v>16000</v>
      </c>
      <c r="F6" s="4">
        <v>1</v>
      </c>
      <c r="G6" s="4">
        <f t="shared" ref="G6:G13" si="17">+F6*12</f>
        <v>12</v>
      </c>
      <c r="H6" s="22">
        <f t="shared" si="1"/>
        <v>1333.3333333333333</v>
      </c>
      <c r="I6" s="14"/>
      <c r="J6" s="4"/>
      <c r="K6" s="57" t="s">
        <v>6</v>
      </c>
      <c r="L6" s="430"/>
      <c r="M6" s="19">
        <f t="shared" si="2"/>
        <v>284000</v>
      </c>
      <c r="N6" s="19">
        <f t="shared" si="2"/>
        <v>296000</v>
      </c>
      <c r="O6" s="19">
        <f t="shared" si="2"/>
        <v>308000</v>
      </c>
      <c r="P6" s="19">
        <f t="shared" si="2"/>
        <v>320000</v>
      </c>
      <c r="Q6" s="19">
        <f t="shared" si="2"/>
        <v>332000</v>
      </c>
      <c r="R6" s="19">
        <f t="shared" si="10"/>
        <v>345333.33333333326</v>
      </c>
      <c r="S6" s="19">
        <f t="shared" si="11"/>
        <v>361333.33333333302</v>
      </c>
      <c r="T6" s="19">
        <f t="shared" si="3"/>
        <v>377666.66666666628</v>
      </c>
      <c r="U6" s="19">
        <f t="shared" si="4"/>
        <v>396999.99999999977</v>
      </c>
      <c r="V6" s="19">
        <f t="shared" si="5"/>
        <v>419666.66666666651</v>
      </c>
      <c r="W6" s="19">
        <f t="shared" si="6"/>
        <v>438666.66666666674</v>
      </c>
      <c r="X6" s="19">
        <f t="shared" si="7"/>
        <v>455000.00000000023</v>
      </c>
      <c r="Y6" s="19">
        <f t="shared" si="12"/>
        <v>475666.66666666698</v>
      </c>
      <c r="Z6" s="19">
        <f t="shared" si="13"/>
        <v>499333.33333333372</v>
      </c>
      <c r="AA6" s="19">
        <f t="shared" si="8"/>
        <v>510637.00000000023</v>
      </c>
      <c r="AB6" s="19">
        <f t="shared" si="14"/>
        <v>528606.33333333372</v>
      </c>
      <c r="AC6" s="19">
        <f t="shared" si="15"/>
        <v>543080.0000000007</v>
      </c>
      <c r="AD6" s="19">
        <f t="shared" si="16"/>
        <v>557560.66666666721</v>
      </c>
      <c r="AE6" s="20">
        <f t="shared" si="9"/>
        <v>570504.33333333372</v>
      </c>
      <c r="AF6" s="14"/>
      <c r="AG6" s="1003"/>
    </row>
    <row r="7" spans="1:34">
      <c r="A7" s="8"/>
      <c r="B7" s="15">
        <v>38322</v>
      </c>
      <c r="C7" s="16">
        <v>389000</v>
      </c>
      <c r="D7" s="17" t="s">
        <v>22</v>
      </c>
      <c r="E7" s="21">
        <f t="shared" si="0"/>
        <v>17000</v>
      </c>
      <c r="F7" s="4">
        <v>1</v>
      </c>
      <c r="G7" s="4">
        <f t="shared" si="17"/>
        <v>12</v>
      </c>
      <c r="H7" s="22">
        <f t="shared" si="1"/>
        <v>1416.6666666666667</v>
      </c>
      <c r="I7" s="14"/>
      <c r="J7" s="4"/>
      <c r="K7" s="57" t="s">
        <v>7</v>
      </c>
      <c r="L7" s="430"/>
      <c r="M7" s="19">
        <f t="shared" si="2"/>
        <v>285000</v>
      </c>
      <c r="N7" s="19">
        <f t="shared" si="2"/>
        <v>297000</v>
      </c>
      <c r="O7" s="19">
        <f t="shared" si="2"/>
        <v>309000</v>
      </c>
      <c r="P7" s="19">
        <f t="shared" si="2"/>
        <v>321000</v>
      </c>
      <c r="Q7" s="19">
        <f t="shared" si="2"/>
        <v>333000</v>
      </c>
      <c r="R7" s="19">
        <f t="shared" si="10"/>
        <v>346666.66666666657</v>
      </c>
      <c r="S7" s="19">
        <f t="shared" si="11"/>
        <v>362666.66666666634</v>
      </c>
      <c r="T7" s="19">
        <f t="shared" si="3"/>
        <v>379083.33333333296</v>
      </c>
      <c r="U7" s="19">
        <f t="shared" si="4"/>
        <v>398999.99999999977</v>
      </c>
      <c r="V7" s="19">
        <f t="shared" si="5"/>
        <v>421333.3333333332</v>
      </c>
      <c r="W7" s="19">
        <f t="shared" si="6"/>
        <v>440083.33333333343</v>
      </c>
      <c r="X7" s="19">
        <f t="shared" si="7"/>
        <v>456250.00000000023</v>
      </c>
      <c r="Y7" s="19">
        <f t="shared" si="12"/>
        <v>478333.33333333366</v>
      </c>
      <c r="Z7" s="19">
        <f t="shared" si="13"/>
        <v>499916.66666666704</v>
      </c>
      <c r="AA7" s="19">
        <f t="shared" si="8"/>
        <v>512296.25000000023</v>
      </c>
      <c r="AB7" s="19">
        <f t="shared" si="14"/>
        <v>529780.16666666709</v>
      </c>
      <c r="AC7" s="19">
        <f t="shared" si="15"/>
        <v>544350.7500000007</v>
      </c>
      <c r="AD7" s="19">
        <f t="shared" si="16"/>
        <v>558639.33333333384</v>
      </c>
      <c r="AE7" s="20">
        <f t="shared" si="9"/>
        <v>571582.91666666709</v>
      </c>
      <c r="AF7" s="14"/>
      <c r="AG7" s="1003"/>
    </row>
    <row r="8" spans="1:34">
      <c r="A8" s="8"/>
      <c r="B8" s="15">
        <v>38687</v>
      </c>
      <c r="C8" s="16">
        <v>413000</v>
      </c>
      <c r="D8" s="399" t="s">
        <v>22</v>
      </c>
      <c r="E8" s="21">
        <f t="shared" si="0"/>
        <v>24000</v>
      </c>
      <c r="F8" s="4">
        <v>1</v>
      </c>
      <c r="G8" s="4">
        <f t="shared" si="17"/>
        <v>12</v>
      </c>
      <c r="H8" s="22">
        <f t="shared" si="1"/>
        <v>2000</v>
      </c>
      <c r="I8" s="14"/>
      <c r="J8" s="4"/>
      <c r="K8" s="57" t="s">
        <v>8</v>
      </c>
      <c r="L8" s="430"/>
      <c r="M8" s="19">
        <f t="shared" si="2"/>
        <v>286000</v>
      </c>
      <c r="N8" s="19">
        <f t="shared" si="2"/>
        <v>298000</v>
      </c>
      <c r="O8" s="19">
        <f t="shared" si="2"/>
        <v>310000</v>
      </c>
      <c r="P8" s="19">
        <f t="shared" si="2"/>
        <v>322000</v>
      </c>
      <c r="Q8" s="19">
        <f t="shared" si="2"/>
        <v>334000</v>
      </c>
      <c r="R8" s="19">
        <f t="shared" si="10"/>
        <v>347999.99999999988</v>
      </c>
      <c r="S8" s="19">
        <f t="shared" si="11"/>
        <v>363999.99999999965</v>
      </c>
      <c r="T8" s="19">
        <f t="shared" si="3"/>
        <v>380499.99999999965</v>
      </c>
      <c r="U8" s="19">
        <f t="shared" si="4"/>
        <v>400999.99999999977</v>
      </c>
      <c r="V8" s="19">
        <f t="shared" si="5"/>
        <v>422999.99999999988</v>
      </c>
      <c r="W8" s="19">
        <f t="shared" si="6"/>
        <v>441500.00000000012</v>
      </c>
      <c r="X8" s="19">
        <f t="shared" si="7"/>
        <v>457500.00000000023</v>
      </c>
      <c r="Y8" s="19">
        <f t="shared" si="12"/>
        <v>481000.00000000035</v>
      </c>
      <c r="Z8" s="19">
        <f t="shared" si="13"/>
        <v>500500.00000000035</v>
      </c>
      <c r="AA8" s="19">
        <f t="shared" si="8"/>
        <v>513955.50000000023</v>
      </c>
      <c r="AB8" s="19">
        <f t="shared" si="14"/>
        <v>530954.00000000047</v>
      </c>
      <c r="AC8" s="19">
        <f t="shared" si="15"/>
        <v>545621.5000000007</v>
      </c>
      <c r="AD8" s="19">
        <f t="shared" si="16"/>
        <v>559718.00000000047</v>
      </c>
      <c r="AE8" s="20">
        <f t="shared" si="9"/>
        <v>572661.50000000047</v>
      </c>
      <c r="AF8" s="14"/>
      <c r="AG8" s="1003"/>
    </row>
    <row r="9" spans="1:34">
      <c r="A9" s="8"/>
      <c r="B9" s="15">
        <v>39052</v>
      </c>
      <c r="C9" s="16">
        <v>433000</v>
      </c>
      <c r="D9" s="17" t="s">
        <v>22</v>
      </c>
      <c r="E9" s="21">
        <f t="shared" si="0"/>
        <v>20000</v>
      </c>
      <c r="F9" s="4">
        <v>1</v>
      </c>
      <c r="G9" s="4">
        <f t="shared" si="17"/>
        <v>12</v>
      </c>
      <c r="H9" s="22">
        <f t="shared" si="1"/>
        <v>1666.6666666666667</v>
      </c>
      <c r="I9" s="14"/>
      <c r="J9" s="4"/>
      <c r="K9" s="57" t="s">
        <v>9</v>
      </c>
      <c r="L9" s="430"/>
      <c r="M9" s="19">
        <f t="shared" si="2"/>
        <v>287000</v>
      </c>
      <c r="N9" s="19">
        <f t="shared" si="2"/>
        <v>299000</v>
      </c>
      <c r="O9" s="19">
        <f t="shared" si="2"/>
        <v>311000</v>
      </c>
      <c r="P9" s="19">
        <f t="shared" si="2"/>
        <v>323000</v>
      </c>
      <c r="Q9" s="19">
        <f t="shared" si="2"/>
        <v>335000</v>
      </c>
      <c r="R9" s="19">
        <f t="shared" si="10"/>
        <v>349333.3333333332</v>
      </c>
      <c r="S9" s="19">
        <f t="shared" si="11"/>
        <v>365333.33333333296</v>
      </c>
      <c r="T9" s="19">
        <f t="shared" si="3"/>
        <v>381916.66666666634</v>
      </c>
      <c r="U9" s="19">
        <f t="shared" si="4"/>
        <v>402999.99999999977</v>
      </c>
      <c r="V9" s="19">
        <f t="shared" si="5"/>
        <v>424666.66666666657</v>
      </c>
      <c r="W9" s="19">
        <f t="shared" si="6"/>
        <v>442916.6666666668</v>
      </c>
      <c r="X9" s="19">
        <f t="shared" si="7"/>
        <v>458750.00000000023</v>
      </c>
      <c r="Y9" s="19">
        <f t="shared" si="12"/>
        <v>483666.66666666704</v>
      </c>
      <c r="Z9" s="19">
        <f t="shared" si="13"/>
        <v>501083.33333333366</v>
      </c>
      <c r="AA9" s="19">
        <f t="shared" si="8"/>
        <v>515614.75000000023</v>
      </c>
      <c r="AB9" s="19">
        <f t="shared" si="14"/>
        <v>532127.83333333384</v>
      </c>
      <c r="AC9" s="19">
        <f t="shared" si="15"/>
        <v>546892.2500000007</v>
      </c>
      <c r="AD9" s="19">
        <f t="shared" si="16"/>
        <v>560796.66666666709</v>
      </c>
      <c r="AE9" s="20">
        <f t="shared" si="9"/>
        <v>573740.08333333384</v>
      </c>
      <c r="AF9" s="14"/>
      <c r="AG9" s="1003"/>
    </row>
    <row r="10" spans="1:34">
      <c r="A10" s="8"/>
      <c r="B10" s="15">
        <v>39417</v>
      </c>
      <c r="C10" s="16">
        <v>450000</v>
      </c>
      <c r="D10" s="17" t="s">
        <v>22</v>
      </c>
      <c r="E10" s="21">
        <f t="shared" si="0"/>
        <v>17000</v>
      </c>
      <c r="F10" s="4">
        <v>1</v>
      </c>
      <c r="G10" s="4">
        <f t="shared" si="17"/>
        <v>12</v>
      </c>
      <c r="H10" s="22">
        <f t="shared" si="1"/>
        <v>1416.6666666666667</v>
      </c>
      <c r="I10" s="14"/>
      <c r="J10" s="4"/>
      <c r="K10" s="57" t="s">
        <v>10</v>
      </c>
      <c r="L10" s="430"/>
      <c r="M10" s="19">
        <f t="shared" si="2"/>
        <v>288000</v>
      </c>
      <c r="N10" s="19">
        <f t="shared" si="2"/>
        <v>300000</v>
      </c>
      <c r="O10" s="19">
        <f t="shared" si="2"/>
        <v>312000</v>
      </c>
      <c r="P10" s="19">
        <f t="shared" si="2"/>
        <v>324000</v>
      </c>
      <c r="Q10" s="19">
        <f t="shared" si="2"/>
        <v>336000</v>
      </c>
      <c r="R10" s="19">
        <f t="shared" si="10"/>
        <v>350666.66666666651</v>
      </c>
      <c r="S10" s="19">
        <f t="shared" si="11"/>
        <v>366666.66666666628</v>
      </c>
      <c r="T10" s="19">
        <f t="shared" si="3"/>
        <v>383333.33333333302</v>
      </c>
      <c r="U10" s="19">
        <f t="shared" si="4"/>
        <v>404999.99999999977</v>
      </c>
      <c r="V10" s="19">
        <f t="shared" si="5"/>
        <v>426333.33333333326</v>
      </c>
      <c r="W10" s="19">
        <f t="shared" si="6"/>
        <v>444333.33333333349</v>
      </c>
      <c r="X10" s="19">
        <f t="shared" si="7"/>
        <v>460000.00000000023</v>
      </c>
      <c r="Y10" s="19">
        <f t="shared" si="12"/>
        <v>486333.33333333372</v>
      </c>
      <c r="Z10" s="19">
        <f t="shared" si="13"/>
        <v>501666.66666666698</v>
      </c>
      <c r="AA10" s="19">
        <f t="shared" si="8"/>
        <v>517274.00000000023</v>
      </c>
      <c r="AB10" s="19">
        <f t="shared" si="14"/>
        <v>533301.66666666721</v>
      </c>
      <c r="AC10" s="19">
        <f t="shared" si="15"/>
        <v>548163.0000000007</v>
      </c>
      <c r="AD10" s="19">
        <f t="shared" si="16"/>
        <v>561875.33333333372</v>
      </c>
      <c r="AE10" s="20">
        <f t="shared" si="9"/>
        <v>574818.66666666721</v>
      </c>
      <c r="AF10" s="14"/>
      <c r="AG10" s="1003"/>
    </row>
    <row r="11" spans="1:34">
      <c r="A11" s="8"/>
      <c r="B11" s="15">
        <v>39783</v>
      </c>
      <c r="C11" s="16">
        <v>465000</v>
      </c>
      <c r="D11" s="17" t="s">
        <v>22</v>
      </c>
      <c r="E11" s="21">
        <f t="shared" si="0"/>
        <v>15000</v>
      </c>
      <c r="F11" s="4">
        <v>1</v>
      </c>
      <c r="G11" s="4">
        <f t="shared" si="17"/>
        <v>12</v>
      </c>
      <c r="H11" s="22">
        <f t="shared" si="1"/>
        <v>1250</v>
      </c>
      <c r="I11" s="14"/>
      <c r="J11" s="4"/>
      <c r="K11" s="57" t="s">
        <v>11</v>
      </c>
      <c r="L11" s="430"/>
      <c r="M11" s="19">
        <f t="shared" si="2"/>
        <v>289000</v>
      </c>
      <c r="N11" s="19">
        <f t="shared" si="2"/>
        <v>301000</v>
      </c>
      <c r="O11" s="19">
        <f t="shared" si="2"/>
        <v>313000</v>
      </c>
      <c r="P11" s="19">
        <f t="shared" si="2"/>
        <v>325000</v>
      </c>
      <c r="Q11" s="19">
        <f t="shared" si="2"/>
        <v>337000</v>
      </c>
      <c r="R11" s="19">
        <f t="shared" si="10"/>
        <v>351999.99999999983</v>
      </c>
      <c r="S11" s="19">
        <f t="shared" si="11"/>
        <v>367999.99999999959</v>
      </c>
      <c r="T11" s="19">
        <f t="shared" si="3"/>
        <v>384749.99999999971</v>
      </c>
      <c r="U11" s="19">
        <f t="shared" si="4"/>
        <v>406999.99999999977</v>
      </c>
      <c r="V11" s="19">
        <f t="shared" si="5"/>
        <v>427999.99999999994</v>
      </c>
      <c r="W11" s="19">
        <f t="shared" si="6"/>
        <v>445750.00000000017</v>
      </c>
      <c r="X11" s="19">
        <f t="shared" si="7"/>
        <v>461250.00000000023</v>
      </c>
      <c r="Y11" s="19">
        <f t="shared" si="12"/>
        <v>489000.00000000041</v>
      </c>
      <c r="Z11" s="19">
        <f t="shared" si="13"/>
        <v>502250.00000000029</v>
      </c>
      <c r="AA11" s="19">
        <f t="shared" si="8"/>
        <v>518933.25000000023</v>
      </c>
      <c r="AB11" s="19">
        <f t="shared" si="14"/>
        <v>534475.50000000058</v>
      </c>
      <c r="AC11" s="19">
        <f>AC10+$H$16</f>
        <v>549433.7500000007</v>
      </c>
      <c r="AD11" s="19">
        <f t="shared" si="16"/>
        <v>562954.00000000035</v>
      </c>
      <c r="AE11" s="20">
        <f t="shared" si="9"/>
        <v>575897.25000000058</v>
      </c>
      <c r="AF11" s="14"/>
      <c r="AG11" s="1003"/>
    </row>
    <row r="12" spans="1:34">
      <c r="A12" s="8"/>
      <c r="B12" s="15">
        <v>40148</v>
      </c>
      <c r="C12" s="16">
        <f>ROUNDDOWN(497680,-3)</f>
        <v>497000</v>
      </c>
      <c r="D12" s="17" t="s">
        <v>22</v>
      </c>
      <c r="E12" s="21">
        <f t="shared" si="0"/>
        <v>32000</v>
      </c>
      <c r="F12" s="4">
        <v>1</v>
      </c>
      <c r="G12" s="4">
        <f t="shared" si="17"/>
        <v>12</v>
      </c>
      <c r="H12" s="22">
        <f t="shared" si="1"/>
        <v>2666.6666666666665</v>
      </c>
      <c r="I12" s="14"/>
      <c r="J12" s="4"/>
      <c r="K12" s="57" t="s">
        <v>23</v>
      </c>
      <c r="L12" s="430"/>
      <c r="M12" s="19">
        <f t="shared" si="2"/>
        <v>290000</v>
      </c>
      <c r="N12" s="19">
        <f t="shared" si="2"/>
        <v>302000</v>
      </c>
      <c r="O12" s="19">
        <f t="shared" si="2"/>
        <v>314000</v>
      </c>
      <c r="P12" s="19">
        <f t="shared" si="2"/>
        <v>326000</v>
      </c>
      <c r="Q12" s="19">
        <f t="shared" si="2"/>
        <v>338000</v>
      </c>
      <c r="R12" s="19">
        <f t="shared" si="10"/>
        <v>353333.33333333314</v>
      </c>
      <c r="S12" s="19">
        <f t="shared" si="11"/>
        <v>369333.33333333291</v>
      </c>
      <c r="T12" s="19">
        <f t="shared" si="3"/>
        <v>386166.6666666664</v>
      </c>
      <c r="U12" s="19">
        <f t="shared" si="4"/>
        <v>408999.99999999977</v>
      </c>
      <c r="V12" s="19">
        <f t="shared" si="5"/>
        <v>429666.66666666663</v>
      </c>
      <c r="W12" s="19">
        <f t="shared" si="6"/>
        <v>447166.66666666686</v>
      </c>
      <c r="X12" s="19">
        <f t="shared" si="7"/>
        <v>462500.00000000023</v>
      </c>
      <c r="Y12" s="19">
        <f t="shared" si="12"/>
        <v>491666.66666666709</v>
      </c>
      <c r="Z12" s="19">
        <f t="shared" si="13"/>
        <v>502833.3333333336</v>
      </c>
      <c r="AA12" s="19">
        <f t="shared" si="8"/>
        <v>520592.50000000023</v>
      </c>
      <c r="AB12" s="19">
        <f t="shared" si="14"/>
        <v>535649.33333333395</v>
      </c>
      <c r="AC12" s="19">
        <f t="shared" si="15"/>
        <v>550704.5000000007</v>
      </c>
      <c r="AD12" s="19">
        <f t="shared" si="16"/>
        <v>564032.66666666698</v>
      </c>
      <c r="AE12" s="20">
        <f t="shared" si="9"/>
        <v>576975.83333333395</v>
      </c>
      <c r="AF12" s="14"/>
      <c r="AG12" s="1003"/>
    </row>
    <row r="13" spans="1:34">
      <c r="A13" s="8"/>
      <c r="B13" s="15">
        <v>40513</v>
      </c>
      <c r="C13" s="16">
        <f>ROUNDDOWN(504600,-3)</f>
        <v>504000</v>
      </c>
      <c r="D13" s="17" t="s">
        <v>22</v>
      </c>
      <c r="E13" s="21">
        <f t="shared" si="0"/>
        <v>7000</v>
      </c>
      <c r="F13" s="4">
        <v>1</v>
      </c>
      <c r="G13" s="4">
        <f t="shared" si="17"/>
        <v>12</v>
      </c>
      <c r="H13" s="22">
        <f t="shared" si="1"/>
        <v>583.33333333333337</v>
      </c>
      <c r="I13" s="14"/>
      <c r="J13" s="4"/>
      <c r="K13" s="57" t="s">
        <v>12</v>
      </c>
      <c r="L13" s="23">
        <f>$C$3</f>
        <v>280000</v>
      </c>
      <c r="M13" s="19">
        <f t="shared" si="2"/>
        <v>291000</v>
      </c>
      <c r="N13" s="19">
        <f t="shared" si="2"/>
        <v>303000</v>
      </c>
      <c r="O13" s="19">
        <f t="shared" si="2"/>
        <v>315000</v>
      </c>
      <c r="P13" s="19">
        <f t="shared" si="2"/>
        <v>327000</v>
      </c>
      <c r="Q13" s="19">
        <f t="shared" si="2"/>
        <v>339000</v>
      </c>
      <c r="R13" s="19">
        <f t="shared" si="10"/>
        <v>354666.66666666645</v>
      </c>
      <c r="S13" s="19">
        <f t="shared" si="11"/>
        <v>370666.66666666622</v>
      </c>
      <c r="T13" s="19">
        <f t="shared" si="3"/>
        <v>387583.33333333308</v>
      </c>
      <c r="U13" s="19">
        <f t="shared" si="4"/>
        <v>410999.99999999977</v>
      </c>
      <c r="V13" s="19">
        <f t="shared" si="5"/>
        <v>431333.33333333331</v>
      </c>
      <c r="W13" s="19">
        <f t="shared" si="6"/>
        <v>448583.33333333355</v>
      </c>
      <c r="X13" s="19">
        <f t="shared" si="7"/>
        <v>463750.00000000023</v>
      </c>
      <c r="Y13" s="19">
        <f t="shared" si="12"/>
        <v>494333.33333333378</v>
      </c>
      <c r="Z13" s="19">
        <f t="shared" si="13"/>
        <v>503416.66666666692</v>
      </c>
      <c r="AA13" s="19">
        <f t="shared" si="8"/>
        <v>522251.75000000023</v>
      </c>
      <c r="AB13" s="19">
        <f t="shared" si="14"/>
        <v>536823.16666666733</v>
      </c>
      <c r="AC13" s="19">
        <f t="shared" si="15"/>
        <v>551975.2500000007</v>
      </c>
      <c r="AD13" s="19">
        <f>AD12+$H$17</f>
        <v>565111.3333333336</v>
      </c>
      <c r="AE13" s="20">
        <f t="shared" si="9"/>
        <v>578054.41666666733</v>
      </c>
      <c r="AF13" s="14"/>
      <c r="AG13" s="1003"/>
    </row>
    <row r="14" spans="1:34" ht="13.8" thickBot="1">
      <c r="A14" s="8"/>
      <c r="B14" s="15">
        <v>40878</v>
      </c>
      <c r="C14" s="16">
        <f>523911</f>
        <v>523911</v>
      </c>
      <c r="D14" s="400" t="s">
        <v>22</v>
      </c>
      <c r="E14" s="21">
        <f>C14-C13</f>
        <v>19911</v>
      </c>
      <c r="F14" s="4">
        <v>1</v>
      </c>
      <c r="G14" s="4">
        <f>+F14*12</f>
        <v>12</v>
      </c>
      <c r="H14" s="22">
        <f>E14/G14</f>
        <v>1659.25</v>
      </c>
      <c r="I14" s="14"/>
      <c r="J14" s="4"/>
      <c r="K14" s="60" t="s">
        <v>13</v>
      </c>
      <c r="L14" s="29">
        <f>$C$3</f>
        <v>280000</v>
      </c>
      <c r="M14" s="431">
        <f>M13+$H$4</f>
        <v>292000</v>
      </c>
      <c r="N14" s="431">
        <f>N13+$H$4</f>
        <v>304000</v>
      </c>
      <c r="O14" s="431">
        <f>O13+$H$4</f>
        <v>316000</v>
      </c>
      <c r="P14" s="431">
        <f>P13+$H$4</f>
        <v>328000</v>
      </c>
      <c r="Q14" s="431">
        <f>Q13+$H$4</f>
        <v>340000</v>
      </c>
      <c r="R14" s="431">
        <f>R13+$H$5</f>
        <v>355999.99999999977</v>
      </c>
      <c r="S14" s="431">
        <f>S13+$H$6</f>
        <v>371999.99999999953</v>
      </c>
      <c r="T14" s="431">
        <f>T13+$H$7</f>
        <v>388999.99999999977</v>
      </c>
      <c r="U14" s="431">
        <f>U13+$H$8</f>
        <v>412999.99999999977</v>
      </c>
      <c r="V14" s="431">
        <f>V13+$H$9</f>
        <v>433000</v>
      </c>
      <c r="W14" s="431">
        <f>W13+$H$10</f>
        <v>450000.00000000023</v>
      </c>
      <c r="X14" s="431">
        <f>X13+$H$11</f>
        <v>465000.00000000023</v>
      </c>
      <c r="Y14" s="431">
        <f>Y13+$H$12</f>
        <v>497000.00000000047</v>
      </c>
      <c r="Z14" s="431">
        <f>Z13+$H$13</f>
        <v>504000.00000000023</v>
      </c>
      <c r="AA14" s="431">
        <f t="shared" si="8"/>
        <v>523911.00000000023</v>
      </c>
      <c r="AB14" s="431">
        <f t="shared" si="14"/>
        <v>537997.0000000007</v>
      </c>
      <c r="AC14" s="431">
        <f t="shared" si="15"/>
        <v>553246.0000000007</v>
      </c>
      <c r="AD14" s="431">
        <f>AD13+$H$17</f>
        <v>566190.00000000023</v>
      </c>
      <c r="AE14" s="465">
        <f t="shared" si="9"/>
        <v>579133.0000000007</v>
      </c>
      <c r="AF14" s="14"/>
      <c r="AG14" s="1003"/>
    </row>
    <row r="15" spans="1:34">
      <c r="A15" s="8"/>
      <c r="B15" s="15">
        <v>41244</v>
      </c>
      <c r="C15" s="16">
        <v>537997</v>
      </c>
      <c r="D15" s="400" t="s">
        <v>22</v>
      </c>
      <c r="E15" s="21">
        <f t="shared" ref="E15:E16" si="18">C15-C14</f>
        <v>14086</v>
      </c>
      <c r="F15" s="4">
        <v>1</v>
      </c>
      <c r="G15" s="4">
        <f t="shared" ref="G15:G17" si="19">+F15*12</f>
        <v>12</v>
      </c>
      <c r="H15" s="22">
        <f t="shared" ref="H15:H16" si="20">E15/G15</f>
        <v>1173.8333333333333</v>
      </c>
      <c r="I15" s="14"/>
      <c r="J15" s="4"/>
      <c r="K15" s="2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4"/>
      <c r="AG15" s="1003"/>
    </row>
    <row r="16" spans="1:34">
      <c r="A16" s="8"/>
      <c r="B16" s="15">
        <v>41609</v>
      </c>
      <c r="C16" s="16">
        <v>553246</v>
      </c>
      <c r="D16" s="400" t="s">
        <v>22</v>
      </c>
      <c r="E16" s="21">
        <f t="shared" si="18"/>
        <v>15249</v>
      </c>
      <c r="F16" s="4">
        <v>1</v>
      </c>
      <c r="G16" s="4">
        <f t="shared" si="19"/>
        <v>12</v>
      </c>
      <c r="H16" s="22">
        <f t="shared" si="20"/>
        <v>1270.75</v>
      </c>
      <c r="I16" s="14"/>
      <c r="J16" s="4"/>
      <c r="K16" s="2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AF16" s="14"/>
      <c r="AG16" s="1003"/>
    </row>
    <row r="17" spans="1:33">
      <c r="A17" s="8"/>
      <c r="B17" s="15">
        <v>41974</v>
      </c>
      <c r="C17" s="16">
        <f>566190</f>
        <v>566190</v>
      </c>
      <c r="D17" s="400" t="s">
        <v>22</v>
      </c>
      <c r="E17" s="21">
        <f>C17-C16</f>
        <v>12944</v>
      </c>
      <c r="F17" s="4">
        <v>1</v>
      </c>
      <c r="G17" s="4">
        <f t="shared" si="19"/>
        <v>12</v>
      </c>
      <c r="H17" s="22">
        <f>E17/G17</f>
        <v>1078.6666666666667</v>
      </c>
      <c r="I17" s="1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AF17" s="14"/>
      <c r="AG17" s="1003"/>
    </row>
    <row r="18" spans="1:33" ht="13.8" thickBot="1">
      <c r="A18" s="8"/>
      <c r="B18" s="24">
        <v>42339</v>
      </c>
      <c r="C18" s="883">
        <v>579133</v>
      </c>
      <c r="D18" s="426" t="s">
        <v>22</v>
      </c>
      <c r="E18" s="427">
        <f>C18-C17</f>
        <v>12943</v>
      </c>
      <c r="F18" s="428">
        <v>1</v>
      </c>
      <c r="G18" s="428">
        <f t="shared" ref="G18" si="21">+F18*12</f>
        <v>12</v>
      </c>
      <c r="H18" s="429">
        <f>E18/G18</f>
        <v>1078.5833333333333</v>
      </c>
      <c r="I18" s="463"/>
      <c r="J18" s="4"/>
      <c r="K18" s="4"/>
      <c r="L18" s="4"/>
      <c r="M18" s="4"/>
      <c r="N18" s="4"/>
      <c r="O18" s="4"/>
      <c r="P18" s="4"/>
      <c r="Q18" s="495"/>
      <c r="R18" s="4"/>
      <c r="S18" s="4"/>
      <c r="T18" s="4"/>
      <c r="U18" s="4"/>
      <c r="V18" s="4"/>
      <c r="W18" s="4"/>
      <c r="AF18" s="14"/>
      <c r="AG18" s="1003"/>
    </row>
    <row r="19" spans="1:33">
      <c r="A19" s="8"/>
      <c r="B19" s="4"/>
      <c r="C19" s="4"/>
      <c r="D19" s="4"/>
      <c r="E19" s="4"/>
      <c r="F19" s="4"/>
      <c r="G19" s="4"/>
      <c r="H19" s="4"/>
      <c r="I19" s="4"/>
      <c r="J19" s="4"/>
      <c r="K19" s="4"/>
      <c r="L19" s="32"/>
      <c r="M19" s="4"/>
      <c r="N19" s="4"/>
      <c r="O19" s="4"/>
      <c r="P19" s="4"/>
      <c r="Q19" s="495"/>
      <c r="R19" s="4"/>
      <c r="S19" s="4"/>
      <c r="T19" s="4"/>
      <c r="U19" s="4"/>
      <c r="V19" s="4"/>
      <c r="W19" s="4"/>
      <c r="AF19" s="14"/>
      <c r="AG19" s="1003"/>
    </row>
    <row r="20" spans="1:33">
      <c r="A20" s="8"/>
      <c r="B20" s="4"/>
      <c r="C20" s="72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95"/>
      <c r="R20" s="4"/>
      <c r="S20" s="4"/>
      <c r="T20" s="4"/>
      <c r="U20" s="4"/>
      <c r="V20" s="4"/>
      <c r="W20" s="4"/>
      <c r="AF20" s="14"/>
      <c r="AG20" s="1003"/>
    </row>
    <row r="21" spans="1:33">
      <c r="A21" s="8"/>
      <c r="B21" s="4"/>
      <c r="C21" s="724"/>
      <c r="D21" s="4"/>
      <c r="E21" s="4"/>
      <c r="F21" s="4"/>
      <c r="G21" s="4"/>
      <c r="H21" s="4"/>
      <c r="I21" s="4"/>
      <c r="J21" s="4"/>
      <c r="K21" s="4"/>
      <c r="L21" s="4"/>
      <c r="M21" s="21"/>
      <c r="N21" s="4"/>
      <c r="O21" s="4"/>
      <c r="P21" s="4"/>
      <c r="Q21" s="495"/>
      <c r="R21" s="4"/>
      <c r="S21" s="4"/>
      <c r="T21" s="4"/>
      <c r="U21" s="4"/>
      <c r="V21" s="4"/>
      <c r="W21" s="4"/>
      <c r="AF21" s="14"/>
      <c r="AG21" s="33"/>
    </row>
    <row r="22" spans="1:33">
      <c r="A22" s="8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95"/>
      <c r="R22" s="4"/>
      <c r="S22" s="4"/>
      <c r="T22" s="4"/>
      <c r="U22" s="4"/>
      <c r="V22" s="4"/>
      <c r="W22" s="4"/>
      <c r="AF22" s="14"/>
      <c r="AG22" s="33"/>
    </row>
    <row r="23" spans="1:33">
      <c r="A23" s="8"/>
      <c r="B23" s="4"/>
      <c r="C23" s="21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95"/>
      <c r="R23" s="4"/>
      <c r="S23" s="4"/>
      <c r="T23" s="4"/>
      <c r="U23" s="4"/>
      <c r="V23" s="4"/>
      <c r="W23" s="4"/>
      <c r="AF23" s="14"/>
      <c r="AG23" s="33"/>
    </row>
    <row r="24" spans="1:33">
      <c r="A24" s="8"/>
      <c r="B24" s="4"/>
      <c r="C24" s="72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95"/>
      <c r="R24" s="4"/>
      <c r="S24" s="4"/>
      <c r="T24" s="4"/>
      <c r="U24" s="4"/>
      <c r="V24" s="4"/>
      <c r="W24" s="4"/>
      <c r="AF24" s="14"/>
      <c r="AG24" s="33"/>
    </row>
    <row r="25" spans="1:33" ht="13.8" thickBot="1">
      <c r="A25" s="34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6"/>
      <c r="Q25" s="666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428"/>
      <c r="AE25" s="428"/>
      <c r="AF25" s="27"/>
      <c r="AG25" s="35"/>
    </row>
    <row r="26" spans="1:33">
      <c r="Q26" s="66"/>
      <c r="X26" s="19"/>
      <c r="Y26" s="19"/>
      <c r="Z26" s="19"/>
      <c r="AA26" s="19"/>
      <c r="AB26" s="19"/>
      <c r="AC26" s="19"/>
      <c r="AD26" s="19"/>
      <c r="AE26" s="19"/>
    </row>
    <row r="27" spans="1:33">
      <c r="Q27" s="66"/>
      <c r="X27" s="4"/>
      <c r="Y27" s="4"/>
      <c r="Z27" s="4"/>
      <c r="AA27" s="4"/>
      <c r="AB27" s="19"/>
      <c r="AC27" s="19"/>
      <c r="AD27" s="19"/>
      <c r="AE27" s="19"/>
    </row>
    <row r="28" spans="1:33">
      <c r="C28" s="36"/>
      <c r="P28" s="290"/>
      <c r="Q28" s="66"/>
      <c r="X28" s="4"/>
      <c r="Y28" s="4"/>
      <c r="Z28" s="4"/>
      <c r="AA28" s="4"/>
      <c r="AB28" s="19"/>
      <c r="AC28" s="19"/>
      <c r="AD28" s="19"/>
      <c r="AE28" s="19"/>
    </row>
    <row r="29" spans="1:33">
      <c r="C29" s="577"/>
      <c r="D29" s="66"/>
      <c r="E29" s="66"/>
      <c r="P29" s="290"/>
      <c r="Q29" s="66"/>
      <c r="X29" s="4"/>
      <c r="Y29" s="4"/>
      <c r="Z29" s="4"/>
      <c r="AA29" s="4"/>
      <c r="AB29" s="19"/>
      <c r="AC29" s="19"/>
      <c r="AD29" s="19"/>
      <c r="AE29" s="19"/>
    </row>
    <row r="30" spans="1:33">
      <c r="C30" s="577"/>
      <c r="D30" s="66"/>
      <c r="E30" s="66"/>
      <c r="P30" s="290"/>
      <c r="Q30" s="66"/>
      <c r="X30" s="4"/>
      <c r="Y30" s="4"/>
      <c r="Z30" s="4"/>
      <c r="AA30" s="4"/>
      <c r="AB30" s="19"/>
      <c r="AC30" s="19"/>
      <c r="AD30" s="19"/>
      <c r="AE30" s="19"/>
    </row>
    <row r="31" spans="1:33">
      <c r="C31" s="577"/>
      <c r="D31" s="66"/>
      <c r="E31" s="66"/>
      <c r="P31" s="290"/>
      <c r="Q31" s="66"/>
      <c r="X31" s="4"/>
      <c r="Y31" s="4"/>
      <c r="Z31" s="4"/>
      <c r="AA31" s="4"/>
      <c r="AB31" s="19"/>
      <c r="AC31" s="19"/>
      <c r="AD31" s="19"/>
      <c r="AE31" s="19"/>
    </row>
    <row r="32" spans="1:33">
      <c r="C32" s="577"/>
      <c r="D32" s="66"/>
      <c r="E32" s="66"/>
      <c r="P32" s="290"/>
      <c r="Q32" s="66"/>
      <c r="X32" s="4"/>
      <c r="Y32" s="4"/>
      <c r="Z32" s="4"/>
      <c r="AA32" s="4"/>
      <c r="AB32" s="19"/>
      <c r="AC32" s="19"/>
      <c r="AD32" s="19"/>
      <c r="AE32" s="19"/>
    </row>
    <row r="33" spans="3:31">
      <c r="C33" s="577"/>
      <c r="D33" s="66"/>
      <c r="E33" s="66"/>
      <c r="P33" s="290"/>
      <c r="Q33" s="66"/>
      <c r="X33" s="4"/>
      <c r="Y33" s="4"/>
      <c r="Z33" s="4"/>
      <c r="AA33" s="4"/>
      <c r="AB33" s="19"/>
      <c r="AC33" s="19"/>
      <c r="AD33" s="19"/>
      <c r="AE33" s="19"/>
    </row>
    <row r="34" spans="3:31">
      <c r="C34" s="577"/>
      <c r="D34" s="66"/>
      <c r="E34" s="66"/>
      <c r="P34" s="290"/>
      <c r="Q34" s="66"/>
      <c r="X34" s="4"/>
      <c r="Y34" s="4"/>
      <c r="Z34" s="4"/>
      <c r="AA34" s="4"/>
      <c r="AB34" s="19"/>
      <c r="AC34" s="19"/>
      <c r="AD34" s="19"/>
      <c r="AE34" s="19"/>
    </row>
    <row r="35" spans="3:31">
      <c r="C35" s="577"/>
      <c r="D35" s="66"/>
      <c r="E35" s="66"/>
      <c r="P35" s="290"/>
      <c r="Q35" s="66"/>
      <c r="X35" s="4"/>
      <c r="Y35" s="4"/>
      <c r="Z35" s="4"/>
      <c r="AA35" s="4"/>
      <c r="AB35" s="19"/>
      <c r="AC35" s="19"/>
      <c r="AD35" s="19"/>
      <c r="AE35" s="19"/>
    </row>
    <row r="36" spans="3:31">
      <c r="C36" s="577"/>
      <c r="D36" s="66"/>
      <c r="E36" s="66"/>
      <c r="P36" s="290"/>
      <c r="Q36" s="66"/>
      <c r="AB36" s="19"/>
      <c r="AC36" s="19"/>
      <c r="AD36" s="19"/>
      <c r="AE36" s="19"/>
    </row>
    <row r="37" spans="3:31">
      <c r="C37" s="577"/>
      <c r="D37" s="66"/>
      <c r="E37" s="66"/>
      <c r="P37" s="290"/>
      <c r="Q37" s="66"/>
      <c r="AB37" s="19"/>
      <c r="AC37" s="19"/>
      <c r="AD37" s="19"/>
      <c r="AE37" s="19"/>
    </row>
    <row r="38" spans="3:31">
      <c r="C38" s="577"/>
      <c r="D38" s="66"/>
      <c r="E38" s="66"/>
      <c r="P38" s="290"/>
      <c r="Q38" s="66"/>
      <c r="AC38" s="290"/>
      <c r="AD38" s="290"/>
      <c r="AE38" s="290"/>
    </row>
    <row r="39" spans="3:31">
      <c r="C39" s="577"/>
      <c r="D39" s="66"/>
      <c r="E39" s="66"/>
      <c r="Q39" s="66"/>
      <c r="AC39" s="179"/>
      <c r="AD39" s="179"/>
      <c r="AE39" s="179"/>
    </row>
    <row r="40" spans="3:31">
      <c r="C40" s="577"/>
      <c r="D40" s="577"/>
      <c r="E40" s="66"/>
      <c r="Q40" s="66"/>
      <c r="AC40" s="290"/>
      <c r="AD40" s="290"/>
      <c r="AE40" s="290"/>
    </row>
    <row r="41" spans="3:31">
      <c r="C41" s="577"/>
      <c r="D41" s="66"/>
      <c r="E41" s="66"/>
      <c r="Q41" s="66"/>
    </row>
    <row r="42" spans="3:31">
      <c r="C42" s="577"/>
      <c r="D42" s="66"/>
      <c r="E42" s="66"/>
      <c r="Q42" s="66"/>
    </row>
    <row r="43" spans="3:31">
      <c r="C43" s="578"/>
      <c r="D43" s="66"/>
      <c r="E43" s="66"/>
      <c r="Q43" s="66"/>
      <c r="AD43" s="432"/>
      <c r="AE43" s="432"/>
    </row>
    <row r="44" spans="3:31">
      <c r="C44" s="66"/>
      <c r="D44" s="66"/>
      <c r="E44" s="66"/>
      <c r="Q44" s="66"/>
    </row>
    <row r="45" spans="3:31">
      <c r="C45" s="66"/>
      <c r="D45" s="66"/>
      <c r="E45" s="66"/>
      <c r="Q45" s="66"/>
    </row>
    <row r="46" spans="3:31">
      <c r="C46" s="66"/>
      <c r="D46" s="66"/>
      <c r="E46" s="66"/>
      <c r="Q46" s="66"/>
    </row>
    <row r="47" spans="3:31">
      <c r="Q47" s="66"/>
    </row>
    <row r="48" spans="3:31">
      <c r="Q48" s="66"/>
    </row>
    <row r="49" spans="17:27">
      <c r="Q49" s="66"/>
    </row>
    <row r="50" spans="17:27">
      <c r="Q50" s="66"/>
    </row>
    <row r="51" spans="17:27">
      <c r="Q51" s="66"/>
    </row>
    <row r="52" spans="17:27">
      <c r="Q52" s="66"/>
    </row>
    <row r="53" spans="17:27">
      <c r="Q53" s="66"/>
    </row>
    <row r="54" spans="17:27">
      <c r="Q54" s="66"/>
    </row>
    <row r="55" spans="17:27">
      <c r="Q55" s="66"/>
    </row>
    <row r="56" spans="17:27">
      <c r="Q56" s="66"/>
      <c r="W56" s="290"/>
      <c r="X56" s="290"/>
      <c r="Y56" s="290"/>
      <c r="AA56" s="290"/>
    </row>
    <row r="57" spans="17:27">
      <c r="Q57" s="66"/>
    </row>
    <row r="58" spans="17:27">
      <c r="Q58" s="66"/>
    </row>
    <row r="59" spans="17:27">
      <c r="Q59" s="66"/>
    </row>
    <row r="60" spans="17:27">
      <c r="Q60" s="66"/>
    </row>
    <row r="61" spans="17:27">
      <c r="Q61" s="66"/>
    </row>
    <row r="62" spans="17:27">
      <c r="Q62" s="66"/>
    </row>
    <row r="63" spans="17:27">
      <c r="Q63" s="66"/>
    </row>
    <row r="64" spans="17:27">
      <c r="Q64" s="66"/>
    </row>
    <row r="65" spans="17:17">
      <c r="Q65" s="66"/>
    </row>
    <row r="66" spans="17:17">
      <c r="Q66" s="66"/>
    </row>
    <row r="67" spans="17:17">
      <c r="Q67" s="66"/>
    </row>
    <row r="68" spans="17:17">
      <c r="Q68" s="66"/>
    </row>
    <row r="69" spans="17:17">
      <c r="Q69" s="66"/>
    </row>
    <row r="70" spans="17:17">
      <c r="Q70" s="66"/>
    </row>
    <row r="71" spans="17:17">
      <c r="Q71" s="66"/>
    </row>
    <row r="72" spans="17:17">
      <c r="Q72" s="66"/>
    </row>
    <row r="73" spans="17:17">
      <c r="Q73" s="66"/>
    </row>
    <row r="74" spans="17:17">
      <c r="Q74" s="66"/>
    </row>
    <row r="75" spans="17:17">
      <c r="Q75" s="66"/>
    </row>
    <row r="76" spans="17:17">
      <c r="Q76" s="66"/>
    </row>
    <row r="77" spans="17:17">
      <c r="Q77" s="66"/>
    </row>
    <row r="78" spans="17:17">
      <c r="Q78" s="66"/>
    </row>
    <row r="79" spans="17:17">
      <c r="Q79" s="66"/>
    </row>
    <row r="80" spans="17:17">
      <c r="Q80" s="66"/>
    </row>
    <row r="81" spans="17:17">
      <c r="Q81" s="66"/>
    </row>
    <row r="82" spans="17:17">
      <c r="Q82" s="66"/>
    </row>
    <row r="83" spans="17:17">
      <c r="Q83" s="66"/>
    </row>
    <row r="84" spans="17:17">
      <c r="Q84" s="66"/>
    </row>
    <row r="85" spans="17:17">
      <c r="Q85" s="66"/>
    </row>
    <row r="86" spans="17:17">
      <c r="Q86" s="66"/>
    </row>
    <row r="87" spans="17:17">
      <c r="Q87" s="66"/>
    </row>
    <row r="88" spans="17:17">
      <c r="Q88" s="66"/>
    </row>
    <row r="89" spans="17:17">
      <c r="Q89" s="66"/>
    </row>
    <row r="90" spans="17:17">
      <c r="Q90" s="66"/>
    </row>
    <row r="91" spans="17:17">
      <c r="Q91" s="66"/>
    </row>
    <row r="92" spans="17:17">
      <c r="Q92" s="66"/>
    </row>
    <row r="93" spans="17:17">
      <c r="Q93" s="66"/>
    </row>
    <row r="94" spans="17:17">
      <c r="Q94" s="66"/>
    </row>
    <row r="95" spans="17:17">
      <c r="Q95" s="66"/>
    </row>
    <row r="96" spans="17:17">
      <c r="Q96" s="66"/>
    </row>
    <row r="97" spans="17:17">
      <c r="Q97" s="66"/>
    </row>
    <row r="98" spans="17:17">
      <c r="Q98" s="66"/>
    </row>
    <row r="99" spans="17:17">
      <c r="Q99" s="66"/>
    </row>
    <row r="100" spans="17:17">
      <c r="Q100" s="66"/>
    </row>
    <row r="101" spans="17:17">
      <c r="Q101" s="66"/>
    </row>
    <row r="102" spans="17:17">
      <c r="Q102" s="66"/>
    </row>
    <row r="103" spans="17:17">
      <c r="Q103" s="66"/>
    </row>
    <row r="104" spans="17:17">
      <c r="Q104" s="66"/>
    </row>
    <row r="105" spans="17:17">
      <c r="Q105" s="66"/>
    </row>
    <row r="106" spans="17:17">
      <c r="Q106" s="66"/>
    </row>
    <row r="107" spans="17:17">
      <c r="Q107" s="66"/>
    </row>
    <row r="108" spans="17:17">
      <c r="Q108" s="66"/>
    </row>
    <row r="109" spans="17:17">
      <c r="Q109" s="66"/>
    </row>
    <row r="110" spans="17:17">
      <c r="Q110" s="66"/>
    </row>
    <row r="111" spans="17:17">
      <c r="Q111" s="66"/>
    </row>
    <row r="112" spans="17:17">
      <c r="Q112" s="66"/>
    </row>
    <row r="113" spans="17:17">
      <c r="Q113" s="66"/>
    </row>
    <row r="114" spans="17:17">
      <c r="Q114" s="66"/>
    </row>
    <row r="115" spans="17:17">
      <c r="Q115" s="66"/>
    </row>
    <row r="116" spans="17:17">
      <c r="Q116" s="66"/>
    </row>
    <row r="117" spans="17:17">
      <c r="Q117" s="66"/>
    </row>
    <row r="118" spans="17:17">
      <c r="Q118" s="66"/>
    </row>
    <row r="119" spans="17:17">
      <c r="Q119" s="66"/>
    </row>
    <row r="120" spans="17:17">
      <c r="Q120" s="66"/>
    </row>
    <row r="121" spans="17:17">
      <c r="Q121" s="66"/>
    </row>
    <row r="122" spans="17:17">
      <c r="Q122" s="66"/>
    </row>
    <row r="123" spans="17:17">
      <c r="Q123" s="66"/>
    </row>
    <row r="124" spans="17:17">
      <c r="Q124" s="66"/>
    </row>
    <row r="125" spans="17:17">
      <c r="Q125" s="66"/>
    </row>
    <row r="126" spans="17:17">
      <c r="Q126" s="66"/>
    </row>
    <row r="127" spans="17:17">
      <c r="Q127" s="66"/>
    </row>
    <row r="128" spans="17:17">
      <c r="Q128" s="66"/>
    </row>
    <row r="129" spans="17:17">
      <c r="Q129" s="66"/>
    </row>
    <row r="130" spans="17:17">
      <c r="Q130" s="66"/>
    </row>
    <row r="131" spans="17:17">
      <c r="Q131" s="66"/>
    </row>
    <row r="132" spans="17:17">
      <c r="Q132" s="66"/>
    </row>
    <row r="133" spans="17:17">
      <c r="Q133" s="66"/>
    </row>
    <row r="134" spans="17:17">
      <c r="Q134" s="66"/>
    </row>
    <row r="135" spans="17:17">
      <c r="Q135" s="66"/>
    </row>
    <row r="136" spans="17:17">
      <c r="Q136" s="66"/>
    </row>
    <row r="137" spans="17:17">
      <c r="Q137" s="66"/>
    </row>
    <row r="138" spans="17:17">
      <c r="Q138" s="66"/>
    </row>
    <row r="139" spans="17:17">
      <c r="Q139" s="66"/>
    </row>
    <row r="140" spans="17:17">
      <c r="Q140" s="66"/>
    </row>
    <row r="141" spans="17:17">
      <c r="Q141" s="66"/>
    </row>
    <row r="142" spans="17:17">
      <c r="Q142" s="66"/>
    </row>
    <row r="143" spans="17:17">
      <c r="Q143" s="66"/>
    </row>
    <row r="144" spans="17:17">
      <c r="Q144" s="66"/>
    </row>
    <row r="145" spans="17:17">
      <c r="Q145" s="66"/>
    </row>
    <row r="146" spans="17:17">
      <c r="Q146" s="66"/>
    </row>
    <row r="147" spans="17:17">
      <c r="Q147" s="66"/>
    </row>
    <row r="148" spans="17:17">
      <c r="Q148" s="66"/>
    </row>
    <row r="149" spans="17:17">
      <c r="Q149" s="66"/>
    </row>
    <row r="150" spans="17:17">
      <c r="Q150" s="66"/>
    </row>
    <row r="151" spans="17:17">
      <c r="Q151" s="66"/>
    </row>
    <row r="152" spans="17:17">
      <c r="Q152" s="66"/>
    </row>
    <row r="153" spans="17:17">
      <c r="Q153" s="66"/>
    </row>
    <row r="154" spans="17:17">
      <c r="Q154" s="66"/>
    </row>
    <row r="155" spans="17:17">
      <c r="Q155" s="66"/>
    </row>
    <row r="156" spans="17:17">
      <c r="Q156" s="66"/>
    </row>
    <row r="157" spans="17:17">
      <c r="Q157" s="66"/>
    </row>
    <row r="158" spans="17:17">
      <c r="Q158" s="66"/>
    </row>
    <row r="159" spans="17:17">
      <c r="Q159" s="66"/>
    </row>
    <row r="160" spans="17:17">
      <c r="Q160" s="66"/>
    </row>
    <row r="161" spans="17:17">
      <c r="Q161" s="66"/>
    </row>
    <row r="162" spans="17:17">
      <c r="Q162" s="66"/>
    </row>
    <row r="163" spans="17:17">
      <c r="Q163" s="66"/>
    </row>
    <row r="164" spans="17:17">
      <c r="Q164" s="66"/>
    </row>
    <row r="165" spans="17:17">
      <c r="Q165" s="66"/>
    </row>
    <row r="166" spans="17:17">
      <c r="Q166" s="66"/>
    </row>
    <row r="167" spans="17:17">
      <c r="Q167" s="66"/>
    </row>
    <row r="168" spans="17:17">
      <c r="Q168" s="66"/>
    </row>
    <row r="169" spans="17:17">
      <c r="Q169" s="66"/>
    </row>
    <row r="170" spans="17:17">
      <c r="Q170" s="66"/>
    </row>
    <row r="171" spans="17:17">
      <c r="Q171" s="66"/>
    </row>
    <row r="172" spans="17:17">
      <c r="Q172" s="66"/>
    </row>
    <row r="173" spans="17:17">
      <c r="Q173" s="66"/>
    </row>
    <row r="174" spans="17:17">
      <c r="Q174" s="66"/>
    </row>
    <row r="175" spans="17:17">
      <c r="Q175" s="66"/>
    </row>
    <row r="176" spans="17:17">
      <c r="Q176" s="66"/>
    </row>
    <row r="177" spans="17:17">
      <c r="Q177" s="66"/>
    </row>
    <row r="178" spans="17:17">
      <c r="Q178" s="66"/>
    </row>
    <row r="179" spans="17:17">
      <c r="Q179" s="66"/>
    </row>
    <row r="180" spans="17:17">
      <c r="Q180" s="66"/>
    </row>
    <row r="181" spans="17:17">
      <c r="Q181" s="66"/>
    </row>
    <row r="182" spans="17:17">
      <c r="Q182" s="66"/>
    </row>
    <row r="183" spans="17:17">
      <c r="Q183" s="66"/>
    </row>
    <row r="184" spans="17:17">
      <c r="Q184" s="66"/>
    </row>
    <row r="185" spans="17:17">
      <c r="Q185" s="66"/>
    </row>
    <row r="186" spans="17:17">
      <c r="Q186" s="66"/>
    </row>
    <row r="187" spans="17:17">
      <c r="Q187" s="66"/>
    </row>
    <row r="188" spans="17:17">
      <c r="Q188" s="66"/>
    </row>
    <row r="189" spans="17:17">
      <c r="Q189" s="66"/>
    </row>
    <row r="190" spans="17:17">
      <c r="Q190" s="66"/>
    </row>
    <row r="191" spans="17:17">
      <c r="Q191" s="66"/>
    </row>
    <row r="192" spans="17:17">
      <c r="Q192" s="66"/>
    </row>
    <row r="193" spans="17:17">
      <c r="Q193" s="66"/>
    </row>
    <row r="194" spans="17:17">
      <c r="Q194" s="66"/>
    </row>
    <row r="195" spans="17:17">
      <c r="Q195" s="66"/>
    </row>
    <row r="196" spans="17:17">
      <c r="Q196" s="66"/>
    </row>
    <row r="197" spans="17:17">
      <c r="Q197" s="66"/>
    </row>
    <row r="198" spans="17:17">
      <c r="Q198" s="66"/>
    </row>
    <row r="199" spans="17:17">
      <c r="Q199" s="66"/>
    </row>
    <row r="200" spans="17:17">
      <c r="Q200" s="66"/>
    </row>
    <row r="201" spans="17:17">
      <c r="Q201" s="66"/>
    </row>
    <row r="202" spans="17:17">
      <c r="Q202" s="66"/>
    </row>
    <row r="203" spans="17:17">
      <c r="Q203" s="66"/>
    </row>
    <row r="204" spans="17:17">
      <c r="Q204" s="66"/>
    </row>
    <row r="205" spans="17:17">
      <c r="Q205" s="66"/>
    </row>
    <row r="206" spans="17:17">
      <c r="Q206" s="66"/>
    </row>
    <row r="207" spans="17:17">
      <c r="Q207" s="66"/>
    </row>
    <row r="208" spans="17:17">
      <c r="Q208" s="66"/>
    </row>
    <row r="209" spans="17:17">
      <c r="Q209" s="66"/>
    </row>
    <row r="210" spans="17:17">
      <c r="Q210" s="66"/>
    </row>
    <row r="211" spans="17:17">
      <c r="Q211" s="66"/>
    </row>
    <row r="212" spans="17:17">
      <c r="Q212" s="66"/>
    </row>
    <row r="213" spans="17:17">
      <c r="Q213" s="66"/>
    </row>
    <row r="214" spans="17:17">
      <c r="Q214" s="66"/>
    </row>
    <row r="215" spans="17:17">
      <c r="Q215" s="66"/>
    </row>
    <row r="216" spans="17:17">
      <c r="Q216" s="66"/>
    </row>
    <row r="217" spans="17:17">
      <c r="Q217" s="66"/>
    </row>
    <row r="218" spans="17:17">
      <c r="Q218" s="66"/>
    </row>
    <row r="219" spans="17:17">
      <c r="Q219" s="66"/>
    </row>
    <row r="220" spans="17:17">
      <c r="Q220" s="66"/>
    </row>
    <row r="221" spans="17:17">
      <c r="Q221" s="66"/>
    </row>
    <row r="222" spans="17:17">
      <c r="Q222" s="66"/>
    </row>
    <row r="223" spans="17:17">
      <c r="Q223" s="66"/>
    </row>
    <row r="224" spans="17:17">
      <c r="Q224" s="66"/>
    </row>
    <row r="225" spans="17:17">
      <c r="Q225" s="66"/>
    </row>
    <row r="226" spans="17:17">
      <c r="Q226" s="66"/>
    </row>
    <row r="227" spans="17:17">
      <c r="Q227" s="66"/>
    </row>
    <row r="228" spans="17:17">
      <c r="Q228" s="66"/>
    </row>
    <row r="229" spans="17:17">
      <c r="Q229" s="66"/>
    </row>
    <row r="230" spans="17:17">
      <c r="Q230" s="66"/>
    </row>
    <row r="231" spans="17:17">
      <c r="Q231" s="66"/>
    </row>
    <row r="232" spans="17:17">
      <c r="Q232" s="66"/>
    </row>
    <row r="233" spans="17:17">
      <c r="Q233" s="66"/>
    </row>
    <row r="234" spans="17:17">
      <c r="Q234" s="66"/>
    </row>
    <row r="235" spans="17:17">
      <c r="Q235" s="66"/>
    </row>
    <row r="236" spans="17:17">
      <c r="Q236" s="66"/>
    </row>
    <row r="237" spans="17:17">
      <c r="Q237" s="66"/>
    </row>
    <row r="238" spans="17:17">
      <c r="Q238" s="66"/>
    </row>
    <row r="239" spans="17:17">
      <c r="Q239" s="66"/>
    </row>
    <row r="240" spans="17:17">
      <c r="Q240" s="66"/>
    </row>
    <row r="241" spans="17:17">
      <c r="Q241" s="66"/>
    </row>
    <row r="242" spans="17:17">
      <c r="Q242" s="66"/>
    </row>
    <row r="243" spans="17:17">
      <c r="Q243" s="66"/>
    </row>
    <row r="244" spans="17:17">
      <c r="Q244" s="66"/>
    </row>
    <row r="245" spans="17:17">
      <c r="Q245" s="66"/>
    </row>
    <row r="246" spans="17:17">
      <c r="Q246" s="66"/>
    </row>
    <row r="247" spans="17:17">
      <c r="Q247" s="66"/>
    </row>
    <row r="248" spans="17:17">
      <c r="Q248" s="66"/>
    </row>
    <row r="249" spans="17:17">
      <c r="Q249" s="66"/>
    </row>
    <row r="250" spans="17:17">
      <c r="Q250" s="66"/>
    </row>
    <row r="251" spans="17:17">
      <c r="Q251" s="66"/>
    </row>
    <row r="252" spans="17:17">
      <c r="Q252" s="66"/>
    </row>
    <row r="253" spans="17:17">
      <c r="Q253" s="66"/>
    </row>
    <row r="254" spans="17:17">
      <c r="Q254" s="66"/>
    </row>
    <row r="255" spans="17:17">
      <c r="Q255" s="66"/>
    </row>
    <row r="256" spans="17:17">
      <c r="Q256" s="66"/>
    </row>
    <row r="257" spans="17:17">
      <c r="Q257" s="66"/>
    </row>
    <row r="258" spans="17:17">
      <c r="Q258" s="66"/>
    </row>
    <row r="259" spans="17:17">
      <c r="Q259" s="66"/>
    </row>
    <row r="260" spans="17:17">
      <c r="Q260" s="66"/>
    </row>
    <row r="261" spans="17:17">
      <c r="Q261" s="66"/>
    </row>
    <row r="262" spans="17:17">
      <c r="Q262" s="66"/>
    </row>
    <row r="263" spans="17:17">
      <c r="Q263" s="66"/>
    </row>
    <row r="264" spans="17:17">
      <c r="Q264" s="66"/>
    </row>
    <row r="265" spans="17:17">
      <c r="Q265" s="66"/>
    </row>
    <row r="266" spans="17:17">
      <c r="Q266" s="66"/>
    </row>
    <row r="267" spans="17:17">
      <c r="Q267" s="66"/>
    </row>
    <row r="268" spans="17:17">
      <c r="Q268" s="66"/>
    </row>
    <row r="269" spans="17:17">
      <c r="Q269" s="66"/>
    </row>
    <row r="270" spans="17:17">
      <c r="Q270" s="66"/>
    </row>
    <row r="271" spans="17:17">
      <c r="Q271" s="66"/>
    </row>
    <row r="272" spans="17:17">
      <c r="Q272" s="66"/>
    </row>
    <row r="273" spans="17:17">
      <c r="Q273" s="66"/>
    </row>
    <row r="274" spans="17:17">
      <c r="Q274" s="66"/>
    </row>
    <row r="275" spans="17:17">
      <c r="Q275" s="66"/>
    </row>
    <row r="276" spans="17:17">
      <c r="Q276" s="66"/>
    </row>
    <row r="277" spans="17:17">
      <c r="Q277" s="66"/>
    </row>
    <row r="278" spans="17:17">
      <c r="Q278" s="66"/>
    </row>
    <row r="279" spans="17:17">
      <c r="Q279" s="66"/>
    </row>
    <row r="280" spans="17:17">
      <c r="Q280" s="66"/>
    </row>
    <row r="281" spans="17:17">
      <c r="Q281" s="66"/>
    </row>
    <row r="282" spans="17:17">
      <c r="Q282" s="66"/>
    </row>
    <row r="283" spans="17:17">
      <c r="Q283" s="66"/>
    </row>
    <row r="284" spans="17:17">
      <c r="Q284" s="66"/>
    </row>
    <row r="285" spans="17:17">
      <c r="Q285" s="66"/>
    </row>
    <row r="286" spans="17:17">
      <c r="Q286" s="66"/>
    </row>
    <row r="287" spans="17:17">
      <c r="Q287" s="66"/>
    </row>
    <row r="288" spans="17:17">
      <c r="Q288" s="66"/>
    </row>
    <row r="289" spans="17:17">
      <c r="Q289" s="66"/>
    </row>
    <row r="290" spans="17:17">
      <c r="Q290" s="66"/>
    </row>
    <row r="291" spans="17:17">
      <c r="Q291" s="66"/>
    </row>
    <row r="292" spans="17:17">
      <c r="Q292" s="66"/>
    </row>
    <row r="293" spans="17:17">
      <c r="Q293" s="66"/>
    </row>
    <row r="294" spans="17:17">
      <c r="Q294" s="66"/>
    </row>
    <row r="295" spans="17:17">
      <c r="Q295" s="66"/>
    </row>
    <row r="296" spans="17:17">
      <c r="Q296" s="66"/>
    </row>
    <row r="297" spans="17:17">
      <c r="Q297" s="66"/>
    </row>
    <row r="298" spans="17:17">
      <c r="Q298" s="66"/>
    </row>
    <row r="299" spans="17:17">
      <c r="Q299" s="66"/>
    </row>
    <row r="300" spans="17:17">
      <c r="Q300" s="66"/>
    </row>
    <row r="301" spans="17:17">
      <c r="Q301" s="66"/>
    </row>
    <row r="302" spans="17:17">
      <c r="Q302" s="66"/>
    </row>
    <row r="303" spans="17:17">
      <c r="Q303" s="66"/>
    </row>
    <row r="304" spans="17:17">
      <c r="Q304" s="66"/>
    </row>
    <row r="305" spans="17:17">
      <c r="Q305" s="66"/>
    </row>
    <row r="306" spans="17:17">
      <c r="Q306" s="66"/>
    </row>
    <row r="307" spans="17:17">
      <c r="Q307" s="66"/>
    </row>
    <row r="308" spans="17:17">
      <c r="Q308" s="66"/>
    </row>
    <row r="309" spans="17:17">
      <c r="Q309" s="66"/>
    </row>
    <row r="310" spans="17:17">
      <c r="Q310" s="66"/>
    </row>
    <row r="311" spans="17:17">
      <c r="Q311" s="66"/>
    </row>
    <row r="312" spans="17:17">
      <c r="Q312" s="66"/>
    </row>
    <row r="313" spans="17:17">
      <c r="Q313" s="66"/>
    </row>
    <row r="314" spans="17:17">
      <c r="Q314" s="66"/>
    </row>
    <row r="315" spans="17:17">
      <c r="Q315" s="66"/>
    </row>
    <row r="316" spans="17:17">
      <c r="Q316" s="66"/>
    </row>
    <row r="317" spans="17:17">
      <c r="Q317" s="66"/>
    </row>
    <row r="318" spans="17:17">
      <c r="Q318" s="66"/>
    </row>
    <row r="319" spans="17:17">
      <c r="Q319" s="66"/>
    </row>
    <row r="320" spans="17:17">
      <c r="Q320" s="66"/>
    </row>
    <row r="321" spans="17:17">
      <c r="Q321" s="66"/>
    </row>
    <row r="322" spans="17:17">
      <c r="Q322" s="66"/>
    </row>
    <row r="323" spans="17:17">
      <c r="Q323" s="66"/>
    </row>
    <row r="324" spans="17:17">
      <c r="Q324" s="66"/>
    </row>
    <row r="325" spans="17:17">
      <c r="Q325" s="66"/>
    </row>
    <row r="326" spans="17:17">
      <c r="Q326" s="66"/>
    </row>
    <row r="327" spans="17:17">
      <c r="Q327" s="66"/>
    </row>
    <row r="328" spans="17:17">
      <c r="Q328" s="66"/>
    </row>
    <row r="329" spans="17:17">
      <c r="Q329" s="66"/>
    </row>
    <row r="330" spans="17:17">
      <c r="Q330" s="66"/>
    </row>
    <row r="331" spans="17:17">
      <c r="Q331" s="66"/>
    </row>
    <row r="332" spans="17:17">
      <c r="Q332" s="66"/>
    </row>
    <row r="333" spans="17:17">
      <c r="Q333" s="66"/>
    </row>
    <row r="334" spans="17:17">
      <c r="Q334" s="66"/>
    </row>
    <row r="335" spans="17:17">
      <c r="Q335" s="66"/>
    </row>
    <row r="336" spans="17:17">
      <c r="Q336" s="66"/>
    </row>
    <row r="337" spans="17:17">
      <c r="Q337" s="66"/>
    </row>
    <row r="338" spans="17:17">
      <c r="Q338" s="66"/>
    </row>
    <row r="339" spans="17:17">
      <c r="Q339" s="66"/>
    </row>
    <row r="340" spans="17:17">
      <c r="Q340" s="66"/>
    </row>
    <row r="341" spans="17:17">
      <c r="Q341" s="66"/>
    </row>
    <row r="342" spans="17:17">
      <c r="Q342" s="66"/>
    </row>
    <row r="343" spans="17:17">
      <c r="Q343" s="66"/>
    </row>
    <row r="344" spans="17:17">
      <c r="Q344" s="66"/>
    </row>
    <row r="345" spans="17:17">
      <c r="Q345" s="66"/>
    </row>
    <row r="346" spans="17:17">
      <c r="Q346" s="66"/>
    </row>
    <row r="347" spans="17:17">
      <c r="Q347" s="66"/>
    </row>
    <row r="348" spans="17:17">
      <c r="Q348" s="66"/>
    </row>
    <row r="349" spans="17:17">
      <c r="Q349" s="66"/>
    </row>
    <row r="350" spans="17:17">
      <c r="Q350" s="66"/>
    </row>
    <row r="351" spans="17:17">
      <c r="Q351" s="66"/>
    </row>
    <row r="352" spans="17:17">
      <c r="Q352" s="66"/>
    </row>
    <row r="353" spans="17:17">
      <c r="Q353" s="66"/>
    </row>
    <row r="354" spans="17:17">
      <c r="Q354" s="66"/>
    </row>
    <row r="355" spans="17:17">
      <c r="Q355" s="66"/>
    </row>
    <row r="356" spans="17:17">
      <c r="Q356" s="66"/>
    </row>
    <row r="357" spans="17:17">
      <c r="Q357" s="66"/>
    </row>
    <row r="358" spans="17:17">
      <c r="Q358" s="66"/>
    </row>
    <row r="359" spans="17:17">
      <c r="Q359" s="66"/>
    </row>
    <row r="360" spans="17:17">
      <c r="Q360" s="66"/>
    </row>
    <row r="361" spans="17:17">
      <c r="Q361" s="66"/>
    </row>
    <row r="362" spans="17:17">
      <c r="Q362" s="66"/>
    </row>
    <row r="363" spans="17:17">
      <c r="Q363" s="66"/>
    </row>
    <row r="364" spans="17:17">
      <c r="Q364" s="66"/>
    </row>
    <row r="365" spans="17:17">
      <c r="Q365" s="66"/>
    </row>
    <row r="366" spans="17:17">
      <c r="Q366" s="66"/>
    </row>
    <row r="367" spans="17:17">
      <c r="Q367" s="66"/>
    </row>
    <row r="368" spans="17:17">
      <c r="Q368" s="66"/>
    </row>
    <row r="369" spans="17:17">
      <c r="Q369" s="66"/>
    </row>
    <row r="370" spans="17:17">
      <c r="Q370" s="66"/>
    </row>
    <row r="371" spans="17:17">
      <c r="Q371" s="66"/>
    </row>
    <row r="372" spans="17:17">
      <c r="Q372" s="66"/>
    </row>
    <row r="373" spans="17:17">
      <c r="Q373" s="66"/>
    </row>
    <row r="374" spans="17:17">
      <c r="Q374" s="66"/>
    </row>
    <row r="375" spans="17:17">
      <c r="Q375" s="66"/>
    </row>
    <row r="376" spans="17:17">
      <c r="Q376" s="66"/>
    </row>
    <row r="377" spans="17:17">
      <c r="Q377" s="66"/>
    </row>
    <row r="378" spans="17:17">
      <c r="Q378" s="66"/>
    </row>
    <row r="379" spans="17:17">
      <c r="Q379" s="66"/>
    </row>
    <row r="380" spans="17:17">
      <c r="Q380" s="66"/>
    </row>
    <row r="381" spans="17:17">
      <c r="Q381" s="66"/>
    </row>
    <row r="382" spans="17:17">
      <c r="Q382" s="66"/>
    </row>
    <row r="383" spans="17:17">
      <c r="Q383" s="66"/>
    </row>
    <row r="384" spans="17:17">
      <c r="Q384" s="66"/>
    </row>
    <row r="385" spans="17:17">
      <c r="Q385" s="66"/>
    </row>
    <row r="386" spans="17:17">
      <c r="Q386" s="66"/>
    </row>
    <row r="387" spans="17:17">
      <c r="Q387" s="66"/>
    </row>
    <row r="388" spans="17:17">
      <c r="Q388" s="66"/>
    </row>
    <row r="389" spans="17:17">
      <c r="Q389" s="66"/>
    </row>
    <row r="390" spans="17:17">
      <c r="Q390" s="66"/>
    </row>
    <row r="391" spans="17:17">
      <c r="Q391" s="66"/>
    </row>
    <row r="392" spans="17:17">
      <c r="Q392" s="66"/>
    </row>
    <row r="393" spans="17:17">
      <c r="Q393" s="66"/>
    </row>
    <row r="394" spans="17:17">
      <c r="Q394" s="66"/>
    </row>
    <row r="395" spans="17:17">
      <c r="Q395" s="66"/>
    </row>
    <row r="396" spans="17:17">
      <c r="Q396" s="66"/>
    </row>
    <row r="397" spans="17:17">
      <c r="Q397" s="66"/>
    </row>
    <row r="398" spans="17:17">
      <c r="Q398" s="66"/>
    </row>
    <row r="399" spans="17:17">
      <c r="Q399" s="66"/>
    </row>
    <row r="400" spans="17:17">
      <c r="Q400" s="66"/>
    </row>
    <row r="401" spans="17:17">
      <c r="Q401" s="66"/>
    </row>
    <row r="402" spans="17:17">
      <c r="Q402" s="66"/>
    </row>
    <row r="403" spans="17:17">
      <c r="Q403" s="66"/>
    </row>
    <row r="404" spans="17:17">
      <c r="Q404" s="66"/>
    </row>
    <row r="405" spans="17:17">
      <c r="Q405" s="66"/>
    </row>
    <row r="406" spans="17:17">
      <c r="Q406" s="66"/>
    </row>
    <row r="407" spans="17:17">
      <c r="Q407" s="66"/>
    </row>
    <row r="408" spans="17:17">
      <c r="Q408" s="66"/>
    </row>
    <row r="409" spans="17:17">
      <c r="Q409" s="66"/>
    </row>
    <row r="410" spans="17:17">
      <c r="Q410" s="66"/>
    </row>
    <row r="411" spans="17:17">
      <c r="Q411" s="66"/>
    </row>
    <row r="412" spans="17:17">
      <c r="Q412" s="66"/>
    </row>
    <row r="413" spans="17:17">
      <c r="Q413" s="66"/>
    </row>
    <row r="414" spans="17:17">
      <c r="Q414" s="66"/>
    </row>
    <row r="415" spans="17:17">
      <c r="Q415" s="66"/>
    </row>
    <row r="416" spans="17:17">
      <c r="Q416" s="66"/>
    </row>
    <row r="417" spans="17:17">
      <c r="Q417" s="66"/>
    </row>
    <row r="418" spans="17:17">
      <c r="Q418" s="66"/>
    </row>
    <row r="419" spans="17:17">
      <c r="Q419" s="66"/>
    </row>
    <row r="420" spans="17:17">
      <c r="Q420" s="66"/>
    </row>
  </sheetData>
  <mergeCells count="1">
    <mergeCell ref="AG1:AG20"/>
  </mergeCells>
  <printOptions horizontalCentered="1" verticalCentered="1"/>
  <pageMargins left="0.7" right="0.7" top="0.75" bottom="0.75" header="0.3" footer="0.3"/>
  <pageSetup paperSize="5" scale="60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A2:AA66"/>
  <sheetViews>
    <sheetView zoomScale="120" zoomScaleNormal="120" workbookViewId="0">
      <pane xSplit="2" ySplit="3" topLeftCell="C15" activePane="bottomRight" state="frozen"/>
      <selection activeCell="H9" sqref="H9"/>
      <selection pane="topRight" activeCell="H9" sqref="H9"/>
      <selection pane="bottomLeft" activeCell="H9" sqref="H9"/>
      <selection pane="bottomRight" activeCell="E3" sqref="E3"/>
    </sheetView>
  </sheetViews>
  <sheetFormatPr defaultRowHeight="13.2"/>
  <cols>
    <col min="3" max="3" width="13.44140625" bestFit="1" customWidth="1"/>
    <col min="4" max="4" width="15.5546875" bestFit="1" customWidth="1"/>
    <col min="5" max="5" width="12" customWidth="1"/>
    <col min="6" max="6" width="13.109375" bestFit="1" customWidth="1"/>
    <col min="7" max="7" width="15.33203125" bestFit="1" customWidth="1"/>
    <col min="8" max="9" width="15.33203125" customWidth="1"/>
    <col min="10" max="10" width="13.109375" customWidth="1"/>
    <col min="11" max="11" width="15.109375" bestFit="1" customWidth="1"/>
    <col min="13" max="13" width="17.88671875" bestFit="1" customWidth="1"/>
    <col min="15" max="15" width="13.44140625" bestFit="1" customWidth="1"/>
  </cols>
  <sheetData>
    <row r="2" spans="1:27" ht="12.75" customHeight="1">
      <c r="A2" s="882"/>
      <c r="B2" s="882"/>
      <c r="C2" s="956" t="s">
        <v>325</v>
      </c>
      <c r="D2" s="956"/>
      <c r="E2" s="956"/>
      <c r="F2" s="956"/>
      <c r="G2" s="956"/>
      <c r="H2" s="956"/>
      <c r="I2" s="956"/>
      <c r="J2" s="956"/>
      <c r="K2" s="956"/>
    </row>
    <row r="3" spans="1:27" ht="39.6">
      <c r="A3" s="879" t="s">
        <v>15</v>
      </c>
      <c r="B3" s="879" t="s">
        <v>193</v>
      </c>
      <c r="C3" s="880" t="s">
        <v>208</v>
      </c>
      <c r="D3" s="880" t="s">
        <v>43</v>
      </c>
      <c r="E3" s="880" t="s">
        <v>44</v>
      </c>
      <c r="F3" s="880" t="s">
        <v>209</v>
      </c>
      <c r="G3" s="880" t="s">
        <v>210</v>
      </c>
      <c r="H3" s="880" t="s">
        <v>238</v>
      </c>
      <c r="I3" s="880" t="s">
        <v>230</v>
      </c>
      <c r="J3" s="880" t="s">
        <v>65</v>
      </c>
      <c r="K3" s="880" t="s">
        <v>211</v>
      </c>
      <c r="P3" s="432"/>
      <c r="Q3" s="432"/>
      <c r="R3" s="432"/>
      <c r="S3" s="432"/>
      <c r="T3" s="432"/>
      <c r="U3" s="432"/>
      <c r="V3" s="432"/>
      <c r="W3" s="432"/>
      <c r="X3" s="432"/>
      <c r="Y3" s="432"/>
      <c r="Z3" s="432"/>
      <c r="AA3" s="432"/>
    </row>
    <row r="4" spans="1:27" ht="14.4">
      <c r="A4" s="857">
        <v>2010</v>
      </c>
      <c r="B4" s="858" t="s">
        <v>180</v>
      </c>
      <c r="C4" s="817">
        <v>340822815.00000006</v>
      </c>
      <c r="D4" s="817">
        <v>228960</v>
      </c>
      <c r="E4" s="817">
        <v>-2175039.36</v>
      </c>
      <c r="F4" s="817">
        <v>0</v>
      </c>
      <c r="G4" s="817">
        <v>-34806</v>
      </c>
      <c r="H4" s="817">
        <v>0</v>
      </c>
      <c r="I4" s="817">
        <v>0</v>
      </c>
      <c r="J4" s="817">
        <f>SUM(C4:I4)</f>
        <v>338841929.64000005</v>
      </c>
      <c r="K4" s="850">
        <f>J4</f>
        <v>338841929.64000005</v>
      </c>
      <c r="M4" s="455"/>
    </row>
    <row r="5" spans="1:27" ht="14.4">
      <c r="A5" s="857">
        <f>A4+0</f>
        <v>2010</v>
      </c>
      <c r="B5" s="858" t="s">
        <v>181</v>
      </c>
      <c r="C5" s="817">
        <v>309490932</v>
      </c>
      <c r="D5" s="817">
        <v>0</v>
      </c>
      <c r="E5" s="817">
        <v>-1853226.83</v>
      </c>
      <c r="F5" s="817">
        <v>0</v>
      </c>
      <c r="G5" s="817">
        <v>-74085</v>
      </c>
      <c r="H5" s="817">
        <v>0</v>
      </c>
      <c r="I5" s="817">
        <v>0</v>
      </c>
      <c r="J5" s="817">
        <f t="shared" ref="J5:J19" si="0">SUM(C5:I5)</f>
        <v>307563620.17000002</v>
      </c>
      <c r="K5" s="850">
        <f>J5+K4</f>
        <v>646405549.81000006</v>
      </c>
      <c r="M5" s="455"/>
    </row>
    <row r="6" spans="1:27" ht="14.4">
      <c r="A6" s="857">
        <f t="shared" ref="A6:A15" si="1">A5+0</f>
        <v>2010</v>
      </c>
      <c r="B6" s="858" t="s">
        <v>182</v>
      </c>
      <c r="C6" s="817">
        <v>319180452.00000006</v>
      </c>
      <c r="D6" s="817">
        <v>0</v>
      </c>
      <c r="E6" s="817">
        <v>-1708420.4</v>
      </c>
      <c r="F6" s="817">
        <v>0</v>
      </c>
      <c r="G6" s="817">
        <v>-86323</v>
      </c>
      <c r="H6" s="817">
        <v>0</v>
      </c>
      <c r="I6" s="817">
        <v>0</v>
      </c>
      <c r="J6" s="817">
        <f t="shared" si="0"/>
        <v>317385708.60000008</v>
      </c>
      <c r="K6" s="850">
        <f t="shared" ref="K6:K50" si="2">J6+K5</f>
        <v>963791258.41000009</v>
      </c>
      <c r="M6" s="455"/>
    </row>
    <row r="7" spans="1:27" ht="14.4">
      <c r="A7" s="857">
        <f t="shared" si="1"/>
        <v>2010</v>
      </c>
      <c r="B7" s="858" t="s">
        <v>183</v>
      </c>
      <c r="C7" s="817">
        <v>290111915</v>
      </c>
      <c r="D7" s="817">
        <v>0</v>
      </c>
      <c r="E7" s="817">
        <v>-1286306.18</v>
      </c>
      <c r="F7" s="817">
        <v>0</v>
      </c>
      <c r="G7" s="817">
        <v>-245174</v>
      </c>
      <c r="H7" s="817">
        <v>0</v>
      </c>
      <c r="I7" s="817">
        <v>0</v>
      </c>
      <c r="J7" s="817">
        <f t="shared" si="0"/>
        <v>288580434.81999999</v>
      </c>
      <c r="K7" s="850">
        <f t="shared" si="2"/>
        <v>1252371693.23</v>
      </c>
    </row>
    <row r="8" spans="1:27" ht="14.4">
      <c r="A8" s="857">
        <f t="shared" si="1"/>
        <v>2010</v>
      </c>
      <c r="B8" s="858" t="s">
        <v>184</v>
      </c>
      <c r="C8" s="817">
        <v>319727377.00000006</v>
      </c>
      <c r="D8" s="817">
        <v>0</v>
      </c>
      <c r="E8" s="817">
        <v>-2471319.88</v>
      </c>
      <c r="F8" s="817">
        <v>0</v>
      </c>
      <c r="G8" s="817">
        <v>-95999</v>
      </c>
      <c r="H8" s="817">
        <v>0</v>
      </c>
      <c r="I8" s="817">
        <v>0</v>
      </c>
      <c r="J8" s="817">
        <f t="shared" si="0"/>
        <v>317160058.12000006</v>
      </c>
      <c r="K8" s="850">
        <f t="shared" si="2"/>
        <v>1569531751.3500001</v>
      </c>
    </row>
    <row r="9" spans="1:27" ht="14.4">
      <c r="A9" s="857">
        <f t="shared" si="1"/>
        <v>2010</v>
      </c>
      <c r="B9" s="858" t="s">
        <v>185</v>
      </c>
      <c r="C9" s="817">
        <v>330225725</v>
      </c>
      <c r="D9" s="817">
        <v>0</v>
      </c>
      <c r="E9" s="817">
        <v>-2219233.85</v>
      </c>
      <c r="F9" s="817">
        <v>0</v>
      </c>
      <c r="G9" s="817">
        <v>-95178</v>
      </c>
      <c r="H9" s="817">
        <v>0</v>
      </c>
      <c r="I9" s="817">
        <v>0</v>
      </c>
      <c r="J9" s="817">
        <f t="shared" si="0"/>
        <v>327911313.14999998</v>
      </c>
      <c r="K9" s="850">
        <f t="shared" si="2"/>
        <v>1897443064.5</v>
      </c>
    </row>
    <row r="10" spans="1:27" ht="14.4">
      <c r="A10" s="857">
        <f t="shared" si="1"/>
        <v>2010</v>
      </c>
      <c r="B10" s="858" t="s">
        <v>186</v>
      </c>
      <c r="C10" s="817">
        <v>388191057</v>
      </c>
      <c r="D10" s="817">
        <v>197130</v>
      </c>
      <c r="E10" s="817">
        <v>-1211222.1299999999</v>
      </c>
      <c r="F10" s="817">
        <v>0</v>
      </c>
      <c r="G10" s="817">
        <v>-92407</v>
      </c>
      <c r="H10" s="817">
        <v>0</v>
      </c>
      <c r="I10" s="817">
        <v>0</v>
      </c>
      <c r="J10" s="817">
        <f t="shared" si="0"/>
        <v>387084557.87</v>
      </c>
      <c r="K10" s="850">
        <f t="shared" si="2"/>
        <v>2284527622.3699999</v>
      </c>
    </row>
    <row r="11" spans="1:27" ht="14.4">
      <c r="A11" s="857">
        <f t="shared" si="1"/>
        <v>2010</v>
      </c>
      <c r="B11" s="858" t="s">
        <v>187</v>
      </c>
      <c r="C11" s="817">
        <v>372730136</v>
      </c>
      <c r="D11" s="817">
        <v>647590</v>
      </c>
      <c r="E11" s="817">
        <v>-1200602</v>
      </c>
      <c r="F11" s="817">
        <v>0</v>
      </c>
      <c r="G11" s="817">
        <v>-91740</v>
      </c>
      <c r="H11" s="817">
        <v>0</v>
      </c>
      <c r="I11" s="817">
        <v>0</v>
      </c>
      <c r="J11" s="817">
        <f t="shared" si="0"/>
        <v>372085384</v>
      </c>
      <c r="K11" s="850">
        <f t="shared" si="2"/>
        <v>2656613006.3699999</v>
      </c>
    </row>
    <row r="12" spans="1:27" ht="14.4">
      <c r="A12" s="857">
        <f t="shared" si="1"/>
        <v>2010</v>
      </c>
      <c r="B12" s="858" t="s">
        <v>188</v>
      </c>
      <c r="C12" s="817">
        <v>310247124</v>
      </c>
      <c r="D12" s="817">
        <v>826230</v>
      </c>
      <c r="E12" s="817">
        <v>-1095061.3899999999</v>
      </c>
      <c r="F12" s="817">
        <v>0</v>
      </c>
      <c r="G12" s="817">
        <v>-98118</v>
      </c>
      <c r="H12" s="817">
        <v>0</v>
      </c>
      <c r="I12" s="817">
        <v>0</v>
      </c>
      <c r="J12" s="817">
        <f t="shared" si="0"/>
        <v>309880174.61000001</v>
      </c>
      <c r="K12" s="850">
        <f t="shared" si="2"/>
        <v>2966493180.98</v>
      </c>
    </row>
    <row r="13" spans="1:27" ht="14.4">
      <c r="A13" s="857">
        <f t="shared" si="1"/>
        <v>2010</v>
      </c>
      <c r="B13" s="858" t="s">
        <v>189</v>
      </c>
      <c r="C13" s="817">
        <v>302566054</v>
      </c>
      <c r="D13" s="817">
        <v>680040</v>
      </c>
      <c r="E13" s="817">
        <v>-1198628.19</v>
      </c>
      <c r="F13" s="817">
        <v>0</v>
      </c>
      <c r="G13" s="817">
        <v>-103119</v>
      </c>
      <c r="H13" s="817">
        <v>0</v>
      </c>
      <c r="I13" s="817">
        <v>0</v>
      </c>
      <c r="J13" s="817">
        <f t="shared" si="0"/>
        <v>301944346.81</v>
      </c>
      <c r="K13" s="850">
        <f t="shared" si="2"/>
        <v>3268437527.79</v>
      </c>
    </row>
    <row r="14" spans="1:27" ht="14.4">
      <c r="A14" s="857">
        <f t="shared" si="1"/>
        <v>2010</v>
      </c>
      <c r="B14" s="858" t="s">
        <v>190</v>
      </c>
      <c r="C14" s="817">
        <v>309652268</v>
      </c>
      <c r="D14" s="817">
        <v>891720</v>
      </c>
      <c r="E14" s="817">
        <v>-1337762.24</v>
      </c>
      <c r="F14" s="817">
        <v>0</v>
      </c>
      <c r="G14" s="817">
        <v>-98825</v>
      </c>
      <c r="H14" s="817">
        <v>0</v>
      </c>
      <c r="I14" s="817">
        <v>0</v>
      </c>
      <c r="J14" s="817">
        <f t="shared" si="0"/>
        <v>309107400.75999999</v>
      </c>
      <c r="K14" s="850">
        <f t="shared" si="2"/>
        <v>3577544928.5500002</v>
      </c>
    </row>
    <row r="15" spans="1:27" ht="14.4">
      <c r="A15" s="859">
        <f t="shared" si="1"/>
        <v>2010</v>
      </c>
      <c r="B15" s="860" t="s">
        <v>191</v>
      </c>
      <c r="C15" s="820">
        <v>334814121</v>
      </c>
      <c r="D15" s="820">
        <v>1251730</v>
      </c>
      <c r="E15" s="820">
        <v>-1755429.9</v>
      </c>
      <c r="F15" s="820">
        <v>0</v>
      </c>
      <c r="G15" s="820">
        <v>-801207.20230000012</v>
      </c>
      <c r="H15" s="817">
        <v>0</v>
      </c>
      <c r="I15" s="817">
        <v>0</v>
      </c>
      <c r="J15" s="817">
        <f t="shared" si="0"/>
        <v>333509213.89770001</v>
      </c>
      <c r="K15" s="881">
        <f t="shared" si="2"/>
        <v>3911054142.4477</v>
      </c>
    </row>
    <row r="16" spans="1:27" ht="14.4">
      <c r="A16" s="857">
        <f>A15+1</f>
        <v>2011</v>
      </c>
      <c r="B16" s="858" t="s">
        <v>180</v>
      </c>
      <c r="C16" s="817">
        <v>348172316</v>
      </c>
      <c r="D16" s="817">
        <v>628260</v>
      </c>
      <c r="E16" s="817">
        <v>-2572034.7400000002</v>
      </c>
      <c r="F16" s="817">
        <v>699</v>
      </c>
      <c r="G16" s="817">
        <v>-71342</v>
      </c>
      <c r="H16" s="817">
        <v>0</v>
      </c>
      <c r="I16" s="817">
        <f>'WH MRK PART.'!E4</f>
        <v>0</v>
      </c>
      <c r="J16" s="817">
        <f t="shared" si="0"/>
        <v>346157898.25999999</v>
      </c>
      <c r="K16" s="850">
        <f>J16</f>
        <v>346157898.25999999</v>
      </c>
    </row>
    <row r="17" spans="1:18" ht="14.4">
      <c r="A17" s="857">
        <f>A16+0</f>
        <v>2011</v>
      </c>
      <c r="B17" s="858" t="s">
        <v>181</v>
      </c>
      <c r="C17" s="817">
        <v>316526008</v>
      </c>
      <c r="D17" s="817">
        <v>435930</v>
      </c>
      <c r="E17" s="817">
        <v>-4477572.3</v>
      </c>
      <c r="F17" s="817">
        <v>571</v>
      </c>
      <c r="G17" s="817">
        <v>-78233</v>
      </c>
      <c r="H17" s="817">
        <v>-18.893134399999994</v>
      </c>
      <c r="I17" s="817">
        <f>'WH MRK PART.'!E5</f>
        <v>0</v>
      </c>
      <c r="J17" s="817">
        <f t="shared" si="0"/>
        <v>312406684.80686557</v>
      </c>
      <c r="K17" s="850">
        <f>J17+K16</f>
        <v>658564583.06686556</v>
      </c>
    </row>
    <row r="18" spans="1:18" ht="14.4">
      <c r="A18" s="857">
        <f t="shared" ref="A18:A27" si="3">A17+0</f>
        <v>2011</v>
      </c>
      <c r="B18" s="858" t="s">
        <v>182</v>
      </c>
      <c r="C18" s="817">
        <v>336065023</v>
      </c>
      <c r="D18" s="817">
        <v>865920</v>
      </c>
      <c r="E18" s="817">
        <v>-2798986.96</v>
      </c>
      <c r="F18" s="817">
        <v>1345</v>
      </c>
      <c r="G18" s="817">
        <v>-84035</v>
      </c>
      <c r="H18" s="817">
        <v>-135.89168410000039</v>
      </c>
      <c r="I18" s="817">
        <f>'WH MRK PART.'!E6</f>
        <v>0</v>
      </c>
      <c r="J18" s="817">
        <f>SUM(C18:I18)</f>
        <v>334049130.14831591</v>
      </c>
      <c r="K18" s="850">
        <f t="shared" si="2"/>
        <v>992613713.21518147</v>
      </c>
      <c r="R18" s="459"/>
    </row>
    <row r="19" spans="1:18" ht="14.4">
      <c r="A19" s="857">
        <f t="shared" si="3"/>
        <v>2011</v>
      </c>
      <c r="B19" s="858" t="s">
        <v>183</v>
      </c>
      <c r="C19" s="817">
        <v>301288326.00000006</v>
      </c>
      <c r="D19" s="817">
        <v>960450</v>
      </c>
      <c r="E19" s="817">
        <v>-2251118.5499999998</v>
      </c>
      <c r="F19" s="817">
        <v>2692</v>
      </c>
      <c r="G19" s="817">
        <v>-90712</v>
      </c>
      <c r="H19" s="817">
        <v>-111.70607110000024</v>
      </c>
      <c r="I19" s="817">
        <f>'WH MRK PART.'!E7</f>
        <v>0</v>
      </c>
      <c r="J19" s="817">
        <f t="shared" si="0"/>
        <v>299909525.74392897</v>
      </c>
      <c r="K19" s="850">
        <f t="shared" si="2"/>
        <v>1292523238.9591105</v>
      </c>
    </row>
    <row r="20" spans="1:18" ht="14.4">
      <c r="A20" s="857">
        <f t="shared" si="3"/>
        <v>2011</v>
      </c>
      <c r="B20" s="858" t="s">
        <v>184</v>
      </c>
      <c r="C20" s="817">
        <v>306330024</v>
      </c>
      <c r="D20" s="817">
        <v>1283320</v>
      </c>
      <c r="E20" s="817">
        <v>-2284871.64</v>
      </c>
      <c r="F20" s="817">
        <v>3024</v>
      </c>
      <c r="G20" s="817">
        <v>-97952</v>
      </c>
      <c r="H20" s="817">
        <v>-105.49046170000025</v>
      </c>
      <c r="I20" s="817">
        <f>'WH MRK PART.'!E8</f>
        <v>3287402.7348799999</v>
      </c>
      <c r="J20" s="817">
        <f>SUM(C20:I20)</f>
        <v>308520841.60441828</v>
      </c>
      <c r="K20" s="850">
        <f t="shared" si="2"/>
        <v>1601044080.5635288</v>
      </c>
    </row>
    <row r="21" spans="1:18" ht="14.4">
      <c r="A21" s="857">
        <f t="shared" si="3"/>
        <v>2011</v>
      </c>
      <c r="B21" s="858" t="s">
        <v>185</v>
      </c>
      <c r="C21" s="817">
        <v>329611945</v>
      </c>
      <c r="D21" s="817">
        <v>838209.59999999905</v>
      </c>
      <c r="E21" s="817">
        <v>-2379610.09</v>
      </c>
      <c r="F21" s="817">
        <v>4001</v>
      </c>
      <c r="G21" s="817">
        <v>-107553</v>
      </c>
      <c r="H21" s="817">
        <v>-94.146922800000169</v>
      </c>
      <c r="I21" s="817">
        <f>'WH MRK PART.'!E9</f>
        <v>3439221.7391400002</v>
      </c>
      <c r="J21" s="817">
        <f>SUM(C21:I21)</f>
        <v>331406120.1022172</v>
      </c>
      <c r="K21" s="850">
        <f t="shared" si="2"/>
        <v>1932450200.665746</v>
      </c>
    </row>
    <row r="22" spans="1:18" ht="14.4">
      <c r="A22" s="857">
        <f t="shared" si="3"/>
        <v>2011</v>
      </c>
      <c r="B22" s="858" t="s">
        <v>186</v>
      </c>
      <c r="C22" s="817">
        <v>398223417.99999994</v>
      </c>
      <c r="D22" s="817">
        <v>879930</v>
      </c>
      <c r="E22" s="817">
        <v>-3358292.96</v>
      </c>
      <c r="F22" s="817">
        <v>4225</v>
      </c>
      <c r="G22" s="817">
        <v>-102869</v>
      </c>
      <c r="H22" s="817">
        <v>-98.410710800000089</v>
      </c>
      <c r="I22" s="817">
        <f>'WH MRK PART.'!E10</f>
        <v>3630411.3170599998</v>
      </c>
      <c r="J22" s="817">
        <f t="shared" ref="J22:J50" si="4">SUM(C22:I22)</f>
        <v>399276723.94634914</v>
      </c>
      <c r="K22" s="850">
        <f t="shared" si="2"/>
        <v>2331726924.6120949</v>
      </c>
    </row>
    <row r="23" spans="1:18" ht="14.4">
      <c r="A23" s="857">
        <f t="shared" si="3"/>
        <v>2011</v>
      </c>
      <c r="B23" s="858" t="s">
        <v>187</v>
      </c>
      <c r="C23" s="817">
        <v>365550357</v>
      </c>
      <c r="D23" s="817">
        <v>1206480</v>
      </c>
      <c r="E23" s="817">
        <v>-2968413.9</v>
      </c>
      <c r="F23" s="817">
        <v>3570.9998999999998</v>
      </c>
      <c r="G23" s="817">
        <v>-104347</v>
      </c>
      <c r="H23" s="817">
        <v>-126.16776370000007</v>
      </c>
      <c r="I23" s="817">
        <f>'WH MRK PART.'!E11</f>
        <v>4085774.4736600001</v>
      </c>
      <c r="J23" s="817">
        <f t="shared" si="4"/>
        <v>367773295.40579629</v>
      </c>
      <c r="K23" s="850">
        <f t="shared" si="2"/>
        <v>2699500220.0178909</v>
      </c>
    </row>
    <row r="24" spans="1:18" ht="14.4">
      <c r="A24" s="857">
        <f t="shared" si="3"/>
        <v>2011</v>
      </c>
      <c r="B24" s="858" t="s">
        <v>188</v>
      </c>
      <c r="C24" s="817">
        <v>311676366</v>
      </c>
      <c r="D24" s="817">
        <v>815846.39999999898</v>
      </c>
      <c r="E24" s="817">
        <v>-2566156.9</v>
      </c>
      <c r="F24" s="817">
        <v>2635</v>
      </c>
      <c r="G24" s="817">
        <v>-105575</v>
      </c>
      <c r="H24" s="817">
        <v>-151.17819200000005</v>
      </c>
      <c r="I24" s="817">
        <f>'WH MRK PART.'!E12</f>
        <v>3958782.9468000005</v>
      </c>
      <c r="J24" s="817">
        <f t="shared" si="4"/>
        <v>313781747.26860797</v>
      </c>
      <c r="K24" s="850">
        <f t="shared" si="2"/>
        <v>3013281967.286499</v>
      </c>
      <c r="R24" s="459"/>
    </row>
    <row r="25" spans="1:18" ht="14.4">
      <c r="A25" s="857">
        <f t="shared" si="3"/>
        <v>2011</v>
      </c>
      <c r="B25" s="858" t="s">
        <v>189</v>
      </c>
      <c r="C25" s="817">
        <v>309782474</v>
      </c>
      <c r="D25" s="817">
        <v>894503.99999999895</v>
      </c>
      <c r="E25" s="817">
        <v>-2682123.31</v>
      </c>
      <c r="F25" s="817">
        <v>146538</v>
      </c>
      <c r="G25" s="817">
        <v>-107851</v>
      </c>
      <c r="H25" s="817">
        <v>-174.60522329999998</v>
      </c>
      <c r="I25" s="817">
        <f>'WH MRK PART.'!E13</f>
        <v>4062529.7504000003</v>
      </c>
      <c r="J25" s="817">
        <f t="shared" si="4"/>
        <v>312095896.83517671</v>
      </c>
      <c r="K25" s="850">
        <f t="shared" si="2"/>
        <v>3325377864.1216755</v>
      </c>
      <c r="L25" s="597"/>
    </row>
    <row r="26" spans="1:18" ht="14.4">
      <c r="A26" s="857">
        <f t="shared" si="3"/>
        <v>2011</v>
      </c>
      <c r="B26" s="858" t="s">
        <v>190</v>
      </c>
      <c r="C26" s="817">
        <v>312006188.00000006</v>
      </c>
      <c r="D26" s="817">
        <v>984734.399999997</v>
      </c>
      <c r="E26" s="817">
        <v>-2766156.95</v>
      </c>
      <c r="F26" s="817">
        <v>21890</v>
      </c>
      <c r="G26" s="817">
        <v>-98105</v>
      </c>
      <c r="H26" s="817">
        <v>-189.54607460000005</v>
      </c>
      <c r="I26" s="817">
        <f>'WH MRK PART.'!E14</f>
        <v>4192028.2412800002</v>
      </c>
      <c r="J26" s="817">
        <f t="shared" si="4"/>
        <v>314340389.14520544</v>
      </c>
      <c r="K26" s="850">
        <f t="shared" si="2"/>
        <v>3639718253.266881</v>
      </c>
    </row>
    <row r="27" spans="1:18" ht="14.4">
      <c r="A27" s="859">
        <f t="shared" si="3"/>
        <v>2011</v>
      </c>
      <c r="B27" s="860" t="s">
        <v>191</v>
      </c>
      <c r="C27" s="820">
        <v>327702256</v>
      </c>
      <c r="D27" s="820">
        <v>908755.200000001</v>
      </c>
      <c r="E27" s="820">
        <v>-3679789.85</v>
      </c>
      <c r="F27" s="820">
        <v>12580</v>
      </c>
      <c r="G27" s="820">
        <v>-93359</v>
      </c>
      <c r="H27" s="817">
        <v>-571.62908479999987</v>
      </c>
      <c r="I27" s="817">
        <f>'WH MRK PART.'!E15</f>
        <v>3934475.9643200003</v>
      </c>
      <c r="J27" s="817">
        <f t="shared" si="4"/>
        <v>328784346.68523514</v>
      </c>
      <c r="K27" s="881">
        <f t="shared" si="2"/>
        <v>3968502599.952116</v>
      </c>
    </row>
    <row r="28" spans="1:18" ht="14.4">
      <c r="A28" s="857">
        <f>A27+1</f>
        <v>2012</v>
      </c>
      <c r="B28" s="858" t="s">
        <v>180</v>
      </c>
      <c r="C28" s="817">
        <v>342203965</v>
      </c>
      <c r="D28" s="817">
        <v>709886.4</v>
      </c>
      <c r="E28" s="817">
        <v>-3833821.99</v>
      </c>
      <c r="F28" s="817">
        <v>26170.58734650051</v>
      </c>
      <c r="G28" s="817">
        <v>-84038</v>
      </c>
      <c r="H28" s="817">
        <v>-1007.4896385999994</v>
      </c>
      <c r="I28" s="817">
        <f>'WH MRK PART.'!E16</f>
        <v>3723587.1043799999</v>
      </c>
      <c r="J28" s="817">
        <f t="shared" si="4"/>
        <v>342744741.61208785</v>
      </c>
      <c r="K28" s="850">
        <f>J28</f>
        <v>342744741.61208785</v>
      </c>
    </row>
    <row r="29" spans="1:18" ht="14.4">
      <c r="A29" s="857">
        <f>A28+0</f>
        <v>2012</v>
      </c>
      <c r="B29" s="858" t="s">
        <v>181</v>
      </c>
      <c r="C29" s="817">
        <v>316529678.99999988</v>
      </c>
      <c r="D29" s="817">
        <v>675475.2</v>
      </c>
      <c r="E29" s="817">
        <v>-3052681.63</v>
      </c>
      <c r="F29" s="817">
        <v>49281</v>
      </c>
      <c r="G29" s="817">
        <v>-60187</v>
      </c>
      <c r="H29" s="817">
        <v>-840.49610479999785</v>
      </c>
      <c r="I29" s="817">
        <f>'WH MRK PART.'!E17</f>
        <v>3294699.2903000005</v>
      </c>
      <c r="J29" s="817">
        <f t="shared" si="4"/>
        <v>317435425.36419511</v>
      </c>
      <c r="K29" s="850">
        <f>J29+K28</f>
        <v>660180166.97628295</v>
      </c>
    </row>
    <row r="30" spans="1:18" ht="14.4">
      <c r="A30" s="857">
        <f t="shared" ref="A30:A39" si="5">A29+0</f>
        <v>2012</v>
      </c>
      <c r="B30" s="858" t="s">
        <v>182</v>
      </c>
      <c r="C30" s="817">
        <v>320685949.00000006</v>
      </c>
      <c r="D30" s="817">
        <v>999292.79999999981</v>
      </c>
      <c r="E30" s="817">
        <v>-2748420.25</v>
      </c>
      <c r="F30" s="817">
        <v>75742.012468827932</v>
      </c>
      <c r="G30" s="817">
        <v>-67560</v>
      </c>
      <c r="H30" s="817">
        <v>-704.02694649999842</v>
      </c>
      <c r="I30" s="817">
        <f>'WH MRK PART.'!E18</f>
        <v>4066062.2769800005</v>
      </c>
      <c r="J30" s="817">
        <f t="shared" si="4"/>
        <v>323010361.81250238</v>
      </c>
      <c r="K30" s="850">
        <f t="shared" si="2"/>
        <v>983190528.78878534</v>
      </c>
      <c r="R30" s="459"/>
    </row>
    <row r="31" spans="1:18" ht="14.4">
      <c r="A31" s="857">
        <f t="shared" si="5"/>
        <v>2012</v>
      </c>
      <c r="B31" s="858" t="s">
        <v>183</v>
      </c>
      <c r="C31" s="817">
        <v>298914641.00000006</v>
      </c>
      <c r="D31" s="817">
        <v>863366.39999999793</v>
      </c>
      <c r="E31" s="817">
        <v>-2500370.9900000002</v>
      </c>
      <c r="F31" s="817">
        <v>91279</v>
      </c>
      <c r="G31" s="817">
        <v>-72976</v>
      </c>
      <c r="H31" s="817">
        <v>-607.82160759999942</v>
      </c>
      <c r="I31" s="817">
        <f>'WH MRK PART.'!E19</f>
        <v>4349279.8091600006</v>
      </c>
      <c r="J31" s="817">
        <f t="shared" si="4"/>
        <v>301644611.39755243</v>
      </c>
      <c r="K31" s="850">
        <f t="shared" si="2"/>
        <v>1284835140.1863377</v>
      </c>
    </row>
    <row r="32" spans="1:18" ht="14.4">
      <c r="A32" s="857">
        <f t="shared" si="5"/>
        <v>2012</v>
      </c>
      <c r="B32" s="858" t="s">
        <v>184</v>
      </c>
      <c r="C32" s="817">
        <v>323063949.99999994</v>
      </c>
      <c r="D32" s="817">
        <v>1408411.2</v>
      </c>
      <c r="E32" s="817">
        <v>-2481590.52</v>
      </c>
      <c r="F32" s="817">
        <v>120308.0174563591</v>
      </c>
      <c r="G32" s="817">
        <v>-81900</v>
      </c>
      <c r="H32" s="817">
        <v>-455.51123499999954</v>
      </c>
      <c r="I32" s="817">
        <f>'WH MRK PART.'!E20</f>
        <v>4370856.0079800002</v>
      </c>
      <c r="J32" s="817">
        <f t="shared" si="4"/>
        <v>326399579.19420129</v>
      </c>
      <c r="K32" s="850">
        <f t="shared" si="2"/>
        <v>1611234719.3805389</v>
      </c>
    </row>
    <row r="33" spans="1:18" ht="14.4">
      <c r="A33" s="857">
        <f t="shared" si="5"/>
        <v>2012</v>
      </c>
      <c r="B33" s="858" t="s">
        <v>185</v>
      </c>
      <c r="C33" s="817">
        <v>355189032.99999994</v>
      </c>
      <c r="D33" s="817">
        <v>1126008</v>
      </c>
      <c r="E33" s="817">
        <v>-2788591.68</v>
      </c>
      <c r="F33" s="817">
        <v>117562.84796</v>
      </c>
      <c r="G33" s="817">
        <v>-83571</v>
      </c>
      <c r="H33" s="817">
        <v>-415.67275949999947</v>
      </c>
      <c r="I33" s="817">
        <f>'WH MRK PART.'!E21</f>
        <v>4390391.4216800006</v>
      </c>
      <c r="J33" s="817">
        <f t="shared" si="4"/>
        <v>357950416.91688043</v>
      </c>
      <c r="K33" s="850">
        <f t="shared" si="2"/>
        <v>1969185136.2974193</v>
      </c>
    </row>
    <row r="34" spans="1:18" ht="14.4">
      <c r="A34" s="857">
        <f t="shared" si="5"/>
        <v>2012</v>
      </c>
      <c r="B34" s="858" t="s">
        <v>186</v>
      </c>
      <c r="C34" s="817">
        <v>405020177.99999988</v>
      </c>
      <c r="D34" s="817">
        <v>900508.799999999</v>
      </c>
      <c r="E34" s="817">
        <v>-3313146.52</v>
      </c>
      <c r="F34" s="817">
        <v>120234</v>
      </c>
      <c r="G34" s="817">
        <v>-85367</v>
      </c>
      <c r="H34" s="817">
        <v>-449.49018679999949</v>
      </c>
      <c r="I34" s="817">
        <f>'WH MRK PART.'!E22</f>
        <v>4834234.2983000008</v>
      </c>
      <c r="J34" s="817">
        <f t="shared" si="4"/>
        <v>407476192.08811313</v>
      </c>
      <c r="K34" s="850">
        <f t="shared" si="2"/>
        <v>2376661328.3855324</v>
      </c>
    </row>
    <row r="35" spans="1:18" ht="14.4">
      <c r="A35" s="857">
        <f t="shared" si="5"/>
        <v>2012</v>
      </c>
      <c r="B35" s="858" t="s">
        <v>187</v>
      </c>
      <c r="C35" s="817">
        <v>372181901.99999994</v>
      </c>
      <c r="D35" s="817">
        <v>935856</v>
      </c>
      <c r="E35" s="817">
        <v>-2871624.87</v>
      </c>
      <c r="F35" s="817">
        <v>119193.40399999999</v>
      </c>
      <c r="G35" s="817">
        <v>-71747</v>
      </c>
      <c r="H35" s="817">
        <v>-496.26559699999945</v>
      </c>
      <c r="I35" s="817">
        <f>'WH MRK PART.'!E23</f>
        <v>4913894.8267200002</v>
      </c>
      <c r="J35" s="817">
        <f t="shared" si="4"/>
        <v>375206978.09512293</v>
      </c>
      <c r="K35" s="850">
        <f t="shared" si="2"/>
        <v>2751868306.4806552</v>
      </c>
    </row>
    <row r="36" spans="1:18" ht="14.4">
      <c r="A36" s="857">
        <f t="shared" si="5"/>
        <v>2012</v>
      </c>
      <c r="B36" s="858" t="s">
        <v>188</v>
      </c>
      <c r="C36" s="817">
        <v>316474974.00000006</v>
      </c>
      <c r="D36" s="817">
        <v>1045862.4</v>
      </c>
      <c r="E36" s="817">
        <v>-2484583.2000000002</v>
      </c>
      <c r="F36" s="817">
        <v>106448.962</v>
      </c>
      <c r="G36" s="817">
        <v>-88333</v>
      </c>
      <c r="H36" s="817">
        <v>-552.48860929999955</v>
      </c>
      <c r="I36" s="817">
        <f>'WH MRK PART.'!E24</f>
        <v>4781286.0535000004</v>
      </c>
      <c r="J36" s="817">
        <f t="shared" si="4"/>
        <v>319835102.72689074</v>
      </c>
      <c r="K36" s="850">
        <f t="shared" si="2"/>
        <v>3071703409.2075458</v>
      </c>
      <c r="P36" s="624"/>
    </row>
    <row r="37" spans="1:18" ht="14.4">
      <c r="A37" s="857">
        <f t="shared" si="5"/>
        <v>2012</v>
      </c>
      <c r="B37" s="858" t="s">
        <v>189</v>
      </c>
      <c r="C37" s="817">
        <v>314632845.99999994</v>
      </c>
      <c r="D37" s="817">
        <v>1101384</v>
      </c>
      <c r="E37" s="817">
        <v>-2525848.69</v>
      </c>
      <c r="F37" s="817">
        <v>76047.450723192</v>
      </c>
      <c r="G37" s="817">
        <v>-81082</v>
      </c>
      <c r="H37" s="817">
        <v>-1491.9894575000001</v>
      </c>
      <c r="I37" s="817">
        <f>'WH MRK PART.'!E25</f>
        <v>4965591.9211800005</v>
      </c>
      <c r="J37" s="817">
        <f t="shared" si="4"/>
        <v>318167446.69244564</v>
      </c>
      <c r="K37" s="850">
        <f t="shared" si="2"/>
        <v>3389870855.8999915</v>
      </c>
      <c r="P37" s="624"/>
    </row>
    <row r="38" spans="1:18" ht="14.4">
      <c r="A38" s="857">
        <f t="shared" si="5"/>
        <v>2012</v>
      </c>
      <c r="B38" s="858" t="s">
        <v>190</v>
      </c>
      <c r="C38" s="817">
        <v>321476571</v>
      </c>
      <c r="D38" s="817">
        <v>549902.39999999991</v>
      </c>
      <c r="E38" s="817">
        <v>-2792197.96</v>
      </c>
      <c r="F38" s="817">
        <v>75403.96620947629</v>
      </c>
      <c r="G38" s="817">
        <v>-77164</v>
      </c>
      <c r="H38" s="817">
        <v>-3266.3317168999997</v>
      </c>
      <c r="I38" s="817">
        <f>'WH MRK PART.'!E26</f>
        <v>4900219.1944199996</v>
      </c>
      <c r="J38" s="817">
        <f t="shared" si="4"/>
        <v>324129468.26891255</v>
      </c>
      <c r="K38" s="850">
        <f t="shared" si="2"/>
        <v>3714000324.1689043</v>
      </c>
      <c r="P38" s="625"/>
    </row>
    <row r="39" spans="1:18" ht="14.4">
      <c r="A39" s="859">
        <f t="shared" si="5"/>
        <v>2012</v>
      </c>
      <c r="B39" s="860" t="s">
        <v>191</v>
      </c>
      <c r="C39" s="820">
        <v>327503206.99999994</v>
      </c>
      <c r="D39" s="820">
        <v>964627.20000000007</v>
      </c>
      <c r="E39" s="820">
        <v>-3248453.8</v>
      </c>
      <c r="F39" s="820">
        <v>36920.955999999998</v>
      </c>
      <c r="G39" s="820">
        <v>-68968</v>
      </c>
      <c r="H39" s="817">
        <v>-4579.7543539000017</v>
      </c>
      <c r="I39" s="817">
        <f>'WH MRK PART.'!E27</f>
        <v>4059950.8716799999</v>
      </c>
      <c r="J39" s="817">
        <f t="shared" si="4"/>
        <v>329242704.47332603</v>
      </c>
      <c r="K39" s="881">
        <f t="shared" si="2"/>
        <v>4043243028.6422305</v>
      </c>
      <c r="P39" s="626"/>
      <c r="R39" s="459"/>
    </row>
    <row r="40" spans="1:18" ht="14.4">
      <c r="A40" s="857">
        <f>A39+1</f>
        <v>2013</v>
      </c>
      <c r="B40" s="858" t="s">
        <v>180</v>
      </c>
      <c r="C40" s="817">
        <v>346247956</v>
      </c>
      <c r="D40" s="817">
        <v>943857.60000000009</v>
      </c>
      <c r="E40" s="817">
        <v>-3347320.42</v>
      </c>
      <c r="F40" s="817">
        <v>74030.682000000001</v>
      </c>
      <c r="G40" s="817">
        <v>-40260.848491666664</v>
      </c>
      <c r="H40" s="817">
        <v>-4625.7256467999987</v>
      </c>
      <c r="I40" s="817">
        <f>'WH MRK PART.'!E28</f>
        <v>4640083.0341800004</v>
      </c>
      <c r="J40" s="817">
        <f t="shared" si="4"/>
        <v>348513720.32204151</v>
      </c>
      <c r="K40" s="850">
        <f>J40</f>
        <v>348513720.32204151</v>
      </c>
      <c r="P40" s="624"/>
    </row>
    <row r="41" spans="1:18" ht="14.4">
      <c r="A41" s="857">
        <f>A40+0</f>
        <v>2013</v>
      </c>
      <c r="B41" s="858" t="s">
        <v>181</v>
      </c>
      <c r="C41" s="817">
        <v>315656873</v>
      </c>
      <c r="D41" s="817">
        <v>648043.19999999995</v>
      </c>
      <c r="E41" s="817">
        <v>-3045825.12</v>
      </c>
      <c r="F41" s="817">
        <v>398975.39384538645</v>
      </c>
      <c r="G41" s="817">
        <v>-44479</v>
      </c>
      <c r="H41" s="817">
        <v>-5041.021702699999</v>
      </c>
      <c r="I41" s="817">
        <f>'WH MRK PART.'!E29</f>
        <v>3982397.01486</v>
      </c>
      <c r="J41" s="817">
        <f t="shared" si="4"/>
        <v>317590943.46700263</v>
      </c>
      <c r="K41" s="850">
        <f>J41+K40</f>
        <v>666104663.78904414</v>
      </c>
    </row>
    <row r="42" spans="1:18" ht="14.4">
      <c r="A42" s="857">
        <f t="shared" ref="A42:A51" si="6">A41+0</f>
        <v>2013</v>
      </c>
      <c r="B42" s="858" t="s">
        <v>182</v>
      </c>
      <c r="C42" s="817">
        <v>330896484.99999994</v>
      </c>
      <c r="D42" s="817">
        <v>606100.799999999</v>
      </c>
      <c r="E42" s="817">
        <v>-3063889.49</v>
      </c>
      <c r="F42" s="817">
        <v>337889.4584</v>
      </c>
      <c r="G42" s="817">
        <v>-47520</v>
      </c>
      <c r="H42" s="817">
        <v>-3496.3920567000032</v>
      </c>
      <c r="I42" s="817">
        <f>'WH MRK PART.'!E30</f>
        <v>4643238.8125200002</v>
      </c>
      <c r="J42" s="817">
        <f t="shared" si="4"/>
        <v>333368808.18886328</v>
      </c>
      <c r="K42" s="850">
        <f t="shared" si="2"/>
        <v>999473471.97790742</v>
      </c>
      <c r="O42" s="628"/>
    </row>
    <row r="43" spans="1:18" ht="14.4">
      <c r="A43" s="857">
        <f t="shared" si="6"/>
        <v>2013</v>
      </c>
      <c r="B43" s="858" t="s">
        <v>183</v>
      </c>
      <c r="C43" s="817">
        <v>308853276.99999994</v>
      </c>
      <c r="D43" s="817">
        <v>826656.00000000128</v>
      </c>
      <c r="E43" s="817">
        <v>-2666128.4500000002</v>
      </c>
      <c r="F43" s="817">
        <v>524976.89725000004</v>
      </c>
      <c r="G43" s="817">
        <v>-54230</v>
      </c>
      <c r="H43" s="817">
        <v>-2798.152270999999</v>
      </c>
      <c r="I43" s="817">
        <f>'WH MRK PART.'!E31</f>
        <v>4795642.3473200006</v>
      </c>
      <c r="J43" s="817">
        <f t="shared" si="4"/>
        <v>312277395.642299</v>
      </c>
      <c r="K43" s="850">
        <f t="shared" si="2"/>
        <v>1311750867.6202064</v>
      </c>
      <c r="O43" s="628"/>
    </row>
    <row r="44" spans="1:18" ht="14.4">
      <c r="A44" s="857">
        <f t="shared" si="6"/>
        <v>2013</v>
      </c>
      <c r="B44" s="858" t="s">
        <v>184</v>
      </c>
      <c r="C44" s="817">
        <v>317976537.99999994</v>
      </c>
      <c r="D44" s="817">
        <v>673036.79999999993</v>
      </c>
      <c r="E44" s="817">
        <v>-3833187.2</v>
      </c>
      <c r="F44" s="817">
        <v>692420.89100000006</v>
      </c>
      <c r="G44" s="817">
        <v>-62305</v>
      </c>
      <c r="H44" s="817">
        <v>-2410.7685030000021</v>
      </c>
      <c r="I44" s="817">
        <f>'WH MRK PART.'!E32</f>
        <v>4726120.0544800013</v>
      </c>
      <c r="J44" s="817">
        <f t="shared" si="4"/>
        <v>320170212.77697694</v>
      </c>
      <c r="K44" s="850">
        <f t="shared" si="2"/>
        <v>1631921080.3971834</v>
      </c>
      <c r="O44" s="628"/>
    </row>
    <row r="45" spans="1:18" ht="14.4">
      <c r="A45" s="857">
        <f t="shared" si="6"/>
        <v>2013</v>
      </c>
      <c r="B45" s="858" t="s">
        <v>185</v>
      </c>
      <c r="C45" s="817">
        <v>334320999</v>
      </c>
      <c r="D45" s="817">
        <v>589353.59999999905</v>
      </c>
      <c r="E45" s="817">
        <v>-4366125.3899999997</v>
      </c>
      <c r="F45" s="817">
        <v>621280.41</v>
      </c>
      <c r="G45" s="817">
        <v>-59577</v>
      </c>
      <c r="H45" s="817">
        <v>-2388.1900896999987</v>
      </c>
      <c r="I45" s="817">
        <f>'WH MRK PART.'!E33</f>
        <v>4894377.7437720001</v>
      </c>
      <c r="J45" s="817">
        <f t="shared" si="4"/>
        <v>335997920.17368233</v>
      </c>
      <c r="K45" s="850">
        <f t="shared" si="2"/>
        <v>1967919000.5708656</v>
      </c>
      <c r="O45" s="628"/>
    </row>
    <row r="46" spans="1:18" ht="14.4">
      <c r="A46" s="857">
        <f t="shared" si="6"/>
        <v>2013</v>
      </c>
      <c r="B46" s="858" t="s">
        <v>186</v>
      </c>
      <c r="C46" s="817">
        <v>384009855</v>
      </c>
      <c r="D46" s="817">
        <v>741163.19999999891</v>
      </c>
      <c r="E46" s="817">
        <v>-5132957.1399999997</v>
      </c>
      <c r="F46" s="817">
        <v>755094.12938653363</v>
      </c>
      <c r="G46" s="817">
        <v>-66148.371824999995</v>
      </c>
      <c r="H46" s="817">
        <v>-3238.1948556999996</v>
      </c>
      <c r="I46" s="817">
        <f>'WH MRK PART.'!E34</f>
        <v>5092229.117953998</v>
      </c>
      <c r="J46" s="817">
        <f t="shared" si="4"/>
        <v>385395997.74065989</v>
      </c>
      <c r="K46" s="850">
        <f t="shared" si="2"/>
        <v>2353314998.3115253</v>
      </c>
      <c r="O46" s="628"/>
    </row>
    <row r="47" spans="1:18" ht="14.4">
      <c r="A47" s="857">
        <f t="shared" si="6"/>
        <v>2013</v>
      </c>
      <c r="B47" s="858" t="s">
        <v>187</v>
      </c>
      <c r="C47" s="817">
        <v>360076293</v>
      </c>
      <c r="D47" s="817">
        <v>838833.59999999974</v>
      </c>
      <c r="E47" s="817">
        <v>-4636237.4000000004</v>
      </c>
      <c r="F47" s="817">
        <v>790362.59</v>
      </c>
      <c r="G47" s="817">
        <v>-68082.515283333327</v>
      </c>
      <c r="H47" s="817">
        <v>-3549.368587699998</v>
      </c>
      <c r="I47" s="817">
        <f>'WH MRK PART.'!E35</f>
        <v>5280816.6555540022</v>
      </c>
      <c r="J47" s="817">
        <f t="shared" si="4"/>
        <v>362278436.561683</v>
      </c>
      <c r="K47" s="850">
        <f>J47+K46</f>
        <v>2715593434.8732085</v>
      </c>
      <c r="O47" s="613"/>
    </row>
    <row r="48" spans="1:18" ht="14.4">
      <c r="A48" s="857">
        <f t="shared" si="6"/>
        <v>2013</v>
      </c>
      <c r="B48" s="858" t="s">
        <v>188</v>
      </c>
      <c r="C48" s="820">
        <v>315758486.00000006</v>
      </c>
      <c r="D48" s="820">
        <v>1120123.2000000002</v>
      </c>
      <c r="E48" s="820">
        <v>-4197977.41</v>
      </c>
      <c r="F48" s="820">
        <v>893738.1</v>
      </c>
      <c r="G48" s="820">
        <v>-63433.290283333321</v>
      </c>
      <c r="H48" s="817">
        <v>-3962.091882200004</v>
      </c>
      <c r="I48" s="817">
        <f>'WH MRK PART.'!E36</f>
        <v>4970262.482636</v>
      </c>
      <c r="J48" s="817">
        <f t="shared" si="4"/>
        <v>318477236.99047047</v>
      </c>
      <c r="K48" s="850">
        <f t="shared" si="2"/>
        <v>3034070671.8636789</v>
      </c>
      <c r="O48" s="612"/>
      <c r="R48" s="459"/>
    </row>
    <row r="49" spans="1:18" ht="14.4">
      <c r="A49" s="857">
        <f t="shared" si="6"/>
        <v>2013</v>
      </c>
      <c r="B49" s="858" t="s">
        <v>189</v>
      </c>
      <c r="C49" s="820">
        <v>314528370</v>
      </c>
      <c r="D49" s="820">
        <v>781512.00000000047</v>
      </c>
      <c r="E49" s="820">
        <v>-2177896.6</v>
      </c>
      <c r="F49" s="820">
        <v>536395.16</v>
      </c>
      <c r="G49" s="820">
        <v>-66749</v>
      </c>
      <c r="H49" s="817">
        <v>-4824.7514054000039</v>
      </c>
      <c r="I49" s="817">
        <f>'WH MRK PART.'!E37</f>
        <v>5163225.1803000011</v>
      </c>
      <c r="J49" s="817">
        <f t="shared" si="4"/>
        <v>318760031.98889458</v>
      </c>
      <c r="K49" s="850">
        <f t="shared" si="2"/>
        <v>3352830703.8525734</v>
      </c>
      <c r="O49" s="611"/>
    </row>
    <row r="50" spans="1:18" ht="14.4">
      <c r="A50" s="857">
        <f t="shared" si="6"/>
        <v>2013</v>
      </c>
      <c r="B50" s="858" t="s">
        <v>190</v>
      </c>
      <c r="C50" s="820">
        <v>325860692.4082126</v>
      </c>
      <c r="D50" s="817">
        <v>901521.599999998</v>
      </c>
      <c r="E50" s="817">
        <v>-2690600.01</v>
      </c>
      <c r="F50" s="817">
        <v>357689.07</v>
      </c>
      <c r="G50" s="817">
        <v>-60323.68028333332</v>
      </c>
      <c r="H50" s="817">
        <v>-5824.6324592000019</v>
      </c>
      <c r="I50" s="817">
        <f>'WH MRK PART.'!E38</f>
        <v>5344259.9889799999</v>
      </c>
      <c r="J50" s="817">
        <f t="shared" si="4"/>
        <v>329707414.74445009</v>
      </c>
      <c r="K50" s="850">
        <f t="shared" si="2"/>
        <v>3682538118.5970235</v>
      </c>
      <c r="O50" s="613"/>
    </row>
    <row r="51" spans="1:18" ht="14.4">
      <c r="A51" s="859">
        <f t="shared" si="6"/>
        <v>2013</v>
      </c>
      <c r="B51" s="860" t="s">
        <v>191</v>
      </c>
      <c r="C51" s="820">
        <v>340951964</v>
      </c>
      <c r="D51" s="820">
        <v>1481654.4</v>
      </c>
      <c r="E51" s="820">
        <v>-2161788.5699999998</v>
      </c>
      <c r="F51" s="820">
        <v>125729.27</v>
      </c>
      <c r="G51" s="820">
        <v>-50086</v>
      </c>
      <c r="H51" s="817">
        <v>-8655.0280745999953</v>
      </c>
      <c r="I51" s="817">
        <f>'WH MRK PART.'!E39</f>
        <v>4279727.43726</v>
      </c>
      <c r="J51" s="817">
        <f>SUM(C51:I51)</f>
        <v>344618545.50918531</v>
      </c>
      <c r="K51" s="881">
        <f>J51+K50</f>
        <v>4027156664.1062088</v>
      </c>
      <c r="M51" s="537"/>
      <c r="O51" s="495"/>
    </row>
    <row r="52" spans="1:18" ht="14.4">
      <c r="A52" s="594"/>
      <c r="B52" s="595"/>
      <c r="C52" s="596"/>
      <c r="D52" s="596"/>
      <c r="E52" s="596"/>
      <c r="F52" s="596"/>
      <c r="G52" s="596"/>
      <c r="H52" s="596"/>
      <c r="I52" s="596"/>
      <c r="J52" s="596"/>
      <c r="K52" s="736"/>
      <c r="L52" s="66"/>
      <c r="M52" s="66"/>
      <c r="O52" s="4"/>
    </row>
    <row r="53" spans="1:18" ht="14.4">
      <c r="A53" s="594"/>
      <c r="B53" s="595"/>
      <c r="C53" s="596"/>
      <c r="D53" s="667"/>
      <c r="E53" s="596"/>
      <c r="F53" s="596"/>
      <c r="G53" s="596"/>
      <c r="H53" s="596"/>
      <c r="I53" s="596"/>
      <c r="J53" s="596"/>
      <c r="K53" s="736"/>
      <c r="L53" s="66"/>
      <c r="M53" s="66"/>
    </row>
    <row r="54" spans="1:18" ht="14.4">
      <c r="A54" s="594"/>
      <c r="B54" s="595"/>
      <c r="C54" s="596"/>
      <c r="D54" s="667"/>
      <c r="E54" s="596"/>
      <c r="F54" s="596"/>
      <c r="G54" s="596"/>
      <c r="H54" s="596"/>
      <c r="I54" s="596"/>
      <c r="J54" s="596"/>
      <c r="K54" s="736"/>
      <c r="L54" s="66"/>
      <c r="M54" s="66"/>
    </row>
    <row r="55" spans="1:18" ht="14.4">
      <c r="A55" s="594"/>
      <c r="B55" s="595"/>
      <c r="C55" s="596"/>
      <c r="D55" s="667"/>
      <c r="E55" s="596"/>
      <c r="F55" s="596"/>
      <c r="G55" s="596"/>
      <c r="H55" s="596"/>
      <c r="I55" s="596"/>
      <c r="J55" s="596"/>
      <c r="K55" s="736"/>
      <c r="L55" s="66"/>
      <c r="M55" s="66"/>
    </row>
    <row r="56" spans="1:18" ht="14.4">
      <c r="A56" s="594"/>
      <c r="B56" s="595"/>
      <c r="C56" s="596"/>
      <c r="D56" s="667"/>
      <c r="E56" s="596"/>
      <c r="F56" s="596"/>
      <c r="G56" s="596"/>
      <c r="H56" s="596"/>
      <c r="I56" s="596"/>
      <c r="J56" s="596"/>
      <c r="K56" s="736"/>
      <c r="L56" s="66"/>
      <c r="M56" s="66"/>
    </row>
    <row r="57" spans="1:18" ht="14.4">
      <c r="A57" s="594"/>
      <c r="B57" s="595"/>
      <c r="C57" s="596"/>
      <c r="D57" s="667"/>
      <c r="E57" s="596"/>
      <c r="F57" s="596"/>
      <c r="G57" s="596"/>
      <c r="H57" s="596"/>
      <c r="I57" s="596"/>
      <c r="J57" s="596"/>
      <c r="K57" s="736"/>
      <c r="L57" s="66"/>
      <c r="M57" s="66"/>
      <c r="R57" s="459"/>
    </row>
    <row r="58" spans="1:18" ht="14.4">
      <c r="A58" s="594"/>
      <c r="B58" s="595"/>
      <c r="C58" s="596"/>
      <c r="D58" s="758"/>
      <c r="E58" s="596"/>
      <c r="F58" s="596"/>
      <c r="G58" s="596"/>
      <c r="H58" s="596"/>
      <c r="I58" s="596"/>
      <c r="J58" s="596"/>
      <c r="K58" s="736"/>
      <c r="L58" s="66"/>
      <c r="M58" s="66"/>
    </row>
    <row r="59" spans="1:18" ht="14.4">
      <c r="A59" s="594"/>
      <c r="B59" s="595"/>
      <c r="C59" s="596"/>
      <c r="D59" s="596"/>
      <c r="E59" s="596"/>
      <c r="F59" s="596"/>
      <c r="G59" s="596"/>
      <c r="H59" s="596"/>
      <c r="I59" s="596"/>
      <c r="J59" s="596"/>
      <c r="K59" s="736"/>
      <c r="L59" s="66"/>
      <c r="M59" s="66"/>
    </row>
    <row r="60" spans="1:18" ht="14.4">
      <c r="A60" s="594"/>
      <c r="B60" s="595"/>
      <c r="C60" s="596"/>
      <c r="D60" s="596"/>
      <c r="E60" s="596"/>
      <c r="F60" s="596"/>
      <c r="G60" s="596"/>
      <c r="H60" s="596"/>
      <c r="I60" s="596"/>
      <c r="J60" s="596"/>
      <c r="K60" s="736"/>
      <c r="L60" s="66"/>
      <c r="M60" s="66"/>
    </row>
    <row r="61" spans="1:18" ht="14.4">
      <c r="A61" s="594"/>
      <c r="B61" s="595"/>
      <c r="C61" s="596"/>
      <c r="D61" s="596"/>
      <c r="E61" s="596"/>
      <c r="F61" s="596"/>
      <c r="G61" s="596"/>
      <c r="H61" s="596"/>
      <c r="I61" s="596"/>
      <c r="J61" s="596"/>
      <c r="K61" s="736"/>
      <c r="L61" s="66"/>
      <c r="M61" s="66"/>
    </row>
    <row r="62" spans="1:18" ht="14.4">
      <c r="A62" s="594"/>
      <c r="B62" s="595"/>
      <c r="C62" s="596"/>
      <c r="D62" s="596"/>
      <c r="E62" s="596"/>
      <c r="F62" s="596"/>
      <c r="G62" s="596"/>
      <c r="H62" s="596"/>
      <c r="I62" s="596"/>
      <c r="J62" s="596"/>
      <c r="K62" s="736"/>
      <c r="L62" s="66"/>
      <c r="M62" s="66"/>
    </row>
    <row r="63" spans="1:18" ht="14.4">
      <c r="A63" s="594"/>
      <c r="B63" s="595"/>
      <c r="C63" s="596"/>
      <c r="D63" s="596"/>
      <c r="E63" s="596"/>
      <c r="F63" s="596"/>
      <c r="G63" s="596"/>
      <c r="H63" s="596"/>
      <c r="I63" s="596"/>
      <c r="J63" s="596"/>
      <c r="K63" s="736"/>
      <c r="L63" s="66"/>
      <c r="M63" s="66"/>
    </row>
    <row r="64" spans="1:18" ht="14.4">
      <c r="A64" s="503"/>
      <c r="B64" s="503"/>
    </row>
    <row r="66" spans="18:18">
      <c r="R66" s="459"/>
    </row>
  </sheetData>
  <mergeCells count="1">
    <mergeCell ref="C2:K2"/>
  </mergeCells>
  <pageMargins left="0.7" right="0.7" top="0.75" bottom="0.75" header="0.3" footer="0.3"/>
  <pageSetup scale="60" orientation="portrait" r:id="rId1"/>
  <ignoredErrors>
    <ignoredError sqref="K16:K40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>
  <dimension ref="A1:J40"/>
  <sheetViews>
    <sheetView tabSelected="1" zoomScale="80" zoomScaleNormal="80" workbookViewId="0">
      <selection activeCell="J15" sqref="J15"/>
    </sheetView>
  </sheetViews>
  <sheetFormatPr defaultRowHeight="13.2"/>
  <cols>
    <col min="1" max="1" width="28.44140625" customWidth="1"/>
    <col min="2" max="2" width="14" bestFit="1" customWidth="1"/>
    <col min="3" max="4" width="14" customWidth="1"/>
    <col min="5" max="5" width="14.88671875" customWidth="1"/>
    <col min="6" max="6" width="15.44140625" customWidth="1"/>
    <col min="7" max="7" width="14.88671875" customWidth="1"/>
    <col min="8" max="8" width="16.109375" customWidth="1"/>
    <col min="9" max="9" width="15.88671875" customWidth="1"/>
    <col min="10" max="10" width="15.33203125" customWidth="1"/>
    <col min="11" max="11" width="12.33203125" customWidth="1"/>
    <col min="12" max="12" width="11.33203125" customWidth="1"/>
  </cols>
  <sheetData>
    <row r="1" spans="1:10" ht="15.6">
      <c r="A1" s="1004" t="s">
        <v>328</v>
      </c>
      <c r="B1" s="1004"/>
      <c r="C1" s="1004"/>
      <c r="D1" s="1004"/>
      <c r="E1" s="1004"/>
      <c r="F1" s="1004"/>
      <c r="G1" s="1004"/>
      <c r="H1" s="1004"/>
      <c r="I1" s="1004"/>
      <c r="J1" s="1004"/>
    </row>
    <row r="2" spans="1:10" ht="8.25" customHeight="1">
      <c r="A2" s="921"/>
      <c r="B2" s="921"/>
      <c r="C2" s="921"/>
      <c r="D2" s="921"/>
      <c r="E2" s="921"/>
      <c r="F2" s="921"/>
      <c r="G2" s="921"/>
      <c r="H2" s="921"/>
      <c r="I2" s="921"/>
      <c r="J2" s="921"/>
    </row>
    <row r="3" spans="1:10" ht="52.8">
      <c r="A3" s="886" t="s">
        <v>329</v>
      </c>
      <c r="B3" s="886" t="s">
        <v>330</v>
      </c>
      <c r="C3" s="886" t="s">
        <v>345</v>
      </c>
      <c r="D3" s="886" t="s">
        <v>346</v>
      </c>
      <c r="E3" s="886" t="s">
        <v>331</v>
      </c>
      <c r="F3" s="886" t="s">
        <v>347</v>
      </c>
      <c r="G3" s="886" t="s">
        <v>348</v>
      </c>
      <c r="H3" s="886" t="s">
        <v>349</v>
      </c>
      <c r="I3" s="886" t="s">
        <v>350</v>
      </c>
      <c r="J3" s="887" t="s">
        <v>332</v>
      </c>
    </row>
    <row r="4" spans="1:10">
      <c r="A4" s="1005" t="s">
        <v>53</v>
      </c>
      <c r="B4" s="888" t="s">
        <v>333</v>
      </c>
      <c r="C4" s="889">
        <f>11.79-1.12</f>
        <v>10.669999999999998</v>
      </c>
      <c r="D4" s="889">
        <v>10.6</v>
      </c>
      <c r="E4" s="889">
        <v>9.75</v>
      </c>
      <c r="F4" s="889">
        <v>9.75</v>
      </c>
      <c r="G4" s="889">
        <v>9.83</v>
      </c>
      <c r="H4" s="889">
        <v>10.233333333333334</v>
      </c>
      <c r="I4" s="889">
        <v>10.51</v>
      </c>
      <c r="J4" s="889">
        <v>12.93</v>
      </c>
    </row>
    <row r="5" spans="1:10">
      <c r="A5" s="1006"/>
      <c r="B5" s="890" t="s">
        <v>334</v>
      </c>
      <c r="C5" s="891">
        <v>1.5699999999999999E-2</v>
      </c>
      <c r="D5" s="891">
        <v>1.54E-2</v>
      </c>
      <c r="E5" s="891">
        <v>1.4200000000000001E-2</v>
      </c>
      <c r="F5" s="891">
        <v>1.4200000000000001E-2</v>
      </c>
      <c r="G5" s="891">
        <v>1.43E-2</v>
      </c>
      <c r="H5" s="891">
        <v>1.4500000000000001E-2</v>
      </c>
      <c r="I5" s="891">
        <v>1.47E-2</v>
      </c>
      <c r="J5" s="891">
        <v>1.37E-2</v>
      </c>
    </row>
    <row r="6" spans="1:10">
      <c r="A6" s="892" t="s">
        <v>335</v>
      </c>
      <c r="B6" s="888" t="s">
        <v>333</v>
      </c>
      <c r="C6" s="894">
        <f>21.64-1.12</f>
        <v>20.52</v>
      </c>
      <c r="D6" s="894">
        <v>20.27</v>
      </c>
      <c r="E6" s="893">
        <v>17.61</v>
      </c>
      <c r="F6" s="893">
        <v>17.61</v>
      </c>
      <c r="G6" s="893">
        <v>17.75</v>
      </c>
      <c r="H6" s="893">
        <v>22.086666666666666</v>
      </c>
      <c r="I6" s="893">
        <v>24.39</v>
      </c>
      <c r="J6" s="894">
        <v>30.21</v>
      </c>
    </row>
    <row r="7" spans="1:10">
      <c r="A7" s="895"/>
      <c r="B7" s="896" t="s">
        <v>336</v>
      </c>
      <c r="C7" s="898">
        <v>0</v>
      </c>
      <c r="D7" s="898">
        <v>0</v>
      </c>
      <c r="E7" s="897">
        <v>0</v>
      </c>
      <c r="F7" s="897">
        <v>0</v>
      </c>
      <c r="G7" s="897">
        <v>0</v>
      </c>
      <c r="H7" s="897">
        <v>0</v>
      </c>
      <c r="I7" s="897">
        <v>0</v>
      </c>
      <c r="J7" s="898">
        <v>-3.3E-3</v>
      </c>
    </row>
    <row r="8" spans="1:10">
      <c r="A8" s="899"/>
      <c r="B8" s="890" t="s">
        <v>334</v>
      </c>
      <c r="C8" s="898">
        <f>0.0181</f>
        <v>1.8100000000000002E-2</v>
      </c>
      <c r="D8" s="901">
        <v>1.78E-2</v>
      </c>
      <c r="E8" s="900">
        <v>1.55E-2</v>
      </c>
      <c r="F8" s="900">
        <v>1.55E-2</v>
      </c>
      <c r="G8" s="900">
        <v>1.5599999999999999E-2</v>
      </c>
      <c r="H8" s="900">
        <v>1.5800000000000002E-2</v>
      </c>
      <c r="I8" s="900">
        <v>1.6E-2</v>
      </c>
      <c r="J8" s="901">
        <v>1.38E-2</v>
      </c>
    </row>
    <row r="9" spans="1:10">
      <c r="A9" s="1007" t="s">
        <v>337</v>
      </c>
      <c r="B9" s="888" t="s">
        <v>333</v>
      </c>
      <c r="C9" s="903">
        <f>104.53-1.12</f>
        <v>103.41</v>
      </c>
      <c r="D9" s="903">
        <v>101.68</v>
      </c>
      <c r="E9" s="902">
        <v>107.48</v>
      </c>
      <c r="F9" s="902">
        <v>107.48</v>
      </c>
      <c r="G9" s="902">
        <v>108.32</v>
      </c>
      <c r="H9" s="902">
        <v>116.33</v>
      </c>
      <c r="I9" s="902">
        <v>121.18</v>
      </c>
      <c r="J9" s="903">
        <v>183.15</v>
      </c>
    </row>
    <row r="10" spans="1:10">
      <c r="A10" s="1008"/>
      <c r="B10" s="890" t="s">
        <v>260</v>
      </c>
      <c r="C10" s="905">
        <v>2.3353999999999999</v>
      </c>
      <c r="D10" s="905">
        <v>2.2934999999999999</v>
      </c>
      <c r="E10" s="904">
        <v>2.4192</v>
      </c>
      <c r="F10" s="904">
        <v>2.4192</v>
      </c>
      <c r="G10" s="904">
        <v>2.4380999999999999</v>
      </c>
      <c r="H10" s="904">
        <v>2.4693000000000001</v>
      </c>
      <c r="I10" s="904">
        <v>2.5038999999999998</v>
      </c>
      <c r="J10" s="905">
        <v>2.6223999999999998</v>
      </c>
    </row>
    <row r="11" spans="1:10">
      <c r="A11" s="1008"/>
      <c r="B11" s="890" t="s">
        <v>338</v>
      </c>
      <c r="C11" s="905">
        <f>-0.6</f>
        <v>-0.6</v>
      </c>
      <c r="D11" s="905">
        <f>-0.6</f>
        <v>-0.6</v>
      </c>
      <c r="E11" s="904">
        <v>-0.70479999999999998</v>
      </c>
      <c r="F11" s="904">
        <v>-0.70479999999999998</v>
      </c>
      <c r="G11" s="904">
        <v>-0.70479999999999998</v>
      </c>
      <c r="H11" s="904">
        <v>-0.70479999999999998</v>
      </c>
      <c r="I11" s="904">
        <v>-0.70479999999999998</v>
      </c>
      <c r="J11" s="905">
        <v>-0.70189999999999997</v>
      </c>
    </row>
    <row r="12" spans="1:10">
      <c r="A12" s="1006"/>
      <c r="B12" s="890" t="s">
        <v>334</v>
      </c>
      <c r="C12" s="907"/>
      <c r="D12" s="907">
        <v>0</v>
      </c>
      <c r="E12" s="906">
        <v>0</v>
      </c>
      <c r="F12" s="906">
        <v>0</v>
      </c>
      <c r="G12" s="906">
        <v>0</v>
      </c>
      <c r="H12" s="906">
        <v>0</v>
      </c>
      <c r="I12" s="906">
        <v>0</v>
      </c>
      <c r="J12" s="907">
        <v>0</v>
      </c>
    </row>
    <row r="13" spans="1:10">
      <c r="A13" s="908"/>
      <c r="B13" s="888" t="s">
        <v>333</v>
      </c>
      <c r="C13" s="910">
        <f>1437.21-1.12</f>
        <v>1436.0900000000001</v>
      </c>
      <c r="D13" s="910">
        <v>1410.45</v>
      </c>
      <c r="E13" s="909">
        <v>1227.95</v>
      </c>
      <c r="F13" s="909">
        <v>1227.95</v>
      </c>
      <c r="G13" s="909">
        <v>1164.8900000000001</v>
      </c>
      <c r="H13" s="909">
        <v>1179.8</v>
      </c>
      <c r="I13" s="909">
        <v>1196.32</v>
      </c>
      <c r="J13" s="910">
        <v>1435.1049</v>
      </c>
    </row>
    <row r="14" spans="1:10">
      <c r="A14" s="908"/>
      <c r="B14" s="890" t="s">
        <v>260</v>
      </c>
      <c r="C14" s="905">
        <v>3.8037000000000001</v>
      </c>
      <c r="D14" s="905">
        <v>3.7355</v>
      </c>
      <c r="E14" s="904">
        <v>3.5320999999999998</v>
      </c>
      <c r="F14" s="904">
        <v>3.5320999999999998</v>
      </c>
      <c r="G14" s="904">
        <v>3.3506999999999998</v>
      </c>
      <c r="H14" s="904">
        <v>3.3936000000000002</v>
      </c>
      <c r="I14" s="904">
        <v>3.4411</v>
      </c>
      <c r="J14" s="905">
        <v>3.0427</v>
      </c>
    </row>
    <row r="15" spans="1:10">
      <c r="A15" s="908"/>
      <c r="B15" s="890" t="s">
        <v>338</v>
      </c>
      <c r="C15" s="905">
        <f>-0.6</f>
        <v>-0.6</v>
      </c>
      <c r="D15" s="905">
        <f>-0.6</f>
        <v>-0.6</v>
      </c>
      <c r="E15" s="904">
        <v>-0.87580000000000002</v>
      </c>
      <c r="F15" s="904">
        <v>-0.87580000000000002</v>
      </c>
      <c r="G15" s="904">
        <v>-0.87580000000000002</v>
      </c>
      <c r="H15" s="904">
        <v>-0.87580000000000002</v>
      </c>
      <c r="I15" s="904">
        <v>-0.87580000000000002</v>
      </c>
      <c r="J15" s="905">
        <v>-0.87370000000000003</v>
      </c>
    </row>
    <row r="16" spans="1:10">
      <c r="A16" s="908" t="s">
        <v>49</v>
      </c>
      <c r="B16" s="890" t="s">
        <v>334</v>
      </c>
      <c r="C16" s="910">
        <v>0</v>
      </c>
      <c r="D16" s="910">
        <v>0</v>
      </c>
      <c r="E16" s="909">
        <v>0</v>
      </c>
      <c r="F16" s="909">
        <v>0</v>
      </c>
      <c r="G16" s="909">
        <v>0</v>
      </c>
      <c r="H16" s="909">
        <v>0</v>
      </c>
      <c r="I16" s="909">
        <v>0</v>
      </c>
      <c r="J16" s="910">
        <v>0</v>
      </c>
    </row>
    <row r="17" spans="1:10">
      <c r="A17" s="1007" t="s">
        <v>339</v>
      </c>
      <c r="B17" s="888" t="s">
        <v>333</v>
      </c>
      <c r="C17" s="912">
        <f>4809.57-1.12</f>
        <v>4808.45</v>
      </c>
      <c r="D17" s="912">
        <v>4722.33</v>
      </c>
      <c r="E17" s="911">
        <v>4395.8500000000004</v>
      </c>
      <c r="F17" s="911">
        <v>4395.8500000000004</v>
      </c>
      <c r="G17" s="911">
        <v>4430.1400000000003</v>
      </c>
      <c r="H17" s="911">
        <v>4486.8500000000004</v>
      </c>
      <c r="I17" s="911">
        <v>4549.67</v>
      </c>
      <c r="J17" s="912">
        <v>9212.0167000000001</v>
      </c>
    </row>
    <row r="18" spans="1:10">
      <c r="A18" s="1008"/>
      <c r="B18" s="890" t="s">
        <v>260</v>
      </c>
      <c r="C18" s="905">
        <v>2.9552999999999998</v>
      </c>
      <c r="D18" s="905">
        <v>2.9022999999999999</v>
      </c>
      <c r="E18" s="904">
        <v>2.1293000000000002</v>
      </c>
      <c r="F18" s="904">
        <v>2.1293000000000002</v>
      </c>
      <c r="G18" s="904">
        <v>2.1459000000000001</v>
      </c>
      <c r="H18" s="904">
        <v>2.1734</v>
      </c>
      <c r="I18" s="904">
        <v>2.2038000000000002</v>
      </c>
      <c r="J18" s="905">
        <v>2.1495000000000002</v>
      </c>
    </row>
    <row r="19" spans="1:10">
      <c r="A19" s="1008"/>
      <c r="B19" s="890" t="s">
        <v>338</v>
      </c>
      <c r="C19" s="905">
        <f>-0.6</f>
        <v>-0.6</v>
      </c>
      <c r="D19" s="905">
        <f>-0.6</f>
        <v>-0.6</v>
      </c>
      <c r="E19" s="904">
        <v>0</v>
      </c>
      <c r="F19" s="904">
        <v>0</v>
      </c>
      <c r="G19" s="904">
        <v>0</v>
      </c>
      <c r="H19" s="904">
        <v>0</v>
      </c>
      <c r="I19" s="904">
        <v>0</v>
      </c>
      <c r="J19" s="905">
        <v>0</v>
      </c>
    </row>
    <row r="20" spans="1:10">
      <c r="A20" s="1008"/>
      <c r="B20" s="890" t="s">
        <v>334</v>
      </c>
      <c r="C20" s="910">
        <v>0</v>
      </c>
      <c r="D20" s="910">
        <v>0</v>
      </c>
      <c r="E20" s="909">
        <v>0</v>
      </c>
      <c r="F20" s="909">
        <v>0</v>
      </c>
      <c r="G20" s="909">
        <v>0</v>
      </c>
      <c r="H20" s="909">
        <v>0</v>
      </c>
      <c r="I20" s="909">
        <v>0</v>
      </c>
      <c r="J20" s="910">
        <v>0</v>
      </c>
    </row>
    <row r="21" spans="1:10">
      <c r="A21" s="1014" t="s">
        <v>340</v>
      </c>
      <c r="B21" s="888" t="s">
        <v>341</v>
      </c>
      <c r="C21" s="894">
        <v>0</v>
      </c>
      <c r="D21" s="894">
        <v>0</v>
      </c>
      <c r="E21" s="893">
        <v>0.47</v>
      </c>
      <c r="F21" s="893">
        <v>0.47</v>
      </c>
      <c r="G21" s="893">
        <v>0.82</v>
      </c>
      <c r="H21" s="893">
        <v>0.83</v>
      </c>
      <c r="I21" s="893">
        <v>0.84</v>
      </c>
      <c r="J21" s="894">
        <v>3.39</v>
      </c>
    </row>
    <row r="22" spans="1:10">
      <c r="A22" s="1015"/>
      <c r="B22" s="890" t="s">
        <v>260</v>
      </c>
      <c r="C22" s="898">
        <v>2.2448999999999999</v>
      </c>
      <c r="D22" s="898">
        <v>2.2046000000000001</v>
      </c>
      <c r="E22" s="897">
        <v>4.8973000000000004</v>
      </c>
      <c r="F22" s="897">
        <v>4.8973000000000004</v>
      </c>
      <c r="G22" s="897">
        <v>8.5206999999999997</v>
      </c>
      <c r="H22" s="897">
        <v>8.6297999999999995</v>
      </c>
      <c r="I22" s="897">
        <v>8.7506000000000004</v>
      </c>
      <c r="J22" s="898">
        <v>7.3844000000000003</v>
      </c>
    </row>
    <row r="23" spans="1:10">
      <c r="A23" s="1016"/>
      <c r="B23" s="913" t="s">
        <v>334</v>
      </c>
      <c r="C23" s="901">
        <v>0</v>
      </c>
      <c r="D23" s="901">
        <v>0</v>
      </c>
      <c r="E23" s="900">
        <v>0</v>
      </c>
      <c r="F23" s="900">
        <v>0</v>
      </c>
      <c r="G23" s="900">
        <v>0</v>
      </c>
      <c r="H23" s="900">
        <v>0</v>
      </c>
      <c r="I23" s="900">
        <v>0</v>
      </c>
      <c r="J23" s="901">
        <v>0</v>
      </c>
    </row>
    <row r="24" spans="1:10">
      <c r="A24" s="1008" t="s">
        <v>342</v>
      </c>
      <c r="B24" s="914" t="s">
        <v>333</v>
      </c>
      <c r="C24" s="894">
        <v>20.52</v>
      </c>
      <c r="D24" s="894">
        <v>20.149999999999999</v>
      </c>
      <c r="E24" s="915">
        <v>0.93</v>
      </c>
      <c r="F24" s="915">
        <v>0.93</v>
      </c>
      <c r="G24" s="915">
        <v>0.94</v>
      </c>
      <c r="H24" s="915">
        <v>0.95</v>
      </c>
      <c r="I24" s="915">
        <v>0.96</v>
      </c>
      <c r="J24" s="916">
        <v>3.06</v>
      </c>
    </row>
    <row r="25" spans="1:10">
      <c r="A25" s="1008"/>
      <c r="B25" s="890" t="s">
        <v>341</v>
      </c>
      <c r="C25" s="916">
        <v>0</v>
      </c>
      <c r="D25" s="916">
        <v>0</v>
      </c>
      <c r="E25" s="915">
        <v>0.93</v>
      </c>
      <c r="F25" s="915">
        <v>0.93</v>
      </c>
      <c r="G25" s="915">
        <v>0.94</v>
      </c>
      <c r="H25" s="915">
        <v>0.95</v>
      </c>
      <c r="I25" s="915">
        <v>0.96</v>
      </c>
      <c r="J25" s="916">
        <v>3.06</v>
      </c>
    </row>
    <row r="26" spans="1:10">
      <c r="A26" s="1006"/>
      <c r="B26" s="913" t="s">
        <v>334</v>
      </c>
      <c r="C26" s="901">
        <v>1.8100000000000002E-2</v>
      </c>
      <c r="D26" s="901">
        <v>1.78E-2</v>
      </c>
      <c r="E26" s="900">
        <v>1.7100000000000001E-2</v>
      </c>
      <c r="F26" s="900">
        <v>1.7100000000000001E-2</v>
      </c>
      <c r="G26" s="900">
        <v>1.72E-2</v>
      </c>
      <c r="H26" s="900">
        <v>1.7399999999999999E-2</v>
      </c>
      <c r="I26" s="900">
        <v>1.7600000000000001E-2</v>
      </c>
      <c r="J26" s="901">
        <v>1.4500000000000001E-2</v>
      </c>
    </row>
    <row r="27" spans="1:10">
      <c r="A27" s="1008" t="s">
        <v>220</v>
      </c>
      <c r="B27" s="888" t="s">
        <v>333</v>
      </c>
      <c r="C27" s="912">
        <v>0</v>
      </c>
      <c r="D27" s="912">
        <v>0</v>
      </c>
      <c r="E27" s="911">
        <v>0</v>
      </c>
      <c r="F27" s="911">
        <v>0</v>
      </c>
      <c r="G27" s="911">
        <v>0</v>
      </c>
      <c r="H27" s="911">
        <v>0</v>
      </c>
      <c r="I27" s="911">
        <v>0</v>
      </c>
      <c r="J27" s="912">
        <v>4106.75</v>
      </c>
    </row>
    <row r="28" spans="1:10">
      <c r="A28" s="1008"/>
      <c r="B28" s="890" t="s">
        <v>260</v>
      </c>
      <c r="C28" s="905">
        <v>6.1199999999999997E-2</v>
      </c>
      <c r="D28" s="905">
        <v>6.1199999999999997E-2</v>
      </c>
      <c r="E28" s="904">
        <v>6.1199999999999997E-2</v>
      </c>
      <c r="F28" s="904">
        <v>6.1199999999999997E-2</v>
      </c>
      <c r="G28" s="904">
        <v>6.1699999999999998E-2</v>
      </c>
      <c r="H28" s="904">
        <v>6.25E-2</v>
      </c>
      <c r="I28" s="904">
        <v>6.3399999999999998E-2</v>
      </c>
      <c r="J28" s="905">
        <v>0</v>
      </c>
    </row>
    <row r="29" spans="1:10">
      <c r="A29" s="1006"/>
      <c r="B29" s="890" t="s">
        <v>334</v>
      </c>
      <c r="C29" s="905">
        <v>0</v>
      </c>
      <c r="D29" s="905">
        <v>0</v>
      </c>
      <c r="E29" s="904">
        <v>0</v>
      </c>
      <c r="F29" s="904">
        <v>0</v>
      </c>
      <c r="G29" s="904">
        <v>0</v>
      </c>
      <c r="H29" s="904">
        <v>0</v>
      </c>
      <c r="I29" s="904">
        <v>0</v>
      </c>
      <c r="J29" s="905">
        <v>0</v>
      </c>
    </row>
    <row r="30" spans="1:10">
      <c r="A30" s="1008" t="s">
        <v>343</v>
      </c>
      <c r="B30" s="888" t="s">
        <v>333</v>
      </c>
      <c r="C30" s="912">
        <v>0</v>
      </c>
      <c r="D30" s="912">
        <v>0</v>
      </c>
      <c r="E30" s="911">
        <v>0</v>
      </c>
      <c r="F30" s="911">
        <v>5.4</v>
      </c>
      <c r="G30" s="911">
        <v>5.4</v>
      </c>
      <c r="H30" s="911">
        <v>5.4</v>
      </c>
      <c r="I30" s="911">
        <v>5.4</v>
      </c>
      <c r="J30" s="912">
        <v>21.03</v>
      </c>
    </row>
    <row r="31" spans="1:10">
      <c r="A31" s="1008"/>
      <c r="B31" s="890" t="s">
        <v>260</v>
      </c>
      <c r="C31" s="905">
        <v>0</v>
      </c>
      <c r="D31" s="905">
        <v>0</v>
      </c>
      <c r="E31" s="904">
        <v>0</v>
      </c>
      <c r="F31" s="904">
        <v>0</v>
      </c>
      <c r="G31" s="904">
        <v>0</v>
      </c>
      <c r="H31" s="904">
        <v>0</v>
      </c>
      <c r="I31" s="904">
        <v>0</v>
      </c>
      <c r="J31" s="905">
        <v>0</v>
      </c>
    </row>
    <row r="32" spans="1:10">
      <c r="A32" s="1006"/>
      <c r="B32" s="890" t="s">
        <v>334</v>
      </c>
      <c r="C32" s="905">
        <v>0</v>
      </c>
      <c r="D32" s="905">
        <v>0</v>
      </c>
      <c r="E32" s="904">
        <v>0</v>
      </c>
      <c r="F32" s="904">
        <v>1.55E-2</v>
      </c>
      <c r="G32" s="904">
        <v>1.5599999999999999E-2</v>
      </c>
      <c r="H32" s="904">
        <v>1.5800000000000002E-2</v>
      </c>
      <c r="I32" s="904">
        <v>1.6E-2</v>
      </c>
      <c r="J32" s="905">
        <v>0.16239999999999999</v>
      </c>
    </row>
    <row r="33" spans="1:10">
      <c r="A33" s="1008" t="s">
        <v>236</v>
      </c>
      <c r="B33" s="917" t="s">
        <v>333</v>
      </c>
      <c r="C33" s="912">
        <v>0</v>
      </c>
      <c r="D33" s="912">
        <v>0</v>
      </c>
      <c r="E33" s="911">
        <v>0</v>
      </c>
      <c r="F33" s="911">
        <v>0</v>
      </c>
      <c r="G33" s="911">
        <v>0</v>
      </c>
      <c r="H33" s="911">
        <v>0</v>
      </c>
      <c r="I33" s="911">
        <v>0</v>
      </c>
      <c r="J33" s="912">
        <v>62.25</v>
      </c>
    </row>
    <row r="34" spans="1:10">
      <c r="A34" s="1008"/>
      <c r="B34" s="918" t="s">
        <v>260</v>
      </c>
      <c r="C34" s="905">
        <v>0</v>
      </c>
      <c r="D34" s="905">
        <v>0</v>
      </c>
      <c r="E34" s="904">
        <v>0</v>
      </c>
      <c r="F34" s="904">
        <v>0</v>
      </c>
      <c r="G34" s="904">
        <v>0</v>
      </c>
      <c r="H34" s="904">
        <v>0</v>
      </c>
      <c r="I34" s="904">
        <v>0</v>
      </c>
      <c r="J34" s="905">
        <v>0</v>
      </c>
    </row>
    <row r="35" spans="1:10">
      <c r="A35" s="1006"/>
      <c r="B35" s="919" t="s">
        <v>334</v>
      </c>
      <c r="C35" s="905">
        <v>0</v>
      </c>
      <c r="D35" s="905">
        <v>0</v>
      </c>
      <c r="E35" s="904">
        <v>0</v>
      </c>
      <c r="F35" s="904">
        <v>0</v>
      </c>
      <c r="G35" s="904">
        <v>0</v>
      </c>
      <c r="H35" s="904">
        <v>0</v>
      </c>
      <c r="I35" s="904">
        <v>0</v>
      </c>
      <c r="J35" s="905">
        <v>0</v>
      </c>
    </row>
    <row r="36" spans="1:10">
      <c r="A36" s="1009" t="s">
        <v>344</v>
      </c>
      <c r="B36" s="917" t="s">
        <v>333</v>
      </c>
      <c r="C36" s="903">
        <v>0</v>
      </c>
      <c r="D36" s="903">
        <v>0</v>
      </c>
      <c r="E36" s="903">
        <v>0</v>
      </c>
      <c r="F36" s="903">
        <v>0</v>
      </c>
      <c r="G36" s="903">
        <v>0</v>
      </c>
      <c r="H36" s="903">
        <v>0</v>
      </c>
      <c r="I36" s="903">
        <v>0</v>
      </c>
      <c r="J36" s="903">
        <v>0</v>
      </c>
    </row>
    <row r="37" spans="1:10">
      <c r="A37" s="1010"/>
      <c r="B37" s="918" t="s">
        <v>260</v>
      </c>
      <c r="C37" s="905">
        <v>1.5046999999999999</v>
      </c>
      <c r="D37" s="905">
        <v>1.5046999999999999</v>
      </c>
      <c r="E37" s="910">
        <v>0</v>
      </c>
      <c r="F37" s="905">
        <v>0</v>
      </c>
      <c r="G37" s="905">
        <v>0</v>
      </c>
      <c r="H37" s="905">
        <v>1.5358000000000001</v>
      </c>
      <c r="I37" s="905">
        <v>1.5572999999999999</v>
      </c>
      <c r="J37" s="905">
        <v>1.6605000000000001</v>
      </c>
    </row>
    <row r="38" spans="1:10">
      <c r="A38" s="1011"/>
      <c r="B38" s="919" t="s">
        <v>334</v>
      </c>
      <c r="C38" s="920">
        <v>0</v>
      </c>
      <c r="D38" s="920">
        <v>0</v>
      </c>
      <c r="E38" s="907">
        <v>0</v>
      </c>
      <c r="F38" s="920">
        <v>0</v>
      </c>
      <c r="G38" s="920">
        <v>0</v>
      </c>
      <c r="H38" s="920">
        <v>0</v>
      </c>
      <c r="I38" s="920">
        <v>0</v>
      </c>
      <c r="J38" s="920">
        <v>0</v>
      </c>
    </row>
    <row r="39" spans="1:10" s="66" customFormat="1">
      <c r="A39" s="1012"/>
      <c r="B39" s="1012"/>
      <c r="C39" s="1012"/>
      <c r="D39" s="1012"/>
      <c r="E39" s="1012"/>
      <c r="F39" s="1012"/>
      <c r="G39" s="1012"/>
      <c r="H39" s="1012"/>
      <c r="I39" s="1012"/>
      <c r="J39" s="1012"/>
    </row>
    <row r="40" spans="1:10" ht="50.25" customHeight="1">
      <c r="A40" s="1013"/>
      <c r="B40" s="1013"/>
      <c r="C40" s="1013"/>
      <c r="D40" s="1013"/>
      <c r="E40" s="1013"/>
      <c r="F40" s="1013"/>
      <c r="G40" s="1013"/>
      <c r="H40" s="1013"/>
      <c r="I40" s="1013"/>
      <c r="J40" s="1013"/>
    </row>
  </sheetData>
  <mergeCells count="12">
    <mergeCell ref="A40:J40"/>
    <mergeCell ref="A17:A20"/>
    <mergeCell ref="A21:A23"/>
    <mergeCell ref="A24:A26"/>
    <mergeCell ref="A27:A29"/>
    <mergeCell ref="A30:A32"/>
    <mergeCell ref="A33:A35"/>
    <mergeCell ref="A1:J1"/>
    <mergeCell ref="A4:A5"/>
    <mergeCell ref="A9:A12"/>
    <mergeCell ref="A36:A38"/>
    <mergeCell ref="A39:J39"/>
  </mergeCells>
  <pageMargins left="0.70866141732283472" right="0.70866141732283472" top="0.74803149606299213" bottom="0.74803149606299213" header="0.31496062992125984" footer="0.31496062992125984"/>
  <pageSetup scale="75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50"/>
  </sheetPr>
  <dimension ref="A1:DT92"/>
  <sheetViews>
    <sheetView showGridLines="0" topLeftCell="A43" zoomScale="90" zoomScaleNormal="90" zoomScaleSheetLayoutView="20" workbookViewId="0">
      <pane xSplit="2" topLeftCell="CT1" activePane="topRight" state="frozen"/>
      <selection activeCell="H9" sqref="H9"/>
      <selection pane="topRight" activeCell="CT73" sqref="CT73"/>
    </sheetView>
  </sheetViews>
  <sheetFormatPr defaultColWidth="9.109375" defaultRowHeight="13.2"/>
  <cols>
    <col min="1" max="1" width="3.88671875" style="3" customWidth="1"/>
    <col min="2" max="2" width="18.5546875" style="3" bestFit="1" customWidth="1"/>
    <col min="3" max="3" width="5" style="3" customWidth="1"/>
    <col min="4" max="4" width="25.109375" style="3" bestFit="1" customWidth="1"/>
    <col min="5" max="5" width="20.109375" style="3" bestFit="1" customWidth="1"/>
    <col min="6" max="6" width="24.44140625" style="3" bestFit="1" customWidth="1"/>
    <col min="7" max="7" width="26.5546875" style="122" bestFit="1" customWidth="1"/>
    <col min="8" max="8" width="25.88671875" style="122" bestFit="1" customWidth="1"/>
    <col min="9" max="9" width="24.44140625" style="3" bestFit="1" customWidth="1"/>
    <col min="10" max="10" width="23.6640625" style="3" bestFit="1" customWidth="1"/>
    <col min="11" max="11" width="20.109375" style="3" bestFit="1" customWidth="1"/>
    <col min="12" max="12" width="5" style="3" bestFit="1" customWidth="1"/>
    <col min="13" max="13" width="18" style="3" bestFit="1" customWidth="1"/>
    <col min="14" max="14" width="11.33203125" style="3" bestFit="1" customWidth="1"/>
    <col min="15" max="15" width="13.33203125" style="3" bestFit="1" customWidth="1"/>
    <col min="16" max="16" width="16.5546875" style="122" customWidth="1"/>
    <col min="17" max="17" width="14.44140625" style="122" customWidth="1"/>
    <col min="18" max="18" width="14.44140625" style="3" customWidth="1"/>
    <col min="19" max="19" width="12.6640625" style="3" customWidth="1"/>
    <col min="20" max="20" width="15.5546875" style="3" customWidth="1"/>
    <col min="21" max="21" width="5" style="3" bestFit="1" customWidth="1"/>
    <col min="22" max="22" width="15.109375" style="3" bestFit="1" customWidth="1"/>
    <col min="23" max="23" width="11" style="3" bestFit="1" customWidth="1"/>
    <col min="24" max="24" width="13.33203125" style="3" bestFit="1" customWidth="1"/>
    <col min="25" max="25" width="15" style="3" bestFit="1" customWidth="1"/>
    <col min="26" max="27" width="13.33203125" style="3" bestFit="1" customWidth="1"/>
    <col min="28" max="28" width="12.109375" style="3" bestFit="1" customWidth="1"/>
    <col min="29" max="29" width="15" style="3" bestFit="1" customWidth="1"/>
    <col min="30" max="30" width="5" style="3" bestFit="1" customWidth="1"/>
    <col min="31" max="31" width="15" style="3" bestFit="1" customWidth="1"/>
    <col min="32" max="32" width="11" style="3" bestFit="1" customWidth="1"/>
    <col min="33" max="33" width="13.33203125" style="3" bestFit="1" customWidth="1"/>
    <col min="34" max="34" width="15" style="3" bestFit="1" customWidth="1"/>
    <col min="35" max="36" width="13.33203125" style="3" bestFit="1" customWidth="1"/>
    <col min="37" max="37" width="12.109375" style="3" customWidth="1"/>
    <col min="38" max="38" width="15" style="3" bestFit="1" customWidth="1"/>
    <col min="39" max="39" width="6.5546875" style="3" customWidth="1"/>
    <col min="40" max="40" width="15" style="3" bestFit="1" customWidth="1"/>
    <col min="41" max="41" width="11" style="3" bestFit="1" customWidth="1"/>
    <col min="42" max="42" width="13.33203125" style="3" bestFit="1" customWidth="1"/>
    <col min="43" max="43" width="14" style="3" bestFit="1" customWidth="1"/>
    <col min="44" max="44" width="12.6640625" style="3" bestFit="1" customWidth="1"/>
    <col min="45" max="45" width="13.33203125" style="3" bestFit="1" customWidth="1"/>
    <col min="46" max="46" width="12.109375" style="3" bestFit="1" customWidth="1"/>
    <col min="47" max="47" width="15" style="3" bestFit="1" customWidth="1"/>
    <col min="48" max="48" width="6" style="3" customWidth="1"/>
    <col min="49" max="49" width="15.5546875" style="3" customWidth="1"/>
    <col min="50" max="50" width="12.33203125" style="3" bestFit="1" customWidth="1"/>
    <col min="51" max="51" width="13.44140625" style="3" bestFit="1" customWidth="1"/>
    <col min="52" max="52" width="15.109375" style="3" bestFit="1" customWidth="1"/>
    <col min="53" max="53" width="13.88671875" style="3" bestFit="1" customWidth="1"/>
    <col min="54" max="54" width="13.44140625" style="3" bestFit="1" customWidth="1"/>
    <col min="55" max="55" width="12.33203125" style="3" bestFit="1" customWidth="1"/>
    <col min="56" max="56" width="15.109375" style="3" bestFit="1" customWidth="1"/>
    <col min="57" max="57" width="5.5546875" style="3" bestFit="1" customWidth="1"/>
    <col min="58" max="58" width="15.109375" style="3" bestFit="1" customWidth="1"/>
    <col min="59" max="59" width="12.33203125" style="3" bestFit="1" customWidth="1"/>
    <col min="60" max="60" width="13.44140625" style="3" bestFit="1" customWidth="1"/>
    <col min="61" max="61" width="16.109375" style="3" bestFit="1" customWidth="1"/>
    <col min="62" max="62" width="14.88671875" style="3" bestFit="1" customWidth="1"/>
    <col min="63" max="63" width="15.109375" style="3" bestFit="1" customWidth="1"/>
    <col min="64" max="64" width="14.109375" style="3" bestFit="1" customWidth="1"/>
    <col min="65" max="65" width="17.33203125" style="3" bestFit="1" customWidth="1"/>
    <col min="66" max="66" width="11.6640625" style="3" bestFit="1" customWidth="1"/>
    <col min="67" max="67" width="14.6640625" style="3" customWidth="1"/>
    <col min="68" max="68" width="11.33203125" style="3" bestFit="1" customWidth="1"/>
    <col min="69" max="69" width="15.88671875" style="3" bestFit="1" customWidth="1"/>
    <col min="70" max="70" width="16.109375" style="3" bestFit="1" customWidth="1"/>
    <col min="71" max="71" width="14.88671875" style="3" bestFit="1" customWidth="1"/>
    <col min="72" max="72" width="15.109375" style="3" bestFit="1" customWidth="1"/>
    <col min="73" max="73" width="14.109375" style="3" bestFit="1" customWidth="1"/>
    <col min="74" max="74" width="17.33203125" style="3" bestFit="1" customWidth="1"/>
    <col min="75" max="75" width="5" style="3" bestFit="1" customWidth="1"/>
    <col min="76" max="76" width="15.109375" style="3" customWidth="1"/>
    <col min="77" max="77" width="11.109375" style="3" bestFit="1" customWidth="1"/>
    <col min="78" max="78" width="15.88671875" style="3" bestFit="1" customWidth="1"/>
    <col min="79" max="79" width="16.109375" style="3" bestFit="1" customWidth="1"/>
    <col min="80" max="80" width="14.88671875" style="3" bestFit="1" customWidth="1"/>
    <col min="81" max="81" width="15.109375" style="3" bestFit="1" customWidth="1"/>
    <col min="82" max="82" width="14.109375" style="3" bestFit="1" customWidth="1"/>
    <col min="83" max="83" width="17.33203125" style="3" bestFit="1" customWidth="1"/>
    <col min="84" max="84" width="11.109375" style="3" bestFit="1" customWidth="1"/>
    <col min="85" max="85" width="14.88671875" style="3" customWidth="1"/>
    <col min="86" max="86" width="11.109375" style="3" bestFit="1" customWidth="1"/>
    <col min="87" max="87" width="15.88671875" style="3" bestFit="1" customWidth="1"/>
    <col min="88" max="88" width="16.109375" style="3" bestFit="1" customWidth="1"/>
    <col min="89" max="89" width="14.88671875" style="3" bestFit="1" customWidth="1"/>
    <col min="90" max="90" width="15.109375" style="3" bestFit="1" customWidth="1"/>
    <col min="91" max="91" width="14.109375" style="3" bestFit="1" customWidth="1"/>
    <col min="92" max="92" width="17.33203125" style="3" bestFit="1" customWidth="1"/>
    <col min="93" max="93" width="11.109375" style="3" bestFit="1" customWidth="1"/>
    <col min="94" max="94" width="14.6640625" style="3" customWidth="1"/>
    <col min="95" max="95" width="11.109375" style="3" bestFit="1" customWidth="1"/>
    <col min="96" max="96" width="17" style="3" bestFit="1" customWidth="1"/>
    <col min="97" max="97" width="16.109375" style="3" bestFit="1" customWidth="1"/>
    <col min="98" max="98" width="14.88671875" style="3" bestFit="1" customWidth="1"/>
    <col min="99" max="99" width="16" style="3" bestFit="1" customWidth="1"/>
    <col min="100" max="100" width="14.109375" style="3" bestFit="1" customWidth="1"/>
    <col min="101" max="101" width="17.33203125" style="3" bestFit="1" customWidth="1"/>
    <col min="102" max="102" width="11.109375" style="3" bestFit="1" customWidth="1"/>
    <col min="103" max="103" width="15.109375" style="3" bestFit="1" customWidth="1"/>
    <col min="104" max="104" width="12.33203125" style="3" bestFit="1" customWidth="1"/>
    <col min="105" max="105" width="13.44140625" style="3" bestFit="1" customWidth="1"/>
    <col min="106" max="106" width="15.109375" style="3" bestFit="1" customWidth="1"/>
    <col min="107" max="107" width="13.88671875" style="3" bestFit="1" customWidth="1"/>
    <col min="108" max="108" width="13.44140625" style="3" bestFit="1" customWidth="1"/>
    <col min="109" max="109" width="12.33203125" style="3" bestFit="1" customWidth="1"/>
    <col min="110" max="110" width="15.109375" style="3" bestFit="1" customWidth="1"/>
    <col min="111" max="111" width="9.109375" style="3"/>
    <col min="112" max="112" width="16.33203125" style="116" bestFit="1" customWidth="1"/>
    <col min="113" max="113" width="15.109375" style="116" bestFit="1" customWidth="1"/>
    <col min="114" max="114" width="13.5546875" style="116" bestFit="1" customWidth="1"/>
    <col min="115" max="116" width="15.109375" style="116" bestFit="1" customWidth="1"/>
    <col min="117" max="117" width="13.88671875" style="116" bestFit="1" customWidth="1"/>
    <col min="118" max="118" width="15.109375" style="116" bestFit="1" customWidth="1"/>
    <col min="119" max="124" width="9.109375" style="116"/>
    <col min="125" max="16384" width="9.109375" style="3"/>
  </cols>
  <sheetData>
    <row r="1" spans="1:124" s="1" customFormat="1">
      <c r="D1" s="972" t="s">
        <v>56</v>
      </c>
      <c r="E1" s="975"/>
      <c r="F1" s="975"/>
      <c r="G1" s="975"/>
      <c r="H1" s="975"/>
      <c r="I1" s="975"/>
      <c r="J1" s="975"/>
      <c r="K1" s="105"/>
      <c r="L1" s="63">
        <v>2003</v>
      </c>
      <c r="M1" s="972" t="s">
        <v>57</v>
      </c>
      <c r="N1" s="975"/>
      <c r="O1" s="975"/>
      <c r="P1" s="975"/>
      <c r="Q1" s="975"/>
      <c r="R1" s="975"/>
      <c r="S1" s="975"/>
      <c r="T1" s="11"/>
      <c r="U1" s="63">
        <v>2004</v>
      </c>
      <c r="V1" s="972" t="s">
        <v>58</v>
      </c>
      <c r="W1" s="975"/>
      <c r="X1" s="975"/>
      <c r="Y1" s="975"/>
      <c r="Z1" s="975"/>
      <c r="AA1" s="975"/>
      <c r="AB1" s="975"/>
      <c r="AC1" s="11"/>
      <c r="AD1" s="63">
        <v>2005</v>
      </c>
      <c r="AE1" s="972" t="s">
        <v>59</v>
      </c>
      <c r="AF1" s="975"/>
      <c r="AG1" s="975"/>
      <c r="AH1" s="975"/>
      <c r="AI1" s="975"/>
      <c r="AJ1" s="975"/>
      <c r="AK1" s="975"/>
      <c r="AL1" s="11"/>
      <c r="AM1" s="63">
        <v>2006</v>
      </c>
      <c r="AN1" s="972" t="s">
        <v>60</v>
      </c>
      <c r="AO1" s="975"/>
      <c r="AP1" s="975"/>
      <c r="AQ1" s="975"/>
      <c r="AR1" s="975"/>
      <c r="AS1" s="975"/>
      <c r="AT1" s="975"/>
      <c r="AU1" s="11"/>
      <c r="AV1" s="63">
        <v>2007</v>
      </c>
      <c r="AW1" s="972" t="s">
        <v>61</v>
      </c>
      <c r="AX1" s="975"/>
      <c r="AY1" s="975"/>
      <c r="AZ1" s="975"/>
      <c r="BA1" s="975"/>
      <c r="BB1" s="975"/>
      <c r="BC1" s="975"/>
      <c r="BD1" s="11"/>
      <c r="BE1" s="63">
        <v>2008</v>
      </c>
      <c r="BF1" s="972" t="s">
        <v>62</v>
      </c>
      <c r="BG1" s="975"/>
      <c r="BH1" s="975"/>
      <c r="BI1" s="975"/>
      <c r="BJ1" s="975"/>
      <c r="BK1" s="975"/>
      <c r="BL1" s="975"/>
      <c r="BM1" s="107"/>
      <c r="BN1" s="63">
        <v>2009</v>
      </c>
      <c r="BO1" s="972" t="s">
        <v>152</v>
      </c>
      <c r="BP1" s="975"/>
      <c r="BQ1" s="975"/>
      <c r="BR1" s="975"/>
      <c r="BS1" s="975"/>
      <c r="BT1" s="975"/>
      <c r="BU1" s="975"/>
      <c r="BV1" s="387"/>
      <c r="BW1" s="63"/>
      <c r="BX1" s="972" t="s">
        <v>155</v>
      </c>
      <c r="BY1" s="975"/>
      <c r="BZ1" s="975"/>
      <c r="CA1" s="975"/>
      <c r="CB1" s="975"/>
      <c r="CC1" s="975"/>
      <c r="CD1" s="975"/>
      <c r="CE1" s="387"/>
      <c r="CF1" s="63">
        <v>2011</v>
      </c>
      <c r="CG1" s="972" t="s">
        <v>161</v>
      </c>
      <c r="CH1" s="975"/>
      <c r="CI1" s="975"/>
      <c r="CJ1" s="975"/>
      <c r="CK1" s="975"/>
      <c r="CL1" s="975"/>
      <c r="CM1" s="975"/>
      <c r="CN1" s="416"/>
      <c r="CO1" s="63">
        <v>2012</v>
      </c>
      <c r="CP1" s="972" t="s">
        <v>165</v>
      </c>
      <c r="CQ1" s="975"/>
      <c r="CR1" s="975"/>
      <c r="CS1" s="975"/>
      <c r="CT1" s="975"/>
      <c r="CU1" s="975"/>
      <c r="CV1" s="975"/>
      <c r="CW1" s="433"/>
      <c r="CX1" s="63">
        <v>2013</v>
      </c>
      <c r="CY1" s="972" t="s">
        <v>176</v>
      </c>
      <c r="CZ1" s="975"/>
      <c r="DA1" s="975"/>
      <c r="DB1" s="975"/>
      <c r="DC1" s="975"/>
      <c r="DD1" s="975"/>
      <c r="DE1" s="975"/>
      <c r="DF1" s="457"/>
      <c r="DG1" s="63">
        <v>2014</v>
      </c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</row>
    <row r="2" spans="1:124" s="1" customFormat="1" ht="13.8" thickBot="1">
      <c r="D2" s="108" t="s">
        <v>45</v>
      </c>
      <c r="E2" s="109" t="s">
        <v>63</v>
      </c>
      <c r="F2" s="109" t="s">
        <v>47</v>
      </c>
      <c r="G2" s="109" t="s">
        <v>48</v>
      </c>
      <c r="H2" s="109" t="s">
        <v>49</v>
      </c>
      <c r="I2" s="109" t="s">
        <v>55</v>
      </c>
      <c r="J2" s="109" t="s">
        <v>51</v>
      </c>
      <c r="K2" s="110" t="s">
        <v>52</v>
      </c>
      <c r="M2" s="108" t="s">
        <v>45</v>
      </c>
      <c r="N2" s="109" t="s">
        <v>63</v>
      </c>
      <c r="O2" s="109" t="s">
        <v>47</v>
      </c>
      <c r="P2" s="109" t="s">
        <v>48</v>
      </c>
      <c r="Q2" s="109" t="s">
        <v>49</v>
      </c>
      <c r="R2" s="109" t="s">
        <v>55</v>
      </c>
      <c r="S2" s="109" t="s">
        <v>51</v>
      </c>
      <c r="T2" s="110" t="s">
        <v>52</v>
      </c>
      <c r="V2" s="108" t="s">
        <v>45</v>
      </c>
      <c r="W2" s="109" t="s">
        <v>63</v>
      </c>
      <c r="X2" s="109" t="s">
        <v>47</v>
      </c>
      <c r="Y2" s="109" t="s">
        <v>48</v>
      </c>
      <c r="Z2" s="109" t="s">
        <v>49</v>
      </c>
      <c r="AA2" s="109" t="s">
        <v>50</v>
      </c>
      <c r="AB2" s="109" t="s">
        <v>51</v>
      </c>
      <c r="AC2" s="110" t="s">
        <v>52</v>
      </c>
      <c r="AE2" s="111" t="s">
        <v>45</v>
      </c>
      <c r="AF2" s="112" t="s">
        <v>63</v>
      </c>
      <c r="AG2" s="112" t="s">
        <v>47</v>
      </c>
      <c r="AH2" s="113" t="s">
        <v>48</v>
      </c>
      <c r="AI2" s="113" t="s">
        <v>49</v>
      </c>
      <c r="AJ2" s="113" t="s">
        <v>50</v>
      </c>
      <c r="AK2" s="112" t="s">
        <v>51</v>
      </c>
      <c r="AL2" s="110" t="s">
        <v>52</v>
      </c>
      <c r="AN2" s="108" t="s">
        <v>45</v>
      </c>
      <c r="AO2" s="109" t="s">
        <v>63</v>
      </c>
      <c r="AP2" s="109" t="s">
        <v>47</v>
      </c>
      <c r="AQ2" s="109" t="s">
        <v>48</v>
      </c>
      <c r="AR2" s="109" t="s">
        <v>49</v>
      </c>
      <c r="AS2" s="109" t="s">
        <v>50</v>
      </c>
      <c r="AT2" s="109" t="s">
        <v>51</v>
      </c>
      <c r="AU2" s="114" t="s">
        <v>52</v>
      </c>
      <c r="AW2" s="108" t="s">
        <v>45</v>
      </c>
      <c r="AX2" s="109" t="s">
        <v>63</v>
      </c>
      <c r="AY2" s="109" t="s">
        <v>47</v>
      </c>
      <c r="AZ2" s="109" t="s">
        <v>48</v>
      </c>
      <c r="BA2" s="109" t="s">
        <v>49</v>
      </c>
      <c r="BB2" s="109" t="s">
        <v>50</v>
      </c>
      <c r="BC2" s="109" t="s">
        <v>51</v>
      </c>
      <c r="BD2" s="115" t="s">
        <v>52</v>
      </c>
      <c r="BF2" s="108" t="s">
        <v>45</v>
      </c>
      <c r="BG2" s="109" t="s">
        <v>63</v>
      </c>
      <c r="BH2" s="109" t="s">
        <v>47</v>
      </c>
      <c r="BI2" s="109" t="s">
        <v>48</v>
      </c>
      <c r="BJ2" s="109" t="s">
        <v>49</v>
      </c>
      <c r="BK2" s="109" t="s">
        <v>50</v>
      </c>
      <c r="BL2" s="109" t="s">
        <v>51</v>
      </c>
      <c r="BM2" s="115" t="s">
        <v>52</v>
      </c>
      <c r="BO2" s="108" t="s">
        <v>45</v>
      </c>
      <c r="BP2" s="388" t="s">
        <v>63</v>
      </c>
      <c r="BQ2" s="388" t="s">
        <v>47</v>
      </c>
      <c r="BR2" s="388" t="s">
        <v>48</v>
      </c>
      <c r="BS2" s="388" t="s">
        <v>49</v>
      </c>
      <c r="BT2" s="388" t="s">
        <v>50</v>
      </c>
      <c r="BU2" s="388" t="s">
        <v>51</v>
      </c>
      <c r="BV2" s="115" t="s">
        <v>52</v>
      </c>
      <c r="BX2" s="108" t="s">
        <v>45</v>
      </c>
      <c r="BY2" s="388" t="s">
        <v>63</v>
      </c>
      <c r="BZ2" s="388" t="s">
        <v>47</v>
      </c>
      <c r="CA2" s="388" t="s">
        <v>48</v>
      </c>
      <c r="CB2" s="388" t="s">
        <v>49</v>
      </c>
      <c r="CC2" s="388" t="s">
        <v>50</v>
      </c>
      <c r="CD2" s="388" t="s">
        <v>51</v>
      </c>
      <c r="CE2" s="115" t="s">
        <v>52</v>
      </c>
      <c r="CG2" s="108" t="s">
        <v>45</v>
      </c>
      <c r="CH2" s="417" t="s">
        <v>63</v>
      </c>
      <c r="CI2" s="417" t="s">
        <v>47</v>
      </c>
      <c r="CJ2" s="417" t="s">
        <v>48</v>
      </c>
      <c r="CK2" s="417" t="s">
        <v>49</v>
      </c>
      <c r="CL2" s="417" t="s">
        <v>50</v>
      </c>
      <c r="CM2" s="417" t="s">
        <v>51</v>
      </c>
      <c r="CN2" s="115" t="s">
        <v>52</v>
      </c>
      <c r="CP2" s="108" t="s">
        <v>45</v>
      </c>
      <c r="CQ2" s="434" t="s">
        <v>63</v>
      </c>
      <c r="CR2" s="434" t="s">
        <v>47</v>
      </c>
      <c r="CS2" s="434" t="s">
        <v>48</v>
      </c>
      <c r="CT2" s="434" t="s">
        <v>49</v>
      </c>
      <c r="CU2" s="434" t="s">
        <v>50</v>
      </c>
      <c r="CV2" s="434" t="s">
        <v>51</v>
      </c>
      <c r="CW2" s="115" t="s">
        <v>52</v>
      </c>
      <c r="CY2" s="108" t="s">
        <v>45</v>
      </c>
      <c r="CZ2" s="458" t="s">
        <v>63</v>
      </c>
      <c r="DA2" s="458" t="s">
        <v>47</v>
      </c>
      <c r="DB2" s="458" t="s">
        <v>48</v>
      </c>
      <c r="DC2" s="458" t="s">
        <v>49</v>
      </c>
      <c r="DD2" s="458" t="s">
        <v>50</v>
      </c>
      <c r="DE2" s="458" t="s">
        <v>51</v>
      </c>
      <c r="DF2" s="115" t="s">
        <v>52</v>
      </c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</row>
    <row r="3" spans="1:124">
      <c r="A3" s="976" t="s">
        <v>64</v>
      </c>
      <c r="B3" s="135" t="s">
        <v>3</v>
      </c>
      <c r="D3" s="164">
        <v>99252560</v>
      </c>
      <c r="E3" s="165">
        <v>649211.75</v>
      </c>
      <c r="F3" s="166">
        <f>29128857-E3</f>
        <v>28479645.25</v>
      </c>
      <c r="G3" s="167">
        <v>107500212</v>
      </c>
      <c r="H3" s="167">
        <v>71536168</v>
      </c>
      <c r="I3" s="166">
        <v>24631329</v>
      </c>
      <c r="J3" s="166">
        <v>2244775</v>
      </c>
      <c r="K3" s="168">
        <f t="shared" ref="K3:K14" si="0">SUM(D3:J3)</f>
        <v>334293901</v>
      </c>
      <c r="L3" s="169"/>
      <c r="M3" s="169">
        <v>100143636</v>
      </c>
      <c r="N3" s="169">
        <v>502050.41666666669</v>
      </c>
      <c r="O3" s="169">
        <f>26596895-N3</f>
        <v>26094844.583333332</v>
      </c>
      <c r="P3" s="170">
        <v>107850864</v>
      </c>
      <c r="Q3" s="170">
        <v>75545057</v>
      </c>
      <c r="R3" s="169">
        <v>24892586</v>
      </c>
      <c r="S3" s="169">
        <v>2422473</v>
      </c>
      <c r="T3" s="169">
        <f t="shared" ref="T3:T14" si="1">SUM(M3:S3)</f>
        <v>337451511</v>
      </c>
      <c r="U3" s="169"/>
      <c r="V3" s="169">
        <v>104838692</v>
      </c>
      <c r="W3" s="139">
        <f>$W$34/12</f>
        <v>477081.16666666669</v>
      </c>
      <c r="X3" s="169">
        <f>27831080-W3</f>
        <v>27353998.833333332</v>
      </c>
      <c r="Y3" s="169">
        <v>93876052</v>
      </c>
      <c r="Z3" s="169">
        <v>77480062</v>
      </c>
      <c r="AA3" s="169">
        <v>25439201</v>
      </c>
      <c r="AB3" s="169">
        <v>2338203</v>
      </c>
      <c r="AC3" s="169">
        <f t="shared" ref="AC3:AC14" si="2">SUM(V3:AB3)</f>
        <v>331803290</v>
      </c>
      <c r="AD3" s="169"/>
      <c r="AE3" s="169">
        <v>102626084</v>
      </c>
      <c r="AF3" s="169">
        <v>459914.58333333331</v>
      </c>
      <c r="AG3" s="169">
        <f>27917088-AF3</f>
        <v>27457173.416666668</v>
      </c>
      <c r="AH3" s="169">
        <v>94853823</v>
      </c>
      <c r="AI3" s="169">
        <v>83131132</v>
      </c>
      <c r="AJ3" s="169">
        <v>26409471</v>
      </c>
      <c r="AK3" s="169">
        <v>2553671</v>
      </c>
      <c r="AL3" s="169">
        <f>SUM(AD3:AK3)</f>
        <v>337491269</v>
      </c>
      <c r="AM3" s="169"/>
      <c r="AN3" s="169">
        <v>96647423</v>
      </c>
      <c r="AO3" s="169">
        <v>435607.83333333331</v>
      </c>
      <c r="AP3" s="169">
        <f>25516771-AO3</f>
        <v>25081163.166666668</v>
      </c>
      <c r="AQ3" s="169">
        <v>99321481</v>
      </c>
      <c r="AR3" s="169">
        <v>80523623</v>
      </c>
      <c r="AS3" s="169">
        <v>24097074</v>
      </c>
      <c r="AT3" s="169">
        <v>2689489</v>
      </c>
      <c r="AU3" s="169">
        <f>SUM(AN3:AT3)</f>
        <v>328795861</v>
      </c>
      <c r="AV3" s="169"/>
      <c r="AW3" s="169">
        <v>101798376</v>
      </c>
      <c r="AX3" s="494">
        <v>439326.91666666669</v>
      </c>
      <c r="AY3" s="494">
        <f>26542924-AX3</f>
        <v>26103597.083333332</v>
      </c>
      <c r="AZ3" s="169">
        <v>102963887</v>
      </c>
      <c r="BA3" s="169">
        <v>75130167</v>
      </c>
      <c r="BB3" s="169">
        <v>32990709</v>
      </c>
      <c r="BC3" s="169">
        <v>2927993</v>
      </c>
      <c r="BD3" s="169">
        <f>SUM(AW3:BC3)</f>
        <v>342354056</v>
      </c>
      <c r="BE3" s="169"/>
      <c r="BF3" s="169">
        <v>119021454</v>
      </c>
      <c r="BG3" s="494">
        <v>440560.16666666669</v>
      </c>
      <c r="BH3" s="494">
        <f>29259152-BG3</f>
        <v>28818591.833333332</v>
      </c>
      <c r="BI3" s="169">
        <v>101974045</v>
      </c>
      <c r="BJ3" s="169">
        <v>64638066</v>
      </c>
      <c r="BK3" s="169">
        <v>30653309</v>
      </c>
      <c r="BL3" s="169">
        <v>2971231</v>
      </c>
      <c r="BM3" s="169">
        <f>SUM(BF3:BL3)</f>
        <v>348517257</v>
      </c>
      <c r="BN3" s="169"/>
      <c r="BO3" s="357">
        <v>120063979</v>
      </c>
      <c r="BP3" s="494">
        <f>BP21*1.0356</f>
        <v>442909.55040000001</v>
      </c>
      <c r="BQ3" s="494">
        <f>29825295-BP3</f>
        <v>29382385.4496</v>
      </c>
      <c r="BR3" s="357">
        <v>99545926</v>
      </c>
      <c r="BS3" s="169">
        <v>68584311</v>
      </c>
      <c r="BT3" s="169">
        <v>29895628</v>
      </c>
      <c r="BU3" s="169">
        <v>3118624</v>
      </c>
      <c r="BV3" s="169">
        <f>SUM(BO3:BU3)</f>
        <v>351033763</v>
      </c>
      <c r="BW3" s="357"/>
      <c r="BX3" s="494">
        <v>120354758</v>
      </c>
      <c r="BY3" s="494">
        <v>459761</v>
      </c>
      <c r="BZ3" s="492">
        <f>29681022</f>
        <v>29681022</v>
      </c>
      <c r="CA3" s="357">
        <v>100009657</v>
      </c>
      <c r="CB3" s="169">
        <v>70600457</v>
      </c>
      <c r="CC3" s="169">
        <v>32200859</v>
      </c>
      <c r="CD3" s="169">
        <v>3253589</v>
      </c>
      <c r="CE3" s="169">
        <f>SUM(BX3:CD3)</f>
        <v>356560103</v>
      </c>
      <c r="CF3" s="169"/>
      <c r="CG3" s="357">
        <v>111985008</v>
      </c>
      <c r="CH3" s="357">
        <f>+CH21*1.0349</f>
        <v>477178.93629999994</v>
      </c>
      <c r="CI3" s="357">
        <f>29494951.1559-1007.49</f>
        <v>29493943.665900003</v>
      </c>
      <c r="CJ3" s="357">
        <v>99002633</v>
      </c>
      <c r="CK3" s="494">
        <f>67739869+'WH MRK PART.'!E16</f>
        <v>71463456.104379997</v>
      </c>
      <c r="CL3" s="357">
        <v>33211776</v>
      </c>
      <c r="CM3" s="357">
        <f t="shared" ref="CM3:CM13" si="3">+CM21*1.0349</f>
        <v>3401929.4893999998</v>
      </c>
      <c r="CN3" s="169">
        <f>SUM(CG3:CM3)</f>
        <v>349035925.19598001</v>
      </c>
      <c r="CO3" s="169"/>
      <c r="CP3" s="357">
        <v>115080698</v>
      </c>
      <c r="CQ3" s="445">
        <v>485253</v>
      </c>
      <c r="CR3" s="444">
        <f>30727319-4625.73</f>
        <v>30722693.27</v>
      </c>
      <c r="CS3" s="357">
        <v>98255480</v>
      </c>
      <c r="CT3" s="169">
        <f>69249245+'WH MRK PART.'!E28</f>
        <v>73889328.03418</v>
      </c>
      <c r="CU3" s="169">
        <v>32033367</v>
      </c>
      <c r="CV3" s="169">
        <v>3424373</v>
      </c>
      <c r="CW3" s="169">
        <f>SUM(CP3:CV3)</f>
        <v>353891192.30418003</v>
      </c>
      <c r="CX3" s="169"/>
      <c r="CY3" s="494"/>
      <c r="CZ3" s="494"/>
      <c r="DA3" s="494"/>
      <c r="DB3" s="494"/>
      <c r="DC3" s="494"/>
      <c r="DD3" s="494"/>
      <c r="DE3" s="494"/>
      <c r="DF3" s="494"/>
    </row>
    <row r="4" spans="1:124">
      <c r="A4" s="977"/>
      <c r="B4" s="140" t="s">
        <v>4</v>
      </c>
      <c r="D4" s="171">
        <v>83543469</v>
      </c>
      <c r="E4" s="165">
        <v>649211.75</v>
      </c>
      <c r="F4" s="19">
        <f>26175764-E4</f>
        <v>25526552.25</v>
      </c>
      <c r="G4" s="86">
        <v>93166213</v>
      </c>
      <c r="H4" s="86">
        <v>67081277</v>
      </c>
      <c r="I4" s="19">
        <v>24210924</v>
      </c>
      <c r="J4" s="19">
        <v>1837154</v>
      </c>
      <c r="K4" s="20">
        <f t="shared" si="0"/>
        <v>296014801</v>
      </c>
      <c r="L4" s="169"/>
      <c r="M4" s="169">
        <v>87647207</v>
      </c>
      <c r="N4" s="169">
        <v>502050.41666666669</v>
      </c>
      <c r="O4" s="169">
        <f>25979188-N4</f>
        <v>25477137.583333332</v>
      </c>
      <c r="P4" s="170">
        <v>86943151</v>
      </c>
      <c r="Q4" s="170">
        <v>76861304</v>
      </c>
      <c r="R4" s="169">
        <v>22068450</v>
      </c>
      <c r="S4" s="169">
        <v>1915109</v>
      </c>
      <c r="T4" s="169">
        <f t="shared" si="1"/>
        <v>301414409</v>
      </c>
      <c r="U4" s="169"/>
      <c r="V4" s="169">
        <v>89341121</v>
      </c>
      <c r="W4" s="139">
        <f t="shared" ref="W4:W14" si="4">$W$34/12</f>
        <v>477081.16666666669</v>
      </c>
      <c r="X4" s="169">
        <f>25548724-W4</f>
        <v>25071642.833333332</v>
      </c>
      <c r="Y4" s="169">
        <v>95439923</v>
      </c>
      <c r="Z4" s="169">
        <v>75061439</v>
      </c>
      <c r="AA4" s="169">
        <v>23052705</v>
      </c>
      <c r="AB4" s="169">
        <v>1946468</v>
      </c>
      <c r="AC4" s="169">
        <f t="shared" si="2"/>
        <v>310390380</v>
      </c>
      <c r="AD4" s="169"/>
      <c r="AE4" s="169">
        <v>86877874</v>
      </c>
      <c r="AF4" s="169">
        <v>459914.58333333331</v>
      </c>
      <c r="AG4" s="169">
        <f>25824469-AF4</f>
        <v>25364554.416666668</v>
      </c>
      <c r="AH4" s="169">
        <v>93524238</v>
      </c>
      <c r="AI4" s="169">
        <v>77355926</v>
      </c>
      <c r="AJ4" s="169">
        <v>27446019</v>
      </c>
      <c r="AK4" s="169">
        <v>2112407</v>
      </c>
      <c r="AL4" s="169">
        <f t="shared" ref="AL4:AL14" si="5">SUM(AD4:AK4)</f>
        <v>313140933</v>
      </c>
      <c r="AM4" s="169"/>
      <c r="AN4" s="169">
        <v>105695411</v>
      </c>
      <c r="AO4" s="169">
        <v>435607.83333333331</v>
      </c>
      <c r="AP4" s="169">
        <f>29387658-AO4</f>
        <v>28952050.166666668</v>
      </c>
      <c r="AQ4" s="169">
        <v>98348800</v>
      </c>
      <c r="AR4" s="169">
        <v>75623989</v>
      </c>
      <c r="AS4" s="169">
        <v>25690526</v>
      </c>
      <c r="AT4" s="169">
        <v>2288802</v>
      </c>
      <c r="AU4" s="169">
        <f t="shared" ref="AU4:AU14" si="6">SUM(AN4:AT4)</f>
        <v>337035186</v>
      </c>
      <c r="AV4" s="169"/>
      <c r="AW4" s="169">
        <v>103373674</v>
      </c>
      <c r="AX4" s="494">
        <v>439326.91666666669</v>
      </c>
      <c r="AY4" s="494">
        <f>28200946-AX4</f>
        <v>27761619.083333332</v>
      </c>
      <c r="AZ4" s="169">
        <v>98872834</v>
      </c>
      <c r="BA4" s="169">
        <v>70308075</v>
      </c>
      <c r="BB4" s="169">
        <v>32870790</v>
      </c>
      <c r="BC4" s="169">
        <v>2491759</v>
      </c>
      <c r="BD4" s="169">
        <f t="shared" ref="BD4:BD14" si="7">SUM(AW4:BC4)</f>
        <v>336118078</v>
      </c>
      <c r="BE4" s="169"/>
      <c r="BF4" s="169">
        <v>103885776</v>
      </c>
      <c r="BG4" s="494">
        <v>440560.16666666669</v>
      </c>
      <c r="BH4" s="494">
        <f>27876413-BG4</f>
        <v>27435852.833333332</v>
      </c>
      <c r="BI4" s="169">
        <v>92396840</v>
      </c>
      <c r="BJ4" s="169">
        <v>61977206</v>
      </c>
      <c r="BK4" s="169">
        <v>27925468</v>
      </c>
      <c r="BL4" s="169">
        <v>2461340</v>
      </c>
      <c r="BM4" s="169">
        <f t="shared" ref="BM4:BM14" si="8">SUM(BF4:BL4)</f>
        <v>316523043</v>
      </c>
      <c r="BN4" s="169"/>
      <c r="BO4" s="357">
        <v>98456028</v>
      </c>
      <c r="BP4" s="494">
        <f>BP22*1.0356</f>
        <v>443344.50240000006</v>
      </c>
      <c r="BQ4" s="494">
        <f>26532986-BP4</f>
        <v>26089641.4976</v>
      </c>
      <c r="BR4" s="357">
        <v>91797929</v>
      </c>
      <c r="BS4" s="169">
        <v>65298733</v>
      </c>
      <c r="BT4" s="169">
        <v>29558707</v>
      </c>
      <c r="BU4" s="169">
        <v>2586182</v>
      </c>
      <c r="BV4" s="169">
        <f t="shared" ref="BV4:BV14" si="9">SUM(BO4:BU4)</f>
        <v>314230565</v>
      </c>
      <c r="BW4" s="357"/>
      <c r="BX4" s="494">
        <v>103643673</v>
      </c>
      <c r="BY4" s="494">
        <v>463122</v>
      </c>
      <c r="BZ4" s="492">
        <f>28260377-18.89</f>
        <v>28260358.109999999</v>
      </c>
      <c r="CA4" s="357">
        <v>94671447</v>
      </c>
      <c r="CB4" s="169">
        <v>64290730</v>
      </c>
      <c r="CC4" s="169">
        <v>30726042</v>
      </c>
      <c r="CD4" s="169">
        <v>2728005</v>
      </c>
      <c r="CE4" s="169">
        <f t="shared" ref="CE4:CE12" si="10">SUM(BX4:CD4)</f>
        <v>324783377.11000001</v>
      </c>
      <c r="CF4" s="169"/>
      <c r="CG4" s="357">
        <v>100460474</v>
      </c>
      <c r="CH4" s="357">
        <f t="shared" ref="CH4:CH7" si="11">+CH22*1.0349</f>
        <v>477304.15919999999</v>
      </c>
      <c r="CI4" s="357">
        <f>28840308.6025-840.5</f>
        <v>28839468.102499999</v>
      </c>
      <c r="CJ4" s="357">
        <v>94768891</v>
      </c>
      <c r="CK4" s="357">
        <f>65525664+'WH MRK PART.'!E17</f>
        <v>68820363.290299997</v>
      </c>
      <c r="CL4" s="357">
        <v>30909977</v>
      </c>
      <c r="CM4" s="357">
        <f t="shared" si="3"/>
        <v>2938380.1860999996</v>
      </c>
      <c r="CN4" s="169">
        <f t="shared" ref="CN4:CN6" si="12">SUM(CG4:CM4)</f>
        <v>327214857.73809999</v>
      </c>
      <c r="CO4" s="169"/>
      <c r="CP4" s="357">
        <v>105789018</v>
      </c>
      <c r="CQ4" s="445">
        <v>486505</v>
      </c>
      <c r="CR4" s="444">
        <f>29072755-5041.02</f>
        <v>29067713.98</v>
      </c>
      <c r="CS4" s="357">
        <v>93830172</v>
      </c>
      <c r="CT4" s="169">
        <f>62940777+'WH MRK PART.'!E29</f>
        <v>66923174.014859997</v>
      </c>
      <c r="CU4" s="169">
        <v>29919580</v>
      </c>
      <c r="CV4" s="169">
        <v>2836804</v>
      </c>
      <c r="CW4" s="169">
        <f t="shared" ref="CW4:CW6" si="13">SUM(CP4:CV4)</f>
        <v>328852966.99485999</v>
      </c>
      <c r="CX4" s="169"/>
      <c r="CY4" s="494"/>
      <c r="CZ4" s="494"/>
      <c r="DA4" s="494"/>
      <c r="DB4" s="494"/>
      <c r="DC4" s="494"/>
      <c r="DD4" s="494"/>
      <c r="DE4" s="494"/>
      <c r="DF4" s="494"/>
    </row>
    <row r="5" spans="1:124">
      <c r="A5" s="977"/>
      <c r="B5" s="140" t="s">
        <v>5</v>
      </c>
      <c r="D5" s="171">
        <v>79298685</v>
      </c>
      <c r="E5" s="165">
        <v>649211.75</v>
      </c>
      <c r="F5" s="19">
        <f>24046086-E5</f>
        <v>23396874.25</v>
      </c>
      <c r="G5" s="86">
        <v>82133406</v>
      </c>
      <c r="H5" s="86">
        <v>73483570</v>
      </c>
      <c r="I5" s="19">
        <v>27519562</v>
      </c>
      <c r="J5" s="19">
        <v>1686898</v>
      </c>
      <c r="K5" s="20">
        <f t="shared" si="0"/>
        <v>288168207</v>
      </c>
      <c r="L5" s="169"/>
      <c r="M5" s="169">
        <v>71845735</v>
      </c>
      <c r="N5" s="169">
        <v>502050.41666666669</v>
      </c>
      <c r="O5" s="169">
        <f>21514968-N5</f>
        <v>21012917.583333332</v>
      </c>
      <c r="P5" s="170">
        <v>92207023</v>
      </c>
      <c r="Q5" s="170">
        <v>83084710</v>
      </c>
      <c r="R5" s="169">
        <v>24448459</v>
      </c>
      <c r="S5" s="169">
        <v>2071417</v>
      </c>
      <c r="T5" s="169">
        <f t="shared" si="1"/>
        <v>295172312</v>
      </c>
      <c r="U5" s="169"/>
      <c r="V5" s="169">
        <v>81893716</v>
      </c>
      <c r="W5" s="139">
        <f t="shared" si="4"/>
        <v>477081.16666666669</v>
      </c>
      <c r="X5" s="169">
        <f>24665550-W5</f>
        <v>24188468.833333332</v>
      </c>
      <c r="Y5" s="169">
        <v>93601879</v>
      </c>
      <c r="Z5" s="169">
        <v>80246233</v>
      </c>
      <c r="AA5" s="169">
        <v>24861118</v>
      </c>
      <c r="AB5" s="169">
        <v>1923554</v>
      </c>
      <c r="AC5" s="169">
        <f t="shared" si="2"/>
        <v>307192050</v>
      </c>
      <c r="AD5" s="169"/>
      <c r="AE5" s="169">
        <v>83972818</v>
      </c>
      <c r="AF5" s="169">
        <v>459914.58333333331</v>
      </c>
      <c r="AG5" s="169">
        <f>24268814-AF5</f>
        <v>23808899.416666668</v>
      </c>
      <c r="AH5" s="169">
        <v>95014813</v>
      </c>
      <c r="AI5" s="169">
        <v>83056099</v>
      </c>
      <c r="AJ5" s="169">
        <v>29912132</v>
      </c>
      <c r="AK5" s="169">
        <v>2094521</v>
      </c>
      <c r="AL5" s="169">
        <f t="shared" si="5"/>
        <v>318319197</v>
      </c>
      <c r="AM5" s="169"/>
      <c r="AN5" s="169">
        <v>89942669</v>
      </c>
      <c r="AO5" s="169">
        <v>435607.83333333331</v>
      </c>
      <c r="AP5" s="169">
        <f>26184081-AO5</f>
        <v>25748473.166666668</v>
      </c>
      <c r="AQ5" s="169">
        <v>96430076</v>
      </c>
      <c r="AR5" s="169">
        <v>82488199</v>
      </c>
      <c r="AS5" s="169">
        <v>30547353</v>
      </c>
      <c r="AT5" s="169">
        <v>2334810</v>
      </c>
      <c r="AU5" s="169">
        <f t="shared" si="6"/>
        <v>327927188</v>
      </c>
      <c r="AV5" s="169"/>
      <c r="AW5" s="169">
        <v>97635202</v>
      </c>
      <c r="AX5" s="494">
        <v>439326.91666666669</v>
      </c>
      <c r="AY5" s="494">
        <f>27245742-AX5</f>
        <v>26806415.083333332</v>
      </c>
      <c r="AZ5" s="169">
        <v>100278173</v>
      </c>
      <c r="BA5" s="169">
        <v>73432083</v>
      </c>
      <c r="BB5" s="169">
        <v>32220491</v>
      </c>
      <c r="BC5" s="169">
        <v>2424717</v>
      </c>
      <c r="BD5" s="169">
        <f t="shared" si="7"/>
        <v>333236408</v>
      </c>
      <c r="BE5" s="169"/>
      <c r="BF5" s="169">
        <v>88019186</v>
      </c>
      <c r="BG5" s="494">
        <v>440560.16666666669</v>
      </c>
      <c r="BH5" s="494">
        <f>24286004-BG5</f>
        <v>23845443.833333332</v>
      </c>
      <c r="BI5" s="169">
        <v>96585229</v>
      </c>
      <c r="BJ5" s="169">
        <v>69267888</v>
      </c>
      <c r="BK5" s="169">
        <v>30503252</v>
      </c>
      <c r="BL5" s="169">
        <v>2452718</v>
      </c>
      <c r="BM5" s="169">
        <f t="shared" si="8"/>
        <v>311114277</v>
      </c>
      <c r="BN5" s="169"/>
      <c r="BO5" s="357">
        <v>87368082</v>
      </c>
      <c r="BP5" s="494">
        <f t="shared" ref="BP5:BP11" si="14">BP23*1.0356</f>
        <v>443344.50240000006</v>
      </c>
      <c r="BQ5" s="494">
        <f>24101028-BP5</f>
        <v>23657683.4976</v>
      </c>
      <c r="BR5" s="357">
        <v>96662374</v>
      </c>
      <c r="BS5" s="169">
        <v>73701778</v>
      </c>
      <c r="BT5" s="169">
        <v>30869642</v>
      </c>
      <c r="BU5" s="169">
        <v>2543238</v>
      </c>
      <c r="BV5" s="169">
        <f t="shared" si="9"/>
        <v>315246142</v>
      </c>
      <c r="BW5" s="357"/>
      <c r="BX5" s="494">
        <v>92899388</v>
      </c>
      <c r="BY5" s="494">
        <v>464405</v>
      </c>
      <c r="BZ5" s="492">
        <f>26616390-135.89</f>
        <v>26616254.109999999</v>
      </c>
      <c r="CA5" s="357">
        <v>97658736</v>
      </c>
      <c r="CB5" s="169">
        <v>73411616</v>
      </c>
      <c r="CC5" s="169">
        <v>33739196</v>
      </c>
      <c r="CD5" s="169">
        <v>2686442</v>
      </c>
      <c r="CE5" s="169">
        <f t="shared" si="10"/>
        <v>327476037.11000001</v>
      </c>
      <c r="CF5" s="169"/>
      <c r="CG5" s="357">
        <v>92303703</v>
      </c>
      <c r="CH5" s="357">
        <f t="shared" si="11"/>
        <v>478158.98659999995</v>
      </c>
      <c r="CI5" s="357">
        <f>26853373.0455-704.03</f>
        <v>26852669.015499998</v>
      </c>
      <c r="CJ5" s="357">
        <v>93975078</v>
      </c>
      <c r="CK5" s="357">
        <f>70033449+'WH MRK PART.'!E18</f>
        <v>74099511.276979998</v>
      </c>
      <c r="CL5" s="357">
        <v>33762212</v>
      </c>
      <c r="CM5" s="357">
        <f>+CM23*1.0349</f>
        <v>2784820.6891999999</v>
      </c>
      <c r="CN5" s="169">
        <f t="shared" si="12"/>
        <v>324256152.96827996</v>
      </c>
      <c r="CO5" s="169"/>
      <c r="CP5" s="357">
        <v>92881576</v>
      </c>
      <c r="CQ5" s="445">
        <v>499387</v>
      </c>
      <c r="CR5" s="194">
        <f>27176569-3496.39</f>
        <v>27173072.609999999</v>
      </c>
      <c r="CS5" s="357">
        <v>93451193</v>
      </c>
      <c r="CT5" s="169">
        <f>68535173+'WH MRK PART.'!E30</f>
        <v>73178411.812519997</v>
      </c>
      <c r="CU5" s="169">
        <v>31979964</v>
      </c>
      <c r="CV5" s="169">
        <v>2815968</v>
      </c>
      <c r="CW5" s="169">
        <f t="shared" si="13"/>
        <v>321979572.42252004</v>
      </c>
      <c r="CX5" s="169"/>
      <c r="CY5" s="494"/>
      <c r="CZ5" s="494"/>
      <c r="DA5" s="494"/>
      <c r="DB5" s="494"/>
      <c r="DC5" s="494"/>
      <c r="DD5" s="494"/>
      <c r="DE5" s="494"/>
      <c r="DF5" s="494"/>
    </row>
    <row r="6" spans="1:124">
      <c r="A6" s="977"/>
      <c r="B6" s="140" t="s">
        <v>6</v>
      </c>
      <c r="D6" s="171">
        <v>69691455</v>
      </c>
      <c r="E6" s="165">
        <v>649211.75</v>
      </c>
      <c r="F6" s="19">
        <f>22307470-E6</f>
        <v>21658258.25</v>
      </c>
      <c r="G6" s="86">
        <v>83334213</v>
      </c>
      <c r="H6" s="86">
        <v>70170408</v>
      </c>
      <c r="I6" s="19">
        <v>25993912</v>
      </c>
      <c r="J6" s="19">
        <v>1532976</v>
      </c>
      <c r="K6" s="20">
        <f t="shared" si="0"/>
        <v>273030434</v>
      </c>
      <c r="L6" s="169"/>
      <c r="M6" s="169">
        <v>82063258</v>
      </c>
      <c r="N6" s="169">
        <v>502050.41666666669</v>
      </c>
      <c r="O6" s="169">
        <f>24642025-N6</f>
        <v>24139974.583333332</v>
      </c>
      <c r="P6" s="170">
        <v>82782079</v>
      </c>
      <c r="Q6" s="170">
        <v>77984403</v>
      </c>
      <c r="R6" s="169">
        <v>24079178</v>
      </c>
      <c r="S6" s="169">
        <v>1561756</v>
      </c>
      <c r="T6" s="169">
        <f t="shared" si="1"/>
        <v>293112699</v>
      </c>
      <c r="U6" s="169"/>
      <c r="V6" s="169">
        <v>82047835</v>
      </c>
      <c r="W6" s="139">
        <f t="shared" si="4"/>
        <v>477081.16666666669</v>
      </c>
      <c r="X6" s="169">
        <f>24779591-W6</f>
        <v>24302509.833333332</v>
      </c>
      <c r="Y6" s="169">
        <v>85519196</v>
      </c>
      <c r="Z6" s="169">
        <v>78782812</v>
      </c>
      <c r="AA6" s="169">
        <v>24344420</v>
      </c>
      <c r="AB6" s="169">
        <v>1641861</v>
      </c>
      <c r="AC6" s="169">
        <f t="shared" si="2"/>
        <v>297115715</v>
      </c>
      <c r="AD6" s="169"/>
      <c r="AE6" s="169">
        <v>87386872</v>
      </c>
      <c r="AF6" s="169">
        <v>459914.58333333331</v>
      </c>
      <c r="AG6" s="169">
        <f>25980326-AF6</f>
        <v>25520411.416666668</v>
      </c>
      <c r="AH6" s="169">
        <v>85130049</v>
      </c>
      <c r="AI6" s="169">
        <v>74907080</v>
      </c>
      <c r="AJ6" s="169">
        <v>28505284</v>
      </c>
      <c r="AK6" s="169">
        <v>1784350</v>
      </c>
      <c r="AL6" s="169">
        <f t="shared" si="5"/>
        <v>303693961</v>
      </c>
      <c r="AM6" s="169"/>
      <c r="AN6" s="169">
        <v>85711644</v>
      </c>
      <c r="AO6" s="169">
        <v>435607.83333333331</v>
      </c>
      <c r="AP6" s="169">
        <f>25455396-AO6</f>
        <v>25019788.166666668</v>
      </c>
      <c r="AQ6" s="169">
        <v>90708197</v>
      </c>
      <c r="AR6" s="169">
        <v>77898878</v>
      </c>
      <c r="AS6" s="169">
        <v>27869840</v>
      </c>
      <c r="AT6" s="169">
        <v>2031193</v>
      </c>
      <c r="AU6" s="169">
        <f t="shared" si="6"/>
        <v>309675148</v>
      </c>
      <c r="AV6" s="169"/>
      <c r="AW6" s="169">
        <v>77427839</v>
      </c>
      <c r="AX6" s="494">
        <v>439326.91666666669</v>
      </c>
      <c r="AY6" s="494">
        <f>22843041-AX6</f>
        <v>22403714.083333332</v>
      </c>
      <c r="AZ6" s="169">
        <v>93247862</v>
      </c>
      <c r="BA6" s="169">
        <v>77881226</v>
      </c>
      <c r="BB6" s="169">
        <v>31299525</v>
      </c>
      <c r="BC6" s="169">
        <v>2009208</v>
      </c>
      <c r="BD6" s="169">
        <f t="shared" si="7"/>
        <v>304708701</v>
      </c>
      <c r="BE6" s="169"/>
      <c r="BF6" s="169">
        <v>93092071</v>
      </c>
      <c r="BG6" s="494">
        <v>440560.16666666669</v>
      </c>
      <c r="BH6" s="494">
        <f>25259851-BG6</f>
        <v>24819290.833333332</v>
      </c>
      <c r="BI6" s="169">
        <v>88936742</v>
      </c>
      <c r="BJ6" s="169">
        <v>64782071</v>
      </c>
      <c r="BK6" s="169">
        <v>27639678</v>
      </c>
      <c r="BL6" s="169">
        <v>2056850</v>
      </c>
      <c r="BM6" s="169">
        <f t="shared" si="8"/>
        <v>301767263</v>
      </c>
      <c r="BN6" s="169"/>
      <c r="BO6" s="357">
        <v>96628803</v>
      </c>
      <c r="BP6" s="494">
        <f t="shared" si="14"/>
        <v>443344.50240000006</v>
      </c>
      <c r="BQ6" s="494">
        <f>27001251-BP6</f>
        <v>26557906.4976</v>
      </c>
      <c r="BR6" s="357">
        <v>87946774</v>
      </c>
      <c r="BS6" s="169">
        <v>70921401</v>
      </c>
      <c r="BT6" s="169">
        <v>30387116</v>
      </c>
      <c r="BU6" s="169">
        <v>2138232</v>
      </c>
      <c r="BV6" s="169">
        <f t="shared" si="9"/>
        <v>315023577</v>
      </c>
      <c r="BW6" s="357"/>
      <c r="BX6" s="494">
        <v>94490965</v>
      </c>
      <c r="BY6" s="494">
        <v>471238</v>
      </c>
      <c r="BZ6" s="492">
        <f>26658858-111.71</f>
        <v>26658746.289999999</v>
      </c>
      <c r="CA6" s="357">
        <v>88544116</v>
      </c>
      <c r="CB6" s="169">
        <v>67236116</v>
      </c>
      <c r="CC6" s="169">
        <v>32062516</v>
      </c>
      <c r="CD6" s="169">
        <v>2264083</v>
      </c>
      <c r="CE6" s="169">
        <f t="shared" si="10"/>
        <v>311727780.28999996</v>
      </c>
      <c r="CF6" s="169"/>
      <c r="CG6" s="357">
        <v>92519297</v>
      </c>
      <c r="CH6" s="357">
        <f t="shared" si="11"/>
        <v>478158.98659999995</v>
      </c>
      <c r="CI6" s="357">
        <f>26332670.3548-607.82</f>
        <v>26332062.5348</v>
      </c>
      <c r="CJ6" s="357">
        <v>87004957</v>
      </c>
      <c r="CK6" s="471">
        <f>66883623+'WH MRK PART.'!E19</f>
        <v>71232902.809159994</v>
      </c>
      <c r="CL6" s="357">
        <v>32032356</v>
      </c>
      <c r="CM6" s="357">
        <f t="shared" si="3"/>
        <v>2310694.7078999998</v>
      </c>
      <c r="CN6" s="169">
        <f t="shared" si="12"/>
        <v>311910429.03845996</v>
      </c>
      <c r="CO6" s="290"/>
      <c r="CP6" s="357">
        <v>100213758</v>
      </c>
      <c r="CQ6" s="445">
        <v>490164</v>
      </c>
      <c r="CR6" s="194">
        <f>28515240-2798.15</f>
        <v>28512441.850000001</v>
      </c>
      <c r="CS6" s="357">
        <v>90501173</v>
      </c>
      <c r="CT6" s="169">
        <f>70679083+'WH MRK PART.'!E31</f>
        <v>75474725.347320005</v>
      </c>
      <c r="CU6" s="169">
        <v>30418582</v>
      </c>
      <c r="CV6" s="169">
        <v>2363208</v>
      </c>
      <c r="CW6" s="169">
        <f t="shared" si="13"/>
        <v>327974052.19731998</v>
      </c>
      <c r="CX6" s="290"/>
      <c r="CY6" s="494"/>
      <c r="CZ6" s="494"/>
      <c r="DA6" s="494"/>
      <c r="DB6" s="494"/>
      <c r="DC6" s="494"/>
      <c r="DD6" s="494"/>
      <c r="DE6" s="494"/>
      <c r="DF6" s="494"/>
    </row>
    <row r="7" spans="1:124">
      <c r="A7" s="977"/>
      <c r="B7" s="140" t="s">
        <v>7</v>
      </c>
      <c r="D7" s="171">
        <v>65762363</v>
      </c>
      <c r="E7" s="165">
        <v>649211.75</v>
      </c>
      <c r="F7" s="19">
        <f>20735817-E7</f>
        <v>20086605.25</v>
      </c>
      <c r="G7" s="86">
        <v>89884556</v>
      </c>
      <c r="H7" s="86">
        <v>73753398</v>
      </c>
      <c r="I7" s="19">
        <v>26198839</v>
      </c>
      <c r="J7" s="19">
        <v>1383496</v>
      </c>
      <c r="K7" s="20">
        <f t="shared" si="0"/>
        <v>277718469</v>
      </c>
      <c r="L7" s="169"/>
      <c r="M7" s="169">
        <v>70266359</v>
      </c>
      <c r="N7" s="169">
        <v>502050.41666666669</v>
      </c>
      <c r="O7" s="169">
        <f>22095343-N7</f>
        <v>21593292.583333332</v>
      </c>
      <c r="P7" s="170">
        <v>85131816</v>
      </c>
      <c r="Q7" s="170">
        <v>79444523</v>
      </c>
      <c r="R7" s="169">
        <v>25510716</v>
      </c>
      <c r="S7" s="169">
        <v>1379874</v>
      </c>
      <c r="T7" s="169">
        <f t="shared" si="1"/>
        <v>283828631</v>
      </c>
      <c r="U7" s="169"/>
      <c r="V7" s="169">
        <v>70819396</v>
      </c>
      <c r="W7" s="139">
        <f t="shared" si="4"/>
        <v>477081.16666666669</v>
      </c>
      <c r="X7" s="169">
        <f>22901061-W7</f>
        <v>22423979.833333332</v>
      </c>
      <c r="Y7" s="169">
        <v>87463993</v>
      </c>
      <c r="Z7" s="169">
        <v>81279928</v>
      </c>
      <c r="AA7" s="169">
        <v>25511916</v>
      </c>
      <c r="AB7" s="169">
        <v>1480366</v>
      </c>
      <c r="AC7" s="169">
        <f t="shared" si="2"/>
        <v>289456660</v>
      </c>
      <c r="AD7" s="169"/>
      <c r="AE7" s="169">
        <v>65814615</v>
      </c>
      <c r="AF7" s="169">
        <v>459914.58333333331</v>
      </c>
      <c r="AG7" s="169">
        <f>21386671-AF7</f>
        <v>20926756.416666668</v>
      </c>
      <c r="AH7" s="169">
        <v>89528473</v>
      </c>
      <c r="AI7" s="169">
        <v>86276259</v>
      </c>
      <c r="AJ7" s="169">
        <v>30307281</v>
      </c>
      <c r="AK7" s="169">
        <v>1624819</v>
      </c>
      <c r="AL7" s="169">
        <f t="shared" si="5"/>
        <v>294938118</v>
      </c>
      <c r="AM7" s="169"/>
      <c r="AN7" s="169">
        <v>72577360</v>
      </c>
      <c r="AO7" s="169">
        <v>435607.83333333331</v>
      </c>
      <c r="AP7" s="169">
        <f>23795802-AO7</f>
        <v>23360194.166666668</v>
      </c>
      <c r="AQ7" s="169">
        <v>92269497</v>
      </c>
      <c r="AR7" s="169">
        <v>85082328</v>
      </c>
      <c r="AS7" s="169">
        <v>32187239</v>
      </c>
      <c r="AT7" s="169">
        <v>1803661</v>
      </c>
      <c r="AU7" s="169">
        <f t="shared" si="6"/>
        <v>307715887</v>
      </c>
      <c r="AV7" s="169"/>
      <c r="AW7" s="169">
        <v>78920457</v>
      </c>
      <c r="AX7" s="494">
        <v>439326.91666666669</v>
      </c>
      <c r="AY7" s="494">
        <f>23931075-AX7</f>
        <v>23491748.083333332</v>
      </c>
      <c r="AZ7" s="169">
        <v>86488914</v>
      </c>
      <c r="BA7" s="169">
        <v>76239429</v>
      </c>
      <c r="BB7" s="169">
        <v>32077608</v>
      </c>
      <c r="BC7" s="169">
        <v>1782647</v>
      </c>
      <c r="BD7" s="169">
        <f t="shared" si="7"/>
        <v>299440130</v>
      </c>
      <c r="BE7" s="169"/>
      <c r="BF7" s="169">
        <v>79918980</v>
      </c>
      <c r="BG7" s="494">
        <v>440560.16666666669</v>
      </c>
      <c r="BH7" s="494">
        <f>22853614-BG7</f>
        <v>22413053.833333332</v>
      </c>
      <c r="BI7" s="169">
        <v>85648865</v>
      </c>
      <c r="BJ7" s="169">
        <v>67024095</v>
      </c>
      <c r="BK7" s="169">
        <v>21988204</v>
      </c>
      <c r="BL7" s="169">
        <v>1830911</v>
      </c>
      <c r="BM7" s="169">
        <f t="shared" si="8"/>
        <v>279264669</v>
      </c>
      <c r="BN7" s="169"/>
      <c r="BO7" s="357">
        <v>73968093</v>
      </c>
      <c r="BP7" s="494">
        <f t="shared" si="14"/>
        <v>456045.10080000001</v>
      </c>
      <c r="BQ7" s="494">
        <f>22208331-BP7</f>
        <v>21752285.8992</v>
      </c>
      <c r="BR7" s="357">
        <v>87521239</v>
      </c>
      <c r="BS7" s="169">
        <v>74412376</v>
      </c>
      <c r="BT7" s="169">
        <v>31789215</v>
      </c>
      <c r="BU7" s="169">
        <v>1905560</v>
      </c>
      <c r="BV7" s="169">
        <f t="shared" si="9"/>
        <v>291804814</v>
      </c>
      <c r="BW7" s="357"/>
      <c r="BX7" s="494">
        <v>80836537</v>
      </c>
      <c r="BY7" s="494">
        <v>471059</v>
      </c>
      <c r="BZ7" s="492">
        <f>23655200-105.49</f>
        <v>23655094.510000002</v>
      </c>
      <c r="CA7" s="357">
        <v>89426717</v>
      </c>
      <c r="CB7" s="169">
        <f>68881501+'WH MRK PART.'!E8</f>
        <v>72168903.73488</v>
      </c>
      <c r="CC7" s="169">
        <v>34848440</v>
      </c>
      <c r="CD7" s="169">
        <v>1941381</v>
      </c>
      <c r="CE7" s="169">
        <f t="shared" si="10"/>
        <v>303348132.24487996</v>
      </c>
      <c r="CF7" s="169"/>
      <c r="CG7" s="357">
        <v>74808964</v>
      </c>
      <c r="CH7" s="357">
        <f t="shared" si="11"/>
        <v>478158.98659999995</v>
      </c>
      <c r="CI7" s="357">
        <f>23954658.5066-455.51</f>
        <v>23954202.996599998</v>
      </c>
      <c r="CJ7" s="494">
        <v>93055553</v>
      </c>
      <c r="CK7" s="357">
        <f>73640765+'WH MRK PART.'!E20</f>
        <v>78011621.007980004</v>
      </c>
      <c r="CL7" s="357">
        <v>35432369</v>
      </c>
      <c r="CM7" s="357">
        <f t="shared" si="3"/>
        <v>2041916.6893</v>
      </c>
      <c r="CN7" s="357">
        <f>SUM(CG7:CM7)</f>
        <v>307782785.68048</v>
      </c>
      <c r="CO7" s="169"/>
      <c r="CP7" s="494">
        <v>78855534</v>
      </c>
      <c r="CQ7" s="494">
        <v>492569</v>
      </c>
      <c r="CR7" s="494">
        <f>25470908-2410.77</f>
        <v>25468497.23</v>
      </c>
      <c r="CS7" s="494">
        <v>93141210</v>
      </c>
      <c r="CT7" s="494">
        <f>72236330+'WH MRK PART.'!E32</f>
        <v>76962450.054480001</v>
      </c>
      <c r="CU7" s="485">
        <v>33755959</v>
      </c>
      <c r="CV7" s="494">
        <v>2111670</v>
      </c>
      <c r="CW7" s="494">
        <f>SUM(CP7:CV7)</f>
        <v>310787889.28448004</v>
      </c>
      <c r="CX7" s="169"/>
      <c r="CY7" s="494"/>
      <c r="CZ7" s="494"/>
      <c r="DA7" s="494"/>
      <c r="DB7" s="494"/>
      <c r="DC7" s="494"/>
      <c r="DD7" s="494"/>
      <c r="DE7" s="494"/>
      <c r="DF7" s="494"/>
    </row>
    <row r="8" spans="1:124">
      <c r="A8" s="977"/>
      <c r="B8" s="140" t="s">
        <v>8</v>
      </c>
      <c r="D8" s="171">
        <v>64039823</v>
      </c>
      <c r="E8" s="165">
        <v>649211.75</v>
      </c>
      <c r="F8" s="19">
        <f>21029857-E8</f>
        <v>20380645.25</v>
      </c>
      <c r="G8" s="86">
        <v>73555132</v>
      </c>
      <c r="H8" s="86">
        <v>74469899</v>
      </c>
      <c r="I8" s="19">
        <v>26651532</v>
      </c>
      <c r="J8" s="19">
        <v>1122695</v>
      </c>
      <c r="K8" s="20">
        <f t="shared" si="0"/>
        <v>260868938</v>
      </c>
      <c r="L8" s="169"/>
      <c r="M8" s="169">
        <v>66433287</v>
      </c>
      <c r="N8" s="169">
        <v>502050.41666666669</v>
      </c>
      <c r="O8" s="169">
        <f>20980489-N8</f>
        <v>20478438.583333332</v>
      </c>
      <c r="P8" s="170">
        <v>87709710</v>
      </c>
      <c r="Q8" s="170">
        <v>81505361</v>
      </c>
      <c r="R8" s="169">
        <v>24937299</v>
      </c>
      <c r="S8" s="169">
        <v>1213649</v>
      </c>
      <c r="T8" s="169">
        <f t="shared" si="1"/>
        <v>282779795</v>
      </c>
      <c r="U8" s="169"/>
      <c r="V8" s="169">
        <v>85829567</v>
      </c>
      <c r="W8" s="139">
        <f t="shared" si="4"/>
        <v>477081.16666666669</v>
      </c>
      <c r="X8" s="169">
        <f>24405316-W8</f>
        <v>23928234.833333332</v>
      </c>
      <c r="Y8" s="169">
        <v>95066850</v>
      </c>
      <c r="Z8" s="169">
        <v>87324678</v>
      </c>
      <c r="AA8" s="169">
        <v>27919256</v>
      </c>
      <c r="AB8" s="169">
        <v>1319981</v>
      </c>
      <c r="AC8" s="169">
        <f t="shared" si="2"/>
        <v>321865648</v>
      </c>
      <c r="AD8" s="169"/>
      <c r="AE8" s="169">
        <v>87554414</v>
      </c>
      <c r="AF8" s="169">
        <v>459914.58333333331</v>
      </c>
      <c r="AG8" s="169">
        <f>24600058-AF8</f>
        <v>24140143.416666668</v>
      </c>
      <c r="AH8" s="169">
        <v>98963273</v>
      </c>
      <c r="AI8" s="169">
        <v>87499488</v>
      </c>
      <c r="AJ8" s="169">
        <v>30614279</v>
      </c>
      <c r="AK8" s="169">
        <v>1440905</v>
      </c>
      <c r="AL8" s="169">
        <f t="shared" si="5"/>
        <v>330672417</v>
      </c>
      <c r="AM8" s="169"/>
      <c r="AN8" s="169">
        <v>94967423</v>
      </c>
      <c r="AO8" s="169">
        <v>435607.83333333331</v>
      </c>
      <c r="AP8" s="169">
        <f>26438865-AO8</f>
        <v>26003257.166666668</v>
      </c>
      <c r="AQ8" s="169">
        <v>96254780</v>
      </c>
      <c r="AR8" s="169">
        <v>86489557</v>
      </c>
      <c r="AS8" s="169">
        <v>33241475</v>
      </c>
      <c r="AT8" s="169">
        <v>1630368</v>
      </c>
      <c r="AU8" s="169">
        <f t="shared" si="6"/>
        <v>339022468</v>
      </c>
      <c r="AV8" s="169"/>
      <c r="AW8" s="169">
        <v>86543923</v>
      </c>
      <c r="AX8" s="494">
        <v>439326.91666666669</v>
      </c>
      <c r="AY8" s="494">
        <f>24253159-AX8</f>
        <v>23813832.083333332</v>
      </c>
      <c r="AZ8" s="169">
        <v>101028124</v>
      </c>
      <c r="BA8" s="169">
        <v>78009331</v>
      </c>
      <c r="BB8" s="169">
        <v>35047709</v>
      </c>
      <c r="BC8" s="169">
        <v>1580667</v>
      </c>
      <c r="BD8" s="169">
        <f t="shared" si="7"/>
        <v>326462913</v>
      </c>
      <c r="BE8" s="169"/>
      <c r="BF8" s="169">
        <v>74470543</v>
      </c>
      <c r="BG8" s="494">
        <v>440560.16666666669</v>
      </c>
      <c r="BH8" s="494">
        <f>21734550-BG8</f>
        <v>21293989.833333332</v>
      </c>
      <c r="BI8" s="169">
        <v>91411346</v>
      </c>
      <c r="BJ8" s="169">
        <v>68548339</v>
      </c>
      <c r="BK8" s="169">
        <v>25690773</v>
      </c>
      <c r="BL8" s="169">
        <v>1618383</v>
      </c>
      <c r="BM8" s="169">
        <f t="shared" si="8"/>
        <v>283473934</v>
      </c>
      <c r="BN8" s="169"/>
      <c r="BO8" s="357">
        <v>94800668</v>
      </c>
      <c r="BP8" s="494">
        <f t="shared" si="14"/>
        <v>436625.52960000001</v>
      </c>
      <c r="BQ8" s="494">
        <f>23746449-BP8</f>
        <v>23309823.470399998</v>
      </c>
      <c r="BR8" s="357">
        <v>95295707</v>
      </c>
      <c r="BS8" s="169">
        <v>77275125</v>
      </c>
      <c r="BT8" s="169">
        <v>30789397</v>
      </c>
      <c r="BU8" s="169">
        <v>1673384</v>
      </c>
      <c r="BV8" s="169">
        <f t="shared" si="9"/>
        <v>323580730</v>
      </c>
      <c r="BW8" s="357"/>
      <c r="BX8" s="494">
        <v>92320074</v>
      </c>
      <c r="BY8" s="494">
        <v>471178</v>
      </c>
      <c r="BZ8" s="492">
        <f>25526787-94.15</f>
        <v>25526692.850000001</v>
      </c>
      <c r="CA8" s="357">
        <v>95713671</v>
      </c>
      <c r="CB8" s="169">
        <f>71119193+'WH MRK PART.'!E9</f>
        <v>74558414.739140004</v>
      </c>
      <c r="CC8" s="169">
        <v>35528790</v>
      </c>
      <c r="CD8" s="169">
        <v>1742327</v>
      </c>
      <c r="CE8" s="169">
        <f t="shared" si="10"/>
        <v>325861147.58914</v>
      </c>
      <c r="CF8" s="169"/>
      <c r="CG8" s="357">
        <v>105123567</v>
      </c>
      <c r="CH8" s="357">
        <f t="shared" ref="CH8:CH14" si="15">+CH26*1.0349</f>
        <v>478922.74279999995</v>
      </c>
      <c r="CI8" s="357">
        <f>26949906.4477-415.67</f>
        <v>26949490.7777</v>
      </c>
      <c r="CJ8" s="357">
        <v>96841186</v>
      </c>
      <c r="CK8" s="357">
        <f>73329219+'WH MRK PART.'!E21</f>
        <v>77719610.421680003</v>
      </c>
      <c r="CL8" s="357">
        <v>35750162</v>
      </c>
      <c r="CM8" s="357">
        <f t="shared" si="3"/>
        <v>1825637.0778999999</v>
      </c>
      <c r="CN8" s="357">
        <f t="shared" ref="CN8:CN14" si="16">SUM(CG8:CM8)</f>
        <v>344688576.02008003</v>
      </c>
      <c r="CO8" s="169"/>
      <c r="CP8" s="494">
        <v>96099514</v>
      </c>
      <c r="CQ8" s="494">
        <v>494030</v>
      </c>
      <c r="CR8" s="494">
        <f>26547443-2388.19</f>
        <v>26545054.809999999</v>
      </c>
      <c r="CS8" s="494">
        <v>89891967</v>
      </c>
      <c r="CT8" s="494">
        <f>72700170+'WH MRK PART.'!E33</f>
        <v>77594547.743772</v>
      </c>
      <c r="CU8" s="485">
        <v>33333094</v>
      </c>
      <c r="CV8" s="494">
        <v>1888976</v>
      </c>
      <c r="CW8" s="494">
        <f t="shared" ref="CW8:CW14" si="17">SUM(CP8:CV8)</f>
        <v>325847183.55377197</v>
      </c>
      <c r="CX8" s="169"/>
      <c r="CY8" s="494"/>
      <c r="CZ8" s="494"/>
      <c r="DA8" s="494"/>
      <c r="DB8" s="494"/>
      <c r="DC8" s="494"/>
      <c r="DD8" s="494"/>
      <c r="DE8" s="494"/>
      <c r="DF8" s="494"/>
    </row>
    <row r="9" spans="1:124">
      <c r="A9" s="977"/>
      <c r="B9" s="140" t="s">
        <v>9</v>
      </c>
      <c r="D9" s="171">
        <v>94451580</v>
      </c>
      <c r="E9" s="165">
        <v>649211.75</v>
      </c>
      <c r="F9" s="19">
        <f>23846801-E9</f>
        <v>23197589.25</v>
      </c>
      <c r="G9" s="86">
        <v>92853142</v>
      </c>
      <c r="H9" s="86">
        <v>77967379</v>
      </c>
      <c r="I9" s="19">
        <v>25025771</v>
      </c>
      <c r="J9" s="19">
        <v>1190637</v>
      </c>
      <c r="K9" s="20">
        <f t="shared" si="0"/>
        <v>315335310</v>
      </c>
      <c r="L9" s="169"/>
      <c r="M9" s="169">
        <v>85771389</v>
      </c>
      <c r="N9" s="169">
        <v>502050.41666666669</v>
      </c>
      <c r="O9" s="169">
        <f>24742658-N9</f>
        <v>24240607.583333332</v>
      </c>
      <c r="P9" s="170">
        <v>107314343</v>
      </c>
      <c r="Q9" s="170">
        <v>81500275</v>
      </c>
      <c r="R9" s="169">
        <v>24346794</v>
      </c>
      <c r="S9" s="169">
        <v>1269399</v>
      </c>
      <c r="T9" s="169">
        <f t="shared" si="1"/>
        <v>324944858</v>
      </c>
      <c r="U9" s="169"/>
      <c r="V9" s="169">
        <v>133054364</v>
      </c>
      <c r="W9" s="139">
        <f t="shared" si="4"/>
        <v>477081.16666666669</v>
      </c>
      <c r="X9" s="169">
        <f>29284662-W9</f>
        <v>28807580.833333332</v>
      </c>
      <c r="Y9" s="169">
        <v>96303978</v>
      </c>
      <c r="Z9" s="169">
        <v>85317095</v>
      </c>
      <c r="AA9" s="169">
        <v>24682647</v>
      </c>
      <c r="AB9" s="169">
        <v>1432885</v>
      </c>
      <c r="AC9" s="169">
        <f t="shared" si="2"/>
        <v>370075631</v>
      </c>
      <c r="AD9" s="169"/>
      <c r="AE9" s="169">
        <v>115892341</v>
      </c>
      <c r="AF9" s="169">
        <v>459914.58333333331</v>
      </c>
      <c r="AG9" s="169">
        <f>27132604-AF9</f>
        <v>26672689.416666668</v>
      </c>
      <c r="AH9" s="169">
        <v>99178685</v>
      </c>
      <c r="AI9" s="169">
        <v>86664714</v>
      </c>
      <c r="AJ9" s="169">
        <v>26990378</v>
      </c>
      <c r="AK9" s="169">
        <v>1558373</v>
      </c>
      <c r="AL9" s="169">
        <f t="shared" si="5"/>
        <v>357417095</v>
      </c>
      <c r="AM9" s="169"/>
      <c r="AN9" s="169">
        <v>109012605</v>
      </c>
      <c r="AO9" s="169">
        <v>435607.83333333331</v>
      </c>
      <c r="AP9" s="169">
        <f>26559883-AO9</f>
        <v>26124275.166666668</v>
      </c>
      <c r="AQ9" s="169">
        <v>96448464</v>
      </c>
      <c r="AR9" s="169">
        <v>81749324</v>
      </c>
      <c r="AS9" s="169">
        <v>32395607</v>
      </c>
      <c r="AT9" s="169">
        <v>1699542</v>
      </c>
      <c r="AU9" s="169">
        <f t="shared" si="6"/>
        <v>347865425</v>
      </c>
      <c r="AV9" s="169"/>
      <c r="AW9" s="169">
        <v>110500461</v>
      </c>
      <c r="AX9" s="494">
        <v>439326.91666666669</v>
      </c>
      <c r="AY9" s="494">
        <f>26294330-AX9</f>
        <v>25855003.083333332</v>
      </c>
      <c r="AZ9" s="169">
        <v>96066527</v>
      </c>
      <c r="BA9" s="169">
        <v>80324227</v>
      </c>
      <c r="BB9" s="169">
        <v>33674468</v>
      </c>
      <c r="BC9" s="169">
        <v>1703402</v>
      </c>
      <c r="BD9" s="169">
        <f t="shared" si="7"/>
        <v>348563415</v>
      </c>
      <c r="BE9" s="169"/>
      <c r="BF9" s="169">
        <v>99820428</v>
      </c>
      <c r="BG9" s="494">
        <v>440560.16666666669</v>
      </c>
      <c r="BH9" s="494">
        <f>24823105-BG9</f>
        <v>24382544.833333332</v>
      </c>
      <c r="BI9" s="169">
        <v>93919308</v>
      </c>
      <c r="BJ9" s="169">
        <v>71748553</v>
      </c>
      <c r="BK9" s="169">
        <v>29193321</v>
      </c>
      <c r="BL9" s="169">
        <v>1754229</v>
      </c>
      <c r="BM9" s="169">
        <f t="shared" si="8"/>
        <v>321258944</v>
      </c>
      <c r="BN9" s="169"/>
      <c r="BO9" s="357">
        <v>132121541</v>
      </c>
      <c r="BP9" s="494">
        <f t="shared" si="14"/>
        <v>440367.15240000002</v>
      </c>
      <c r="BQ9" s="494">
        <f>27728518-BP9</f>
        <v>27288150.847599998</v>
      </c>
      <c r="BR9" s="357">
        <v>100105283</v>
      </c>
      <c r="BS9" s="169">
        <v>77664019</v>
      </c>
      <c r="BT9" s="169">
        <v>29820209</v>
      </c>
      <c r="BU9" s="169">
        <v>1810817</v>
      </c>
      <c r="BV9" s="169">
        <f t="shared" si="9"/>
        <v>369250387</v>
      </c>
      <c r="BW9" s="357"/>
      <c r="BX9" s="494">
        <v>130690031</v>
      </c>
      <c r="BY9" s="494">
        <v>471878</v>
      </c>
      <c r="BZ9" s="492">
        <f>29019644-98.41</f>
        <v>29019545.59</v>
      </c>
      <c r="CA9" s="357">
        <v>101326740</v>
      </c>
      <c r="CB9" s="169">
        <f>71653445+'WH MRK PART.'!E10</f>
        <v>75283856.317059994</v>
      </c>
      <c r="CC9" s="169">
        <v>36767313</v>
      </c>
      <c r="CD9" s="169">
        <v>1911514</v>
      </c>
      <c r="CE9" s="169">
        <f t="shared" si="10"/>
        <v>375470877.90706003</v>
      </c>
      <c r="CF9" s="169"/>
      <c r="CG9" s="357">
        <v>147407762</v>
      </c>
      <c r="CH9" s="357">
        <f t="shared" si="15"/>
        <v>478975.52269999997</v>
      </c>
      <c r="CI9" s="357">
        <f>29477299.9015-449.49</f>
        <v>29476850.411500003</v>
      </c>
      <c r="CJ9" s="357">
        <v>102954191</v>
      </c>
      <c r="CK9" s="357">
        <f>74209175+'WH MRK PART.'!E22</f>
        <v>79043409.298299998</v>
      </c>
      <c r="CL9" s="357">
        <v>34932252</v>
      </c>
      <c r="CM9" s="357">
        <f t="shared" si="3"/>
        <v>1953952.2590999999</v>
      </c>
      <c r="CN9" s="357">
        <f t="shared" si="16"/>
        <v>396247392.4916001</v>
      </c>
      <c r="CO9" s="169"/>
      <c r="CP9" s="494">
        <v>126317122</v>
      </c>
      <c r="CQ9" s="494">
        <v>489591</v>
      </c>
      <c r="CR9" s="494">
        <f>27918416-3238.19</f>
        <v>27915177.809999999</v>
      </c>
      <c r="CS9" s="494">
        <v>99173181</v>
      </c>
      <c r="CT9" s="494">
        <f>74588755+'WH MRK PART.'!E34</f>
        <v>79680984.117954001</v>
      </c>
      <c r="CU9" s="485">
        <v>32386352</v>
      </c>
      <c r="CV9" s="494">
        <v>1999500</v>
      </c>
      <c r="CW9" s="494">
        <f t="shared" si="17"/>
        <v>367961907.92795402</v>
      </c>
      <c r="CX9" s="169"/>
      <c r="CY9" s="494"/>
      <c r="CZ9" s="494"/>
      <c r="DA9" s="494"/>
      <c r="DB9" s="494"/>
      <c r="DC9" s="494"/>
      <c r="DD9" s="494"/>
      <c r="DE9" s="494"/>
      <c r="DF9" s="494"/>
    </row>
    <row r="10" spans="1:124">
      <c r="A10" s="977"/>
      <c r="B10" s="140" t="s">
        <v>10</v>
      </c>
      <c r="D10" s="171">
        <v>95798900</v>
      </c>
      <c r="E10" s="165">
        <v>649211.75</v>
      </c>
      <c r="F10" s="19">
        <f>24400857-E10</f>
        <v>23751645.25</v>
      </c>
      <c r="G10" s="86">
        <v>86370772</v>
      </c>
      <c r="H10" s="86">
        <v>70053041</v>
      </c>
      <c r="I10" s="19">
        <v>25225076</v>
      </c>
      <c r="J10" s="19">
        <v>1431573</v>
      </c>
      <c r="K10" s="20">
        <f t="shared" si="0"/>
        <v>303280219</v>
      </c>
      <c r="L10" s="169"/>
      <c r="M10" s="169">
        <v>90532320</v>
      </c>
      <c r="N10" s="169">
        <v>502050.41666666669</v>
      </c>
      <c r="O10" s="169">
        <f>22976597-N10</f>
        <v>22474546.583333332</v>
      </c>
      <c r="P10" s="170">
        <v>74886665</v>
      </c>
      <c r="Q10" s="170">
        <v>83973529</v>
      </c>
      <c r="R10" s="169">
        <v>26610716</v>
      </c>
      <c r="S10" s="169">
        <v>1577030</v>
      </c>
      <c r="T10" s="169">
        <f t="shared" si="1"/>
        <v>300556857</v>
      </c>
      <c r="U10" s="169"/>
      <c r="V10" s="169">
        <v>116855067</v>
      </c>
      <c r="W10" s="139">
        <f t="shared" si="4"/>
        <v>477081.16666666669</v>
      </c>
      <c r="X10" s="169">
        <f>26615682-W10</f>
        <v>26138600.833333332</v>
      </c>
      <c r="Y10" s="169">
        <v>98464599</v>
      </c>
      <c r="Z10" s="169">
        <v>90944824</v>
      </c>
      <c r="AA10" s="169">
        <v>28680113</v>
      </c>
      <c r="AB10" s="169">
        <v>1641887</v>
      </c>
      <c r="AC10" s="169">
        <f t="shared" si="2"/>
        <v>363202172</v>
      </c>
      <c r="AD10" s="169"/>
      <c r="AE10" s="169">
        <v>122691507</v>
      </c>
      <c r="AF10" s="169">
        <v>459914.58333333331</v>
      </c>
      <c r="AG10" s="169">
        <f>26457264-AF10</f>
        <v>25997349.416666668</v>
      </c>
      <c r="AH10" s="169">
        <v>100161420</v>
      </c>
      <c r="AI10" s="169">
        <v>90066987</v>
      </c>
      <c r="AJ10" s="169">
        <v>31350848</v>
      </c>
      <c r="AK10" s="169">
        <v>1776727</v>
      </c>
      <c r="AL10" s="169">
        <f t="shared" si="5"/>
        <v>372504753</v>
      </c>
      <c r="AM10" s="169"/>
      <c r="AN10" s="169">
        <v>118290341</v>
      </c>
      <c r="AO10" s="169">
        <v>435607.83333333331</v>
      </c>
      <c r="AP10" s="169">
        <f>26988133-AO10</f>
        <v>26552525.166666668</v>
      </c>
      <c r="AQ10" s="169">
        <v>99154111</v>
      </c>
      <c r="AR10" s="169">
        <v>91472984</v>
      </c>
      <c r="AS10" s="169">
        <v>27649753</v>
      </c>
      <c r="AT10" s="169">
        <v>1857176</v>
      </c>
      <c r="AU10" s="169">
        <f t="shared" si="6"/>
        <v>365412498</v>
      </c>
      <c r="AV10" s="169"/>
      <c r="AW10" s="169">
        <v>116167597</v>
      </c>
      <c r="AX10" s="494">
        <v>439326.91666666669</v>
      </c>
      <c r="AY10" s="494">
        <f>26939639-AX10</f>
        <v>26500312.083333332</v>
      </c>
      <c r="AZ10" s="169">
        <v>96037526</v>
      </c>
      <c r="BA10" s="169">
        <v>79809855</v>
      </c>
      <c r="BB10" s="169">
        <v>35996673</v>
      </c>
      <c r="BC10" s="169">
        <v>1965309</v>
      </c>
      <c r="BD10" s="169">
        <f t="shared" si="7"/>
        <v>356916599</v>
      </c>
      <c r="BE10" s="169"/>
      <c r="BF10" s="169">
        <v>110640785</v>
      </c>
      <c r="BG10" s="494">
        <v>440560.16666666669</v>
      </c>
      <c r="BH10" s="494">
        <f>33094752-BG10</f>
        <v>32654191.833333332</v>
      </c>
      <c r="BI10" s="169">
        <v>96176801</v>
      </c>
      <c r="BJ10" s="169">
        <v>73562457</v>
      </c>
      <c r="BK10" s="169">
        <v>31958533</v>
      </c>
      <c r="BL10" s="169">
        <v>2017665</v>
      </c>
      <c r="BM10" s="169">
        <f t="shared" si="8"/>
        <v>347450993</v>
      </c>
      <c r="BN10" s="169"/>
      <c r="BO10" s="357">
        <v>136572222</v>
      </c>
      <c r="BP10" s="494">
        <v>520512</v>
      </c>
      <c r="BQ10" s="494">
        <f>27241780</f>
        <v>27241780</v>
      </c>
      <c r="BR10" s="357">
        <v>98467295</v>
      </c>
      <c r="BS10" s="169">
        <v>79409768</v>
      </c>
      <c r="BT10" s="169">
        <v>34963264</v>
      </c>
      <c r="BU10" s="169">
        <v>2098963</v>
      </c>
      <c r="BV10" s="169">
        <f t="shared" si="9"/>
        <v>379273804</v>
      </c>
      <c r="BW10" s="357"/>
      <c r="BX10" s="494">
        <v>139663014</v>
      </c>
      <c r="BY10" s="494">
        <v>472221</v>
      </c>
      <c r="BZ10" s="492">
        <f>27992345-126.17</f>
        <v>27992218.829999998</v>
      </c>
      <c r="CA10" s="357">
        <v>102219116</v>
      </c>
      <c r="CB10" s="169">
        <f>74244872+'WH MRK PART.'!E11</f>
        <v>78330646.473660007</v>
      </c>
      <c r="CC10" s="169">
        <v>35953367</v>
      </c>
      <c r="CD10" s="169">
        <v>2237309</v>
      </c>
      <c r="CE10" s="169">
        <f t="shared" si="10"/>
        <v>386867892.30365998</v>
      </c>
      <c r="CF10" s="169"/>
      <c r="CG10" s="357">
        <v>142173433</v>
      </c>
      <c r="CH10" s="357">
        <f t="shared" si="15"/>
        <v>479222.86379999999</v>
      </c>
      <c r="CI10" s="357">
        <f>29627141.0027-496.27</f>
        <v>29626644.732700001</v>
      </c>
      <c r="CJ10" s="357">
        <v>100915401</v>
      </c>
      <c r="CK10" s="357">
        <f>74406474+'WH MRK PART.'!E23</f>
        <v>79320368.826719999</v>
      </c>
      <c r="CL10" s="357">
        <v>38510852</v>
      </c>
      <c r="CM10" s="357">
        <f t="shared" si="3"/>
        <v>2255632.8533999999</v>
      </c>
      <c r="CN10" s="357">
        <f t="shared" si="16"/>
        <v>393281555.27661997</v>
      </c>
      <c r="CO10" s="169"/>
      <c r="CP10" s="494">
        <v>123185112</v>
      </c>
      <c r="CQ10" s="494">
        <v>493743</v>
      </c>
      <c r="CR10" s="494">
        <f>29358764-3549.37</f>
        <v>29355214.629999999</v>
      </c>
      <c r="CS10" s="494">
        <v>95771587</v>
      </c>
      <c r="CT10" s="494">
        <f>75143677+'WH MRK PART.'!E35</f>
        <v>80424493.655553997</v>
      </c>
      <c r="CU10" s="485">
        <v>35003472</v>
      </c>
      <c r="CV10" s="494">
        <v>2346382</v>
      </c>
      <c r="CW10" s="494">
        <f t="shared" si="17"/>
        <v>366580004.28555399</v>
      </c>
      <c r="CX10" s="169"/>
      <c r="CY10" s="494"/>
      <c r="CZ10" s="494"/>
      <c r="DA10" s="494"/>
      <c r="DB10" s="494"/>
      <c r="DC10" s="494"/>
      <c r="DD10" s="494"/>
      <c r="DE10" s="494"/>
      <c r="DF10" s="494"/>
    </row>
    <row r="11" spans="1:124">
      <c r="A11" s="977"/>
      <c r="B11" s="140" t="s">
        <v>11</v>
      </c>
      <c r="D11" s="171">
        <v>81219419</v>
      </c>
      <c r="E11" s="165">
        <v>649211.75</v>
      </c>
      <c r="F11" s="19">
        <f>22379233-E11</f>
        <v>21730021.25</v>
      </c>
      <c r="G11" s="86">
        <v>85511065</v>
      </c>
      <c r="H11" s="86">
        <v>74795382</v>
      </c>
      <c r="I11" s="19">
        <v>16552829</v>
      </c>
      <c r="J11" s="19">
        <v>1477497</v>
      </c>
      <c r="K11" s="20">
        <f t="shared" si="0"/>
        <v>281935425</v>
      </c>
      <c r="L11" s="169"/>
      <c r="M11" s="169">
        <v>83924386</v>
      </c>
      <c r="N11" s="169">
        <v>502050.41666666669</v>
      </c>
      <c r="O11" s="169">
        <f>23382524-N11</f>
        <v>22880473.583333332</v>
      </c>
      <c r="P11" s="170">
        <v>89614322</v>
      </c>
      <c r="Q11" s="170">
        <v>81507868</v>
      </c>
      <c r="R11" s="169">
        <v>25146986</v>
      </c>
      <c r="S11" s="169">
        <v>1712266</v>
      </c>
      <c r="T11" s="169">
        <f t="shared" si="1"/>
        <v>305288352</v>
      </c>
      <c r="U11" s="169"/>
      <c r="V11" s="169">
        <v>99779320</v>
      </c>
      <c r="W11" s="139">
        <f t="shared" si="4"/>
        <v>477081.16666666669</v>
      </c>
      <c r="X11" s="169">
        <f>26500698-W11</f>
        <v>26023616.833333332</v>
      </c>
      <c r="Y11" s="169">
        <v>95496155</v>
      </c>
      <c r="Z11" s="169">
        <v>83218076</v>
      </c>
      <c r="AA11" s="169">
        <v>26843059</v>
      </c>
      <c r="AB11" s="169">
        <v>1797179</v>
      </c>
      <c r="AC11" s="169">
        <f t="shared" si="2"/>
        <v>333634487</v>
      </c>
      <c r="AD11" s="169"/>
      <c r="AE11" s="169">
        <v>90273997</v>
      </c>
      <c r="AF11" s="169">
        <v>459914.58333333331</v>
      </c>
      <c r="AG11" s="169">
        <f>25218745-AF11</f>
        <v>24758830.416666668</v>
      </c>
      <c r="AH11" s="169">
        <v>87696888</v>
      </c>
      <c r="AI11" s="169">
        <v>82773189</v>
      </c>
      <c r="AJ11" s="169">
        <v>29125981</v>
      </c>
      <c r="AK11" s="169">
        <v>2042168</v>
      </c>
      <c r="AL11" s="169">
        <f t="shared" si="5"/>
        <v>317130968</v>
      </c>
      <c r="AM11" s="169"/>
      <c r="AN11" s="169">
        <v>107596866</v>
      </c>
      <c r="AO11" s="169">
        <v>435607.83333333331</v>
      </c>
      <c r="AP11" s="169">
        <f>27900193-AO11</f>
        <v>27464585.166666668</v>
      </c>
      <c r="AQ11" s="169">
        <v>92112959</v>
      </c>
      <c r="AR11" s="169">
        <v>82351307</v>
      </c>
      <c r="AS11" s="169">
        <v>31444726</v>
      </c>
      <c r="AT11" s="169">
        <v>2075732</v>
      </c>
      <c r="AU11" s="169">
        <f t="shared" si="6"/>
        <v>343481783</v>
      </c>
      <c r="AV11" s="169"/>
      <c r="AW11" s="169">
        <v>95168168</v>
      </c>
      <c r="AX11" s="494">
        <v>439326.91666666669</v>
      </c>
      <c r="AY11" s="494">
        <f>24149942-AX11</f>
        <v>23710615.083333332</v>
      </c>
      <c r="AZ11" s="169">
        <v>96289315</v>
      </c>
      <c r="BA11" s="169">
        <v>77905174</v>
      </c>
      <c r="BB11" s="169">
        <v>34472066</v>
      </c>
      <c r="BC11" s="169">
        <v>2230411</v>
      </c>
      <c r="BD11" s="169">
        <f t="shared" si="7"/>
        <v>330215076</v>
      </c>
      <c r="BE11" s="169"/>
      <c r="BF11" s="169">
        <v>96007958</v>
      </c>
      <c r="BG11" s="494">
        <v>440560.16666666669</v>
      </c>
      <c r="BH11" s="494">
        <f>16668959-BG11</f>
        <v>16228398.833333334</v>
      </c>
      <c r="BI11" s="169">
        <v>92717312</v>
      </c>
      <c r="BJ11" s="169">
        <v>72344176</v>
      </c>
      <c r="BK11" s="169">
        <v>30977444</v>
      </c>
      <c r="BL11" s="169">
        <v>2293138</v>
      </c>
      <c r="BM11" s="169">
        <f t="shared" si="8"/>
        <v>311008987</v>
      </c>
      <c r="BN11" s="169"/>
      <c r="BO11" s="357">
        <v>111368709</v>
      </c>
      <c r="BP11" s="494">
        <f t="shared" si="14"/>
        <v>445554.47280000005</v>
      </c>
      <c r="BQ11" s="494">
        <f>26012735-BP11</f>
        <v>25567180.527199998</v>
      </c>
      <c r="BR11" s="357">
        <v>93605638</v>
      </c>
      <c r="BS11" s="169">
        <v>73607827</v>
      </c>
      <c r="BT11" s="169">
        <v>32693393</v>
      </c>
      <c r="BU11" s="169">
        <v>2358386</v>
      </c>
      <c r="BV11" s="169">
        <f t="shared" si="9"/>
        <v>339646688</v>
      </c>
      <c r="BW11" s="357"/>
      <c r="BX11" s="494">
        <v>112075131</v>
      </c>
      <c r="BY11" s="494">
        <v>473987</v>
      </c>
      <c r="BZ11" s="492">
        <f>27733017-151.18</f>
        <v>27732865.82</v>
      </c>
      <c r="CA11" s="357">
        <v>93885819</v>
      </c>
      <c r="CB11" s="169">
        <f>69212706+'WH MRK PART.'!E12</f>
        <v>73171488.946799994</v>
      </c>
      <c r="CC11" s="169">
        <v>31553102</v>
      </c>
      <c r="CD11" s="169">
        <v>2537297</v>
      </c>
      <c r="CE11" s="169">
        <f t="shared" si="10"/>
        <v>341429690.76679999</v>
      </c>
      <c r="CF11" s="169"/>
      <c r="CG11" s="357">
        <v>118146831</v>
      </c>
      <c r="CH11" s="357">
        <f t="shared" si="15"/>
        <v>480671.72379999998</v>
      </c>
      <c r="CI11" s="357">
        <f>27813677.4535-552.49</f>
        <v>27813124.963500001</v>
      </c>
      <c r="CJ11" s="357">
        <v>92157092</v>
      </c>
      <c r="CK11" s="357">
        <f>68561552+'WH MRK PART.'!E24</f>
        <v>73342838.053499997</v>
      </c>
      <c r="CL11" s="357">
        <v>35110511</v>
      </c>
      <c r="CM11" s="357">
        <f t="shared" si="3"/>
        <v>2532729.3981999997</v>
      </c>
      <c r="CN11" s="357">
        <f t="shared" si="16"/>
        <v>349583798.139</v>
      </c>
      <c r="CO11" s="169"/>
      <c r="CP11" s="494">
        <v>120547253</v>
      </c>
      <c r="CQ11" s="494">
        <v>495238</v>
      </c>
      <c r="CR11" s="494">
        <f>28511834-3962.09</f>
        <v>28507871.91</v>
      </c>
      <c r="CS11" s="494">
        <v>89139209</v>
      </c>
      <c r="CT11" s="494">
        <v>70923892</v>
      </c>
      <c r="CU11" s="485">
        <v>32196570</v>
      </c>
      <c r="CV11" s="494">
        <v>2637649</v>
      </c>
      <c r="CW11" s="494">
        <f t="shared" si="17"/>
        <v>344447682.90999997</v>
      </c>
      <c r="CX11" s="169"/>
      <c r="CY11" s="494"/>
      <c r="CZ11" s="494"/>
      <c r="DA11" s="494"/>
      <c r="DB11" s="494"/>
      <c r="DC11" s="494"/>
      <c r="DD11" s="494"/>
      <c r="DE11" s="494"/>
      <c r="DF11" s="494"/>
    </row>
    <row r="12" spans="1:124">
      <c r="A12" s="977"/>
      <c r="B12" s="140" t="s">
        <v>23</v>
      </c>
      <c r="D12" s="171">
        <v>68127216</v>
      </c>
      <c r="E12" s="165">
        <v>649211.75</v>
      </c>
      <c r="F12" s="19">
        <f>19861386-E12</f>
        <v>19212174.25</v>
      </c>
      <c r="G12" s="86">
        <v>82935863</v>
      </c>
      <c r="H12" s="86">
        <v>76285267</v>
      </c>
      <c r="I12" s="19">
        <v>19225350</v>
      </c>
      <c r="J12" s="19">
        <v>1801753</v>
      </c>
      <c r="K12" s="20">
        <f t="shared" si="0"/>
        <v>268236835</v>
      </c>
      <c r="L12" s="169"/>
      <c r="M12" s="169">
        <v>72669406</v>
      </c>
      <c r="N12" s="169">
        <v>502050.41666666669</v>
      </c>
      <c r="O12" s="169">
        <f>21727626-N12</f>
        <v>21225575.583333332</v>
      </c>
      <c r="P12" s="170">
        <v>84185811</v>
      </c>
      <c r="Q12" s="170">
        <v>80622707</v>
      </c>
      <c r="R12" s="169">
        <v>24567521</v>
      </c>
      <c r="S12" s="169">
        <v>2061218</v>
      </c>
      <c r="T12" s="169">
        <f t="shared" si="1"/>
        <v>285834289</v>
      </c>
      <c r="U12" s="169"/>
      <c r="V12" s="169">
        <v>78116059</v>
      </c>
      <c r="W12" s="139">
        <f t="shared" si="4"/>
        <v>477081.16666666669</v>
      </c>
      <c r="X12" s="169">
        <f>23454340-W12</f>
        <v>22977258.833333332</v>
      </c>
      <c r="Y12" s="169">
        <v>88954507</v>
      </c>
      <c r="Z12" s="169">
        <v>86950902</v>
      </c>
      <c r="AA12" s="169">
        <v>26830506</v>
      </c>
      <c r="AB12" s="169">
        <v>2224194</v>
      </c>
      <c r="AC12" s="169">
        <f t="shared" si="2"/>
        <v>306530508</v>
      </c>
      <c r="AD12" s="169"/>
      <c r="AE12" s="169">
        <v>70418334</v>
      </c>
      <c r="AF12" s="169">
        <v>459914.58333333331</v>
      </c>
      <c r="AG12" s="169">
        <f>21664320-AF12</f>
        <v>21204405.416666668</v>
      </c>
      <c r="AH12" s="169">
        <v>96462438</v>
      </c>
      <c r="AI12" s="169">
        <v>82641310</v>
      </c>
      <c r="AJ12" s="169">
        <v>27553611</v>
      </c>
      <c r="AK12" s="169">
        <v>2418258</v>
      </c>
      <c r="AL12" s="169">
        <f t="shared" si="5"/>
        <v>301158271</v>
      </c>
      <c r="AM12" s="169"/>
      <c r="AN12" s="169">
        <v>75610670</v>
      </c>
      <c r="AO12" s="169">
        <v>435607.83333333331</v>
      </c>
      <c r="AP12" s="169">
        <f>22642774-AO12</f>
        <v>22207166.166666668</v>
      </c>
      <c r="AQ12" s="169">
        <v>95101286</v>
      </c>
      <c r="AR12" s="169">
        <v>84408372</v>
      </c>
      <c r="AS12" s="169">
        <v>31681938</v>
      </c>
      <c r="AT12" s="169">
        <v>2564613</v>
      </c>
      <c r="AU12" s="169">
        <f t="shared" si="6"/>
        <v>312009653</v>
      </c>
      <c r="AV12" s="169"/>
      <c r="AW12" s="169">
        <v>78737248</v>
      </c>
      <c r="AX12" s="494">
        <v>439326.91666666669</v>
      </c>
      <c r="AY12" s="494">
        <f>23115605-AX12</f>
        <v>22676278.083333332</v>
      </c>
      <c r="AZ12" s="169">
        <v>91666815</v>
      </c>
      <c r="BA12" s="169">
        <v>75562641</v>
      </c>
      <c r="BB12" s="169">
        <v>32721930</v>
      </c>
      <c r="BC12" s="169">
        <v>2651263</v>
      </c>
      <c r="BD12" s="169">
        <f t="shared" si="7"/>
        <v>304455502</v>
      </c>
      <c r="BE12" s="169"/>
      <c r="BF12" s="169">
        <v>83699628</v>
      </c>
      <c r="BG12" s="494">
        <v>440560.16666666669</v>
      </c>
      <c r="BH12" s="494">
        <f>23841199-BG12</f>
        <v>23400638.833333332</v>
      </c>
      <c r="BI12" s="169">
        <v>90275253</v>
      </c>
      <c r="BJ12" s="169">
        <v>70496839</v>
      </c>
      <c r="BK12" s="169">
        <v>31028269</v>
      </c>
      <c r="BL12" s="169">
        <v>2745888</v>
      </c>
      <c r="BM12" s="169">
        <f t="shared" si="8"/>
        <v>302087076</v>
      </c>
      <c r="BN12" s="169"/>
      <c r="BO12" s="357">
        <v>81864104</v>
      </c>
      <c r="BP12" s="494">
        <v>451190</v>
      </c>
      <c r="BQ12" s="494">
        <f>22932112</f>
        <v>22932112</v>
      </c>
      <c r="BR12" s="357">
        <v>87356694</v>
      </c>
      <c r="BS12" s="169">
        <v>72158302</v>
      </c>
      <c r="BT12" s="169">
        <v>30885469</v>
      </c>
      <c r="BU12" s="169">
        <v>2805152</v>
      </c>
      <c r="BV12" s="169">
        <f t="shared" si="9"/>
        <v>298453023</v>
      </c>
      <c r="BW12" s="357"/>
      <c r="BX12" s="494">
        <v>84690144</v>
      </c>
      <c r="BY12" s="494">
        <v>474040</v>
      </c>
      <c r="BZ12" s="492">
        <f>24049947-174.61</f>
        <v>24049772.390000001</v>
      </c>
      <c r="CA12" s="357">
        <v>88468561</v>
      </c>
      <c r="CB12" s="169">
        <f>68247329+'WH MRK PART.'!E13</f>
        <v>72309858.750400007</v>
      </c>
      <c r="CC12" s="169">
        <v>33497181</v>
      </c>
      <c r="CD12" s="169">
        <v>2892578</v>
      </c>
      <c r="CE12" s="169">
        <f t="shared" si="10"/>
        <v>306382135.14039999</v>
      </c>
      <c r="CF12" s="169"/>
      <c r="CG12" s="357">
        <v>78983774</v>
      </c>
      <c r="CH12" s="357">
        <f t="shared" si="15"/>
        <v>481011.17099999997</v>
      </c>
      <c r="CI12" s="357">
        <f>23672704.1412-1491.99</f>
        <v>23671212.1512</v>
      </c>
      <c r="CJ12" s="357">
        <v>90948353</v>
      </c>
      <c r="CK12" s="357">
        <f>70287406+'WH MRK PART.'!E25</f>
        <v>75252997.921179995</v>
      </c>
      <c r="CL12" s="357">
        <v>34797105</v>
      </c>
      <c r="CM12" s="357">
        <f t="shared" si="3"/>
        <v>2905743.5796999997</v>
      </c>
      <c r="CN12" s="357">
        <f t="shared" si="16"/>
        <v>307040196.82308</v>
      </c>
      <c r="CO12" s="169"/>
      <c r="CP12" s="494">
        <v>81047701</v>
      </c>
      <c r="CQ12" s="494">
        <v>495239</v>
      </c>
      <c r="CR12" s="494">
        <f>24625065-4824.75</f>
        <v>24620240.25</v>
      </c>
      <c r="CS12" s="494">
        <v>93628156</v>
      </c>
      <c r="CT12" s="494">
        <f>72987535+'WH MRK PART.'!E37</f>
        <v>78150760.180299997</v>
      </c>
      <c r="CU12" s="485">
        <v>32247765</v>
      </c>
      <c r="CV12" s="494">
        <v>3098907</v>
      </c>
      <c r="CW12" s="494">
        <f>SUM(CP12:CV12)</f>
        <v>313288768.4303</v>
      </c>
      <c r="CX12" s="169"/>
      <c r="CY12" s="494"/>
      <c r="CZ12" s="494"/>
      <c r="DA12" s="494"/>
      <c r="DB12" s="494"/>
      <c r="DC12" s="494"/>
      <c r="DD12" s="494"/>
      <c r="DE12" s="494"/>
      <c r="DF12" s="494"/>
    </row>
    <row r="13" spans="1:124">
      <c r="A13" s="977"/>
      <c r="B13" s="140" t="s">
        <v>12</v>
      </c>
      <c r="D13" s="171">
        <v>69683924</v>
      </c>
      <c r="E13" s="172">
        <v>649211.75</v>
      </c>
      <c r="F13" s="19">
        <f>20962904-E13</f>
        <v>20313692.25</v>
      </c>
      <c r="G13" s="86">
        <v>80313542</v>
      </c>
      <c r="H13" s="86">
        <v>74569400</v>
      </c>
      <c r="I13" s="19">
        <v>22330879</v>
      </c>
      <c r="J13" s="19">
        <v>1987209</v>
      </c>
      <c r="K13" s="20">
        <f t="shared" si="0"/>
        <v>269847858</v>
      </c>
      <c r="L13" s="169"/>
      <c r="M13" s="169">
        <v>69069532</v>
      </c>
      <c r="N13" s="169">
        <v>502050.41666666669</v>
      </c>
      <c r="O13" s="169">
        <f>20516192-N13</f>
        <v>20014141.583333332</v>
      </c>
      <c r="P13" s="170">
        <v>90614206</v>
      </c>
      <c r="Q13" s="170">
        <v>79746480</v>
      </c>
      <c r="R13" s="169">
        <v>24564743</v>
      </c>
      <c r="S13" s="169">
        <v>2173518</v>
      </c>
      <c r="T13" s="169">
        <f t="shared" si="1"/>
        <v>286684671</v>
      </c>
      <c r="U13" s="169"/>
      <c r="V13" s="169">
        <v>74953612</v>
      </c>
      <c r="W13" s="139">
        <f t="shared" si="4"/>
        <v>477081.16666666669</v>
      </c>
      <c r="X13" s="169">
        <f>22788184-W13</f>
        <v>22311102.833333332</v>
      </c>
      <c r="Y13" s="169">
        <v>97467256</v>
      </c>
      <c r="Z13" s="169">
        <v>84977960</v>
      </c>
      <c r="AA13" s="169">
        <v>26025348</v>
      </c>
      <c r="AB13" s="169">
        <v>2377835</v>
      </c>
      <c r="AC13" s="169">
        <f t="shared" si="2"/>
        <v>308590195</v>
      </c>
      <c r="AD13" s="169"/>
      <c r="AE13" s="169">
        <v>81088193</v>
      </c>
      <c r="AF13" s="169">
        <v>459914.58333333331</v>
      </c>
      <c r="AG13" s="169">
        <f>23689813-AF13</f>
        <v>23229898.416666668</v>
      </c>
      <c r="AH13" s="169">
        <v>93732318</v>
      </c>
      <c r="AI13" s="169">
        <v>80819324</v>
      </c>
      <c r="AJ13" s="169">
        <v>26855914</v>
      </c>
      <c r="AK13" s="169">
        <v>2596941</v>
      </c>
      <c r="AL13" s="169">
        <f t="shared" si="5"/>
        <v>308782503</v>
      </c>
      <c r="AM13" s="169"/>
      <c r="AN13" s="169">
        <v>82907242</v>
      </c>
      <c r="AO13" s="169">
        <v>435607.83333333331</v>
      </c>
      <c r="AP13" s="169">
        <f>25216338-AO13</f>
        <v>24780730.166666668</v>
      </c>
      <c r="AQ13" s="169">
        <v>95834053</v>
      </c>
      <c r="AR13" s="169">
        <v>80153652</v>
      </c>
      <c r="AS13" s="169">
        <v>30556407</v>
      </c>
      <c r="AT13" s="169">
        <v>2750280</v>
      </c>
      <c r="AU13" s="169">
        <f t="shared" si="6"/>
        <v>317417972</v>
      </c>
      <c r="AV13" s="169"/>
      <c r="AW13" s="169">
        <v>90034914</v>
      </c>
      <c r="AX13" s="494">
        <v>439326.91666666669</v>
      </c>
      <c r="AY13" s="494">
        <f>24807142-AX13</f>
        <v>24367815.083333332</v>
      </c>
      <c r="AZ13" s="169">
        <v>92054395</v>
      </c>
      <c r="BA13" s="169">
        <v>71241915</v>
      </c>
      <c r="BB13" s="169">
        <v>30831140</v>
      </c>
      <c r="BC13" s="169">
        <v>2829470</v>
      </c>
      <c r="BD13" s="169">
        <f t="shared" si="7"/>
        <v>311798976</v>
      </c>
      <c r="BE13" s="169"/>
      <c r="BF13" s="169">
        <v>87785678</v>
      </c>
      <c r="BG13" s="494">
        <v>440560.16666666669</v>
      </c>
      <c r="BH13" s="494">
        <f>24471328-BG13</f>
        <v>24030767.833333332</v>
      </c>
      <c r="BI13" s="169">
        <v>91490331</v>
      </c>
      <c r="BJ13" s="169">
        <v>68320139</v>
      </c>
      <c r="BK13" s="169">
        <v>28030347</v>
      </c>
      <c r="BL13" s="169">
        <v>2936483</v>
      </c>
      <c r="BM13" s="169">
        <f t="shared" si="8"/>
        <v>303034306</v>
      </c>
      <c r="BN13" s="169"/>
      <c r="BO13" s="357">
        <v>83013693</v>
      </c>
      <c r="BP13" s="494">
        <v>398957</v>
      </c>
      <c r="BQ13" s="494">
        <f>22731626</f>
        <v>22731626</v>
      </c>
      <c r="BR13" s="357">
        <v>92404420</v>
      </c>
      <c r="BS13" s="169">
        <v>71308110</v>
      </c>
      <c r="BT13" s="169">
        <v>27720331</v>
      </c>
      <c r="BU13" s="169">
        <v>3010442</v>
      </c>
      <c r="BV13" s="169">
        <f t="shared" si="9"/>
        <v>300587579</v>
      </c>
      <c r="BW13" s="357"/>
      <c r="BX13" s="494">
        <v>84908722</v>
      </c>
      <c r="BY13" s="494">
        <v>472225</v>
      </c>
      <c r="BZ13" s="492">
        <f>24699263-189.55</f>
        <v>24699073.449999999</v>
      </c>
      <c r="CA13" s="357">
        <v>92796644</v>
      </c>
      <c r="CB13" s="169">
        <f>68242809+'WH MRK PART.'!E14</f>
        <v>72434837.241280004</v>
      </c>
      <c r="CC13" s="169">
        <v>32094802</v>
      </c>
      <c r="CD13" s="169">
        <v>3169788</v>
      </c>
      <c r="CE13" s="169">
        <f>SUM(BX13:CD13)</f>
        <v>310576091.69128001</v>
      </c>
      <c r="CF13" s="169"/>
      <c r="CG13" s="357">
        <v>90631547</v>
      </c>
      <c r="CH13" s="357">
        <f t="shared" si="15"/>
        <v>485695.12839999999</v>
      </c>
      <c r="CI13" s="357">
        <f>25930692.427-3266.33</f>
        <v>25927426.097000003</v>
      </c>
      <c r="CJ13" s="357">
        <v>94864844</v>
      </c>
      <c r="CK13" s="357">
        <f>69066243+'WH MRK PART.'!E26</f>
        <v>73966462.194419995</v>
      </c>
      <c r="CL13" s="357">
        <v>32840888</v>
      </c>
      <c r="CM13" s="357">
        <f t="shared" si="3"/>
        <v>3180925.5595</v>
      </c>
      <c r="CN13" s="357">
        <f t="shared" si="16"/>
        <v>321897787.97931999</v>
      </c>
      <c r="CO13" s="169"/>
      <c r="CP13" s="494">
        <v>95603437</v>
      </c>
      <c r="CQ13" s="494">
        <v>492880</v>
      </c>
      <c r="CR13" s="494">
        <f>27118730-5824.63</f>
        <v>27112905.370000001</v>
      </c>
      <c r="CS13" s="494">
        <v>90860690</v>
      </c>
      <c r="CT13" s="494">
        <f>70798384+'WH MRK PART.'!E38</f>
        <v>76142643.988979995</v>
      </c>
      <c r="CU13" s="485">
        <f>31816461</f>
        <v>31816461</v>
      </c>
      <c r="CV13" s="494">
        <v>3318400</v>
      </c>
      <c r="CW13" s="494">
        <f>SUM(CP13:CV13)</f>
        <v>325347417.35898</v>
      </c>
      <c r="CX13" s="169"/>
      <c r="CY13" s="494"/>
      <c r="CZ13" s="494"/>
      <c r="DA13" s="494"/>
      <c r="DB13" s="494"/>
      <c r="DC13" s="494"/>
      <c r="DD13" s="494"/>
      <c r="DE13" s="494"/>
      <c r="DF13" s="494"/>
    </row>
    <row r="14" spans="1:124" ht="13.8" thickBot="1">
      <c r="A14" s="977"/>
      <c r="B14" s="141" t="s">
        <v>13</v>
      </c>
      <c r="D14" s="173">
        <v>80334228</v>
      </c>
      <c r="E14" s="174">
        <v>649211.75</v>
      </c>
      <c r="F14" s="30">
        <f>23642551-E14</f>
        <v>22993339.25</v>
      </c>
      <c r="G14" s="98">
        <v>73831983</v>
      </c>
      <c r="H14" s="98">
        <v>70214725</v>
      </c>
      <c r="I14" s="30">
        <v>21796037</v>
      </c>
      <c r="J14" s="30">
        <v>2094590</v>
      </c>
      <c r="K14" s="31">
        <f t="shared" si="0"/>
        <v>271914114</v>
      </c>
      <c r="L14" s="169"/>
      <c r="M14" s="169">
        <v>86082290</v>
      </c>
      <c r="N14" s="169">
        <v>502050.41666666669</v>
      </c>
      <c r="O14" s="169">
        <f>24382285-N14</f>
        <v>23880234.583333332</v>
      </c>
      <c r="P14" s="170">
        <v>93555928</v>
      </c>
      <c r="Q14" s="170">
        <v>72917915</v>
      </c>
      <c r="R14" s="169">
        <v>23075329</v>
      </c>
      <c r="S14" s="169">
        <v>2352888</v>
      </c>
      <c r="T14" s="169">
        <f t="shared" si="1"/>
        <v>302366635</v>
      </c>
      <c r="U14" s="169"/>
      <c r="V14" s="169">
        <v>86741676</v>
      </c>
      <c r="W14" s="139">
        <f t="shared" si="4"/>
        <v>477081.16666666669</v>
      </c>
      <c r="X14" s="169">
        <f>25289972-W14</f>
        <v>24812890.833333332</v>
      </c>
      <c r="Y14" s="169">
        <v>94031215</v>
      </c>
      <c r="Z14" s="169">
        <v>75197933</v>
      </c>
      <c r="AA14" s="169">
        <v>24384954</v>
      </c>
      <c r="AB14" s="169">
        <v>2563946</v>
      </c>
      <c r="AC14" s="169">
        <f t="shared" si="2"/>
        <v>308209696</v>
      </c>
      <c r="AD14" s="169"/>
      <c r="AE14" s="169">
        <v>91101711</v>
      </c>
      <c r="AF14" s="169">
        <v>459914.58333333331</v>
      </c>
      <c r="AG14" s="169">
        <f>26047583-AF14</f>
        <v>25587668.416666668</v>
      </c>
      <c r="AH14" s="169">
        <v>92261800</v>
      </c>
      <c r="AI14" s="169">
        <v>74207988</v>
      </c>
      <c r="AJ14" s="169">
        <v>25818150</v>
      </c>
      <c r="AK14" s="169">
        <v>2795179</v>
      </c>
      <c r="AL14" s="169">
        <f t="shared" si="5"/>
        <v>312232411</v>
      </c>
      <c r="AM14" s="169"/>
      <c r="AN14" s="169">
        <v>102589443</v>
      </c>
      <c r="AO14" s="169">
        <v>435607.83333333331</v>
      </c>
      <c r="AP14" s="169">
        <f>28574981-AO14</f>
        <v>28139373.166666668</v>
      </c>
      <c r="AQ14" s="169">
        <v>97410215</v>
      </c>
      <c r="AR14" s="169">
        <v>66413810</v>
      </c>
      <c r="AS14" s="169">
        <v>32575406</v>
      </c>
      <c r="AT14" s="169">
        <v>2980183</v>
      </c>
      <c r="AU14" s="169">
        <f t="shared" si="6"/>
        <v>330544038</v>
      </c>
      <c r="AV14" s="169"/>
      <c r="AW14" s="169">
        <v>92116228</v>
      </c>
      <c r="AX14" s="494">
        <v>439326.91666666669</v>
      </c>
      <c r="AY14" s="494">
        <f>25115326-AX14</f>
        <v>24675999.083333332</v>
      </c>
      <c r="AZ14" s="169">
        <v>97466500</v>
      </c>
      <c r="BA14" s="169">
        <v>63765403</v>
      </c>
      <c r="BB14" s="169">
        <v>28080667</v>
      </c>
      <c r="BC14" s="169">
        <v>3050230</v>
      </c>
      <c r="BD14" s="169">
        <f t="shared" si="7"/>
        <v>309594354</v>
      </c>
      <c r="BE14" s="169"/>
      <c r="BF14" s="169">
        <v>90946365</v>
      </c>
      <c r="BG14" s="494">
        <v>440560.16666666669</v>
      </c>
      <c r="BH14" s="494">
        <f>25219510-BG14</f>
        <v>24778949.833333332</v>
      </c>
      <c r="BI14" s="169">
        <v>97899507</v>
      </c>
      <c r="BJ14" s="169">
        <v>62873698</v>
      </c>
      <c r="BK14" s="169">
        <v>31222652</v>
      </c>
      <c r="BL14" s="169">
        <v>3178016</v>
      </c>
      <c r="BM14" s="169">
        <f t="shared" si="8"/>
        <v>311339748</v>
      </c>
      <c r="BN14" s="169"/>
      <c r="BO14" s="357">
        <v>96787180</v>
      </c>
      <c r="BP14" s="494">
        <v>460400</v>
      </c>
      <c r="BQ14" s="494">
        <f>25659707</f>
        <v>25659707</v>
      </c>
      <c r="BR14" s="357">
        <v>97044044</v>
      </c>
      <c r="BS14" s="169">
        <v>64718078</v>
      </c>
      <c r="BT14" s="169">
        <v>28388785</v>
      </c>
      <c r="BU14" s="169">
        <v>3295909</v>
      </c>
      <c r="BV14" s="169">
        <f t="shared" si="9"/>
        <v>316354103</v>
      </c>
      <c r="BW14" s="357"/>
      <c r="BX14" s="494">
        <v>95536298</v>
      </c>
      <c r="BY14" s="494">
        <v>476658</v>
      </c>
      <c r="BZ14" s="492">
        <f>26977895-571.63</f>
        <v>26977323.370000001</v>
      </c>
      <c r="CA14" s="357">
        <v>94137020</v>
      </c>
      <c r="CB14" s="169">
        <f>61647643+'WH MRK PART.'!E15</f>
        <v>65582118.964320004</v>
      </c>
      <c r="CC14" s="169">
        <v>30521363</v>
      </c>
      <c r="CD14" s="169">
        <v>3435288</v>
      </c>
      <c r="CE14" s="169">
        <f>SUM(BX14:CD14)</f>
        <v>316666069.33432001</v>
      </c>
      <c r="CF14" s="169"/>
      <c r="CG14" s="357">
        <v>99803406</v>
      </c>
      <c r="CH14" s="357">
        <f t="shared" si="15"/>
        <v>482908.14269999997</v>
      </c>
      <c r="CI14" s="357">
        <f>28010685.1571-4579.75</f>
        <v>28006105.407099999</v>
      </c>
      <c r="CJ14" s="357">
        <v>93961906</v>
      </c>
      <c r="CK14" s="357">
        <f>61573813+'WH MRK PART.'!E27</f>
        <v>65633763.871679999</v>
      </c>
      <c r="CL14" s="357">
        <v>30112897</v>
      </c>
      <c r="CM14" s="357">
        <f t="shared" ref="CM14" si="18">+CM32*1.0349</f>
        <v>3532747.0587999998</v>
      </c>
      <c r="CN14" s="357">
        <f t="shared" si="16"/>
        <v>321533733.48027998</v>
      </c>
      <c r="CO14" s="169"/>
      <c r="CP14" s="494">
        <v>104213488</v>
      </c>
      <c r="CQ14" s="494">
        <v>491501</v>
      </c>
      <c r="CR14" s="494">
        <f>29589981-8655.03</f>
        <v>29581325.969999999</v>
      </c>
      <c r="CS14" s="494">
        <v>95163273</v>
      </c>
      <c r="CT14" s="494">
        <f>64793353+'WH MRK PART.'!E39</f>
        <v>69073080.437260002</v>
      </c>
      <c r="CU14" s="485">
        <v>30229872</v>
      </c>
      <c r="CV14" s="494">
        <v>3546344</v>
      </c>
      <c r="CW14" s="494">
        <f t="shared" si="17"/>
        <v>332298884.40726</v>
      </c>
      <c r="CX14" s="169"/>
      <c r="CY14" s="494"/>
      <c r="CZ14" s="494"/>
      <c r="DA14" s="494"/>
      <c r="DB14" s="494"/>
      <c r="DC14" s="494"/>
      <c r="DD14" s="494"/>
      <c r="DE14" s="494"/>
      <c r="DF14" s="494"/>
    </row>
    <row r="15" spans="1:124" s="1" customFormat="1" ht="13.8" thickBot="1">
      <c r="A15" s="977"/>
      <c r="B15" s="141"/>
      <c r="D15" s="175"/>
      <c r="E15" s="176"/>
      <c r="F15" s="176"/>
      <c r="G15" s="177"/>
      <c r="H15" s="177"/>
      <c r="I15" s="176"/>
      <c r="J15" s="176"/>
      <c r="K15" s="178"/>
      <c r="L15" s="179"/>
      <c r="M15" s="175"/>
      <c r="N15" s="176"/>
      <c r="O15" s="176"/>
      <c r="P15" s="177"/>
      <c r="Q15" s="177"/>
      <c r="R15" s="176"/>
      <c r="S15" s="176"/>
      <c r="T15" s="178"/>
      <c r="U15" s="179"/>
      <c r="V15" s="175"/>
      <c r="W15" s="176"/>
      <c r="X15" s="176"/>
      <c r="Y15" s="177"/>
      <c r="Z15" s="177"/>
      <c r="AA15" s="176"/>
      <c r="AB15" s="176"/>
      <c r="AC15" s="178"/>
      <c r="AD15" s="179"/>
      <c r="AE15" s="175"/>
      <c r="AF15" s="176"/>
      <c r="AG15" s="176"/>
      <c r="AH15" s="177"/>
      <c r="AI15" s="177"/>
      <c r="AJ15" s="176"/>
      <c r="AK15" s="176"/>
      <c r="AL15" s="178"/>
      <c r="AM15" s="179"/>
      <c r="AN15" s="175"/>
      <c r="AO15" s="176"/>
      <c r="AP15" s="176"/>
      <c r="AQ15" s="177"/>
      <c r="AR15" s="177"/>
      <c r="AS15" s="176"/>
      <c r="AT15" s="176"/>
      <c r="AU15" s="178"/>
      <c r="AV15" s="179"/>
      <c r="AW15" s="175"/>
      <c r="AX15" s="176"/>
      <c r="AY15" s="176"/>
      <c r="AZ15" s="177"/>
      <c r="BA15" s="177"/>
      <c r="BB15" s="176"/>
      <c r="BC15" s="176"/>
      <c r="BD15" s="178"/>
      <c r="BE15" s="179"/>
      <c r="BF15" s="175"/>
      <c r="BG15" s="176"/>
      <c r="BH15" s="176"/>
      <c r="BI15" s="177"/>
      <c r="BJ15" s="177"/>
      <c r="BK15" s="176"/>
      <c r="BL15" s="176"/>
      <c r="BM15" s="178"/>
      <c r="BO15" s="175"/>
      <c r="BP15" s="176"/>
      <c r="BQ15" s="176"/>
      <c r="BR15" s="177"/>
      <c r="BS15" s="177"/>
      <c r="BT15" s="176"/>
      <c r="BU15" s="176"/>
      <c r="BV15" s="178"/>
      <c r="BX15" s="175"/>
      <c r="BY15" s="176"/>
      <c r="BZ15" s="176"/>
      <c r="CA15" s="177"/>
      <c r="CB15" s="177"/>
      <c r="CC15" s="176"/>
      <c r="CD15" s="176"/>
      <c r="CE15" s="178"/>
      <c r="CG15" s="175"/>
      <c r="CH15" s="176"/>
      <c r="CI15" s="176"/>
      <c r="CJ15" s="177"/>
      <c r="CK15" s="177"/>
      <c r="CL15" s="176"/>
      <c r="CM15" s="176"/>
      <c r="CN15" s="178"/>
      <c r="CP15" s="175"/>
      <c r="CQ15" s="176"/>
      <c r="CR15" s="176"/>
      <c r="CS15" s="177"/>
      <c r="CT15" s="177"/>
      <c r="CU15" s="176"/>
      <c r="CV15" s="176"/>
      <c r="CW15" s="178"/>
      <c r="CY15" s="175"/>
      <c r="CZ15" s="176"/>
      <c r="DA15" s="176"/>
      <c r="DB15" s="177"/>
      <c r="DC15" s="177"/>
      <c r="DD15" s="176"/>
      <c r="DE15" s="176"/>
      <c r="DF15" s="178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</row>
    <row r="16" spans="1:124" s="1" customFormat="1" ht="13.8" thickBot="1">
      <c r="A16" s="984"/>
      <c r="B16" s="180" t="s">
        <v>65</v>
      </c>
      <c r="D16" s="175">
        <f t="shared" ref="D16:K16" si="19">SUM(D3:D14)</f>
        <v>951203622</v>
      </c>
      <c r="E16" s="176">
        <f t="shared" si="19"/>
        <v>7790541</v>
      </c>
      <c r="F16" s="176">
        <f t="shared" si="19"/>
        <v>270727042</v>
      </c>
      <c r="G16" s="176">
        <f t="shared" si="19"/>
        <v>1031390099</v>
      </c>
      <c r="H16" s="176">
        <f t="shared" si="19"/>
        <v>874379914</v>
      </c>
      <c r="I16" s="176">
        <f t="shared" si="19"/>
        <v>285362040</v>
      </c>
      <c r="J16" s="176">
        <f t="shared" si="19"/>
        <v>19791253</v>
      </c>
      <c r="K16" s="178">
        <f t="shared" si="19"/>
        <v>3440644511</v>
      </c>
      <c r="M16" s="175">
        <f t="shared" ref="M16:T16" si="20">SUM(M3:M14)</f>
        <v>966448805</v>
      </c>
      <c r="N16" s="176">
        <f>SUM(N3:N14)</f>
        <v>6024605.0000000009</v>
      </c>
      <c r="O16" s="176">
        <f t="shared" si="20"/>
        <v>273512185.00000006</v>
      </c>
      <c r="P16" s="176">
        <f t="shared" si="20"/>
        <v>1082795918</v>
      </c>
      <c r="Q16" s="176">
        <f t="shared" si="20"/>
        <v>954694132</v>
      </c>
      <c r="R16" s="176">
        <f t="shared" si="20"/>
        <v>294248777</v>
      </c>
      <c r="S16" s="176">
        <f t="shared" si="20"/>
        <v>21710597</v>
      </c>
      <c r="T16" s="178">
        <f t="shared" si="20"/>
        <v>3599435019</v>
      </c>
      <c r="V16" s="175">
        <f t="shared" ref="V16:AC16" si="21">SUM(V3:V14)</f>
        <v>1104270425</v>
      </c>
      <c r="W16" s="176">
        <f>SUM(W3:W14)</f>
        <v>5724974.0000000009</v>
      </c>
      <c r="X16" s="176">
        <f t="shared" si="21"/>
        <v>298339886</v>
      </c>
      <c r="Y16" s="176">
        <f t="shared" si="21"/>
        <v>1121685603</v>
      </c>
      <c r="Z16" s="176">
        <f t="shared" si="21"/>
        <v>986781942</v>
      </c>
      <c r="AA16" s="176">
        <f t="shared" si="21"/>
        <v>308575243</v>
      </c>
      <c r="AB16" s="176">
        <f t="shared" si="21"/>
        <v>22688359</v>
      </c>
      <c r="AC16" s="178">
        <f t="shared" si="21"/>
        <v>3848066432</v>
      </c>
      <c r="AE16" s="175">
        <f t="shared" ref="AE16:AL16" si="22">SUM(AE3:AE14)</f>
        <v>1085698760</v>
      </c>
      <c r="AF16" s="176">
        <f>SUM(AF3:AF14)</f>
        <v>5518975</v>
      </c>
      <c r="AG16" s="176">
        <f t="shared" si="22"/>
        <v>294668780</v>
      </c>
      <c r="AH16" s="176">
        <f t="shared" si="22"/>
        <v>1126508218</v>
      </c>
      <c r="AI16" s="176">
        <f t="shared" si="22"/>
        <v>989399496</v>
      </c>
      <c r="AJ16" s="176">
        <f t="shared" si="22"/>
        <v>340889348</v>
      </c>
      <c r="AK16" s="176">
        <f t="shared" si="22"/>
        <v>24798319</v>
      </c>
      <c r="AL16" s="178">
        <f t="shared" si="22"/>
        <v>3867481896</v>
      </c>
      <c r="AN16" s="175">
        <f t="shared" ref="AN16:AU16" si="23">SUM(AN3:AN14)</f>
        <v>1141549097</v>
      </c>
      <c r="AO16" s="176">
        <f>SUM(AO3:AO14)</f>
        <v>5227294</v>
      </c>
      <c r="AP16" s="176">
        <f t="shared" si="23"/>
        <v>309433581</v>
      </c>
      <c r="AQ16" s="176">
        <f t="shared" si="23"/>
        <v>1149393919</v>
      </c>
      <c r="AR16" s="176">
        <f t="shared" si="23"/>
        <v>974656023</v>
      </c>
      <c r="AS16" s="176">
        <f t="shared" si="23"/>
        <v>359937344</v>
      </c>
      <c r="AT16" s="176">
        <f t="shared" si="23"/>
        <v>26705849</v>
      </c>
      <c r="AU16" s="178">
        <f t="shared" si="23"/>
        <v>3966903107</v>
      </c>
      <c r="AW16" s="175">
        <f t="shared" ref="AW16:BD16" si="24">SUM(AW3:AW14)</f>
        <v>1128424087</v>
      </c>
      <c r="AX16" s="176">
        <f>SUM(AX3:AX14)</f>
        <v>5271923</v>
      </c>
      <c r="AY16" s="176">
        <f t="shared" si="24"/>
        <v>298166948</v>
      </c>
      <c r="AZ16" s="176">
        <f t="shared" si="24"/>
        <v>1152460872</v>
      </c>
      <c r="BA16" s="176">
        <f t="shared" si="24"/>
        <v>899609526</v>
      </c>
      <c r="BB16" s="176">
        <f t="shared" si="24"/>
        <v>392283776</v>
      </c>
      <c r="BC16" s="176">
        <f t="shared" si="24"/>
        <v>27647076</v>
      </c>
      <c r="BD16" s="178">
        <f t="shared" si="24"/>
        <v>3903864208</v>
      </c>
      <c r="BF16" s="175">
        <f t="shared" ref="BF16:BM16" si="25">SUM(BF3:BF14)</f>
        <v>1127308852</v>
      </c>
      <c r="BG16" s="176">
        <f>SUM(BG3:BG14)</f>
        <v>5286722</v>
      </c>
      <c r="BH16" s="176">
        <f t="shared" si="25"/>
        <v>294101715</v>
      </c>
      <c r="BI16" s="176">
        <f t="shared" si="25"/>
        <v>1119431579</v>
      </c>
      <c r="BJ16" s="176">
        <f t="shared" si="25"/>
        <v>815583527</v>
      </c>
      <c r="BK16" s="176">
        <f t="shared" si="25"/>
        <v>346811250</v>
      </c>
      <c r="BL16" s="176">
        <f t="shared" si="25"/>
        <v>28316852</v>
      </c>
      <c r="BM16" s="178">
        <f t="shared" si="25"/>
        <v>3736840497</v>
      </c>
      <c r="BO16" s="175">
        <f t="shared" ref="BO16" si="26">SUM(BO3:BO14)</f>
        <v>1213013102</v>
      </c>
      <c r="BP16" s="176">
        <f>SUM(BP3:BP14)</f>
        <v>5382594.3132000007</v>
      </c>
      <c r="BQ16" s="176">
        <f t="shared" ref="BQ16:BV16" si="27">SUM(BQ3:BQ14)</f>
        <v>302170282.6868</v>
      </c>
      <c r="BR16" s="176">
        <f t="shared" si="27"/>
        <v>1127753323</v>
      </c>
      <c r="BS16" s="176">
        <f t="shared" si="27"/>
        <v>869059828</v>
      </c>
      <c r="BT16" s="176">
        <f t="shared" si="27"/>
        <v>367761156</v>
      </c>
      <c r="BU16" s="176">
        <f t="shared" si="27"/>
        <v>29344889</v>
      </c>
      <c r="BV16" s="178">
        <f t="shared" si="27"/>
        <v>3914485175</v>
      </c>
      <c r="BX16" s="175">
        <f t="shared" ref="BX16" si="28">SUM(BX3:BX14)</f>
        <v>1232108735</v>
      </c>
      <c r="BY16" s="176">
        <f>SUM(BY3:BY14)</f>
        <v>5641772</v>
      </c>
      <c r="BZ16" s="176">
        <f t="shared" ref="BZ16:CD16" si="29">SUM(BZ3:BZ14)</f>
        <v>320868967.31999993</v>
      </c>
      <c r="CA16" s="176">
        <f t="shared" si="29"/>
        <v>1138858244</v>
      </c>
      <c r="CB16" s="176">
        <f t="shared" si="29"/>
        <v>859379044.16754007</v>
      </c>
      <c r="CC16" s="176">
        <f t="shared" si="29"/>
        <v>399492971</v>
      </c>
      <c r="CD16" s="176">
        <f t="shared" si="29"/>
        <v>30799601</v>
      </c>
      <c r="CE16" s="178">
        <f>SUM(CE3:CE14)</f>
        <v>3987149334.4875398</v>
      </c>
      <c r="CG16" s="175">
        <f>SUM(CG3:CG14)</f>
        <v>1254347766</v>
      </c>
      <c r="CH16" s="176">
        <f>SUM(CH3:CH14)</f>
        <v>5756367.3504999997</v>
      </c>
      <c r="CI16" s="176">
        <f t="shared" ref="CI16:CM16" si="30">SUM(CI3:CI14)</f>
        <v>326943200.85600001</v>
      </c>
      <c r="CJ16" s="176">
        <f t="shared" si="30"/>
        <v>1140450085</v>
      </c>
      <c r="CK16" s="176">
        <f t="shared" si="30"/>
        <v>887907305.07628</v>
      </c>
      <c r="CL16" s="176">
        <f t="shared" si="30"/>
        <v>407403357</v>
      </c>
      <c r="CM16" s="176">
        <f t="shared" si="30"/>
        <v>31665109.548500005</v>
      </c>
      <c r="CN16" s="178">
        <f>SUM(CN3:CN14)</f>
        <v>4054473190.8312802</v>
      </c>
      <c r="CP16" s="175">
        <f>SUM(CP3:CP14)</f>
        <v>1239834211</v>
      </c>
      <c r="CQ16" s="176">
        <f>SUM(CQ3:CQ14)</f>
        <v>5906100</v>
      </c>
      <c r="CR16" s="176">
        <f t="shared" ref="CR16:CV16" si="31">SUM(CR3:CR14)</f>
        <v>334582209.69000006</v>
      </c>
      <c r="CS16" s="176">
        <f t="shared" si="31"/>
        <v>1122807291</v>
      </c>
      <c r="CT16" s="176">
        <f>SUM(CT3:CT14)</f>
        <v>898418491.38718021</v>
      </c>
      <c r="CU16" s="176">
        <f t="shared" si="31"/>
        <v>385321038</v>
      </c>
      <c r="CV16" s="176">
        <f t="shared" si="31"/>
        <v>32388181</v>
      </c>
      <c r="CW16" s="178">
        <f>SUM(CW3:CW14)</f>
        <v>4019257522.0771799</v>
      </c>
      <c r="CY16" s="175">
        <f>SUM(CY3:CY14)</f>
        <v>0</v>
      </c>
      <c r="CZ16" s="176">
        <f>SUM(CZ3:CZ14)</f>
        <v>0</v>
      </c>
      <c r="DA16" s="176">
        <f t="shared" ref="DA16:DE16" si="32">SUM(DA3:DA14)</f>
        <v>0</v>
      </c>
      <c r="DB16" s="176">
        <f t="shared" si="32"/>
        <v>0</v>
      </c>
      <c r="DC16" s="176">
        <f t="shared" si="32"/>
        <v>0</v>
      </c>
      <c r="DD16" s="176">
        <f t="shared" si="32"/>
        <v>0</v>
      </c>
      <c r="DE16" s="176">
        <f t="shared" si="32"/>
        <v>0</v>
      </c>
      <c r="DF16" s="178">
        <f>SUM(DF3:DF14)</f>
        <v>0</v>
      </c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</row>
    <row r="17" spans="1:124" s="1" customFormat="1">
      <c r="B17" s="181"/>
      <c r="D17" s="182"/>
      <c r="E17" s="182"/>
      <c r="F17" s="182"/>
      <c r="G17" s="182"/>
      <c r="H17" s="182"/>
      <c r="I17" s="182"/>
      <c r="J17" s="182"/>
      <c r="K17" s="182"/>
      <c r="M17" s="182"/>
      <c r="N17" s="182"/>
      <c r="O17" s="182"/>
      <c r="P17" s="182"/>
      <c r="Q17" s="182"/>
      <c r="R17" s="182"/>
      <c r="S17" s="182"/>
      <c r="T17" s="182"/>
      <c r="V17" s="182"/>
      <c r="W17" s="182"/>
      <c r="X17" s="182"/>
      <c r="Y17" s="182"/>
      <c r="Z17" s="182"/>
      <c r="AA17" s="182"/>
      <c r="AB17" s="182"/>
      <c r="AC17" s="182"/>
      <c r="AE17" s="182"/>
      <c r="AF17" s="182" t="s">
        <v>0</v>
      </c>
      <c r="AG17" s="182"/>
      <c r="AH17" s="182"/>
      <c r="AI17" s="182"/>
      <c r="AJ17" s="182"/>
      <c r="AK17" s="182"/>
      <c r="AL17" s="182"/>
      <c r="AN17" s="182"/>
      <c r="AO17" s="182"/>
      <c r="AP17" s="182"/>
      <c r="AQ17" s="182"/>
      <c r="AR17" s="182"/>
      <c r="AS17" s="182"/>
      <c r="AT17" s="182"/>
      <c r="AU17" s="182"/>
      <c r="AW17" s="182"/>
      <c r="AX17" s="182"/>
      <c r="AY17" s="182"/>
      <c r="AZ17" s="182"/>
      <c r="BA17" s="182"/>
      <c r="BB17" s="182"/>
      <c r="BC17" s="182"/>
      <c r="BD17" s="182"/>
      <c r="BF17" s="182"/>
      <c r="BG17" s="182"/>
      <c r="BH17" s="182"/>
      <c r="BI17" s="622"/>
      <c r="BJ17" s="182"/>
      <c r="BK17" s="182"/>
      <c r="BL17" s="182"/>
      <c r="BM17" s="182"/>
      <c r="BO17" s="182"/>
      <c r="BP17" s="182"/>
      <c r="BQ17" s="182"/>
      <c r="BR17" s="182"/>
      <c r="BS17" s="182"/>
      <c r="BT17" s="182"/>
      <c r="BU17" s="182"/>
      <c r="BV17" s="182"/>
      <c r="BX17" s="182"/>
      <c r="BY17" s="182"/>
      <c r="BZ17" s="182"/>
      <c r="CA17" s="182"/>
      <c r="CB17" s="182"/>
      <c r="CC17" s="182"/>
      <c r="CD17" s="182"/>
      <c r="CE17" s="182"/>
      <c r="CG17" s="182"/>
      <c r="CH17" s="182"/>
      <c r="CI17" s="182"/>
      <c r="CJ17" s="182"/>
      <c r="CK17" s="182"/>
      <c r="CL17" s="182"/>
      <c r="CM17" s="182"/>
      <c r="CN17" s="182"/>
      <c r="CP17" s="182"/>
      <c r="CQ17" s="182"/>
      <c r="CR17" s="182"/>
      <c r="CS17" s="182"/>
      <c r="CT17" s="182"/>
      <c r="CU17" s="182"/>
      <c r="CV17" s="182"/>
      <c r="CW17" s="500">
        <f>CW16/CW34</f>
        <v>1.0325387917966762</v>
      </c>
      <c r="CY17" s="182"/>
      <c r="CZ17" s="182"/>
      <c r="DA17" s="182"/>
      <c r="DB17" s="182"/>
      <c r="DC17" s="182"/>
      <c r="DD17" s="182"/>
      <c r="DE17" s="182"/>
      <c r="DF17" s="18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.8" thickBot="1">
      <c r="Q18" s="654"/>
      <c r="CA18" s="248"/>
      <c r="CJ18"/>
      <c r="CK18"/>
      <c r="CL18"/>
      <c r="CM18"/>
      <c r="CS18"/>
      <c r="CT18"/>
      <c r="CU18"/>
      <c r="CV18"/>
      <c r="DB18"/>
      <c r="DC18"/>
      <c r="DD18"/>
      <c r="DE18"/>
    </row>
    <row r="19" spans="1:124" ht="13.8" thickBot="1">
      <c r="D19" s="972" t="s">
        <v>66</v>
      </c>
      <c r="E19" s="975"/>
      <c r="F19" s="975"/>
      <c r="G19" s="975"/>
      <c r="H19" s="975"/>
      <c r="I19" s="975"/>
      <c r="J19" s="975"/>
      <c r="K19" s="106"/>
      <c r="M19" s="972" t="s">
        <v>67</v>
      </c>
      <c r="N19" s="975"/>
      <c r="O19" s="975"/>
      <c r="P19" s="975"/>
      <c r="Q19" s="975"/>
      <c r="R19" s="975"/>
      <c r="S19" s="975"/>
      <c r="T19" s="106"/>
      <c r="V19" s="972" t="s">
        <v>68</v>
      </c>
      <c r="W19" s="975"/>
      <c r="X19" s="975"/>
      <c r="Y19" s="975"/>
      <c r="Z19" s="975"/>
      <c r="AA19" s="975"/>
      <c r="AB19" s="975"/>
      <c r="AC19" s="106"/>
      <c r="AE19" s="972" t="s">
        <v>69</v>
      </c>
      <c r="AF19" s="975"/>
      <c r="AG19" s="975"/>
      <c r="AH19" s="975"/>
      <c r="AI19" s="975"/>
      <c r="AJ19" s="975"/>
      <c r="AK19" s="975"/>
      <c r="AL19" s="11"/>
      <c r="AN19" s="972" t="s">
        <v>70</v>
      </c>
      <c r="AO19" s="975"/>
      <c r="AP19" s="975"/>
      <c r="AQ19" s="975"/>
      <c r="AR19" s="975"/>
      <c r="AS19" s="975"/>
      <c r="AT19" s="975"/>
      <c r="AU19" s="106"/>
      <c r="AW19" s="972" t="s">
        <v>71</v>
      </c>
      <c r="AX19" s="975"/>
      <c r="AY19" s="975"/>
      <c r="AZ19" s="975"/>
      <c r="BA19" s="975"/>
      <c r="BB19" s="975"/>
      <c r="BC19" s="975"/>
      <c r="BD19" s="106"/>
      <c r="BF19" s="972" t="s">
        <v>72</v>
      </c>
      <c r="BG19" s="975"/>
      <c r="BH19" s="975"/>
      <c r="BI19" s="975"/>
      <c r="BJ19" s="975"/>
      <c r="BK19" s="975"/>
      <c r="BL19" s="975"/>
      <c r="BM19" s="106"/>
      <c r="BO19" s="972" t="s">
        <v>153</v>
      </c>
      <c r="BP19" s="975"/>
      <c r="BQ19" s="975"/>
      <c r="BR19" s="975"/>
      <c r="BS19" s="975"/>
      <c r="BT19" s="975"/>
      <c r="BU19" s="975"/>
      <c r="BV19" s="106"/>
      <c r="BX19" s="972" t="s">
        <v>156</v>
      </c>
      <c r="BY19" s="975"/>
      <c r="BZ19" s="975"/>
      <c r="CA19" s="975"/>
      <c r="CB19" s="975"/>
      <c r="CC19" s="975"/>
      <c r="CD19" s="975"/>
      <c r="CE19" s="106"/>
      <c r="CG19" s="972" t="s">
        <v>162</v>
      </c>
      <c r="CH19" s="975"/>
      <c r="CI19" s="975"/>
      <c r="CJ19" s="975"/>
      <c r="CK19" s="975"/>
      <c r="CL19" s="975"/>
      <c r="CM19" s="975"/>
      <c r="CN19" s="106"/>
      <c r="CP19" s="972" t="s">
        <v>166</v>
      </c>
      <c r="CQ19" s="975"/>
      <c r="CR19" s="975"/>
      <c r="CS19" s="975"/>
      <c r="CT19" s="975"/>
      <c r="CU19" s="975"/>
      <c r="CV19" s="975"/>
      <c r="CW19" s="106"/>
      <c r="CY19" s="972" t="s">
        <v>179</v>
      </c>
      <c r="CZ19" s="975"/>
      <c r="DA19" s="975"/>
      <c r="DB19" s="975"/>
      <c r="DC19" s="975"/>
      <c r="DD19" s="975"/>
      <c r="DE19" s="975"/>
      <c r="DF19" s="106"/>
    </row>
    <row r="20" spans="1:124" ht="13.8" thickBot="1">
      <c r="D20" s="183" t="s">
        <v>45</v>
      </c>
      <c r="E20" s="127"/>
      <c r="F20" s="127" t="s">
        <v>47</v>
      </c>
      <c r="G20" s="184" t="s">
        <v>48</v>
      </c>
      <c r="H20" s="184" t="s">
        <v>49</v>
      </c>
      <c r="I20" s="109" t="s">
        <v>55</v>
      </c>
      <c r="J20" s="127" t="s">
        <v>51</v>
      </c>
      <c r="K20" s="107" t="s">
        <v>52</v>
      </c>
      <c r="M20" s="108" t="s">
        <v>45</v>
      </c>
      <c r="N20" s="109"/>
      <c r="O20" s="109" t="s">
        <v>47</v>
      </c>
      <c r="P20" s="109" t="s">
        <v>48</v>
      </c>
      <c r="Q20" s="109" t="s">
        <v>49</v>
      </c>
      <c r="R20" s="109" t="s">
        <v>55</v>
      </c>
      <c r="S20" s="109" t="s">
        <v>51</v>
      </c>
      <c r="T20" s="110" t="s">
        <v>52</v>
      </c>
      <c r="V20" s="108" t="s">
        <v>45</v>
      </c>
      <c r="W20" s="109"/>
      <c r="X20" s="109" t="s">
        <v>47</v>
      </c>
      <c r="Y20" s="185" t="s">
        <v>48</v>
      </c>
      <c r="Z20" s="185" t="s">
        <v>49</v>
      </c>
      <c r="AA20" s="109" t="s">
        <v>50</v>
      </c>
      <c r="AB20" s="109" t="s">
        <v>51</v>
      </c>
      <c r="AC20" s="110" t="s">
        <v>52</v>
      </c>
      <c r="AE20" s="111" t="s">
        <v>45</v>
      </c>
      <c r="AF20" s="112"/>
      <c r="AG20" s="112" t="s">
        <v>47</v>
      </c>
      <c r="AH20" s="113" t="s">
        <v>48</v>
      </c>
      <c r="AI20" s="113" t="s">
        <v>49</v>
      </c>
      <c r="AJ20" s="113" t="s">
        <v>50</v>
      </c>
      <c r="AK20" s="112" t="s">
        <v>51</v>
      </c>
      <c r="AL20" s="110" t="s">
        <v>52</v>
      </c>
      <c r="AN20" s="108" t="s">
        <v>45</v>
      </c>
      <c r="AO20" s="109"/>
      <c r="AP20" s="109" t="s">
        <v>47</v>
      </c>
      <c r="AQ20" s="185" t="s">
        <v>48</v>
      </c>
      <c r="AR20" s="185" t="s">
        <v>49</v>
      </c>
      <c r="AS20" s="109" t="s">
        <v>50</v>
      </c>
      <c r="AT20" s="109" t="s">
        <v>51</v>
      </c>
      <c r="AU20" s="114" t="s">
        <v>52</v>
      </c>
      <c r="AW20" s="108" t="s">
        <v>45</v>
      </c>
      <c r="AX20" s="185" t="s">
        <v>63</v>
      </c>
      <c r="AY20" s="185" t="s">
        <v>47</v>
      </c>
      <c r="AZ20" s="185" t="s">
        <v>48</v>
      </c>
      <c r="BA20" s="185" t="s">
        <v>49</v>
      </c>
      <c r="BB20" s="109" t="s">
        <v>50</v>
      </c>
      <c r="BC20" s="109" t="s">
        <v>51</v>
      </c>
      <c r="BD20" s="115" t="s">
        <v>52</v>
      </c>
      <c r="BF20" s="108" t="s">
        <v>45</v>
      </c>
      <c r="BG20" s="109" t="s">
        <v>63</v>
      </c>
      <c r="BH20" s="109" t="s">
        <v>47</v>
      </c>
      <c r="BI20" s="109" t="s">
        <v>48</v>
      </c>
      <c r="BJ20" s="109" t="s">
        <v>49</v>
      </c>
      <c r="BK20" s="109" t="s">
        <v>50</v>
      </c>
      <c r="BL20" s="109" t="s">
        <v>51</v>
      </c>
      <c r="BM20" s="115" t="s">
        <v>52</v>
      </c>
      <c r="BO20" s="108" t="s">
        <v>45</v>
      </c>
      <c r="BP20" s="388" t="s">
        <v>63</v>
      </c>
      <c r="BQ20" s="388" t="s">
        <v>47</v>
      </c>
      <c r="BR20" s="388" t="s">
        <v>48</v>
      </c>
      <c r="BS20" s="388" t="s">
        <v>49</v>
      </c>
      <c r="BT20" s="388" t="s">
        <v>50</v>
      </c>
      <c r="BU20" s="388" t="s">
        <v>51</v>
      </c>
      <c r="BV20" s="115" t="s">
        <v>52</v>
      </c>
      <c r="BX20" s="108" t="s">
        <v>45</v>
      </c>
      <c r="BY20" s="388" t="s">
        <v>63</v>
      </c>
      <c r="BZ20" s="388" t="s">
        <v>47</v>
      </c>
      <c r="CA20" s="388" t="s">
        <v>48</v>
      </c>
      <c r="CB20" s="388" t="s">
        <v>49</v>
      </c>
      <c r="CC20" s="388" t="s">
        <v>50</v>
      </c>
      <c r="CD20" s="388" t="s">
        <v>51</v>
      </c>
      <c r="CE20" s="115" t="s">
        <v>52</v>
      </c>
      <c r="CG20" s="108" t="s">
        <v>45</v>
      </c>
      <c r="CH20" s="417" t="s">
        <v>63</v>
      </c>
      <c r="CI20" s="417" t="s">
        <v>47</v>
      </c>
      <c r="CJ20" s="417" t="s">
        <v>48</v>
      </c>
      <c r="CK20" s="417" t="s">
        <v>49</v>
      </c>
      <c r="CL20" s="417" t="s">
        <v>50</v>
      </c>
      <c r="CM20" s="417" t="s">
        <v>51</v>
      </c>
      <c r="CN20" s="115" t="s">
        <v>52</v>
      </c>
      <c r="CP20" s="108" t="s">
        <v>45</v>
      </c>
      <c r="CQ20" s="434" t="s">
        <v>63</v>
      </c>
      <c r="CR20" s="434" t="s">
        <v>47</v>
      </c>
      <c r="CS20" s="434" t="s">
        <v>48</v>
      </c>
      <c r="CT20" s="434" t="s">
        <v>49</v>
      </c>
      <c r="CU20" s="434" t="s">
        <v>50</v>
      </c>
      <c r="CV20" s="434" t="s">
        <v>51</v>
      </c>
      <c r="CW20" s="115" t="s">
        <v>52</v>
      </c>
      <c r="CY20" s="108" t="s">
        <v>45</v>
      </c>
      <c r="CZ20" s="458" t="s">
        <v>63</v>
      </c>
      <c r="DA20" s="458" t="s">
        <v>47</v>
      </c>
      <c r="DB20" s="458" t="s">
        <v>48</v>
      </c>
      <c r="DC20" s="458" t="s">
        <v>49</v>
      </c>
      <c r="DD20" s="458" t="s">
        <v>50</v>
      </c>
      <c r="DE20" s="458" t="s">
        <v>51</v>
      </c>
      <c r="DF20" s="115" t="s">
        <v>52</v>
      </c>
    </row>
    <row r="21" spans="1:124" ht="14.4">
      <c r="A21" s="976" t="s">
        <v>73</v>
      </c>
      <c r="B21" s="135" t="s">
        <v>3</v>
      </c>
      <c r="D21" s="136">
        <v>95835825</v>
      </c>
      <c r="E21" s="137">
        <f>E3/1.0356</f>
        <v>626894.3124758593</v>
      </c>
      <c r="F21" s="137">
        <f>28127517-E21</f>
        <v>27500622.68752414</v>
      </c>
      <c r="G21" s="137">
        <v>103812165</v>
      </c>
      <c r="H21" s="137">
        <v>69160178</v>
      </c>
      <c r="I21" s="137">
        <v>24321611</v>
      </c>
      <c r="J21" s="137">
        <v>2167609</v>
      </c>
      <c r="K21" s="138">
        <f>SUM(D21:J21)</f>
        <v>323424905</v>
      </c>
      <c r="M21" s="136">
        <v>96701007</v>
      </c>
      <c r="N21" s="137">
        <f>N3/1.0356</f>
        <v>484791.82760396547</v>
      </c>
      <c r="O21" s="137">
        <f>25682590-N21</f>
        <v>25197798.172396034</v>
      </c>
      <c r="P21" s="137">
        <v>104152932</v>
      </c>
      <c r="Q21" s="137">
        <v>73017395</v>
      </c>
      <c r="R21" s="137">
        <v>24578604</v>
      </c>
      <c r="S21" s="137">
        <v>2339198</v>
      </c>
      <c r="T21" s="186">
        <f>SUM(M21:S21)</f>
        <v>326471726</v>
      </c>
      <c r="V21" s="187">
        <v>101234974</v>
      </c>
      <c r="W21" s="139">
        <f>W3/1.0356</f>
        <v>460680.92571134283</v>
      </c>
      <c r="X21" s="139">
        <f>26874345-W21</f>
        <v>26413664.074288659</v>
      </c>
      <c r="Y21" s="137">
        <v>90654817</v>
      </c>
      <c r="Z21" s="137">
        <v>74924606</v>
      </c>
      <c r="AA21" s="139">
        <v>25094959</v>
      </c>
      <c r="AB21" s="139">
        <v>2257824</v>
      </c>
      <c r="AC21" s="186">
        <f>SUM(V21:AB21)</f>
        <v>321041525</v>
      </c>
      <c r="AE21" s="188">
        <v>99098156</v>
      </c>
      <c r="AF21" s="189">
        <f>AF3/1.0356</f>
        <v>444104.46440066944</v>
      </c>
      <c r="AG21" s="189">
        <f>26957408-AF21</f>
        <v>26513303.535599332</v>
      </c>
      <c r="AH21" s="190">
        <v>91598247</v>
      </c>
      <c r="AI21" s="190">
        <v>80351606</v>
      </c>
      <c r="AJ21" s="189">
        <v>26051891</v>
      </c>
      <c r="AK21" s="189">
        <v>2465885</v>
      </c>
      <c r="AL21" s="191">
        <f>SUM(AE21:AK21)</f>
        <v>326523193</v>
      </c>
      <c r="AN21" s="187">
        <v>93324931</v>
      </c>
      <c r="AO21" s="139">
        <f>AO3/1.0356</f>
        <v>420633.28827088961</v>
      </c>
      <c r="AP21" s="139">
        <f>24640007-AO21</f>
        <v>24219373.711729109</v>
      </c>
      <c r="AQ21" s="137">
        <v>95911347</v>
      </c>
      <c r="AR21" s="137">
        <v>77853629</v>
      </c>
      <c r="AS21" s="139">
        <v>23770616</v>
      </c>
      <c r="AT21" s="139">
        <v>2597035</v>
      </c>
      <c r="AU21" s="142">
        <f>SUM(AN21:AT21)</f>
        <v>318097565</v>
      </c>
      <c r="AW21" s="187">
        <v>98298864</v>
      </c>
      <c r="AX21" s="137">
        <f>AX3/1.0356</f>
        <v>424224.52362559544</v>
      </c>
      <c r="AY21" s="137">
        <f>AY3/1.0356</f>
        <v>25206254.425775714</v>
      </c>
      <c r="AZ21" s="137">
        <v>99426718</v>
      </c>
      <c r="BA21" s="137">
        <v>72624514</v>
      </c>
      <c r="BB21" s="192">
        <v>32568557</v>
      </c>
      <c r="BC21" s="139">
        <v>2827340</v>
      </c>
      <c r="BD21" s="186">
        <f>SUM(AW21:BC21)</f>
        <v>331376471.94940132</v>
      </c>
      <c r="BF21" s="193">
        <v>114929995</v>
      </c>
      <c r="BG21" s="194">
        <f>BG3/1.0356</f>
        <v>425415.37916827603</v>
      </c>
      <c r="BH21" s="194">
        <f>28253380-BG21</f>
        <v>27827964.620831724</v>
      </c>
      <c r="BI21" s="194">
        <v>98470898</v>
      </c>
      <c r="BJ21" s="194">
        <v>62466253</v>
      </c>
      <c r="BK21" s="192">
        <v>30269110</v>
      </c>
      <c r="BL21" s="192">
        <v>2869091</v>
      </c>
      <c r="BM21" s="186">
        <f>SUM(BF21:BL21)</f>
        <v>337258727</v>
      </c>
      <c r="BO21" s="193">
        <v>115936614</v>
      </c>
      <c r="BP21" s="194">
        <f>427684</f>
        <v>427684</v>
      </c>
      <c r="BQ21" s="492">
        <f>28800074-BP21</f>
        <v>28372390</v>
      </c>
      <c r="BR21" s="194">
        <f>BR3/1.0356</f>
        <v>96123914.638856694</v>
      </c>
      <c r="BS21" s="194">
        <f>BS3/1.0347</f>
        <v>66284247.60800232</v>
      </c>
      <c r="BT21" s="192">
        <v>29524066</v>
      </c>
      <c r="BU21" s="192">
        <v>3011418</v>
      </c>
      <c r="BV21" s="186">
        <f>SUM(BO21:BU21)</f>
        <v>339680334.24685901</v>
      </c>
      <c r="BW21" s="169"/>
      <c r="BX21" s="193">
        <v>116217600</v>
      </c>
      <c r="BY21" s="169">
        <v>443961</v>
      </c>
      <c r="BZ21" s="194">
        <f>28660738</f>
        <v>28660738</v>
      </c>
      <c r="CA21" s="194">
        <f>CA3/1.0356</f>
        <v>96571704.325994581</v>
      </c>
      <c r="CB21" s="194">
        <v>68233020</v>
      </c>
      <c r="CC21" s="192">
        <v>31793026</v>
      </c>
      <c r="CD21" s="192">
        <f>CD3/1.0356</f>
        <v>3141742.950946311</v>
      </c>
      <c r="CE21" s="186">
        <f>SUM(BX21:CD21)</f>
        <v>345061792.27694094</v>
      </c>
      <c r="CF21" s="606"/>
      <c r="CG21" s="193">
        <v>108208512</v>
      </c>
      <c r="CH21" s="169">
        <v>461087</v>
      </c>
      <c r="CI21" s="194">
        <f>28500291-973.51</f>
        <v>28499317.489999998</v>
      </c>
      <c r="CJ21" s="194">
        <v>95663961</v>
      </c>
      <c r="CK21" s="194">
        <f>CK3/1.034</f>
        <v>69113593.911392644</v>
      </c>
      <c r="CL21" s="192">
        <v>32788875</v>
      </c>
      <c r="CM21" s="192">
        <v>3287206</v>
      </c>
      <c r="CN21" s="186">
        <f>SUM(CG21:CM21)</f>
        <v>338022552.40139264</v>
      </c>
      <c r="CO21" s="169"/>
      <c r="CP21" s="193">
        <v>111199839</v>
      </c>
      <c r="CQ21" s="169">
        <v>468892</v>
      </c>
      <c r="CR21" s="194">
        <f>29691159-4469.73</f>
        <v>29686689.27</v>
      </c>
      <c r="CS21" s="194">
        <v>94942004</v>
      </c>
      <c r="CT21" s="194">
        <f>CT3/1.034</f>
        <v>71459698.292243719</v>
      </c>
      <c r="CU21" s="192">
        <f>CU3/1.0128</f>
        <v>31628521.91943128</v>
      </c>
      <c r="CV21" s="192">
        <v>3308893</v>
      </c>
      <c r="CW21" s="186">
        <f>SUM(CP21:CV21)</f>
        <v>342694537.48167497</v>
      </c>
      <c r="CX21" s="169"/>
      <c r="CY21" s="419"/>
      <c r="CZ21" s="494"/>
      <c r="DA21" s="492"/>
      <c r="DB21" s="492"/>
      <c r="DC21" s="492"/>
      <c r="DD21" s="490"/>
      <c r="DE21" s="490"/>
      <c r="DF21" s="497"/>
      <c r="DH21" s="540"/>
      <c r="DI21" s="540"/>
      <c r="DJ21" s="540"/>
      <c r="DK21" s="540"/>
      <c r="DL21" s="540"/>
      <c r="DM21" s="540"/>
      <c r="DN21" s="540"/>
      <c r="DO21" s="540"/>
      <c r="DP21" s="540"/>
      <c r="DQ21" s="540"/>
      <c r="DR21" s="540"/>
      <c r="DS21" s="540"/>
    </row>
    <row r="22" spans="1:124" ht="14.4">
      <c r="A22" s="977"/>
      <c r="B22" s="140" t="s">
        <v>4</v>
      </c>
      <c r="D22" s="136">
        <v>80671677</v>
      </c>
      <c r="E22" s="137">
        <f t="shared" ref="E22:E32" si="33">E4/1.0356</f>
        <v>626894.3124758593</v>
      </c>
      <c r="F22" s="137">
        <f>25275915-E22</f>
        <v>24649020.68752414</v>
      </c>
      <c r="G22" s="137">
        <v>89968164</v>
      </c>
      <c r="H22" s="137">
        <v>64846317</v>
      </c>
      <c r="I22" s="137">
        <v>23902704</v>
      </c>
      <c r="J22" s="137">
        <v>1773999</v>
      </c>
      <c r="K22" s="138">
        <f t="shared" ref="K22:K32" si="34">SUM(D22:J22)</f>
        <v>286438776</v>
      </c>
      <c r="M22" s="136">
        <v>84634130</v>
      </c>
      <c r="N22" s="137">
        <f t="shared" ref="N22:N32" si="35">N4/1.0356</f>
        <v>484791.82760396547</v>
      </c>
      <c r="O22" s="137">
        <f>25086114-N22</f>
        <v>24601322.172396034</v>
      </c>
      <c r="P22" s="137">
        <v>83963274</v>
      </c>
      <c r="Q22" s="137">
        <v>74304829</v>
      </c>
      <c r="R22" s="137">
        <v>21771023</v>
      </c>
      <c r="S22" s="137">
        <v>1849275</v>
      </c>
      <c r="T22" s="186">
        <f t="shared" ref="T22:T32" si="36">SUM(M22:S22)</f>
        <v>291608645</v>
      </c>
      <c r="V22" s="187">
        <v>86270169</v>
      </c>
      <c r="W22" s="139">
        <f t="shared" ref="W22:W32" si="37">W4/1.0356</f>
        <v>460680.92571134283</v>
      </c>
      <c r="X22" s="139">
        <f>24670432-W22</f>
        <v>24209751.074288659</v>
      </c>
      <c r="Y22" s="137">
        <v>92165629</v>
      </c>
      <c r="Z22" s="137">
        <v>72579489</v>
      </c>
      <c r="AA22" s="139">
        <v>22740386</v>
      </c>
      <c r="AB22" s="139">
        <v>1879556</v>
      </c>
      <c r="AC22" s="186">
        <f t="shared" ref="AC22:AC32" si="38">SUM(V22:AB22)</f>
        <v>300305661</v>
      </c>
      <c r="AE22" s="187">
        <v>83891377</v>
      </c>
      <c r="AF22" s="139">
        <f t="shared" ref="AF22:AF32" si="39">AF4/1.0356</f>
        <v>444104.46440066944</v>
      </c>
      <c r="AG22" s="139">
        <f>24936866-AF22</f>
        <v>24492761.535599332</v>
      </c>
      <c r="AH22" s="137">
        <v>90313357</v>
      </c>
      <c r="AI22" s="137">
        <v>74771505</v>
      </c>
      <c r="AJ22" s="139">
        <v>27070685</v>
      </c>
      <c r="AK22" s="139">
        <v>2039790</v>
      </c>
      <c r="AL22" s="186">
        <f t="shared" ref="AL22:AL32" si="40">SUM(AE22:AK22)</f>
        <v>303023580</v>
      </c>
      <c r="AN22" s="187">
        <v>102062229</v>
      </c>
      <c r="AO22" s="139">
        <f t="shared" ref="AO22:AO32" si="41">AO4/1.0356</f>
        <v>420633.28827088961</v>
      </c>
      <c r="AP22" s="139">
        <f>28377829-AO22</f>
        <v>27957195.711729109</v>
      </c>
      <c r="AQ22" s="137">
        <v>94972993</v>
      </c>
      <c r="AR22" s="137">
        <v>73118979</v>
      </c>
      <c r="AS22" s="139">
        <v>25339626</v>
      </c>
      <c r="AT22" s="139">
        <v>2210122</v>
      </c>
      <c r="AU22" s="142">
        <f t="shared" ref="AU22:AU32" si="42">SUM(AN22:AT22)</f>
        <v>326081778</v>
      </c>
      <c r="AW22" s="187">
        <v>99820177</v>
      </c>
      <c r="AX22" s="137">
        <f t="shared" ref="AX22:AY32" si="43">AX4/1.0356</f>
        <v>424224.52362559544</v>
      </c>
      <c r="AY22" s="137">
        <f t="shared" si="43"/>
        <v>26807279.918243848</v>
      </c>
      <c r="AZ22" s="137">
        <v>95476489</v>
      </c>
      <c r="BA22" s="137">
        <v>67965868</v>
      </c>
      <c r="BB22" s="139">
        <v>32447847</v>
      </c>
      <c r="BC22" s="139">
        <v>2406102</v>
      </c>
      <c r="BD22" s="186">
        <f>SUM(AW22:BC22)</f>
        <v>325347987.44186944</v>
      </c>
      <c r="BF22" s="193">
        <v>100314756</v>
      </c>
      <c r="BG22" s="194">
        <f t="shared" ref="BG22:BG32" si="44">BG4/1.0356</f>
        <v>425415.37916827603</v>
      </c>
      <c r="BH22" s="194">
        <f>26918095-BG22</f>
        <v>26492679.620831724</v>
      </c>
      <c r="BI22" s="194">
        <v>89223138</v>
      </c>
      <c r="BJ22" s="194">
        <v>59894713</v>
      </c>
      <c r="BK22" s="195">
        <v>27575448</v>
      </c>
      <c r="BL22" s="195">
        <v>2376729</v>
      </c>
      <c r="BM22" s="186">
        <f>SUM(BF22:BL22)</f>
        <v>306302879</v>
      </c>
      <c r="BO22" s="193">
        <v>95071567</v>
      </c>
      <c r="BP22" s="194">
        <v>428104</v>
      </c>
      <c r="BQ22" s="194">
        <f>25620838-BP22</f>
        <v>25192734</v>
      </c>
      <c r="BR22" s="194">
        <f>BR4/1.0356</f>
        <v>88642264.38779451</v>
      </c>
      <c r="BS22" s="194">
        <f>BS4/1.0347</f>
        <v>63108855.706968203</v>
      </c>
      <c r="BT22" s="192">
        <v>29184283</v>
      </c>
      <c r="BU22" s="192">
        <v>2497279</v>
      </c>
      <c r="BV22" s="186">
        <f>SUM(BO22:BU22)</f>
        <v>304125087.09476268</v>
      </c>
      <c r="BW22" s="169"/>
      <c r="BX22" s="193">
        <v>100080874</v>
      </c>
      <c r="BY22" s="169">
        <v>447206</v>
      </c>
      <c r="BZ22" s="194">
        <f>27288903-18.26</f>
        <v>27288884.739999998</v>
      </c>
      <c r="CA22" s="194">
        <f>CA4/1.0356</f>
        <v>91417001.738122821</v>
      </c>
      <c r="CB22" s="492">
        <v>62136860</v>
      </c>
      <c r="CC22" s="490">
        <v>30333719</v>
      </c>
      <c r="CD22" s="192">
        <f>CD4/1.0356</f>
        <v>2634226.5353418305</v>
      </c>
      <c r="CE22" s="186">
        <f>SUM(BX22:CD22)</f>
        <v>314338772.01346469</v>
      </c>
      <c r="CF22" s="169"/>
      <c r="CG22" s="193">
        <v>97072673</v>
      </c>
      <c r="CH22" s="169">
        <v>461208</v>
      </c>
      <c r="CI22" s="194">
        <f>27867725-812.15</f>
        <v>27866912.850000001</v>
      </c>
      <c r="CJ22" s="194">
        <v>91572994</v>
      </c>
      <c r="CK22" s="492">
        <f t="shared" ref="CK22:CK32" si="45">CK4/1.034</f>
        <v>66557411.305899411</v>
      </c>
      <c r="CL22" s="192">
        <v>30517108</v>
      </c>
      <c r="CM22" s="192">
        <v>2839289</v>
      </c>
      <c r="CN22" s="186">
        <f>SUM(CG22:CM22)</f>
        <v>316887596.15589941</v>
      </c>
      <c r="CO22" s="169"/>
      <c r="CP22" s="193">
        <v>102221503</v>
      </c>
      <c r="CQ22" s="169">
        <v>470101</v>
      </c>
      <c r="CR22" s="194">
        <f>28092392-4871.02</f>
        <v>28087520.98</v>
      </c>
      <c r="CS22" s="194">
        <v>90665931</v>
      </c>
      <c r="CT22" s="194">
        <f>CT4/1.034</f>
        <v>64722605.4302321</v>
      </c>
      <c r="CU22" s="490">
        <f t="shared" ref="CU22:CU32" si="46">CU4/1.0128</f>
        <v>29541449.447077412</v>
      </c>
      <c r="CV22" s="192">
        <v>2741138</v>
      </c>
      <c r="CW22" s="186">
        <f>SUM(CP22:CV22)</f>
        <v>318450248.85730952</v>
      </c>
      <c r="CX22" s="169"/>
      <c r="CY22" s="419"/>
      <c r="CZ22" s="494"/>
      <c r="DA22" s="492"/>
      <c r="DB22" s="492"/>
      <c r="DC22" s="492"/>
      <c r="DD22" s="490"/>
      <c r="DE22" s="490"/>
      <c r="DF22" s="497"/>
      <c r="DH22" s="540"/>
      <c r="DI22" s="540"/>
      <c r="DJ22" s="540"/>
      <c r="DK22" s="540"/>
      <c r="DL22" s="540"/>
      <c r="DM22" s="540"/>
      <c r="DN22" s="540"/>
      <c r="DO22" s="540"/>
      <c r="DP22" s="540"/>
      <c r="DQ22" s="540"/>
      <c r="DR22" s="540"/>
      <c r="DS22" s="540"/>
    </row>
    <row r="23" spans="1:124" ht="14.4">
      <c r="A23" s="977"/>
      <c r="B23" s="140" t="s">
        <v>5</v>
      </c>
      <c r="D23" s="136">
        <v>76572741</v>
      </c>
      <c r="E23" s="137">
        <f t="shared" si="33"/>
        <v>626894.3124758593</v>
      </c>
      <c r="F23" s="137">
        <f>23220333-E23</f>
        <v>22593438.68752414</v>
      </c>
      <c r="G23" s="137">
        <v>79323772</v>
      </c>
      <c r="H23" s="137">
        <v>71031338</v>
      </c>
      <c r="I23" s="137">
        <v>27167404</v>
      </c>
      <c r="J23" s="137">
        <v>1628909</v>
      </c>
      <c r="K23" s="138">
        <f t="shared" si="34"/>
        <v>278944497</v>
      </c>
      <c r="M23" s="136">
        <v>69375982</v>
      </c>
      <c r="N23" s="137">
        <f t="shared" si="35"/>
        <v>484791.82760396547</v>
      </c>
      <c r="O23" s="137">
        <f>20775421-N23</f>
        <v>20290629.172396034</v>
      </c>
      <c r="P23" s="137">
        <v>89046198</v>
      </c>
      <c r="Q23" s="137">
        <v>80322284</v>
      </c>
      <c r="R23" s="137">
        <v>24117744</v>
      </c>
      <c r="S23" s="137">
        <v>2000209</v>
      </c>
      <c r="T23" s="186">
        <f t="shared" si="36"/>
        <v>285637838</v>
      </c>
      <c r="V23" s="187">
        <v>79078475</v>
      </c>
      <c r="W23" s="139">
        <f t="shared" si="37"/>
        <v>460680.92571134283</v>
      </c>
      <c r="X23" s="139">
        <f>23817650-W23</f>
        <v>23356969.074288659</v>
      </c>
      <c r="Y23" s="137">
        <v>90387744</v>
      </c>
      <c r="Z23" s="137">
        <v>77590145</v>
      </c>
      <c r="AA23" s="139">
        <v>24524462</v>
      </c>
      <c r="AB23" s="139">
        <v>1857430</v>
      </c>
      <c r="AC23" s="186">
        <f t="shared" si="38"/>
        <v>297255906</v>
      </c>
      <c r="AE23" s="187">
        <v>81086349</v>
      </c>
      <c r="AF23" s="139">
        <f t="shared" si="39"/>
        <v>444104.46440066944</v>
      </c>
      <c r="AG23" s="139">
        <f>23434643-AF23</f>
        <v>22990538.535599332</v>
      </c>
      <c r="AH23" s="137">
        <v>91752478</v>
      </c>
      <c r="AI23" s="137">
        <v>80344445</v>
      </c>
      <c r="AJ23" s="139">
        <v>29502183</v>
      </c>
      <c r="AK23" s="139">
        <v>2022520</v>
      </c>
      <c r="AL23" s="186">
        <f t="shared" si="40"/>
        <v>308142618</v>
      </c>
      <c r="AN23" s="187">
        <v>86850778</v>
      </c>
      <c r="AO23" s="139">
        <f t="shared" si="41"/>
        <v>420633.28827088961</v>
      </c>
      <c r="AP23" s="139">
        <f>25284293-AO23</f>
        <v>24863659.711729109</v>
      </c>
      <c r="AQ23" s="137">
        <v>93117826</v>
      </c>
      <c r="AR23" s="137">
        <v>79729465</v>
      </c>
      <c r="AS23" s="139">
        <v>30153865</v>
      </c>
      <c r="AT23" s="139">
        <v>2254548</v>
      </c>
      <c r="AU23" s="142">
        <f t="shared" si="42"/>
        <v>317390775</v>
      </c>
      <c r="AW23" s="187">
        <v>94278896</v>
      </c>
      <c r="AX23" s="137">
        <f t="shared" si="43"/>
        <v>424224.52362559544</v>
      </c>
      <c r="AY23" s="137">
        <f t="shared" si="43"/>
        <v>25884912.208703484</v>
      </c>
      <c r="AZ23" s="137">
        <v>96883508</v>
      </c>
      <c r="BA23" s="137">
        <v>70985734</v>
      </c>
      <c r="BB23" s="139">
        <v>31810008</v>
      </c>
      <c r="BC23" s="139">
        <v>2341364</v>
      </c>
      <c r="BD23" s="186">
        <f t="shared" ref="BD23:BD32" si="47">SUM(AW23:BC23)</f>
        <v>322608646.73232907</v>
      </c>
      <c r="BF23" s="193">
        <v>84993353</v>
      </c>
      <c r="BG23" s="194">
        <f t="shared" si="44"/>
        <v>425415.37916827603</v>
      </c>
      <c r="BH23" s="194">
        <f>23453242-BG23</f>
        <v>23027826.620831724</v>
      </c>
      <c r="BI23" s="194">
        <v>93267497</v>
      </c>
      <c r="BJ23" s="194">
        <v>66945485</v>
      </c>
      <c r="BK23" s="195">
        <v>30119516</v>
      </c>
      <c r="BL23" s="195">
        <v>2368403</v>
      </c>
      <c r="BM23" s="186">
        <f t="shared" ref="BM23:BM32" si="48">SUM(BF23:BL23)</f>
        <v>301147496</v>
      </c>
      <c r="BO23" s="193">
        <v>84364665</v>
      </c>
      <c r="BP23" s="194">
        <v>428104</v>
      </c>
      <c r="BQ23" s="194">
        <f>23272568-BP23</f>
        <v>22844464</v>
      </c>
      <c r="BR23" s="492">
        <f t="shared" ref="BR23:BR31" si="49">BR5/1.0356</f>
        <v>93339488.219389722</v>
      </c>
      <c r="BS23" s="492">
        <f t="shared" ref="BS23:BS32" si="50">BS5/1.0347</f>
        <v>71230093.746979803</v>
      </c>
      <c r="BT23" s="192">
        <v>30481056</v>
      </c>
      <c r="BU23" s="192">
        <v>2455811</v>
      </c>
      <c r="BV23" s="186">
        <f t="shared" ref="BV23:BV32" si="51">SUM(BO23:BU23)</f>
        <v>305143681.96636951</v>
      </c>
      <c r="BW23" s="169"/>
      <c r="BX23" s="193">
        <v>89706044</v>
      </c>
      <c r="BY23" s="169">
        <v>448445</v>
      </c>
      <c r="BZ23" s="194">
        <f>25701449-131.31</f>
        <v>25701317.690000001</v>
      </c>
      <c r="CA23" s="492">
        <f t="shared" ref="CA23:CA25" si="52">CA5/1.0356</f>
        <v>94301599.073001146</v>
      </c>
      <c r="CB23" s="492">
        <v>70949028</v>
      </c>
      <c r="CC23" s="490">
        <v>33307430</v>
      </c>
      <c r="CD23" s="192">
        <v>2594092</v>
      </c>
      <c r="CE23" s="186">
        <f t="shared" ref="CE23:CE32" si="53">SUM(BX23:CD23)</f>
        <v>317007955.76300114</v>
      </c>
      <c r="CF23" s="169"/>
      <c r="CG23" s="193">
        <v>89190934</v>
      </c>
      <c r="CH23" s="169">
        <v>462034</v>
      </c>
      <c r="CI23" s="194">
        <f>25947795-680.28</f>
        <v>25947114.719999999</v>
      </c>
      <c r="CJ23" s="194">
        <v>90805950</v>
      </c>
      <c r="CK23" s="492">
        <f t="shared" si="45"/>
        <v>71662970.287214696</v>
      </c>
      <c r="CL23" s="192">
        <v>33332436</v>
      </c>
      <c r="CM23" s="192">
        <v>2690908</v>
      </c>
      <c r="CN23" s="186">
        <f t="shared" ref="CN23:CN32" si="54">SUM(CG23:CM23)</f>
        <v>314092347.00721467</v>
      </c>
      <c r="CO23" s="169"/>
      <c r="CP23" s="193">
        <v>89749366</v>
      </c>
      <c r="CQ23" s="169">
        <v>482548</v>
      </c>
      <c r="CR23" s="194">
        <f>26260144-3378.48</f>
        <v>26256765.52</v>
      </c>
      <c r="CS23" s="194">
        <v>90299732</v>
      </c>
      <c r="CT23" s="492">
        <f t="shared" ref="CT23:CT27" si="55">CT5/1.034</f>
        <v>70772158.426034808</v>
      </c>
      <c r="CU23" s="490">
        <f t="shared" si="46"/>
        <v>31575793.838862561</v>
      </c>
      <c r="CV23" s="192">
        <v>2721005</v>
      </c>
      <c r="CW23" s="186">
        <f t="shared" ref="CW23:CW32" si="56">SUM(CP23:CV23)</f>
        <v>311857368.78489733</v>
      </c>
      <c r="CX23" s="169"/>
      <c r="CY23" s="419"/>
      <c r="CZ23" s="494"/>
      <c r="DA23" s="492"/>
      <c r="DB23" s="492"/>
      <c r="DC23" s="492"/>
      <c r="DD23" s="490"/>
      <c r="DE23" s="490"/>
      <c r="DF23" s="497"/>
      <c r="DH23" s="540"/>
      <c r="DI23" s="540"/>
      <c r="DJ23" s="540"/>
      <c r="DK23" s="540"/>
      <c r="DL23" s="540"/>
      <c r="DM23" s="540"/>
      <c r="DN23" s="540"/>
      <c r="DO23" s="540"/>
      <c r="DP23" s="540"/>
      <c r="DQ23" s="540"/>
      <c r="DR23" s="540"/>
      <c r="DS23" s="540"/>
    </row>
    <row r="24" spans="1:124" ht="14.4">
      <c r="A24" s="977"/>
      <c r="B24" s="140" t="s">
        <v>6</v>
      </c>
      <c r="D24" s="136">
        <v>67295647</v>
      </c>
      <c r="E24" s="137">
        <f t="shared" si="33"/>
        <v>626894.3124758593</v>
      </c>
      <c r="F24" s="137">
        <f>21540629-E24</f>
        <v>20913734.68752414</v>
      </c>
      <c r="G24" s="137">
        <v>80475757</v>
      </c>
      <c r="H24" s="137">
        <v>67817496</v>
      </c>
      <c r="I24" s="137">
        <v>25659378</v>
      </c>
      <c r="J24" s="137">
        <v>1480278</v>
      </c>
      <c r="K24" s="138">
        <f t="shared" si="34"/>
        <v>264269185</v>
      </c>
      <c r="M24" s="136">
        <v>79242185</v>
      </c>
      <c r="N24" s="137">
        <f t="shared" si="35"/>
        <v>484791.82760396547</v>
      </c>
      <c r="O24" s="137">
        <f>23794928-N24</f>
        <v>23310136.172396034</v>
      </c>
      <c r="P24" s="137">
        <v>79944927</v>
      </c>
      <c r="Q24" s="418">
        <v>75390619</v>
      </c>
      <c r="R24" s="137">
        <v>23754703</v>
      </c>
      <c r="S24" s="137">
        <v>1508069</v>
      </c>
      <c r="T24" s="186">
        <f t="shared" si="36"/>
        <v>283635431</v>
      </c>
      <c r="V24" s="187">
        <v>79227360</v>
      </c>
      <c r="W24" s="139">
        <f t="shared" si="37"/>
        <v>460680.92571134283</v>
      </c>
      <c r="X24" s="139">
        <f>23927789-W24</f>
        <v>23467108.074288659</v>
      </c>
      <c r="Y24" s="137">
        <v>82584190</v>
      </c>
      <c r="Z24" s="137">
        <v>76171266</v>
      </c>
      <c r="AA24" s="139">
        <v>24015019</v>
      </c>
      <c r="AB24" s="139">
        <v>1585420</v>
      </c>
      <c r="AC24" s="186">
        <f t="shared" si="38"/>
        <v>287511044</v>
      </c>
      <c r="AE24" s="187">
        <v>84382703</v>
      </c>
      <c r="AF24" s="139">
        <f t="shared" si="39"/>
        <v>444104.46440066944</v>
      </c>
      <c r="AG24" s="139">
        <f>25087375-AF24</f>
        <v>24643270.535599332</v>
      </c>
      <c r="AH24" s="137">
        <v>82208593</v>
      </c>
      <c r="AI24" s="137">
        <v>72405270</v>
      </c>
      <c r="AJ24" s="139">
        <v>28117133</v>
      </c>
      <c r="AK24" s="139">
        <v>1723011</v>
      </c>
      <c r="AL24" s="186">
        <f t="shared" si="40"/>
        <v>293924085</v>
      </c>
      <c r="AN24" s="187">
        <v>82765241</v>
      </c>
      <c r="AO24" s="139">
        <f t="shared" si="41"/>
        <v>420633.28827088961</v>
      </c>
      <c r="AP24" s="139">
        <f>24580702-AO24</f>
        <v>24160068.711729109</v>
      </c>
      <c r="AQ24" s="137">
        <v>87593869</v>
      </c>
      <c r="AR24" s="137">
        <v>75294861</v>
      </c>
      <c r="AS24" s="139">
        <v>27511916</v>
      </c>
      <c r="AT24" s="139">
        <v>1961368</v>
      </c>
      <c r="AU24" s="142">
        <f t="shared" si="42"/>
        <v>299707957</v>
      </c>
      <c r="AW24" s="187">
        <v>74766344</v>
      </c>
      <c r="AX24" s="137">
        <f t="shared" si="43"/>
        <v>424224.52362559544</v>
      </c>
      <c r="AY24" s="137">
        <f t="shared" si="43"/>
        <v>21633559.369769536</v>
      </c>
      <c r="AZ24" s="137">
        <v>90044170</v>
      </c>
      <c r="BA24" s="137">
        <v>75279546</v>
      </c>
      <c r="BB24" s="139">
        <v>30898996</v>
      </c>
      <c r="BC24" s="192">
        <v>1940139</v>
      </c>
      <c r="BD24" s="186">
        <f t="shared" si="47"/>
        <v>294986978.89339513</v>
      </c>
      <c r="BF24" s="193">
        <v>89892055</v>
      </c>
      <c r="BG24" s="194">
        <f t="shared" si="44"/>
        <v>425415.37916827603</v>
      </c>
      <c r="BH24" s="194">
        <f>24389784-BG24</f>
        <v>23964368.620831724</v>
      </c>
      <c r="BI24" s="194">
        <v>85881705</v>
      </c>
      <c r="BJ24" s="194">
        <v>62607105</v>
      </c>
      <c r="BK24" s="195">
        <v>27295581</v>
      </c>
      <c r="BL24" s="196">
        <v>1986143</v>
      </c>
      <c r="BM24" s="186">
        <f t="shared" si="48"/>
        <v>292052373</v>
      </c>
      <c r="BO24" s="193">
        <v>93307183</v>
      </c>
      <c r="BP24" s="194">
        <v>428104</v>
      </c>
      <c r="BQ24" s="194">
        <f>25644929</f>
        <v>25644929</v>
      </c>
      <c r="BR24" s="492">
        <f t="shared" si="49"/>
        <v>84923497.489378139</v>
      </c>
      <c r="BS24" s="492">
        <f t="shared" si="50"/>
        <v>68542960.278341547</v>
      </c>
      <c r="BT24" s="192">
        <v>30005821</v>
      </c>
      <c r="BU24" s="192">
        <v>2064728</v>
      </c>
      <c r="BV24" s="186">
        <f t="shared" si="51"/>
        <v>304917222.76771969</v>
      </c>
      <c r="BW24" s="169"/>
      <c r="BX24" s="193">
        <v>91242777</v>
      </c>
      <c r="BY24" s="169">
        <v>455043</v>
      </c>
      <c r="BZ24" s="194">
        <f>25742524-107.94</f>
        <v>25742416.059999999</v>
      </c>
      <c r="CA24" s="492">
        <f t="shared" si="52"/>
        <v>85500305.137118578</v>
      </c>
      <c r="CB24" s="492">
        <f t="shared" ref="CB24:CB25" si="57">CB6/1.0347</f>
        <v>64981266.067459174</v>
      </c>
      <c r="CC24" s="490">
        <v>31651989</v>
      </c>
      <c r="CD24" s="192">
        <v>2186252</v>
      </c>
      <c r="CE24" s="186">
        <f t="shared" si="53"/>
        <v>301760048.26457775</v>
      </c>
      <c r="CF24" s="169"/>
      <c r="CG24" s="193">
        <v>89393464</v>
      </c>
      <c r="CH24" s="169">
        <v>462034</v>
      </c>
      <c r="CI24" s="192">
        <f>25444652-587.32</f>
        <v>25444064.68</v>
      </c>
      <c r="CJ24" s="192">
        <v>84070883</v>
      </c>
      <c r="CK24" s="492">
        <f t="shared" si="45"/>
        <v>68890621.672301739</v>
      </c>
      <c r="CL24" s="490">
        <v>31624794</v>
      </c>
      <c r="CM24" s="192">
        <v>2232771</v>
      </c>
      <c r="CN24" s="186">
        <f t="shared" si="54"/>
        <v>302118632.35230172</v>
      </c>
      <c r="CO24" s="169"/>
      <c r="CP24" s="193">
        <v>96834279</v>
      </c>
      <c r="CQ24" s="489">
        <v>473635</v>
      </c>
      <c r="CR24" s="194">
        <f>27553679-2703.79</f>
        <v>27550975.210000001</v>
      </c>
      <c r="CS24" s="192">
        <f t="shared" ref="CS24:CS29" si="58">CS6/1.0349</f>
        <v>87449196.057590112</v>
      </c>
      <c r="CT24" s="492">
        <f t="shared" si="55"/>
        <v>72992964.55253385</v>
      </c>
      <c r="CU24" s="490">
        <f t="shared" si="46"/>
        <v>30034144.944707744</v>
      </c>
      <c r="CV24" s="192">
        <f t="shared" ref="CV24:CV32" si="59">CV6/1.0349</f>
        <v>2283513.3829355496</v>
      </c>
      <c r="CW24" s="186">
        <f t="shared" si="56"/>
        <v>317618708.14776725</v>
      </c>
      <c r="CX24" s="169"/>
      <c r="CY24" s="419"/>
      <c r="CZ24" s="494"/>
      <c r="DA24" s="492"/>
      <c r="DB24" s="490"/>
      <c r="DC24" s="490"/>
      <c r="DD24" s="490"/>
      <c r="DE24" s="490"/>
      <c r="DF24" s="497"/>
      <c r="DH24" s="540"/>
      <c r="DI24" s="540"/>
      <c r="DJ24" s="540"/>
      <c r="DK24" s="540"/>
      <c r="DL24" s="540"/>
      <c r="DM24" s="540"/>
      <c r="DN24" s="540"/>
      <c r="DO24" s="540"/>
      <c r="DP24" s="540"/>
      <c r="DQ24" s="540"/>
      <c r="DR24" s="540"/>
      <c r="DS24" s="540"/>
    </row>
    <row r="25" spans="1:124" ht="14.4">
      <c r="A25" s="977"/>
      <c r="B25" s="140" t="s">
        <v>7</v>
      </c>
      <c r="D25" s="136">
        <v>63501813</v>
      </c>
      <c r="E25" s="137">
        <f t="shared" si="33"/>
        <v>626894.3124758593</v>
      </c>
      <c r="F25" s="137">
        <f>20023005-E25</f>
        <v>19396110.68752414</v>
      </c>
      <c r="G25" s="137">
        <v>86801807</v>
      </c>
      <c r="H25" s="137">
        <v>71284663</v>
      </c>
      <c r="I25" s="137">
        <v>25865193</v>
      </c>
      <c r="J25" s="137">
        <v>1335937</v>
      </c>
      <c r="K25" s="138">
        <f t="shared" si="34"/>
        <v>268812418</v>
      </c>
      <c r="M25" s="136">
        <v>67850931</v>
      </c>
      <c r="N25" s="137">
        <f t="shared" si="35"/>
        <v>484791.82760396547</v>
      </c>
      <c r="O25" s="137">
        <f>21335803-N25</f>
        <v>20851011.172396034</v>
      </c>
      <c r="P25" s="137">
        <v>82213387</v>
      </c>
      <c r="Q25" s="137">
        <v>76802256</v>
      </c>
      <c r="R25" s="137">
        <v>25169090</v>
      </c>
      <c r="S25" s="137">
        <v>1332439</v>
      </c>
      <c r="T25" s="186">
        <f t="shared" si="36"/>
        <v>274703906</v>
      </c>
      <c r="V25" s="187">
        <v>68385013</v>
      </c>
      <c r="W25" s="139">
        <f t="shared" si="37"/>
        <v>460680.92571134283</v>
      </c>
      <c r="X25" s="139">
        <f>22113816-W25</f>
        <v>21653135.074288659</v>
      </c>
      <c r="Y25" s="137">
        <v>84462278</v>
      </c>
      <c r="Z25" s="137">
        <v>78587389</v>
      </c>
      <c r="AA25" s="139">
        <v>25166564</v>
      </c>
      <c r="AB25" s="139">
        <v>1429477</v>
      </c>
      <c r="AC25" s="186">
        <f t="shared" si="38"/>
        <v>280144537</v>
      </c>
      <c r="AE25" s="187">
        <v>63552222</v>
      </c>
      <c r="AF25" s="139">
        <f t="shared" si="39"/>
        <v>444104.46440066944</v>
      </c>
      <c r="AG25" s="139">
        <f>20651619-AF25</f>
        <v>20207514.535599332</v>
      </c>
      <c r="AH25" s="137">
        <v>86456364</v>
      </c>
      <c r="AI25" s="137">
        <v>83433001</v>
      </c>
      <c r="AJ25" s="139">
        <v>29894835</v>
      </c>
      <c r="AK25" s="139">
        <v>1568964</v>
      </c>
      <c r="AL25" s="186">
        <f t="shared" si="40"/>
        <v>285557005</v>
      </c>
      <c r="AN25" s="187">
        <v>70082262</v>
      </c>
      <c r="AO25" s="139">
        <f t="shared" si="41"/>
        <v>420633.28827088961</v>
      </c>
      <c r="AP25" s="139">
        <f>22978069-AO25</f>
        <v>22557435.711729109</v>
      </c>
      <c r="AQ25" s="137">
        <v>89101688</v>
      </c>
      <c r="AR25" s="137">
        <v>82238389</v>
      </c>
      <c r="AS25" s="139">
        <v>31776005</v>
      </c>
      <c r="AT25" s="139">
        <v>1741658</v>
      </c>
      <c r="AU25" s="142">
        <f t="shared" si="42"/>
        <v>297918071</v>
      </c>
      <c r="AW25" s="187">
        <v>76207747</v>
      </c>
      <c r="AX25" s="137">
        <f t="shared" si="43"/>
        <v>424224.52362559544</v>
      </c>
      <c r="AY25" s="137">
        <f t="shared" si="43"/>
        <v>22684190.887730137</v>
      </c>
      <c r="AZ25" s="137">
        <v>83518930</v>
      </c>
      <c r="BA25" s="137">
        <v>73679653</v>
      </c>
      <c r="BB25" s="139">
        <v>31666817</v>
      </c>
      <c r="BC25" s="139">
        <v>1721366</v>
      </c>
      <c r="BD25" s="186">
        <f t="shared" si="47"/>
        <v>289902928.41135573</v>
      </c>
      <c r="BF25" s="193">
        <v>77171913</v>
      </c>
      <c r="BG25" s="194">
        <f t="shared" si="44"/>
        <v>425415.37916827603</v>
      </c>
      <c r="BH25" s="194">
        <f>22068036-BG25</f>
        <v>21642620.620831724</v>
      </c>
      <c r="BI25" s="194">
        <v>82709262</v>
      </c>
      <c r="BJ25" s="194">
        <v>64769595</v>
      </c>
      <c r="BK25" s="195">
        <v>21729889</v>
      </c>
      <c r="BL25" s="196">
        <v>1767971</v>
      </c>
      <c r="BM25" s="186">
        <f t="shared" si="48"/>
        <v>270216666</v>
      </c>
      <c r="BO25" s="193">
        <v>71425478</v>
      </c>
      <c r="BP25" s="194">
        <v>440368</v>
      </c>
      <c r="BQ25" s="194">
        <f>21444909-BP25</f>
        <v>21004541</v>
      </c>
      <c r="BR25" s="492">
        <f t="shared" si="49"/>
        <v>84512590.76863654</v>
      </c>
      <c r="BS25" s="492">
        <f t="shared" si="50"/>
        <v>71916860.925872236</v>
      </c>
      <c r="BT25" s="192">
        <v>31394279</v>
      </c>
      <c r="BU25" s="192">
        <v>1840054</v>
      </c>
      <c r="BV25" s="186">
        <f t="shared" si="51"/>
        <v>282534171.69450879</v>
      </c>
      <c r="BW25" s="169"/>
      <c r="BX25" s="193">
        <v>78057795</v>
      </c>
      <c r="BY25" s="169">
        <v>454870</v>
      </c>
      <c r="BZ25" s="194">
        <f>22842035-101.93</f>
        <v>22841933.07</v>
      </c>
      <c r="CA25" s="492">
        <f t="shared" si="52"/>
        <v>86352565.662417918</v>
      </c>
      <c r="CB25" s="492">
        <f t="shared" si="57"/>
        <v>69748626.398840249</v>
      </c>
      <c r="CC25" s="490">
        <v>34404487</v>
      </c>
      <c r="CD25" s="192">
        <v>1874644</v>
      </c>
      <c r="CE25" s="186">
        <f t="shared" si="53"/>
        <v>293734921.13125813</v>
      </c>
      <c r="CF25" s="169"/>
      <c r="CG25" s="193">
        <v>72286020</v>
      </c>
      <c r="CH25" s="357">
        <v>462034</v>
      </c>
      <c r="CI25" s="194">
        <f>23146834-440.15</f>
        <v>23146393.850000001</v>
      </c>
      <c r="CJ25" s="194">
        <v>89917434.534737661</v>
      </c>
      <c r="CK25" s="492">
        <f t="shared" si="45"/>
        <v>75446441.980638295</v>
      </c>
      <c r="CL25" s="490">
        <v>34983252</v>
      </c>
      <c r="CM25" s="192">
        <v>1973057</v>
      </c>
      <c r="CN25" s="442">
        <f t="shared" si="54"/>
        <v>298214633.365376</v>
      </c>
      <c r="CO25" s="169"/>
      <c r="CP25" s="491">
        <v>76196328</v>
      </c>
      <c r="CQ25" s="494">
        <v>475959</v>
      </c>
      <c r="CR25" s="492">
        <f>24611991-2329.47</f>
        <v>24609661.530000001</v>
      </c>
      <c r="CS25" s="490">
        <f t="shared" si="58"/>
        <v>90000202.918156356</v>
      </c>
      <c r="CT25" s="492">
        <f t="shared" si="55"/>
        <v>74431769.878607348</v>
      </c>
      <c r="CU25" s="490">
        <f t="shared" si="46"/>
        <v>33329343.404423382</v>
      </c>
      <c r="CV25" s="490">
        <f t="shared" si="59"/>
        <v>2040458.0152671756</v>
      </c>
      <c r="CW25" s="497">
        <f t="shared" si="56"/>
        <v>301083722.74645424</v>
      </c>
      <c r="CX25" s="169"/>
      <c r="CY25" s="419"/>
      <c r="CZ25" s="494"/>
      <c r="DA25" s="492"/>
      <c r="DB25" s="492"/>
      <c r="DC25" s="492"/>
      <c r="DD25" s="490"/>
      <c r="DE25" s="490"/>
      <c r="DF25" s="497"/>
      <c r="DH25" s="540"/>
      <c r="DI25" s="540"/>
      <c r="DJ25" s="540"/>
      <c r="DK25" s="540"/>
      <c r="DL25" s="540"/>
      <c r="DM25" s="540"/>
      <c r="DN25" s="540"/>
      <c r="DO25" s="540"/>
      <c r="DP25" s="540"/>
      <c r="DQ25" s="540"/>
      <c r="DR25" s="540"/>
      <c r="DS25" s="540"/>
    </row>
    <row r="26" spans="1:124" ht="14.4">
      <c r="A26" s="977"/>
      <c r="B26" s="140" t="s">
        <v>8</v>
      </c>
      <c r="D26" s="136">
        <v>61838475</v>
      </c>
      <c r="E26" s="137">
        <f t="shared" si="33"/>
        <v>626894.3124758593</v>
      </c>
      <c r="F26" s="137">
        <f>20306919-E26</f>
        <v>19680024.68752414</v>
      </c>
      <c r="G26" s="137">
        <v>71035189</v>
      </c>
      <c r="H26" s="137">
        <v>71972313</v>
      </c>
      <c r="I26" s="137">
        <v>26315987</v>
      </c>
      <c r="J26" s="137">
        <v>1084101</v>
      </c>
      <c r="K26" s="138">
        <f t="shared" si="34"/>
        <v>252552984</v>
      </c>
      <c r="M26" s="136">
        <v>64149604</v>
      </c>
      <c r="N26" s="137">
        <f t="shared" si="35"/>
        <v>484791.82760396547</v>
      </c>
      <c r="O26" s="194">
        <f>20259335-N26</f>
        <v>19774543.172396034</v>
      </c>
      <c r="P26" s="137">
        <v>84703863</v>
      </c>
      <c r="Q26" s="137">
        <v>78793577</v>
      </c>
      <c r="R26" s="137">
        <v>24604275</v>
      </c>
      <c r="S26" s="137">
        <v>1171928</v>
      </c>
      <c r="T26" s="186">
        <f t="shared" si="36"/>
        <v>273682582</v>
      </c>
      <c r="V26" s="187">
        <v>82879065</v>
      </c>
      <c r="W26" s="139">
        <f t="shared" si="37"/>
        <v>460680.92571134283</v>
      </c>
      <c r="X26" s="139">
        <f>23566365-W26</f>
        <v>23105684.074288659</v>
      </c>
      <c r="Y26" s="137">
        <v>91804571</v>
      </c>
      <c r="Z26" s="137">
        <v>84433776</v>
      </c>
      <c r="AA26" s="139">
        <v>27545365</v>
      </c>
      <c r="AB26" s="139">
        <v>1274605</v>
      </c>
      <c r="AC26" s="186">
        <f t="shared" si="38"/>
        <v>311503747</v>
      </c>
      <c r="AE26" s="187">
        <v>84544669</v>
      </c>
      <c r="AF26" s="139">
        <f t="shared" si="39"/>
        <v>444104.46440066944</v>
      </c>
      <c r="AG26" s="139">
        <f>23754577-AF26</f>
        <v>23310472.535599332</v>
      </c>
      <c r="AH26" s="137">
        <v>95566356</v>
      </c>
      <c r="AI26" s="137">
        <v>84599692</v>
      </c>
      <c r="AJ26" s="139">
        <v>30198349</v>
      </c>
      <c r="AK26" s="139">
        <v>1391372</v>
      </c>
      <c r="AL26" s="186">
        <f t="shared" si="40"/>
        <v>320055015</v>
      </c>
      <c r="AN26" s="187">
        <v>91702752</v>
      </c>
      <c r="AO26" s="139">
        <f t="shared" si="41"/>
        <v>420633.28827088961</v>
      </c>
      <c r="AP26" s="139">
        <f>25530375-AO26</f>
        <v>25109741.711729109</v>
      </c>
      <c r="AQ26" s="137">
        <v>92949554</v>
      </c>
      <c r="AR26" s="137">
        <v>83606371</v>
      </c>
      <c r="AS26" s="139">
        <v>32821524</v>
      </c>
      <c r="AT26" s="139">
        <v>1574322</v>
      </c>
      <c r="AU26" s="142">
        <f t="shared" si="42"/>
        <v>328184898</v>
      </c>
      <c r="AW26" s="187">
        <v>83569063</v>
      </c>
      <c r="AX26" s="137">
        <f t="shared" si="43"/>
        <v>424224.52362559544</v>
      </c>
      <c r="AY26" s="137">
        <f t="shared" si="43"/>
        <v>22995202.861465171</v>
      </c>
      <c r="AZ26" s="137">
        <v>97558262</v>
      </c>
      <c r="BA26" s="137">
        <v>75390790</v>
      </c>
      <c r="BB26" s="139">
        <v>34603416</v>
      </c>
      <c r="BC26" s="139">
        <v>1526330</v>
      </c>
      <c r="BD26" s="186">
        <f t="shared" si="47"/>
        <v>316067288.38509077</v>
      </c>
      <c r="BF26" s="193">
        <v>71910668</v>
      </c>
      <c r="BG26" s="194">
        <f t="shared" si="44"/>
        <v>425415.37916827603</v>
      </c>
      <c r="BH26" s="194">
        <f>20987346-BG26</f>
        <v>20561930.620831724</v>
      </c>
      <c r="BI26" s="194">
        <v>88276045</v>
      </c>
      <c r="BJ26" s="194">
        <v>66245644</v>
      </c>
      <c r="BK26" s="195">
        <v>25383350</v>
      </c>
      <c r="BL26" s="196">
        <v>1562749</v>
      </c>
      <c r="BM26" s="186">
        <f t="shared" si="48"/>
        <v>274365802</v>
      </c>
      <c r="BO26" s="193">
        <v>91541788</v>
      </c>
      <c r="BP26" s="194">
        <v>421616</v>
      </c>
      <c r="BQ26" s="194">
        <f>22930140-BP26</f>
        <v>22508524</v>
      </c>
      <c r="BR26" s="492">
        <f t="shared" si="49"/>
        <v>92019802.047122434</v>
      </c>
      <c r="BS26" s="492">
        <f t="shared" si="50"/>
        <v>74683603.943171933</v>
      </c>
      <c r="BT26" s="192">
        <v>30412138</v>
      </c>
      <c r="BU26" s="192">
        <v>1615859</v>
      </c>
      <c r="BV26" s="186">
        <f t="shared" si="51"/>
        <v>313203330.99029434</v>
      </c>
      <c r="BW26" s="169"/>
      <c r="BX26" s="193">
        <v>89206765</v>
      </c>
      <c r="BY26" s="169">
        <v>455290</v>
      </c>
      <c r="BZ26" s="194">
        <f>24666185-90.97</f>
        <v>24666094.030000001</v>
      </c>
      <c r="CA26" s="492">
        <f>CA8/1.0349</f>
        <v>92485912.648565084</v>
      </c>
      <c r="CB26" s="492">
        <f>CB8/1.034</f>
        <v>72106784.080406189</v>
      </c>
      <c r="CC26" s="490">
        <v>35078902</v>
      </c>
      <c r="CD26" s="192">
        <v>1683570</v>
      </c>
      <c r="CE26" s="186">
        <f t="shared" si="53"/>
        <v>315683317.75897127</v>
      </c>
      <c r="CF26" s="169"/>
      <c r="CG26" s="193">
        <v>101582404</v>
      </c>
      <c r="CH26" s="357">
        <v>462772</v>
      </c>
      <c r="CI26" s="194">
        <f>26040980+93-401.66</f>
        <v>26040671.34</v>
      </c>
      <c r="CJ26" s="194">
        <v>93575404</v>
      </c>
      <c r="CK26" s="492">
        <f t="shared" si="45"/>
        <v>75164033.289825916</v>
      </c>
      <c r="CL26" s="490">
        <v>35299567</v>
      </c>
      <c r="CM26" s="192">
        <v>1764071</v>
      </c>
      <c r="CN26" s="442">
        <f t="shared" si="54"/>
        <v>333888922.62982595</v>
      </c>
      <c r="CO26" s="169"/>
      <c r="CP26" s="491">
        <v>92858785</v>
      </c>
      <c r="CQ26" s="494">
        <v>477371</v>
      </c>
      <c r="CR26" s="492">
        <f>25652260-2307.65</f>
        <v>25649952.350000001</v>
      </c>
      <c r="CS26" s="490">
        <f t="shared" si="58"/>
        <v>86860534.351145044</v>
      </c>
      <c r="CT26" s="492">
        <f t="shared" si="55"/>
        <v>75043082.924344286</v>
      </c>
      <c r="CU26" s="490">
        <f t="shared" si="46"/>
        <v>32911822.669826228</v>
      </c>
      <c r="CV26" s="490">
        <f t="shared" si="59"/>
        <v>1825273.939511064</v>
      </c>
      <c r="CW26" s="497">
        <f t="shared" si="56"/>
        <v>315626822.23482662</v>
      </c>
      <c r="CX26" s="169"/>
      <c r="CY26" s="419"/>
      <c r="CZ26" s="494"/>
      <c r="DA26" s="492"/>
      <c r="DB26" s="492"/>
      <c r="DC26" s="492"/>
      <c r="DD26" s="490"/>
      <c r="DE26" s="490"/>
      <c r="DF26" s="497"/>
      <c r="DH26" s="540"/>
      <c r="DI26" s="540"/>
      <c r="DJ26" s="540"/>
      <c r="DK26" s="540"/>
      <c r="DL26" s="540"/>
      <c r="DM26" s="540"/>
      <c r="DN26" s="540"/>
      <c r="DO26" s="540"/>
      <c r="DP26" s="540"/>
      <c r="DQ26" s="540"/>
      <c r="DR26" s="540"/>
      <c r="DS26" s="540"/>
    </row>
    <row r="27" spans="1:124" ht="14.4">
      <c r="A27" s="977"/>
      <c r="B27" s="140" t="s">
        <v>9</v>
      </c>
      <c r="D27" s="136">
        <v>91204614</v>
      </c>
      <c r="E27" s="137">
        <f t="shared" si="33"/>
        <v>626894.3124758593</v>
      </c>
      <c r="F27" s="137">
        <f>23027044-E27</f>
        <v>22400149.68752414</v>
      </c>
      <c r="G27" s="137">
        <v>89670036</v>
      </c>
      <c r="H27" s="137">
        <v>75348788</v>
      </c>
      <c r="I27" s="137">
        <v>24717308</v>
      </c>
      <c r="J27" s="137">
        <v>1149708</v>
      </c>
      <c r="K27" s="138">
        <f t="shared" si="34"/>
        <v>305117498</v>
      </c>
      <c r="M27" s="136">
        <v>82822906</v>
      </c>
      <c r="N27" s="137">
        <f t="shared" si="35"/>
        <v>484791.82760396547</v>
      </c>
      <c r="O27" s="137">
        <f>23892121-N27</f>
        <v>23407329.172396034</v>
      </c>
      <c r="P27" s="137">
        <v>103635180</v>
      </c>
      <c r="Q27" s="137">
        <v>78783682</v>
      </c>
      <c r="R27" s="137">
        <v>24023617</v>
      </c>
      <c r="S27" s="137">
        <v>1225761</v>
      </c>
      <c r="T27" s="186">
        <f t="shared" si="36"/>
        <v>314383267</v>
      </c>
      <c r="V27" s="187">
        <v>128480389</v>
      </c>
      <c r="W27" s="139">
        <f t="shared" si="37"/>
        <v>460680.92571134283</v>
      </c>
      <c r="X27" s="139">
        <f>28277990-W27</f>
        <v>27817309.074288659</v>
      </c>
      <c r="Y27" s="137">
        <v>93000462</v>
      </c>
      <c r="Z27" s="137">
        <v>82486731</v>
      </c>
      <c r="AA27" s="139">
        <v>24358531</v>
      </c>
      <c r="AB27" s="139">
        <v>1383628</v>
      </c>
      <c r="AC27" s="186">
        <f t="shared" si="38"/>
        <v>357987731</v>
      </c>
      <c r="AE27" s="187">
        <v>111908541</v>
      </c>
      <c r="AF27" s="139">
        <f t="shared" si="39"/>
        <v>444104.46440066944</v>
      </c>
      <c r="AG27" s="139">
        <f>26200046-AF27</f>
        <v>25755941.535599332</v>
      </c>
      <c r="AH27" s="139">
        <v>95775708</v>
      </c>
      <c r="AI27" s="139">
        <v>83788702</v>
      </c>
      <c r="AJ27" s="139">
        <v>26629430</v>
      </c>
      <c r="AK27" s="139">
        <v>1504802</v>
      </c>
      <c r="AL27" s="186">
        <f t="shared" si="40"/>
        <v>345807229</v>
      </c>
      <c r="AN27" s="187">
        <v>105265405</v>
      </c>
      <c r="AO27" s="139">
        <f t="shared" si="41"/>
        <v>420633.28827088961</v>
      </c>
      <c r="AP27" s="139">
        <f>25647235-AO27</f>
        <v>25226601.711729109</v>
      </c>
      <c r="AQ27" s="137">
        <v>93138546</v>
      </c>
      <c r="AR27" s="137">
        <v>79011418</v>
      </c>
      <c r="AS27" s="139">
        <v>31989993</v>
      </c>
      <c r="AT27" s="139">
        <v>1641118</v>
      </c>
      <c r="AU27" s="142">
        <f t="shared" si="42"/>
        <v>336693715</v>
      </c>
      <c r="AW27" s="187">
        <v>106702020</v>
      </c>
      <c r="AX27" s="137">
        <f t="shared" si="43"/>
        <v>424224.52362559544</v>
      </c>
      <c r="AY27" s="137">
        <f t="shared" si="43"/>
        <v>24966206.144586068</v>
      </c>
      <c r="AZ27" s="137">
        <v>92770353</v>
      </c>
      <c r="BA27" s="137">
        <v>77621814</v>
      </c>
      <c r="BB27" s="139">
        <v>33255456</v>
      </c>
      <c r="BC27" s="139">
        <v>1644846</v>
      </c>
      <c r="BD27" s="186">
        <f t="shared" si="47"/>
        <v>337384919.6682117</v>
      </c>
      <c r="BF27" s="193">
        <v>96389222</v>
      </c>
      <c r="BG27" s="194">
        <f t="shared" si="44"/>
        <v>425415.37916827603</v>
      </c>
      <c r="BH27" s="194">
        <f>23969745-BG27</f>
        <v>23544329.620831724</v>
      </c>
      <c r="BI27" s="194">
        <v>90697163</v>
      </c>
      <c r="BJ27" s="194">
        <v>69334333</v>
      </c>
      <c r="BK27" s="195">
        <v>28839597</v>
      </c>
      <c r="BL27" s="196">
        <v>1693925</v>
      </c>
      <c r="BM27" s="186">
        <f t="shared" si="48"/>
        <v>310923985</v>
      </c>
      <c r="BO27" s="193">
        <v>127579757</v>
      </c>
      <c r="BP27" s="194">
        <v>425229</v>
      </c>
      <c r="BQ27" s="194">
        <f>26775309-BP27</f>
        <v>26350080</v>
      </c>
      <c r="BR27" s="492">
        <f t="shared" si="49"/>
        <v>96664043.066821158</v>
      </c>
      <c r="BS27" s="492">
        <f t="shared" si="50"/>
        <v>75059455.880931675</v>
      </c>
      <c r="BT27" s="192">
        <v>29466035</v>
      </c>
      <c r="BU27" s="192">
        <v>1748568</v>
      </c>
      <c r="BV27" s="186">
        <f t="shared" si="51"/>
        <v>357293167.94775283</v>
      </c>
      <c r="BW27" s="169"/>
      <c r="BX27" s="193">
        <v>126282770</v>
      </c>
      <c r="BY27" s="169">
        <v>455966</v>
      </c>
      <c r="BZ27" s="194">
        <f>28041272-95.09</f>
        <v>28041176.91</v>
      </c>
      <c r="CA27" s="492">
        <f t="shared" ref="CA27:CA32" si="60">CA9/1.0349</f>
        <v>97909691.757657751</v>
      </c>
      <c r="CB27" s="492">
        <f t="shared" ref="CB27:CB32" si="61">CB9/1.034</f>
        <v>72808371.679941967</v>
      </c>
      <c r="CC27" s="490">
        <v>36307706</v>
      </c>
      <c r="CD27" s="192">
        <v>1847052</v>
      </c>
      <c r="CE27" s="186">
        <f t="shared" si="53"/>
        <v>363652734.34759969</v>
      </c>
      <c r="CF27" s="169"/>
      <c r="CG27" s="193">
        <v>142433053</v>
      </c>
      <c r="CH27" s="357">
        <v>462823</v>
      </c>
      <c r="CI27" s="194">
        <f>28483235-434.33</f>
        <v>28482800.670000002</v>
      </c>
      <c r="CJ27" s="194">
        <v>99482260</v>
      </c>
      <c r="CK27" s="492">
        <f t="shared" si="45"/>
        <v>76444302.996421665</v>
      </c>
      <c r="CL27" s="490">
        <v>34499484</v>
      </c>
      <c r="CM27" s="192">
        <v>1888059</v>
      </c>
      <c r="CN27" s="442">
        <f t="shared" si="54"/>
        <v>383692782.66642165</v>
      </c>
      <c r="CO27" s="169"/>
      <c r="CP27" s="491">
        <v>122057316</v>
      </c>
      <c r="CQ27" s="494">
        <v>473081</v>
      </c>
      <c r="CR27" s="492">
        <f>26976997-3128.99</f>
        <v>26973868.010000002</v>
      </c>
      <c r="CS27" s="490">
        <f t="shared" si="58"/>
        <v>95828757.367861629</v>
      </c>
      <c r="CT27" s="492">
        <f t="shared" si="55"/>
        <v>77060913.073456481</v>
      </c>
      <c r="CU27" s="490">
        <f t="shared" si="46"/>
        <v>31977045.813586101</v>
      </c>
      <c r="CV27" s="490">
        <f t="shared" si="59"/>
        <v>1932070.7314716398</v>
      </c>
      <c r="CW27" s="497">
        <f t="shared" si="56"/>
        <v>356303051.99637586</v>
      </c>
      <c r="CX27" s="169"/>
      <c r="CY27" s="419"/>
      <c r="CZ27" s="494"/>
      <c r="DA27" s="492"/>
      <c r="DB27" s="492"/>
      <c r="DC27" s="492"/>
      <c r="DD27" s="490"/>
      <c r="DE27" s="490"/>
      <c r="DF27" s="497"/>
      <c r="DH27" s="540"/>
      <c r="DI27" s="540"/>
      <c r="DJ27" s="540"/>
      <c r="DK27" s="540"/>
      <c r="DL27" s="540"/>
      <c r="DM27" s="540"/>
      <c r="DN27" s="540"/>
      <c r="DO27" s="540"/>
      <c r="DP27" s="540"/>
      <c r="DQ27" s="540"/>
      <c r="DR27" s="540"/>
      <c r="DS27" s="540"/>
    </row>
    <row r="28" spans="1:124">
      <c r="A28" s="977"/>
      <c r="B28" s="140" t="s">
        <v>10</v>
      </c>
      <c r="D28" s="136">
        <v>92505717</v>
      </c>
      <c r="E28" s="137">
        <f t="shared" si="33"/>
        <v>626894.3124758593</v>
      </c>
      <c r="F28" s="137">
        <f>23562035-E28</f>
        <v>22935140.68752414</v>
      </c>
      <c r="G28" s="137">
        <v>83412431</v>
      </c>
      <c r="H28" s="137">
        <v>67701528</v>
      </c>
      <c r="I28" s="137">
        <v>24908899</v>
      </c>
      <c r="J28" s="137">
        <v>1382361</v>
      </c>
      <c r="K28" s="138">
        <f t="shared" si="34"/>
        <v>293472971</v>
      </c>
      <c r="M28" s="136">
        <v>87420338</v>
      </c>
      <c r="N28" s="137">
        <f t="shared" si="35"/>
        <v>484791.82760396547</v>
      </c>
      <c r="O28" s="137">
        <f>22186772-N28</f>
        <v>21701980.172396034</v>
      </c>
      <c r="P28" s="137">
        <v>72322130</v>
      </c>
      <c r="Q28" s="137">
        <v>81180518</v>
      </c>
      <c r="R28" s="137">
        <v>26255053</v>
      </c>
      <c r="S28" s="137">
        <v>1522817</v>
      </c>
      <c r="T28" s="186">
        <f t="shared" si="36"/>
        <v>290887628</v>
      </c>
      <c r="V28" s="187">
        <v>112838134</v>
      </c>
      <c r="W28" s="139">
        <f t="shared" si="37"/>
        <v>460680.92571134283</v>
      </c>
      <c r="X28" s="139">
        <f>25700749-W28</f>
        <v>25240068.074288659</v>
      </c>
      <c r="Y28" s="137">
        <v>95085316</v>
      </c>
      <c r="Z28" s="137">
        <v>87931959</v>
      </c>
      <c r="AA28" s="139">
        <v>28296971</v>
      </c>
      <c r="AB28" s="139">
        <v>1585446</v>
      </c>
      <c r="AC28" s="186">
        <f t="shared" si="38"/>
        <v>351438575</v>
      </c>
      <c r="AE28" s="187">
        <v>118474081</v>
      </c>
      <c r="AF28" s="139">
        <f t="shared" si="39"/>
        <v>444104.46440066944</v>
      </c>
      <c r="AG28" s="139">
        <f>25548007-AF28</f>
        <v>25103902.535599332</v>
      </c>
      <c r="AH28" s="139">
        <v>96723620</v>
      </c>
      <c r="AI28" s="139">
        <v>87082484</v>
      </c>
      <c r="AJ28" s="139">
        <v>30926745</v>
      </c>
      <c r="AK28" s="139">
        <v>1715649</v>
      </c>
      <c r="AL28" s="186">
        <f t="shared" si="40"/>
        <v>360470586</v>
      </c>
      <c r="AN28" s="187">
        <v>114224127</v>
      </c>
      <c r="AO28" s="139">
        <f t="shared" si="41"/>
        <v>420633.28827088961</v>
      </c>
      <c r="AP28" s="139">
        <f>26060743-AO28</f>
        <v>25640109.711729109</v>
      </c>
      <c r="AQ28" s="137">
        <v>95750167</v>
      </c>
      <c r="AR28" s="137">
        <v>88408601</v>
      </c>
      <c r="AS28" s="139">
        <v>27315562</v>
      </c>
      <c r="AT28" s="139">
        <v>1793334</v>
      </c>
      <c r="AU28" s="142">
        <f t="shared" si="42"/>
        <v>353552534</v>
      </c>
      <c r="AW28" s="187">
        <v>112174341</v>
      </c>
      <c r="AX28" s="137">
        <f t="shared" si="43"/>
        <v>424224.52362559544</v>
      </c>
      <c r="AY28" s="137">
        <f t="shared" si="43"/>
        <v>25589331.868803911</v>
      </c>
      <c r="AZ28" s="137">
        <v>92740083</v>
      </c>
      <c r="BA28" s="137">
        <v>77124139</v>
      </c>
      <c r="BB28" s="139">
        <v>35540959</v>
      </c>
      <c r="BC28" s="139">
        <v>1897749</v>
      </c>
      <c r="BD28" s="186">
        <f t="shared" si="47"/>
        <v>345490827.39242947</v>
      </c>
      <c r="BF28" s="193">
        <v>106837454</v>
      </c>
      <c r="BG28" s="194">
        <f t="shared" si="44"/>
        <v>425415.37916827603</v>
      </c>
      <c r="BH28" s="194">
        <f>31957034-BG28</f>
        <v>31531618.620831724</v>
      </c>
      <c r="BI28" s="194">
        <v>92877653</v>
      </c>
      <c r="BJ28" s="194">
        <v>71088497</v>
      </c>
      <c r="BK28" s="195">
        <v>31566349</v>
      </c>
      <c r="BL28" s="196">
        <v>1948305</v>
      </c>
      <c r="BM28" s="186">
        <f t="shared" si="48"/>
        <v>336275292</v>
      </c>
      <c r="BO28" s="193">
        <v>131877335</v>
      </c>
      <c r="BP28" s="194">
        <v>502634</v>
      </c>
      <c r="BQ28" s="194">
        <f>26305304</f>
        <v>26305304</v>
      </c>
      <c r="BR28" s="492">
        <f t="shared" si="49"/>
        <v>95082362.881421387</v>
      </c>
      <c r="BS28" s="492">
        <f t="shared" si="50"/>
        <v>76746658.934956998</v>
      </c>
      <c r="BT28" s="192">
        <v>34534256</v>
      </c>
      <c r="BU28" s="192">
        <v>2026808</v>
      </c>
      <c r="BV28" s="186">
        <f t="shared" si="51"/>
        <v>367075358.81637836</v>
      </c>
      <c r="BW28" s="169"/>
      <c r="BX28" s="193">
        <v>134953089</v>
      </c>
      <c r="BY28" s="169">
        <v>456298</v>
      </c>
      <c r="BZ28" s="194">
        <f>27048625-121.91</f>
        <v>27048503.09</v>
      </c>
      <c r="CA28" s="492">
        <f t="shared" si="60"/>
        <v>98771974.103778154</v>
      </c>
      <c r="CB28" s="492">
        <f t="shared" si="61"/>
        <v>75754977.247253388</v>
      </c>
      <c r="CC28" s="490">
        <v>35503484</v>
      </c>
      <c r="CD28" s="192">
        <v>2161860</v>
      </c>
      <c r="CE28" s="186">
        <f t="shared" si="53"/>
        <v>374650185.44103158</v>
      </c>
      <c r="CF28" s="169"/>
      <c r="CG28" s="193">
        <v>137377845</v>
      </c>
      <c r="CH28" s="357">
        <v>463062</v>
      </c>
      <c r="CI28" s="194">
        <f>28628023-479.53</f>
        <v>28627543.469999999</v>
      </c>
      <c r="CJ28" s="194">
        <v>97512224</v>
      </c>
      <c r="CK28" s="492">
        <f t="shared" si="45"/>
        <v>76712155.538413927</v>
      </c>
      <c r="CL28" s="490">
        <v>38023871</v>
      </c>
      <c r="CM28" s="192">
        <v>2179566</v>
      </c>
      <c r="CN28" s="442">
        <f t="shared" si="54"/>
        <v>380896267.00841391</v>
      </c>
      <c r="CO28" s="169"/>
      <c r="CP28" s="491">
        <v>119030956</v>
      </c>
      <c r="CQ28" s="494">
        <v>477093</v>
      </c>
      <c r="CR28" s="492">
        <f>28368772-3429.67</f>
        <v>28365342.329999998</v>
      </c>
      <c r="CS28" s="492">
        <f t="shared" si="58"/>
        <v>92541875.543530777</v>
      </c>
      <c r="CT28" s="492">
        <f>CT10/1.034</f>
        <v>77779974.521812379</v>
      </c>
      <c r="CU28" s="490">
        <f t="shared" si="46"/>
        <v>34561090.047393367</v>
      </c>
      <c r="CV28" s="492">
        <f t="shared" si="59"/>
        <v>2267254.8072277517</v>
      </c>
      <c r="CW28" s="497">
        <f t="shared" si="56"/>
        <v>355023586.24996424</v>
      </c>
      <c r="CX28" s="169"/>
      <c r="CY28" s="419"/>
      <c r="CZ28" s="494"/>
      <c r="DA28" s="492"/>
      <c r="DB28" s="492"/>
      <c r="DC28" s="492"/>
      <c r="DD28" s="490"/>
      <c r="DE28" s="490"/>
      <c r="DF28" s="497"/>
    </row>
    <row r="29" spans="1:124">
      <c r="A29" s="977"/>
      <c r="B29" s="140" t="s">
        <v>11</v>
      </c>
      <c r="D29" s="136">
        <v>78427414</v>
      </c>
      <c r="E29" s="137">
        <f t="shared" si="33"/>
        <v>626894.3124758593</v>
      </c>
      <c r="F29" s="137">
        <f>21612670-E29</f>
        <v>20985775.68752414</v>
      </c>
      <c r="G29" s="137">
        <v>82575759</v>
      </c>
      <c r="H29" s="137">
        <v>72293429</v>
      </c>
      <c r="I29" s="137">
        <v>16357992</v>
      </c>
      <c r="J29" s="137">
        <v>1426706</v>
      </c>
      <c r="K29" s="138">
        <f t="shared" si="34"/>
        <v>272693970</v>
      </c>
      <c r="M29" s="136">
        <v>81039365</v>
      </c>
      <c r="N29" s="137">
        <f t="shared" si="35"/>
        <v>484791.82760396547</v>
      </c>
      <c r="O29" s="137">
        <f>22578714-N29</f>
        <v>22093922.172396034</v>
      </c>
      <c r="P29" s="137">
        <v>86539872</v>
      </c>
      <c r="Q29" s="137">
        <v>78800252</v>
      </c>
      <c r="R29" s="137">
        <v>24812039</v>
      </c>
      <c r="S29" s="137">
        <v>1653405</v>
      </c>
      <c r="T29" s="186">
        <f t="shared" si="36"/>
        <v>295423647</v>
      </c>
      <c r="V29" s="187">
        <v>96349384</v>
      </c>
      <c r="W29" s="139">
        <f t="shared" si="37"/>
        <v>460680.92571134283</v>
      </c>
      <c r="X29" s="139">
        <f>25589721-W29</f>
        <v>25129040.074288659</v>
      </c>
      <c r="Y29" s="137">
        <v>92220235</v>
      </c>
      <c r="Z29" s="137">
        <v>80458193</v>
      </c>
      <c r="AA29" s="139">
        <v>26483669</v>
      </c>
      <c r="AB29" s="139">
        <v>1735399</v>
      </c>
      <c r="AC29" s="186">
        <f t="shared" si="38"/>
        <v>322836601</v>
      </c>
      <c r="AE29" s="187">
        <v>87170715</v>
      </c>
      <c r="AF29" s="139">
        <f t="shared" si="39"/>
        <v>444104.46440066944</v>
      </c>
      <c r="AG29" s="139">
        <f>24351945-AF29</f>
        <v>23907840.535599332</v>
      </c>
      <c r="AH29" s="139">
        <v>84685807</v>
      </c>
      <c r="AI29" s="139">
        <v>80031450</v>
      </c>
      <c r="AJ29" s="139">
        <v>28731272</v>
      </c>
      <c r="AK29" s="139">
        <v>1971966</v>
      </c>
      <c r="AL29" s="186">
        <f t="shared" si="40"/>
        <v>306943155</v>
      </c>
      <c r="AN29" s="187">
        <v>103898176</v>
      </c>
      <c r="AO29" s="139">
        <f t="shared" si="41"/>
        <v>420633.28827088961</v>
      </c>
      <c r="AP29" s="139">
        <f>26941437-AO29</f>
        <v>26520803.711729109</v>
      </c>
      <c r="AQ29" s="137">
        <v>88949596</v>
      </c>
      <c r="AR29" s="137">
        <v>79593527</v>
      </c>
      <c r="AS29" s="139">
        <v>31049346</v>
      </c>
      <c r="AT29" s="139">
        <v>2004376</v>
      </c>
      <c r="AU29" s="142">
        <f t="shared" si="42"/>
        <v>332436458</v>
      </c>
      <c r="AW29" s="187">
        <v>91896614</v>
      </c>
      <c r="AX29" s="137">
        <f t="shared" si="43"/>
        <v>424224.52362559544</v>
      </c>
      <c r="AY29" s="137">
        <f t="shared" si="43"/>
        <v>22895534.070426159</v>
      </c>
      <c r="AZ29" s="137">
        <v>92983380</v>
      </c>
      <c r="BA29" s="137">
        <v>75287319</v>
      </c>
      <c r="BB29" s="139">
        <v>34033628</v>
      </c>
      <c r="BC29" s="139">
        <v>2153737</v>
      </c>
      <c r="BD29" s="186">
        <f t="shared" si="47"/>
        <v>319674436.59405172</v>
      </c>
      <c r="BF29" s="193">
        <v>92707816</v>
      </c>
      <c r="BG29" s="194">
        <f t="shared" si="44"/>
        <v>425415.37916827603</v>
      </c>
      <c r="BH29" s="194">
        <f>16095966-BG29</f>
        <v>15670550.620831724</v>
      </c>
      <c r="BI29" s="194">
        <v>89536165</v>
      </c>
      <c r="BJ29" s="194">
        <v>69913251</v>
      </c>
      <c r="BK29" s="195">
        <v>30593880</v>
      </c>
      <c r="BL29" s="196">
        <v>2214309</v>
      </c>
      <c r="BM29" s="186">
        <f t="shared" si="48"/>
        <v>301061387</v>
      </c>
      <c r="BO29" s="193">
        <v>107540445</v>
      </c>
      <c r="BP29" s="194">
        <v>430238</v>
      </c>
      <c r="BQ29" s="194">
        <f>25118536-BP29</f>
        <v>24688298</v>
      </c>
      <c r="BR29" s="492">
        <f t="shared" si="49"/>
        <v>90387831.20896098</v>
      </c>
      <c r="BS29" s="492">
        <f t="shared" si="50"/>
        <v>71139293.515028507</v>
      </c>
      <c r="BT29" s="192">
        <v>32288454</v>
      </c>
      <c r="BU29" s="192">
        <v>2277314</v>
      </c>
      <c r="BV29" s="186">
        <f t="shared" si="51"/>
        <v>328751873.72398949</v>
      </c>
      <c r="BW29" s="169"/>
      <c r="BX29" s="193">
        <v>108295548</v>
      </c>
      <c r="BY29" s="169">
        <v>458004</v>
      </c>
      <c r="BZ29" s="194">
        <f>26798063-146.08</f>
        <v>26797916.920000002</v>
      </c>
      <c r="CA29" s="492">
        <f t="shared" si="60"/>
        <v>90719701.420427099</v>
      </c>
      <c r="CB29" s="492">
        <f t="shared" si="61"/>
        <v>70765463.198065758</v>
      </c>
      <c r="CC29" s="490">
        <v>31157185</v>
      </c>
      <c r="CD29" s="192">
        <v>2451732</v>
      </c>
      <c r="CE29" s="186">
        <f t="shared" si="53"/>
        <v>330645550.53849286</v>
      </c>
      <c r="CF29" s="169"/>
      <c r="CG29" s="193">
        <v>114162573</v>
      </c>
      <c r="CH29" s="357">
        <v>464462</v>
      </c>
      <c r="CI29" s="194">
        <f>26875715-533.86</f>
        <v>26875181.140000001</v>
      </c>
      <c r="CJ29" s="194">
        <v>89049272</v>
      </c>
      <c r="CK29" s="492">
        <f t="shared" si="45"/>
        <v>70931178.001450673</v>
      </c>
      <c r="CL29" s="490">
        <v>34665189</v>
      </c>
      <c r="CM29" s="192">
        <v>2447318</v>
      </c>
      <c r="CN29" s="442">
        <f t="shared" si="54"/>
        <v>338595173.14145064</v>
      </c>
      <c r="CO29" s="169"/>
      <c r="CP29" s="619">
        <f>116489577-4184-3167</f>
        <v>116482226</v>
      </c>
      <c r="CQ29" s="494">
        <v>478538</v>
      </c>
      <c r="CR29" s="620">
        <f>27550394-3828.48</f>
        <v>27546565.52</v>
      </c>
      <c r="CS29" s="620">
        <f t="shared" si="58"/>
        <v>86133161.658131227</v>
      </c>
      <c r="CT29" s="621">
        <f t="shared" ref="CT29" si="62">CT11/1.034</f>
        <v>68591771.760154739</v>
      </c>
      <c r="CU29" s="490">
        <f t="shared" si="46"/>
        <v>31789662.322274882</v>
      </c>
      <c r="CV29" s="621">
        <f t="shared" si="59"/>
        <v>2548699.3912455309</v>
      </c>
      <c r="CW29" s="497">
        <f t="shared" si="56"/>
        <v>333570624.65180635</v>
      </c>
      <c r="CX29" s="169"/>
      <c r="CY29" s="419"/>
      <c r="CZ29" s="494"/>
      <c r="DA29" s="492"/>
      <c r="DB29" s="492"/>
      <c r="DC29" s="492"/>
      <c r="DD29" s="490"/>
      <c r="DE29" s="490"/>
      <c r="DF29" s="497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</row>
    <row r="30" spans="1:124">
      <c r="A30" s="977"/>
      <c r="B30" s="140" t="s">
        <v>23</v>
      </c>
      <c r="D30" s="136">
        <v>65785373</v>
      </c>
      <c r="E30" s="137">
        <f t="shared" si="33"/>
        <v>626894.3124758593</v>
      </c>
      <c r="F30" s="137">
        <f>19178646-E30</f>
        <v>18551751.68752414</v>
      </c>
      <c r="G30" s="137">
        <v>80094441</v>
      </c>
      <c r="H30" s="137">
        <v>73731928</v>
      </c>
      <c r="I30" s="137">
        <v>18989015</v>
      </c>
      <c r="J30" s="137">
        <v>1739816</v>
      </c>
      <c r="K30" s="138">
        <f t="shared" si="34"/>
        <v>259519219</v>
      </c>
      <c r="M30" s="136">
        <v>70171270</v>
      </c>
      <c r="N30" s="137">
        <f t="shared" si="35"/>
        <v>484791.82760396547</v>
      </c>
      <c r="O30" s="137">
        <f>20980643-N30</f>
        <v>20495851.172396034</v>
      </c>
      <c r="P30" s="137">
        <v>81300977</v>
      </c>
      <c r="Q30" s="418">
        <v>77942513</v>
      </c>
      <c r="R30" s="137">
        <v>24236322</v>
      </c>
      <c r="S30" s="137">
        <v>1990361</v>
      </c>
      <c r="T30" s="186">
        <f t="shared" si="36"/>
        <v>276622086</v>
      </c>
      <c r="V30" s="187">
        <v>75430792</v>
      </c>
      <c r="W30" s="139">
        <f t="shared" si="37"/>
        <v>460680.92571134283</v>
      </c>
      <c r="X30" s="139">
        <f>22648044-W30</f>
        <v>22187363.074288659</v>
      </c>
      <c r="Y30" s="137">
        <v>85901855</v>
      </c>
      <c r="Z30" s="137">
        <v>84066210</v>
      </c>
      <c r="AA30" s="139">
        <v>26468231</v>
      </c>
      <c r="AB30" s="139">
        <v>2147735</v>
      </c>
      <c r="AC30" s="186">
        <f t="shared" si="38"/>
        <v>296662867</v>
      </c>
      <c r="AE30" s="187">
        <v>67997820</v>
      </c>
      <c r="AF30" s="139">
        <f t="shared" si="39"/>
        <v>444104.46440066944</v>
      </c>
      <c r="AG30" s="139">
        <f>20919736-AF30</f>
        <v>20475631.535599332</v>
      </c>
      <c r="AH30" s="139">
        <v>93151434</v>
      </c>
      <c r="AI30" s="139">
        <v>79901344</v>
      </c>
      <c r="AJ30" s="139">
        <v>27179190</v>
      </c>
      <c r="AK30" s="139">
        <v>2335127</v>
      </c>
      <c r="AL30" s="186">
        <f t="shared" si="40"/>
        <v>291484651</v>
      </c>
      <c r="AN30" s="187">
        <v>73011666</v>
      </c>
      <c r="AO30" s="139">
        <f t="shared" si="41"/>
        <v>420633.28827088961</v>
      </c>
      <c r="AP30" s="139">
        <f>21864776-AO30</f>
        <v>21444142.711729109</v>
      </c>
      <c r="AQ30" s="137">
        <v>91836992</v>
      </c>
      <c r="AR30" s="137">
        <v>81583179</v>
      </c>
      <c r="AS30" s="139">
        <v>31278187</v>
      </c>
      <c r="AT30" s="139">
        <v>2476451</v>
      </c>
      <c r="AU30" s="142">
        <f t="shared" si="42"/>
        <v>302051251</v>
      </c>
      <c r="AW30" s="187">
        <v>76030590</v>
      </c>
      <c r="AX30" s="137">
        <f t="shared" si="43"/>
        <v>424224.52362559544</v>
      </c>
      <c r="AY30" s="137">
        <f t="shared" si="43"/>
        <v>21896753.653276682</v>
      </c>
      <c r="AZ30" s="137">
        <v>88519174</v>
      </c>
      <c r="BA30" s="137">
        <v>73022772</v>
      </c>
      <c r="BB30" s="139">
        <v>32302823</v>
      </c>
      <c r="BC30" s="139">
        <v>2560123</v>
      </c>
      <c r="BD30" s="186">
        <f t="shared" si="47"/>
        <v>294756460.17690229</v>
      </c>
      <c r="BF30" s="193">
        <v>80822498</v>
      </c>
      <c r="BG30" s="194">
        <f t="shared" si="44"/>
        <v>425415.37916827603</v>
      </c>
      <c r="BH30" s="194">
        <f>23021643-BG30</f>
        <v>22596227.620831724</v>
      </c>
      <c r="BI30" s="194">
        <v>87178137</v>
      </c>
      <c r="BJ30" s="194">
        <v>68128434</v>
      </c>
      <c r="BK30" s="195">
        <v>30638512</v>
      </c>
      <c r="BL30" s="196">
        <v>2651495</v>
      </c>
      <c r="BM30" s="186">
        <f t="shared" si="48"/>
        <v>292440719</v>
      </c>
      <c r="BO30" s="193">
        <v>79050229</v>
      </c>
      <c r="BP30" s="194">
        <f t="shared" ref="BP30:BP32" si="63">BP12/1.0356</f>
        <v>435679.79915025103</v>
      </c>
      <c r="BQ30" s="194">
        <f>22143774</f>
        <v>22143774</v>
      </c>
      <c r="BR30" s="492">
        <f t="shared" si="49"/>
        <v>84353702.201622248</v>
      </c>
      <c r="BS30" s="492">
        <f t="shared" si="50"/>
        <v>69738380.20682323</v>
      </c>
      <c r="BT30" s="192">
        <v>30499344</v>
      </c>
      <c r="BU30" s="192">
        <v>2708722</v>
      </c>
      <c r="BV30" s="186">
        <f t="shared" si="51"/>
        <v>288929831.20759571</v>
      </c>
      <c r="BW30" s="169"/>
      <c r="BX30" s="193">
        <v>81834176</v>
      </c>
      <c r="BY30" s="489">
        <v>458055</v>
      </c>
      <c r="BZ30" s="194">
        <f>23239208-168.72</f>
        <v>23239039.280000001</v>
      </c>
      <c r="CA30" s="492">
        <f t="shared" si="60"/>
        <v>85485129.964247763</v>
      </c>
      <c r="CB30" s="492">
        <f t="shared" si="61"/>
        <v>69932165.135783374</v>
      </c>
      <c r="CC30" s="490">
        <v>33070596</v>
      </c>
      <c r="CD30" s="192">
        <v>2795032</v>
      </c>
      <c r="CE30" s="186">
        <f t="shared" si="53"/>
        <v>296814193.38003111</v>
      </c>
      <c r="CF30" s="169"/>
      <c r="CG30" s="193">
        <v>76320166</v>
      </c>
      <c r="CH30" s="357">
        <v>464790</v>
      </c>
      <c r="CI30" s="194">
        <f>22874388-1441.68</f>
        <v>22872946.32</v>
      </c>
      <c r="CJ30" s="194">
        <v>87881296</v>
      </c>
      <c r="CK30" s="492">
        <f t="shared" si="45"/>
        <v>72778527.970193416</v>
      </c>
      <c r="CL30" s="490">
        <v>34353225</v>
      </c>
      <c r="CM30" s="192">
        <v>2807753</v>
      </c>
      <c r="CN30" s="442">
        <f t="shared" si="54"/>
        <v>297478704.29019344</v>
      </c>
      <c r="CO30" s="169"/>
      <c r="CP30" s="491">
        <f>78313593+981</f>
        <v>78314574</v>
      </c>
      <c r="CQ30" s="494">
        <v>478539</v>
      </c>
      <c r="CR30" s="494">
        <f>23794709-4662.05</f>
        <v>23790046.949999999</v>
      </c>
      <c r="CS30" s="492">
        <f t="shared" ref="CS30:CS31" si="64">CS12/1.0349</f>
        <v>90470727.606532037</v>
      </c>
      <c r="CT30" s="492">
        <f t="shared" ref="CT30:CT32" si="65">CT12/1.034</f>
        <v>75581005.977079302</v>
      </c>
      <c r="CU30" s="490">
        <f t="shared" si="46"/>
        <v>31840210.308056876</v>
      </c>
      <c r="CV30" s="621">
        <f t="shared" si="59"/>
        <v>2994402.3577157217</v>
      </c>
      <c r="CW30" s="497">
        <f t="shared" si="56"/>
        <v>303469506.19938391</v>
      </c>
      <c r="CX30" s="169"/>
      <c r="CY30" s="419"/>
      <c r="CZ30" s="494"/>
      <c r="DA30" s="492"/>
      <c r="DB30" s="492"/>
      <c r="DC30" s="492"/>
      <c r="DD30" s="490"/>
      <c r="DE30" s="490"/>
      <c r="DF30" s="497"/>
    </row>
    <row r="31" spans="1:124">
      <c r="A31" s="977"/>
      <c r="B31" s="140" t="s">
        <v>12</v>
      </c>
      <c r="D31" s="136">
        <v>67288556</v>
      </c>
      <c r="E31" s="137">
        <f t="shared" si="33"/>
        <v>626894.3124758593</v>
      </c>
      <c r="F31" s="137">
        <f>20242279-E31</f>
        <v>19615384.68752414</v>
      </c>
      <c r="G31" s="137">
        <v>77560779</v>
      </c>
      <c r="H31" s="137">
        <v>72072312</v>
      </c>
      <c r="I31" s="137">
        <v>22055175</v>
      </c>
      <c r="J31" s="137">
        <v>1918897</v>
      </c>
      <c r="K31" s="138">
        <f t="shared" si="34"/>
        <v>261137998</v>
      </c>
      <c r="M31" s="136">
        <v>66695447</v>
      </c>
      <c r="N31" s="137">
        <f t="shared" si="35"/>
        <v>484791.82760396547</v>
      </c>
      <c r="O31" s="137">
        <f>19810918-N31</f>
        <v>19326126.172396034</v>
      </c>
      <c r="P31" s="137">
        <v>87514263</v>
      </c>
      <c r="Q31" s="137">
        <v>77097113</v>
      </c>
      <c r="R31" s="137">
        <v>24231862</v>
      </c>
      <c r="S31" s="137">
        <v>2098801</v>
      </c>
      <c r="T31" s="186">
        <f t="shared" si="36"/>
        <v>277448404</v>
      </c>
      <c r="V31" s="187">
        <v>72376973</v>
      </c>
      <c r="W31" s="139">
        <f t="shared" si="37"/>
        <v>460680.92571134283</v>
      </c>
      <c r="X31" s="139">
        <f>22004787-W31</f>
        <v>21544106.074288659</v>
      </c>
      <c r="Y31" s="137">
        <v>94121175</v>
      </c>
      <c r="Z31" s="137">
        <v>82152106</v>
      </c>
      <c r="AA31" s="139">
        <v>25672569</v>
      </c>
      <c r="AB31" s="139">
        <v>2296094</v>
      </c>
      <c r="AC31" s="186">
        <f t="shared" si="38"/>
        <v>298623704</v>
      </c>
      <c r="AE31" s="187">
        <v>78300865</v>
      </c>
      <c r="AF31" s="139">
        <f t="shared" si="39"/>
        <v>444104.46440066944</v>
      </c>
      <c r="AG31" s="139">
        <f>22875544-AF31</f>
        <v>22431439.535599332</v>
      </c>
      <c r="AH31" s="139">
        <v>90515074</v>
      </c>
      <c r="AI31" s="139">
        <v>78141042</v>
      </c>
      <c r="AJ31" s="139">
        <v>26488969</v>
      </c>
      <c r="AK31" s="139">
        <v>2507668</v>
      </c>
      <c r="AL31" s="186">
        <f t="shared" si="40"/>
        <v>298829162</v>
      </c>
      <c r="AN31" s="187">
        <v>80057237</v>
      </c>
      <c r="AO31" s="139">
        <f t="shared" si="41"/>
        <v>420633.28827088961</v>
      </c>
      <c r="AP31" s="139">
        <f>24349829-AO31</f>
        <v>23929195.711729109</v>
      </c>
      <c r="AQ31" s="137">
        <v>92473694</v>
      </c>
      <c r="AR31" s="137">
        <v>77473667</v>
      </c>
      <c r="AS31" s="139">
        <v>30163484</v>
      </c>
      <c r="AT31" s="139">
        <v>2655736</v>
      </c>
      <c r="AU31" s="142">
        <f t="shared" si="42"/>
        <v>307173647</v>
      </c>
      <c r="AW31" s="187">
        <v>86939866</v>
      </c>
      <c r="AX31" s="137">
        <f t="shared" si="43"/>
        <v>424224.52362559544</v>
      </c>
      <c r="AY31" s="137">
        <f t="shared" si="43"/>
        <v>23530142.027166214</v>
      </c>
      <c r="AZ31" s="137">
        <v>88892836</v>
      </c>
      <c r="BA31" s="137">
        <v>68845702</v>
      </c>
      <c r="BB31" s="139">
        <v>30439599</v>
      </c>
      <c r="BC31" s="139">
        <v>2732203</v>
      </c>
      <c r="BD31" s="186">
        <f t="shared" si="47"/>
        <v>301804572.5507918</v>
      </c>
      <c r="BF31" s="193">
        <v>84768126</v>
      </c>
      <c r="BG31" s="194">
        <f t="shared" si="44"/>
        <v>425415.37916827603</v>
      </c>
      <c r="BH31" s="194">
        <f>23630109-BG31</f>
        <v>23204693.620831724</v>
      </c>
      <c r="BI31" s="194">
        <v>88350312</v>
      </c>
      <c r="BJ31" s="194">
        <v>66028714</v>
      </c>
      <c r="BK31" s="195">
        <v>27681172</v>
      </c>
      <c r="BL31" s="196">
        <v>2835538</v>
      </c>
      <c r="BM31" s="186">
        <f t="shared" si="48"/>
        <v>293293971</v>
      </c>
      <c r="BO31" s="193">
        <v>80160150</v>
      </c>
      <c r="BP31" s="194">
        <f>BP13/1.0356</f>
        <v>385242.37157203548</v>
      </c>
      <c r="BQ31" s="194">
        <f>21950217</f>
        <v>21950217</v>
      </c>
      <c r="BR31" s="492">
        <f t="shared" si="49"/>
        <v>89227906.527616829</v>
      </c>
      <c r="BS31" s="492">
        <f t="shared" si="50"/>
        <v>68916700.492896497</v>
      </c>
      <c r="BT31" s="192">
        <v>27374184</v>
      </c>
      <c r="BU31" s="192">
        <v>2906955</v>
      </c>
      <c r="BV31" s="186">
        <f t="shared" si="51"/>
        <v>290921355.39208537</v>
      </c>
      <c r="BW31" s="169"/>
      <c r="BX31" s="193">
        <v>82045355</v>
      </c>
      <c r="BY31" s="169">
        <v>456302</v>
      </c>
      <c r="BZ31" s="194">
        <f>23866613-183.15</f>
        <v>23866429.850000001</v>
      </c>
      <c r="CA31" s="492">
        <f t="shared" si="60"/>
        <v>89667256.739781633</v>
      </c>
      <c r="CB31" s="492">
        <f t="shared" si="61"/>
        <v>70053034.082475826</v>
      </c>
      <c r="CC31" s="490">
        <v>31685303</v>
      </c>
      <c r="CD31" s="192">
        <v>3062894</v>
      </c>
      <c r="CE31" s="186">
        <f t="shared" si="53"/>
        <v>300836574.67225748</v>
      </c>
      <c r="CF31" s="169"/>
      <c r="CG31" s="193">
        <v>87575241</v>
      </c>
      <c r="CH31" s="357">
        <v>469316</v>
      </c>
      <c r="CI31" s="194">
        <f>25056230-3156.18</f>
        <v>25053073.82</v>
      </c>
      <c r="CJ31" s="194">
        <v>91665711</v>
      </c>
      <c r="CK31" s="492">
        <f t="shared" si="45"/>
        <v>71534296.12613152</v>
      </c>
      <c r="CL31" s="490">
        <v>32420951</v>
      </c>
      <c r="CM31" s="192">
        <v>3073655</v>
      </c>
      <c r="CN31" s="442">
        <f t="shared" si="54"/>
        <v>311792243.94613153</v>
      </c>
      <c r="CO31" s="169"/>
      <c r="CP31" s="491">
        <f>92379298</f>
        <v>92379298</v>
      </c>
      <c r="CQ31" s="494">
        <v>476260</v>
      </c>
      <c r="CR31" s="492">
        <f>26204292-5628.21</f>
        <v>26198663.789999999</v>
      </c>
      <c r="CS31" s="492">
        <f t="shared" si="64"/>
        <v>87796589.042419568</v>
      </c>
      <c r="CT31" s="492">
        <f t="shared" si="65"/>
        <v>73638920.685667306</v>
      </c>
      <c r="CU31" s="490">
        <f t="shared" si="46"/>
        <v>31414357.227488153</v>
      </c>
      <c r="CV31" s="621">
        <f t="shared" si="59"/>
        <v>3206493.3810029957</v>
      </c>
      <c r="CW31" s="497">
        <f t="shared" si="56"/>
        <v>315110582.12657809</v>
      </c>
      <c r="CX31" s="169"/>
      <c r="CY31" s="419"/>
      <c r="CZ31" s="494"/>
      <c r="DA31" s="492"/>
      <c r="DB31" s="492"/>
      <c r="DC31" s="492"/>
      <c r="DD31" s="490"/>
      <c r="DE31" s="490"/>
      <c r="DF31" s="497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</row>
    <row r="32" spans="1:124" ht="13.8" thickBot="1">
      <c r="A32" s="977"/>
      <c r="B32" s="141" t="s">
        <v>13</v>
      </c>
      <c r="D32" s="136">
        <v>77572801</v>
      </c>
      <c r="E32" s="137">
        <f t="shared" si="33"/>
        <v>626894.3124758593</v>
      </c>
      <c r="F32" s="137">
        <f>22829849-E32</f>
        <v>22202954.68752414</v>
      </c>
      <c r="G32" s="137">
        <v>71302549</v>
      </c>
      <c r="H32" s="137">
        <v>67861111</v>
      </c>
      <c r="I32" s="137">
        <v>21523662</v>
      </c>
      <c r="J32" s="137">
        <v>2022585</v>
      </c>
      <c r="K32" s="138">
        <f t="shared" si="34"/>
        <v>263112557</v>
      </c>
      <c r="M32" s="136">
        <v>83123206</v>
      </c>
      <c r="N32" s="137">
        <f t="shared" si="35"/>
        <v>484791.82760396547</v>
      </c>
      <c r="O32" s="137">
        <f>23544144-N32</f>
        <v>23059352.172396034</v>
      </c>
      <c r="P32" s="137">
        <v>90345446</v>
      </c>
      <c r="Q32" s="137">
        <v>70506894</v>
      </c>
      <c r="R32" s="137">
        <v>22763786</v>
      </c>
      <c r="S32" s="137">
        <v>2272004</v>
      </c>
      <c r="T32" s="186">
        <f t="shared" si="36"/>
        <v>292555480</v>
      </c>
      <c r="V32" s="187">
        <v>83759829</v>
      </c>
      <c r="W32" s="139">
        <f t="shared" si="37"/>
        <v>460680.92571134283</v>
      </c>
      <c r="X32" s="139">
        <f>24420589-W32</f>
        <v>23959908.074288659</v>
      </c>
      <c r="Y32" s="137">
        <v>90803584</v>
      </c>
      <c r="Z32" s="137">
        <v>72679213</v>
      </c>
      <c r="AA32" s="139">
        <v>24055634</v>
      </c>
      <c r="AB32" s="139">
        <v>2475807</v>
      </c>
      <c r="AC32" s="186">
        <f t="shared" si="38"/>
        <v>298194656</v>
      </c>
      <c r="AE32" s="187">
        <v>87970145</v>
      </c>
      <c r="AF32" s="139">
        <f t="shared" si="39"/>
        <v>444104.46440066944</v>
      </c>
      <c r="AG32" s="139">
        <f>25152317-AF32</f>
        <v>24708212.535599332</v>
      </c>
      <c r="AH32" s="139">
        <v>89094198</v>
      </c>
      <c r="AI32" s="139">
        <v>71744055</v>
      </c>
      <c r="AJ32" s="139">
        <v>25468006</v>
      </c>
      <c r="AK32" s="139">
        <v>2699091</v>
      </c>
      <c r="AL32" s="186">
        <f t="shared" si="40"/>
        <v>302127812</v>
      </c>
      <c r="AN32" s="187">
        <v>99062856</v>
      </c>
      <c r="AO32" s="139">
        <f t="shared" si="41"/>
        <v>420633.28827088961</v>
      </c>
      <c r="AP32" s="139">
        <f>27592651-AO32</f>
        <v>27172017.711729109</v>
      </c>
      <c r="AQ32" s="137">
        <v>94064388</v>
      </c>
      <c r="AR32" s="137">
        <v>64195079</v>
      </c>
      <c r="AS32" s="139">
        <v>32158318</v>
      </c>
      <c r="AT32" s="139">
        <v>2877735</v>
      </c>
      <c r="AU32" s="142">
        <f t="shared" si="42"/>
        <v>319951027</v>
      </c>
      <c r="AW32" s="187">
        <v>88949986</v>
      </c>
      <c r="AX32" s="137">
        <f t="shared" si="43"/>
        <v>424224.52362559544</v>
      </c>
      <c r="AY32" s="137">
        <f t="shared" si="43"/>
        <v>23827731.830178961</v>
      </c>
      <c r="AZ32" s="137">
        <v>94118650</v>
      </c>
      <c r="BA32" s="137">
        <v>61619351</v>
      </c>
      <c r="BB32" s="139">
        <v>27734190</v>
      </c>
      <c r="BC32" s="139">
        <v>2945375</v>
      </c>
      <c r="BD32" s="186">
        <f t="shared" si="47"/>
        <v>299619508.35380459</v>
      </c>
      <c r="BF32" s="193">
        <v>87819963</v>
      </c>
      <c r="BG32" s="194">
        <f t="shared" si="44"/>
        <v>425415.37916827603</v>
      </c>
      <c r="BH32" s="194">
        <f>24352602-BG32</f>
        <v>23927186.620831724</v>
      </c>
      <c r="BI32" s="194">
        <v>94539745</v>
      </c>
      <c r="BJ32" s="194">
        <v>60763420</v>
      </c>
      <c r="BK32" s="195">
        <v>30830986</v>
      </c>
      <c r="BL32" s="196">
        <v>3068768</v>
      </c>
      <c r="BM32" s="186">
        <f t="shared" si="48"/>
        <v>301375484</v>
      </c>
      <c r="BO32" s="193">
        <v>93460069</v>
      </c>
      <c r="BP32" s="194">
        <f t="shared" si="63"/>
        <v>444573.19428350712</v>
      </c>
      <c r="BQ32" s="194">
        <f>24777605</f>
        <v>24777605</v>
      </c>
      <c r="BR32" s="492">
        <f>BR14/1.0356</f>
        <v>93708037.85245268</v>
      </c>
      <c r="BS32" s="492">
        <f t="shared" si="50"/>
        <v>62547673.721851744</v>
      </c>
      <c r="BT32" s="192">
        <v>28034881</v>
      </c>
      <c r="BU32" s="192">
        <v>3182609</v>
      </c>
      <c r="BV32" s="186">
        <f t="shared" si="51"/>
        <v>306155448.76858795</v>
      </c>
      <c r="BW32" s="169"/>
      <c r="BX32" s="193">
        <v>92314566</v>
      </c>
      <c r="BY32" s="169">
        <v>460585</v>
      </c>
      <c r="BZ32" s="194">
        <f>26068385-552.35</f>
        <v>26067832.649999999</v>
      </c>
      <c r="CA32" s="492">
        <f t="shared" si="60"/>
        <v>90962431.152768388</v>
      </c>
      <c r="CB32" s="492">
        <f t="shared" si="61"/>
        <v>63425646.96742747</v>
      </c>
      <c r="CC32" s="490">
        <v>30134684</v>
      </c>
      <c r="CD32" s="192">
        <v>3319440</v>
      </c>
      <c r="CE32" s="186">
        <f t="shared" si="53"/>
        <v>306685185.7701959</v>
      </c>
      <c r="CF32" s="169"/>
      <c r="CG32" s="193">
        <v>96437742</v>
      </c>
      <c r="CH32" s="357">
        <v>466623</v>
      </c>
      <c r="CI32" s="194">
        <f>27066079-4425.31</f>
        <v>27061653.690000001</v>
      </c>
      <c r="CJ32" s="194">
        <v>90793223</v>
      </c>
      <c r="CK32" s="492">
        <f t="shared" si="45"/>
        <v>63475593.686344288</v>
      </c>
      <c r="CL32" s="490">
        <v>29734917</v>
      </c>
      <c r="CM32" s="192">
        <v>3413612</v>
      </c>
      <c r="CN32" s="442">
        <f t="shared" si="54"/>
        <v>311383364.37634426</v>
      </c>
      <c r="CO32" s="169"/>
      <c r="CP32" s="491">
        <v>100699156</v>
      </c>
      <c r="CQ32" s="494">
        <v>474928</v>
      </c>
      <c r="CR32" s="492">
        <f>28592170-8363.15</f>
        <v>28583806.850000001</v>
      </c>
      <c r="CS32" s="492">
        <f>CS14/1.0349</f>
        <v>91954075.756111711</v>
      </c>
      <c r="CT32" s="492">
        <f t="shared" si="65"/>
        <v>66801818.604700193</v>
      </c>
      <c r="CU32" s="490">
        <f t="shared" si="46"/>
        <v>29847819.905213274</v>
      </c>
      <c r="CV32" s="621">
        <f t="shared" si="59"/>
        <v>3426750.4106676974</v>
      </c>
      <c r="CW32" s="497">
        <f t="shared" si="56"/>
        <v>321788355.52669293</v>
      </c>
      <c r="CX32" s="169"/>
      <c r="CY32" s="419"/>
      <c r="CZ32" s="494"/>
      <c r="DA32" s="492"/>
      <c r="DB32" s="492"/>
      <c r="DC32" s="492"/>
      <c r="DD32" s="490"/>
      <c r="DE32" s="490"/>
      <c r="DF32" s="497"/>
    </row>
    <row r="33" spans="1:124" ht="13.8" thickBot="1">
      <c r="A33" s="977"/>
      <c r="D33" s="187"/>
      <c r="E33" s="139"/>
      <c r="F33" s="139"/>
      <c r="G33" s="137"/>
      <c r="H33" s="137"/>
      <c r="I33" s="139"/>
      <c r="J33" s="139"/>
      <c r="K33" s="129"/>
      <c r="M33" s="197"/>
      <c r="N33" s="198"/>
      <c r="O33" s="198"/>
      <c r="P33" s="137"/>
      <c r="Q33" s="137"/>
      <c r="R33" s="198"/>
      <c r="S33" s="198"/>
      <c r="T33" s="199"/>
      <c r="V33" s="187"/>
      <c r="W33" s="139"/>
      <c r="X33" s="139"/>
      <c r="Y33" s="137"/>
      <c r="Z33" s="137"/>
      <c r="AA33" s="139"/>
      <c r="AB33" s="139"/>
      <c r="AC33" s="129"/>
      <c r="AE33" s="187"/>
      <c r="AF33" s="139"/>
      <c r="AG33" s="139"/>
      <c r="AH33" s="137"/>
      <c r="AI33" s="137"/>
      <c r="AJ33" s="139"/>
      <c r="AK33" s="139"/>
      <c r="AL33" s="129"/>
      <c r="AN33" s="187"/>
      <c r="AO33" s="139"/>
      <c r="AP33" s="139"/>
      <c r="AQ33" s="137"/>
      <c r="AR33" s="137"/>
      <c r="AS33" s="139"/>
      <c r="AT33" s="139"/>
      <c r="AU33" s="142"/>
      <c r="AW33" s="187"/>
      <c r="AX33" s="137"/>
      <c r="AY33" s="137"/>
      <c r="AZ33" s="137"/>
      <c r="BA33" s="137"/>
      <c r="BB33" s="139"/>
      <c r="BC33" s="139"/>
      <c r="BD33" s="129"/>
      <c r="BF33" s="117"/>
      <c r="BG33" s="77"/>
      <c r="BH33" s="77"/>
      <c r="BI33" s="77"/>
      <c r="BJ33" s="77"/>
      <c r="BK33" s="116"/>
      <c r="BL33" s="116"/>
      <c r="BM33" s="129"/>
      <c r="BO33" s="117"/>
      <c r="BP33" s="77"/>
      <c r="BQ33" s="77"/>
      <c r="BR33" s="77"/>
      <c r="BS33" s="77"/>
      <c r="BT33" s="116"/>
      <c r="BU33" s="116"/>
      <c r="BV33" s="129"/>
      <c r="BW33" s="169"/>
      <c r="BX33" s="117"/>
      <c r="BY33" s="77"/>
      <c r="BZ33" s="77"/>
      <c r="CA33" s="77"/>
      <c r="CB33" s="77"/>
      <c r="CC33" s="116"/>
      <c r="CD33" s="116"/>
      <c r="CE33" s="129"/>
      <c r="CG33" s="117"/>
      <c r="CH33" s="415"/>
      <c r="CI33" s="415"/>
      <c r="CJ33" s="415"/>
      <c r="CK33" s="415"/>
      <c r="CL33" s="116"/>
      <c r="CM33" s="116"/>
      <c r="CN33" s="129"/>
      <c r="CP33" s="117"/>
      <c r="CQ33" s="415"/>
      <c r="CR33" s="415"/>
      <c r="CS33" s="415"/>
      <c r="CT33" s="415"/>
      <c r="CU33" s="116"/>
      <c r="CV33" s="116"/>
      <c r="CW33" s="129"/>
      <c r="CY33" s="117"/>
      <c r="CZ33" s="415"/>
      <c r="DA33" s="415"/>
      <c r="DB33" s="415"/>
      <c r="DC33" s="415"/>
      <c r="DD33" s="116"/>
      <c r="DE33" s="116"/>
      <c r="DF33" s="12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</row>
    <row r="34" spans="1:124" s="1" customFormat="1" ht="13.8" thickBot="1">
      <c r="A34" s="984"/>
      <c r="B34" s="200" t="s">
        <v>65</v>
      </c>
      <c r="D34" s="201">
        <f>SUM(D21:D32)</f>
        <v>918500653</v>
      </c>
      <c r="E34" s="202">
        <v>7790541</v>
      </c>
      <c r="F34" s="202">
        <f t="shared" ref="F34:K34" si="66">SUM(F21:F32)</f>
        <v>261424109.25028968</v>
      </c>
      <c r="G34" s="202">
        <f t="shared" si="66"/>
        <v>996032849</v>
      </c>
      <c r="H34" s="202">
        <f t="shared" si="66"/>
        <v>845121401</v>
      </c>
      <c r="I34" s="202">
        <f t="shared" si="66"/>
        <v>281784328</v>
      </c>
      <c r="J34" s="202">
        <f t="shared" si="66"/>
        <v>19110906</v>
      </c>
      <c r="K34" s="203">
        <f t="shared" si="66"/>
        <v>3329496978</v>
      </c>
      <c r="M34" s="201">
        <f>SUM(M21:M32)</f>
        <v>933226371</v>
      </c>
      <c r="N34" s="202">
        <v>6024605</v>
      </c>
      <c r="O34" s="202">
        <f t="shared" ref="O34:T34" si="67">SUM(O21:O32)</f>
        <v>264110001.06875241</v>
      </c>
      <c r="P34" s="202">
        <f t="shared" si="67"/>
        <v>1045682449</v>
      </c>
      <c r="Q34" s="202">
        <f t="shared" si="67"/>
        <v>922941932</v>
      </c>
      <c r="R34" s="202">
        <f t="shared" si="67"/>
        <v>290318118</v>
      </c>
      <c r="S34" s="202">
        <f t="shared" si="67"/>
        <v>20964267</v>
      </c>
      <c r="T34" s="203">
        <f t="shared" si="67"/>
        <v>3483060640</v>
      </c>
      <c r="V34" s="201">
        <f>SUM(V21:V32)</f>
        <v>1066310557</v>
      </c>
      <c r="W34" s="202">
        <v>5724974</v>
      </c>
      <c r="X34" s="202">
        <f t="shared" ref="X34:AC34" si="68">SUM(X21:X32)</f>
        <v>288084105.89146394</v>
      </c>
      <c r="Y34" s="202">
        <f t="shared" si="68"/>
        <v>1083191856</v>
      </c>
      <c r="Z34" s="202">
        <f t="shared" si="68"/>
        <v>954061083</v>
      </c>
      <c r="AA34" s="202">
        <f t="shared" si="68"/>
        <v>304422360</v>
      </c>
      <c r="AB34" s="202">
        <f t="shared" si="68"/>
        <v>21908421</v>
      </c>
      <c r="AC34" s="203">
        <f t="shared" si="68"/>
        <v>3723506554</v>
      </c>
      <c r="AE34" s="201">
        <f>SUM(AE21:AE32)</f>
        <v>1048377643</v>
      </c>
      <c r="AF34" s="202">
        <v>5518975</v>
      </c>
      <c r="AG34" s="202">
        <f t="shared" ref="AG34:AL34" si="69">SUM(AG21:AG32)</f>
        <v>284540829.42719191</v>
      </c>
      <c r="AH34" s="202">
        <f t="shared" si="69"/>
        <v>1087841236</v>
      </c>
      <c r="AI34" s="202">
        <f t="shared" si="69"/>
        <v>956594596</v>
      </c>
      <c r="AJ34" s="202">
        <f t="shared" si="69"/>
        <v>336258688</v>
      </c>
      <c r="AK34" s="202">
        <f t="shared" si="69"/>
        <v>23945845</v>
      </c>
      <c r="AL34" s="203">
        <f t="shared" si="69"/>
        <v>3742888091</v>
      </c>
      <c r="AN34" s="201">
        <f>SUM(AN21:AN32)</f>
        <v>1102307660</v>
      </c>
      <c r="AO34" s="202">
        <v>5227294</v>
      </c>
      <c r="AP34" s="202">
        <f t="shared" ref="AP34:AU34" si="70">SUM(AP21:AP32)</f>
        <v>298800346.54074931</v>
      </c>
      <c r="AQ34" s="202">
        <f t="shared" si="70"/>
        <v>1109860660</v>
      </c>
      <c r="AR34" s="202">
        <f t="shared" si="70"/>
        <v>942107165</v>
      </c>
      <c r="AS34" s="202">
        <f t="shared" si="70"/>
        <v>355328442</v>
      </c>
      <c r="AT34" s="202">
        <f t="shared" si="70"/>
        <v>25787803</v>
      </c>
      <c r="AU34" s="203">
        <f t="shared" si="70"/>
        <v>3839239676</v>
      </c>
      <c r="AW34" s="201">
        <f>SUM(AW21:AW32)</f>
        <v>1089634508</v>
      </c>
      <c r="AX34" s="202">
        <v>5271923</v>
      </c>
      <c r="AY34" s="202">
        <f t="shared" ref="AY34:BD34" si="71">SUM(AY21:AY32)</f>
        <v>287917099.26612592</v>
      </c>
      <c r="AZ34" s="202">
        <f t="shared" si="71"/>
        <v>1112932553</v>
      </c>
      <c r="BA34" s="202">
        <f t="shared" si="71"/>
        <v>869447202</v>
      </c>
      <c r="BB34" s="202">
        <f t="shared" si="71"/>
        <v>387302296</v>
      </c>
      <c r="BC34" s="202">
        <f t="shared" si="71"/>
        <v>26696674</v>
      </c>
      <c r="BD34" s="203">
        <f t="shared" si="71"/>
        <v>3779021026.549633</v>
      </c>
      <c r="BF34" s="201">
        <f>SUM(BF21:BF32)</f>
        <v>1088557819</v>
      </c>
      <c r="BG34" s="201">
        <f>SUM(BG21:BG32)</f>
        <v>5104984.5500193126</v>
      </c>
      <c r="BH34" s="202">
        <f>SUM(BH21:BH32)</f>
        <v>283991997.44998068</v>
      </c>
      <c r="BI34" s="202">
        <f>SUM(BI21:BI32)</f>
        <v>1081007720</v>
      </c>
      <c r="BJ34" s="202">
        <f>SUM(BJ21:BJ32)</f>
        <v>788185444</v>
      </c>
      <c r="BK34" s="202">
        <f t="shared" ref="BK34:BM34" si="72">SUM(BK21:BK32)</f>
        <v>342523390</v>
      </c>
      <c r="BL34" s="202">
        <f t="shared" si="72"/>
        <v>27343426</v>
      </c>
      <c r="BM34" s="203">
        <f t="shared" si="72"/>
        <v>3616714781</v>
      </c>
      <c r="BO34" s="201">
        <f>SUM(BO21:BO32)</f>
        <v>1171315280</v>
      </c>
      <c r="BP34" s="202">
        <f t="shared" ref="BP34:BV34" si="73">SUM(BP21:BP32)</f>
        <v>5197576.365005793</v>
      </c>
      <c r="BQ34" s="202">
        <f t="shared" si="73"/>
        <v>291782860</v>
      </c>
      <c r="BR34" s="202">
        <f t="shared" si="73"/>
        <v>1088985441.2900734</v>
      </c>
      <c r="BS34" s="202">
        <f t="shared" si="73"/>
        <v>839914784.96182454</v>
      </c>
      <c r="BT34" s="202">
        <f t="shared" si="73"/>
        <v>363198797</v>
      </c>
      <c r="BU34" s="202">
        <f t="shared" si="73"/>
        <v>28336125</v>
      </c>
      <c r="BV34" s="203">
        <f t="shared" si="73"/>
        <v>3788730864.6169038</v>
      </c>
      <c r="BX34" s="201">
        <f>SUM(BX21:BX32)</f>
        <v>1190237359</v>
      </c>
      <c r="BY34" s="202">
        <f>SUM(BY21:BY33)</f>
        <v>5450025</v>
      </c>
      <c r="BZ34" s="202">
        <f t="shared" ref="BZ34:CE34" si="74">SUM(BZ21:BZ32)</f>
        <v>309962282.28999996</v>
      </c>
      <c r="CA34" s="202">
        <f t="shared" si="74"/>
        <v>1100145273.7238808</v>
      </c>
      <c r="CB34" s="202">
        <f t="shared" si="74"/>
        <v>830895242.85765326</v>
      </c>
      <c r="CC34" s="202">
        <f t="shared" si="74"/>
        <v>394428511</v>
      </c>
      <c r="CD34" s="202">
        <f t="shared" si="74"/>
        <v>29752537.486288141</v>
      </c>
      <c r="CE34" s="203">
        <f t="shared" si="74"/>
        <v>3860871231.3578219</v>
      </c>
      <c r="CG34" s="201">
        <f>SUM(CG21:CG32)</f>
        <v>1212040627</v>
      </c>
      <c r="CH34" s="202">
        <f>SUM(CH21:CH33)</f>
        <v>5562245</v>
      </c>
      <c r="CI34" s="202">
        <f t="shared" ref="CI34:CN34" si="75">SUM(CI21:CI32)</f>
        <v>315917674.04000002</v>
      </c>
      <c r="CJ34" s="202">
        <f t="shared" si="75"/>
        <v>1101990612.5347376</v>
      </c>
      <c r="CK34" s="202">
        <f t="shared" si="75"/>
        <v>858711126.76622808</v>
      </c>
      <c r="CL34" s="202">
        <f t="shared" si="75"/>
        <v>402243669</v>
      </c>
      <c r="CM34" s="202">
        <f t="shared" si="75"/>
        <v>30597265</v>
      </c>
      <c r="CN34" s="203">
        <f t="shared" si="75"/>
        <v>3927063219.3409657</v>
      </c>
      <c r="CP34" s="201">
        <f>SUM(CP21:CP32)</f>
        <v>1198023626</v>
      </c>
      <c r="CQ34" s="202">
        <f>SUM(CQ21:CQ33)</f>
        <v>5706945</v>
      </c>
      <c r="CR34" s="202">
        <f t="shared" ref="CR34:CW34" si="76">SUM(CR21:CR32)</f>
        <v>323299858.31000006</v>
      </c>
      <c r="CS34" s="202">
        <f t="shared" si="76"/>
        <v>1084942787.3014786</v>
      </c>
      <c r="CT34" s="202">
        <f t="shared" si="76"/>
        <v>868876684.12686646</v>
      </c>
      <c r="CU34" s="202">
        <f t="shared" si="76"/>
        <v>380451261.84834135</v>
      </c>
      <c r="CV34" s="202">
        <f>SUM(CV21:CV32)</f>
        <v>31295952.417045128</v>
      </c>
      <c r="CW34" s="203">
        <f t="shared" si="76"/>
        <v>3892597115.0037313</v>
      </c>
      <c r="CY34" s="201">
        <f>SUM(CY21:CY32)</f>
        <v>0</v>
      </c>
      <c r="CZ34" s="202">
        <f>SUM(CZ21:CZ33)</f>
        <v>0</v>
      </c>
      <c r="DA34" s="202">
        <f t="shared" ref="DA34:DF34" si="77">SUM(DA21:DA32)</f>
        <v>0</v>
      </c>
      <c r="DB34" s="202">
        <f t="shared" si="77"/>
        <v>0</v>
      </c>
      <c r="DC34" s="202">
        <f t="shared" si="77"/>
        <v>0</v>
      </c>
      <c r="DD34" s="202">
        <f t="shared" si="77"/>
        <v>0</v>
      </c>
      <c r="DE34" s="202">
        <f t="shared" si="77"/>
        <v>0</v>
      </c>
      <c r="DF34" s="203">
        <f t="shared" si="77"/>
        <v>0</v>
      </c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s="116" customFormat="1">
      <c r="B35" s="78"/>
      <c r="D35" s="204"/>
      <c r="E35" s="205"/>
      <c r="F35" s="205"/>
      <c r="G35" s="205"/>
      <c r="H35" s="205"/>
      <c r="I35" s="205"/>
      <c r="J35" s="205"/>
      <c r="K35" s="206"/>
      <c r="M35" s="204"/>
      <c r="N35" s="205"/>
      <c r="O35" s="205"/>
      <c r="P35" s="205"/>
      <c r="Q35" s="205"/>
      <c r="R35" s="205"/>
      <c r="S35" s="205"/>
      <c r="T35" s="206"/>
      <c r="V35" s="204"/>
      <c r="W35" s="205"/>
      <c r="X35" s="205"/>
      <c r="Y35" s="205"/>
      <c r="Z35" s="205"/>
      <c r="AA35" s="205"/>
      <c r="AB35" s="205"/>
      <c r="AC35" s="206"/>
      <c r="AE35" s="204"/>
      <c r="AF35" s="205"/>
      <c r="AG35" s="205"/>
      <c r="AH35" s="205"/>
      <c r="AI35" s="205"/>
      <c r="AJ35" s="205"/>
      <c r="AK35" s="205"/>
      <c r="AL35" s="206"/>
      <c r="AN35" s="204"/>
      <c r="AO35" s="205"/>
      <c r="AP35" s="205"/>
      <c r="AQ35" s="205"/>
      <c r="AR35" s="205"/>
      <c r="AS35" s="205"/>
      <c r="AT35" s="205"/>
      <c r="AU35" s="207"/>
      <c r="AW35" s="204"/>
      <c r="AX35" s="205"/>
      <c r="AY35" s="205"/>
      <c r="AZ35" s="205"/>
      <c r="BA35" s="205"/>
      <c r="BB35" s="205"/>
      <c r="BC35" s="205"/>
      <c r="BD35" s="206"/>
      <c r="BF35" s="208"/>
      <c r="BG35" s="209"/>
      <c r="BH35" s="209"/>
      <c r="BI35" s="209"/>
      <c r="BJ35" s="209"/>
      <c r="BK35" s="209"/>
      <c r="BL35" s="209"/>
      <c r="BM35" s="206"/>
      <c r="BO35" s="208"/>
      <c r="BP35" s="209"/>
      <c r="BQ35" s="209"/>
      <c r="BR35" s="209"/>
      <c r="BS35" s="209"/>
      <c r="BT35" s="209"/>
      <c r="BU35" s="209"/>
      <c r="BV35" s="206"/>
      <c r="BX35" s="212"/>
      <c r="BY35" s="213"/>
      <c r="BZ35" s="213"/>
      <c r="CA35" s="213"/>
      <c r="CB35" s="213"/>
      <c r="CC35" s="233"/>
      <c r="CD35" s="213"/>
      <c r="CE35" s="605"/>
      <c r="CG35" s="208"/>
      <c r="CH35" s="209"/>
      <c r="CI35" s="209"/>
      <c r="CJ35" s="209"/>
      <c r="CK35" s="209"/>
      <c r="CL35" s="209"/>
      <c r="CM35" s="502"/>
      <c r="CN35" s="206"/>
      <c r="CP35" s="208"/>
      <c r="CQ35" s="209"/>
      <c r="CR35" s="209"/>
      <c r="CS35" s="209"/>
      <c r="CT35" s="209"/>
      <c r="CU35" s="209"/>
      <c r="CV35" s="209"/>
      <c r="CW35" s="206"/>
      <c r="CY35" s="208"/>
      <c r="CZ35" s="209"/>
      <c r="DA35" s="209"/>
      <c r="DB35" s="209"/>
      <c r="DC35" s="209"/>
      <c r="DD35" s="209"/>
      <c r="DE35" s="209"/>
      <c r="DF35" s="206"/>
    </row>
    <row r="36" spans="1:124" s="116" customFormat="1" ht="13.8" thickBot="1">
      <c r="B36" s="78"/>
      <c r="D36" s="197"/>
      <c r="E36" s="198"/>
      <c r="F36" s="198"/>
      <c r="G36" s="198"/>
      <c r="H36" s="198"/>
      <c r="I36" s="198"/>
      <c r="J36" s="198"/>
      <c r="K36" s="210"/>
      <c r="M36" s="197"/>
      <c r="N36" s="198"/>
      <c r="O36" s="198"/>
      <c r="P36" s="198"/>
      <c r="Q36" s="198"/>
      <c r="R36" s="198"/>
      <c r="S36" s="198"/>
      <c r="T36" s="210"/>
      <c r="V36" s="197"/>
      <c r="W36" s="198"/>
      <c r="X36" s="198"/>
      <c r="Y36" s="198"/>
      <c r="Z36" s="198"/>
      <c r="AA36" s="198"/>
      <c r="AB36" s="198"/>
      <c r="AC36" s="210"/>
      <c r="AE36" s="197"/>
      <c r="AF36" s="198"/>
      <c r="AG36" s="198"/>
      <c r="AH36" s="198"/>
      <c r="AI36" s="198"/>
      <c r="AJ36" s="198"/>
      <c r="AK36" s="198"/>
      <c r="AL36" s="210"/>
      <c r="AN36" s="197"/>
      <c r="AO36" s="198"/>
      <c r="AP36" s="198"/>
      <c r="AQ36" s="198"/>
      <c r="AR36" s="198"/>
      <c r="AS36" s="198"/>
      <c r="AT36" s="198"/>
      <c r="AU36" s="211"/>
      <c r="AW36" s="197"/>
      <c r="AX36" s="198"/>
      <c r="AY36" s="198"/>
      <c r="AZ36" s="198"/>
      <c r="BA36" s="198"/>
      <c r="BB36" s="198"/>
      <c r="BC36" s="198"/>
      <c r="BD36" s="210"/>
      <c r="BF36" s="212"/>
      <c r="BG36" s="213"/>
      <c r="BH36" s="213"/>
      <c r="BI36" s="213"/>
      <c r="BJ36" s="213"/>
      <c r="BK36" s="213"/>
      <c r="BL36" s="213"/>
      <c r="BM36" s="210"/>
      <c r="BO36" s="212"/>
      <c r="BP36" s="213"/>
      <c r="BQ36" s="213"/>
      <c r="BR36" s="213"/>
      <c r="BS36" s="213"/>
      <c r="BT36" s="213"/>
      <c r="BU36" s="213"/>
      <c r="BV36" s="210"/>
      <c r="BX36" s="212"/>
      <c r="BY36" s="213"/>
      <c r="BZ36" s="213"/>
      <c r="CA36" s="213"/>
      <c r="CB36" s="213"/>
      <c r="CC36" s="213"/>
      <c r="CD36" s="213"/>
      <c r="CE36" s="210"/>
      <c r="CG36" s="212"/>
      <c r="CH36" s="213"/>
      <c r="CI36" s="213"/>
      <c r="CJ36" s="213"/>
      <c r="CK36" s="213"/>
      <c r="CL36" s="213"/>
      <c r="CM36" s="213"/>
      <c r="CN36" s="210"/>
      <c r="CP36" s="212"/>
      <c r="CQ36" s="213"/>
      <c r="CR36" s="213"/>
      <c r="CS36" s="213"/>
      <c r="CT36" s="213"/>
      <c r="CU36" s="213"/>
      <c r="CV36" s="213"/>
      <c r="CW36" s="210"/>
      <c r="CY36" s="212"/>
      <c r="CZ36" s="213"/>
      <c r="DA36" s="213"/>
      <c r="DB36" s="213"/>
      <c r="DC36" s="213"/>
      <c r="DD36" s="213"/>
      <c r="DE36" s="213"/>
      <c r="DF36" s="210"/>
    </row>
    <row r="37" spans="1:124" ht="13.8" thickBot="1">
      <c r="D37" s="985" t="s">
        <v>74</v>
      </c>
      <c r="E37" s="986"/>
      <c r="F37" s="986"/>
      <c r="G37" s="986"/>
      <c r="H37" s="986"/>
      <c r="I37" s="986"/>
      <c r="J37" s="986"/>
      <c r="K37" s="987"/>
      <c r="M37" s="985" t="s">
        <v>74</v>
      </c>
      <c r="N37" s="986"/>
      <c r="O37" s="986"/>
      <c r="P37" s="986"/>
      <c r="Q37" s="986"/>
      <c r="R37" s="986"/>
      <c r="S37" s="986"/>
      <c r="T37" s="987"/>
      <c r="V37" s="985" t="s">
        <v>74</v>
      </c>
      <c r="W37" s="986"/>
      <c r="X37" s="986"/>
      <c r="Y37" s="986"/>
      <c r="Z37" s="986"/>
      <c r="AA37" s="986"/>
      <c r="AB37" s="986"/>
      <c r="AC37" s="987"/>
      <c r="AE37" s="985" t="s">
        <v>74</v>
      </c>
      <c r="AF37" s="986"/>
      <c r="AG37" s="988"/>
      <c r="AH37" s="988"/>
      <c r="AI37" s="988"/>
      <c r="AJ37" s="988"/>
      <c r="AK37" s="988"/>
      <c r="AL37" s="989"/>
      <c r="AM37" s="128"/>
      <c r="AN37" s="985" t="s">
        <v>74</v>
      </c>
      <c r="AO37" s="986"/>
      <c r="AP37" s="988"/>
      <c r="AQ37" s="988"/>
      <c r="AR37" s="988"/>
      <c r="AS37" s="988"/>
      <c r="AT37" s="988"/>
      <c r="AU37" s="989"/>
      <c r="AV37" s="128"/>
      <c r="AW37" s="990" t="s">
        <v>74</v>
      </c>
      <c r="AX37" s="991"/>
      <c r="AY37" s="991"/>
      <c r="AZ37" s="991"/>
      <c r="BA37" s="991"/>
      <c r="BB37" s="991"/>
      <c r="BC37" s="992"/>
      <c r="BD37" s="993"/>
      <c r="BE37" s="46"/>
      <c r="BF37" s="990" t="s">
        <v>74</v>
      </c>
      <c r="BG37" s="991"/>
      <c r="BH37" s="991"/>
      <c r="BI37" s="991"/>
      <c r="BJ37" s="991"/>
      <c r="BK37" s="991"/>
      <c r="BL37" s="992"/>
      <c r="BM37" s="993"/>
      <c r="BN37" s="46"/>
      <c r="BO37" s="990" t="s">
        <v>74</v>
      </c>
      <c r="BP37" s="991"/>
      <c r="BQ37" s="991"/>
      <c r="BR37" s="991"/>
      <c r="BS37" s="991"/>
      <c r="BT37" s="991"/>
      <c r="BU37" s="992"/>
      <c r="BV37" s="993"/>
      <c r="BW37" s="46"/>
      <c r="BX37" s="990" t="s">
        <v>74</v>
      </c>
      <c r="BY37" s="991"/>
      <c r="BZ37" s="991"/>
      <c r="CA37" s="991"/>
      <c r="CB37" s="991"/>
      <c r="CC37" s="991"/>
      <c r="CD37" s="992"/>
      <c r="CE37" s="993"/>
      <c r="CF37" s="46"/>
      <c r="CG37" s="990" t="s">
        <v>74</v>
      </c>
      <c r="CH37" s="991"/>
      <c r="CI37" s="991"/>
      <c r="CJ37" s="991"/>
      <c r="CK37" s="991"/>
      <c r="CL37" s="991"/>
      <c r="CM37" s="992"/>
      <c r="CN37" s="993"/>
      <c r="CO37" s="46"/>
      <c r="CP37" s="990" t="s">
        <v>74</v>
      </c>
      <c r="CQ37" s="991"/>
      <c r="CR37" s="991"/>
      <c r="CS37" s="991"/>
      <c r="CT37" s="991"/>
      <c r="CU37" s="991"/>
      <c r="CV37" s="992"/>
      <c r="CW37" s="993"/>
      <c r="CX37" s="46"/>
      <c r="CY37" s="990" t="s">
        <v>74</v>
      </c>
      <c r="CZ37" s="991"/>
      <c r="DA37" s="991"/>
      <c r="DB37" s="991"/>
      <c r="DC37" s="991"/>
      <c r="DD37" s="991"/>
      <c r="DE37" s="992"/>
      <c r="DF37" s="993"/>
      <c r="DH37" s="460"/>
      <c r="DI37" s="460"/>
      <c r="DJ37" s="460"/>
      <c r="DK37" s="460"/>
      <c r="DL37" s="460"/>
      <c r="DM37" s="460"/>
      <c r="DN37" s="460"/>
    </row>
    <row r="38" spans="1:124">
      <c r="A38" s="976" t="s">
        <v>75</v>
      </c>
      <c r="B38" s="214" t="s">
        <v>3</v>
      </c>
      <c r="D38" s="215">
        <f>D3/D21</f>
        <v>1.0356519600055616</v>
      </c>
      <c r="E38" s="216">
        <f t="shared" ref="E38:K38" si="78">E3/E21</f>
        <v>1.0356000000000001</v>
      </c>
      <c r="F38" s="216">
        <f t="shared" si="78"/>
        <v>1.0356000143560387</v>
      </c>
      <c r="G38" s="216">
        <f t="shared" si="78"/>
        <v>1.0355261543769942</v>
      </c>
      <c r="H38" s="216">
        <f t="shared" si="78"/>
        <v>1.0343548855527815</v>
      </c>
      <c r="I38" s="216">
        <f t="shared" si="78"/>
        <v>1.0127342715908088</v>
      </c>
      <c r="J38" s="216">
        <f t="shared" si="78"/>
        <v>1.0355995938381877</v>
      </c>
      <c r="K38" s="217">
        <f t="shared" si="78"/>
        <v>1.0336059339647947</v>
      </c>
      <c r="M38" s="215">
        <f>M3/M21</f>
        <v>1.035600756463684</v>
      </c>
      <c r="N38" s="216">
        <f t="shared" ref="N38:T38" si="79">N3/N21</f>
        <v>1.0356000000000001</v>
      </c>
      <c r="O38" s="216">
        <f t="shared" si="79"/>
        <v>1.0356001903340906</v>
      </c>
      <c r="P38" s="216">
        <f t="shared" si="79"/>
        <v>1.035504828611066</v>
      </c>
      <c r="Q38" s="216">
        <f t="shared" si="79"/>
        <v>1.0346172579835258</v>
      </c>
      <c r="R38" s="216">
        <f t="shared" si="79"/>
        <v>1.0127746067270542</v>
      </c>
      <c r="S38" s="216">
        <f t="shared" si="79"/>
        <v>1.0355998081393709</v>
      </c>
      <c r="T38" s="217">
        <f t="shared" si="79"/>
        <v>1.0336316566660355</v>
      </c>
      <c r="V38" s="215">
        <f>V3/V21</f>
        <v>1.0355975593968147</v>
      </c>
      <c r="W38" s="216">
        <f t="shared" ref="W38:AC38" si="80">W3/W21</f>
        <v>1.0356000000000001</v>
      </c>
      <c r="X38" s="216">
        <f t="shared" si="80"/>
        <v>1.0356003149127653</v>
      </c>
      <c r="Y38" s="216">
        <f t="shared" si="80"/>
        <v>1.0355329711823256</v>
      </c>
      <c r="Z38" s="216">
        <f t="shared" si="80"/>
        <v>1.0341070328751545</v>
      </c>
      <c r="AA38" s="216">
        <f t="shared" si="80"/>
        <v>1.0137175757091295</v>
      </c>
      <c r="AB38" s="216">
        <f t="shared" si="80"/>
        <v>1.0356002062162506</v>
      </c>
      <c r="AC38" s="217">
        <f t="shared" si="80"/>
        <v>1.0335214112878388</v>
      </c>
      <c r="AE38" s="215">
        <f>AE3/AE21</f>
        <v>1.0356003395259947</v>
      </c>
      <c r="AF38" s="216">
        <f t="shared" ref="AF38:AL38" si="81">AF3/AF21</f>
        <v>1.0356000000000001</v>
      </c>
      <c r="AG38" s="216">
        <f t="shared" si="81"/>
        <v>1.0355998595120373</v>
      </c>
      <c r="AH38" s="216">
        <f t="shared" si="81"/>
        <v>1.0355419028925303</v>
      </c>
      <c r="AI38" s="216">
        <f t="shared" si="81"/>
        <v>1.0345920403880913</v>
      </c>
      <c r="AJ38" s="216">
        <f t="shared" si="81"/>
        <v>1.0137256830991654</v>
      </c>
      <c r="AK38" s="216">
        <f t="shared" si="81"/>
        <v>1.0356002003337543</v>
      </c>
      <c r="AL38" s="217">
        <f t="shared" si="81"/>
        <v>1.0335904959743549</v>
      </c>
      <c r="AM38" s="218"/>
      <c r="AN38" s="215">
        <f>AN3/AN21</f>
        <v>1.0356013335814842</v>
      </c>
      <c r="AO38" s="216">
        <f t="shared" ref="AO38:AU38" si="82">AO3/AO21</f>
        <v>1.0356000000000001</v>
      </c>
      <c r="AP38" s="216">
        <f t="shared" si="82"/>
        <v>1.0355826482218327</v>
      </c>
      <c r="AQ38" s="216">
        <f t="shared" si="82"/>
        <v>1.0355550631563959</v>
      </c>
      <c r="AR38" s="216">
        <f t="shared" si="82"/>
        <v>1.0342950487253459</v>
      </c>
      <c r="AS38" s="216">
        <f t="shared" si="82"/>
        <v>1.0137336785887248</v>
      </c>
      <c r="AT38" s="216">
        <f t="shared" si="82"/>
        <v>1.0355998282656953</v>
      </c>
      <c r="AU38" s="217">
        <f t="shared" si="82"/>
        <v>1.0336321216416731</v>
      </c>
      <c r="AV38" s="219"/>
      <c r="AW38" s="215">
        <f>AW3/AW21</f>
        <v>1.0356007369525655</v>
      </c>
      <c r="AX38" s="216">
        <f t="shared" ref="AX38:BD38" si="83">AX3/AX21</f>
        <v>1.0356000000000001</v>
      </c>
      <c r="AY38" s="216">
        <f>AY3/AY21</f>
        <v>1.0356000000000001</v>
      </c>
      <c r="AZ38" s="216">
        <f t="shared" si="83"/>
        <v>1.0355756387332427</v>
      </c>
      <c r="BA38" s="216">
        <f t="shared" si="83"/>
        <v>1.0345014770081629</v>
      </c>
      <c r="BB38" s="216">
        <f t="shared" si="83"/>
        <v>1.0129619497725981</v>
      </c>
      <c r="BC38" s="216">
        <f t="shared" si="83"/>
        <v>1.0355998924784426</v>
      </c>
      <c r="BD38" s="217">
        <f t="shared" si="83"/>
        <v>1.0331272283334434</v>
      </c>
      <c r="BE38" s="46"/>
      <c r="BF38" s="215">
        <f>BF3/BF21</f>
        <v>1.0355995752022786</v>
      </c>
      <c r="BG38" s="216">
        <f t="shared" ref="BG38:BM38" si="84">BG3/BG21</f>
        <v>1.0356000000000001</v>
      </c>
      <c r="BH38" s="216">
        <f t="shared" si="84"/>
        <v>1.0355982633296879</v>
      </c>
      <c r="BI38" s="216">
        <f t="shared" si="84"/>
        <v>1.0355754549938196</v>
      </c>
      <c r="BJ38" s="216">
        <f t="shared" si="84"/>
        <v>1.0347677809328502</v>
      </c>
      <c r="BK38" s="216">
        <f t="shared" si="84"/>
        <v>1.0126927749114527</v>
      </c>
      <c r="BL38" s="216">
        <f t="shared" si="84"/>
        <v>1.0356001256146983</v>
      </c>
      <c r="BM38" s="217">
        <f t="shared" si="84"/>
        <v>1.0333824719678788</v>
      </c>
      <c r="BN38" s="46"/>
      <c r="BO38" s="215">
        <f>BO3/BO21</f>
        <v>1.0356001858049779</v>
      </c>
      <c r="BP38" s="216">
        <f t="shared" ref="BP38:BV38" si="85">BP3/BP21</f>
        <v>1.0356000000000001</v>
      </c>
      <c r="BQ38" s="216">
        <f t="shared" si="85"/>
        <v>1.0355978276627382</v>
      </c>
      <c r="BR38" s="216">
        <f t="shared" si="85"/>
        <v>1.0356000000000001</v>
      </c>
      <c r="BS38" s="216">
        <f t="shared" si="85"/>
        <v>1.0347</v>
      </c>
      <c r="BT38" s="216">
        <f t="shared" si="85"/>
        <v>1.0125850551885367</v>
      </c>
      <c r="BU38" s="216">
        <f t="shared" si="85"/>
        <v>1.0355998403409956</v>
      </c>
      <c r="BV38" s="217">
        <f t="shared" si="85"/>
        <v>1.0334238624037917</v>
      </c>
      <c r="BW38" s="46"/>
      <c r="BX38" s="215">
        <f>BX3/BX21</f>
        <v>1.0355983775262956</v>
      </c>
      <c r="BY38" s="216">
        <f t="shared" ref="BY38:CE38" si="86">BY3/BY21</f>
        <v>1.0355887116210658</v>
      </c>
      <c r="BZ38" s="216">
        <f t="shared" si="86"/>
        <v>1.0355986646261517</v>
      </c>
      <c r="CA38" s="216">
        <f t="shared" si="86"/>
        <v>1.0356000000000001</v>
      </c>
      <c r="CB38" s="216">
        <f t="shared" si="86"/>
        <v>1.0346963537595142</v>
      </c>
      <c r="CC38" s="216">
        <f t="shared" si="86"/>
        <v>1.0128277503374483</v>
      </c>
      <c r="CD38" s="216">
        <f t="shared" si="86"/>
        <v>1.0356000000000001</v>
      </c>
      <c r="CE38" s="217">
        <f t="shared" si="86"/>
        <v>1.0333224685560976</v>
      </c>
      <c r="CF38" s="46"/>
      <c r="CG38" s="215">
        <f>CG3/CG21</f>
        <v>1.0349001749511166</v>
      </c>
      <c r="CH38" s="216">
        <f t="shared" ref="CH38:CN38" si="87">CH3/CH21</f>
        <v>1.0348999999999999</v>
      </c>
      <c r="CI38" s="216">
        <f t="shared" si="87"/>
        <v>1.0348999998420665</v>
      </c>
      <c r="CJ38" s="216">
        <f t="shared" si="87"/>
        <v>1.0348999975027169</v>
      </c>
      <c r="CK38" s="216">
        <f t="shared" si="87"/>
        <v>1.034</v>
      </c>
      <c r="CL38" s="216">
        <f t="shared" si="87"/>
        <v>1.0128976977709665</v>
      </c>
      <c r="CM38" s="216">
        <f t="shared" si="87"/>
        <v>1.0348999999999999</v>
      </c>
      <c r="CN38" s="217">
        <f t="shared" si="87"/>
        <v>1.0325817692232242</v>
      </c>
      <c r="CO38" s="46"/>
      <c r="CP38" s="215">
        <f>CP3/CP21</f>
        <v>1.0348998616805551</v>
      </c>
      <c r="CQ38" s="216">
        <f t="shared" ref="CQ38:CW38" si="88">CQ3/CQ21</f>
        <v>1.0348928964452369</v>
      </c>
      <c r="CR38" s="216">
        <f t="shared" si="88"/>
        <v>1.0348979298626924</v>
      </c>
      <c r="CS38" s="216">
        <f t="shared" si="88"/>
        <v>1.0349000006361779</v>
      </c>
      <c r="CT38" s="216">
        <f>CT3/CT21</f>
        <v>1.034</v>
      </c>
      <c r="CU38" s="627">
        <f>CU3/CU21</f>
        <v>1.0127999999999999</v>
      </c>
      <c r="CV38" s="216">
        <f t="shared" si="88"/>
        <v>1.0348998894796537</v>
      </c>
      <c r="CW38" s="217">
        <f t="shared" si="88"/>
        <v>1.0326724052994389</v>
      </c>
      <c r="CX38" s="46"/>
      <c r="CY38" s="215" t="e">
        <f>CY3/CY21</f>
        <v>#DIV/0!</v>
      </c>
      <c r="CZ38" s="216" t="e">
        <f t="shared" ref="CZ38:DF38" si="89">CZ3/CZ21</f>
        <v>#DIV/0!</v>
      </c>
      <c r="DA38" s="216" t="e">
        <f t="shared" si="89"/>
        <v>#DIV/0!</v>
      </c>
      <c r="DB38" s="216" t="e">
        <f t="shared" si="89"/>
        <v>#DIV/0!</v>
      </c>
      <c r="DC38" s="216" t="e">
        <f t="shared" si="89"/>
        <v>#DIV/0!</v>
      </c>
      <c r="DD38" s="216" t="e">
        <f t="shared" si="89"/>
        <v>#DIV/0!</v>
      </c>
      <c r="DE38" s="216" t="e">
        <f t="shared" si="89"/>
        <v>#DIV/0!</v>
      </c>
      <c r="DF38" s="217" t="e">
        <f t="shared" si="89"/>
        <v>#DIV/0!</v>
      </c>
      <c r="DH38" s="460"/>
      <c r="DI38" s="460"/>
      <c r="DJ38" s="460"/>
      <c r="DK38" s="460"/>
      <c r="DL38" s="460"/>
      <c r="DM38" s="460"/>
      <c r="DN38" s="460"/>
    </row>
    <row r="39" spans="1:124">
      <c r="A39" s="977"/>
      <c r="B39" s="199" t="s">
        <v>4</v>
      </c>
      <c r="D39" s="215">
        <f t="shared" ref="D39:K49" si="90">D4/D22</f>
        <v>1.0355985161929879</v>
      </c>
      <c r="E39" s="216">
        <f t="shared" si="90"/>
        <v>1.0356000000000001</v>
      </c>
      <c r="F39" s="216">
        <f t="shared" si="90"/>
        <v>1.0356010720912743</v>
      </c>
      <c r="G39" s="216">
        <f t="shared" si="90"/>
        <v>1.0355464517426409</v>
      </c>
      <c r="H39" s="216">
        <f t="shared" si="90"/>
        <v>1.034465488610556</v>
      </c>
      <c r="I39" s="216">
        <f t="shared" si="90"/>
        <v>1.0128947754195508</v>
      </c>
      <c r="J39" s="216">
        <f t="shared" si="90"/>
        <v>1.0356003582865605</v>
      </c>
      <c r="K39" s="217">
        <f t="shared" si="90"/>
        <v>1.0334313151791992</v>
      </c>
      <c r="M39" s="215">
        <f t="shared" ref="M39:T49" si="91">M4/M22</f>
        <v>1.0356012048567167</v>
      </c>
      <c r="N39" s="216">
        <f t="shared" si="91"/>
        <v>1.0356000000000001</v>
      </c>
      <c r="O39" s="216">
        <f t="shared" si="91"/>
        <v>1.035600339071207</v>
      </c>
      <c r="P39" s="216">
        <f t="shared" si="91"/>
        <v>1.0354902430317332</v>
      </c>
      <c r="Q39" s="655">
        <f t="shared" si="91"/>
        <v>1.0344052336087066</v>
      </c>
      <c r="R39" s="216">
        <f t="shared" si="91"/>
        <v>1.0136615996409539</v>
      </c>
      <c r="S39" s="216">
        <f t="shared" si="91"/>
        <v>1.0355998972570331</v>
      </c>
      <c r="T39" s="217">
        <f t="shared" si="91"/>
        <v>1.0336264516437776</v>
      </c>
      <c r="V39" s="215">
        <f t="shared" ref="V39:AC49" si="92">V4/V22</f>
        <v>1.0355969164729468</v>
      </c>
      <c r="W39" s="216">
        <f t="shared" si="92"/>
        <v>1.0356000000000001</v>
      </c>
      <c r="X39" s="216">
        <f t="shared" si="92"/>
        <v>1.0356010169786514</v>
      </c>
      <c r="Y39" s="216">
        <f t="shared" si="92"/>
        <v>1.0355261938265512</v>
      </c>
      <c r="Z39" s="216">
        <f t="shared" si="92"/>
        <v>1.0341963002798216</v>
      </c>
      <c r="AA39" s="216">
        <f t="shared" si="92"/>
        <v>1.0137341116373311</v>
      </c>
      <c r="AB39" s="216">
        <f t="shared" si="92"/>
        <v>1.0355998969969504</v>
      </c>
      <c r="AC39" s="217">
        <f t="shared" si="92"/>
        <v>1.0335815148020138</v>
      </c>
      <c r="AE39" s="215">
        <f t="shared" ref="AE39:AL49" si="93">AE4/AE22</f>
        <v>1.0355995706209471</v>
      </c>
      <c r="AF39" s="216">
        <f t="shared" si="93"/>
        <v>1.0356000000000001</v>
      </c>
      <c r="AG39" s="216">
        <f t="shared" si="93"/>
        <v>1.0355938990301365</v>
      </c>
      <c r="AH39" s="216">
        <f t="shared" si="93"/>
        <v>1.0355526702434503</v>
      </c>
      <c r="AI39" s="216">
        <f t="shared" si="93"/>
        <v>1.034564250111055</v>
      </c>
      <c r="AJ39" s="216">
        <f t="shared" si="93"/>
        <v>1.0138649613040822</v>
      </c>
      <c r="AK39" s="216">
        <f t="shared" si="93"/>
        <v>1.0356002333573555</v>
      </c>
      <c r="AL39" s="217">
        <f t="shared" si="93"/>
        <v>1.0333880056462932</v>
      </c>
      <c r="AM39" s="218"/>
      <c r="AN39" s="215">
        <f t="shared" ref="AN39:AU49" si="94">AN4/AN22</f>
        <v>1.0355977136262622</v>
      </c>
      <c r="AO39" s="216">
        <f t="shared" si="94"/>
        <v>1.0356000000000001</v>
      </c>
      <c r="AP39" s="216">
        <f t="shared" si="94"/>
        <v>1.0355849157832442</v>
      </c>
      <c r="AQ39" s="216">
        <f t="shared" si="94"/>
        <v>1.0355449153845242</v>
      </c>
      <c r="AR39" s="216">
        <f t="shared" si="94"/>
        <v>1.034259367872191</v>
      </c>
      <c r="AS39" s="216">
        <f t="shared" si="94"/>
        <v>1.0138478760499465</v>
      </c>
      <c r="AT39" s="216">
        <f t="shared" si="94"/>
        <v>1.0355998447144548</v>
      </c>
      <c r="AU39" s="217">
        <f t="shared" si="94"/>
        <v>1.0335909846517091</v>
      </c>
      <c r="AV39" s="219"/>
      <c r="AW39" s="215">
        <f t="shared" ref="AW39:BD49" si="95">AW4/AW22</f>
        <v>1.0355989851630898</v>
      </c>
      <c r="AX39" s="216">
        <f t="shared" si="95"/>
        <v>1.0356000000000001</v>
      </c>
      <c r="AY39" s="216">
        <f t="shared" si="95"/>
        <v>1.0356000000000001</v>
      </c>
      <c r="AZ39" s="216">
        <f t="shared" si="95"/>
        <v>1.0355725795488773</v>
      </c>
      <c r="BA39" s="216">
        <f t="shared" si="95"/>
        <v>1.0344615182432453</v>
      </c>
      <c r="BB39" s="216">
        <f t="shared" si="95"/>
        <v>1.0130345474077216</v>
      </c>
      <c r="BC39" s="216">
        <f t="shared" si="95"/>
        <v>1.0355999039109731</v>
      </c>
      <c r="BD39" s="217">
        <f t="shared" si="95"/>
        <v>1.0331032954677639</v>
      </c>
      <c r="BE39" s="46"/>
      <c r="BF39" s="215">
        <f t="shared" ref="BF39:BM49" si="96">BF4/BF22</f>
        <v>1.0355981526785552</v>
      </c>
      <c r="BG39" s="216">
        <f t="shared" si="96"/>
        <v>1.0356000000000001</v>
      </c>
      <c r="BH39" s="216">
        <f t="shared" si="96"/>
        <v>1.0356012765035656</v>
      </c>
      <c r="BI39" s="216">
        <f t="shared" si="96"/>
        <v>1.035570392065789</v>
      </c>
      <c r="BJ39" s="216">
        <f t="shared" si="96"/>
        <v>1.0347692291304575</v>
      </c>
      <c r="BK39" s="216">
        <f t="shared" si="96"/>
        <v>1.0126931754653632</v>
      </c>
      <c r="BL39" s="216">
        <f t="shared" si="96"/>
        <v>1.0355997675797284</v>
      </c>
      <c r="BM39" s="217">
        <f t="shared" si="96"/>
        <v>1.0333662028687625</v>
      </c>
      <c r="BN39" s="46"/>
      <c r="BO39" s="215">
        <f t="shared" ref="BO39:BV39" si="97">BO4/BO22</f>
        <v>1.0355990871592555</v>
      </c>
      <c r="BP39" s="216">
        <f t="shared" si="97"/>
        <v>1.0356000000000001</v>
      </c>
      <c r="BQ39" s="216">
        <f t="shared" si="97"/>
        <v>1.0356018325601342</v>
      </c>
      <c r="BR39" s="216">
        <f t="shared" si="97"/>
        <v>1.0356000000000001</v>
      </c>
      <c r="BS39" s="216">
        <f t="shared" si="97"/>
        <v>1.0347</v>
      </c>
      <c r="BT39" s="216">
        <f t="shared" si="97"/>
        <v>1.0128296453265615</v>
      </c>
      <c r="BU39" s="216">
        <f t="shared" si="97"/>
        <v>1.0355999469822956</v>
      </c>
      <c r="BV39" s="217">
        <f t="shared" si="97"/>
        <v>1.0332280312741466</v>
      </c>
      <c r="BW39" s="46"/>
      <c r="BX39" s="215">
        <f t="shared" ref="BX39:CE39" si="98">BX4/BX22</f>
        <v>1.0355991995033935</v>
      </c>
      <c r="BY39" s="216">
        <f t="shared" si="98"/>
        <v>1.0355898623900395</v>
      </c>
      <c r="BZ39" s="216">
        <f t="shared" si="98"/>
        <v>1.0355995995899392</v>
      </c>
      <c r="CA39" s="216">
        <f t="shared" si="98"/>
        <v>1.0356000000000001</v>
      </c>
      <c r="CB39" s="216">
        <f t="shared" si="98"/>
        <v>1.0346633222213031</v>
      </c>
      <c r="CC39" s="216">
        <f t="shared" si="98"/>
        <v>1.0129335608337375</v>
      </c>
      <c r="CD39" s="216">
        <f t="shared" si="98"/>
        <v>1.0356000000000001</v>
      </c>
      <c r="CE39" s="217">
        <f t="shared" si="98"/>
        <v>1.0332272249765229</v>
      </c>
      <c r="CF39" s="46"/>
      <c r="CG39" s="215">
        <f t="shared" ref="CG39:CN39" si="99">CG4/CG22</f>
        <v>1.0348996364816285</v>
      </c>
      <c r="CH39" s="216">
        <f t="shared" si="99"/>
        <v>1.0348999999999999</v>
      </c>
      <c r="CI39" s="216">
        <f t="shared" si="99"/>
        <v>1.0348999997859467</v>
      </c>
      <c r="CJ39" s="216">
        <f t="shared" si="99"/>
        <v>1.0348999946425252</v>
      </c>
      <c r="CK39" s="216">
        <f>CK4/CK22</f>
        <v>1.034</v>
      </c>
      <c r="CL39" s="216">
        <f t="shared" si="99"/>
        <v>1.0128737297125272</v>
      </c>
      <c r="CM39" s="216">
        <f t="shared" si="99"/>
        <v>1.0348999999999999</v>
      </c>
      <c r="CN39" s="217">
        <f t="shared" si="99"/>
        <v>1.0325896680951812</v>
      </c>
      <c r="CO39" s="46"/>
      <c r="CP39" s="215">
        <f t="shared" ref="CP39:CS39" si="100">CP4/CP22</f>
        <v>1.0348998488116536</v>
      </c>
      <c r="CQ39" s="216">
        <f t="shared" si="100"/>
        <v>1.0348946290265284</v>
      </c>
      <c r="CR39" s="216">
        <f t="shared" si="100"/>
        <v>1.0348978110491829</v>
      </c>
      <c r="CS39" s="216">
        <f t="shared" si="100"/>
        <v>1.0349000000893389</v>
      </c>
      <c r="CT39" s="216">
        <f>CT4/CT22</f>
        <v>1.034</v>
      </c>
      <c r="CU39" s="627">
        <f t="shared" ref="CU39:CW39" si="101">CU4/CU22</f>
        <v>1.0127999999999999</v>
      </c>
      <c r="CV39" s="216">
        <f t="shared" si="101"/>
        <v>1.0349001035336418</v>
      </c>
      <c r="CW39" s="217">
        <f t="shared" si="101"/>
        <v>1.0326666980945325</v>
      </c>
      <c r="CX39" s="46"/>
      <c r="CY39" s="215" t="e">
        <f t="shared" ref="CY39:DB39" si="102">CY4/CY22</f>
        <v>#DIV/0!</v>
      </c>
      <c r="CZ39" s="216" t="e">
        <f t="shared" si="102"/>
        <v>#DIV/0!</v>
      </c>
      <c r="DA39" s="216" t="e">
        <f t="shared" si="102"/>
        <v>#DIV/0!</v>
      </c>
      <c r="DB39" s="216" t="e">
        <f t="shared" si="102"/>
        <v>#DIV/0!</v>
      </c>
      <c r="DC39" s="216" t="e">
        <f>DC4/DC22</f>
        <v>#DIV/0!</v>
      </c>
      <c r="DD39" s="216" t="e">
        <f t="shared" ref="DD39:DF39" si="103">DD4/DD22</f>
        <v>#DIV/0!</v>
      </c>
      <c r="DE39" s="216" t="e">
        <f t="shared" si="103"/>
        <v>#DIV/0!</v>
      </c>
      <c r="DF39" s="217" t="e">
        <f t="shared" si="103"/>
        <v>#DIV/0!</v>
      </c>
      <c r="DH39" s="460"/>
      <c r="DI39" s="460"/>
      <c r="DJ39" s="460"/>
      <c r="DK39" s="460"/>
      <c r="DL39" s="460"/>
      <c r="DM39" s="460"/>
      <c r="DN39" s="460"/>
    </row>
    <row r="40" spans="1:124">
      <c r="A40" s="977"/>
      <c r="B40" s="199" t="s">
        <v>5</v>
      </c>
      <c r="D40" s="215">
        <f t="shared" si="90"/>
        <v>1.0355994047542323</v>
      </c>
      <c r="E40" s="216">
        <f t="shared" si="90"/>
        <v>1.0356000000000001</v>
      </c>
      <c r="F40" s="216">
        <f t="shared" si="90"/>
        <v>1.0355605701986175</v>
      </c>
      <c r="G40" s="216">
        <f t="shared" si="90"/>
        <v>1.035419823454689</v>
      </c>
      <c r="H40" s="216">
        <f t="shared" si="90"/>
        <v>1.0345232409954039</v>
      </c>
      <c r="I40" s="216">
        <f t="shared" si="90"/>
        <v>1.0129625193485545</v>
      </c>
      <c r="J40" s="216">
        <f t="shared" si="90"/>
        <v>1.035599901529183</v>
      </c>
      <c r="K40" s="217">
        <f t="shared" si="90"/>
        <v>1.0330664705674406</v>
      </c>
      <c r="M40" s="215">
        <f t="shared" si="91"/>
        <v>1.0355995393333675</v>
      </c>
      <c r="N40" s="216">
        <f t="shared" si="91"/>
        <v>1.0356000000000001</v>
      </c>
      <c r="O40" s="216">
        <f t="shared" si="91"/>
        <v>1.0355971421487471</v>
      </c>
      <c r="P40" s="216">
        <f t="shared" si="91"/>
        <v>1.0354964621847189</v>
      </c>
      <c r="Q40" s="216">
        <f t="shared" si="91"/>
        <v>1.0343917760107519</v>
      </c>
      <c r="R40" s="216">
        <f t="shared" si="91"/>
        <v>1.0137125180530981</v>
      </c>
      <c r="S40" s="216">
        <f t="shared" si="91"/>
        <v>1.035600279770764</v>
      </c>
      <c r="T40" s="217">
        <f t="shared" si="91"/>
        <v>1.0333795902768317</v>
      </c>
      <c r="V40" s="215">
        <f t="shared" si="92"/>
        <v>1.0356005980135554</v>
      </c>
      <c r="W40" s="216">
        <f t="shared" si="92"/>
        <v>1.0356000000000001</v>
      </c>
      <c r="X40" s="216">
        <f t="shared" si="92"/>
        <v>1.0355996429331231</v>
      </c>
      <c r="Y40" s="216">
        <f t="shared" si="92"/>
        <v>1.0355594116830706</v>
      </c>
      <c r="Z40" s="216">
        <f t="shared" si="92"/>
        <v>1.0342322855563679</v>
      </c>
      <c r="AA40" s="216">
        <f t="shared" si="92"/>
        <v>1.0137273551607371</v>
      </c>
      <c r="AB40" s="216">
        <f t="shared" si="92"/>
        <v>1.0355997265038253</v>
      </c>
      <c r="AC40" s="217">
        <f t="shared" si="92"/>
        <v>1.0334262290485827</v>
      </c>
      <c r="AE40" s="215">
        <f t="shared" si="93"/>
        <v>1.0355974715300105</v>
      </c>
      <c r="AF40" s="216">
        <f t="shared" si="93"/>
        <v>1.0356000000000001</v>
      </c>
      <c r="AG40" s="216">
        <f t="shared" si="93"/>
        <v>1.0355955507436312</v>
      </c>
      <c r="AH40" s="216">
        <f t="shared" si="93"/>
        <v>1.0355558244432375</v>
      </c>
      <c r="AI40" s="216">
        <f t="shared" si="93"/>
        <v>1.0337503607125547</v>
      </c>
      <c r="AJ40" s="216">
        <f t="shared" si="93"/>
        <v>1.0138955480006344</v>
      </c>
      <c r="AK40" s="216">
        <f t="shared" si="93"/>
        <v>1.0355996479639262</v>
      </c>
      <c r="AL40" s="217">
        <f t="shared" si="93"/>
        <v>1.0330255485789375</v>
      </c>
      <c r="AM40" s="218"/>
      <c r="AN40" s="215">
        <f t="shared" si="94"/>
        <v>1.0356000380330501</v>
      </c>
      <c r="AO40" s="216">
        <f t="shared" si="94"/>
        <v>1.0356000000000001</v>
      </c>
      <c r="AP40" s="216">
        <f t="shared" si="94"/>
        <v>1.0355866137646728</v>
      </c>
      <c r="AQ40" s="216">
        <f t="shared" si="94"/>
        <v>1.0355705254544925</v>
      </c>
      <c r="AR40" s="216">
        <f t="shared" si="94"/>
        <v>1.0346011853961392</v>
      </c>
      <c r="AS40" s="216">
        <f t="shared" si="94"/>
        <v>1.0130493387829387</v>
      </c>
      <c r="AT40" s="216">
        <f t="shared" si="94"/>
        <v>1.0356000404515673</v>
      </c>
      <c r="AU40" s="217">
        <f t="shared" si="94"/>
        <v>1.0331969730374173</v>
      </c>
      <c r="AV40" s="219"/>
      <c r="AW40" s="215">
        <f t="shared" si="95"/>
        <v>1.0355997592504689</v>
      </c>
      <c r="AX40" s="216">
        <f t="shared" si="95"/>
        <v>1.0356000000000001</v>
      </c>
      <c r="AY40" s="216">
        <f t="shared" si="95"/>
        <v>1.0356000000000001</v>
      </c>
      <c r="AZ40" s="216">
        <f t="shared" si="95"/>
        <v>1.0350386259754343</v>
      </c>
      <c r="BA40" s="216">
        <f t="shared" si="95"/>
        <v>1.0344625442627668</v>
      </c>
      <c r="BB40" s="216">
        <f t="shared" si="95"/>
        <v>1.0129042092664673</v>
      </c>
      <c r="BC40" s="216">
        <f t="shared" si="95"/>
        <v>1.035600188608008</v>
      </c>
      <c r="BD40" s="217">
        <f t="shared" si="95"/>
        <v>1.0329432002995533</v>
      </c>
      <c r="BE40" s="46"/>
      <c r="BF40" s="215">
        <f t="shared" si="96"/>
        <v>1.0356008192781851</v>
      </c>
      <c r="BG40" s="216">
        <f t="shared" si="96"/>
        <v>1.0356000000000001</v>
      </c>
      <c r="BH40" s="216">
        <f t="shared" si="96"/>
        <v>1.0355056178754605</v>
      </c>
      <c r="BI40" s="216">
        <f t="shared" si="96"/>
        <v>1.0355722208348745</v>
      </c>
      <c r="BJ40" s="216">
        <f t="shared" si="96"/>
        <v>1.0346909578741568</v>
      </c>
      <c r="BK40" s="216">
        <f t="shared" si="96"/>
        <v>1.0127404437707432</v>
      </c>
      <c r="BL40" s="216">
        <f t="shared" si="96"/>
        <v>1.0355999380173053</v>
      </c>
      <c r="BM40" s="217">
        <f t="shared" si="96"/>
        <v>1.0330960115305092</v>
      </c>
      <c r="BN40" s="46"/>
      <c r="BO40" s="215">
        <f t="shared" ref="BO40:BV40" si="104">BO5/BO23</f>
        <v>1.0356004139884867</v>
      </c>
      <c r="BP40" s="216">
        <f t="shared" si="104"/>
        <v>1.0356000000000001</v>
      </c>
      <c r="BQ40" s="216">
        <f t="shared" si="104"/>
        <v>1.0355980992856737</v>
      </c>
      <c r="BR40" s="216">
        <f>BR5/BR23</f>
        <v>1.0356000000000001</v>
      </c>
      <c r="BS40" s="216">
        <f t="shared" si="104"/>
        <v>1.0347</v>
      </c>
      <c r="BT40" s="216">
        <f t="shared" si="104"/>
        <v>1.0127484428361013</v>
      </c>
      <c r="BU40" s="216">
        <f t="shared" si="104"/>
        <v>1.0356000522841537</v>
      </c>
      <c r="BV40" s="217">
        <f t="shared" si="104"/>
        <v>1.0331072233530429</v>
      </c>
      <c r="BW40" s="46"/>
      <c r="BX40" s="215">
        <f t="shared" ref="BX40:CE40" si="105">BX5/BX23</f>
        <v>1.0355978689685614</v>
      </c>
      <c r="BY40" s="216">
        <f t="shared" si="105"/>
        <v>1.0355896486748655</v>
      </c>
      <c r="BZ40" s="216">
        <f t="shared" si="105"/>
        <v>1.0355988136886844</v>
      </c>
      <c r="CA40" s="216">
        <f t="shared" si="105"/>
        <v>1.0356000000000001</v>
      </c>
      <c r="CB40" s="216">
        <f t="shared" si="105"/>
        <v>1.0347092563410454</v>
      </c>
      <c r="CC40" s="216">
        <f t="shared" si="105"/>
        <v>1.012963053588944</v>
      </c>
      <c r="CD40" s="216">
        <f t="shared" si="105"/>
        <v>1.035600125207587</v>
      </c>
      <c r="CE40" s="217">
        <f t="shared" si="105"/>
        <v>1.0330215098917737</v>
      </c>
      <c r="CF40" s="46"/>
      <c r="CG40" s="215">
        <f t="shared" ref="CG40:CN40" si="106">CG5/CG23</f>
        <v>1.0349000605823906</v>
      </c>
      <c r="CH40" s="216">
        <f t="shared" si="106"/>
        <v>1.0348999999999999</v>
      </c>
      <c r="CI40" s="216">
        <f t="shared" si="106"/>
        <v>1.0348999996828934</v>
      </c>
      <c r="CJ40" s="216">
        <f t="shared" si="106"/>
        <v>1.0349000037993106</v>
      </c>
      <c r="CK40" s="216">
        <f t="shared" si="106"/>
        <v>1.034</v>
      </c>
      <c r="CL40" s="216">
        <f t="shared" si="106"/>
        <v>1.0128936270964415</v>
      </c>
      <c r="CM40" s="216">
        <f t="shared" si="106"/>
        <v>1.0348999999999999</v>
      </c>
      <c r="CN40" s="217">
        <f t="shared" si="106"/>
        <v>1.0323592919659128</v>
      </c>
      <c r="CO40" s="46"/>
      <c r="CP40" s="215">
        <f t="shared" ref="CP40:CW40" si="107">CP5/CP23</f>
        <v>1.0348995222985753</v>
      </c>
      <c r="CQ40" s="216">
        <f t="shared" si="107"/>
        <v>1.0348960103450848</v>
      </c>
      <c r="CR40" s="216">
        <f t="shared" si="107"/>
        <v>1.0348979423723017</v>
      </c>
      <c r="CS40" s="216">
        <f t="shared" si="107"/>
        <v>1.034900003911418</v>
      </c>
      <c r="CT40" s="216">
        <f t="shared" si="107"/>
        <v>1.034</v>
      </c>
      <c r="CU40" s="627">
        <f t="shared" si="107"/>
        <v>1.0127999999999999</v>
      </c>
      <c r="CV40" s="216">
        <f t="shared" si="107"/>
        <v>1.0348999726204104</v>
      </c>
      <c r="CW40" s="217">
        <f t="shared" si="107"/>
        <v>1.0324577985027652</v>
      </c>
      <c r="CX40" s="46"/>
      <c r="CY40" s="215" t="e">
        <f t="shared" ref="CY40:DF40" si="108">CY5/CY23</f>
        <v>#DIV/0!</v>
      </c>
      <c r="CZ40" s="216" t="e">
        <f t="shared" si="108"/>
        <v>#DIV/0!</v>
      </c>
      <c r="DA40" s="216" t="e">
        <f t="shared" si="108"/>
        <v>#DIV/0!</v>
      </c>
      <c r="DB40" s="216" t="e">
        <f t="shared" si="108"/>
        <v>#DIV/0!</v>
      </c>
      <c r="DC40" s="216" t="e">
        <f t="shared" si="108"/>
        <v>#DIV/0!</v>
      </c>
      <c r="DD40" s="216" t="e">
        <f t="shared" si="108"/>
        <v>#DIV/0!</v>
      </c>
      <c r="DE40" s="216" t="e">
        <f t="shared" si="108"/>
        <v>#DIV/0!</v>
      </c>
      <c r="DF40" s="217" t="e">
        <f t="shared" si="108"/>
        <v>#DIV/0!</v>
      </c>
      <c r="DH40" s="460"/>
      <c r="DI40" s="460"/>
      <c r="DJ40" s="460"/>
      <c r="DK40" s="460"/>
      <c r="DL40" s="460"/>
      <c r="DM40" s="460"/>
      <c r="DN40" s="460"/>
    </row>
    <row r="41" spans="1:124">
      <c r="A41" s="977"/>
      <c r="B41" s="199" t="s">
        <v>6</v>
      </c>
      <c r="D41" s="215">
        <f t="shared" si="90"/>
        <v>1.0356012328702331</v>
      </c>
      <c r="E41" s="216">
        <f t="shared" si="90"/>
        <v>1.0356000000000001</v>
      </c>
      <c r="F41" s="216">
        <f t="shared" si="90"/>
        <v>1.0355997421598735</v>
      </c>
      <c r="G41" s="216">
        <f t="shared" si="90"/>
        <v>1.0355194670613661</v>
      </c>
      <c r="H41" s="216">
        <f t="shared" si="90"/>
        <v>1.0346947637229189</v>
      </c>
      <c r="I41" s="216">
        <f t="shared" si="90"/>
        <v>1.0130374945175991</v>
      </c>
      <c r="J41" s="216">
        <f t="shared" si="90"/>
        <v>1.0356000697166343</v>
      </c>
      <c r="K41" s="217">
        <f t="shared" si="90"/>
        <v>1.0331527453721099</v>
      </c>
      <c r="M41" s="215">
        <f t="shared" si="91"/>
        <v>1.0356006462971712</v>
      </c>
      <c r="N41" s="216">
        <f t="shared" si="91"/>
        <v>1.0356000000000001</v>
      </c>
      <c r="O41" s="216">
        <f t="shared" si="91"/>
        <v>1.0355998954617862</v>
      </c>
      <c r="P41" s="216">
        <f t="shared" si="91"/>
        <v>1.0354888309548398</v>
      </c>
      <c r="Q41" s="216">
        <f t="shared" si="91"/>
        <v>1.034404598800283</v>
      </c>
      <c r="R41" s="216">
        <f t="shared" si="91"/>
        <v>1.0136594004143096</v>
      </c>
      <c r="S41" s="216">
        <f t="shared" si="91"/>
        <v>1.0355998299812541</v>
      </c>
      <c r="T41" s="217">
        <f t="shared" si="91"/>
        <v>1.033413554740275</v>
      </c>
      <c r="V41" s="215">
        <f t="shared" si="92"/>
        <v>1.0355997599819053</v>
      </c>
      <c r="W41" s="216">
        <f t="shared" si="92"/>
        <v>1.0356000000000001</v>
      </c>
      <c r="X41" s="216">
        <f t="shared" si="92"/>
        <v>1.0355988371639182</v>
      </c>
      <c r="Y41" s="216">
        <f t="shared" si="92"/>
        <v>1.035539562717755</v>
      </c>
      <c r="Z41" s="216">
        <f t="shared" si="92"/>
        <v>1.0342851857024407</v>
      </c>
      <c r="AA41" s="216">
        <f t="shared" si="92"/>
        <v>1.0137164580215405</v>
      </c>
      <c r="AB41" s="216">
        <f t="shared" si="92"/>
        <v>1.035600030275889</v>
      </c>
      <c r="AC41" s="217">
        <f t="shared" si="92"/>
        <v>1.0334062680388723</v>
      </c>
      <c r="AE41" s="215">
        <f t="shared" si="93"/>
        <v>1.0356017156738864</v>
      </c>
      <c r="AF41" s="216">
        <f t="shared" si="93"/>
        <v>1.0356000000000001</v>
      </c>
      <c r="AG41" s="216">
        <f t="shared" si="93"/>
        <v>1.0355935256158564</v>
      </c>
      <c r="AH41" s="216">
        <f t="shared" si="93"/>
        <v>1.0355371122821675</v>
      </c>
      <c r="AI41" s="216">
        <f t="shared" si="93"/>
        <v>1.0345528716348962</v>
      </c>
      <c r="AJ41" s="216">
        <f t="shared" si="93"/>
        <v>1.0138047858577899</v>
      </c>
      <c r="AK41" s="216">
        <f t="shared" si="93"/>
        <v>1.035599888799317</v>
      </c>
      <c r="AL41" s="217">
        <f t="shared" si="93"/>
        <v>1.0332394536500811</v>
      </c>
      <c r="AM41" s="218"/>
      <c r="AN41" s="215">
        <f t="shared" si="94"/>
        <v>1.0355995217847551</v>
      </c>
      <c r="AO41" s="216">
        <f t="shared" si="94"/>
        <v>1.0356000000000001</v>
      </c>
      <c r="AP41" s="216">
        <f t="shared" si="94"/>
        <v>1.0355843133227591</v>
      </c>
      <c r="AQ41" s="216">
        <f t="shared" si="94"/>
        <v>1.0355541778842992</v>
      </c>
      <c r="AR41" s="216">
        <f t="shared" si="94"/>
        <v>1.0345842593427459</v>
      </c>
      <c r="AS41" s="216">
        <f t="shared" si="94"/>
        <v>1.0130097809254723</v>
      </c>
      <c r="AT41" s="216">
        <f t="shared" si="94"/>
        <v>1.0356001525465899</v>
      </c>
      <c r="AU41" s="217">
        <f t="shared" si="94"/>
        <v>1.0332563442751705</v>
      </c>
      <c r="AV41" s="219"/>
      <c r="AW41" s="215">
        <f t="shared" si="95"/>
        <v>1.0355975009290277</v>
      </c>
      <c r="AX41" s="216">
        <f t="shared" si="95"/>
        <v>1.0356000000000001</v>
      </c>
      <c r="AY41" s="216">
        <f t="shared" si="95"/>
        <v>1.0356000000000001</v>
      </c>
      <c r="AZ41" s="216">
        <f t="shared" si="95"/>
        <v>1.035579116338126</v>
      </c>
      <c r="BA41" s="216">
        <f t="shared" si="95"/>
        <v>1.0345602509345633</v>
      </c>
      <c r="BB41" s="216">
        <f t="shared" si="95"/>
        <v>1.0129625247370497</v>
      </c>
      <c r="BC41" s="216">
        <f t="shared" si="95"/>
        <v>1.0356000265960326</v>
      </c>
      <c r="BD41" s="217">
        <f t="shared" si="95"/>
        <v>1.032956444867752</v>
      </c>
      <c r="BE41" s="46"/>
      <c r="BF41" s="215">
        <f t="shared" si="96"/>
        <v>1.0355984296943705</v>
      </c>
      <c r="BG41" s="216">
        <f t="shared" si="96"/>
        <v>1.0356000000000001</v>
      </c>
      <c r="BH41" s="216">
        <f t="shared" si="96"/>
        <v>1.0356747230034862</v>
      </c>
      <c r="BI41" s="216">
        <f t="shared" si="96"/>
        <v>1.0355726170084769</v>
      </c>
      <c r="BJ41" s="216">
        <f t="shared" si="96"/>
        <v>1.0347399228889436</v>
      </c>
      <c r="BK41" s="216">
        <f t="shared" si="96"/>
        <v>1.0126063262767699</v>
      </c>
      <c r="BL41" s="216">
        <f t="shared" si="96"/>
        <v>1.0356001556786194</v>
      </c>
      <c r="BM41" s="217">
        <f t="shared" si="96"/>
        <v>1.0332642049787419</v>
      </c>
      <c r="BN41" s="46"/>
      <c r="BO41" s="215">
        <f t="shared" ref="BO41:BV41" si="109">BO6/BO24</f>
        <v>1.0355987598511038</v>
      </c>
      <c r="BP41" s="216">
        <f t="shared" si="109"/>
        <v>1.0356000000000001</v>
      </c>
      <c r="BQ41" s="216">
        <f t="shared" si="109"/>
        <v>1.0356007028758005</v>
      </c>
      <c r="BR41" s="216">
        <f t="shared" si="109"/>
        <v>1.0356000000000001</v>
      </c>
      <c r="BS41" s="216">
        <f t="shared" si="109"/>
        <v>1.0347</v>
      </c>
      <c r="BT41" s="216">
        <f t="shared" si="109"/>
        <v>1.0127073676804244</v>
      </c>
      <c r="BU41" s="216">
        <f t="shared" si="109"/>
        <v>1.0355998465657461</v>
      </c>
      <c r="BV41" s="217">
        <f t="shared" si="109"/>
        <v>1.0331445831119193</v>
      </c>
      <c r="BW41" s="46"/>
      <c r="BX41" s="215">
        <f t="shared" ref="BX41:CE41" si="110">BX6/BX24</f>
        <v>1.0355993987337759</v>
      </c>
      <c r="BY41" s="216">
        <f t="shared" si="110"/>
        <v>1.0355900431387803</v>
      </c>
      <c r="BZ41" s="216">
        <f t="shared" si="110"/>
        <v>1.0355961238395119</v>
      </c>
      <c r="CA41" s="216">
        <f t="shared" si="110"/>
        <v>1.0356000000000001</v>
      </c>
      <c r="CB41" s="216">
        <f t="shared" si="110"/>
        <v>1.0347</v>
      </c>
      <c r="CC41" s="216">
        <f t="shared" si="110"/>
        <v>1.0129700221998688</v>
      </c>
      <c r="CD41" s="216">
        <f t="shared" si="110"/>
        <v>1.0356001961347547</v>
      </c>
      <c r="CE41" s="217">
        <f t="shared" si="110"/>
        <v>1.0330319804849801</v>
      </c>
      <c r="CF41" s="46"/>
      <c r="CG41" s="215">
        <f t="shared" ref="CG41:CN41" si="111">CG6/CG24</f>
        <v>1.0349671313777482</v>
      </c>
      <c r="CH41" s="216">
        <f t="shared" si="111"/>
        <v>1.0348999999999999</v>
      </c>
      <c r="CI41" s="216">
        <f t="shared" si="111"/>
        <v>1.0348999999004875</v>
      </c>
      <c r="CJ41" s="216">
        <f t="shared" si="111"/>
        <v>1.034900002180303</v>
      </c>
      <c r="CK41" s="216">
        <f t="shared" si="111"/>
        <v>1.034</v>
      </c>
      <c r="CL41" s="216">
        <f>CL6/CL24</f>
        <v>1.0128874199148934</v>
      </c>
      <c r="CM41" s="216">
        <f t="shared" si="111"/>
        <v>1.0348999999999999</v>
      </c>
      <c r="CN41" s="217">
        <f t="shared" si="111"/>
        <v>1.0324104362909334</v>
      </c>
      <c r="CO41" s="46"/>
      <c r="CP41" s="215">
        <f t="shared" ref="CP41:CT41" si="112">CP6/CP24</f>
        <v>1.0348996144226983</v>
      </c>
      <c r="CQ41" s="216">
        <f t="shared" si="112"/>
        <v>1.0348981810888132</v>
      </c>
      <c r="CR41" s="216">
        <f t="shared" si="112"/>
        <v>1.0348977352950839</v>
      </c>
      <c r="CS41" s="216">
        <f t="shared" si="112"/>
        <v>1.0348999999999999</v>
      </c>
      <c r="CT41" s="216">
        <f t="shared" si="112"/>
        <v>1.034</v>
      </c>
      <c r="CU41" s="627">
        <f>CU6/CU24</f>
        <v>1.0127999999999999</v>
      </c>
      <c r="CV41" s="216">
        <f t="shared" ref="CV41:CW41" si="113">CV6/CV24</f>
        <v>1.0348999999999999</v>
      </c>
      <c r="CW41" s="217">
        <f t="shared" si="113"/>
        <v>1.0326030670861335</v>
      </c>
      <c r="CX41" s="46"/>
      <c r="CY41" s="215" t="e">
        <f t="shared" ref="CY41:DC41" si="114">CY6/CY24</f>
        <v>#DIV/0!</v>
      </c>
      <c r="CZ41" s="216" t="e">
        <f t="shared" si="114"/>
        <v>#DIV/0!</v>
      </c>
      <c r="DA41" s="216" t="e">
        <f t="shared" si="114"/>
        <v>#DIV/0!</v>
      </c>
      <c r="DB41" s="216" t="e">
        <f t="shared" si="114"/>
        <v>#DIV/0!</v>
      </c>
      <c r="DC41" s="216" t="e">
        <f t="shared" si="114"/>
        <v>#DIV/0!</v>
      </c>
      <c r="DD41" s="216" t="e">
        <f>DD6/DD24</f>
        <v>#DIV/0!</v>
      </c>
      <c r="DE41" s="216" t="e">
        <f t="shared" ref="DE41:DF41" si="115">DE6/DE24</f>
        <v>#DIV/0!</v>
      </c>
      <c r="DF41" s="217" t="e">
        <f t="shared" si="115"/>
        <v>#DIV/0!</v>
      </c>
      <c r="DH41" s="460"/>
      <c r="DI41" s="460"/>
      <c r="DJ41" s="460"/>
      <c r="DK41" s="460"/>
      <c r="DL41" s="460"/>
      <c r="DM41" s="460"/>
      <c r="DN41" s="460"/>
    </row>
    <row r="42" spans="1:124">
      <c r="A42" s="977"/>
      <c r="B42" s="199" t="s">
        <v>7</v>
      </c>
      <c r="D42" s="215">
        <f t="shared" si="90"/>
        <v>1.0355981962278777</v>
      </c>
      <c r="E42" s="216">
        <f t="shared" si="90"/>
        <v>1.0356000000000001</v>
      </c>
      <c r="F42" s="216">
        <f t="shared" si="90"/>
        <v>1.0355996402371532</v>
      </c>
      <c r="G42" s="216">
        <f t="shared" si="90"/>
        <v>1.0355148021284857</v>
      </c>
      <c r="H42" s="216">
        <f t="shared" si="90"/>
        <v>1.0346320638424005</v>
      </c>
      <c r="I42" s="216">
        <f t="shared" si="90"/>
        <v>1.0128994204682717</v>
      </c>
      <c r="J42" s="216">
        <f t="shared" si="90"/>
        <v>1.0355997326221222</v>
      </c>
      <c r="K42" s="217">
        <f t="shared" si="90"/>
        <v>1.033131099620554</v>
      </c>
      <c r="M42" s="215">
        <f t="shared" si="91"/>
        <v>1.0355990399011621</v>
      </c>
      <c r="N42" s="216">
        <f t="shared" si="91"/>
        <v>1.0356000000000001</v>
      </c>
      <c r="O42" s="216">
        <f t="shared" si="91"/>
        <v>1.0355993004272128</v>
      </c>
      <c r="P42" s="216">
        <f t="shared" si="91"/>
        <v>1.0354982212325106</v>
      </c>
      <c r="Q42" s="216">
        <f t="shared" si="91"/>
        <v>1.0344035076261302</v>
      </c>
      <c r="R42" s="216">
        <f t="shared" si="91"/>
        <v>1.0135732360605807</v>
      </c>
      <c r="S42" s="216">
        <f t="shared" si="91"/>
        <v>1.0356001287863834</v>
      </c>
      <c r="T42" s="217">
        <f t="shared" si="91"/>
        <v>1.033216582657547</v>
      </c>
      <c r="V42" s="215">
        <f t="shared" si="92"/>
        <v>1.0355981945927246</v>
      </c>
      <c r="W42" s="216">
        <f t="shared" si="92"/>
        <v>1.0356000000000001</v>
      </c>
      <c r="X42" s="216">
        <f t="shared" si="92"/>
        <v>1.0355996836670542</v>
      </c>
      <c r="Y42" s="216">
        <f t="shared" si="92"/>
        <v>1.0355391196055592</v>
      </c>
      <c r="Z42" s="216">
        <f t="shared" si="92"/>
        <v>1.0342617185054972</v>
      </c>
      <c r="AA42" s="216">
        <f t="shared" si="92"/>
        <v>1.0137226520076399</v>
      </c>
      <c r="AB42" s="216">
        <f t="shared" si="92"/>
        <v>1.0355997333290428</v>
      </c>
      <c r="AC42" s="217">
        <f t="shared" si="92"/>
        <v>1.0332404233176249</v>
      </c>
      <c r="AE42" s="215">
        <f t="shared" si="93"/>
        <v>1.035598959860129</v>
      </c>
      <c r="AF42" s="216">
        <f t="shared" si="93"/>
        <v>1.0356000000000001</v>
      </c>
      <c r="AG42" s="216">
        <f t="shared" si="93"/>
        <v>1.0355927929582955</v>
      </c>
      <c r="AH42" s="216">
        <f t="shared" si="93"/>
        <v>1.0355336363671273</v>
      </c>
      <c r="AI42" s="216">
        <f t="shared" si="93"/>
        <v>1.0340783378989329</v>
      </c>
      <c r="AJ42" s="216">
        <f t="shared" si="93"/>
        <v>1.0137965638545923</v>
      </c>
      <c r="AK42" s="216">
        <f t="shared" si="93"/>
        <v>1.0355999245361907</v>
      </c>
      <c r="AL42" s="217">
        <f t="shared" si="93"/>
        <v>1.0328519799400473</v>
      </c>
      <c r="AM42" s="218"/>
      <c r="AN42" s="215">
        <f t="shared" si="94"/>
        <v>1.0356024181982026</v>
      </c>
      <c r="AO42" s="216">
        <f t="shared" si="94"/>
        <v>1.0356000000000001</v>
      </c>
      <c r="AP42" s="216">
        <f t="shared" si="94"/>
        <v>1.0355873098873625</v>
      </c>
      <c r="AQ42" s="216">
        <f t="shared" si="94"/>
        <v>1.0355527383499177</v>
      </c>
      <c r="AR42" s="216">
        <f t="shared" si="94"/>
        <v>1.0345816477509062</v>
      </c>
      <c r="AS42" s="216">
        <f t="shared" si="94"/>
        <v>1.0129416520421619</v>
      </c>
      <c r="AT42" s="216">
        <f t="shared" si="94"/>
        <v>1.0355999857606948</v>
      </c>
      <c r="AU42" s="217">
        <f t="shared" si="94"/>
        <v>1.0328876189588378</v>
      </c>
      <c r="AV42" s="219"/>
      <c r="AW42" s="215">
        <f t="shared" si="95"/>
        <v>1.0355962498143398</v>
      </c>
      <c r="AX42" s="216">
        <f t="shared" si="95"/>
        <v>1.0356000000000001</v>
      </c>
      <c r="AY42" s="216">
        <f t="shared" si="95"/>
        <v>1.0356000000000001</v>
      </c>
      <c r="AZ42" s="216">
        <f t="shared" si="95"/>
        <v>1.0355606088344282</v>
      </c>
      <c r="BA42" s="216">
        <f t="shared" si="95"/>
        <v>1.0347419660079018</v>
      </c>
      <c r="BB42" s="216">
        <f t="shared" si="95"/>
        <v>1.0129722857842012</v>
      </c>
      <c r="BC42" s="216">
        <f t="shared" si="95"/>
        <v>1.035600215177946</v>
      </c>
      <c r="BD42" s="217">
        <f t="shared" si="95"/>
        <v>1.0328979139359074</v>
      </c>
      <c r="BE42" s="46"/>
      <c r="BF42" s="215">
        <f t="shared" si="96"/>
        <v>1.0355967202730869</v>
      </c>
      <c r="BG42" s="216">
        <f t="shared" si="96"/>
        <v>1.0356000000000001</v>
      </c>
      <c r="BH42" s="216">
        <f t="shared" si="96"/>
        <v>1.0355979632041437</v>
      </c>
      <c r="BI42" s="216">
        <f t="shared" si="96"/>
        <v>1.0355414004298575</v>
      </c>
      <c r="BJ42" s="216">
        <f t="shared" si="96"/>
        <v>1.0348079990310268</v>
      </c>
      <c r="BK42" s="216">
        <f t="shared" si="96"/>
        <v>1.0118875434660526</v>
      </c>
      <c r="BL42" s="216">
        <f t="shared" si="96"/>
        <v>1.03560013145012</v>
      </c>
      <c r="BM42" s="217">
        <f t="shared" si="96"/>
        <v>1.0334842522259526</v>
      </c>
      <c r="BN42" s="46"/>
      <c r="BO42" s="215">
        <f t="shared" ref="BO42:BV42" si="116">BO7/BO25</f>
        <v>1.0355981516847532</v>
      </c>
      <c r="BP42" s="216">
        <f t="shared" si="116"/>
        <v>1.0356000000000001</v>
      </c>
      <c r="BQ42" s="216">
        <f t="shared" si="116"/>
        <v>1.0355992020582596</v>
      </c>
      <c r="BR42" s="216">
        <f t="shared" si="116"/>
        <v>1.0356000000000001</v>
      </c>
      <c r="BS42" s="216">
        <f t="shared" si="116"/>
        <v>1.0347</v>
      </c>
      <c r="BT42" s="216">
        <f t="shared" si="116"/>
        <v>1.0125798716383962</v>
      </c>
      <c r="BU42" s="216">
        <f t="shared" si="116"/>
        <v>1.0356000421726754</v>
      </c>
      <c r="BV42" s="217">
        <f t="shared" si="116"/>
        <v>1.0328124638867229</v>
      </c>
      <c r="BW42" s="46"/>
      <c r="BX42" s="215">
        <f t="shared" ref="BX42:CE42" si="117">BX7/BX25</f>
        <v>1.0355985203015279</v>
      </c>
      <c r="BY42" s="216">
        <f t="shared" si="117"/>
        <v>1.0355903884626376</v>
      </c>
      <c r="BZ42" s="216">
        <f t="shared" si="117"/>
        <v>1.0355995019120332</v>
      </c>
      <c r="CA42" s="216">
        <f t="shared" si="117"/>
        <v>1.0356000000000001</v>
      </c>
      <c r="CB42" s="216">
        <f t="shared" si="117"/>
        <v>1.0347</v>
      </c>
      <c r="CC42" s="216">
        <f t="shared" si="117"/>
        <v>1.0129039273278511</v>
      </c>
      <c r="CD42" s="216">
        <f t="shared" si="117"/>
        <v>1.0355998258869417</v>
      </c>
      <c r="CE42" s="217">
        <f t="shared" si="117"/>
        <v>1.0327275050463818</v>
      </c>
      <c r="CF42" s="46"/>
      <c r="CG42" s="215">
        <f t="shared" ref="CG42:CN42" si="118">CG7/CG25</f>
        <v>1.0349022397415157</v>
      </c>
      <c r="CH42" s="216">
        <f t="shared" si="118"/>
        <v>1.0348999999999999</v>
      </c>
      <c r="CI42" s="216">
        <f t="shared" si="118"/>
        <v>1.0349000000533559</v>
      </c>
      <c r="CJ42" s="216">
        <f t="shared" si="118"/>
        <v>1.0348999999999999</v>
      </c>
      <c r="CK42" s="216">
        <f t="shared" si="118"/>
        <v>1.034</v>
      </c>
      <c r="CL42" s="216">
        <f t="shared" si="118"/>
        <v>1.0128380574796192</v>
      </c>
      <c r="CM42" s="216">
        <f t="shared" si="118"/>
        <v>1.0348999999999999</v>
      </c>
      <c r="CN42" s="217">
        <f t="shared" si="118"/>
        <v>1.032084784730805</v>
      </c>
      <c r="CO42" s="46"/>
      <c r="CP42" s="215">
        <f t="shared" ref="CP42:CW42" si="119">CP7/CP25</f>
        <v>1.0348993983017134</v>
      </c>
      <c r="CQ42" s="216">
        <f t="shared" si="119"/>
        <v>1.034897963900252</v>
      </c>
      <c r="CR42" s="216">
        <f t="shared" si="119"/>
        <v>1.0348983141825436</v>
      </c>
      <c r="CS42" s="216">
        <f t="shared" si="119"/>
        <v>1.0348999999999999</v>
      </c>
      <c r="CT42" s="216">
        <f t="shared" si="119"/>
        <v>1.034</v>
      </c>
      <c r="CU42" s="627">
        <f t="shared" si="119"/>
        <v>1.0127999999999999</v>
      </c>
      <c r="CV42" s="216">
        <f t="shared" si="119"/>
        <v>1.0348999999999999</v>
      </c>
      <c r="CW42" s="217">
        <f t="shared" si="119"/>
        <v>1.0322307909889827</v>
      </c>
      <c r="CX42" s="46"/>
      <c r="CY42" s="215" t="e">
        <f t="shared" ref="CY42:DF42" si="120">CY7/CY25</f>
        <v>#DIV/0!</v>
      </c>
      <c r="CZ42" s="216" t="e">
        <f t="shared" si="120"/>
        <v>#DIV/0!</v>
      </c>
      <c r="DA42" s="216" t="e">
        <f t="shared" si="120"/>
        <v>#DIV/0!</v>
      </c>
      <c r="DB42" s="216" t="e">
        <f t="shared" si="120"/>
        <v>#DIV/0!</v>
      </c>
      <c r="DC42" s="216" t="e">
        <f t="shared" si="120"/>
        <v>#DIV/0!</v>
      </c>
      <c r="DD42" s="216" t="e">
        <f t="shared" si="120"/>
        <v>#DIV/0!</v>
      </c>
      <c r="DE42" s="216" t="e">
        <f t="shared" si="120"/>
        <v>#DIV/0!</v>
      </c>
      <c r="DF42" s="217" t="e">
        <f t="shared" si="120"/>
        <v>#DIV/0!</v>
      </c>
      <c r="DH42" s="460"/>
      <c r="DI42" s="460"/>
      <c r="DJ42" s="460"/>
      <c r="DK42" s="460"/>
      <c r="DL42" s="460"/>
      <c r="DM42" s="460"/>
      <c r="DN42" s="460"/>
    </row>
    <row r="43" spans="1:124">
      <c r="A43" s="977"/>
      <c r="B43" s="199" t="s">
        <v>8</v>
      </c>
      <c r="D43" s="215">
        <f t="shared" si="90"/>
        <v>1.0355983552311081</v>
      </c>
      <c r="E43" s="216">
        <f t="shared" si="90"/>
        <v>1.0356000000000001</v>
      </c>
      <c r="F43" s="216">
        <f t="shared" si="90"/>
        <v>1.0356005936781172</v>
      </c>
      <c r="G43" s="216">
        <f t="shared" si="90"/>
        <v>1.0354745730316843</v>
      </c>
      <c r="H43" s="216">
        <f t="shared" si="90"/>
        <v>1.0347020388242907</v>
      </c>
      <c r="I43" s="216">
        <f t="shared" si="90"/>
        <v>1.0127506142938891</v>
      </c>
      <c r="J43" s="216">
        <f t="shared" si="90"/>
        <v>1.0356000040586624</v>
      </c>
      <c r="K43" s="217">
        <f t="shared" si="90"/>
        <v>1.0329275618457947</v>
      </c>
      <c r="M43" s="215">
        <f t="shared" si="91"/>
        <v>1.0355993312133307</v>
      </c>
      <c r="N43" s="216">
        <f t="shared" si="91"/>
        <v>1.0356000000000001</v>
      </c>
      <c r="O43" s="216">
        <f t="shared" si="91"/>
        <v>1.0355960390488257</v>
      </c>
      <c r="P43" s="216">
        <f t="shared" si="91"/>
        <v>1.0354865397343211</v>
      </c>
      <c r="Q43" s="216">
        <f t="shared" si="91"/>
        <v>1.0344163078165622</v>
      </c>
      <c r="R43" s="216">
        <f t="shared" si="91"/>
        <v>1.0135352088204184</v>
      </c>
      <c r="S43" s="216">
        <f t="shared" si="91"/>
        <v>1.0356003099166502</v>
      </c>
      <c r="T43" s="217">
        <f t="shared" si="91"/>
        <v>1.0332400145216403</v>
      </c>
      <c r="V43" s="215">
        <f t="shared" si="92"/>
        <v>1.0356000879112235</v>
      </c>
      <c r="W43" s="216">
        <f t="shared" si="92"/>
        <v>1.0356000000000001</v>
      </c>
      <c r="X43" s="216">
        <f t="shared" si="92"/>
        <v>1.0355994982187082</v>
      </c>
      <c r="Y43" s="216">
        <f t="shared" si="92"/>
        <v>1.0355350388816695</v>
      </c>
      <c r="Z43" s="216">
        <f t="shared" si="92"/>
        <v>1.0342386913976227</v>
      </c>
      <c r="AA43" s="216">
        <f t="shared" si="92"/>
        <v>1.013573644785611</v>
      </c>
      <c r="AB43" s="216">
        <f t="shared" si="92"/>
        <v>1.0356000486425205</v>
      </c>
      <c r="AC43" s="217">
        <f t="shared" si="92"/>
        <v>1.033264129564387</v>
      </c>
      <c r="AE43" s="215">
        <f t="shared" si="93"/>
        <v>1.0355994651773963</v>
      </c>
      <c r="AF43" s="216">
        <f t="shared" si="93"/>
        <v>1.0356000000000001</v>
      </c>
      <c r="AG43" s="216">
        <f t="shared" si="93"/>
        <v>1.0355921948729387</v>
      </c>
      <c r="AH43" s="216">
        <f t="shared" si="93"/>
        <v>1.035545113805532</v>
      </c>
      <c r="AI43" s="216">
        <f t="shared" si="93"/>
        <v>1.0342766732531368</v>
      </c>
      <c r="AJ43" s="216">
        <f t="shared" si="93"/>
        <v>1.01377326952543</v>
      </c>
      <c r="AK43" s="216">
        <f t="shared" si="93"/>
        <v>1.0356001126945202</v>
      </c>
      <c r="AL43" s="217">
        <f t="shared" si="93"/>
        <v>1.033173677969083</v>
      </c>
      <c r="AM43" s="218"/>
      <c r="AN43" s="215">
        <f t="shared" si="94"/>
        <v>1.0356005782683599</v>
      </c>
      <c r="AO43" s="216">
        <f t="shared" si="94"/>
        <v>1.0356000000000001</v>
      </c>
      <c r="AP43" s="216">
        <f t="shared" si="94"/>
        <v>1.0355844144155488</v>
      </c>
      <c r="AQ43" s="216">
        <f t="shared" si="94"/>
        <v>1.0355593529797895</v>
      </c>
      <c r="AR43" s="216">
        <f t="shared" si="94"/>
        <v>1.0344852427573969</v>
      </c>
      <c r="AS43" s="216">
        <f t="shared" si="94"/>
        <v>1.0127949878256719</v>
      </c>
      <c r="AT43" s="216">
        <f t="shared" si="94"/>
        <v>1.035600086894549</v>
      </c>
      <c r="AU43" s="217">
        <f t="shared" si="94"/>
        <v>1.0330227565803469</v>
      </c>
      <c r="AV43" s="219"/>
      <c r="AW43" s="215">
        <f t="shared" si="95"/>
        <v>1.0355976230103239</v>
      </c>
      <c r="AX43" s="216">
        <f t="shared" si="95"/>
        <v>1.0356000000000001</v>
      </c>
      <c r="AY43" s="216">
        <f t="shared" si="95"/>
        <v>1.0356000000000001</v>
      </c>
      <c r="AZ43" s="216">
        <f t="shared" si="95"/>
        <v>1.0355670747804016</v>
      </c>
      <c r="BA43" s="216">
        <f t="shared" si="95"/>
        <v>1.0347329030508898</v>
      </c>
      <c r="BB43" s="216">
        <f t="shared" si="95"/>
        <v>1.0128395705210145</v>
      </c>
      <c r="BC43" s="216">
        <f t="shared" si="95"/>
        <v>1.0355997720021228</v>
      </c>
      <c r="BD43" s="217">
        <f t="shared" si="95"/>
        <v>1.0328905426057358</v>
      </c>
      <c r="BE43" s="46"/>
      <c r="BF43" s="215">
        <f t="shared" si="96"/>
        <v>1.0355979866575569</v>
      </c>
      <c r="BG43" s="216">
        <f t="shared" si="96"/>
        <v>1.0356000000000001</v>
      </c>
      <c r="BH43" s="216">
        <f t="shared" si="96"/>
        <v>1.0356026496733699</v>
      </c>
      <c r="BI43" s="216">
        <f t="shared" si="96"/>
        <v>1.0355170080399501</v>
      </c>
      <c r="BJ43" s="216">
        <f t="shared" si="96"/>
        <v>1.0347599458765924</v>
      </c>
      <c r="BK43" s="216">
        <f t="shared" si="96"/>
        <v>1.0121112067556095</v>
      </c>
      <c r="BL43" s="216">
        <f t="shared" si="96"/>
        <v>1.0356000867701722</v>
      </c>
      <c r="BM43" s="217">
        <f t="shared" si="96"/>
        <v>1.0331970381643991</v>
      </c>
      <c r="BN43" s="46"/>
      <c r="BO43" s="215">
        <f t="shared" ref="BO43:BV43" si="121">BO8/BO26</f>
        <v>1.0355999164010212</v>
      </c>
      <c r="BP43" s="216">
        <f t="shared" si="121"/>
        <v>1.0356000000000001</v>
      </c>
      <c r="BQ43" s="216">
        <f t="shared" si="121"/>
        <v>1.0355998230003887</v>
      </c>
      <c r="BR43" s="216">
        <f>BR8/BR26</f>
        <v>1.0356000000000001</v>
      </c>
      <c r="BS43" s="216">
        <f t="shared" si="121"/>
        <v>1.0347</v>
      </c>
      <c r="BT43" s="216">
        <f t="shared" si="121"/>
        <v>1.0124048825505132</v>
      </c>
      <c r="BU43" s="216">
        <f t="shared" si="121"/>
        <v>1.0356002596761227</v>
      </c>
      <c r="BV43" s="217">
        <f t="shared" si="121"/>
        <v>1.0331331055033615</v>
      </c>
      <c r="BW43" s="46"/>
      <c r="BX43" s="215">
        <f t="shared" ref="BX43:CE43" si="122">BX8/BX26</f>
        <v>1.0348999204264384</v>
      </c>
      <c r="BY43" s="216">
        <f t="shared" si="122"/>
        <v>1.0348964396318829</v>
      </c>
      <c r="BZ43" s="216">
        <f t="shared" si="122"/>
        <v>1.0348899513215712</v>
      </c>
      <c r="CA43" s="216">
        <f t="shared" si="122"/>
        <v>1.0348999999999999</v>
      </c>
      <c r="CB43" s="216">
        <f t="shared" si="122"/>
        <v>1.034</v>
      </c>
      <c r="CC43" s="216">
        <f t="shared" si="122"/>
        <v>1.0128250308404749</v>
      </c>
      <c r="CD43" s="216">
        <f t="shared" si="122"/>
        <v>1.0349002417481898</v>
      </c>
      <c r="CE43" s="217">
        <f t="shared" si="122"/>
        <v>1.0322406324870788</v>
      </c>
      <c r="CF43" s="46"/>
      <c r="CG43" s="215">
        <f t="shared" ref="CG43:CN43" si="123">CG8/CG26</f>
        <v>1.0348600039038256</v>
      </c>
      <c r="CH43" s="216">
        <f t="shared" si="123"/>
        <v>1.0348999999999999</v>
      </c>
      <c r="CI43" s="216">
        <f t="shared" si="123"/>
        <v>1.0349000003046773</v>
      </c>
      <c r="CJ43" s="216">
        <f t="shared" si="123"/>
        <v>1.0349000042789023</v>
      </c>
      <c r="CK43" s="216">
        <f t="shared" si="123"/>
        <v>1.034</v>
      </c>
      <c r="CL43" s="216">
        <f t="shared" si="123"/>
        <v>1.0127648874559849</v>
      </c>
      <c r="CM43" s="216">
        <f t="shared" si="123"/>
        <v>1.0348999999999999</v>
      </c>
      <c r="CN43" s="217">
        <f t="shared" si="123"/>
        <v>1.0323450484825678</v>
      </c>
      <c r="CO43" s="46"/>
      <c r="CP43" s="215">
        <f t="shared" ref="CP43:CW43" si="124">CP8/CP26</f>
        <v>1.0348995412765738</v>
      </c>
      <c r="CQ43" s="216">
        <f t="shared" si="124"/>
        <v>1.0348973858906385</v>
      </c>
      <c r="CR43" s="216">
        <f t="shared" si="124"/>
        <v>1.0348968468941424</v>
      </c>
      <c r="CS43" s="216">
        <f t="shared" si="124"/>
        <v>1.0348999999999999</v>
      </c>
      <c r="CT43" s="216">
        <f t="shared" si="124"/>
        <v>1.034</v>
      </c>
      <c r="CU43" s="627">
        <f t="shared" si="124"/>
        <v>1.0127999999999999</v>
      </c>
      <c r="CV43" s="216">
        <f t="shared" si="124"/>
        <v>1.0348999999999999</v>
      </c>
      <c r="CW43" s="217">
        <f t="shared" si="124"/>
        <v>1.0323811558427738</v>
      </c>
      <c r="CX43" s="46"/>
      <c r="CY43" s="215" t="e">
        <f t="shared" ref="CY43:DF43" si="125">CY8/CY26</f>
        <v>#DIV/0!</v>
      </c>
      <c r="CZ43" s="216" t="e">
        <f t="shared" si="125"/>
        <v>#DIV/0!</v>
      </c>
      <c r="DA43" s="216" t="e">
        <f t="shared" si="125"/>
        <v>#DIV/0!</v>
      </c>
      <c r="DB43" s="216" t="e">
        <f t="shared" si="125"/>
        <v>#DIV/0!</v>
      </c>
      <c r="DC43" s="216" t="e">
        <f t="shared" si="125"/>
        <v>#DIV/0!</v>
      </c>
      <c r="DD43" s="216" t="e">
        <f t="shared" si="125"/>
        <v>#DIV/0!</v>
      </c>
      <c r="DE43" s="216" t="e">
        <f t="shared" si="125"/>
        <v>#DIV/0!</v>
      </c>
      <c r="DF43" s="217" t="e">
        <f t="shared" si="125"/>
        <v>#DIV/0!</v>
      </c>
      <c r="DH43" s="460"/>
      <c r="DI43" s="460"/>
      <c r="DJ43" s="460"/>
      <c r="DK43" s="460"/>
      <c r="DL43" s="460"/>
      <c r="DM43" s="460"/>
      <c r="DN43" s="460"/>
    </row>
    <row r="44" spans="1:124">
      <c r="A44" s="977"/>
      <c r="B44" s="199" t="s">
        <v>9</v>
      </c>
      <c r="D44" s="215">
        <f t="shared" si="90"/>
        <v>1.0356008962441308</v>
      </c>
      <c r="E44" s="216">
        <f t="shared" si="90"/>
        <v>1.0356000000000001</v>
      </c>
      <c r="F44" s="216">
        <f t="shared" si="90"/>
        <v>1.0355997425731489</v>
      </c>
      <c r="G44" s="216">
        <f t="shared" si="90"/>
        <v>1.0354979895402294</v>
      </c>
      <c r="H44" s="216">
        <f t="shared" si="90"/>
        <v>1.0347529279435788</v>
      </c>
      <c r="I44" s="216">
        <f t="shared" si="90"/>
        <v>1.0124796357273211</v>
      </c>
      <c r="J44" s="216">
        <f t="shared" si="90"/>
        <v>1.0355994739533865</v>
      </c>
      <c r="K44" s="217">
        <f t="shared" si="90"/>
        <v>1.0334881220086565</v>
      </c>
      <c r="M44" s="215">
        <f t="shared" si="91"/>
        <v>1.0355998496358001</v>
      </c>
      <c r="N44" s="216">
        <f t="shared" si="91"/>
        <v>1.0356000000000001</v>
      </c>
      <c r="O44" s="216">
        <f t="shared" si="91"/>
        <v>1.0355990384379254</v>
      </c>
      <c r="P44" s="216">
        <f t="shared" si="91"/>
        <v>1.035501101073979</v>
      </c>
      <c r="Q44" s="216">
        <f t="shared" si="91"/>
        <v>1.034481670963284</v>
      </c>
      <c r="R44" s="216">
        <f t="shared" si="91"/>
        <v>1.0134524705418007</v>
      </c>
      <c r="S44" s="216">
        <f t="shared" si="91"/>
        <v>1.0356007410906367</v>
      </c>
      <c r="T44" s="217">
        <f t="shared" si="91"/>
        <v>1.0335946346661</v>
      </c>
      <c r="V44" s="215">
        <f t="shared" si="92"/>
        <v>1.0356005693600445</v>
      </c>
      <c r="W44" s="216">
        <f t="shared" si="92"/>
        <v>1.0356000000000001</v>
      </c>
      <c r="X44" s="216">
        <f t="shared" si="92"/>
        <v>1.035599121266549</v>
      </c>
      <c r="Y44" s="216">
        <f t="shared" si="92"/>
        <v>1.035521500957705</v>
      </c>
      <c r="Z44" s="216">
        <f t="shared" si="92"/>
        <v>1.0343129611961468</v>
      </c>
      <c r="AA44" s="216">
        <f t="shared" si="92"/>
        <v>1.0133060569210846</v>
      </c>
      <c r="AB44" s="216">
        <f t="shared" si="92"/>
        <v>1.035599886674742</v>
      </c>
      <c r="AC44" s="217">
        <f t="shared" si="92"/>
        <v>1.0337662410000303</v>
      </c>
      <c r="AE44" s="215">
        <f t="shared" si="93"/>
        <v>1.0355987127023665</v>
      </c>
      <c r="AF44" s="216">
        <f t="shared" si="93"/>
        <v>1.0356000000000001</v>
      </c>
      <c r="AG44" s="216">
        <f t="shared" si="93"/>
        <v>1.0355936466077245</v>
      </c>
      <c r="AH44" s="216">
        <f t="shared" si="93"/>
        <v>1.0355306900994143</v>
      </c>
      <c r="AI44" s="216">
        <f t="shared" si="93"/>
        <v>1.0343245799415772</v>
      </c>
      <c r="AJ44" s="216">
        <f t="shared" si="93"/>
        <v>1.0135544771330065</v>
      </c>
      <c r="AK44" s="216">
        <f t="shared" si="93"/>
        <v>1.0356000324295156</v>
      </c>
      <c r="AL44" s="217">
        <f t="shared" si="93"/>
        <v>1.0335732310558494</v>
      </c>
      <c r="AM44" s="218"/>
      <c r="AN44" s="215">
        <f t="shared" si="94"/>
        <v>1.0355976400793785</v>
      </c>
      <c r="AO44" s="216">
        <f t="shared" si="94"/>
        <v>1.0356000000000001</v>
      </c>
      <c r="AP44" s="216">
        <f t="shared" si="94"/>
        <v>1.0355843987706115</v>
      </c>
      <c r="AQ44" s="216">
        <f t="shared" si="94"/>
        <v>1.0355375743142909</v>
      </c>
      <c r="AR44" s="216">
        <f t="shared" si="94"/>
        <v>1.0346520296598145</v>
      </c>
      <c r="AS44" s="216">
        <f t="shared" si="94"/>
        <v>1.0126794025869277</v>
      </c>
      <c r="AT44" s="216">
        <f t="shared" si="94"/>
        <v>1.0356001213806685</v>
      </c>
      <c r="AU44" s="217">
        <f t="shared" si="94"/>
        <v>1.0331806312452254</v>
      </c>
      <c r="AV44" s="219"/>
      <c r="AW44" s="215">
        <f t="shared" si="95"/>
        <v>1.0355985856687624</v>
      </c>
      <c r="AX44" s="216">
        <f t="shared" si="95"/>
        <v>1.0356000000000001</v>
      </c>
      <c r="AY44" s="216">
        <f t="shared" si="95"/>
        <v>1.0356000000000001</v>
      </c>
      <c r="AZ44" s="216">
        <f t="shared" si="95"/>
        <v>1.0355304673681689</v>
      </c>
      <c r="BA44" s="216">
        <f t="shared" si="95"/>
        <v>1.0348151229756108</v>
      </c>
      <c r="BB44" s="216">
        <f t="shared" si="95"/>
        <v>1.0125997971580964</v>
      </c>
      <c r="BC44" s="216">
        <f t="shared" si="95"/>
        <v>1.0355996853200846</v>
      </c>
      <c r="BD44" s="217">
        <f t="shared" si="95"/>
        <v>1.0331327652189712</v>
      </c>
      <c r="BE44" s="46"/>
      <c r="BF44" s="215">
        <f t="shared" si="96"/>
        <v>1.0355974032034412</v>
      </c>
      <c r="BG44" s="216">
        <f t="shared" si="96"/>
        <v>1.0356000000000001</v>
      </c>
      <c r="BH44" s="216">
        <f t="shared" si="96"/>
        <v>1.0356015748165524</v>
      </c>
      <c r="BI44" s="216">
        <f t="shared" si="96"/>
        <v>1.0355264144259948</v>
      </c>
      <c r="BJ44" s="216">
        <f t="shared" si="96"/>
        <v>1.0348199787254029</v>
      </c>
      <c r="BK44" s="216">
        <f t="shared" si="96"/>
        <v>1.0122652199335518</v>
      </c>
      <c r="BL44" s="216">
        <f t="shared" si="96"/>
        <v>1.0356001593931254</v>
      </c>
      <c r="BM44" s="217">
        <f t="shared" si="96"/>
        <v>1.0332395038613698</v>
      </c>
      <c r="BN44" s="46"/>
      <c r="BO44" s="215">
        <f t="shared" ref="BO44:BV44" si="126">BO9/BO27</f>
        <v>1.0355995661600139</v>
      </c>
      <c r="BP44" s="216">
        <f t="shared" si="126"/>
        <v>1.0356000000000001</v>
      </c>
      <c r="BQ44" s="216">
        <f t="shared" si="126"/>
        <v>1.035600303589211</v>
      </c>
      <c r="BR44" s="216">
        <f t="shared" si="126"/>
        <v>1.0356000000000001</v>
      </c>
      <c r="BS44" s="216">
        <f t="shared" si="126"/>
        <v>1.0347</v>
      </c>
      <c r="BT44" s="216">
        <f t="shared" si="126"/>
        <v>1.0120197373009296</v>
      </c>
      <c r="BU44" s="216">
        <f t="shared" si="126"/>
        <v>1.0355999881045519</v>
      </c>
      <c r="BV44" s="217">
        <f t="shared" si="126"/>
        <v>1.0334661284483213</v>
      </c>
      <c r="BW44" s="46"/>
      <c r="BX44" s="215">
        <f t="shared" ref="BX44:CE44" si="127">BX9/BX27</f>
        <v>1.0348999392395337</v>
      </c>
      <c r="BY44" s="216">
        <f t="shared" si="127"/>
        <v>1.0348973388366676</v>
      </c>
      <c r="BZ44" s="216">
        <f t="shared" si="127"/>
        <v>1.0348904285701037</v>
      </c>
      <c r="CA44" s="216">
        <f t="shared" si="127"/>
        <v>1.0348999999999999</v>
      </c>
      <c r="CB44" s="216">
        <f t="shared" si="127"/>
        <v>1.034</v>
      </c>
      <c r="CC44" s="216">
        <f t="shared" si="127"/>
        <v>1.0126586625990637</v>
      </c>
      <c r="CD44" s="216">
        <f t="shared" si="127"/>
        <v>1.0348999378469041</v>
      </c>
      <c r="CE44" s="217">
        <f t="shared" si="127"/>
        <v>1.032498431726802</v>
      </c>
      <c r="CF44" s="46"/>
      <c r="CG44" s="215">
        <f t="shared" ref="CG44:CN44" si="128">CG9/CG27</f>
        <v>1.0349266472579226</v>
      </c>
      <c r="CH44" s="216">
        <f t="shared" si="128"/>
        <v>1.0348999999999999</v>
      </c>
      <c r="CI44" s="216">
        <f t="shared" si="128"/>
        <v>1.0348999999338899</v>
      </c>
      <c r="CJ44" s="216">
        <f t="shared" si="128"/>
        <v>1.0349000012665575</v>
      </c>
      <c r="CK44" s="216">
        <f t="shared" si="128"/>
        <v>1.034</v>
      </c>
      <c r="CL44" s="216">
        <f t="shared" si="128"/>
        <v>1.0125441876174148</v>
      </c>
      <c r="CM44" s="216">
        <f t="shared" si="128"/>
        <v>1.0348999999999999</v>
      </c>
      <c r="CN44" s="217">
        <f t="shared" si="128"/>
        <v>1.0327204742761431</v>
      </c>
      <c r="CO44" s="46"/>
      <c r="CP44" s="215">
        <f t="shared" ref="CP44:CW44" si="129">CP9/CP27</f>
        <v>1.0349000464666944</v>
      </c>
      <c r="CQ44" s="216">
        <f t="shared" si="129"/>
        <v>1.0348988862372406</v>
      </c>
      <c r="CR44" s="216">
        <f t="shared" si="129"/>
        <v>1.0348971011369605</v>
      </c>
      <c r="CS44" s="216">
        <f t="shared" si="129"/>
        <v>1.0348999999999999</v>
      </c>
      <c r="CT44" s="216">
        <f t="shared" si="129"/>
        <v>1.034</v>
      </c>
      <c r="CU44" s="627">
        <f t="shared" si="129"/>
        <v>1.0127999999999999</v>
      </c>
      <c r="CV44" s="216">
        <f t="shared" si="129"/>
        <v>1.0348999999999999</v>
      </c>
      <c r="CW44" s="217">
        <f t="shared" si="129"/>
        <v>1.032721740288929</v>
      </c>
      <c r="CX44" s="46"/>
      <c r="CY44" s="215" t="e">
        <f t="shared" ref="CY44:DF44" si="130">CY9/CY27</f>
        <v>#DIV/0!</v>
      </c>
      <c r="CZ44" s="216" t="e">
        <f t="shared" si="130"/>
        <v>#DIV/0!</v>
      </c>
      <c r="DA44" s="216" t="e">
        <f t="shared" si="130"/>
        <v>#DIV/0!</v>
      </c>
      <c r="DB44" s="216" t="e">
        <f t="shared" si="130"/>
        <v>#DIV/0!</v>
      </c>
      <c r="DC44" s="216" t="e">
        <f t="shared" si="130"/>
        <v>#DIV/0!</v>
      </c>
      <c r="DD44" s="216" t="e">
        <f t="shared" si="130"/>
        <v>#DIV/0!</v>
      </c>
      <c r="DE44" s="216" t="e">
        <f t="shared" si="130"/>
        <v>#DIV/0!</v>
      </c>
      <c r="DF44" s="217" t="e">
        <f t="shared" si="130"/>
        <v>#DIV/0!</v>
      </c>
      <c r="DH44" s="460"/>
      <c r="DI44" s="460"/>
      <c r="DJ44" s="460"/>
      <c r="DK44" s="460"/>
      <c r="DL44" s="460"/>
      <c r="DM44" s="460"/>
      <c r="DN44" s="460"/>
    </row>
    <row r="45" spans="1:124">
      <c r="A45" s="977"/>
      <c r="B45" s="199" t="s">
        <v>10</v>
      </c>
      <c r="D45" s="215">
        <f t="shared" si="90"/>
        <v>1.0355997781196593</v>
      </c>
      <c r="E45" s="216">
        <f t="shared" si="90"/>
        <v>1.0356000000000001</v>
      </c>
      <c r="F45" s="216">
        <f t="shared" si="90"/>
        <v>1.0356005909708681</v>
      </c>
      <c r="G45" s="216">
        <f t="shared" si="90"/>
        <v>1.0354664282593562</v>
      </c>
      <c r="H45" s="216">
        <f t="shared" si="90"/>
        <v>1.0347335292048356</v>
      </c>
      <c r="I45" s="216">
        <f t="shared" si="90"/>
        <v>1.0126933350205483</v>
      </c>
      <c r="J45" s="216">
        <f t="shared" si="90"/>
        <v>1.035599962672558</v>
      </c>
      <c r="K45" s="217">
        <f t="shared" si="90"/>
        <v>1.0334178918303178</v>
      </c>
      <c r="M45" s="215">
        <f t="shared" si="91"/>
        <v>1.0355979177293961</v>
      </c>
      <c r="N45" s="216">
        <f t="shared" si="91"/>
        <v>1.0356000000000001</v>
      </c>
      <c r="O45" s="216">
        <f t="shared" si="91"/>
        <v>1.03559889027638</v>
      </c>
      <c r="P45" s="216">
        <f t="shared" si="91"/>
        <v>1.0354598931198513</v>
      </c>
      <c r="Q45" s="216">
        <f t="shared" si="91"/>
        <v>1.0344049418359218</v>
      </c>
      <c r="R45" s="216">
        <f t="shared" si="91"/>
        <v>1.0135464590378089</v>
      </c>
      <c r="S45" s="216">
        <f t="shared" si="91"/>
        <v>1.0356004693932364</v>
      </c>
      <c r="T45" s="217">
        <f t="shared" si="91"/>
        <v>1.0332404271246627</v>
      </c>
      <c r="V45" s="215">
        <f t="shared" si="92"/>
        <v>1.0355990732707436</v>
      </c>
      <c r="W45" s="216">
        <f t="shared" si="92"/>
        <v>1.0356000000000001</v>
      </c>
      <c r="X45" s="216">
        <f t="shared" si="92"/>
        <v>1.0355994586226962</v>
      </c>
      <c r="Y45" s="216">
        <f t="shared" si="92"/>
        <v>1.0355394832993983</v>
      </c>
      <c r="Z45" s="216">
        <f t="shared" si="92"/>
        <v>1.0342635946504957</v>
      </c>
      <c r="AA45" s="216">
        <f t="shared" si="92"/>
        <v>1.0135400357868691</v>
      </c>
      <c r="AB45" s="216">
        <f t="shared" si="92"/>
        <v>1.0355994464649063</v>
      </c>
      <c r="AC45" s="217">
        <f t="shared" si="92"/>
        <v>1.0334726971847072</v>
      </c>
      <c r="AE45" s="215">
        <f t="shared" si="93"/>
        <v>1.0355978789993736</v>
      </c>
      <c r="AF45" s="216">
        <f t="shared" si="93"/>
        <v>1.0356000000000001</v>
      </c>
      <c r="AG45" s="216">
        <f t="shared" si="93"/>
        <v>1.0355899597602547</v>
      </c>
      <c r="AH45" s="216">
        <f t="shared" si="93"/>
        <v>1.0355425076108606</v>
      </c>
      <c r="AI45" s="216">
        <f t="shared" si="93"/>
        <v>1.0342721390446328</v>
      </c>
      <c r="AJ45" s="216">
        <f t="shared" si="93"/>
        <v>1.0137131469865321</v>
      </c>
      <c r="AK45" s="216">
        <f t="shared" si="93"/>
        <v>1.0356005220181983</v>
      </c>
      <c r="AL45" s="217">
        <f t="shared" si="93"/>
        <v>1.0333846018715103</v>
      </c>
      <c r="AM45" s="218"/>
      <c r="AN45" s="215">
        <f t="shared" si="94"/>
        <v>1.0355985561614316</v>
      </c>
      <c r="AO45" s="216">
        <f t="shared" si="94"/>
        <v>1.0356000000000001</v>
      </c>
      <c r="AP45" s="216">
        <f t="shared" si="94"/>
        <v>1.0355854738999097</v>
      </c>
      <c r="AQ45" s="216">
        <f t="shared" si="94"/>
        <v>1.0355502669776022</v>
      </c>
      <c r="AR45" s="216">
        <f t="shared" si="94"/>
        <v>1.0346615936157615</v>
      </c>
      <c r="AS45" s="216">
        <f t="shared" si="94"/>
        <v>1.0122344544842241</v>
      </c>
      <c r="AT45" s="216">
        <f t="shared" si="94"/>
        <v>1.0355996150187305</v>
      </c>
      <c r="AU45" s="217">
        <f t="shared" si="94"/>
        <v>1.0335451251496333</v>
      </c>
      <c r="AV45" s="219"/>
      <c r="AW45" s="215">
        <f t="shared" si="95"/>
        <v>1.0355986579854299</v>
      </c>
      <c r="AX45" s="216">
        <f t="shared" si="95"/>
        <v>1.0356000000000001</v>
      </c>
      <c r="AY45" s="216">
        <f t="shared" si="95"/>
        <v>1.0356000000000001</v>
      </c>
      <c r="AZ45" s="216">
        <f t="shared" si="95"/>
        <v>1.035555747777366</v>
      </c>
      <c r="BA45" s="216">
        <f t="shared" si="95"/>
        <v>1.0348232866495923</v>
      </c>
      <c r="BB45" s="216">
        <f t="shared" si="95"/>
        <v>1.0128222201319892</v>
      </c>
      <c r="BC45" s="216">
        <f t="shared" si="95"/>
        <v>1.0356000714530742</v>
      </c>
      <c r="BD45" s="217">
        <f t="shared" si="95"/>
        <v>1.0330711286716519</v>
      </c>
      <c r="BE45" s="46"/>
      <c r="BF45" s="215">
        <f t="shared" si="96"/>
        <v>1.0355992290868332</v>
      </c>
      <c r="BG45" s="216">
        <f t="shared" si="96"/>
        <v>1.0356000000000001</v>
      </c>
      <c r="BH45" s="216">
        <f t="shared" si="96"/>
        <v>1.0356015092660029</v>
      </c>
      <c r="BI45" s="216">
        <f t="shared" si="96"/>
        <v>1.0355214402327759</v>
      </c>
      <c r="BJ45" s="216">
        <f t="shared" si="96"/>
        <v>1.0348011296398629</v>
      </c>
      <c r="BK45" s="216">
        <f t="shared" si="96"/>
        <v>1.0124241165806029</v>
      </c>
      <c r="BL45" s="216">
        <f t="shared" si="96"/>
        <v>1.0356001755371977</v>
      </c>
      <c r="BM45" s="217">
        <f t="shared" si="96"/>
        <v>1.0332337857281528</v>
      </c>
      <c r="BN45" s="46"/>
      <c r="BO45" s="215">
        <f t="shared" ref="BO45:BV45" si="131">BO10/BO28</f>
        <v>1.0356004085159896</v>
      </c>
      <c r="BP45" s="216">
        <f t="shared" si="131"/>
        <v>1.0355686244862066</v>
      </c>
      <c r="BQ45" s="216">
        <f t="shared" si="131"/>
        <v>1.0356002728575195</v>
      </c>
      <c r="BR45" s="216">
        <f t="shared" si="131"/>
        <v>1.0356000000000001</v>
      </c>
      <c r="BS45" s="216">
        <f t="shared" si="131"/>
        <v>1.0347</v>
      </c>
      <c r="BT45" s="216">
        <f t="shared" si="131"/>
        <v>1.0124226796720335</v>
      </c>
      <c r="BU45" s="216">
        <f t="shared" si="131"/>
        <v>1.0356003133991971</v>
      </c>
      <c r="BV45" s="217">
        <f t="shared" si="131"/>
        <v>1.0332314465971104</v>
      </c>
      <c r="BW45" s="46"/>
      <c r="BX45" s="215">
        <f t="shared" ref="BX45:CE45" si="132">BX10/BX28</f>
        <v>1.0349004608556978</v>
      </c>
      <c r="BY45" s="216">
        <f t="shared" si="132"/>
        <v>1.034896054771224</v>
      </c>
      <c r="BZ45" s="216">
        <f t="shared" si="132"/>
        <v>1.0348897584779431</v>
      </c>
      <c r="CA45" s="216">
        <f t="shared" si="132"/>
        <v>1.0348999999999999</v>
      </c>
      <c r="CB45" s="216">
        <f t="shared" si="132"/>
        <v>1.034</v>
      </c>
      <c r="CC45" s="216">
        <f t="shared" si="132"/>
        <v>1.0126715169699965</v>
      </c>
      <c r="CD45" s="216">
        <f t="shared" si="132"/>
        <v>1.0349000397805592</v>
      </c>
      <c r="CE45" s="217">
        <f t="shared" si="132"/>
        <v>1.03261097241483</v>
      </c>
      <c r="CF45" s="46"/>
      <c r="CG45" s="215">
        <f t="shared" ref="CG45:CN45" si="133">CG10/CG28</f>
        <v>1.0349080159177049</v>
      </c>
      <c r="CH45" s="216">
        <f t="shared" si="133"/>
        <v>1.0348999999999999</v>
      </c>
      <c r="CI45" s="216">
        <f t="shared" si="133"/>
        <v>1.0348999998461972</v>
      </c>
      <c r="CJ45" s="216">
        <f t="shared" si="133"/>
        <v>1.0349000039215597</v>
      </c>
      <c r="CK45" s="216">
        <f t="shared" si="133"/>
        <v>1.034</v>
      </c>
      <c r="CL45" s="216">
        <f t="shared" si="133"/>
        <v>1.0128072441651192</v>
      </c>
      <c r="CM45" s="216">
        <f t="shared" si="133"/>
        <v>1.0348999999999999</v>
      </c>
      <c r="CN45" s="217">
        <f t="shared" si="133"/>
        <v>1.0325161713069047</v>
      </c>
      <c r="CO45" s="46"/>
      <c r="CP45" s="215">
        <f t="shared" ref="CP45:CW45" si="134">CP10/CP28</f>
        <v>1.0348997953103898</v>
      </c>
      <c r="CQ45" s="216">
        <f t="shared" si="134"/>
        <v>1.0348988561978483</v>
      </c>
      <c r="CR45" s="216">
        <f t="shared" si="134"/>
        <v>1.0348972449718361</v>
      </c>
      <c r="CS45" s="216">
        <f t="shared" si="134"/>
        <v>1.0348999999999999</v>
      </c>
      <c r="CT45" s="216">
        <f t="shared" si="134"/>
        <v>1.034</v>
      </c>
      <c r="CU45" s="627">
        <f t="shared" si="134"/>
        <v>1.0127999999999999</v>
      </c>
      <c r="CV45" s="216">
        <f t="shared" si="134"/>
        <v>1.0348999999999999</v>
      </c>
      <c r="CW45" s="217">
        <f t="shared" si="134"/>
        <v>1.0325511275396029</v>
      </c>
      <c r="CX45" s="46"/>
      <c r="CY45" s="215" t="e">
        <f t="shared" ref="CY45:DF45" si="135">CY10/CY28</f>
        <v>#DIV/0!</v>
      </c>
      <c r="CZ45" s="216" t="e">
        <f t="shared" si="135"/>
        <v>#DIV/0!</v>
      </c>
      <c r="DA45" s="216" t="e">
        <f t="shared" si="135"/>
        <v>#DIV/0!</v>
      </c>
      <c r="DB45" s="216" t="e">
        <f t="shared" si="135"/>
        <v>#DIV/0!</v>
      </c>
      <c r="DC45" s="216" t="e">
        <f t="shared" si="135"/>
        <v>#DIV/0!</v>
      </c>
      <c r="DD45" s="216" t="e">
        <f t="shared" si="135"/>
        <v>#DIV/0!</v>
      </c>
      <c r="DE45" s="216" t="e">
        <f t="shared" si="135"/>
        <v>#DIV/0!</v>
      </c>
      <c r="DF45" s="217" t="e">
        <f t="shared" si="135"/>
        <v>#DIV/0!</v>
      </c>
      <c r="DH45" s="460"/>
      <c r="DI45" s="460"/>
      <c r="DJ45" s="460"/>
      <c r="DK45" s="460"/>
      <c r="DL45" s="460"/>
      <c r="DM45" s="460"/>
      <c r="DN45" s="460"/>
    </row>
    <row r="46" spans="1:124">
      <c r="A46" s="977"/>
      <c r="B46" s="199" t="s">
        <v>11</v>
      </c>
      <c r="D46" s="215">
        <f t="shared" si="90"/>
        <v>1.0355998605283607</v>
      </c>
      <c r="E46" s="216">
        <f t="shared" si="90"/>
        <v>1.0356000000000001</v>
      </c>
      <c r="F46" s="216">
        <f t="shared" si="90"/>
        <v>1.0354642865509283</v>
      </c>
      <c r="G46" s="216">
        <f t="shared" si="90"/>
        <v>1.0355468243410273</v>
      </c>
      <c r="H46" s="216">
        <f t="shared" si="90"/>
        <v>1.0346083044421643</v>
      </c>
      <c r="I46" s="216">
        <f t="shared" si="90"/>
        <v>1.0119108139923287</v>
      </c>
      <c r="J46" s="216">
        <f t="shared" si="90"/>
        <v>1.035600186723824</v>
      </c>
      <c r="K46" s="217">
        <f t="shared" si="90"/>
        <v>1.0338894732435777</v>
      </c>
      <c r="M46" s="215">
        <f t="shared" si="91"/>
        <v>1.0356002419318069</v>
      </c>
      <c r="N46" s="216">
        <f t="shared" si="91"/>
        <v>1.0356000000000001</v>
      </c>
      <c r="O46" s="216">
        <f t="shared" si="91"/>
        <v>1.0356003522054589</v>
      </c>
      <c r="P46" s="216">
        <f t="shared" si="91"/>
        <v>1.0355263987448469</v>
      </c>
      <c r="Q46" s="216">
        <f t="shared" si="91"/>
        <v>1.0343604992532258</v>
      </c>
      <c r="R46" s="216">
        <f t="shared" si="91"/>
        <v>1.0134993742352252</v>
      </c>
      <c r="S46" s="216">
        <f t="shared" si="91"/>
        <v>1.0355998681508765</v>
      </c>
      <c r="T46" s="217">
        <f t="shared" si="91"/>
        <v>1.0333917243936805</v>
      </c>
      <c r="V46" s="215">
        <f t="shared" si="92"/>
        <v>1.0355989406221839</v>
      </c>
      <c r="W46" s="216">
        <f t="shared" si="92"/>
        <v>1.0356000000000001</v>
      </c>
      <c r="X46" s="216">
        <f t="shared" si="92"/>
        <v>1.0355993208017515</v>
      </c>
      <c r="Y46" s="216">
        <f t="shared" si="92"/>
        <v>1.0355227895483026</v>
      </c>
      <c r="Z46" s="216">
        <f t="shared" si="92"/>
        <v>1.0343020753647798</v>
      </c>
      <c r="AA46" s="216">
        <f t="shared" si="92"/>
        <v>1.0135702496508321</v>
      </c>
      <c r="AB46" s="216">
        <f t="shared" si="92"/>
        <v>1.0355998822172883</v>
      </c>
      <c r="AC46" s="217">
        <f t="shared" si="92"/>
        <v>1.0334469077129207</v>
      </c>
      <c r="AE46" s="215">
        <f t="shared" si="93"/>
        <v>1.0356000521505415</v>
      </c>
      <c r="AF46" s="216">
        <f t="shared" si="93"/>
        <v>1.0356000000000001</v>
      </c>
      <c r="AG46" s="216">
        <f t="shared" si="93"/>
        <v>1.0355945941583553</v>
      </c>
      <c r="AH46" s="216">
        <f t="shared" si="93"/>
        <v>1.0355559108033299</v>
      </c>
      <c r="AI46" s="216">
        <f t="shared" si="93"/>
        <v>1.0342582697177172</v>
      </c>
      <c r="AJ46" s="216">
        <f t="shared" si="93"/>
        <v>1.0137379577207719</v>
      </c>
      <c r="AK46" s="216">
        <f t="shared" si="93"/>
        <v>1.0356000052739247</v>
      </c>
      <c r="AL46" s="217">
        <f t="shared" si="93"/>
        <v>1.0331912044104714</v>
      </c>
      <c r="AM46" s="218"/>
      <c r="AN46" s="215">
        <f t="shared" si="94"/>
        <v>1.035599181259929</v>
      </c>
      <c r="AO46" s="216">
        <f t="shared" si="94"/>
        <v>1.0356000000000001</v>
      </c>
      <c r="AP46" s="216">
        <f t="shared" si="94"/>
        <v>1.0355864575295719</v>
      </c>
      <c r="AQ46" s="216">
        <f t="shared" si="94"/>
        <v>1.0355635454488179</v>
      </c>
      <c r="AR46" s="216">
        <f t="shared" si="94"/>
        <v>1.0346482949549403</v>
      </c>
      <c r="AS46" s="216">
        <f t="shared" si="94"/>
        <v>1.0127339236066357</v>
      </c>
      <c r="AT46" s="216">
        <f t="shared" si="94"/>
        <v>1.0356001069659584</v>
      </c>
      <c r="AU46" s="217">
        <f t="shared" si="94"/>
        <v>1.0332253720498972</v>
      </c>
      <c r="AV46" s="219"/>
      <c r="AW46" s="215">
        <f t="shared" si="95"/>
        <v>1.0356003758745671</v>
      </c>
      <c r="AX46" s="216">
        <f t="shared" si="95"/>
        <v>1.0356000000000001</v>
      </c>
      <c r="AY46" s="216">
        <f t="shared" si="95"/>
        <v>1.0356000000000001</v>
      </c>
      <c r="AZ46" s="216">
        <f t="shared" si="95"/>
        <v>1.0355540420234239</v>
      </c>
      <c r="BA46" s="216">
        <f t="shared" si="95"/>
        <v>1.0347715263974269</v>
      </c>
      <c r="BB46" s="216">
        <f t="shared" si="95"/>
        <v>1.0128824937500052</v>
      </c>
      <c r="BC46" s="216">
        <f t="shared" si="95"/>
        <v>1.0356004470369409</v>
      </c>
      <c r="BD46" s="217">
        <f t="shared" si="95"/>
        <v>1.0329730444456329</v>
      </c>
      <c r="BE46" s="46"/>
      <c r="BF46" s="215">
        <f t="shared" si="96"/>
        <v>1.0355972359439467</v>
      </c>
      <c r="BG46" s="216">
        <f t="shared" si="96"/>
        <v>1.0356000000000001</v>
      </c>
      <c r="BH46" s="216">
        <f t="shared" si="96"/>
        <v>1.0355985074168377</v>
      </c>
      <c r="BI46" s="216">
        <f t="shared" si="96"/>
        <v>1.0355291853297492</v>
      </c>
      <c r="BJ46" s="216">
        <f t="shared" si="96"/>
        <v>1.0347705901989881</v>
      </c>
      <c r="BK46" s="216">
        <f t="shared" si="96"/>
        <v>1.0125372786975695</v>
      </c>
      <c r="BL46" s="216">
        <f t="shared" si="96"/>
        <v>1.0355998191760951</v>
      </c>
      <c r="BM46" s="217">
        <f t="shared" si="96"/>
        <v>1.0330417663292037</v>
      </c>
      <c r="BN46" s="46"/>
      <c r="BO46" s="215">
        <f t="shared" ref="BO46:BV46" si="136">BO11/BO29</f>
        <v>1.0355983648756522</v>
      </c>
      <c r="BP46" s="216">
        <f t="shared" si="136"/>
        <v>1.0356000000000001</v>
      </c>
      <c r="BQ46" s="216">
        <f t="shared" si="136"/>
        <v>1.035599154190378</v>
      </c>
      <c r="BR46" s="216">
        <f t="shared" si="136"/>
        <v>1.0356000000000001</v>
      </c>
      <c r="BS46" s="216">
        <f t="shared" si="136"/>
        <v>1.0347</v>
      </c>
      <c r="BT46" s="216">
        <f t="shared" si="136"/>
        <v>1.0125412941728333</v>
      </c>
      <c r="BU46" s="216">
        <f t="shared" si="136"/>
        <v>1.0355998338393388</v>
      </c>
      <c r="BV46" s="217">
        <f t="shared" si="136"/>
        <v>1.0331399305883728</v>
      </c>
      <c r="BW46" s="46"/>
      <c r="BX46" s="215">
        <f t="shared" ref="BX46:CE46" si="137">BX11/BX29</f>
        <v>1.0349006313722149</v>
      </c>
      <c r="BY46" s="216">
        <f t="shared" si="137"/>
        <v>1.0348970751347151</v>
      </c>
      <c r="BZ46" s="216">
        <f t="shared" si="137"/>
        <v>1.0348888647871812</v>
      </c>
      <c r="CA46" s="216">
        <f t="shared" si="137"/>
        <v>1.0348999999999999</v>
      </c>
      <c r="CB46" s="216">
        <f t="shared" si="137"/>
        <v>1.034</v>
      </c>
      <c r="CC46" s="216">
        <f t="shared" si="137"/>
        <v>1.0127070850591926</v>
      </c>
      <c r="CD46" s="216">
        <f t="shared" si="137"/>
        <v>1.0348998177614845</v>
      </c>
      <c r="CE46" s="217">
        <f t="shared" si="137"/>
        <v>1.0326154100992557</v>
      </c>
      <c r="CF46" s="46"/>
      <c r="CG46" s="215">
        <f t="shared" ref="CG46:CN46" si="138">CG11/CG29</f>
        <v>1.0348998616210237</v>
      </c>
      <c r="CH46" s="216">
        <f t="shared" si="138"/>
        <v>1.0348999999999999</v>
      </c>
      <c r="CI46" s="216">
        <f t="shared" si="138"/>
        <v>1.0349000000637762</v>
      </c>
      <c r="CJ46" s="216">
        <f t="shared" si="138"/>
        <v>1.0349000045727494</v>
      </c>
      <c r="CK46" s="216">
        <f t="shared" si="138"/>
        <v>1.034</v>
      </c>
      <c r="CL46" s="216">
        <f t="shared" si="138"/>
        <v>1.01284637449979</v>
      </c>
      <c r="CM46" s="216">
        <f t="shared" si="138"/>
        <v>1.0348999999999999</v>
      </c>
      <c r="CN46" s="217">
        <f t="shared" si="138"/>
        <v>1.0324535784004185</v>
      </c>
      <c r="CO46" s="46"/>
      <c r="CP46" s="215">
        <f t="shared" ref="CP46:CW46" si="139">CP11/CP29</f>
        <v>1.0348982599285148</v>
      </c>
      <c r="CQ46" s="216">
        <f t="shared" si="139"/>
        <v>1.0348979600366115</v>
      </c>
      <c r="CR46" s="216">
        <f t="shared" si="139"/>
        <v>1.034897504347758</v>
      </c>
      <c r="CS46" s="216">
        <f t="shared" si="139"/>
        <v>1.0348999999999999</v>
      </c>
      <c r="CT46" s="216">
        <f t="shared" si="139"/>
        <v>1.034</v>
      </c>
      <c r="CU46" s="627">
        <f t="shared" si="139"/>
        <v>1.0127999999999999</v>
      </c>
      <c r="CV46" s="216">
        <f t="shared" si="139"/>
        <v>1.0348999999999999</v>
      </c>
      <c r="CW46" s="217">
        <f t="shared" si="139"/>
        <v>1.0326079620156825</v>
      </c>
      <c r="CX46" s="46"/>
      <c r="CY46" s="215" t="e">
        <f t="shared" ref="CY46:DF46" si="140">CY11/CY29</f>
        <v>#DIV/0!</v>
      </c>
      <c r="CZ46" s="216" t="e">
        <f t="shared" si="140"/>
        <v>#DIV/0!</v>
      </c>
      <c r="DA46" s="216" t="e">
        <f t="shared" si="140"/>
        <v>#DIV/0!</v>
      </c>
      <c r="DB46" s="216" t="e">
        <f t="shared" si="140"/>
        <v>#DIV/0!</v>
      </c>
      <c r="DC46" s="216" t="e">
        <f t="shared" si="140"/>
        <v>#DIV/0!</v>
      </c>
      <c r="DD46" s="216" t="e">
        <f t="shared" si="140"/>
        <v>#DIV/0!</v>
      </c>
      <c r="DE46" s="216" t="e">
        <f t="shared" si="140"/>
        <v>#DIV/0!</v>
      </c>
      <c r="DF46" s="217" t="e">
        <f t="shared" si="140"/>
        <v>#DIV/0!</v>
      </c>
      <c r="DH46" s="460"/>
      <c r="DI46" s="460"/>
      <c r="DJ46" s="460"/>
      <c r="DK46" s="460"/>
      <c r="DL46" s="460"/>
      <c r="DM46" s="460"/>
      <c r="DN46" s="460"/>
    </row>
    <row r="47" spans="1:124">
      <c r="A47" s="977"/>
      <c r="B47" s="199" t="s">
        <v>23</v>
      </c>
      <c r="D47" s="215">
        <f t="shared" si="90"/>
        <v>1.0355982324520681</v>
      </c>
      <c r="E47" s="216">
        <f t="shared" si="90"/>
        <v>1.0356000000000001</v>
      </c>
      <c r="F47" s="216">
        <f t="shared" si="90"/>
        <v>1.0355989328447075</v>
      </c>
      <c r="G47" s="216">
        <f t="shared" si="90"/>
        <v>1.0354758952621943</v>
      </c>
      <c r="H47" s="216">
        <f t="shared" si="90"/>
        <v>1.0346300316465344</v>
      </c>
      <c r="I47" s="216">
        <f t="shared" si="90"/>
        <v>1.0124458798942442</v>
      </c>
      <c r="J47" s="216">
        <f t="shared" si="90"/>
        <v>1.0355997415818685</v>
      </c>
      <c r="K47" s="217">
        <f t="shared" si="90"/>
        <v>1.0335914081184099</v>
      </c>
      <c r="M47" s="215">
        <f t="shared" si="91"/>
        <v>1.0356005527618355</v>
      </c>
      <c r="N47" s="216">
        <f t="shared" si="91"/>
        <v>1.0356000000000001</v>
      </c>
      <c r="O47" s="216">
        <f t="shared" si="91"/>
        <v>1.0356035182339778</v>
      </c>
      <c r="P47" s="216">
        <f t="shared" si="91"/>
        <v>1.0354833866264608</v>
      </c>
      <c r="Q47" s="216">
        <f t="shared" si="91"/>
        <v>1.0343868050546432</v>
      </c>
      <c r="R47" s="216">
        <f t="shared" si="91"/>
        <v>1.0136653985699646</v>
      </c>
      <c r="S47" s="216">
        <f t="shared" si="91"/>
        <v>1.0356000745593388</v>
      </c>
      <c r="T47" s="217">
        <f t="shared" si="91"/>
        <v>1.0333024854710986</v>
      </c>
      <c r="V47" s="215">
        <f t="shared" si="92"/>
        <v>1.0355990826663997</v>
      </c>
      <c r="W47" s="216">
        <f t="shared" si="92"/>
        <v>1.0356000000000001</v>
      </c>
      <c r="X47" s="216">
        <f t="shared" si="92"/>
        <v>1.0356011553243127</v>
      </c>
      <c r="Y47" s="216">
        <f t="shared" si="92"/>
        <v>1.0355365084956547</v>
      </c>
      <c r="Z47" s="216">
        <f t="shared" si="92"/>
        <v>1.0343145242303655</v>
      </c>
      <c r="AA47" s="216">
        <f t="shared" si="92"/>
        <v>1.0136871633015445</v>
      </c>
      <c r="AB47" s="216">
        <f t="shared" si="92"/>
        <v>1.0355998295879147</v>
      </c>
      <c r="AC47" s="217">
        <f t="shared" si="92"/>
        <v>1.0332621372529243</v>
      </c>
      <c r="AE47" s="215">
        <f t="shared" si="93"/>
        <v>1.0355969353135144</v>
      </c>
      <c r="AF47" s="216">
        <f t="shared" si="93"/>
        <v>1.0356000000000001</v>
      </c>
      <c r="AG47" s="216">
        <f t="shared" si="93"/>
        <v>1.0355922541290252</v>
      </c>
      <c r="AH47" s="216">
        <f t="shared" si="93"/>
        <v>1.0355443159361346</v>
      </c>
      <c r="AI47" s="216">
        <f t="shared" si="93"/>
        <v>1.0342918637263474</v>
      </c>
      <c r="AJ47" s="216">
        <f t="shared" si="93"/>
        <v>1.0137760176075887</v>
      </c>
      <c r="AK47" s="216">
        <f t="shared" si="93"/>
        <v>1.0356002050423809</v>
      </c>
      <c r="AL47" s="217">
        <f t="shared" si="93"/>
        <v>1.0331874078680048</v>
      </c>
      <c r="AM47" s="218"/>
      <c r="AN47" s="215">
        <f t="shared" si="94"/>
        <v>1.0355971058104605</v>
      </c>
      <c r="AO47" s="216">
        <f t="shared" si="94"/>
        <v>1.0356000000000001</v>
      </c>
      <c r="AP47" s="216">
        <f t="shared" si="94"/>
        <v>1.0355819052873685</v>
      </c>
      <c r="AQ47" s="216">
        <f t="shared" si="94"/>
        <v>1.0355444350790584</v>
      </c>
      <c r="AR47" s="216">
        <f t="shared" si="94"/>
        <v>1.034629601771218</v>
      </c>
      <c r="AS47" s="216">
        <f t="shared" si="94"/>
        <v>1.0129083888398007</v>
      </c>
      <c r="AT47" s="216">
        <f t="shared" si="94"/>
        <v>1.0356001390699836</v>
      </c>
      <c r="AU47" s="217">
        <f t="shared" si="94"/>
        <v>1.0329692460038842</v>
      </c>
      <c r="AV47" s="219"/>
      <c r="AW47" s="215">
        <f t="shared" si="95"/>
        <v>1.0355995922167642</v>
      </c>
      <c r="AX47" s="216">
        <f t="shared" si="95"/>
        <v>1.0356000000000001</v>
      </c>
      <c r="AY47" s="216">
        <f t="shared" si="95"/>
        <v>1.0356000000000001</v>
      </c>
      <c r="AZ47" s="216">
        <f t="shared" si="95"/>
        <v>1.0355588609536732</v>
      </c>
      <c r="BA47" s="216">
        <f t="shared" si="95"/>
        <v>1.0347818759879452</v>
      </c>
      <c r="BB47" s="216">
        <f t="shared" si="95"/>
        <v>1.012974314969314</v>
      </c>
      <c r="BC47" s="216">
        <f t="shared" si="95"/>
        <v>1.0355998520383591</v>
      </c>
      <c r="BD47" s="217">
        <f t="shared" si="95"/>
        <v>1.0329052731101354</v>
      </c>
      <c r="BE47" s="46"/>
      <c r="BF47" s="215">
        <f t="shared" si="96"/>
        <v>1.0355981325892698</v>
      </c>
      <c r="BG47" s="216">
        <f t="shared" si="96"/>
        <v>1.0356000000000001</v>
      </c>
      <c r="BH47" s="216">
        <f t="shared" si="96"/>
        <v>1.0355993587071151</v>
      </c>
      <c r="BI47" s="216">
        <f t="shared" si="96"/>
        <v>1.0355262925611728</v>
      </c>
      <c r="BJ47" s="216">
        <f t="shared" si="96"/>
        <v>1.0347638256296923</v>
      </c>
      <c r="BK47" s="216">
        <f t="shared" si="96"/>
        <v>1.0127211465099872</v>
      </c>
      <c r="BL47" s="216">
        <f t="shared" si="96"/>
        <v>1.0355999162736493</v>
      </c>
      <c r="BM47" s="217">
        <f t="shared" si="96"/>
        <v>1.0329856835018929</v>
      </c>
      <c r="BN47" s="46"/>
      <c r="BO47" s="215">
        <f t="shared" ref="BO47:BV47" si="141">BO12/BO30</f>
        <v>1.0355960385642906</v>
      </c>
      <c r="BP47" s="216">
        <f t="shared" si="141"/>
        <v>1.0356000000000001</v>
      </c>
      <c r="BQ47" s="216">
        <f t="shared" si="141"/>
        <v>1.03560088718391</v>
      </c>
      <c r="BR47" s="216">
        <f t="shared" si="141"/>
        <v>1.0356000000000001</v>
      </c>
      <c r="BS47" s="216">
        <f t="shared" si="141"/>
        <v>1.0347</v>
      </c>
      <c r="BT47" s="216">
        <f t="shared" si="141"/>
        <v>1.0126601083616749</v>
      </c>
      <c r="BU47" s="216">
        <f t="shared" si="141"/>
        <v>1.0355998142297365</v>
      </c>
      <c r="BV47" s="217">
        <f t="shared" si="141"/>
        <v>1.032960223430726</v>
      </c>
      <c r="BW47" s="46"/>
      <c r="BX47" s="215">
        <f t="shared" ref="BX47:CE47" si="142">BX12/BX30</f>
        <v>1.0348994532553246</v>
      </c>
      <c r="BY47" s="216">
        <f t="shared" si="142"/>
        <v>1.0348975559703528</v>
      </c>
      <c r="BZ47" s="216">
        <f t="shared" si="142"/>
        <v>1.0348866878803262</v>
      </c>
      <c r="CA47" s="216">
        <f t="shared" si="142"/>
        <v>1.0348999999999999</v>
      </c>
      <c r="CB47" s="216">
        <f t="shared" si="142"/>
        <v>1.034</v>
      </c>
      <c r="CC47" s="216">
        <f t="shared" si="142"/>
        <v>1.0128992232253691</v>
      </c>
      <c r="CD47" s="216">
        <f t="shared" si="142"/>
        <v>1.0348997793227412</v>
      </c>
      <c r="CE47" s="217">
        <f t="shared" si="142"/>
        <v>1.0322354589967955</v>
      </c>
      <c r="CF47" s="46"/>
      <c r="CG47" s="215">
        <f t="shared" ref="CG47:CN47" si="143">CG12/CG30</f>
        <v>1.0349004481987107</v>
      </c>
      <c r="CH47" s="216">
        <f t="shared" si="143"/>
        <v>1.0348999999999999</v>
      </c>
      <c r="CI47" s="216">
        <f t="shared" si="143"/>
        <v>1.0349000002025099</v>
      </c>
      <c r="CJ47" s="216">
        <f t="shared" si="143"/>
        <v>1.0348999973782818</v>
      </c>
      <c r="CK47" s="216">
        <f t="shared" si="143"/>
        <v>1.034</v>
      </c>
      <c r="CL47" s="216">
        <f t="shared" si="143"/>
        <v>1.0129210576299605</v>
      </c>
      <c r="CM47" s="216">
        <f t="shared" si="143"/>
        <v>1.0348999999999999</v>
      </c>
      <c r="CN47" s="217">
        <f t="shared" si="143"/>
        <v>1.0321417714780661</v>
      </c>
      <c r="CO47" s="46"/>
      <c r="CP47" s="215">
        <f t="shared" ref="CP47:CW47" si="144">CP12/CP30</f>
        <v>1.0348993407025364</v>
      </c>
      <c r="CQ47" s="216">
        <f t="shared" si="144"/>
        <v>1.0348978871105594</v>
      </c>
      <c r="CR47" s="216">
        <f t="shared" si="144"/>
        <v>1.0348966650526095</v>
      </c>
      <c r="CS47" s="216">
        <f t="shared" si="144"/>
        <v>1.0348999999999999</v>
      </c>
      <c r="CT47" s="216">
        <f t="shared" si="144"/>
        <v>1.034</v>
      </c>
      <c r="CU47" s="627">
        <f>CU12/CU30</f>
        <v>1.0127999999999999</v>
      </c>
      <c r="CV47" s="216">
        <f t="shared" si="144"/>
        <v>1.0348999999999999</v>
      </c>
      <c r="CW47" s="217">
        <f t="shared" si="144"/>
        <v>1.0323566685624903</v>
      </c>
      <c r="CX47" s="46"/>
      <c r="CY47" s="215" t="e">
        <f t="shared" ref="CY47:DF47" si="145">CY12/CY30</f>
        <v>#DIV/0!</v>
      </c>
      <c r="CZ47" s="216" t="e">
        <f t="shared" si="145"/>
        <v>#DIV/0!</v>
      </c>
      <c r="DA47" s="216" t="e">
        <f t="shared" si="145"/>
        <v>#DIV/0!</v>
      </c>
      <c r="DB47" s="216" t="e">
        <f t="shared" si="145"/>
        <v>#DIV/0!</v>
      </c>
      <c r="DC47" s="216" t="e">
        <f t="shared" si="145"/>
        <v>#DIV/0!</v>
      </c>
      <c r="DD47" s="216" t="e">
        <f t="shared" si="145"/>
        <v>#DIV/0!</v>
      </c>
      <c r="DE47" s="216" t="e">
        <f t="shared" si="145"/>
        <v>#DIV/0!</v>
      </c>
      <c r="DF47" s="217" t="e">
        <f t="shared" si="145"/>
        <v>#DIV/0!</v>
      </c>
      <c r="DH47" s="460"/>
      <c r="DI47" s="460"/>
      <c r="DJ47" s="460"/>
      <c r="DK47" s="460"/>
      <c r="DL47" s="460"/>
      <c r="DM47" s="460"/>
      <c r="DN47" s="460"/>
    </row>
    <row r="48" spans="1:124">
      <c r="A48" s="977"/>
      <c r="B48" s="199" t="s">
        <v>12</v>
      </c>
      <c r="D48" s="215">
        <f t="shared" si="90"/>
        <v>1.035598445596009</v>
      </c>
      <c r="E48" s="216">
        <f t="shared" si="90"/>
        <v>1.0356000000000001</v>
      </c>
      <c r="F48" s="216">
        <f t="shared" si="90"/>
        <v>1.0355999932501962</v>
      </c>
      <c r="G48" s="216">
        <f t="shared" si="90"/>
        <v>1.0354916883957548</v>
      </c>
      <c r="H48" s="216">
        <f t="shared" si="90"/>
        <v>1.0346469806602014</v>
      </c>
      <c r="I48" s="216">
        <f t="shared" si="90"/>
        <v>1.012500648940668</v>
      </c>
      <c r="J48" s="216">
        <f t="shared" si="90"/>
        <v>1.0355996179054947</v>
      </c>
      <c r="K48" s="217">
        <f t="shared" si="90"/>
        <v>1.0333534761953715</v>
      </c>
      <c r="M48" s="215">
        <f t="shared" si="91"/>
        <v>1.0355959080685073</v>
      </c>
      <c r="N48" s="216">
        <f t="shared" si="91"/>
        <v>1.0356000000000001</v>
      </c>
      <c r="O48" s="216">
        <f t="shared" si="91"/>
        <v>1.0356002752336373</v>
      </c>
      <c r="P48" s="216">
        <f t="shared" si="91"/>
        <v>1.0354221459877917</v>
      </c>
      <c r="Q48" s="655">
        <f t="shared" si="91"/>
        <v>1.0343640234622016</v>
      </c>
      <c r="R48" s="216">
        <f t="shared" si="91"/>
        <v>1.0137373265001262</v>
      </c>
      <c r="S48" s="216">
        <f t="shared" si="91"/>
        <v>1.0355998496284307</v>
      </c>
      <c r="T48" s="217">
        <f t="shared" si="91"/>
        <v>1.0332900347121838</v>
      </c>
      <c r="V48" s="215">
        <f t="shared" si="92"/>
        <v>1.0356002592150406</v>
      </c>
      <c r="W48" s="216">
        <f t="shared" si="92"/>
        <v>1.0356000000000001</v>
      </c>
      <c r="X48" s="216">
        <f t="shared" si="92"/>
        <v>1.0356012338780689</v>
      </c>
      <c r="Y48" s="216">
        <f t="shared" si="92"/>
        <v>1.0355507780263049</v>
      </c>
      <c r="Z48" s="216">
        <f t="shared" si="92"/>
        <v>1.0343978278536159</v>
      </c>
      <c r="AA48" s="216">
        <f t="shared" si="92"/>
        <v>1.0137414763594559</v>
      </c>
      <c r="AB48" s="216">
        <f t="shared" si="92"/>
        <v>1.0356000233439919</v>
      </c>
      <c r="AC48" s="217">
        <f t="shared" si="92"/>
        <v>1.0333747484426086</v>
      </c>
      <c r="AE48" s="215">
        <f t="shared" si="93"/>
        <v>1.0355976654919457</v>
      </c>
      <c r="AF48" s="216">
        <f t="shared" si="93"/>
        <v>1.0356000000000001</v>
      </c>
      <c r="AG48" s="216">
        <f t="shared" si="93"/>
        <v>1.0355955256371379</v>
      </c>
      <c r="AH48" s="216">
        <f t="shared" si="93"/>
        <v>1.0355437371680214</v>
      </c>
      <c r="AI48" s="216">
        <f t="shared" si="93"/>
        <v>1.0342749716595794</v>
      </c>
      <c r="AJ48" s="216">
        <f t="shared" si="93"/>
        <v>1.013852747534266</v>
      </c>
      <c r="AK48" s="216">
        <f t="shared" si="93"/>
        <v>1.0356000076565159</v>
      </c>
      <c r="AL48" s="217">
        <f t="shared" si="93"/>
        <v>1.0333077967805566</v>
      </c>
      <c r="AM48" s="218"/>
      <c r="AN48" s="215">
        <f t="shared" si="94"/>
        <v>1.035599592326675</v>
      </c>
      <c r="AO48" s="216">
        <f t="shared" si="94"/>
        <v>1.0356000000000001</v>
      </c>
      <c r="AP48" s="216">
        <f t="shared" si="94"/>
        <v>1.0355855861264978</v>
      </c>
      <c r="AQ48" s="216">
        <f t="shared" si="94"/>
        <v>1.0363385396932452</v>
      </c>
      <c r="AR48" s="216">
        <f t="shared" si="94"/>
        <v>1.0345922053747629</v>
      </c>
      <c r="AS48" s="216">
        <f t="shared" si="94"/>
        <v>1.0130264461492577</v>
      </c>
      <c r="AT48" s="216">
        <f t="shared" si="94"/>
        <v>1.0355999240888401</v>
      </c>
      <c r="AU48" s="217">
        <f t="shared" si="94"/>
        <v>1.0333502730460469</v>
      </c>
      <c r="AV48" s="219"/>
      <c r="AW48" s="215">
        <f t="shared" si="95"/>
        <v>1.0355998708348595</v>
      </c>
      <c r="AX48" s="216">
        <f t="shared" si="95"/>
        <v>1.0356000000000001</v>
      </c>
      <c r="AY48" s="216">
        <f t="shared" si="95"/>
        <v>1.0356000000000001</v>
      </c>
      <c r="AZ48" s="216">
        <f t="shared" si="95"/>
        <v>1.0355659594435709</v>
      </c>
      <c r="BA48" s="216">
        <f t="shared" si="95"/>
        <v>1.0348055569249623</v>
      </c>
      <c r="BB48" s="216">
        <f t="shared" si="95"/>
        <v>1.0128628829834454</v>
      </c>
      <c r="BC48" s="216">
        <f t="shared" si="95"/>
        <v>1.0356002097940746</v>
      </c>
      <c r="BD48" s="217">
        <f t="shared" si="95"/>
        <v>1.0331154805400644</v>
      </c>
      <c r="BE48" s="46"/>
      <c r="BF48" s="215">
        <f t="shared" si="96"/>
        <v>1.0355977198316264</v>
      </c>
      <c r="BG48" s="216">
        <f t="shared" si="96"/>
        <v>1.0356000000000001</v>
      </c>
      <c r="BH48" s="216">
        <f t="shared" si="96"/>
        <v>1.0355994449226431</v>
      </c>
      <c r="BI48" s="216">
        <f t="shared" si="96"/>
        <v>1.0355405536089108</v>
      </c>
      <c r="BJ48" s="216">
        <f t="shared" si="96"/>
        <v>1.0347034624966345</v>
      </c>
      <c r="BK48" s="216">
        <f t="shared" si="96"/>
        <v>1.0126141696601574</v>
      </c>
      <c r="BL48" s="216">
        <f t="shared" si="96"/>
        <v>1.0355999461125189</v>
      </c>
      <c r="BM48" s="217">
        <f t="shared" si="96"/>
        <v>1.0332101439616705</v>
      </c>
      <c r="BN48" s="46"/>
      <c r="BO48" s="215">
        <f t="shared" ref="BO48:BV48" si="146">BO13/BO31</f>
        <v>1.0355980247042951</v>
      </c>
      <c r="BP48" s="216">
        <f>BP13/BP31</f>
        <v>1.0356000000000001</v>
      </c>
      <c r="BQ48" s="216">
        <f t="shared" si="146"/>
        <v>1.0355991469241512</v>
      </c>
      <c r="BR48" s="216">
        <f t="shared" si="146"/>
        <v>1.0356000000000001</v>
      </c>
      <c r="BS48" s="216">
        <f t="shared" si="146"/>
        <v>1.0347</v>
      </c>
      <c r="BT48" s="216">
        <f t="shared" si="146"/>
        <v>1.0126450161948206</v>
      </c>
      <c r="BU48" s="216">
        <f t="shared" si="146"/>
        <v>1.0355997942864612</v>
      </c>
      <c r="BV48" s="217">
        <f t="shared" si="146"/>
        <v>1.0332262428617078</v>
      </c>
      <c r="BW48" s="46"/>
      <c r="BX48" s="215">
        <f t="shared" ref="BX48:CE48" si="147">BX13/BX31</f>
        <v>1.034899806332729</v>
      </c>
      <c r="BY48" s="216">
        <f t="shared" si="147"/>
        <v>1.0348957488680741</v>
      </c>
      <c r="BZ48" s="216">
        <f t="shared" si="147"/>
        <v>1.0348876478481761</v>
      </c>
      <c r="CA48" s="216">
        <f t="shared" si="147"/>
        <v>1.0348999999999999</v>
      </c>
      <c r="CB48" s="216">
        <f t="shared" si="147"/>
        <v>1.034</v>
      </c>
      <c r="CC48" s="216">
        <f t="shared" si="147"/>
        <v>1.0129239414248303</v>
      </c>
      <c r="CD48" s="216">
        <f t="shared" si="147"/>
        <v>1.0348996733154983</v>
      </c>
      <c r="CE48" s="217">
        <f t="shared" si="147"/>
        <v>1.0323747770018759</v>
      </c>
      <c r="CF48" s="46"/>
      <c r="CG48" s="215">
        <f t="shared" ref="CG48:CN48" si="148">CG13/CG31</f>
        <v>1.0348992017047376</v>
      </c>
      <c r="CH48" s="216">
        <f t="shared" si="148"/>
        <v>1.0348999999999999</v>
      </c>
      <c r="CI48" s="216">
        <f t="shared" si="148"/>
        <v>1.0349000000272224</v>
      </c>
      <c r="CJ48" s="216">
        <f t="shared" si="148"/>
        <v>1.0348999965756007</v>
      </c>
      <c r="CK48" s="216">
        <f t="shared" si="148"/>
        <v>1.034</v>
      </c>
      <c r="CL48" s="216">
        <f t="shared" si="148"/>
        <v>1.0129526428758984</v>
      </c>
      <c r="CM48" s="216">
        <f t="shared" si="148"/>
        <v>1.0348999999999999</v>
      </c>
      <c r="CN48" s="217">
        <f t="shared" si="148"/>
        <v>1.0324111462982204</v>
      </c>
      <c r="CO48" s="46"/>
      <c r="CP48" s="215">
        <f t="shared" ref="CP48:CW48" si="149">CP13/CP31</f>
        <v>1.0349010987288516</v>
      </c>
      <c r="CQ48" s="216">
        <f t="shared" si="149"/>
        <v>1.0348969050518624</v>
      </c>
      <c r="CR48" s="216">
        <f t="shared" si="149"/>
        <v>1.0348964965285354</v>
      </c>
      <c r="CS48" s="216">
        <f t="shared" si="149"/>
        <v>1.0348999999999999</v>
      </c>
      <c r="CT48" s="216">
        <f t="shared" si="149"/>
        <v>1.034</v>
      </c>
      <c r="CU48" s="627">
        <f>CU13/CU31</f>
        <v>1.0127999999999999</v>
      </c>
      <c r="CV48" s="216">
        <f t="shared" si="149"/>
        <v>1.0348999999999999</v>
      </c>
      <c r="CW48" s="217">
        <f t="shared" si="149"/>
        <v>1.032486485104108</v>
      </c>
      <c r="CX48" s="46"/>
      <c r="CY48" s="215" t="e">
        <f t="shared" ref="CY48:DF48" si="150">CY13/CY31</f>
        <v>#DIV/0!</v>
      </c>
      <c r="CZ48" s="216" t="e">
        <f t="shared" si="150"/>
        <v>#DIV/0!</v>
      </c>
      <c r="DA48" s="216" t="e">
        <f t="shared" si="150"/>
        <v>#DIV/0!</v>
      </c>
      <c r="DB48" s="216" t="e">
        <f t="shared" si="150"/>
        <v>#DIV/0!</v>
      </c>
      <c r="DC48" s="216" t="e">
        <f t="shared" si="150"/>
        <v>#DIV/0!</v>
      </c>
      <c r="DD48" s="216" t="e">
        <f t="shared" si="150"/>
        <v>#DIV/0!</v>
      </c>
      <c r="DE48" s="216" t="e">
        <f t="shared" si="150"/>
        <v>#DIV/0!</v>
      </c>
      <c r="DF48" s="217" t="e">
        <f t="shared" si="150"/>
        <v>#DIV/0!</v>
      </c>
      <c r="DH48" s="460"/>
      <c r="DI48" s="460"/>
      <c r="DJ48" s="460"/>
      <c r="DK48" s="460"/>
      <c r="DL48" s="460"/>
      <c r="DM48" s="460"/>
      <c r="DN48" s="460"/>
    </row>
    <row r="49" spans="1:124" ht="13.8" thickBot="1">
      <c r="A49" s="977"/>
      <c r="B49" s="152" t="s">
        <v>13</v>
      </c>
      <c r="D49" s="215">
        <f t="shared" si="90"/>
        <v>1.0355978766320426</v>
      </c>
      <c r="E49" s="216">
        <f t="shared" si="90"/>
        <v>1.0356000000000001</v>
      </c>
      <c r="F49" s="216">
        <f t="shared" si="90"/>
        <v>1.0355981703155921</v>
      </c>
      <c r="G49" s="216">
        <f t="shared" si="90"/>
        <v>1.0354746644471293</v>
      </c>
      <c r="H49" s="216">
        <f t="shared" si="90"/>
        <v>1.0346828097170411</v>
      </c>
      <c r="I49" s="216">
        <f t="shared" si="90"/>
        <v>1.0126546774428997</v>
      </c>
      <c r="J49" s="216">
        <f t="shared" si="90"/>
        <v>1.0356004815619615</v>
      </c>
      <c r="K49" s="217">
        <f t="shared" si="90"/>
        <v>1.0334516797691264</v>
      </c>
      <c r="M49" s="215">
        <f t="shared" si="91"/>
        <v>1.035598771298595</v>
      </c>
      <c r="N49" s="216">
        <f t="shared" si="91"/>
        <v>1.0356000000000001</v>
      </c>
      <c r="O49" s="216">
        <f t="shared" si="91"/>
        <v>1.03559867618137</v>
      </c>
      <c r="P49" s="216">
        <f t="shared" si="91"/>
        <v>1.0355356262229309</v>
      </c>
      <c r="Q49" s="216">
        <f t="shared" si="91"/>
        <v>1.0341955355457866</v>
      </c>
      <c r="R49" s="216">
        <f t="shared" si="91"/>
        <v>1.0136859044448934</v>
      </c>
      <c r="S49" s="216">
        <f t="shared" si="91"/>
        <v>1.03560028943611</v>
      </c>
      <c r="T49" s="217">
        <f t="shared" si="91"/>
        <v>1.0335360492990937</v>
      </c>
      <c r="V49" s="215">
        <f t="shared" si="92"/>
        <v>1.0355999652291554</v>
      </c>
      <c r="W49" s="216">
        <f t="shared" si="92"/>
        <v>1.0356000000000001</v>
      </c>
      <c r="X49" s="216">
        <f t="shared" si="92"/>
        <v>1.0356004186827414</v>
      </c>
      <c r="Y49" s="216">
        <f t="shared" si="92"/>
        <v>1.0355451938989544</v>
      </c>
      <c r="Z49" s="216">
        <f t="shared" si="92"/>
        <v>1.0346553009592991</v>
      </c>
      <c r="AA49" s="216">
        <f t="shared" si="92"/>
        <v>1.0136899322628536</v>
      </c>
      <c r="AB49" s="216">
        <f t="shared" si="92"/>
        <v>1.0356001093784775</v>
      </c>
      <c r="AC49" s="217">
        <f t="shared" si="92"/>
        <v>1.0335855784082193</v>
      </c>
      <c r="AE49" s="215">
        <f t="shared" si="93"/>
        <v>1.0355980543171777</v>
      </c>
      <c r="AF49" s="216">
        <f t="shared" si="93"/>
        <v>1.0356000000000001</v>
      </c>
      <c r="AG49" s="216">
        <f t="shared" si="93"/>
        <v>1.035593666672578</v>
      </c>
      <c r="AH49" s="216">
        <f t="shared" si="93"/>
        <v>1.0355534038254657</v>
      </c>
      <c r="AI49" s="216">
        <f t="shared" si="93"/>
        <v>1.0343433752106708</v>
      </c>
      <c r="AJ49" s="216">
        <f t="shared" si="93"/>
        <v>1.0137483868976629</v>
      </c>
      <c r="AK49" s="216">
        <f t="shared" si="93"/>
        <v>1.0356001335264353</v>
      </c>
      <c r="AL49" s="217">
        <f t="shared" si="93"/>
        <v>1.0334447826339139</v>
      </c>
      <c r="AM49" s="220"/>
      <c r="AN49" s="215">
        <f t="shared" si="94"/>
        <v>1.0355994884702295</v>
      </c>
      <c r="AO49" s="216">
        <f t="shared" si="94"/>
        <v>1.0356000000000001</v>
      </c>
      <c r="AP49" s="216">
        <f t="shared" si="94"/>
        <v>1.0356011638590972</v>
      </c>
      <c r="AQ49" s="216">
        <f t="shared" si="94"/>
        <v>1.0355695398773019</v>
      </c>
      <c r="AR49" s="216">
        <f t="shared" si="94"/>
        <v>1.0345623221368729</v>
      </c>
      <c r="AS49" s="216">
        <f t="shared" si="94"/>
        <v>1.0129698325640042</v>
      </c>
      <c r="AT49" s="216">
        <f t="shared" si="94"/>
        <v>1.0356002203121553</v>
      </c>
      <c r="AU49" s="217">
        <f t="shared" si="94"/>
        <v>1.0331082262786424</v>
      </c>
      <c r="AV49" s="219"/>
      <c r="AW49" s="215">
        <f t="shared" si="95"/>
        <v>1.035595756024065</v>
      </c>
      <c r="AX49" s="216">
        <f t="shared" si="95"/>
        <v>1.0356000000000001</v>
      </c>
      <c r="AY49" s="216">
        <f t="shared" si="95"/>
        <v>1.0356000000000001</v>
      </c>
      <c r="AZ49" s="216">
        <f t="shared" si="95"/>
        <v>1.0355705272015696</v>
      </c>
      <c r="BA49" s="216">
        <f t="shared" si="95"/>
        <v>1.034827565775563</v>
      </c>
      <c r="BB49" s="216">
        <f t="shared" si="95"/>
        <v>1.0124927751630748</v>
      </c>
      <c r="BC49" s="216">
        <f t="shared" si="95"/>
        <v>1.0355998811696303</v>
      </c>
      <c r="BD49" s="217">
        <f t="shared" si="95"/>
        <v>1.0332917095452165</v>
      </c>
      <c r="BE49" s="46"/>
      <c r="BF49" s="215">
        <f t="shared" si="96"/>
        <v>1.0356001288681937</v>
      </c>
      <c r="BG49" s="216">
        <f t="shared" si="96"/>
        <v>1.0356000000000001</v>
      </c>
      <c r="BH49" s="216">
        <f t="shared" si="96"/>
        <v>1.0355981347075731</v>
      </c>
      <c r="BI49" s="216">
        <f t="shared" si="96"/>
        <v>1.0355380903555431</v>
      </c>
      <c r="BJ49" s="216">
        <f t="shared" si="96"/>
        <v>1.0347294145062935</v>
      </c>
      <c r="BK49" s="216">
        <f t="shared" si="96"/>
        <v>1.0127036482063856</v>
      </c>
      <c r="BL49" s="216">
        <f t="shared" si="96"/>
        <v>1.0355999541183953</v>
      </c>
      <c r="BM49" s="217">
        <f t="shared" si="96"/>
        <v>1.0330626229703541</v>
      </c>
      <c r="BN49" s="46"/>
      <c r="BO49" s="215">
        <f t="shared" ref="BO49:BV49" si="151">BO14/BO32</f>
        <v>1.0355992782329317</v>
      </c>
      <c r="BP49" s="216">
        <f t="shared" si="151"/>
        <v>1.0356000000000001</v>
      </c>
      <c r="BQ49" s="216">
        <f t="shared" si="151"/>
        <v>1.0356007773955553</v>
      </c>
      <c r="BR49" s="216">
        <f t="shared" si="151"/>
        <v>1.0356000000000001</v>
      </c>
      <c r="BS49" s="216">
        <f t="shared" si="151"/>
        <v>1.0347</v>
      </c>
      <c r="BT49" s="216">
        <f t="shared" si="151"/>
        <v>1.0126237025939222</v>
      </c>
      <c r="BU49" s="216">
        <f t="shared" si="151"/>
        <v>1.0355997233716112</v>
      </c>
      <c r="BV49" s="217">
        <f t="shared" si="151"/>
        <v>1.033312012810593</v>
      </c>
      <c r="BW49" s="46"/>
      <c r="BX49" s="215">
        <f t="shared" ref="BX49:CE49" si="152">BX14/BX32</f>
        <v>1.0348994978755575</v>
      </c>
      <c r="BY49" s="216">
        <f t="shared" si="152"/>
        <v>1.034896924563327</v>
      </c>
      <c r="BZ49" s="216">
        <f t="shared" si="152"/>
        <v>1.03488938770673</v>
      </c>
      <c r="CA49" s="216">
        <f t="shared" si="152"/>
        <v>1.0348999999999999</v>
      </c>
      <c r="CB49" s="216">
        <f t="shared" si="152"/>
        <v>1.034</v>
      </c>
      <c r="CC49" s="216">
        <f t="shared" si="152"/>
        <v>1.0128316925440466</v>
      </c>
      <c r="CD49" s="216">
        <f t="shared" si="152"/>
        <v>1.0348998626274311</v>
      </c>
      <c r="CE49" s="217">
        <f t="shared" si="152"/>
        <v>1.0325443941449552</v>
      </c>
      <c r="CF49" s="46"/>
      <c r="CG49" s="215">
        <f t="shared" ref="CG49:CN49" si="153">CG14/CG32</f>
        <v>1.0348998631676798</v>
      </c>
      <c r="CH49" s="216">
        <f t="shared" si="153"/>
        <v>1.0348999999999999</v>
      </c>
      <c r="CI49" s="216">
        <f t="shared" si="153"/>
        <v>1.0349000001226458</v>
      </c>
      <c r="CJ49" s="216">
        <f t="shared" si="153"/>
        <v>1.034899994683524</v>
      </c>
      <c r="CK49" s="216">
        <f t="shared" si="153"/>
        <v>1.034</v>
      </c>
      <c r="CL49" s="216">
        <f t="shared" si="153"/>
        <v>1.0127116547861896</v>
      </c>
      <c r="CM49" s="216">
        <f t="shared" si="153"/>
        <v>1.0348999999999999</v>
      </c>
      <c r="CN49" s="217">
        <f t="shared" si="153"/>
        <v>1.0325976602002018</v>
      </c>
      <c r="CO49" s="46"/>
      <c r="CP49" s="215">
        <f t="shared" ref="CP49:CW49" si="154">CP14/CP32</f>
        <v>1.0348993193150497</v>
      </c>
      <c r="CQ49" s="216">
        <f>CQ14/CQ32</f>
        <v>1.034895815786814</v>
      </c>
      <c r="CR49" s="216">
        <f>CR14/CR32</f>
        <v>1.0348980499775522</v>
      </c>
      <c r="CS49" s="216">
        <f t="shared" si="154"/>
        <v>1.0348999999999999</v>
      </c>
      <c r="CT49" s="216">
        <f t="shared" si="154"/>
        <v>1.034</v>
      </c>
      <c r="CU49" s="627">
        <f t="shared" si="154"/>
        <v>1.0127999999999999</v>
      </c>
      <c r="CV49" s="216">
        <f t="shared" si="154"/>
        <v>1.0348999999999999</v>
      </c>
      <c r="CW49" s="217">
        <f t="shared" si="154"/>
        <v>1.0326628627172161</v>
      </c>
      <c r="CX49" s="46"/>
      <c r="CY49" s="215" t="e">
        <f t="shared" ref="CY49:DF49" si="155">CY14/CY32</f>
        <v>#DIV/0!</v>
      </c>
      <c r="CZ49" s="216" t="e">
        <f t="shared" si="155"/>
        <v>#DIV/0!</v>
      </c>
      <c r="DA49" s="216" t="e">
        <f t="shared" si="155"/>
        <v>#DIV/0!</v>
      </c>
      <c r="DB49" s="216" t="e">
        <f t="shared" si="155"/>
        <v>#DIV/0!</v>
      </c>
      <c r="DC49" s="216" t="e">
        <f t="shared" si="155"/>
        <v>#DIV/0!</v>
      </c>
      <c r="DD49" s="216" t="e">
        <f t="shared" si="155"/>
        <v>#DIV/0!</v>
      </c>
      <c r="DE49" s="216" t="e">
        <f t="shared" si="155"/>
        <v>#DIV/0!</v>
      </c>
      <c r="DF49" s="217" t="e">
        <f t="shared" si="155"/>
        <v>#DIV/0!</v>
      </c>
      <c r="DH49" s="539"/>
      <c r="DI49" s="539"/>
      <c r="DJ49" s="539"/>
      <c r="DK49" s="539"/>
      <c r="DL49" s="539"/>
      <c r="DM49" s="539"/>
      <c r="DN49" s="539"/>
    </row>
    <row r="50" spans="1:124" ht="13.8" thickBot="1">
      <c r="A50" s="977"/>
      <c r="B50" s="129"/>
      <c r="D50" s="215"/>
      <c r="E50" s="216"/>
      <c r="F50" s="216"/>
      <c r="G50" s="216"/>
      <c r="H50" s="216"/>
      <c r="I50" s="216"/>
      <c r="J50" s="216"/>
      <c r="K50" s="217"/>
      <c r="M50" s="215"/>
      <c r="N50" s="216"/>
      <c r="O50" s="216"/>
      <c r="P50" s="216"/>
      <c r="Q50" s="216"/>
      <c r="R50" s="216"/>
      <c r="S50" s="216"/>
      <c r="T50" s="217"/>
      <c r="V50" s="215"/>
      <c r="W50" s="216"/>
      <c r="X50" s="216"/>
      <c r="Y50" s="216"/>
      <c r="Z50" s="216"/>
      <c r="AA50" s="216"/>
      <c r="AB50" s="216"/>
      <c r="AC50" s="217"/>
      <c r="AE50" s="215"/>
      <c r="AF50" s="216"/>
      <c r="AG50" s="216"/>
      <c r="AH50" s="216"/>
      <c r="AI50" s="216"/>
      <c r="AJ50" s="216"/>
      <c r="AK50" s="216"/>
      <c r="AL50" s="217"/>
      <c r="AM50" s="123"/>
      <c r="AN50" s="215"/>
      <c r="AO50" s="216"/>
      <c r="AP50" s="216"/>
      <c r="AQ50" s="216"/>
      <c r="AR50" s="216"/>
      <c r="AS50" s="216"/>
      <c r="AT50" s="216"/>
      <c r="AU50" s="217"/>
      <c r="AV50" s="46"/>
      <c r="AW50" s="215"/>
      <c r="AX50" s="216"/>
      <c r="AY50" s="216"/>
      <c r="AZ50" s="216"/>
      <c r="BA50" s="216"/>
      <c r="BB50" s="216"/>
      <c r="BC50" s="216"/>
      <c r="BD50" s="217"/>
      <c r="BE50" s="46"/>
      <c r="BF50" s="215"/>
      <c r="BG50" s="216"/>
      <c r="BH50" s="216"/>
      <c r="BI50" s="216"/>
      <c r="BJ50" s="216"/>
      <c r="BK50" s="216"/>
      <c r="BL50" s="216"/>
      <c r="BM50" s="217"/>
      <c r="BN50" s="46"/>
      <c r="BO50" s="215"/>
      <c r="BP50" s="216"/>
      <c r="BQ50" s="216"/>
      <c r="BR50" s="216"/>
      <c r="BS50" s="216"/>
      <c r="BT50" s="216"/>
      <c r="BU50" s="216"/>
      <c r="BV50" s="217"/>
      <c r="BW50" s="46"/>
      <c r="BX50" s="215"/>
      <c r="BY50" s="216"/>
      <c r="BZ50" s="216"/>
      <c r="CA50" s="216"/>
      <c r="CB50" s="216"/>
      <c r="CC50" s="216"/>
      <c r="CD50" s="216"/>
      <c r="CE50" s="217"/>
      <c r="CF50" s="46"/>
      <c r="CG50" s="215"/>
      <c r="CH50" s="216"/>
      <c r="CI50" s="216"/>
      <c r="CJ50" s="216"/>
      <c r="CK50" s="216"/>
      <c r="CL50" s="216"/>
      <c r="CM50" s="216"/>
      <c r="CN50" s="217"/>
      <c r="CO50" s="46"/>
      <c r="CP50" s="215"/>
      <c r="CQ50" s="216"/>
      <c r="CR50" s="216"/>
      <c r="CS50" s="216"/>
      <c r="CT50" s="216"/>
      <c r="CU50" s="216"/>
      <c r="CV50" s="216"/>
      <c r="CW50" s="217"/>
      <c r="CX50" s="46"/>
      <c r="CY50" s="215"/>
      <c r="CZ50" s="216"/>
      <c r="DA50" s="216"/>
      <c r="DB50" s="216"/>
      <c r="DC50" s="216"/>
      <c r="DD50" s="216"/>
      <c r="DE50" s="216"/>
      <c r="DF50" s="217"/>
    </row>
    <row r="51" spans="1:124" ht="13.8" thickBot="1">
      <c r="A51" s="977"/>
      <c r="B51" s="200" t="s">
        <v>76</v>
      </c>
      <c r="D51" s="221">
        <f t="shared" ref="D51:K51" si="156">D16/D34</f>
        <v>1.0356047313555912</v>
      </c>
      <c r="E51" s="222">
        <f t="shared" si="156"/>
        <v>1</v>
      </c>
      <c r="F51" s="222">
        <f t="shared" si="156"/>
        <v>1.0355855960507592</v>
      </c>
      <c r="G51" s="222">
        <f t="shared" si="156"/>
        <v>1.0354980762286083</v>
      </c>
      <c r="H51" s="222">
        <f t="shared" si="156"/>
        <v>1.0346204852526271</v>
      </c>
      <c r="I51" s="222">
        <f t="shared" si="156"/>
        <v>1.0126966322981596</v>
      </c>
      <c r="J51" s="222">
        <f t="shared" si="156"/>
        <v>1.035599934403947</v>
      </c>
      <c r="K51" s="223">
        <f t="shared" si="156"/>
        <v>1.0333826802470221</v>
      </c>
      <c r="M51" s="221">
        <f t="shared" ref="M51:T51" si="157">M16/M34</f>
        <v>1.0355995447968325</v>
      </c>
      <c r="N51" s="222">
        <f t="shared" si="157"/>
        <v>1.0000000000000002</v>
      </c>
      <c r="O51" s="222">
        <f t="shared" si="157"/>
        <v>1.0355994998038718</v>
      </c>
      <c r="P51" s="222">
        <f t="shared" si="157"/>
        <v>1.0354921028228905</v>
      </c>
      <c r="Q51" s="222">
        <f t="shared" si="157"/>
        <v>1.0344032478090941</v>
      </c>
      <c r="R51" s="222">
        <f t="shared" si="157"/>
        <v>1.0135391446702613</v>
      </c>
      <c r="S51" s="222">
        <f t="shared" si="157"/>
        <v>1.035600099922406</v>
      </c>
      <c r="T51" s="223">
        <f t="shared" si="157"/>
        <v>1.033411528258664</v>
      </c>
      <c r="V51" s="221">
        <f t="shared" ref="V51:AC51" si="158">V16/V34</f>
        <v>1.0355992611634623</v>
      </c>
      <c r="W51" s="222">
        <f t="shared" si="158"/>
        <v>1.0000000000000002</v>
      </c>
      <c r="X51" s="222">
        <f t="shared" si="158"/>
        <v>1.0355999511906426</v>
      </c>
      <c r="Y51" s="222">
        <f t="shared" si="158"/>
        <v>1.035537330517005</v>
      </c>
      <c r="Z51" s="222">
        <f t="shared" si="158"/>
        <v>1.0342963983994722</v>
      </c>
      <c r="AA51" s="222">
        <f t="shared" si="158"/>
        <v>1.0136418461508543</v>
      </c>
      <c r="AB51" s="222">
        <f t="shared" si="158"/>
        <v>1.0355999184058038</v>
      </c>
      <c r="AC51" s="223">
        <f t="shared" si="158"/>
        <v>1.0334523052916855</v>
      </c>
      <c r="AE51" s="221">
        <f t="shared" ref="AE51:AL51" si="159">AE16/AE34</f>
        <v>1.0355989249190809</v>
      </c>
      <c r="AF51" s="222">
        <f t="shared" si="159"/>
        <v>1</v>
      </c>
      <c r="AG51" s="222">
        <f t="shared" si="159"/>
        <v>1.0355940150775431</v>
      </c>
      <c r="AH51" s="222">
        <f t="shared" si="159"/>
        <v>1.0355446922955216</v>
      </c>
      <c r="AI51" s="222">
        <f t="shared" si="159"/>
        <v>1.0342934197382816</v>
      </c>
      <c r="AJ51" s="222">
        <f t="shared" si="159"/>
        <v>1.0137711237367344</v>
      </c>
      <c r="AK51" s="222">
        <f t="shared" si="159"/>
        <v>1.035600080097403</v>
      </c>
      <c r="AL51" s="223">
        <f t="shared" si="159"/>
        <v>1.0332881459372492</v>
      </c>
      <c r="AM51" s="125"/>
      <c r="AN51" s="221">
        <f t="shared" ref="AN51:AU51" si="160">AN16/AN34</f>
        <v>1.0355993507293599</v>
      </c>
      <c r="AO51" s="222">
        <f t="shared" si="160"/>
        <v>1</v>
      </c>
      <c r="AP51" s="222">
        <f t="shared" si="160"/>
        <v>1.0355864194347597</v>
      </c>
      <c r="AQ51" s="222">
        <f t="shared" si="160"/>
        <v>1.0356200200843231</v>
      </c>
      <c r="AR51" s="222">
        <f t="shared" si="160"/>
        <v>1.0345489974062558</v>
      </c>
      <c r="AS51" s="222">
        <f t="shared" si="160"/>
        <v>1.0129708220767759</v>
      </c>
      <c r="AT51" s="222">
        <f t="shared" si="160"/>
        <v>1.0356000082674743</v>
      </c>
      <c r="AU51" s="223">
        <f t="shared" si="160"/>
        <v>1.0332522691401775</v>
      </c>
      <c r="AV51" s="46"/>
      <c r="AW51" s="221">
        <f t="shared" ref="AW51:BD51" si="161">AW16/AW34</f>
        <v>1.0355987064609375</v>
      </c>
      <c r="AX51" s="222">
        <f t="shared" si="161"/>
        <v>1</v>
      </c>
      <c r="AY51" s="222">
        <f t="shared" si="161"/>
        <v>1.0356000000000001</v>
      </c>
      <c r="AZ51" s="222">
        <f t="shared" si="161"/>
        <v>1.0355172637312551</v>
      </c>
      <c r="BA51" s="222">
        <f t="shared" si="161"/>
        <v>1.0346913808344167</v>
      </c>
      <c r="BB51" s="222">
        <f t="shared" si="161"/>
        <v>1.0128619944974455</v>
      </c>
      <c r="BC51" s="222">
        <f t="shared" si="161"/>
        <v>1.0356000151929039</v>
      </c>
      <c r="BD51" s="223">
        <f t="shared" si="161"/>
        <v>1.0330358525589769</v>
      </c>
      <c r="BE51" s="46"/>
      <c r="BF51" s="221">
        <f t="shared" ref="BF51:BM51" si="162">BF16/BF34</f>
        <v>1.0355985068717788</v>
      </c>
      <c r="BG51" s="222">
        <f t="shared" si="162"/>
        <v>1.0355999999999999</v>
      </c>
      <c r="BH51" s="222">
        <f t="shared" si="162"/>
        <v>1.0355986001042157</v>
      </c>
      <c r="BI51" s="222">
        <f t="shared" si="162"/>
        <v>1.0355444815879762</v>
      </c>
      <c r="BJ51" s="222">
        <f t="shared" si="162"/>
        <v>1.0347609603914483</v>
      </c>
      <c r="BK51" s="222">
        <f t="shared" si="162"/>
        <v>1.0125184443608362</v>
      </c>
      <c r="BL51" s="222">
        <f t="shared" si="162"/>
        <v>1.0356000012580719</v>
      </c>
      <c r="BM51" s="223">
        <f t="shared" si="162"/>
        <v>1.033214041823554</v>
      </c>
      <c r="BN51" s="46"/>
      <c r="BO51" s="221">
        <f t="shared" ref="BO51:BV51" si="163">BO16/BO34</f>
        <v>1.0355991445787338</v>
      </c>
      <c r="BP51" s="222">
        <f>BP16/BP34</f>
        <v>1.0355969658165862</v>
      </c>
      <c r="BQ51" s="222">
        <f t="shared" si="163"/>
        <v>1.0355998384785179</v>
      </c>
      <c r="BR51" s="222">
        <f t="shared" si="163"/>
        <v>1.0356000000000001</v>
      </c>
      <c r="BS51" s="222">
        <f t="shared" si="163"/>
        <v>1.0347000000000002</v>
      </c>
      <c r="BT51" s="222">
        <f t="shared" si="163"/>
        <v>1.0125616027301985</v>
      </c>
      <c r="BU51" s="222">
        <f t="shared" si="163"/>
        <v>1.035599927654187</v>
      </c>
      <c r="BV51" s="223">
        <f t="shared" si="163"/>
        <v>1.0331916715324174</v>
      </c>
      <c r="BW51" s="46"/>
      <c r="BX51" s="221">
        <f t="shared" ref="BX51:CE51" si="164">BX16/BX34</f>
        <v>1.0351790133987888</v>
      </c>
      <c r="BY51" s="222">
        <f t="shared" si="164"/>
        <v>1.0351827743909432</v>
      </c>
      <c r="BZ51" s="222">
        <f t="shared" si="164"/>
        <v>1.035187136155475</v>
      </c>
      <c r="CA51" s="222">
        <f t="shared" si="164"/>
        <v>1.0351889620405128</v>
      </c>
      <c r="CB51" s="222">
        <f t="shared" si="164"/>
        <v>1.0342808573700868</v>
      </c>
      <c r="CC51" s="222">
        <f t="shared" si="164"/>
        <v>1.0128399947234037</v>
      </c>
      <c r="CD51" s="222">
        <f t="shared" si="164"/>
        <v>1.0351924105362245</v>
      </c>
      <c r="CE51" s="223">
        <f t="shared" si="164"/>
        <v>1.0327071522365452</v>
      </c>
      <c r="CF51" s="46"/>
      <c r="CG51" s="221">
        <f t="shared" ref="CG51:CN51" si="165">CG16/CG34</f>
        <v>1.0349057103017389</v>
      </c>
      <c r="CH51" s="222">
        <f t="shared" si="165"/>
        <v>1.0348999999999999</v>
      </c>
      <c r="CI51" s="222">
        <f t="shared" si="165"/>
        <v>1.0348999999746895</v>
      </c>
      <c r="CJ51" s="222">
        <f t="shared" si="165"/>
        <v>1.034900000079674</v>
      </c>
      <c r="CK51" s="222">
        <f t="shared" si="165"/>
        <v>1.0340000000000003</v>
      </c>
      <c r="CL51" s="222">
        <f t="shared" si="165"/>
        <v>1.0128272696319305</v>
      </c>
      <c r="CM51" s="222">
        <f t="shared" si="165"/>
        <v>1.0349000000000002</v>
      </c>
      <c r="CN51" s="223">
        <f t="shared" si="165"/>
        <v>1.0324440846439178</v>
      </c>
      <c r="CO51" s="46"/>
      <c r="CP51" s="221">
        <f t="shared" ref="CP51:CV51" si="166">CP16/CP34</f>
        <v>1.0348996331062339</v>
      </c>
      <c r="CQ51" s="222">
        <f t="shared" si="166"/>
        <v>1.0348969545001747</v>
      </c>
      <c r="CR51" s="222">
        <f t="shared" si="166"/>
        <v>1.0348974832187579</v>
      </c>
      <c r="CS51" s="222">
        <f t="shared" si="166"/>
        <v>1.0349000003886839</v>
      </c>
      <c r="CT51" s="222">
        <f t="shared" si="166"/>
        <v>1.0340000000000003</v>
      </c>
      <c r="CU51" s="222">
        <f>CU16/CU34</f>
        <v>1.0127999999999997</v>
      </c>
      <c r="CV51" s="222">
        <f t="shared" si="166"/>
        <v>1.0348999950025486</v>
      </c>
      <c r="CW51" s="223">
        <f>CW16/CW34</f>
        <v>1.0325387917966762</v>
      </c>
      <c r="CX51" s="46"/>
      <c r="CY51" s="221" t="e">
        <f t="shared" ref="CY51:DF51" si="167">CY16/CY34</f>
        <v>#DIV/0!</v>
      </c>
      <c r="CZ51" s="222" t="e">
        <f t="shared" si="167"/>
        <v>#DIV/0!</v>
      </c>
      <c r="DA51" s="222" t="e">
        <f t="shared" si="167"/>
        <v>#DIV/0!</v>
      </c>
      <c r="DB51" s="222" t="e">
        <f t="shared" si="167"/>
        <v>#DIV/0!</v>
      </c>
      <c r="DC51" s="222" t="e">
        <f t="shared" si="167"/>
        <v>#DIV/0!</v>
      </c>
      <c r="DD51" s="222" t="e">
        <f t="shared" si="167"/>
        <v>#DIV/0!</v>
      </c>
      <c r="DE51" s="222" t="e">
        <f t="shared" si="167"/>
        <v>#DIV/0!</v>
      </c>
      <c r="DF51" s="223" t="e">
        <f t="shared" si="167"/>
        <v>#DIV/0!</v>
      </c>
      <c r="DH51" s="172"/>
      <c r="DI51" s="172"/>
      <c r="DJ51" s="172"/>
      <c r="DK51" s="172"/>
      <c r="DL51" s="172"/>
      <c r="DM51" s="172"/>
      <c r="DN51" s="172"/>
    </row>
    <row r="52" spans="1:124" ht="13.8" thickBot="1">
      <c r="A52" s="978"/>
      <c r="B52" s="130"/>
      <c r="D52" s="120"/>
      <c r="E52" s="119"/>
      <c r="F52" s="119"/>
      <c r="G52" s="121"/>
      <c r="H52" s="121"/>
      <c r="I52" s="119"/>
      <c r="J52" s="119"/>
      <c r="K52" s="130"/>
      <c r="M52" s="120"/>
      <c r="N52" s="119"/>
      <c r="O52" s="119"/>
      <c r="P52" s="121"/>
      <c r="Q52" s="121"/>
      <c r="R52" s="119"/>
      <c r="S52" s="119"/>
      <c r="T52" s="130"/>
      <c r="V52" s="120"/>
      <c r="W52" s="119"/>
      <c r="X52" s="119"/>
      <c r="Y52" s="121"/>
      <c r="Z52" s="121"/>
      <c r="AA52" s="119"/>
      <c r="AB52" s="119"/>
      <c r="AC52" s="130"/>
      <c r="AE52" s="120"/>
      <c r="AF52" s="119"/>
      <c r="AG52" s="119"/>
      <c r="AH52" s="121"/>
      <c r="AI52" s="121"/>
      <c r="AJ52" s="119"/>
      <c r="AK52" s="119"/>
      <c r="AL52" s="130"/>
      <c r="AN52" s="120"/>
      <c r="AO52" s="119"/>
      <c r="AP52" s="119"/>
      <c r="AQ52" s="121"/>
      <c r="AR52" s="121"/>
      <c r="AS52" s="119"/>
      <c r="AT52" s="119"/>
      <c r="AU52" s="130"/>
      <c r="AV52" s="46"/>
      <c r="AW52" s="120"/>
      <c r="AX52" s="119"/>
      <c r="AY52" s="119"/>
      <c r="AZ52" s="121"/>
      <c r="BA52" s="121"/>
      <c r="BB52" s="119"/>
      <c r="BC52" s="119"/>
      <c r="BD52" s="130"/>
      <c r="BE52" s="46"/>
      <c r="BF52" s="120"/>
      <c r="BG52" s="119"/>
      <c r="BH52" s="119"/>
      <c r="BI52" s="121"/>
      <c r="BJ52" s="121"/>
      <c r="BK52" s="119"/>
      <c r="BL52" s="119"/>
      <c r="BM52" s="130"/>
      <c r="BN52" s="46"/>
      <c r="BO52" s="120"/>
      <c r="BP52" s="119"/>
      <c r="BQ52" s="119"/>
      <c r="BR52" s="121"/>
      <c r="BS52" s="121"/>
      <c r="BT52" s="119"/>
      <c r="BU52" s="119"/>
      <c r="BV52" s="130"/>
      <c r="BW52" s="46"/>
      <c r="BX52" s="120"/>
      <c r="BY52" s="119"/>
      <c r="BZ52" s="119"/>
      <c r="CA52" s="121"/>
      <c r="CB52" s="121"/>
      <c r="CC52" s="119"/>
      <c r="CD52" s="119"/>
      <c r="CE52" s="130"/>
      <c r="CF52" s="46"/>
      <c r="CG52" s="120"/>
      <c r="CH52" s="119"/>
      <c r="CI52" s="119"/>
      <c r="CJ52" s="121"/>
      <c r="CK52" s="121"/>
      <c r="CL52" s="119"/>
      <c r="CM52" s="119"/>
      <c r="CN52" s="130"/>
      <c r="CO52" s="46"/>
      <c r="CP52" s="120"/>
      <c r="CQ52" s="119"/>
      <c r="CR52" s="119"/>
      <c r="CS52" s="121"/>
      <c r="CT52" s="121"/>
      <c r="CU52" s="119"/>
      <c r="CV52" s="119"/>
      <c r="CW52" s="130"/>
      <c r="CX52" s="46"/>
      <c r="CY52" s="120"/>
      <c r="CZ52" s="119"/>
      <c r="DA52" s="119"/>
      <c r="DB52" s="121"/>
      <c r="DC52" s="121"/>
      <c r="DD52" s="119"/>
      <c r="DE52" s="119"/>
      <c r="DF52" s="130"/>
      <c r="DH52" s="172"/>
      <c r="DI52" s="172"/>
      <c r="DJ52" s="172"/>
      <c r="DK52" s="172"/>
      <c r="DL52" s="172"/>
      <c r="DM52" s="172"/>
      <c r="DN52" s="172"/>
    </row>
    <row r="53" spans="1:124">
      <c r="DH53" s="172"/>
      <c r="DI53" s="172"/>
      <c r="DJ53" s="172"/>
      <c r="DK53" s="172"/>
      <c r="DL53" s="172"/>
      <c r="DM53" s="172"/>
      <c r="DN53" s="172"/>
    </row>
    <row r="54" spans="1:124" s="73" customFormat="1">
      <c r="B54" s="126" t="s">
        <v>77</v>
      </c>
      <c r="D54" s="224">
        <v>918500653</v>
      </c>
      <c r="E54" s="224"/>
      <c r="F54" s="979">
        <v>2110101091</v>
      </c>
      <c r="G54" s="980"/>
      <c r="H54" s="980"/>
      <c r="I54" s="224">
        <v>281784328</v>
      </c>
      <c r="J54" s="224">
        <v>19110906</v>
      </c>
      <c r="K54" s="225">
        <f>SUM(D54:J54)</f>
        <v>3329496978</v>
      </c>
      <c r="M54" s="224"/>
      <c r="N54" s="224"/>
      <c r="O54" s="224"/>
      <c r="P54" s="226"/>
      <c r="Q54" s="226"/>
      <c r="R54" s="224"/>
      <c r="S54" s="224"/>
      <c r="T54" s="227"/>
      <c r="DH54" s="172"/>
      <c r="DI54" s="172"/>
      <c r="DJ54" s="172"/>
      <c r="DK54" s="172"/>
      <c r="DL54" s="172"/>
      <c r="DM54" s="172"/>
      <c r="DN54" s="172"/>
      <c r="DO54" s="17"/>
      <c r="DP54" s="17"/>
      <c r="DQ54" s="17"/>
      <c r="DR54" s="17"/>
      <c r="DS54" s="17"/>
      <c r="DT54" s="17"/>
    </row>
    <row r="55" spans="1:124">
      <c r="B55" s="1"/>
      <c r="D55" s="228"/>
      <c r="E55" s="228"/>
      <c r="G55" s="229"/>
      <c r="H55" s="229"/>
      <c r="I55" s="230"/>
      <c r="J55" s="230"/>
      <c r="K55" s="1"/>
      <c r="P55" s="229"/>
      <c r="Q55" s="229"/>
      <c r="R55" s="230"/>
      <c r="S55" s="230"/>
      <c r="T55" s="1"/>
      <c r="DH55" s="172"/>
      <c r="DI55" s="172"/>
      <c r="DJ55" s="172"/>
      <c r="DK55" s="172"/>
      <c r="DL55" s="172"/>
      <c r="DM55" s="172"/>
      <c r="DN55" s="172"/>
    </row>
    <row r="56" spans="1:124" s="73" customFormat="1">
      <c r="B56" s="126" t="s">
        <v>78</v>
      </c>
      <c r="D56" s="231"/>
      <c r="E56" s="231"/>
      <c r="G56" s="226"/>
      <c r="H56" s="226"/>
      <c r="I56" s="224"/>
      <c r="J56" s="224"/>
      <c r="K56" s="126"/>
      <c r="M56" s="224">
        <v>966448805</v>
      </c>
      <c r="N56" s="224"/>
      <c r="O56" s="981">
        <v>2317026840</v>
      </c>
      <c r="P56" s="982"/>
      <c r="Q56" s="982"/>
      <c r="R56" s="224">
        <v>294248777</v>
      </c>
      <c r="S56" s="224">
        <v>21710597</v>
      </c>
      <c r="T56" s="227">
        <f>SUM(M56:S56)</f>
        <v>3599435019</v>
      </c>
      <c r="V56" s="224">
        <v>1104270425</v>
      </c>
      <c r="W56" s="224"/>
      <c r="X56" s="224">
        <v>304064860</v>
      </c>
      <c r="Y56" s="224">
        <v>2108467545</v>
      </c>
      <c r="Z56" s="232"/>
      <c r="AA56" s="224">
        <v>308575243</v>
      </c>
      <c r="AB56" s="224">
        <v>22688359</v>
      </c>
      <c r="AC56" s="227">
        <f>SUM(V56:AB56)</f>
        <v>3848066432</v>
      </c>
      <c r="AE56" s="224">
        <f>1075118931</f>
        <v>1075118931</v>
      </c>
      <c r="AF56" s="224"/>
      <c r="AG56" s="224">
        <v>296334369</v>
      </c>
      <c r="AH56" s="979">
        <v>2107263059</v>
      </c>
      <c r="AI56" s="983"/>
      <c r="AJ56" s="224">
        <v>340579142</v>
      </c>
      <c r="AK56" s="224">
        <v>23784499</v>
      </c>
      <c r="AL56" s="225">
        <f>SUM(AE56:AK56)</f>
        <v>3843080000</v>
      </c>
      <c r="AN56" s="224">
        <v>1141600000</v>
      </c>
      <c r="AO56" s="224"/>
      <c r="AP56" s="224">
        <v>314700000</v>
      </c>
      <c r="AQ56" s="981">
        <v>2124100000</v>
      </c>
      <c r="AR56" s="981"/>
      <c r="AS56" s="224">
        <v>359900000</v>
      </c>
      <c r="AT56" s="224">
        <v>26700000</v>
      </c>
      <c r="AU56" s="225">
        <f>SUM(AN56:AT56)</f>
        <v>3967000000</v>
      </c>
      <c r="AW56" s="224">
        <v>1136600000</v>
      </c>
      <c r="AX56" s="224"/>
      <c r="AY56" s="224">
        <v>304000000</v>
      </c>
      <c r="AZ56" s="224">
        <v>1152900000</v>
      </c>
      <c r="BA56" s="224">
        <v>899700000</v>
      </c>
      <c r="BB56" s="224">
        <v>392300000</v>
      </c>
      <c r="BC56" s="233">
        <v>27600000</v>
      </c>
      <c r="BD56" s="234">
        <f>SUM(AW56:BC56)</f>
        <v>3913100000</v>
      </c>
      <c r="BF56" s="233">
        <v>1121000000</v>
      </c>
      <c r="BG56" s="994">
        <v>296400000</v>
      </c>
      <c r="BH56" s="980"/>
      <c r="BI56" s="233">
        <v>1116100000</v>
      </c>
      <c r="BJ56" s="233">
        <v>815600000</v>
      </c>
      <c r="BK56" s="233">
        <v>346800000</v>
      </c>
      <c r="BL56" s="233">
        <v>28300000</v>
      </c>
      <c r="BM56" s="95">
        <f>SUM(BF56:BL56)</f>
        <v>3724200000</v>
      </c>
      <c r="BO56" s="233">
        <v>1171400000</v>
      </c>
      <c r="BP56" s="392">
        <v>5400000</v>
      </c>
      <c r="BQ56" s="392">
        <v>305900000</v>
      </c>
      <c r="BR56" s="233">
        <v>1100200000</v>
      </c>
      <c r="BS56" s="233">
        <v>836400000</v>
      </c>
      <c r="BT56" s="233">
        <v>393900000</v>
      </c>
      <c r="BU56" s="233">
        <v>29800000</v>
      </c>
      <c r="BV56" s="95">
        <f>SUM(BO56:BU56)</f>
        <v>3843000000</v>
      </c>
      <c r="BX56" s="233">
        <v>1121000000</v>
      </c>
      <c r="BY56" s="994">
        <v>296400000</v>
      </c>
      <c r="BZ56" s="980"/>
      <c r="CA56" s="233">
        <v>1116100000</v>
      </c>
      <c r="CB56" s="233">
        <v>815600000</v>
      </c>
      <c r="CC56" s="233">
        <v>346800000</v>
      </c>
      <c r="CD56" s="233">
        <v>28300000</v>
      </c>
      <c r="CE56" s="95">
        <f>SUM(BX56:CD56)</f>
        <v>3724200000</v>
      </c>
      <c r="CG56" s="233">
        <v>1121000000</v>
      </c>
      <c r="CH56" s="994">
        <v>296400000</v>
      </c>
      <c r="CI56" s="980"/>
      <c r="CJ56" s="233">
        <v>1116100000</v>
      </c>
      <c r="CK56" s="233">
        <v>815600000</v>
      </c>
      <c r="CL56" s="233">
        <v>346800000</v>
      </c>
      <c r="CM56" s="233">
        <v>28300000</v>
      </c>
      <c r="CN56" s="95">
        <f>SUM(CG56:CM56)</f>
        <v>3724200000</v>
      </c>
      <c r="CP56" s="233">
        <v>1121000000</v>
      </c>
      <c r="CQ56" s="994">
        <v>296400000</v>
      </c>
      <c r="CR56" s="980"/>
      <c r="CS56" s="233">
        <v>1116100000</v>
      </c>
      <c r="CT56" s="233">
        <v>815600000</v>
      </c>
      <c r="CU56" s="233">
        <v>346800000</v>
      </c>
      <c r="CV56" s="233">
        <v>28300000</v>
      </c>
      <c r="CW56" s="95">
        <f>SUM(CP56:CV56)</f>
        <v>3724200000</v>
      </c>
      <c r="CY56" s="233"/>
      <c r="CZ56" s="994"/>
      <c r="DA56" s="980"/>
      <c r="DB56" s="233"/>
      <c r="DC56" s="233"/>
      <c r="DD56" s="233"/>
      <c r="DE56" s="233"/>
      <c r="DF56" s="95"/>
      <c r="DH56" s="172"/>
      <c r="DI56" s="172"/>
      <c r="DJ56" s="172"/>
      <c r="DK56" s="172"/>
      <c r="DL56" s="172"/>
      <c r="DM56" s="172"/>
      <c r="DN56" s="172"/>
      <c r="DO56" s="17"/>
      <c r="DP56" s="17"/>
      <c r="DQ56" s="17"/>
      <c r="DR56" s="17"/>
      <c r="DS56" s="17"/>
      <c r="DT56" s="17"/>
    </row>
    <row r="57" spans="1:124">
      <c r="B57" s="1"/>
      <c r="D57" s="228"/>
      <c r="E57" s="228"/>
      <c r="G57" s="229"/>
      <c r="H57" s="229"/>
      <c r="I57" s="230"/>
      <c r="J57" s="230"/>
      <c r="K57" s="1"/>
      <c r="P57" s="229"/>
      <c r="Q57" s="656"/>
      <c r="R57" s="230"/>
      <c r="S57" s="230"/>
      <c r="T57" s="1"/>
      <c r="AE57" s="230"/>
      <c r="AF57" s="230"/>
      <c r="AG57" s="230"/>
      <c r="AH57" s="122"/>
      <c r="AI57" s="122"/>
      <c r="AJ57" s="230"/>
      <c r="AK57" s="230"/>
      <c r="AL57" s="235"/>
      <c r="AN57" s="236"/>
      <c r="AO57" s="236"/>
      <c r="AP57" s="236"/>
      <c r="AQ57" s="229"/>
      <c r="AR57" s="229"/>
      <c r="AS57" s="230"/>
      <c r="AT57" s="230"/>
      <c r="AU57" s="236"/>
      <c r="AW57" s="237"/>
      <c r="AX57" s="237"/>
      <c r="AY57" s="237"/>
      <c r="AZ57" s="237"/>
      <c r="BA57" s="237"/>
      <c r="BB57" s="237"/>
      <c r="BC57" s="237"/>
      <c r="BD57" s="238"/>
      <c r="DH57" s="172"/>
      <c r="DI57" s="172"/>
      <c r="DJ57" s="172"/>
      <c r="DK57" s="172"/>
      <c r="DL57" s="172"/>
      <c r="DM57" s="172"/>
      <c r="DN57" s="172"/>
    </row>
    <row r="58" spans="1:124" s="73" customFormat="1">
      <c r="B58" s="126" t="s">
        <v>79</v>
      </c>
      <c r="D58" s="231"/>
      <c r="E58" s="231"/>
      <c r="G58" s="232"/>
      <c r="H58" s="232"/>
      <c r="I58" s="225"/>
      <c r="J58" s="225"/>
      <c r="K58" s="225">
        <v>3547487092</v>
      </c>
      <c r="P58" s="232"/>
      <c r="Q58" s="232"/>
      <c r="R58" s="225"/>
      <c r="S58" s="225"/>
      <c r="T58" s="225">
        <v>3599518806</v>
      </c>
      <c r="AC58" s="225">
        <v>3848066432</v>
      </c>
      <c r="AE58" s="225"/>
      <c r="AF58" s="225"/>
      <c r="AG58" s="225"/>
      <c r="AJ58" s="225"/>
      <c r="AK58" s="225"/>
      <c r="AL58" s="225">
        <v>3858671535</v>
      </c>
      <c r="AN58" s="232"/>
      <c r="AO58" s="232"/>
      <c r="AP58" s="232"/>
      <c r="AQ58" s="232"/>
      <c r="AR58" s="232"/>
      <c r="AS58" s="225"/>
      <c r="AT58" s="225"/>
      <c r="AU58" s="225">
        <v>3962800000</v>
      </c>
      <c r="AW58" s="225"/>
      <c r="AX58" s="232"/>
      <c r="AY58" s="232"/>
      <c r="AZ58" s="232"/>
      <c r="BA58" s="232"/>
      <c r="BB58" s="192"/>
      <c r="BC58" s="192"/>
      <c r="BD58" s="239">
        <v>3913100000</v>
      </c>
      <c r="DH58" s="172"/>
      <c r="DI58" s="172"/>
      <c r="DJ58" s="172"/>
      <c r="DK58" s="172"/>
      <c r="DL58" s="172"/>
      <c r="DM58" s="172"/>
      <c r="DN58" s="172"/>
      <c r="DO58" s="17"/>
      <c r="DP58" s="17"/>
      <c r="DQ58" s="17"/>
      <c r="DR58" s="17"/>
      <c r="DS58" s="17"/>
      <c r="DT58" s="17"/>
    </row>
    <row r="59" spans="1:124">
      <c r="P59" s="229"/>
      <c r="Q59" s="229"/>
      <c r="R59" s="230"/>
      <c r="S59" s="230"/>
      <c r="T59" s="1"/>
      <c r="AC59" s="1"/>
      <c r="AE59" s="230"/>
      <c r="AF59" s="230"/>
      <c r="AG59" s="230"/>
      <c r="AH59" s="122"/>
      <c r="AI59" s="122"/>
      <c r="AJ59" s="230"/>
      <c r="AK59" s="230"/>
      <c r="AL59" s="235"/>
      <c r="AN59" s="236"/>
      <c r="AO59" s="236"/>
      <c r="AP59" s="236"/>
      <c r="AQ59" s="236"/>
      <c r="AR59" s="236"/>
      <c r="AS59" s="236"/>
      <c r="AT59" s="236"/>
      <c r="AU59" s="236"/>
      <c r="AW59" s="229"/>
      <c r="AX59" s="229"/>
      <c r="AY59" s="229"/>
      <c r="AZ59" s="229"/>
      <c r="BA59" s="229"/>
      <c r="BB59" s="198"/>
      <c r="BC59" s="198"/>
      <c r="BD59" s="116"/>
      <c r="CP59" s="169"/>
      <c r="CQ59" s="169"/>
      <c r="CR59" s="169"/>
      <c r="CY59" s="169"/>
      <c r="CZ59" s="169"/>
      <c r="DA59" s="169"/>
      <c r="DH59" s="172"/>
      <c r="DI59" s="172"/>
      <c r="DJ59" s="172"/>
      <c r="DK59" s="172"/>
      <c r="DL59" s="172"/>
      <c r="DM59" s="172"/>
      <c r="DN59" s="172"/>
    </row>
    <row r="60" spans="1:124" s="73" customFormat="1">
      <c r="B60" s="143" t="s">
        <v>80</v>
      </c>
      <c r="G60" s="381"/>
      <c r="H60" s="381"/>
      <c r="P60" s="226"/>
      <c r="Q60" s="226"/>
      <c r="R60" s="224"/>
      <c r="S60" s="224"/>
      <c r="T60" s="225">
        <v>3483144427</v>
      </c>
      <c r="AC60" s="225">
        <v>3723506554</v>
      </c>
      <c r="AH60" s="381"/>
      <c r="AI60" s="381"/>
      <c r="AJ60" s="17"/>
      <c r="AK60" s="17"/>
      <c r="AL60" s="239">
        <v>3718723113</v>
      </c>
      <c r="AN60" s="224"/>
      <c r="AO60" s="224"/>
      <c r="AP60" s="232"/>
      <c r="AQ60" s="232"/>
      <c r="AR60" s="232"/>
      <c r="AS60" s="232"/>
      <c r="AT60" s="233"/>
      <c r="AU60" s="239">
        <v>3839000000</v>
      </c>
      <c r="AW60" s="382"/>
      <c r="AX60" s="382"/>
      <c r="AY60" s="382"/>
      <c r="AZ60" s="382"/>
      <c r="BA60" s="382"/>
      <c r="BB60" s="383"/>
      <c r="BC60" s="181"/>
      <c r="BD60" s="234">
        <v>3791763566</v>
      </c>
      <c r="BM60" s="227">
        <f>BM34</f>
        <v>3616714781</v>
      </c>
      <c r="BV60" s="227">
        <f>BV34</f>
        <v>3788730864.6169038</v>
      </c>
      <c r="CE60" s="227">
        <f>CE34</f>
        <v>3860871231.3578219</v>
      </c>
      <c r="CN60" s="227">
        <f>CN34</f>
        <v>3927063219.3409657</v>
      </c>
      <c r="CP60" s="357"/>
      <c r="CQ60" s="357"/>
      <c r="CR60" s="357"/>
      <c r="CW60" s="227">
        <f>CW34</f>
        <v>3892597115.0037313</v>
      </c>
      <c r="CY60" s="357"/>
      <c r="CZ60" s="357"/>
      <c r="DA60" s="357"/>
      <c r="DF60" s="227">
        <f>DF34</f>
        <v>0</v>
      </c>
      <c r="DH60" s="172"/>
      <c r="DI60" s="172"/>
      <c r="DJ60" s="172"/>
      <c r="DK60" s="172"/>
      <c r="DL60" s="172"/>
      <c r="DM60" s="172"/>
      <c r="DN60" s="172"/>
      <c r="DO60" s="17"/>
      <c r="DP60" s="17"/>
      <c r="DQ60" s="17"/>
      <c r="DR60" s="17"/>
      <c r="DS60" s="17"/>
      <c r="DT60" s="17"/>
    </row>
    <row r="61" spans="1:124">
      <c r="P61" s="229"/>
      <c r="Q61" s="229"/>
      <c r="R61" s="230"/>
      <c r="S61" s="230"/>
      <c r="T61" s="1"/>
      <c r="DH61" s="172"/>
      <c r="DI61" s="172"/>
      <c r="DJ61" s="172"/>
      <c r="DK61" s="172"/>
      <c r="DL61" s="172"/>
      <c r="DM61" s="172"/>
      <c r="DN61" s="172"/>
    </row>
    <row r="62" spans="1:124">
      <c r="B62" s="240" t="s">
        <v>81</v>
      </c>
      <c r="K62" s="335">
        <f>K54/K34</f>
        <v>1</v>
      </c>
      <c r="P62" s="229"/>
      <c r="Q62" s="229"/>
      <c r="R62" s="230"/>
      <c r="S62" s="230"/>
      <c r="T62" s="337">
        <f>T60/T34</f>
        <v>1.0000240555674047</v>
      </c>
      <c r="AC62" s="337">
        <f>AC60/AC34</f>
        <v>1</v>
      </c>
      <c r="AL62" s="339">
        <f>AL60/AL34</f>
        <v>0.99354376155191326</v>
      </c>
      <c r="AU62" s="339">
        <f>AU60/AU34</f>
        <v>0.99993757201419375</v>
      </c>
      <c r="BD62" s="339">
        <f>BD60/BD34</f>
        <v>1.0033719154672185</v>
      </c>
      <c r="BM62" s="340">
        <f>BM60/BM34</f>
        <v>1</v>
      </c>
      <c r="BV62" s="340">
        <f>BV60/BV34</f>
        <v>1</v>
      </c>
      <c r="CE62" s="340">
        <f>CE60/CE34</f>
        <v>1</v>
      </c>
      <c r="CN62" s="340">
        <f>CN60/CN34</f>
        <v>1</v>
      </c>
      <c r="CW62" s="340">
        <f>CW60/CW34</f>
        <v>1</v>
      </c>
      <c r="DF62" s="340" t="e">
        <f>DF60/DF34</f>
        <v>#DIV/0!</v>
      </c>
      <c r="DH62" s="172"/>
      <c r="DI62" s="172"/>
      <c r="DJ62" s="172"/>
      <c r="DK62" s="172"/>
      <c r="DL62" s="172"/>
      <c r="DM62" s="172"/>
      <c r="DN62" s="172"/>
    </row>
    <row r="63" spans="1:124" ht="13.8" thickBot="1">
      <c r="DH63" s="172"/>
    </row>
    <row r="64" spans="1:124" ht="13.8" thickBot="1">
      <c r="D64" s="972" t="s">
        <v>82</v>
      </c>
      <c r="E64" s="975"/>
      <c r="F64" s="975"/>
      <c r="G64" s="975"/>
      <c r="H64" s="975"/>
      <c r="I64" s="975"/>
      <c r="J64" s="975"/>
      <c r="K64" s="106"/>
      <c r="M64" s="972" t="s">
        <v>83</v>
      </c>
      <c r="N64" s="975"/>
      <c r="O64" s="975"/>
      <c r="P64" s="975"/>
      <c r="Q64" s="975"/>
      <c r="R64" s="975"/>
      <c r="S64" s="975"/>
      <c r="T64" s="106"/>
      <c r="V64" s="972" t="s">
        <v>84</v>
      </c>
      <c r="W64" s="975"/>
      <c r="X64" s="975"/>
      <c r="Y64" s="975"/>
      <c r="Z64" s="975"/>
      <c r="AA64" s="975"/>
      <c r="AB64" s="975"/>
      <c r="AC64" s="106"/>
      <c r="AE64" s="972" t="s">
        <v>85</v>
      </c>
      <c r="AF64" s="975"/>
      <c r="AG64" s="975"/>
      <c r="AH64" s="975"/>
      <c r="AI64" s="975"/>
      <c r="AJ64" s="975"/>
      <c r="AK64" s="975"/>
      <c r="AL64" s="106"/>
      <c r="AN64" s="972" t="s">
        <v>86</v>
      </c>
      <c r="AO64" s="975"/>
      <c r="AP64" s="975"/>
      <c r="AQ64" s="975"/>
      <c r="AR64" s="975"/>
      <c r="AS64" s="975"/>
      <c r="AT64" s="975"/>
      <c r="AU64" s="106"/>
      <c r="AW64" s="972" t="s">
        <v>87</v>
      </c>
      <c r="AX64" s="973"/>
      <c r="AY64" s="973"/>
      <c r="AZ64" s="973"/>
      <c r="BA64" s="973"/>
      <c r="BB64" s="973"/>
      <c r="BC64" s="973"/>
      <c r="BD64" s="974"/>
      <c r="BF64" s="972" t="s">
        <v>88</v>
      </c>
      <c r="BG64" s="975"/>
      <c r="BH64" s="975"/>
      <c r="BI64" s="975"/>
      <c r="BJ64" s="975"/>
      <c r="BK64" s="975"/>
      <c r="BL64" s="975"/>
      <c r="BM64" s="107"/>
      <c r="BO64" s="972" t="s">
        <v>154</v>
      </c>
      <c r="BP64" s="975"/>
      <c r="BQ64" s="975"/>
      <c r="BR64" s="975"/>
      <c r="BS64" s="975"/>
      <c r="BT64" s="975"/>
      <c r="BU64" s="975"/>
      <c r="BV64" s="387"/>
      <c r="BX64" s="972" t="s">
        <v>157</v>
      </c>
      <c r="BY64" s="975"/>
      <c r="BZ64" s="975"/>
      <c r="CA64" s="975"/>
      <c r="CB64" s="975"/>
      <c r="CC64" s="975"/>
      <c r="CD64" s="975"/>
      <c r="CE64" s="387"/>
      <c r="CG64" s="972" t="s">
        <v>163</v>
      </c>
      <c r="CH64" s="975"/>
      <c r="CI64" s="975"/>
      <c r="CJ64" s="975"/>
      <c r="CK64" s="975"/>
      <c r="CL64" s="975"/>
      <c r="CM64" s="975"/>
      <c r="CN64" s="416"/>
      <c r="CP64" s="972" t="s">
        <v>167</v>
      </c>
      <c r="CQ64" s="975"/>
      <c r="CR64" s="975"/>
      <c r="CS64" s="975"/>
      <c r="CT64" s="975"/>
      <c r="CU64" s="975"/>
      <c r="CV64" s="975"/>
      <c r="CW64" s="433"/>
      <c r="CY64" s="972" t="s">
        <v>167</v>
      </c>
      <c r="CZ64" s="975"/>
      <c r="DA64" s="975"/>
      <c r="DB64" s="975"/>
      <c r="DC64" s="975"/>
      <c r="DD64" s="975"/>
      <c r="DE64" s="975"/>
      <c r="DF64" s="457"/>
    </row>
    <row r="65" spans="1:110" ht="13.8" thickBot="1">
      <c r="D65" s="183" t="s">
        <v>45</v>
      </c>
      <c r="E65" s="127"/>
      <c r="F65" s="127" t="s">
        <v>47</v>
      </c>
      <c r="G65" s="184" t="s">
        <v>48</v>
      </c>
      <c r="H65" s="184" t="s">
        <v>49</v>
      </c>
      <c r="I65" s="109" t="s">
        <v>55</v>
      </c>
      <c r="J65" s="127" t="s">
        <v>51</v>
      </c>
      <c r="K65" s="107" t="s">
        <v>52</v>
      </c>
      <c r="M65" s="183" t="s">
        <v>45</v>
      </c>
      <c r="N65" s="127"/>
      <c r="O65" s="127" t="s">
        <v>47</v>
      </c>
      <c r="P65" s="184" t="s">
        <v>48</v>
      </c>
      <c r="Q65" s="184" t="s">
        <v>49</v>
      </c>
      <c r="R65" s="127" t="s">
        <v>50</v>
      </c>
      <c r="S65" s="127" t="s">
        <v>51</v>
      </c>
      <c r="T65" s="107" t="s">
        <v>52</v>
      </c>
      <c r="V65" s="108" t="s">
        <v>45</v>
      </c>
      <c r="W65" s="109"/>
      <c r="X65" s="109" t="s">
        <v>47</v>
      </c>
      <c r="Y65" s="185" t="s">
        <v>48</v>
      </c>
      <c r="Z65" s="185" t="s">
        <v>49</v>
      </c>
      <c r="AA65" s="109" t="s">
        <v>50</v>
      </c>
      <c r="AB65" s="109" t="s">
        <v>51</v>
      </c>
      <c r="AC65" s="110" t="s">
        <v>52</v>
      </c>
      <c r="AE65" s="111" t="s">
        <v>45</v>
      </c>
      <c r="AF65" s="112"/>
      <c r="AG65" s="112" t="s">
        <v>47</v>
      </c>
      <c r="AH65" s="241" t="s">
        <v>48</v>
      </c>
      <c r="AI65" s="241" t="s">
        <v>49</v>
      </c>
      <c r="AJ65" s="113" t="s">
        <v>50</v>
      </c>
      <c r="AK65" s="112" t="s">
        <v>51</v>
      </c>
      <c r="AL65" s="110" t="s">
        <v>52</v>
      </c>
      <c r="AN65" s="108" t="s">
        <v>45</v>
      </c>
      <c r="AO65" s="109"/>
      <c r="AP65" s="109" t="s">
        <v>47</v>
      </c>
      <c r="AQ65" s="185" t="s">
        <v>48</v>
      </c>
      <c r="AR65" s="185" t="s">
        <v>49</v>
      </c>
      <c r="AS65" s="109" t="s">
        <v>50</v>
      </c>
      <c r="AT65" s="109" t="s">
        <v>51</v>
      </c>
      <c r="AU65" s="114" t="s">
        <v>52</v>
      </c>
      <c r="AW65" s="242" t="s">
        <v>45</v>
      </c>
      <c r="AX65" s="185" t="s">
        <v>63</v>
      </c>
      <c r="AY65" s="185" t="s">
        <v>47</v>
      </c>
      <c r="AZ65" s="185" t="s">
        <v>48</v>
      </c>
      <c r="BA65" s="185" t="s">
        <v>49</v>
      </c>
      <c r="BB65" s="109" t="s">
        <v>50</v>
      </c>
      <c r="BC65" s="109" t="s">
        <v>51</v>
      </c>
      <c r="BD65" s="115" t="s">
        <v>52</v>
      </c>
      <c r="BF65" s="108" t="s">
        <v>45</v>
      </c>
      <c r="BG65" s="185" t="s">
        <v>63</v>
      </c>
      <c r="BH65" s="185" t="s">
        <v>47</v>
      </c>
      <c r="BI65" s="185" t="s">
        <v>48</v>
      </c>
      <c r="BJ65" s="185" t="s">
        <v>49</v>
      </c>
      <c r="BK65" s="109" t="s">
        <v>50</v>
      </c>
      <c r="BL65" s="109" t="s">
        <v>51</v>
      </c>
      <c r="BM65" s="115" t="s">
        <v>52</v>
      </c>
      <c r="BO65" s="108" t="s">
        <v>45</v>
      </c>
      <c r="BP65" s="185" t="s">
        <v>63</v>
      </c>
      <c r="BQ65" s="185" t="s">
        <v>47</v>
      </c>
      <c r="BR65" s="185" t="s">
        <v>48</v>
      </c>
      <c r="BS65" s="185" t="s">
        <v>49</v>
      </c>
      <c r="BT65" s="388" t="s">
        <v>50</v>
      </c>
      <c r="BU65" s="388" t="s">
        <v>51</v>
      </c>
      <c r="BV65" s="115" t="s">
        <v>52</v>
      </c>
      <c r="BX65" s="108" t="s">
        <v>45</v>
      </c>
      <c r="BY65" s="185" t="s">
        <v>63</v>
      </c>
      <c r="BZ65" s="185" t="s">
        <v>47</v>
      </c>
      <c r="CA65" s="185" t="s">
        <v>48</v>
      </c>
      <c r="CB65" s="185" t="s">
        <v>49</v>
      </c>
      <c r="CC65" s="388" t="s">
        <v>50</v>
      </c>
      <c r="CD65" s="388" t="s">
        <v>51</v>
      </c>
      <c r="CE65" s="115" t="s">
        <v>52</v>
      </c>
      <c r="CG65" s="108" t="s">
        <v>45</v>
      </c>
      <c r="CH65" s="185" t="s">
        <v>63</v>
      </c>
      <c r="CI65" s="185" t="s">
        <v>47</v>
      </c>
      <c r="CJ65" s="185" t="s">
        <v>48</v>
      </c>
      <c r="CK65" s="185" t="s">
        <v>49</v>
      </c>
      <c r="CL65" s="417" t="s">
        <v>50</v>
      </c>
      <c r="CM65" s="417" t="s">
        <v>51</v>
      </c>
      <c r="CN65" s="115" t="s">
        <v>52</v>
      </c>
      <c r="CP65" s="108" t="s">
        <v>45</v>
      </c>
      <c r="CQ65" s="185" t="s">
        <v>63</v>
      </c>
      <c r="CR65" s="185" t="s">
        <v>47</v>
      </c>
      <c r="CS65" s="185" t="s">
        <v>48</v>
      </c>
      <c r="CT65" s="185" t="s">
        <v>49</v>
      </c>
      <c r="CU65" s="434" t="s">
        <v>50</v>
      </c>
      <c r="CV65" s="434" t="s">
        <v>51</v>
      </c>
      <c r="CW65" s="115" t="s">
        <v>52</v>
      </c>
      <c r="CY65" s="108" t="s">
        <v>45</v>
      </c>
      <c r="CZ65" s="185" t="s">
        <v>63</v>
      </c>
      <c r="DA65" s="185" t="s">
        <v>47</v>
      </c>
      <c r="DB65" s="185" t="s">
        <v>48</v>
      </c>
      <c r="DC65" s="185" t="s">
        <v>49</v>
      </c>
      <c r="DD65" s="458" t="s">
        <v>50</v>
      </c>
      <c r="DE65" s="458" t="s">
        <v>51</v>
      </c>
      <c r="DF65" s="115" t="s">
        <v>52</v>
      </c>
    </row>
    <row r="66" spans="1:110">
      <c r="A66" s="243"/>
      <c r="B66" s="214" t="s">
        <v>3</v>
      </c>
      <c r="D66" s="188">
        <f>D21*$K$62</f>
        <v>95835825</v>
      </c>
      <c r="E66" s="189">
        <f t="shared" ref="E66:J66" si="168">E21*$K$62</f>
        <v>626894.3124758593</v>
      </c>
      <c r="F66" s="189">
        <f t="shared" si="168"/>
        <v>27500622.68752414</v>
      </c>
      <c r="G66" s="189">
        <f t="shared" si="168"/>
        <v>103812165</v>
      </c>
      <c r="H66" s="189">
        <f t="shared" si="168"/>
        <v>69160178</v>
      </c>
      <c r="I66" s="189">
        <f t="shared" si="168"/>
        <v>24321611</v>
      </c>
      <c r="J66" s="189">
        <f t="shared" si="168"/>
        <v>2167609</v>
      </c>
      <c r="K66" s="244">
        <f>SUM(D66:J66)</f>
        <v>323424905</v>
      </c>
      <c r="M66" s="136">
        <f>$T$62*M21</f>
        <v>96703333.19759199</v>
      </c>
      <c r="N66" s="137">
        <f t="shared" ref="N66:S66" si="169">$T$62*N21</f>
        <v>484803.48954645166</v>
      </c>
      <c r="O66" s="137">
        <f t="shared" si="169"/>
        <v>25198404.319728419</v>
      </c>
      <c r="P66" s="137">
        <f t="shared" si="169"/>
        <v>104155437.45787612</v>
      </c>
      <c r="Q66" s="418">
        <f t="shared" si="169"/>
        <v>73019151.474867135</v>
      </c>
      <c r="R66" s="137">
        <f t="shared" si="169"/>
        <v>24579195.252265237</v>
      </c>
      <c r="S66" s="137">
        <f t="shared" si="169"/>
        <v>2339254.2707351618</v>
      </c>
      <c r="T66" s="138">
        <f>SUM(M66:S66)</f>
        <v>326479579.46261048</v>
      </c>
      <c r="V66" s="187">
        <f>V21*$AC$62</f>
        <v>101234974</v>
      </c>
      <c r="W66" s="139">
        <f t="shared" ref="W66:AB66" si="170">W21*$AC$62</f>
        <v>460680.92571134283</v>
      </c>
      <c r="X66" s="139">
        <f t="shared" si="170"/>
        <v>26413664.074288659</v>
      </c>
      <c r="Y66" s="139">
        <f t="shared" si="170"/>
        <v>90654817</v>
      </c>
      <c r="Z66" s="139">
        <f t="shared" si="170"/>
        <v>74924606</v>
      </c>
      <c r="AA66" s="139">
        <f t="shared" si="170"/>
        <v>25094959</v>
      </c>
      <c r="AB66" s="139">
        <f t="shared" si="170"/>
        <v>2257824</v>
      </c>
      <c r="AC66" s="142">
        <f>SUM(V66:AB66)</f>
        <v>321041525</v>
      </c>
      <c r="AD66" s="139"/>
      <c r="AE66" s="187">
        <f>AE21*$AL$62</f>
        <v>98458354.6750983</v>
      </c>
      <c r="AF66" s="139">
        <f t="shared" ref="AF66:AK66" si="171">AF21*$AL$62</f>
        <v>441237.2200826389</v>
      </c>
      <c r="AG66" s="139">
        <f t="shared" si="171"/>
        <v>26342127.325927</v>
      </c>
      <c r="AH66" s="139">
        <f t="shared" si="171"/>
        <v>91006866.875941262</v>
      </c>
      <c r="AI66" s="139">
        <f t="shared" si="171"/>
        <v>79832836.871977285</v>
      </c>
      <c r="AJ66" s="139">
        <f t="shared" si="171"/>
        <v>25883693.779680435</v>
      </c>
      <c r="AK66" s="139">
        <f t="shared" si="171"/>
        <v>2449964.6584544396</v>
      </c>
      <c r="AL66" s="142">
        <f>SUM(AE66:AK66)</f>
        <v>324415081.40716136</v>
      </c>
      <c r="AN66" s="187">
        <f>AN21*$AU$62</f>
        <v>93319104.912532166</v>
      </c>
      <c r="AO66" s="139">
        <f t="shared" ref="AO66:AT66" si="172">AO21*$AU$62</f>
        <v>420607.02898193977</v>
      </c>
      <c r="AP66" s="139">
        <f t="shared" si="172"/>
        <v>24217861.745010797</v>
      </c>
      <c r="AQ66" s="139">
        <f t="shared" si="172"/>
        <v>95905359.447790831</v>
      </c>
      <c r="AR66" s="139">
        <f t="shared" si="172"/>
        <v>77848768.754753828</v>
      </c>
      <c r="AS66" s="139">
        <f t="shared" si="172"/>
        <v>23769132.048321746</v>
      </c>
      <c r="AT66" s="139">
        <f t="shared" si="172"/>
        <v>2596872.8723358815</v>
      </c>
      <c r="AU66" s="142">
        <f>SUM(AN66:AT66)</f>
        <v>318077706.80972719</v>
      </c>
      <c r="AW66" s="187">
        <f>AW21*$BD$62</f>
        <v>98630319.459931612</v>
      </c>
      <c r="AX66" s="139">
        <f t="shared" ref="AX66:BC66" si="173">AX21*$BD$62</f>
        <v>425654.97285838198</v>
      </c>
      <c r="AY66" s="139">
        <f t="shared" si="173"/>
        <v>25291247.784944631</v>
      </c>
      <c r="AZ66" s="139">
        <f t="shared" si="173"/>
        <v>99761976.48827897</v>
      </c>
      <c r="BA66" s="139">
        <f t="shared" si="173"/>
        <v>72869397.722055823</v>
      </c>
      <c r="BB66" s="139">
        <f t="shared" si="173"/>
        <v>32678375.421093289</v>
      </c>
      <c r="BC66" s="139">
        <f t="shared" si="173"/>
        <v>2836873.5514770853</v>
      </c>
      <c r="BD66" s="186">
        <f>SUM(AW66:BC66)</f>
        <v>332493845.40063983</v>
      </c>
      <c r="BF66" s="187">
        <f>BF21*$BM$62</f>
        <v>114929995</v>
      </c>
      <c r="BG66" s="139">
        <f t="shared" ref="BG66:BL66" si="174">BG21*$BM$62</f>
        <v>425415.37916827603</v>
      </c>
      <c r="BH66" s="139">
        <f t="shared" si="174"/>
        <v>27827964.620831724</v>
      </c>
      <c r="BI66" s="139">
        <f t="shared" si="174"/>
        <v>98470898</v>
      </c>
      <c r="BJ66" s="139">
        <f t="shared" si="174"/>
        <v>62466253</v>
      </c>
      <c r="BK66" s="139">
        <f t="shared" si="174"/>
        <v>30269110</v>
      </c>
      <c r="BL66" s="139">
        <f t="shared" si="174"/>
        <v>2869091</v>
      </c>
      <c r="BM66" s="142">
        <f>SUM(BF66:BL66)</f>
        <v>337258727</v>
      </c>
      <c r="BO66" s="187">
        <f>BO21*$BV$62</f>
        <v>115936614</v>
      </c>
      <c r="BP66" s="139">
        <f t="shared" ref="BP66:BU66" si="175">BP21*$BV$62</f>
        <v>427684</v>
      </c>
      <c r="BQ66" s="139">
        <f t="shared" si="175"/>
        <v>28372390</v>
      </c>
      <c r="BR66" s="139">
        <f t="shared" si="175"/>
        <v>96123914.638856694</v>
      </c>
      <c r="BS66" s="139">
        <f t="shared" si="175"/>
        <v>66284247.60800232</v>
      </c>
      <c r="BT66" s="139">
        <f t="shared" si="175"/>
        <v>29524066</v>
      </c>
      <c r="BU66" s="139">
        <f t="shared" si="175"/>
        <v>3011418</v>
      </c>
      <c r="BV66" s="142">
        <f>SUM(BO66:BU66)</f>
        <v>339680334.24685901</v>
      </c>
      <c r="BX66" s="187">
        <f>BX21*$CE$62</f>
        <v>116217600</v>
      </c>
      <c r="BY66" s="139">
        <f t="shared" ref="BY66:CD66" si="176">BY21*$CE$62</f>
        <v>443961</v>
      </c>
      <c r="BZ66" s="139">
        <f t="shared" si="176"/>
        <v>28660738</v>
      </c>
      <c r="CA66" s="139">
        <f t="shared" si="176"/>
        <v>96571704.325994581</v>
      </c>
      <c r="CB66" s="139">
        <f t="shared" si="176"/>
        <v>68233020</v>
      </c>
      <c r="CC66" s="139">
        <f t="shared" si="176"/>
        <v>31793026</v>
      </c>
      <c r="CD66" s="139">
        <f t="shared" si="176"/>
        <v>3141742.950946311</v>
      </c>
      <c r="CE66" s="142">
        <f>SUM(BX66:CD66)</f>
        <v>345061792.27694094</v>
      </c>
      <c r="CG66" s="187">
        <f>CG21*$CE$62</f>
        <v>108208512</v>
      </c>
      <c r="CH66" s="139">
        <f t="shared" ref="CH66:CM66" si="177">CH21*$CE$62</f>
        <v>461087</v>
      </c>
      <c r="CI66" s="139">
        <f t="shared" si="177"/>
        <v>28499317.489999998</v>
      </c>
      <c r="CJ66" s="139">
        <f t="shared" si="177"/>
        <v>95663961</v>
      </c>
      <c r="CK66" s="139">
        <f t="shared" si="177"/>
        <v>69113593.911392644</v>
      </c>
      <c r="CL66" s="139">
        <f t="shared" si="177"/>
        <v>32788875</v>
      </c>
      <c r="CM66" s="139">
        <f t="shared" si="177"/>
        <v>3287206</v>
      </c>
      <c r="CN66" s="142">
        <f>SUM(CG66:CM66)</f>
        <v>338022552.40139264</v>
      </c>
      <c r="CP66" s="187">
        <f>CP21*$CE$62</f>
        <v>111199839</v>
      </c>
      <c r="CQ66" s="139">
        <f t="shared" ref="CQ66:CV66" si="178">CQ21*$CE$62</f>
        <v>468892</v>
      </c>
      <c r="CR66" s="139">
        <f t="shared" si="178"/>
        <v>29686689.27</v>
      </c>
      <c r="CS66" s="139">
        <f t="shared" si="178"/>
        <v>94942004</v>
      </c>
      <c r="CT66" s="139">
        <f t="shared" si="178"/>
        <v>71459698.292243719</v>
      </c>
      <c r="CU66" s="139">
        <f t="shared" si="178"/>
        <v>31628521.91943128</v>
      </c>
      <c r="CV66" s="139">
        <f t="shared" si="178"/>
        <v>3308893</v>
      </c>
      <c r="CW66" s="142">
        <f>SUM(CP66:CV66)</f>
        <v>342694537.48167497</v>
      </c>
      <c r="CY66" s="187">
        <f>CY21*$CE$62</f>
        <v>0</v>
      </c>
      <c r="CZ66" s="139">
        <f t="shared" ref="CZ66:DE66" si="179">CZ21*$CE$62</f>
        <v>0</v>
      </c>
      <c r="DA66" s="139">
        <f t="shared" si="179"/>
        <v>0</v>
      </c>
      <c r="DB66" s="139">
        <f t="shared" si="179"/>
        <v>0</v>
      </c>
      <c r="DC66" s="139">
        <f t="shared" si="179"/>
        <v>0</v>
      </c>
      <c r="DD66" s="139">
        <f t="shared" si="179"/>
        <v>0</v>
      </c>
      <c r="DE66" s="139">
        <f t="shared" si="179"/>
        <v>0</v>
      </c>
      <c r="DF66" s="142">
        <f>SUM(CY66:DE66)</f>
        <v>0</v>
      </c>
    </row>
    <row r="67" spans="1:110">
      <c r="A67" s="243"/>
      <c r="B67" s="199" t="s">
        <v>4</v>
      </c>
      <c r="D67" s="187">
        <f t="shared" ref="D67:J77" si="180">D22*$K$62</f>
        <v>80671677</v>
      </c>
      <c r="E67" s="139">
        <f t="shared" si="180"/>
        <v>626894.3124758593</v>
      </c>
      <c r="F67" s="139">
        <f t="shared" si="180"/>
        <v>24649020.68752414</v>
      </c>
      <c r="G67" s="139">
        <f t="shared" si="180"/>
        <v>89968164</v>
      </c>
      <c r="H67" s="139">
        <f t="shared" si="180"/>
        <v>64846317</v>
      </c>
      <c r="I67" s="139">
        <f t="shared" si="180"/>
        <v>23902704</v>
      </c>
      <c r="J67" s="139">
        <f t="shared" si="180"/>
        <v>1773999</v>
      </c>
      <c r="K67" s="142">
        <f t="shared" ref="K67:K77" si="181">SUM(D67:J67)</f>
        <v>286438776</v>
      </c>
      <c r="M67" s="136">
        <f t="shared" ref="M67:S77" si="182">$T$62*M22</f>
        <v>84636165.92201896</v>
      </c>
      <c r="N67" s="137">
        <f t="shared" si="182"/>
        <v>484803.48954645166</v>
      </c>
      <c r="O67" s="137">
        <f t="shared" si="182"/>
        <v>24601913.971159797</v>
      </c>
      <c r="P67" s="137">
        <f t="shared" si="182"/>
        <v>83965293.784197226</v>
      </c>
      <c r="Q67" s="137">
        <f t="shared" si="182"/>
        <v>74306616.444822505</v>
      </c>
      <c r="R67" s="137">
        <f t="shared" si="182"/>
        <v>21771546.714311246</v>
      </c>
      <c r="S67" s="137">
        <f t="shared" si="182"/>
        <v>1849319.4853594124</v>
      </c>
      <c r="T67" s="138">
        <f t="shared" ref="T67:T77" si="183">SUM(M67:S67)</f>
        <v>291615659.81141561</v>
      </c>
      <c r="V67" s="187">
        <f t="shared" ref="V67:AB77" si="184">V22*$AC$62</f>
        <v>86270169</v>
      </c>
      <c r="W67" s="139">
        <f t="shared" si="184"/>
        <v>460680.92571134283</v>
      </c>
      <c r="X67" s="139">
        <f t="shared" si="184"/>
        <v>24209751.074288659</v>
      </c>
      <c r="Y67" s="139">
        <f t="shared" si="184"/>
        <v>92165629</v>
      </c>
      <c r="Z67" s="139">
        <f t="shared" si="184"/>
        <v>72579489</v>
      </c>
      <c r="AA67" s="139">
        <f t="shared" si="184"/>
        <v>22740386</v>
      </c>
      <c r="AB67" s="139">
        <f t="shared" si="184"/>
        <v>1879556</v>
      </c>
      <c r="AC67" s="142">
        <f t="shared" ref="AC67:AC77" si="185">SUM(V67:AB67)</f>
        <v>300305661</v>
      </c>
      <c r="AE67" s="187">
        <f t="shared" ref="AE67:AK77" si="186">AE22*$AL$62</f>
        <v>83349754.266349658</v>
      </c>
      <c r="AF67" s="139">
        <f t="shared" si="186"/>
        <v>441237.2200826389</v>
      </c>
      <c r="AG67" s="139">
        <f t="shared" si="186"/>
        <v>24334630.426873375</v>
      </c>
      <c r="AH67" s="139">
        <f t="shared" si="186"/>
        <v>89730272.43216081</v>
      </c>
      <c r="AI67" s="139">
        <f t="shared" si="186"/>
        <v>74288762.334597692</v>
      </c>
      <c r="AJ67" s="139">
        <f t="shared" si="186"/>
        <v>26895910.202686954</v>
      </c>
      <c r="AK67" s="139">
        <f t="shared" si="186"/>
        <v>2026620.6293759772</v>
      </c>
      <c r="AL67" s="142">
        <f t="shared" ref="AL67:AL77" si="187">SUM(AE67:AK67)</f>
        <v>301067187.51212716</v>
      </c>
      <c r="AN67" s="187">
        <f t="shared" ref="AN67:AT77" si="188">AN22*$AU$62</f>
        <v>102055857.46061663</v>
      </c>
      <c r="AO67" s="139">
        <f t="shared" si="188"/>
        <v>420607.02898193977</v>
      </c>
      <c r="AP67" s="139">
        <f t="shared" si="188"/>
        <v>27955450.400312036</v>
      </c>
      <c r="AQ67" s="139">
        <f t="shared" si="188"/>
        <v>94967064.027341023</v>
      </c>
      <c r="AR67" s="139">
        <f t="shared" si="188"/>
        <v>73114414.329416826</v>
      </c>
      <c r="AS67" s="139">
        <f t="shared" si="188"/>
        <v>25338044.098187737</v>
      </c>
      <c r="AT67" s="139">
        <f t="shared" si="188"/>
        <v>2209984.0265351539</v>
      </c>
      <c r="AU67" s="142">
        <f t="shared" ref="AU67:AU77" si="189">SUM(AN67:AT67)</f>
        <v>326061421.37139136</v>
      </c>
      <c r="AW67" s="187">
        <f t="shared" ref="AW67:BC77" si="190">AW22*$BD$62</f>
        <v>100156762.19876678</v>
      </c>
      <c r="AX67" s="139">
        <f t="shared" si="190"/>
        <v>425654.97285838198</v>
      </c>
      <c r="AY67" s="139">
        <f t="shared" si="190"/>
        <v>26897671.800034229</v>
      </c>
      <c r="AZ67" s="139">
        <f t="shared" si="190"/>
        <v>95798427.650014818</v>
      </c>
      <c r="BA67" s="139">
        <f t="shared" si="190"/>
        <v>68195043.161552131</v>
      </c>
      <c r="BB67" s="139">
        <f t="shared" si="190"/>
        <v>32557258.397177238</v>
      </c>
      <c r="BC67" s="139">
        <f t="shared" si="190"/>
        <v>2414215.1725495053</v>
      </c>
      <c r="BD67" s="186">
        <f t="shared" ref="BD67:BD77" si="191">SUM(AW67:BC67)</f>
        <v>326445033.35295308</v>
      </c>
      <c r="BF67" s="187">
        <f t="shared" ref="BF67:BL77" si="192">BF22*$BM$62</f>
        <v>100314756</v>
      </c>
      <c r="BG67" s="139">
        <f t="shared" si="192"/>
        <v>425415.37916827603</v>
      </c>
      <c r="BH67" s="139">
        <f t="shared" si="192"/>
        <v>26492679.620831724</v>
      </c>
      <c r="BI67" s="139">
        <f t="shared" si="192"/>
        <v>89223138</v>
      </c>
      <c r="BJ67" s="139">
        <f t="shared" si="192"/>
        <v>59894713</v>
      </c>
      <c r="BK67" s="139">
        <f t="shared" si="192"/>
        <v>27575448</v>
      </c>
      <c r="BL67" s="139">
        <f t="shared" si="192"/>
        <v>2376729</v>
      </c>
      <c r="BM67" s="142">
        <f t="shared" ref="BM67:BM77" si="193">SUM(BF67:BL67)</f>
        <v>306302879</v>
      </c>
      <c r="BO67" s="187">
        <f t="shared" ref="BO67:BU67" si="194">BO22*$BV$62</f>
        <v>95071567</v>
      </c>
      <c r="BP67" s="139">
        <f t="shared" si="194"/>
        <v>428104</v>
      </c>
      <c r="BQ67" s="139">
        <f t="shared" si="194"/>
        <v>25192734</v>
      </c>
      <c r="BR67" s="139">
        <f t="shared" si="194"/>
        <v>88642264.38779451</v>
      </c>
      <c r="BS67" s="139">
        <f t="shared" si="194"/>
        <v>63108855.706968203</v>
      </c>
      <c r="BT67" s="139">
        <f t="shared" si="194"/>
        <v>29184283</v>
      </c>
      <c r="BU67" s="139">
        <f t="shared" si="194"/>
        <v>2497279</v>
      </c>
      <c r="BV67" s="142">
        <f t="shared" ref="BV67:BV77" si="195">SUM(BO67:BU67)</f>
        <v>304125087.09476268</v>
      </c>
      <c r="BX67" s="187">
        <f t="shared" ref="BX67:CD67" si="196">BX22*$CE$62</f>
        <v>100080874</v>
      </c>
      <c r="BY67" s="139">
        <f t="shared" si="196"/>
        <v>447206</v>
      </c>
      <c r="BZ67" s="139">
        <f t="shared" si="196"/>
        <v>27288884.739999998</v>
      </c>
      <c r="CA67" s="139">
        <f t="shared" si="196"/>
        <v>91417001.738122821</v>
      </c>
      <c r="CB67" s="139">
        <f t="shared" si="196"/>
        <v>62136860</v>
      </c>
      <c r="CC67" s="139">
        <f t="shared" si="196"/>
        <v>30333719</v>
      </c>
      <c r="CD67" s="139">
        <f t="shared" si="196"/>
        <v>2634226.5353418305</v>
      </c>
      <c r="CE67" s="142">
        <f t="shared" ref="CE67:CE77" si="197">SUM(BX67:CD67)</f>
        <v>314338772.01346469</v>
      </c>
      <c r="CG67" s="187">
        <f t="shared" ref="CG67:CM67" si="198">CG22*$CE$62</f>
        <v>97072673</v>
      </c>
      <c r="CH67" s="139">
        <f t="shared" si="198"/>
        <v>461208</v>
      </c>
      <c r="CI67" s="139">
        <f t="shared" si="198"/>
        <v>27866912.850000001</v>
      </c>
      <c r="CJ67" s="139">
        <f t="shared" si="198"/>
        <v>91572994</v>
      </c>
      <c r="CK67" s="139">
        <f t="shared" si="198"/>
        <v>66557411.305899411</v>
      </c>
      <c r="CL67" s="139">
        <f t="shared" si="198"/>
        <v>30517108</v>
      </c>
      <c r="CM67" s="139">
        <f t="shared" si="198"/>
        <v>2839289</v>
      </c>
      <c r="CN67" s="142">
        <f t="shared" ref="CN67:CN77" si="199">SUM(CG67:CM67)</f>
        <v>316887596.15589941</v>
      </c>
      <c r="CP67" s="187">
        <f t="shared" ref="CP67:CV67" si="200">CP22*$CE$62</f>
        <v>102221503</v>
      </c>
      <c r="CQ67" s="139">
        <f t="shared" si="200"/>
        <v>470101</v>
      </c>
      <c r="CR67" s="139">
        <f t="shared" si="200"/>
        <v>28087520.98</v>
      </c>
      <c r="CS67" s="139">
        <f t="shared" si="200"/>
        <v>90665931</v>
      </c>
      <c r="CT67" s="139">
        <f t="shared" si="200"/>
        <v>64722605.4302321</v>
      </c>
      <c r="CU67" s="139">
        <f t="shared" si="200"/>
        <v>29541449.447077412</v>
      </c>
      <c r="CV67" s="139">
        <f t="shared" si="200"/>
        <v>2741138</v>
      </c>
      <c r="CW67" s="142">
        <f t="shared" ref="CW67:CW77" si="201">SUM(CP67:CV67)</f>
        <v>318450248.85730952</v>
      </c>
      <c r="CY67" s="187">
        <f t="shared" ref="CY67:DE67" si="202">CY22*$CE$62</f>
        <v>0</v>
      </c>
      <c r="CZ67" s="139">
        <f t="shared" si="202"/>
        <v>0</v>
      </c>
      <c r="DA67" s="139">
        <f t="shared" si="202"/>
        <v>0</v>
      </c>
      <c r="DB67" s="139">
        <f t="shared" si="202"/>
        <v>0</v>
      </c>
      <c r="DC67" s="139">
        <f t="shared" si="202"/>
        <v>0</v>
      </c>
      <c r="DD67" s="139">
        <f t="shared" si="202"/>
        <v>0</v>
      </c>
      <c r="DE67" s="139">
        <f t="shared" si="202"/>
        <v>0</v>
      </c>
      <c r="DF67" s="142">
        <f t="shared" ref="DF67:DF77" si="203">SUM(CY67:DE67)</f>
        <v>0</v>
      </c>
    </row>
    <row r="68" spans="1:110">
      <c r="A68" s="243"/>
      <c r="B68" s="199" t="s">
        <v>5</v>
      </c>
      <c r="D68" s="187">
        <f t="shared" si="180"/>
        <v>76572741</v>
      </c>
      <c r="E68" s="139">
        <f t="shared" si="180"/>
        <v>626894.3124758593</v>
      </c>
      <c r="F68" s="139">
        <f t="shared" si="180"/>
        <v>22593438.68752414</v>
      </c>
      <c r="G68" s="139">
        <f t="shared" si="180"/>
        <v>79323772</v>
      </c>
      <c r="H68" s="139">
        <f t="shared" si="180"/>
        <v>71031338</v>
      </c>
      <c r="I68" s="139">
        <f t="shared" si="180"/>
        <v>27167404</v>
      </c>
      <c r="J68" s="139">
        <f t="shared" si="180"/>
        <v>1628909</v>
      </c>
      <c r="K68" s="142">
        <f t="shared" si="181"/>
        <v>278944497</v>
      </c>
      <c r="M68" s="136">
        <f t="shared" si="182"/>
        <v>69377650.878611267</v>
      </c>
      <c r="N68" s="137">
        <f t="shared" si="182"/>
        <v>484803.48954645166</v>
      </c>
      <c r="O68" s="137">
        <f t="shared" si="182"/>
        <v>20291117.274993774</v>
      </c>
      <c r="P68" s="137">
        <f t="shared" si="182"/>
        <v>89048340.056818128</v>
      </c>
      <c r="Q68" s="137">
        <f t="shared" si="182"/>
        <v>80324216.198116869</v>
      </c>
      <c r="R68" s="137">
        <f t="shared" si="182"/>
        <v>24118324.166016441</v>
      </c>
      <c r="S68" s="137">
        <f t="shared" si="182"/>
        <v>2000257.116162423</v>
      </c>
      <c r="T68" s="138">
        <f t="shared" si="183"/>
        <v>285644709.18026537</v>
      </c>
      <c r="V68" s="187">
        <f t="shared" si="184"/>
        <v>79078475</v>
      </c>
      <c r="W68" s="139">
        <f t="shared" si="184"/>
        <v>460680.92571134283</v>
      </c>
      <c r="X68" s="139">
        <f t="shared" si="184"/>
        <v>23356969.074288659</v>
      </c>
      <c r="Y68" s="139">
        <f t="shared" si="184"/>
        <v>90387744</v>
      </c>
      <c r="Z68" s="139">
        <f t="shared" si="184"/>
        <v>77590145</v>
      </c>
      <c r="AA68" s="139">
        <f t="shared" si="184"/>
        <v>24524462</v>
      </c>
      <c r="AB68" s="139">
        <f t="shared" si="184"/>
        <v>1857430</v>
      </c>
      <c r="AC68" s="142">
        <f t="shared" si="185"/>
        <v>297255906</v>
      </c>
      <c r="AE68" s="187">
        <f t="shared" si="186"/>
        <v>80562836.195971221</v>
      </c>
      <c r="AF68" s="139">
        <f t="shared" si="186"/>
        <v>441237.2200826389</v>
      </c>
      <c r="AG68" s="139">
        <f t="shared" si="186"/>
        <v>22842106.136763576</v>
      </c>
      <c r="AH68" s="139">
        <f t="shared" si="186"/>
        <v>91160102.123829171</v>
      </c>
      <c r="AI68" s="139">
        <f t="shared" si="186"/>
        <v>79825722.105100811</v>
      </c>
      <c r="AJ68" s="139">
        <f t="shared" si="186"/>
        <v>29311709.87181291</v>
      </c>
      <c r="AK68" s="139">
        <f t="shared" si="186"/>
        <v>2009462.1286139756</v>
      </c>
      <c r="AL68" s="142">
        <f t="shared" si="187"/>
        <v>306153175.78217423</v>
      </c>
      <c r="AN68" s="187">
        <f t="shared" si="188"/>
        <v>86845356.080863759</v>
      </c>
      <c r="AO68" s="139">
        <f t="shared" si="188"/>
        <v>420607.02898193977</v>
      </c>
      <c r="AP68" s="139">
        <f t="shared" si="188"/>
        <v>24862107.523533534</v>
      </c>
      <c r="AQ68" s="139">
        <f t="shared" si="188"/>
        <v>93112012.841680169</v>
      </c>
      <c r="AR68" s="139">
        <f t="shared" si="188"/>
        <v>79724487.650090635</v>
      </c>
      <c r="AS68" s="139">
        <f t="shared" si="188"/>
        <v>30151982.554943778</v>
      </c>
      <c r="AT68" s="139">
        <f t="shared" si="188"/>
        <v>2254407.2531094565</v>
      </c>
      <c r="AU68" s="142">
        <f t="shared" si="189"/>
        <v>317370960.93320328</v>
      </c>
      <c r="AW68" s="187">
        <f t="shared" si="190"/>
        <v>94596796.46765469</v>
      </c>
      <c r="AX68" s="139">
        <f t="shared" si="190"/>
        <v>425654.97285838198</v>
      </c>
      <c r="AY68" s="139">
        <f t="shared" si="190"/>
        <v>25972193.944547605</v>
      </c>
      <c r="AZ68" s="139">
        <f t="shared" si="190"/>
        <v>97210190.999143586</v>
      </c>
      <c r="BA68" s="139">
        <f t="shared" si="190"/>
        <v>71225091.89442645</v>
      </c>
      <c r="BB68" s="139">
        <f t="shared" si="190"/>
        <v>31917268.657987542</v>
      </c>
      <c r="BC68" s="139">
        <f t="shared" si="190"/>
        <v>2349258.8814859884</v>
      </c>
      <c r="BD68" s="186">
        <f t="shared" si="191"/>
        <v>323696455.81810427</v>
      </c>
      <c r="BF68" s="187">
        <f t="shared" si="192"/>
        <v>84993353</v>
      </c>
      <c r="BG68" s="139">
        <f t="shared" si="192"/>
        <v>425415.37916827603</v>
      </c>
      <c r="BH68" s="139">
        <f t="shared" si="192"/>
        <v>23027826.620831724</v>
      </c>
      <c r="BI68" s="139">
        <f t="shared" si="192"/>
        <v>93267497</v>
      </c>
      <c r="BJ68" s="139">
        <f t="shared" si="192"/>
        <v>66945485</v>
      </c>
      <c r="BK68" s="139">
        <f t="shared" si="192"/>
        <v>30119516</v>
      </c>
      <c r="BL68" s="139">
        <f t="shared" si="192"/>
        <v>2368403</v>
      </c>
      <c r="BM68" s="142">
        <f t="shared" si="193"/>
        <v>301147496</v>
      </c>
      <c r="BO68" s="187">
        <f t="shared" ref="BO68:BU68" si="204">BO23*$BV$62</f>
        <v>84364665</v>
      </c>
      <c r="BP68" s="139">
        <f t="shared" si="204"/>
        <v>428104</v>
      </c>
      <c r="BQ68" s="139">
        <f t="shared" si="204"/>
        <v>22844464</v>
      </c>
      <c r="BR68" s="139">
        <f t="shared" si="204"/>
        <v>93339488.219389722</v>
      </c>
      <c r="BS68" s="139">
        <f t="shared" si="204"/>
        <v>71230093.746979803</v>
      </c>
      <c r="BT68" s="139">
        <f t="shared" si="204"/>
        <v>30481056</v>
      </c>
      <c r="BU68" s="139">
        <f t="shared" si="204"/>
        <v>2455811</v>
      </c>
      <c r="BV68" s="142">
        <f t="shared" si="195"/>
        <v>305143681.96636951</v>
      </c>
      <c r="BX68" s="187">
        <f t="shared" ref="BX68:CD68" si="205">BX23*$CE$62</f>
        <v>89706044</v>
      </c>
      <c r="BY68" s="139">
        <f t="shared" si="205"/>
        <v>448445</v>
      </c>
      <c r="BZ68" s="139">
        <f t="shared" si="205"/>
        <v>25701317.690000001</v>
      </c>
      <c r="CA68" s="139">
        <f t="shared" si="205"/>
        <v>94301599.073001146</v>
      </c>
      <c r="CB68" s="139">
        <f t="shared" si="205"/>
        <v>70949028</v>
      </c>
      <c r="CC68" s="139">
        <f t="shared" si="205"/>
        <v>33307430</v>
      </c>
      <c r="CD68" s="139">
        <f t="shared" si="205"/>
        <v>2594092</v>
      </c>
      <c r="CE68" s="142">
        <f t="shared" si="197"/>
        <v>317007955.76300114</v>
      </c>
      <c r="CG68" s="187">
        <f t="shared" ref="CG68:CM68" si="206">CG23*$CE$62</f>
        <v>89190934</v>
      </c>
      <c r="CH68" s="139">
        <f t="shared" si="206"/>
        <v>462034</v>
      </c>
      <c r="CI68" s="139">
        <f t="shared" si="206"/>
        <v>25947114.719999999</v>
      </c>
      <c r="CJ68" s="139">
        <f t="shared" si="206"/>
        <v>90805950</v>
      </c>
      <c r="CK68" s="139">
        <f t="shared" si="206"/>
        <v>71662970.287214696</v>
      </c>
      <c r="CL68" s="139">
        <f t="shared" si="206"/>
        <v>33332436</v>
      </c>
      <c r="CM68" s="139">
        <f t="shared" si="206"/>
        <v>2690908</v>
      </c>
      <c r="CN68" s="142">
        <f t="shared" si="199"/>
        <v>314092347.00721467</v>
      </c>
      <c r="CP68" s="187">
        <f t="shared" ref="CP68:CV68" si="207">CP23*$CE$62</f>
        <v>89749366</v>
      </c>
      <c r="CQ68" s="139">
        <f t="shared" si="207"/>
        <v>482548</v>
      </c>
      <c r="CR68" s="139">
        <f t="shared" si="207"/>
        <v>26256765.52</v>
      </c>
      <c r="CS68" s="139">
        <f t="shared" si="207"/>
        <v>90299732</v>
      </c>
      <c r="CT68" s="139">
        <f t="shared" si="207"/>
        <v>70772158.426034808</v>
      </c>
      <c r="CU68" s="139">
        <f t="shared" si="207"/>
        <v>31575793.838862561</v>
      </c>
      <c r="CV68" s="139">
        <f t="shared" si="207"/>
        <v>2721005</v>
      </c>
      <c r="CW68" s="142">
        <f t="shared" si="201"/>
        <v>311857368.78489733</v>
      </c>
      <c r="CY68" s="187">
        <f t="shared" ref="CY68:DE68" si="208">CY23*$CE$62</f>
        <v>0</v>
      </c>
      <c r="CZ68" s="139">
        <f t="shared" si="208"/>
        <v>0</v>
      </c>
      <c r="DA68" s="139">
        <f t="shared" si="208"/>
        <v>0</v>
      </c>
      <c r="DB68" s="139">
        <f t="shared" si="208"/>
        <v>0</v>
      </c>
      <c r="DC68" s="139">
        <f t="shared" si="208"/>
        <v>0</v>
      </c>
      <c r="DD68" s="139">
        <f t="shared" si="208"/>
        <v>0</v>
      </c>
      <c r="DE68" s="139">
        <f t="shared" si="208"/>
        <v>0</v>
      </c>
      <c r="DF68" s="142">
        <f t="shared" si="203"/>
        <v>0</v>
      </c>
    </row>
    <row r="69" spans="1:110">
      <c r="A69" s="243"/>
      <c r="B69" s="199" t="s">
        <v>6</v>
      </c>
      <c r="D69" s="187">
        <f t="shared" si="180"/>
        <v>67295647</v>
      </c>
      <c r="E69" s="139">
        <f t="shared" si="180"/>
        <v>626894.3124758593</v>
      </c>
      <c r="F69" s="139">
        <f t="shared" si="180"/>
        <v>20913734.68752414</v>
      </c>
      <c r="G69" s="139">
        <f t="shared" si="180"/>
        <v>80475757</v>
      </c>
      <c r="H69" s="139">
        <f t="shared" si="180"/>
        <v>67817496</v>
      </c>
      <c r="I69" s="139">
        <f t="shared" si="180"/>
        <v>25659378</v>
      </c>
      <c r="J69" s="139">
        <f t="shared" si="180"/>
        <v>1480278</v>
      </c>
      <c r="K69" s="142">
        <f t="shared" si="181"/>
        <v>264269185</v>
      </c>
      <c r="M69" s="136">
        <f t="shared" si="182"/>
        <v>79244091.215722561</v>
      </c>
      <c r="N69" s="137">
        <f t="shared" si="182"/>
        <v>484803.48954645166</v>
      </c>
      <c r="O69" s="137">
        <f t="shared" si="182"/>
        <v>23310696.910947941</v>
      </c>
      <c r="P69" s="137">
        <f t="shared" si="182"/>
        <v>79946850.120580107</v>
      </c>
      <c r="Q69" s="137">
        <f t="shared" si="182"/>
        <v>75392432.564117029</v>
      </c>
      <c r="R69" s="137">
        <f t="shared" si="182"/>
        <v>23755274.432859194</v>
      </c>
      <c r="S69" s="137">
        <f t="shared" si="182"/>
        <v>1508105.2774554805</v>
      </c>
      <c r="T69" s="138">
        <f t="shared" si="183"/>
        <v>283642254.0112288</v>
      </c>
      <c r="V69" s="187">
        <f t="shared" si="184"/>
        <v>79227360</v>
      </c>
      <c r="W69" s="139">
        <f t="shared" si="184"/>
        <v>460680.92571134283</v>
      </c>
      <c r="X69" s="139">
        <f t="shared" si="184"/>
        <v>23467108.074288659</v>
      </c>
      <c r="Y69" s="139">
        <f t="shared" si="184"/>
        <v>82584190</v>
      </c>
      <c r="Z69" s="139">
        <f t="shared" si="184"/>
        <v>76171266</v>
      </c>
      <c r="AA69" s="139">
        <f t="shared" si="184"/>
        <v>24015019</v>
      </c>
      <c r="AB69" s="139">
        <f t="shared" si="184"/>
        <v>1585420</v>
      </c>
      <c r="AC69" s="142">
        <f t="shared" si="185"/>
        <v>287511044</v>
      </c>
      <c r="AE69" s="187">
        <f t="shared" si="186"/>
        <v>83837908.148537919</v>
      </c>
      <c r="AF69" s="139">
        <f t="shared" si="186"/>
        <v>441237.2200826389</v>
      </c>
      <c r="AG69" s="139">
        <f t="shared" si="186"/>
        <v>24484167.704880793</v>
      </c>
      <c r="AH69" s="139">
        <f t="shared" si="186"/>
        <v>81677834.721110284</v>
      </c>
      <c r="AI69" s="139">
        <f t="shared" si="186"/>
        <v>71937804.311981902</v>
      </c>
      <c r="AJ69" s="139">
        <f t="shared" si="186"/>
        <v>27935602.084875431</v>
      </c>
      <c r="AK69" s="139">
        <f t="shared" si="186"/>
        <v>1711886.8301353236</v>
      </c>
      <c r="AL69" s="142">
        <f t="shared" si="187"/>
        <v>292026441.0216043</v>
      </c>
      <c r="AN69" s="187">
        <f t="shared" si="188"/>
        <v>82760074.132709607</v>
      </c>
      <c r="AO69" s="139">
        <f t="shared" si="188"/>
        <v>420607.02898193977</v>
      </c>
      <c r="AP69" s="139">
        <f t="shared" si="188"/>
        <v>24158560.447302494</v>
      </c>
      <c r="AQ69" s="139">
        <f t="shared" si="188"/>
        <v>87588400.691189349</v>
      </c>
      <c r="AR69" s="139">
        <f t="shared" si="188"/>
        <v>75290160.493486211</v>
      </c>
      <c r="AS69" s="139">
        <f t="shared" si="188"/>
        <v>27510198.486498449</v>
      </c>
      <c r="AT69" s="139">
        <f t="shared" si="188"/>
        <v>1961245.5557463351</v>
      </c>
      <c r="AU69" s="142">
        <f t="shared" si="189"/>
        <v>299689246.83591437</v>
      </c>
      <c r="AW69" s="187">
        <f t="shared" si="190"/>
        <v>75018449.791760981</v>
      </c>
      <c r="AX69" s="139">
        <f t="shared" si="190"/>
        <v>425654.97285838198</v>
      </c>
      <c r="AY69" s="139">
        <f t="shared" si="190"/>
        <v>21706505.90321945</v>
      </c>
      <c r="AZ69" s="139">
        <f t="shared" si="190"/>
        <v>90347791.329555854</v>
      </c>
      <c r="BA69" s="139">
        <f t="shared" si="190"/>
        <v>75533382.265522584</v>
      </c>
      <c r="BB69" s="139">
        <f t="shared" si="190"/>
        <v>31003184.802533921</v>
      </c>
      <c r="BC69" s="139">
        <f t="shared" si="190"/>
        <v>1946680.9847026537</v>
      </c>
      <c r="BD69" s="186">
        <f t="shared" si="191"/>
        <v>295981650.05015385</v>
      </c>
      <c r="BF69" s="187">
        <f t="shared" si="192"/>
        <v>89892055</v>
      </c>
      <c r="BG69" s="139">
        <f t="shared" si="192"/>
        <v>425415.37916827603</v>
      </c>
      <c r="BH69" s="139">
        <f t="shared" si="192"/>
        <v>23964368.620831724</v>
      </c>
      <c r="BI69" s="139">
        <f t="shared" si="192"/>
        <v>85881705</v>
      </c>
      <c r="BJ69" s="139">
        <f t="shared" si="192"/>
        <v>62607105</v>
      </c>
      <c r="BK69" s="139">
        <f t="shared" si="192"/>
        <v>27295581</v>
      </c>
      <c r="BL69" s="139">
        <f t="shared" si="192"/>
        <v>1986143</v>
      </c>
      <c r="BM69" s="142">
        <f t="shared" si="193"/>
        <v>292052373</v>
      </c>
      <c r="BO69" s="187">
        <f t="shared" ref="BO69:BU69" si="209">BO24*$BV$62</f>
        <v>93307183</v>
      </c>
      <c r="BP69" s="139">
        <f t="shared" si="209"/>
        <v>428104</v>
      </c>
      <c r="BQ69" s="139">
        <f t="shared" si="209"/>
        <v>25644929</v>
      </c>
      <c r="BR69" s="139">
        <f t="shared" si="209"/>
        <v>84923497.489378139</v>
      </c>
      <c r="BS69" s="139">
        <f t="shared" si="209"/>
        <v>68542960.278341547</v>
      </c>
      <c r="BT69" s="139">
        <f t="shared" si="209"/>
        <v>30005821</v>
      </c>
      <c r="BU69" s="139">
        <f t="shared" si="209"/>
        <v>2064728</v>
      </c>
      <c r="BV69" s="142">
        <f t="shared" si="195"/>
        <v>304917222.76771969</v>
      </c>
      <c r="BX69" s="187">
        <f t="shared" ref="BX69:CD69" si="210">BX24*$CE$62</f>
        <v>91242777</v>
      </c>
      <c r="BY69" s="139">
        <f t="shared" si="210"/>
        <v>455043</v>
      </c>
      <c r="BZ69" s="139">
        <f t="shared" si="210"/>
        <v>25742416.059999999</v>
      </c>
      <c r="CA69" s="139">
        <f t="shared" si="210"/>
        <v>85500305.137118578</v>
      </c>
      <c r="CB69" s="139">
        <f t="shared" si="210"/>
        <v>64981266.067459174</v>
      </c>
      <c r="CC69" s="139">
        <f t="shared" si="210"/>
        <v>31651989</v>
      </c>
      <c r="CD69" s="139">
        <f t="shared" si="210"/>
        <v>2186252</v>
      </c>
      <c r="CE69" s="142">
        <f t="shared" si="197"/>
        <v>301760048.26457775</v>
      </c>
      <c r="CG69" s="187">
        <f t="shared" ref="CG69:CM69" si="211">CG24*$CE$62</f>
        <v>89393464</v>
      </c>
      <c r="CH69" s="139">
        <f t="shared" si="211"/>
        <v>462034</v>
      </c>
      <c r="CI69" s="139">
        <f t="shared" si="211"/>
        <v>25444064.68</v>
      </c>
      <c r="CJ69" s="139">
        <f t="shared" si="211"/>
        <v>84070883</v>
      </c>
      <c r="CK69" s="139">
        <f t="shared" si="211"/>
        <v>68890621.672301739</v>
      </c>
      <c r="CL69" s="139">
        <f t="shared" si="211"/>
        <v>31624794</v>
      </c>
      <c r="CM69" s="139">
        <f t="shared" si="211"/>
        <v>2232771</v>
      </c>
      <c r="CN69" s="142">
        <f t="shared" si="199"/>
        <v>302118632.35230172</v>
      </c>
      <c r="CP69" s="187">
        <f t="shared" ref="CP69:CV69" si="212">CP24*$CE$62</f>
        <v>96834279</v>
      </c>
      <c r="CQ69" s="139">
        <f t="shared" si="212"/>
        <v>473635</v>
      </c>
      <c r="CR69" s="139">
        <f t="shared" si="212"/>
        <v>27550975.210000001</v>
      </c>
      <c r="CS69" s="139">
        <f t="shared" si="212"/>
        <v>87449196.057590112</v>
      </c>
      <c r="CT69" s="139">
        <f t="shared" si="212"/>
        <v>72992964.55253385</v>
      </c>
      <c r="CU69" s="139">
        <f t="shared" si="212"/>
        <v>30034144.944707744</v>
      </c>
      <c r="CV69" s="139">
        <f t="shared" si="212"/>
        <v>2283513.3829355496</v>
      </c>
      <c r="CW69" s="142">
        <f t="shared" si="201"/>
        <v>317618708.14776725</v>
      </c>
      <c r="CY69" s="187">
        <f t="shared" ref="CY69:DE69" si="213">CY24*$CE$62</f>
        <v>0</v>
      </c>
      <c r="CZ69" s="139">
        <f t="shared" si="213"/>
        <v>0</v>
      </c>
      <c r="DA69" s="139">
        <f t="shared" si="213"/>
        <v>0</v>
      </c>
      <c r="DB69" s="139">
        <f t="shared" si="213"/>
        <v>0</v>
      </c>
      <c r="DC69" s="139">
        <f t="shared" si="213"/>
        <v>0</v>
      </c>
      <c r="DD69" s="139">
        <f t="shared" si="213"/>
        <v>0</v>
      </c>
      <c r="DE69" s="139">
        <f t="shared" si="213"/>
        <v>0</v>
      </c>
      <c r="DF69" s="142">
        <f t="shared" si="203"/>
        <v>0</v>
      </c>
    </row>
    <row r="70" spans="1:110">
      <c r="A70" s="243"/>
      <c r="B70" s="199" t="s">
        <v>7</v>
      </c>
      <c r="D70" s="187">
        <f t="shared" si="180"/>
        <v>63501813</v>
      </c>
      <c r="E70" s="139">
        <f t="shared" si="180"/>
        <v>626894.3124758593</v>
      </c>
      <c r="F70" s="139">
        <f t="shared" si="180"/>
        <v>19396110.68752414</v>
      </c>
      <c r="G70" s="139">
        <f t="shared" si="180"/>
        <v>86801807</v>
      </c>
      <c r="H70" s="139">
        <f t="shared" si="180"/>
        <v>71284663</v>
      </c>
      <c r="I70" s="139">
        <f t="shared" si="180"/>
        <v>25865193</v>
      </c>
      <c r="J70" s="139">
        <f t="shared" si="180"/>
        <v>1335937</v>
      </c>
      <c r="K70" s="142">
        <f t="shared" si="181"/>
        <v>268812418</v>
      </c>
      <c r="M70" s="136">
        <f t="shared" si="182"/>
        <v>67852563.192644149</v>
      </c>
      <c r="N70" s="137">
        <f t="shared" si="182"/>
        <v>484803.48954645166</v>
      </c>
      <c r="O70" s="137">
        <f t="shared" si="182"/>
        <v>20851512.755300749</v>
      </c>
      <c r="P70" s="137">
        <f t="shared" si="182"/>
        <v>82215364.689672545</v>
      </c>
      <c r="Q70" s="137">
        <f t="shared" si="182"/>
        <v>76804103.521846041</v>
      </c>
      <c r="R70" s="137">
        <f t="shared" si="182"/>
        <v>25169695.456741009</v>
      </c>
      <c r="S70" s="137">
        <f t="shared" si="182"/>
        <v>1332471.0525761771</v>
      </c>
      <c r="T70" s="138">
        <f t="shared" si="183"/>
        <v>274710514.15832716</v>
      </c>
      <c r="V70" s="187">
        <f t="shared" si="184"/>
        <v>68385013</v>
      </c>
      <c r="W70" s="139">
        <f t="shared" si="184"/>
        <v>460680.92571134283</v>
      </c>
      <c r="X70" s="139">
        <f t="shared" si="184"/>
        <v>21653135.074288659</v>
      </c>
      <c r="Y70" s="139">
        <f t="shared" si="184"/>
        <v>84462278</v>
      </c>
      <c r="Z70" s="139">
        <f t="shared" si="184"/>
        <v>78587389</v>
      </c>
      <c r="AA70" s="139">
        <f t="shared" si="184"/>
        <v>25166564</v>
      </c>
      <c r="AB70" s="139">
        <f t="shared" si="184"/>
        <v>1429477</v>
      </c>
      <c r="AC70" s="142">
        <f t="shared" si="185"/>
        <v>280144537</v>
      </c>
      <c r="AE70" s="187">
        <f t="shared" si="186"/>
        <v>63141913.700862259</v>
      </c>
      <c r="AF70" s="139">
        <f t="shared" si="186"/>
        <v>441237.2200826389</v>
      </c>
      <c r="AG70" s="139">
        <f t="shared" si="186"/>
        <v>20077050.003314324</v>
      </c>
      <c r="AH70" s="139">
        <f t="shared" si="186"/>
        <v>85898181.098661423</v>
      </c>
      <c r="AI70" s="139">
        <f t="shared" si="186"/>
        <v>82894337.65110454</v>
      </c>
      <c r="AJ70" s="139">
        <f t="shared" si="186"/>
        <v>29701826.816873793</v>
      </c>
      <c r="AK70" s="139">
        <f t="shared" si="186"/>
        <v>1558834.394299536</v>
      </c>
      <c r="AL70" s="142">
        <f t="shared" si="187"/>
        <v>283713380.88519847</v>
      </c>
      <c r="AN70" s="187">
        <f t="shared" si="188"/>
        <v>70077886.905542597</v>
      </c>
      <c r="AO70" s="139">
        <f t="shared" si="188"/>
        <v>420607.02898193977</v>
      </c>
      <c r="AP70" s="139">
        <f t="shared" si="188"/>
        <v>22556027.496452671</v>
      </c>
      <c r="AQ70" s="139">
        <f t="shared" si="188"/>
        <v>89096125.561086223</v>
      </c>
      <c r="AR70" s="139">
        <f t="shared" si="188"/>
        <v>82233255.023018777</v>
      </c>
      <c r="AS70" s="139">
        <f t="shared" si="188"/>
        <v>31774021.28801088</v>
      </c>
      <c r="AT70" s="139">
        <f t="shared" si="188"/>
        <v>1741549.2717990966</v>
      </c>
      <c r="AU70" s="142">
        <f t="shared" si="189"/>
        <v>297899472.57489216</v>
      </c>
      <c r="AW70" s="187">
        <f t="shared" si="190"/>
        <v>76464713.08083117</v>
      </c>
      <c r="AX70" s="139">
        <f t="shared" si="190"/>
        <v>425654.97285838198</v>
      </c>
      <c r="AY70" s="139">
        <f t="shared" si="190"/>
        <v>22760680.061845809</v>
      </c>
      <c r="AZ70" s="139">
        <f t="shared" si="190"/>
        <v>83800548.771872535</v>
      </c>
      <c r="BA70" s="139">
        <f t="shared" si="190"/>
        <v>73928094.561569989</v>
      </c>
      <c r="BB70" s="139">
        <f t="shared" si="190"/>
        <v>31773594.830039877</v>
      </c>
      <c r="BC70" s="139">
        <f t="shared" si="190"/>
        <v>1727170.3006401439</v>
      </c>
      <c r="BD70" s="186">
        <f t="shared" si="191"/>
        <v>290880456.57965791</v>
      </c>
      <c r="BF70" s="187">
        <f t="shared" si="192"/>
        <v>77171913</v>
      </c>
      <c r="BG70" s="139">
        <f t="shared" si="192"/>
        <v>425415.37916827603</v>
      </c>
      <c r="BH70" s="139">
        <f t="shared" si="192"/>
        <v>21642620.620831724</v>
      </c>
      <c r="BI70" s="139">
        <f t="shared" si="192"/>
        <v>82709262</v>
      </c>
      <c r="BJ70" s="139">
        <f t="shared" si="192"/>
        <v>64769595</v>
      </c>
      <c r="BK70" s="139">
        <f t="shared" si="192"/>
        <v>21729889</v>
      </c>
      <c r="BL70" s="139">
        <f t="shared" si="192"/>
        <v>1767971</v>
      </c>
      <c r="BM70" s="142">
        <f t="shared" si="193"/>
        <v>270216666</v>
      </c>
      <c r="BO70" s="187">
        <f t="shared" ref="BO70:BU70" si="214">BO25*$BV$62</f>
        <v>71425478</v>
      </c>
      <c r="BP70" s="139">
        <f t="shared" si="214"/>
        <v>440368</v>
      </c>
      <c r="BQ70" s="139">
        <f t="shared" si="214"/>
        <v>21004541</v>
      </c>
      <c r="BR70" s="139">
        <f t="shared" si="214"/>
        <v>84512590.76863654</v>
      </c>
      <c r="BS70" s="139">
        <f t="shared" si="214"/>
        <v>71916860.925872236</v>
      </c>
      <c r="BT70" s="139">
        <f t="shared" si="214"/>
        <v>31394279</v>
      </c>
      <c r="BU70" s="139">
        <f t="shared" si="214"/>
        <v>1840054</v>
      </c>
      <c r="BV70" s="142">
        <f t="shared" si="195"/>
        <v>282534171.69450879</v>
      </c>
      <c r="BX70" s="187">
        <f t="shared" ref="BX70:CD70" si="215">BX25*$CE$62</f>
        <v>78057795</v>
      </c>
      <c r="BY70" s="139">
        <f t="shared" si="215"/>
        <v>454870</v>
      </c>
      <c r="BZ70" s="139">
        <f t="shared" si="215"/>
        <v>22841933.07</v>
      </c>
      <c r="CA70" s="139">
        <f t="shared" si="215"/>
        <v>86352565.662417918</v>
      </c>
      <c r="CB70" s="139">
        <f t="shared" si="215"/>
        <v>69748626.398840249</v>
      </c>
      <c r="CC70" s="139">
        <f t="shared" si="215"/>
        <v>34404487</v>
      </c>
      <c r="CD70" s="139">
        <f t="shared" si="215"/>
        <v>1874644</v>
      </c>
      <c r="CE70" s="142">
        <f t="shared" si="197"/>
        <v>293734921.13125813</v>
      </c>
      <c r="CG70" s="187">
        <f t="shared" ref="CG70:CM70" si="216">CG25*$CE$62</f>
        <v>72286020</v>
      </c>
      <c r="CH70" s="139">
        <f t="shared" si="216"/>
        <v>462034</v>
      </c>
      <c r="CI70" s="139">
        <f t="shared" si="216"/>
        <v>23146393.850000001</v>
      </c>
      <c r="CJ70" s="139">
        <f t="shared" si="216"/>
        <v>89917434.534737661</v>
      </c>
      <c r="CK70" s="139">
        <f t="shared" si="216"/>
        <v>75446441.980638295</v>
      </c>
      <c r="CL70" s="139">
        <f t="shared" si="216"/>
        <v>34983252</v>
      </c>
      <c r="CM70" s="139">
        <f t="shared" si="216"/>
        <v>1973057</v>
      </c>
      <c r="CN70" s="142">
        <f t="shared" si="199"/>
        <v>298214633.365376</v>
      </c>
      <c r="CP70" s="187">
        <f t="shared" ref="CP70:CV70" si="217">CP25*$CE$62</f>
        <v>76196328</v>
      </c>
      <c r="CQ70" s="139">
        <f t="shared" si="217"/>
        <v>475959</v>
      </c>
      <c r="CR70" s="139">
        <f t="shared" si="217"/>
        <v>24609661.530000001</v>
      </c>
      <c r="CS70" s="139">
        <f t="shared" si="217"/>
        <v>90000202.918156356</v>
      </c>
      <c r="CT70" s="139">
        <f t="shared" si="217"/>
        <v>74431769.878607348</v>
      </c>
      <c r="CU70" s="139">
        <f t="shared" si="217"/>
        <v>33329343.404423382</v>
      </c>
      <c r="CV70" s="139">
        <f t="shared" si="217"/>
        <v>2040458.0152671756</v>
      </c>
      <c r="CW70" s="142">
        <f t="shared" si="201"/>
        <v>301083722.74645424</v>
      </c>
      <c r="CY70" s="187">
        <f t="shared" ref="CY70:DE70" si="218">CY25*$CE$62</f>
        <v>0</v>
      </c>
      <c r="CZ70" s="139">
        <f t="shared" si="218"/>
        <v>0</v>
      </c>
      <c r="DA70" s="139">
        <f t="shared" si="218"/>
        <v>0</v>
      </c>
      <c r="DB70" s="139">
        <f t="shared" si="218"/>
        <v>0</v>
      </c>
      <c r="DC70" s="139">
        <f t="shared" si="218"/>
        <v>0</v>
      </c>
      <c r="DD70" s="139">
        <f t="shared" si="218"/>
        <v>0</v>
      </c>
      <c r="DE70" s="139">
        <f t="shared" si="218"/>
        <v>0</v>
      </c>
      <c r="DF70" s="142">
        <f t="shared" si="203"/>
        <v>0</v>
      </c>
    </row>
    <row r="71" spans="1:110">
      <c r="A71" s="243"/>
      <c r="B71" s="199" t="s">
        <v>8</v>
      </c>
      <c r="D71" s="187">
        <f t="shared" si="180"/>
        <v>61838475</v>
      </c>
      <c r="E71" s="139">
        <f t="shared" si="180"/>
        <v>626894.3124758593</v>
      </c>
      <c r="F71" s="139">
        <f t="shared" si="180"/>
        <v>19680024.68752414</v>
      </c>
      <c r="G71" s="139">
        <f t="shared" si="180"/>
        <v>71035189</v>
      </c>
      <c r="H71" s="139">
        <f t="shared" si="180"/>
        <v>71972313</v>
      </c>
      <c r="I71" s="139">
        <f t="shared" si="180"/>
        <v>26315987</v>
      </c>
      <c r="J71" s="139">
        <f t="shared" si="180"/>
        <v>1084101</v>
      </c>
      <c r="K71" s="142">
        <f t="shared" si="181"/>
        <v>252552984</v>
      </c>
      <c r="M71" s="136">
        <f t="shared" si="182"/>
        <v>64151147.15512301</v>
      </c>
      <c r="N71" s="137">
        <f t="shared" si="182"/>
        <v>484803.48954645166</v>
      </c>
      <c r="O71" s="137">
        <f t="shared" si="182"/>
        <v>19775018.860252216</v>
      </c>
      <c r="P71" s="137">
        <f t="shared" si="182"/>
        <v>84705900.599485829</v>
      </c>
      <c r="Q71" s="137">
        <f t="shared" si="182"/>
        <v>78795472.424202576</v>
      </c>
      <c r="R71" s="137">
        <f t="shared" si="182"/>
        <v>24604866.869795706</v>
      </c>
      <c r="S71" s="137">
        <f t="shared" si="182"/>
        <v>1171956.1913929975</v>
      </c>
      <c r="T71" s="138">
        <f t="shared" si="183"/>
        <v>273689165.58979875</v>
      </c>
      <c r="V71" s="187">
        <f t="shared" si="184"/>
        <v>82879065</v>
      </c>
      <c r="W71" s="139">
        <f t="shared" si="184"/>
        <v>460680.92571134283</v>
      </c>
      <c r="X71" s="139">
        <f t="shared" si="184"/>
        <v>23105684.074288659</v>
      </c>
      <c r="Y71" s="139">
        <f t="shared" si="184"/>
        <v>91804571</v>
      </c>
      <c r="Z71" s="139">
        <f t="shared" si="184"/>
        <v>84433776</v>
      </c>
      <c r="AA71" s="139">
        <f t="shared" si="184"/>
        <v>27545365</v>
      </c>
      <c r="AB71" s="139">
        <f t="shared" si="184"/>
        <v>1274605</v>
      </c>
      <c r="AC71" s="142">
        <f t="shared" si="185"/>
        <v>311503747</v>
      </c>
      <c r="AE71" s="187">
        <f t="shared" si="186"/>
        <v>83998828.457421437</v>
      </c>
      <c r="AF71" s="139">
        <f t="shared" si="186"/>
        <v>441237.2200826389</v>
      </c>
      <c r="AG71" s="139">
        <f t="shared" si="186"/>
        <v>23159974.566571925</v>
      </c>
      <c r="AH71" s="139">
        <f t="shared" si="186"/>
        <v>94949356.818049252</v>
      </c>
      <c r="AI71" s="139">
        <f t="shared" si="186"/>
        <v>84053496.215813309</v>
      </c>
      <c r="AJ71" s="139">
        <f t="shared" si="186"/>
        <v>30003381.25811746</v>
      </c>
      <c r="AK71" s="139">
        <f t="shared" si="186"/>
        <v>1382388.9705980087</v>
      </c>
      <c r="AL71" s="142">
        <f t="shared" si="187"/>
        <v>317988663.50665402</v>
      </c>
      <c r="AN71" s="187">
        <f t="shared" si="188"/>
        <v>91697027.181899756</v>
      </c>
      <c r="AO71" s="139">
        <f t="shared" si="188"/>
        <v>420607.02898193977</v>
      </c>
      <c r="AP71" s="139">
        <f t="shared" si="188"/>
        <v>25108174.161129929</v>
      </c>
      <c r="AQ71" s="139">
        <f t="shared" si="188"/>
        <v>92943751.346562192</v>
      </c>
      <c r="AR71" s="139">
        <f t="shared" si="188"/>
        <v>83601151.622657895</v>
      </c>
      <c r="AS71" s="139">
        <f t="shared" si="188"/>
        <v>32819475.018365588</v>
      </c>
      <c r="AT71" s="139">
        <f t="shared" si="188"/>
        <v>1574223.7182485296</v>
      </c>
      <c r="AU71" s="142">
        <f t="shared" si="189"/>
        <v>328164410.07784581</v>
      </c>
      <c r="AW71" s="187">
        <f t="shared" si="190"/>
        <v>83850850.816110656</v>
      </c>
      <c r="AX71" s="139">
        <f t="shared" si="190"/>
        <v>425654.97285838198</v>
      </c>
      <c r="AY71" s="139">
        <f t="shared" si="190"/>
        <v>23072740.741665572</v>
      </c>
      <c r="AZ71" s="139">
        <f t="shared" si="190"/>
        <v>97887220.212592751</v>
      </c>
      <c r="BA71" s="139">
        <f t="shared" si="190"/>
        <v>75645001.370886818</v>
      </c>
      <c r="BB71" s="139">
        <f t="shared" si="190"/>
        <v>34720095.793628998</v>
      </c>
      <c r="BC71" s="139">
        <f t="shared" si="190"/>
        <v>1531476.6557350797</v>
      </c>
      <c r="BD71" s="186">
        <f t="shared" si="191"/>
        <v>317133040.56347823</v>
      </c>
      <c r="BF71" s="187">
        <f t="shared" si="192"/>
        <v>71910668</v>
      </c>
      <c r="BG71" s="139">
        <f t="shared" si="192"/>
        <v>425415.37916827603</v>
      </c>
      <c r="BH71" s="139">
        <f t="shared" si="192"/>
        <v>20561930.620831724</v>
      </c>
      <c r="BI71" s="139">
        <f t="shared" si="192"/>
        <v>88276045</v>
      </c>
      <c r="BJ71" s="139">
        <f t="shared" si="192"/>
        <v>66245644</v>
      </c>
      <c r="BK71" s="139">
        <f t="shared" si="192"/>
        <v>25383350</v>
      </c>
      <c r="BL71" s="139">
        <f t="shared" si="192"/>
        <v>1562749</v>
      </c>
      <c r="BM71" s="142">
        <f t="shared" si="193"/>
        <v>274365802</v>
      </c>
      <c r="BO71" s="187">
        <f t="shared" ref="BO71:BU71" si="219">BO26*$BV$62</f>
        <v>91541788</v>
      </c>
      <c r="BP71" s="139">
        <f t="shared" si="219"/>
        <v>421616</v>
      </c>
      <c r="BQ71" s="139">
        <f t="shared" si="219"/>
        <v>22508524</v>
      </c>
      <c r="BR71" s="139">
        <f t="shared" si="219"/>
        <v>92019802.047122434</v>
      </c>
      <c r="BS71" s="139">
        <f t="shared" si="219"/>
        <v>74683603.943171933</v>
      </c>
      <c r="BT71" s="139">
        <f t="shared" si="219"/>
        <v>30412138</v>
      </c>
      <c r="BU71" s="139">
        <f t="shared" si="219"/>
        <v>1615859</v>
      </c>
      <c r="BV71" s="142">
        <f t="shared" si="195"/>
        <v>313203330.99029434</v>
      </c>
      <c r="BX71" s="187">
        <f t="shared" ref="BX71:CD71" si="220">BX26*$CE$62</f>
        <v>89206765</v>
      </c>
      <c r="BY71" s="139">
        <f t="shared" si="220"/>
        <v>455290</v>
      </c>
      <c r="BZ71" s="139">
        <f t="shared" si="220"/>
        <v>24666094.030000001</v>
      </c>
      <c r="CA71" s="139">
        <f t="shared" si="220"/>
        <v>92485912.648565084</v>
      </c>
      <c r="CB71" s="139">
        <f t="shared" si="220"/>
        <v>72106784.080406189</v>
      </c>
      <c r="CC71" s="139">
        <f t="shared" si="220"/>
        <v>35078902</v>
      </c>
      <c r="CD71" s="139">
        <f t="shared" si="220"/>
        <v>1683570</v>
      </c>
      <c r="CE71" s="142">
        <f t="shared" si="197"/>
        <v>315683317.75897127</v>
      </c>
      <c r="CG71" s="187">
        <f t="shared" ref="CG71:CM71" si="221">CG26*$CE$62</f>
        <v>101582404</v>
      </c>
      <c r="CH71" s="139">
        <f t="shared" si="221"/>
        <v>462772</v>
      </c>
      <c r="CI71" s="139">
        <f t="shared" si="221"/>
        <v>26040671.34</v>
      </c>
      <c r="CJ71" s="139">
        <f t="shared" si="221"/>
        <v>93575404</v>
      </c>
      <c r="CK71" s="139">
        <f t="shared" si="221"/>
        <v>75164033.289825916</v>
      </c>
      <c r="CL71" s="139">
        <f t="shared" si="221"/>
        <v>35299567</v>
      </c>
      <c r="CM71" s="139">
        <f t="shared" si="221"/>
        <v>1764071</v>
      </c>
      <c r="CN71" s="142">
        <f t="shared" si="199"/>
        <v>333888922.62982595</v>
      </c>
      <c r="CP71" s="187">
        <f t="shared" ref="CP71:CV71" si="222">CP26*$CE$62</f>
        <v>92858785</v>
      </c>
      <c r="CQ71" s="139">
        <f t="shared" si="222"/>
        <v>477371</v>
      </c>
      <c r="CR71" s="139">
        <f t="shared" si="222"/>
        <v>25649952.350000001</v>
      </c>
      <c r="CS71" s="139">
        <f t="shared" si="222"/>
        <v>86860534.351145044</v>
      </c>
      <c r="CT71" s="139">
        <f t="shared" si="222"/>
        <v>75043082.924344286</v>
      </c>
      <c r="CU71" s="139">
        <f t="shared" si="222"/>
        <v>32911822.669826228</v>
      </c>
      <c r="CV71" s="139">
        <f t="shared" si="222"/>
        <v>1825273.939511064</v>
      </c>
      <c r="CW71" s="142">
        <f t="shared" si="201"/>
        <v>315626822.23482662</v>
      </c>
      <c r="CY71" s="187">
        <f t="shared" ref="CY71:DE71" si="223">CY26*$CE$62</f>
        <v>0</v>
      </c>
      <c r="CZ71" s="139">
        <f t="shared" si="223"/>
        <v>0</v>
      </c>
      <c r="DA71" s="139">
        <f t="shared" si="223"/>
        <v>0</v>
      </c>
      <c r="DB71" s="139">
        <f t="shared" si="223"/>
        <v>0</v>
      </c>
      <c r="DC71" s="139">
        <f t="shared" si="223"/>
        <v>0</v>
      </c>
      <c r="DD71" s="139">
        <f t="shared" si="223"/>
        <v>0</v>
      </c>
      <c r="DE71" s="139">
        <f t="shared" si="223"/>
        <v>0</v>
      </c>
      <c r="DF71" s="142">
        <f t="shared" si="203"/>
        <v>0</v>
      </c>
    </row>
    <row r="72" spans="1:110">
      <c r="A72" s="243"/>
      <c r="B72" s="199" t="s">
        <v>9</v>
      </c>
      <c r="D72" s="187">
        <f t="shared" si="180"/>
        <v>91204614</v>
      </c>
      <c r="E72" s="139">
        <f t="shared" si="180"/>
        <v>626894.3124758593</v>
      </c>
      <c r="F72" s="139">
        <f t="shared" si="180"/>
        <v>22400149.68752414</v>
      </c>
      <c r="G72" s="139">
        <f t="shared" si="180"/>
        <v>89670036</v>
      </c>
      <c r="H72" s="139">
        <f t="shared" si="180"/>
        <v>75348788</v>
      </c>
      <c r="I72" s="139">
        <f t="shared" si="180"/>
        <v>24717308</v>
      </c>
      <c r="J72" s="139">
        <f t="shared" si="180"/>
        <v>1149708</v>
      </c>
      <c r="K72" s="142">
        <f t="shared" si="181"/>
        <v>305117498</v>
      </c>
      <c r="M72" s="136">
        <f t="shared" si="182"/>
        <v>82824898.351997942</v>
      </c>
      <c r="N72" s="137">
        <f t="shared" si="182"/>
        <v>484803.48954645166</v>
      </c>
      <c r="O72" s="137">
        <f t="shared" si="182"/>
        <v>23407892.248980705</v>
      </c>
      <c r="P72" s="137">
        <f t="shared" si="182"/>
        <v>103637673.00305799</v>
      </c>
      <c r="Q72" s="137">
        <f t="shared" si="182"/>
        <v>78785577.186172739</v>
      </c>
      <c r="R72" s="137">
        <f t="shared" si="182"/>
        <v>24024194.901738048</v>
      </c>
      <c r="S72" s="137">
        <f t="shared" si="182"/>
        <v>1225790.4863763575</v>
      </c>
      <c r="T72" s="138">
        <f t="shared" si="183"/>
        <v>314390829.66787022</v>
      </c>
      <c r="V72" s="187">
        <f t="shared" si="184"/>
        <v>128480389</v>
      </c>
      <c r="W72" s="139">
        <f t="shared" si="184"/>
        <v>460680.92571134283</v>
      </c>
      <c r="X72" s="139">
        <f t="shared" si="184"/>
        <v>27817309.074288659</v>
      </c>
      <c r="Y72" s="139">
        <f t="shared" si="184"/>
        <v>93000462</v>
      </c>
      <c r="Z72" s="139">
        <f t="shared" si="184"/>
        <v>82486731</v>
      </c>
      <c r="AA72" s="139">
        <f t="shared" si="184"/>
        <v>24358531</v>
      </c>
      <c r="AB72" s="139">
        <f t="shared" si="184"/>
        <v>1383628</v>
      </c>
      <c r="AC72" s="142">
        <f t="shared" si="185"/>
        <v>357987731</v>
      </c>
      <c r="AE72" s="187">
        <f t="shared" si="186"/>
        <v>111186032.77492651</v>
      </c>
      <c r="AF72" s="139">
        <f t="shared" si="186"/>
        <v>441237.2200826389</v>
      </c>
      <c r="AG72" s="139">
        <f t="shared" si="186"/>
        <v>25589655.035590522</v>
      </c>
      <c r="AH72" s="139">
        <f t="shared" si="186"/>
        <v>95157357.191617668</v>
      </c>
      <c r="AI72" s="139">
        <f t="shared" si="186"/>
        <v>83247742.160632312</v>
      </c>
      <c r="AJ72" s="139">
        <f t="shared" si="186"/>
        <v>26457504.050183367</v>
      </c>
      <c r="AK72" s="139">
        <f t="shared" si="186"/>
        <v>1495086.6394708422</v>
      </c>
      <c r="AL72" s="142">
        <f t="shared" si="187"/>
        <v>343574615.07250386</v>
      </c>
      <c r="AN72" s="187">
        <f t="shared" si="188"/>
        <v>105258833.49279077</v>
      </c>
      <c r="AO72" s="139">
        <f t="shared" si="188"/>
        <v>420607.02898193977</v>
      </c>
      <c r="AP72" s="139">
        <f t="shared" si="188"/>
        <v>25225026.865795508</v>
      </c>
      <c r="AQ72" s="139">
        <f t="shared" si="188"/>
        <v>93132731.548172295</v>
      </c>
      <c r="AR72" s="139">
        <f t="shared" si="188"/>
        <v>79006485.476318568</v>
      </c>
      <c r="AS72" s="139">
        <f t="shared" si="188"/>
        <v>31987995.929171056</v>
      </c>
      <c r="AT72" s="139">
        <f t="shared" si="188"/>
        <v>1641015.5483087897</v>
      </c>
      <c r="AU72" s="142">
        <f t="shared" si="189"/>
        <v>336672695.88953894</v>
      </c>
      <c r="AW72" s="187">
        <f t="shared" si="190"/>
        <v>107061810.19162145</v>
      </c>
      <c r="AX72" s="139">
        <f t="shared" si="190"/>
        <v>425654.97285838198</v>
      </c>
      <c r="AY72" s="139">
        <f t="shared" si="190"/>
        <v>25050390.081242763</v>
      </c>
      <c r="AZ72" s="139">
        <f t="shared" si="190"/>
        <v>93083166.788180023</v>
      </c>
      <c r="BA72" s="139">
        <f t="shared" si="190"/>
        <v>77883548.195220158</v>
      </c>
      <c r="BB72" s="139">
        <f t="shared" si="190"/>
        <v>33367590.586455803</v>
      </c>
      <c r="BC72" s="139">
        <f t="shared" si="190"/>
        <v>1650392.2816685925</v>
      </c>
      <c r="BD72" s="186">
        <f t="shared" si="191"/>
        <v>338522553.09724718</v>
      </c>
      <c r="BF72" s="187">
        <f t="shared" si="192"/>
        <v>96389222</v>
      </c>
      <c r="BG72" s="139">
        <f t="shared" si="192"/>
        <v>425415.37916827603</v>
      </c>
      <c r="BH72" s="139">
        <f t="shared" si="192"/>
        <v>23544329.620831724</v>
      </c>
      <c r="BI72" s="139">
        <f t="shared" si="192"/>
        <v>90697163</v>
      </c>
      <c r="BJ72" s="139">
        <f t="shared" si="192"/>
        <v>69334333</v>
      </c>
      <c r="BK72" s="139">
        <f t="shared" si="192"/>
        <v>28839597</v>
      </c>
      <c r="BL72" s="139">
        <f t="shared" si="192"/>
        <v>1693925</v>
      </c>
      <c r="BM72" s="142">
        <f t="shared" si="193"/>
        <v>310923985</v>
      </c>
      <c r="BO72" s="187">
        <f t="shared" ref="BO72:BU72" si="224">BO27*$BV$62</f>
        <v>127579757</v>
      </c>
      <c r="BP72" s="139">
        <f t="shared" si="224"/>
        <v>425229</v>
      </c>
      <c r="BQ72" s="139">
        <f t="shared" si="224"/>
        <v>26350080</v>
      </c>
      <c r="BR72" s="139">
        <f t="shared" si="224"/>
        <v>96664043.066821158</v>
      </c>
      <c r="BS72" s="139">
        <f t="shared" si="224"/>
        <v>75059455.880931675</v>
      </c>
      <c r="BT72" s="139">
        <f t="shared" si="224"/>
        <v>29466035</v>
      </c>
      <c r="BU72" s="139">
        <f t="shared" si="224"/>
        <v>1748568</v>
      </c>
      <c r="BV72" s="142">
        <f t="shared" si="195"/>
        <v>357293167.94775283</v>
      </c>
      <c r="BX72" s="187">
        <f t="shared" ref="BX72:CD72" si="225">BX27*$CE$62</f>
        <v>126282770</v>
      </c>
      <c r="BY72" s="139">
        <f t="shared" si="225"/>
        <v>455966</v>
      </c>
      <c r="BZ72" s="139">
        <f t="shared" si="225"/>
        <v>28041176.91</v>
      </c>
      <c r="CA72" s="139">
        <f t="shared" si="225"/>
        <v>97909691.757657751</v>
      </c>
      <c r="CB72" s="139">
        <f t="shared" si="225"/>
        <v>72808371.679941967</v>
      </c>
      <c r="CC72" s="139">
        <f t="shared" si="225"/>
        <v>36307706</v>
      </c>
      <c r="CD72" s="139">
        <f t="shared" si="225"/>
        <v>1847052</v>
      </c>
      <c r="CE72" s="142">
        <f t="shared" si="197"/>
        <v>363652734.34759969</v>
      </c>
      <c r="CG72" s="187">
        <f t="shared" ref="CG72:CM72" si="226">CG27*$CE$62</f>
        <v>142433053</v>
      </c>
      <c r="CH72" s="139">
        <f t="shared" si="226"/>
        <v>462823</v>
      </c>
      <c r="CI72" s="139">
        <f t="shared" si="226"/>
        <v>28482800.670000002</v>
      </c>
      <c r="CJ72" s="139">
        <f t="shared" si="226"/>
        <v>99482260</v>
      </c>
      <c r="CK72" s="139">
        <f t="shared" si="226"/>
        <v>76444302.996421665</v>
      </c>
      <c r="CL72" s="139">
        <f t="shared" si="226"/>
        <v>34499484</v>
      </c>
      <c r="CM72" s="139">
        <f t="shared" si="226"/>
        <v>1888059</v>
      </c>
      <c r="CN72" s="142">
        <f t="shared" si="199"/>
        <v>383692782.66642165</v>
      </c>
      <c r="CP72" s="187">
        <f t="shared" ref="CP72:CV72" si="227">CP27*$CE$62</f>
        <v>122057316</v>
      </c>
      <c r="CQ72" s="139">
        <f t="shared" si="227"/>
        <v>473081</v>
      </c>
      <c r="CR72" s="139">
        <f t="shared" si="227"/>
        <v>26973868.010000002</v>
      </c>
      <c r="CS72" s="139">
        <f t="shared" si="227"/>
        <v>95828757.367861629</v>
      </c>
      <c r="CT72" s="139">
        <f t="shared" si="227"/>
        <v>77060913.073456481</v>
      </c>
      <c r="CU72" s="139">
        <f t="shared" si="227"/>
        <v>31977045.813586101</v>
      </c>
      <c r="CV72" s="139">
        <f t="shared" si="227"/>
        <v>1932070.7314716398</v>
      </c>
      <c r="CW72" s="142">
        <f t="shared" si="201"/>
        <v>356303051.99637586</v>
      </c>
      <c r="CY72" s="187">
        <f t="shared" ref="CY72:DE72" si="228">CY27*$CE$62</f>
        <v>0</v>
      </c>
      <c r="CZ72" s="139">
        <f t="shared" si="228"/>
        <v>0</v>
      </c>
      <c r="DA72" s="139">
        <f t="shared" si="228"/>
        <v>0</v>
      </c>
      <c r="DB72" s="139">
        <f t="shared" si="228"/>
        <v>0</v>
      </c>
      <c r="DC72" s="139">
        <f t="shared" si="228"/>
        <v>0</v>
      </c>
      <c r="DD72" s="139">
        <f t="shared" si="228"/>
        <v>0</v>
      </c>
      <c r="DE72" s="139">
        <f t="shared" si="228"/>
        <v>0</v>
      </c>
      <c r="DF72" s="142">
        <f t="shared" si="203"/>
        <v>0</v>
      </c>
    </row>
    <row r="73" spans="1:110">
      <c r="A73" s="243"/>
      <c r="B73" s="199" t="s">
        <v>10</v>
      </c>
      <c r="D73" s="187">
        <f t="shared" si="180"/>
        <v>92505717</v>
      </c>
      <c r="E73" s="139">
        <f t="shared" si="180"/>
        <v>626894.3124758593</v>
      </c>
      <c r="F73" s="139">
        <f t="shared" si="180"/>
        <v>22935140.68752414</v>
      </c>
      <c r="G73" s="139">
        <f t="shared" si="180"/>
        <v>83412431</v>
      </c>
      <c r="H73" s="139">
        <f t="shared" si="180"/>
        <v>67701528</v>
      </c>
      <c r="I73" s="139">
        <f t="shared" si="180"/>
        <v>24908899</v>
      </c>
      <c r="J73" s="139">
        <f t="shared" si="180"/>
        <v>1382361</v>
      </c>
      <c r="K73" s="142">
        <f t="shared" si="181"/>
        <v>293472971</v>
      </c>
      <c r="M73" s="136">
        <f t="shared" si="182"/>
        <v>87422440.945833296</v>
      </c>
      <c r="N73" s="137">
        <f t="shared" si="182"/>
        <v>484803.48954645166</v>
      </c>
      <c r="O73" s="137">
        <f t="shared" si="182"/>
        <v>21702502.225842886</v>
      </c>
      <c r="P73" s="137">
        <f t="shared" si="182"/>
        <v>72323869.749873072</v>
      </c>
      <c r="Q73" s="137">
        <f t="shared" si="182"/>
        <v>81182470.843422696</v>
      </c>
      <c r="R73" s="137">
        <f t="shared" si="182"/>
        <v>26255684.580197155</v>
      </c>
      <c r="S73" s="137">
        <f t="shared" si="182"/>
        <v>1522853.6322269884</v>
      </c>
      <c r="T73" s="138">
        <f t="shared" si="183"/>
        <v>290894625.46694255</v>
      </c>
      <c r="V73" s="187">
        <f t="shared" si="184"/>
        <v>112838134</v>
      </c>
      <c r="W73" s="139">
        <f t="shared" si="184"/>
        <v>460680.92571134283</v>
      </c>
      <c r="X73" s="139">
        <f t="shared" si="184"/>
        <v>25240068.074288659</v>
      </c>
      <c r="Y73" s="139">
        <f t="shared" si="184"/>
        <v>95085316</v>
      </c>
      <c r="Z73" s="139">
        <f t="shared" si="184"/>
        <v>87931959</v>
      </c>
      <c r="AA73" s="139">
        <f t="shared" si="184"/>
        <v>28296971</v>
      </c>
      <c r="AB73" s="139">
        <f t="shared" si="184"/>
        <v>1585446</v>
      </c>
      <c r="AC73" s="142">
        <f t="shared" si="185"/>
        <v>351438575</v>
      </c>
      <c r="AE73" s="187">
        <f t="shared" si="186"/>
        <v>117709184.08314605</v>
      </c>
      <c r="AF73" s="139">
        <f t="shared" si="186"/>
        <v>441237.2200826389</v>
      </c>
      <c r="AG73" s="139">
        <f t="shared" si="186"/>
        <v>24941825.754851975</v>
      </c>
      <c r="AH73" s="139">
        <f t="shared" si="186"/>
        <v>96099149.245717868</v>
      </c>
      <c r="AI73" s="139">
        <f t="shared" si="186"/>
        <v>86520258.718644306</v>
      </c>
      <c r="AJ73" s="139">
        <f t="shared" si="186"/>
        <v>30727074.559856825</v>
      </c>
      <c r="AK73" s="139">
        <f t="shared" si="186"/>
        <v>1704572.3609627783</v>
      </c>
      <c r="AL73" s="142">
        <f t="shared" si="187"/>
        <v>358143301.94326246</v>
      </c>
      <c r="AN73" s="187">
        <f t="shared" si="188"/>
        <v>114216996.21782091</v>
      </c>
      <c r="AO73" s="139">
        <f t="shared" si="188"/>
        <v>420607.02898193977</v>
      </c>
      <c r="AP73" s="139">
        <f t="shared" si="188"/>
        <v>25638509.051323954</v>
      </c>
      <c r="AQ73" s="139">
        <f t="shared" si="188"/>
        <v>95744189.509933576</v>
      </c>
      <c r="AR73" s="139">
        <f t="shared" si="188"/>
        <v>88403081.829111621</v>
      </c>
      <c r="AS73" s="139">
        <f t="shared" si="188"/>
        <v>27313856.744483173</v>
      </c>
      <c r="AT73" s="139">
        <f t="shared" si="188"/>
        <v>1793222.0457705022</v>
      </c>
      <c r="AU73" s="142">
        <f t="shared" si="189"/>
        <v>353530462.42742574</v>
      </c>
      <c r="AW73" s="187">
        <f t="shared" si="190"/>
        <v>112552583.39544295</v>
      </c>
      <c r="AX73" s="139">
        <f t="shared" si="190"/>
        <v>425654.97285838198</v>
      </c>
      <c r="AY73" s="139">
        <f t="shared" si="190"/>
        <v>25675616.932728119</v>
      </c>
      <c r="AZ73" s="139">
        <f t="shared" si="190"/>
        <v>93052794.720298827</v>
      </c>
      <c r="BA73" s="139">
        <f t="shared" si="190"/>
        <v>77384195.077190012</v>
      </c>
      <c r="BB73" s="139">
        <f t="shared" si="190"/>
        <v>35660800.109371878</v>
      </c>
      <c r="BC73" s="139">
        <f t="shared" si="190"/>
        <v>1904148.0492059984</v>
      </c>
      <c r="BD73" s="186">
        <f t="shared" si="191"/>
        <v>346655793.25709617</v>
      </c>
      <c r="BF73" s="187">
        <f t="shared" si="192"/>
        <v>106837454</v>
      </c>
      <c r="BG73" s="139">
        <f t="shared" si="192"/>
        <v>425415.37916827603</v>
      </c>
      <c r="BH73" s="139">
        <f t="shared" si="192"/>
        <v>31531618.620831724</v>
      </c>
      <c r="BI73" s="139">
        <f t="shared" si="192"/>
        <v>92877653</v>
      </c>
      <c r="BJ73" s="139">
        <f t="shared" si="192"/>
        <v>71088497</v>
      </c>
      <c r="BK73" s="139">
        <f t="shared" si="192"/>
        <v>31566349</v>
      </c>
      <c r="BL73" s="139">
        <f t="shared" si="192"/>
        <v>1948305</v>
      </c>
      <c r="BM73" s="142">
        <f t="shared" si="193"/>
        <v>336275292</v>
      </c>
      <c r="BO73" s="187">
        <f t="shared" ref="BO73:BU73" si="229">BO28*$BV$62</f>
        <v>131877335</v>
      </c>
      <c r="BP73" s="139">
        <f t="shared" si="229"/>
        <v>502634</v>
      </c>
      <c r="BQ73" s="139">
        <f t="shared" si="229"/>
        <v>26305304</v>
      </c>
      <c r="BR73" s="139">
        <f t="shared" si="229"/>
        <v>95082362.881421387</v>
      </c>
      <c r="BS73" s="139">
        <f t="shared" si="229"/>
        <v>76746658.934956998</v>
      </c>
      <c r="BT73" s="139">
        <f t="shared" si="229"/>
        <v>34534256</v>
      </c>
      <c r="BU73" s="139">
        <f t="shared" si="229"/>
        <v>2026808</v>
      </c>
      <c r="BV73" s="142">
        <f t="shared" si="195"/>
        <v>367075358.81637836</v>
      </c>
      <c r="BX73" s="187">
        <f t="shared" ref="BX73:CD73" si="230">BX28*$CE$62</f>
        <v>134953089</v>
      </c>
      <c r="BY73" s="139">
        <f t="shared" si="230"/>
        <v>456298</v>
      </c>
      <c r="BZ73" s="139">
        <f t="shared" si="230"/>
        <v>27048503.09</v>
      </c>
      <c r="CA73" s="139">
        <f t="shared" si="230"/>
        <v>98771974.103778154</v>
      </c>
      <c r="CB73" s="139">
        <f t="shared" si="230"/>
        <v>75754977.247253388</v>
      </c>
      <c r="CC73" s="139">
        <f t="shared" si="230"/>
        <v>35503484</v>
      </c>
      <c r="CD73" s="139">
        <f t="shared" si="230"/>
        <v>2161860</v>
      </c>
      <c r="CE73" s="142">
        <f t="shared" si="197"/>
        <v>374650185.44103158</v>
      </c>
      <c r="CG73" s="187">
        <f t="shared" ref="CG73:CM73" si="231">CG28*$CE$62</f>
        <v>137377845</v>
      </c>
      <c r="CH73" s="139">
        <f t="shared" si="231"/>
        <v>463062</v>
      </c>
      <c r="CI73" s="139">
        <f t="shared" si="231"/>
        <v>28627543.469999999</v>
      </c>
      <c r="CJ73" s="139">
        <f t="shared" si="231"/>
        <v>97512224</v>
      </c>
      <c r="CK73" s="139">
        <f t="shared" si="231"/>
        <v>76712155.538413927</v>
      </c>
      <c r="CL73" s="139">
        <f t="shared" si="231"/>
        <v>38023871</v>
      </c>
      <c r="CM73" s="139">
        <f t="shared" si="231"/>
        <v>2179566</v>
      </c>
      <c r="CN73" s="142">
        <f t="shared" si="199"/>
        <v>380896267.00841391</v>
      </c>
      <c r="CP73" s="187">
        <f t="shared" ref="CP73:CV73" si="232">CP28*$CE$62</f>
        <v>119030956</v>
      </c>
      <c r="CQ73" s="139">
        <f t="shared" si="232"/>
        <v>477093</v>
      </c>
      <c r="CR73" s="139">
        <f t="shared" si="232"/>
        <v>28365342.329999998</v>
      </c>
      <c r="CS73" s="139">
        <f t="shared" si="232"/>
        <v>92541875.543530777</v>
      </c>
      <c r="CT73" s="139">
        <f t="shared" si="232"/>
        <v>77779974.521812379</v>
      </c>
      <c r="CU73" s="139">
        <f t="shared" si="232"/>
        <v>34561090.047393367</v>
      </c>
      <c r="CV73" s="139">
        <f t="shared" si="232"/>
        <v>2267254.8072277517</v>
      </c>
      <c r="CW73" s="142">
        <f t="shared" si="201"/>
        <v>355023586.24996424</v>
      </c>
      <c r="CY73" s="187">
        <f t="shared" ref="CY73:DE73" si="233">CY28*$CE$62</f>
        <v>0</v>
      </c>
      <c r="CZ73" s="139">
        <f t="shared" si="233"/>
        <v>0</v>
      </c>
      <c r="DA73" s="139">
        <f t="shared" si="233"/>
        <v>0</v>
      </c>
      <c r="DB73" s="139">
        <f t="shared" si="233"/>
        <v>0</v>
      </c>
      <c r="DC73" s="139">
        <f t="shared" si="233"/>
        <v>0</v>
      </c>
      <c r="DD73" s="139">
        <f t="shared" si="233"/>
        <v>0</v>
      </c>
      <c r="DE73" s="139">
        <f t="shared" si="233"/>
        <v>0</v>
      </c>
      <c r="DF73" s="142">
        <f t="shared" si="203"/>
        <v>0</v>
      </c>
    </row>
    <row r="74" spans="1:110">
      <c r="A74" s="243"/>
      <c r="B74" s="199" t="s">
        <v>11</v>
      </c>
      <c r="D74" s="187">
        <f t="shared" si="180"/>
        <v>78427414</v>
      </c>
      <c r="E74" s="139">
        <f t="shared" si="180"/>
        <v>626894.3124758593</v>
      </c>
      <c r="F74" s="139">
        <f t="shared" si="180"/>
        <v>20985775.68752414</v>
      </c>
      <c r="G74" s="139">
        <f t="shared" si="180"/>
        <v>82575759</v>
      </c>
      <c r="H74" s="139">
        <f t="shared" si="180"/>
        <v>72293429</v>
      </c>
      <c r="I74" s="139">
        <f t="shared" si="180"/>
        <v>16357992</v>
      </c>
      <c r="J74" s="139">
        <f t="shared" si="180"/>
        <v>1426706</v>
      </c>
      <c r="K74" s="142">
        <f t="shared" si="181"/>
        <v>272693970</v>
      </c>
      <c r="M74" s="136">
        <f t="shared" si="182"/>
        <v>81041314.447907194</v>
      </c>
      <c r="N74" s="137">
        <f t="shared" si="182"/>
        <v>484803.48954645166</v>
      </c>
      <c r="O74" s="137">
        <f t="shared" si="182"/>
        <v>22094453.654230088</v>
      </c>
      <c r="P74" s="137">
        <f t="shared" si="182"/>
        <v>86541953.765724093</v>
      </c>
      <c r="Q74" s="137">
        <f t="shared" si="182"/>
        <v>78802147.584773496</v>
      </c>
      <c r="R74" s="137">
        <f t="shared" si="182"/>
        <v>24812635.867676612</v>
      </c>
      <c r="S74" s="137">
        <f t="shared" si="182"/>
        <v>1653444.7735954248</v>
      </c>
      <c r="T74" s="138">
        <f t="shared" si="183"/>
        <v>295430753.58345336</v>
      </c>
      <c r="V74" s="187">
        <f t="shared" si="184"/>
        <v>96349384</v>
      </c>
      <c r="W74" s="139">
        <f t="shared" si="184"/>
        <v>460680.92571134283</v>
      </c>
      <c r="X74" s="139">
        <f t="shared" si="184"/>
        <v>25129040.074288659</v>
      </c>
      <c r="Y74" s="139">
        <f t="shared" si="184"/>
        <v>92220235</v>
      </c>
      <c r="Z74" s="139">
        <f t="shared" si="184"/>
        <v>80458193</v>
      </c>
      <c r="AA74" s="139">
        <f t="shared" si="184"/>
        <v>26483669</v>
      </c>
      <c r="AB74" s="139">
        <f t="shared" si="184"/>
        <v>1735399</v>
      </c>
      <c r="AC74" s="142">
        <f t="shared" si="185"/>
        <v>322836601</v>
      </c>
      <c r="AE74" s="187">
        <f t="shared" si="186"/>
        <v>86607920.078269795</v>
      </c>
      <c r="AF74" s="139">
        <f t="shared" si="186"/>
        <v>441237.2200826389</v>
      </c>
      <c r="AG74" s="139">
        <f t="shared" si="186"/>
        <v>23753485.816322669</v>
      </c>
      <c r="AH74" s="139">
        <f t="shared" si="186"/>
        <v>84139055.236839354</v>
      </c>
      <c r="AI74" s="139">
        <f t="shared" si="186"/>
        <v>79514747.875453874</v>
      </c>
      <c r="AJ74" s="139">
        <f t="shared" si="186"/>
        <v>28545776.057051163</v>
      </c>
      <c r="AK74" s="139">
        <f t="shared" si="186"/>
        <v>1959234.5172924802</v>
      </c>
      <c r="AL74" s="142">
        <f t="shared" si="187"/>
        <v>304961456.80131203</v>
      </c>
      <c r="AN74" s="187">
        <f t="shared" si="188"/>
        <v>103891689.84614338</v>
      </c>
      <c r="AO74" s="139">
        <f t="shared" si="188"/>
        <v>420607.02898193977</v>
      </c>
      <c r="AP74" s="139">
        <f t="shared" si="188"/>
        <v>26519148.071371425</v>
      </c>
      <c r="AQ74" s="139">
        <f t="shared" si="188"/>
        <v>88944043.055883437</v>
      </c>
      <c r="AR74" s="139">
        <f t="shared" si="188"/>
        <v>79588558.136426181</v>
      </c>
      <c r="AS74" s="139">
        <f t="shared" si="188"/>
        <v>31047407.651868619</v>
      </c>
      <c r="AT74" s="139">
        <f t="shared" si="188"/>
        <v>2004250.8708435216</v>
      </c>
      <c r="AU74" s="142">
        <f t="shared" si="189"/>
        <v>332415704.66151851</v>
      </c>
      <c r="AW74" s="187">
        <f t="shared" si="190"/>
        <v>92206481.614131615</v>
      </c>
      <c r="AX74" s="139">
        <f t="shared" si="190"/>
        <v>425654.97285838198</v>
      </c>
      <c r="AY74" s="139">
        <f t="shared" si="190"/>
        <v>22972735.875888456</v>
      </c>
      <c r="AZ74" s="139">
        <f t="shared" si="190"/>
        <v>93296912.097216249</v>
      </c>
      <c r="BA74" s="139">
        <f t="shared" si="190"/>
        <v>75541181.475421518</v>
      </c>
      <c r="BB74" s="139">
        <f t="shared" si="190"/>
        <v>34148386.516658761</v>
      </c>
      <c r="BC74" s="139">
        <f t="shared" si="190"/>
        <v>2160999.2191026206</v>
      </c>
      <c r="BD74" s="186">
        <f t="shared" si="191"/>
        <v>320752351.77127767</v>
      </c>
      <c r="BF74" s="187">
        <f t="shared" si="192"/>
        <v>92707816</v>
      </c>
      <c r="BG74" s="139">
        <f t="shared" si="192"/>
        <v>425415.37916827603</v>
      </c>
      <c r="BH74" s="139">
        <f t="shared" si="192"/>
        <v>15670550.620831724</v>
      </c>
      <c r="BI74" s="139">
        <f t="shared" si="192"/>
        <v>89536165</v>
      </c>
      <c r="BJ74" s="139">
        <f t="shared" si="192"/>
        <v>69913251</v>
      </c>
      <c r="BK74" s="139">
        <f t="shared" si="192"/>
        <v>30593880</v>
      </c>
      <c r="BL74" s="139">
        <f t="shared" si="192"/>
        <v>2214309</v>
      </c>
      <c r="BM74" s="142">
        <f t="shared" si="193"/>
        <v>301061387</v>
      </c>
      <c r="BO74" s="187">
        <f t="shared" ref="BO74:BU74" si="234">BO29*$BV$62</f>
        <v>107540445</v>
      </c>
      <c r="BP74" s="139">
        <f t="shared" si="234"/>
        <v>430238</v>
      </c>
      <c r="BQ74" s="139">
        <f t="shared" si="234"/>
        <v>24688298</v>
      </c>
      <c r="BR74" s="139">
        <f t="shared" si="234"/>
        <v>90387831.20896098</v>
      </c>
      <c r="BS74" s="139">
        <f t="shared" si="234"/>
        <v>71139293.515028507</v>
      </c>
      <c r="BT74" s="139">
        <f t="shared" si="234"/>
        <v>32288454</v>
      </c>
      <c r="BU74" s="139">
        <f t="shared" si="234"/>
        <v>2277314</v>
      </c>
      <c r="BV74" s="142">
        <f t="shared" si="195"/>
        <v>328751873.72398949</v>
      </c>
      <c r="BX74" s="187">
        <f t="shared" ref="BX74:CD74" si="235">BX29*$CE$62</f>
        <v>108295548</v>
      </c>
      <c r="BY74" s="139">
        <f t="shared" si="235"/>
        <v>458004</v>
      </c>
      <c r="BZ74" s="139">
        <f t="shared" si="235"/>
        <v>26797916.920000002</v>
      </c>
      <c r="CA74" s="139">
        <f t="shared" si="235"/>
        <v>90719701.420427099</v>
      </c>
      <c r="CB74" s="139">
        <f t="shared" si="235"/>
        <v>70765463.198065758</v>
      </c>
      <c r="CC74" s="139">
        <f t="shared" si="235"/>
        <v>31157185</v>
      </c>
      <c r="CD74" s="139">
        <f t="shared" si="235"/>
        <v>2451732</v>
      </c>
      <c r="CE74" s="142">
        <f t="shared" si="197"/>
        <v>330645550.53849286</v>
      </c>
      <c r="CG74" s="187">
        <f t="shared" ref="CG74:CM74" si="236">CG29*$CE$62</f>
        <v>114162573</v>
      </c>
      <c r="CH74" s="139">
        <f t="shared" si="236"/>
        <v>464462</v>
      </c>
      <c r="CI74" s="139">
        <f t="shared" si="236"/>
        <v>26875181.140000001</v>
      </c>
      <c r="CJ74" s="139">
        <f t="shared" si="236"/>
        <v>89049272</v>
      </c>
      <c r="CK74" s="139">
        <f t="shared" si="236"/>
        <v>70931178.001450673</v>
      </c>
      <c r="CL74" s="139">
        <f t="shared" si="236"/>
        <v>34665189</v>
      </c>
      <c r="CM74" s="139">
        <f t="shared" si="236"/>
        <v>2447318</v>
      </c>
      <c r="CN74" s="142">
        <f t="shared" si="199"/>
        <v>338595173.14145064</v>
      </c>
      <c r="CP74" s="187">
        <f t="shared" ref="CP74:CV74" si="237">CP29*$CE$62</f>
        <v>116482226</v>
      </c>
      <c r="CQ74" s="139">
        <f t="shared" si="237"/>
        <v>478538</v>
      </c>
      <c r="CR74" s="139">
        <f t="shared" si="237"/>
        <v>27546565.52</v>
      </c>
      <c r="CS74" s="139">
        <f t="shared" si="237"/>
        <v>86133161.658131227</v>
      </c>
      <c r="CT74" s="139">
        <f t="shared" si="237"/>
        <v>68591771.760154739</v>
      </c>
      <c r="CU74" s="139">
        <f t="shared" si="237"/>
        <v>31789662.322274882</v>
      </c>
      <c r="CV74" s="139">
        <f t="shared" si="237"/>
        <v>2548699.3912455309</v>
      </c>
      <c r="CW74" s="142">
        <f t="shared" si="201"/>
        <v>333570624.65180635</v>
      </c>
      <c r="CY74" s="187">
        <f t="shared" ref="CY74:DE74" si="238">CY29*$CE$62</f>
        <v>0</v>
      </c>
      <c r="CZ74" s="139">
        <f t="shared" si="238"/>
        <v>0</v>
      </c>
      <c r="DA74" s="139">
        <f t="shared" si="238"/>
        <v>0</v>
      </c>
      <c r="DB74" s="139">
        <f t="shared" si="238"/>
        <v>0</v>
      </c>
      <c r="DC74" s="139">
        <f t="shared" si="238"/>
        <v>0</v>
      </c>
      <c r="DD74" s="139">
        <f t="shared" si="238"/>
        <v>0</v>
      </c>
      <c r="DE74" s="139">
        <f t="shared" si="238"/>
        <v>0</v>
      </c>
      <c r="DF74" s="142">
        <f t="shared" si="203"/>
        <v>0</v>
      </c>
    </row>
    <row r="75" spans="1:110">
      <c r="A75" s="243"/>
      <c r="B75" s="199" t="s">
        <v>23</v>
      </c>
      <c r="D75" s="187">
        <f t="shared" si="180"/>
        <v>65785373</v>
      </c>
      <c r="E75" s="139">
        <f t="shared" si="180"/>
        <v>626894.3124758593</v>
      </c>
      <c r="F75" s="139">
        <f t="shared" si="180"/>
        <v>18551751.68752414</v>
      </c>
      <c r="G75" s="139">
        <f t="shared" si="180"/>
        <v>80094441</v>
      </c>
      <c r="H75" s="139">
        <f t="shared" si="180"/>
        <v>73731928</v>
      </c>
      <c r="I75" s="139">
        <f t="shared" si="180"/>
        <v>18989015</v>
      </c>
      <c r="J75" s="139">
        <f t="shared" si="180"/>
        <v>1739816</v>
      </c>
      <c r="K75" s="142">
        <f t="shared" si="181"/>
        <v>259519219</v>
      </c>
      <c r="M75" s="136">
        <f t="shared" si="182"/>
        <v>70172958.009715363</v>
      </c>
      <c r="N75" s="137">
        <f t="shared" si="182"/>
        <v>484803.48954645166</v>
      </c>
      <c r="O75" s="137">
        <f t="shared" si="182"/>
        <v>20496344.211725429</v>
      </c>
      <c r="P75" s="137">
        <f t="shared" si="182"/>
        <v>81302932.741132289</v>
      </c>
      <c r="Q75" s="137">
        <f t="shared" si="182"/>
        <v>77944387.951375157</v>
      </c>
      <c r="R75" s="137">
        <f t="shared" si="182"/>
        <v>24236905.018477514</v>
      </c>
      <c r="S75" s="137">
        <f t="shared" si="182"/>
        <v>1990408.8792631952</v>
      </c>
      <c r="T75" s="138">
        <f t="shared" si="183"/>
        <v>276628740.30123544</v>
      </c>
      <c r="V75" s="187">
        <f t="shared" si="184"/>
        <v>75430792</v>
      </c>
      <c r="W75" s="139">
        <f t="shared" si="184"/>
        <v>460680.92571134283</v>
      </c>
      <c r="X75" s="139">
        <f t="shared" si="184"/>
        <v>22187363.074288659</v>
      </c>
      <c r="Y75" s="139">
        <f t="shared" si="184"/>
        <v>85901855</v>
      </c>
      <c r="Z75" s="139">
        <f t="shared" si="184"/>
        <v>84066210</v>
      </c>
      <c r="AA75" s="139">
        <f t="shared" si="184"/>
        <v>26468231</v>
      </c>
      <c r="AB75" s="139">
        <f t="shared" si="184"/>
        <v>2147735</v>
      </c>
      <c r="AC75" s="142">
        <f t="shared" si="185"/>
        <v>296662867</v>
      </c>
      <c r="AE75" s="187">
        <f t="shared" si="186"/>
        <v>67558809.860129923</v>
      </c>
      <c r="AF75" s="139">
        <f t="shared" si="186"/>
        <v>441237.2200826389</v>
      </c>
      <c r="AG75" s="139">
        <f t="shared" si="186"/>
        <v>20343435.976030339</v>
      </c>
      <c r="AH75" s="139">
        <f t="shared" si="186"/>
        <v>92550026.130314782</v>
      </c>
      <c r="AI75" s="139">
        <f t="shared" si="186"/>
        <v>79385481.8708134</v>
      </c>
      <c r="AJ75" s="139">
        <f t="shared" si="186"/>
        <v>27003714.668534145</v>
      </c>
      <c r="AK75" s="139">
        <f t="shared" si="186"/>
        <v>2320050.8632814344</v>
      </c>
      <c r="AL75" s="142">
        <f t="shared" si="187"/>
        <v>289602756.58918667</v>
      </c>
      <c r="AN75" s="187">
        <f t="shared" si="188"/>
        <v>73007108.028751269</v>
      </c>
      <c r="AO75" s="139">
        <f t="shared" si="188"/>
        <v>420607.02898193977</v>
      </c>
      <c r="AP75" s="139">
        <f t="shared" si="188"/>
        <v>21442803.997092273</v>
      </c>
      <c r="AQ75" s="139">
        <f t="shared" si="188"/>
        <v>91831258.801566929</v>
      </c>
      <c r="AR75" s="139">
        <f t="shared" si="188"/>
        <v>81578085.926459357</v>
      </c>
      <c r="AS75" s="139">
        <f t="shared" si="188"/>
        <v>31276234.365785919</v>
      </c>
      <c r="AT75" s="139">
        <f t="shared" si="188"/>
        <v>2476296.4001521221</v>
      </c>
      <c r="AU75" s="142">
        <f t="shared" si="189"/>
        <v>302032394.5487898</v>
      </c>
      <c r="AW75" s="187">
        <f t="shared" si="190"/>
        <v>76286958.722402751</v>
      </c>
      <c r="AX75" s="139">
        <f t="shared" si="190"/>
        <v>425654.97285838198</v>
      </c>
      <c r="AY75" s="139">
        <f t="shared" si="190"/>
        <v>21970587.655602038</v>
      </c>
      <c r="AZ75" s="139">
        <f t="shared" si="190"/>
        <v>88817653.171956003</v>
      </c>
      <c r="BA75" s="139">
        <f t="shared" si="190"/>
        <v>73268998.614365965</v>
      </c>
      <c r="BB75" s="139">
        <f t="shared" si="190"/>
        <v>32411745.388508521</v>
      </c>
      <c r="BC75" s="139">
        <f t="shared" si="190"/>
        <v>2568755.5183416819</v>
      </c>
      <c r="BD75" s="186">
        <f t="shared" si="191"/>
        <v>295750354.04403532</v>
      </c>
      <c r="BF75" s="187">
        <f t="shared" si="192"/>
        <v>80822498</v>
      </c>
      <c r="BG75" s="139">
        <f t="shared" si="192"/>
        <v>425415.37916827603</v>
      </c>
      <c r="BH75" s="139">
        <f t="shared" si="192"/>
        <v>22596227.620831724</v>
      </c>
      <c r="BI75" s="139">
        <f t="shared" si="192"/>
        <v>87178137</v>
      </c>
      <c r="BJ75" s="139">
        <f t="shared" si="192"/>
        <v>68128434</v>
      </c>
      <c r="BK75" s="139">
        <f t="shared" si="192"/>
        <v>30638512</v>
      </c>
      <c r="BL75" s="139">
        <f t="shared" si="192"/>
        <v>2651495</v>
      </c>
      <c r="BM75" s="142">
        <f t="shared" si="193"/>
        <v>292440719</v>
      </c>
      <c r="BO75" s="187">
        <f t="shared" ref="BO75:BU75" si="239">BO30*$BV$62</f>
        <v>79050229</v>
      </c>
      <c r="BP75" s="139">
        <f t="shared" si="239"/>
        <v>435679.79915025103</v>
      </c>
      <c r="BQ75" s="139">
        <f t="shared" si="239"/>
        <v>22143774</v>
      </c>
      <c r="BR75" s="139">
        <f t="shared" si="239"/>
        <v>84353702.201622248</v>
      </c>
      <c r="BS75" s="139">
        <f t="shared" si="239"/>
        <v>69738380.20682323</v>
      </c>
      <c r="BT75" s="139">
        <f t="shared" si="239"/>
        <v>30499344</v>
      </c>
      <c r="BU75" s="139">
        <f t="shared" si="239"/>
        <v>2708722</v>
      </c>
      <c r="BV75" s="142">
        <f t="shared" si="195"/>
        <v>288929831.20759571</v>
      </c>
      <c r="BX75" s="187">
        <f t="shared" ref="BX75:CD75" si="240">BX30*$CE$62</f>
        <v>81834176</v>
      </c>
      <c r="BY75" s="139">
        <f t="shared" si="240"/>
        <v>458055</v>
      </c>
      <c r="BZ75" s="139">
        <f t="shared" si="240"/>
        <v>23239039.280000001</v>
      </c>
      <c r="CA75" s="139">
        <f t="shared" si="240"/>
        <v>85485129.964247763</v>
      </c>
      <c r="CB75" s="139">
        <f t="shared" si="240"/>
        <v>69932165.135783374</v>
      </c>
      <c r="CC75" s="139">
        <f t="shared" si="240"/>
        <v>33070596</v>
      </c>
      <c r="CD75" s="139">
        <f t="shared" si="240"/>
        <v>2795032</v>
      </c>
      <c r="CE75" s="142">
        <f t="shared" si="197"/>
        <v>296814193.38003111</v>
      </c>
      <c r="CG75" s="187">
        <f t="shared" ref="CG75:CM75" si="241">CG30*$CE$62</f>
        <v>76320166</v>
      </c>
      <c r="CH75" s="139">
        <f t="shared" si="241"/>
        <v>464790</v>
      </c>
      <c r="CI75" s="139">
        <f t="shared" si="241"/>
        <v>22872946.32</v>
      </c>
      <c r="CJ75" s="139">
        <f t="shared" si="241"/>
        <v>87881296</v>
      </c>
      <c r="CK75" s="139">
        <f t="shared" si="241"/>
        <v>72778527.970193416</v>
      </c>
      <c r="CL75" s="139">
        <f t="shared" si="241"/>
        <v>34353225</v>
      </c>
      <c r="CM75" s="139">
        <f t="shared" si="241"/>
        <v>2807753</v>
      </c>
      <c r="CN75" s="142">
        <f t="shared" si="199"/>
        <v>297478704.29019344</v>
      </c>
      <c r="CP75" s="187">
        <f t="shared" ref="CP75:CV75" si="242">CP30*$CE$62</f>
        <v>78314574</v>
      </c>
      <c r="CQ75" s="139">
        <f t="shared" si="242"/>
        <v>478539</v>
      </c>
      <c r="CR75" s="139">
        <f t="shared" si="242"/>
        <v>23790046.949999999</v>
      </c>
      <c r="CS75" s="139">
        <f t="shared" si="242"/>
        <v>90470727.606532037</v>
      </c>
      <c r="CT75" s="139">
        <f t="shared" si="242"/>
        <v>75581005.977079302</v>
      </c>
      <c r="CU75" s="139">
        <f t="shared" si="242"/>
        <v>31840210.308056876</v>
      </c>
      <c r="CV75" s="139">
        <f t="shared" si="242"/>
        <v>2994402.3577157217</v>
      </c>
      <c r="CW75" s="142">
        <f t="shared" si="201"/>
        <v>303469506.19938391</v>
      </c>
      <c r="CY75" s="187">
        <f t="shared" ref="CY75:DE75" si="243">CY30*$CE$62</f>
        <v>0</v>
      </c>
      <c r="CZ75" s="139">
        <f t="shared" si="243"/>
        <v>0</v>
      </c>
      <c r="DA75" s="139">
        <f t="shared" si="243"/>
        <v>0</v>
      </c>
      <c r="DB75" s="139">
        <f t="shared" si="243"/>
        <v>0</v>
      </c>
      <c r="DC75" s="139">
        <f t="shared" si="243"/>
        <v>0</v>
      </c>
      <c r="DD75" s="139">
        <f t="shared" si="243"/>
        <v>0</v>
      </c>
      <c r="DE75" s="139">
        <f t="shared" si="243"/>
        <v>0</v>
      </c>
      <c r="DF75" s="142">
        <f t="shared" si="203"/>
        <v>0</v>
      </c>
    </row>
    <row r="76" spans="1:110">
      <c r="A76" s="243"/>
      <c r="B76" s="199" t="s">
        <v>12</v>
      </c>
      <c r="D76" s="187">
        <f t="shared" si="180"/>
        <v>67288556</v>
      </c>
      <c r="E76" s="139">
        <f t="shared" si="180"/>
        <v>626894.3124758593</v>
      </c>
      <c r="F76" s="139">
        <f t="shared" si="180"/>
        <v>19615384.68752414</v>
      </c>
      <c r="G76" s="139">
        <f t="shared" si="180"/>
        <v>77560779</v>
      </c>
      <c r="H76" s="139">
        <f t="shared" si="180"/>
        <v>72072312</v>
      </c>
      <c r="I76" s="139">
        <f t="shared" si="180"/>
        <v>22055175</v>
      </c>
      <c r="J76" s="139">
        <f t="shared" si="180"/>
        <v>1918897</v>
      </c>
      <c r="K76" s="142">
        <f t="shared" si="181"/>
        <v>261137998</v>
      </c>
      <c r="M76" s="136">
        <f t="shared" si="182"/>
        <v>66697051.396820895</v>
      </c>
      <c r="N76" s="137">
        <f t="shared" si="182"/>
        <v>484803.48954645166</v>
      </c>
      <c r="O76" s="137">
        <f t="shared" si="182"/>
        <v>19326591.073326845</v>
      </c>
      <c r="P76" s="137">
        <f t="shared" si="182"/>
        <v>87516368.205252469</v>
      </c>
      <c r="Q76" s="137">
        <f t="shared" si="182"/>
        <v>77098967.614798486</v>
      </c>
      <c r="R76" s="137">
        <f t="shared" si="182"/>
        <v>24232444.911189683</v>
      </c>
      <c r="S76" s="137">
        <f t="shared" si="182"/>
        <v>2098851.4878489245</v>
      </c>
      <c r="T76" s="138">
        <f t="shared" si="183"/>
        <v>277455078.17878377</v>
      </c>
      <c r="V76" s="187">
        <f t="shared" si="184"/>
        <v>72376973</v>
      </c>
      <c r="W76" s="139">
        <f t="shared" si="184"/>
        <v>460680.92571134283</v>
      </c>
      <c r="X76" s="139">
        <f t="shared" si="184"/>
        <v>21544106.074288659</v>
      </c>
      <c r="Y76" s="139">
        <f t="shared" si="184"/>
        <v>94121175</v>
      </c>
      <c r="Z76" s="139">
        <f t="shared" si="184"/>
        <v>82152106</v>
      </c>
      <c r="AA76" s="139">
        <f t="shared" si="184"/>
        <v>25672569</v>
      </c>
      <c r="AB76" s="139">
        <f t="shared" si="184"/>
        <v>2296094</v>
      </c>
      <c r="AC76" s="142">
        <f t="shared" si="185"/>
        <v>298623704</v>
      </c>
      <c r="AE76" s="187">
        <f t="shared" si="186"/>
        <v>77795335.94486855</v>
      </c>
      <c r="AF76" s="139">
        <f t="shared" si="186"/>
        <v>441237.2200826389</v>
      </c>
      <c r="AG76" s="139">
        <f t="shared" si="186"/>
        <v>22286616.813223664</v>
      </c>
      <c r="AH76" s="139">
        <f t="shared" si="186"/>
        <v>89930687.099109784</v>
      </c>
      <c r="AI76" s="139">
        <f t="shared" si="186"/>
        <v>77636544.800266042</v>
      </c>
      <c r="AJ76" s="139">
        <f t="shared" si="186"/>
        <v>26317949.899892021</v>
      </c>
      <c r="AK76" s="139">
        <f t="shared" si="186"/>
        <v>2491477.8974433634</v>
      </c>
      <c r="AL76" s="142">
        <f t="shared" si="187"/>
        <v>296899849.67488605</v>
      </c>
      <c r="AN76" s="187">
        <f t="shared" si="188"/>
        <v>80052239.187944874</v>
      </c>
      <c r="AO76" s="139">
        <f t="shared" si="188"/>
        <v>420607.02898193977</v>
      </c>
      <c r="AP76" s="139">
        <f t="shared" si="188"/>
        <v>23927701.860238861</v>
      </c>
      <c r="AQ76" s="139">
        <f t="shared" si="188"/>
        <v>92467921.053543523</v>
      </c>
      <c r="AR76" s="139">
        <f t="shared" si="188"/>
        <v>77468830.475016162</v>
      </c>
      <c r="AS76" s="139">
        <f t="shared" si="188"/>
        <v>30161600.954448979</v>
      </c>
      <c r="AT76" s="139">
        <f t="shared" si="188"/>
        <v>2655570.2077506869</v>
      </c>
      <c r="AU76" s="142">
        <f t="shared" si="189"/>
        <v>307154470.76792502</v>
      </c>
      <c r="AW76" s="187">
        <f t="shared" si="190"/>
        <v>87233019.878883302</v>
      </c>
      <c r="AX76" s="139">
        <f t="shared" si="190"/>
        <v>425654.97285838198</v>
      </c>
      <c r="AY76" s="139">
        <f t="shared" si="190"/>
        <v>23609483.677013464</v>
      </c>
      <c r="AZ76" s="139">
        <f t="shared" si="190"/>
        <v>89192575.12863332</v>
      </c>
      <c r="BA76" s="139">
        <f t="shared" si="190"/>
        <v>69077843.887425318</v>
      </c>
      <c r="BB76" s="139">
        <f t="shared" si="190"/>
        <v>30542238.754684027</v>
      </c>
      <c r="BC76" s="139">
        <f t="shared" si="190"/>
        <v>2741415.7575552808</v>
      </c>
      <c r="BD76" s="186">
        <f t="shared" si="191"/>
        <v>302822232.05705315</v>
      </c>
      <c r="BF76" s="187">
        <f t="shared" si="192"/>
        <v>84768126</v>
      </c>
      <c r="BG76" s="139">
        <f t="shared" si="192"/>
        <v>425415.37916827603</v>
      </c>
      <c r="BH76" s="139">
        <f t="shared" si="192"/>
        <v>23204693.620831724</v>
      </c>
      <c r="BI76" s="139">
        <f t="shared" si="192"/>
        <v>88350312</v>
      </c>
      <c r="BJ76" s="139">
        <f t="shared" si="192"/>
        <v>66028714</v>
      </c>
      <c r="BK76" s="139">
        <f t="shared" si="192"/>
        <v>27681172</v>
      </c>
      <c r="BL76" s="139">
        <f t="shared" si="192"/>
        <v>2835538</v>
      </c>
      <c r="BM76" s="142">
        <f t="shared" si="193"/>
        <v>293293971</v>
      </c>
      <c r="BO76" s="187">
        <f t="shared" ref="BO76:BU76" si="244">BO31*$BV$62</f>
        <v>80160150</v>
      </c>
      <c r="BP76" s="139">
        <f t="shared" si="244"/>
        <v>385242.37157203548</v>
      </c>
      <c r="BQ76" s="139">
        <f t="shared" si="244"/>
        <v>21950217</v>
      </c>
      <c r="BR76" s="139">
        <f t="shared" si="244"/>
        <v>89227906.527616829</v>
      </c>
      <c r="BS76" s="139">
        <f t="shared" si="244"/>
        <v>68916700.492896497</v>
      </c>
      <c r="BT76" s="139">
        <f t="shared" si="244"/>
        <v>27374184</v>
      </c>
      <c r="BU76" s="139">
        <f t="shared" si="244"/>
        <v>2906955</v>
      </c>
      <c r="BV76" s="142">
        <f t="shared" si="195"/>
        <v>290921355.39208537</v>
      </c>
      <c r="BX76" s="187">
        <f t="shared" ref="BX76:CD76" si="245">BX31*$CE$62</f>
        <v>82045355</v>
      </c>
      <c r="BY76" s="139">
        <f t="shared" si="245"/>
        <v>456302</v>
      </c>
      <c r="BZ76" s="139">
        <f t="shared" si="245"/>
        <v>23866429.850000001</v>
      </c>
      <c r="CA76" s="139">
        <f t="shared" si="245"/>
        <v>89667256.739781633</v>
      </c>
      <c r="CB76" s="139">
        <f t="shared" si="245"/>
        <v>70053034.082475826</v>
      </c>
      <c r="CC76" s="139">
        <f t="shared" si="245"/>
        <v>31685303</v>
      </c>
      <c r="CD76" s="139">
        <f t="shared" si="245"/>
        <v>3062894</v>
      </c>
      <c r="CE76" s="142">
        <f t="shared" si="197"/>
        <v>300836574.67225748</v>
      </c>
      <c r="CG76" s="187">
        <f t="shared" ref="CG76:CM76" si="246">CG31*$CE$62</f>
        <v>87575241</v>
      </c>
      <c r="CH76" s="139">
        <f t="shared" si="246"/>
        <v>469316</v>
      </c>
      <c r="CI76" s="139">
        <f t="shared" si="246"/>
        <v>25053073.82</v>
      </c>
      <c r="CJ76" s="139">
        <f t="shared" si="246"/>
        <v>91665711</v>
      </c>
      <c r="CK76" s="139">
        <f t="shared" si="246"/>
        <v>71534296.12613152</v>
      </c>
      <c r="CL76" s="139">
        <f t="shared" si="246"/>
        <v>32420951</v>
      </c>
      <c r="CM76" s="139">
        <f t="shared" si="246"/>
        <v>3073655</v>
      </c>
      <c r="CN76" s="142">
        <f t="shared" si="199"/>
        <v>311792243.94613153</v>
      </c>
      <c r="CP76" s="187">
        <f t="shared" ref="CP76:CV76" si="247">CP31*$CE$62</f>
        <v>92379298</v>
      </c>
      <c r="CQ76" s="139">
        <f t="shared" si="247"/>
        <v>476260</v>
      </c>
      <c r="CR76" s="139">
        <f t="shared" si="247"/>
        <v>26198663.789999999</v>
      </c>
      <c r="CS76" s="139">
        <f t="shared" si="247"/>
        <v>87796589.042419568</v>
      </c>
      <c r="CT76" s="139">
        <f t="shared" si="247"/>
        <v>73638920.685667306</v>
      </c>
      <c r="CU76" s="139">
        <f t="shared" si="247"/>
        <v>31414357.227488153</v>
      </c>
      <c r="CV76" s="139">
        <f t="shared" si="247"/>
        <v>3206493.3810029957</v>
      </c>
      <c r="CW76" s="142">
        <f t="shared" si="201"/>
        <v>315110582.12657809</v>
      </c>
      <c r="CY76" s="187">
        <f t="shared" ref="CY76:DE76" si="248">CY31*$CE$62</f>
        <v>0</v>
      </c>
      <c r="CZ76" s="139">
        <f t="shared" si="248"/>
        <v>0</v>
      </c>
      <c r="DA76" s="139">
        <f t="shared" si="248"/>
        <v>0</v>
      </c>
      <c r="DB76" s="139">
        <f t="shared" si="248"/>
        <v>0</v>
      </c>
      <c r="DC76" s="139">
        <f t="shared" si="248"/>
        <v>0</v>
      </c>
      <c r="DD76" s="139">
        <f t="shared" si="248"/>
        <v>0</v>
      </c>
      <c r="DE76" s="139">
        <f t="shared" si="248"/>
        <v>0</v>
      </c>
      <c r="DF76" s="142">
        <f t="shared" si="203"/>
        <v>0</v>
      </c>
    </row>
    <row r="77" spans="1:110" ht="13.8" thickBot="1">
      <c r="A77" s="243"/>
      <c r="B77" s="152" t="s">
        <v>13</v>
      </c>
      <c r="D77" s="187">
        <f t="shared" si="180"/>
        <v>77572801</v>
      </c>
      <c r="E77" s="139">
        <f t="shared" si="180"/>
        <v>626894.3124758593</v>
      </c>
      <c r="F77" s="139">
        <f t="shared" si="180"/>
        <v>22202954.68752414</v>
      </c>
      <c r="G77" s="139">
        <f t="shared" si="180"/>
        <v>71302549</v>
      </c>
      <c r="H77" s="139">
        <f t="shared" si="180"/>
        <v>67861111</v>
      </c>
      <c r="I77" s="139">
        <f t="shared" si="180"/>
        <v>21523662</v>
      </c>
      <c r="J77" s="139">
        <f t="shared" si="180"/>
        <v>2022585</v>
      </c>
      <c r="K77" s="142">
        <f t="shared" si="181"/>
        <v>263112557</v>
      </c>
      <c r="M77" s="136">
        <f t="shared" si="182"/>
        <v>83125205.575884834</v>
      </c>
      <c r="N77" s="137">
        <f t="shared" si="182"/>
        <v>484803.48954645166</v>
      </c>
      <c r="O77" s="137">
        <f t="shared" si="182"/>
        <v>23059906.878196526</v>
      </c>
      <c r="P77" s="137">
        <f t="shared" si="182"/>
        <v>90347619.310965955</v>
      </c>
      <c r="Q77" s="137">
        <f t="shared" si="182"/>
        <v>70508590.083341107</v>
      </c>
      <c r="R77" s="137">
        <f t="shared" si="182"/>
        <v>22764333.595788509</v>
      </c>
      <c r="S77" s="137">
        <f t="shared" si="182"/>
        <v>2272058.6543453657</v>
      </c>
      <c r="T77" s="138">
        <f t="shared" si="183"/>
        <v>292562517.58806872</v>
      </c>
      <c r="V77" s="187">
        <f t="shared" si="184"/>
        <v>83759829</v>
      </c>
      <c r="W77" s="139">
        <f t="shared" si="184"/>
        <v>460680.92571134283</v>
      </c>
      <c r="X77" s="139">
        <f t="shared" si="184"/>
        <v>23959908.074288659</v>
      </c>
      <c r="Y77" s="139">
        <f t="shared" si="184"/>
        <v>90803584</v>
      </c>
      <c r="Z77" s="139">
        <f t="shared" si="184"/>
        <v>72679213</v>
      </c>
      <c r="AA77" s="139">
        <f t="shared" si="184"/>
        <v>24055634</v>
      </c>
      <c r="AB77" s="139">
        <f t="shared" si="184"/>
        <v>2475807</v>
      </c>
      <c r="AC77" s="142">
        <f t="shared" si="185"/>
        <v>298194656</v>
      </c>
      <c r="AE77" s="187">
        <f t="shared" si="186"/>
        <v>87402188.767567232</v>
      </c>
      <c r="AF77" s="139">
        <f t="shared" si="186"/>
        <v>441237.2200826389</v>
      </c>
      <c r="AG77" s="139">
        <f t="shared" si="186"/>
        <v>24548690.423843496</v>
      </c>
      <c r="AH77" s="139">
        <f t="shared" si="186"/>
        <v>88518984.61337094</v>
      </c>
      <c r="AI77" s="139">
        <f t="shared" si="186"/>
        <v>71280858.273687348</v>
      </c>
      <c r="AJ77" s="139">
        <f t="shared" si="186"/>
        <v>25303578.480466697</v>
      </c>
      <c r="AK77" s="139">
        <f t="shared" si="186"/>
        <v>2681665.0249109152</v>
      </c>
      <c r="AL77" s="142">
        <f t="shared" si="187"/>
        <v>300177202.80392933</v>
      </c>
      <c r="AN77" s="187">
        <f t="shared" si="188"/>
        <v>99056671.7054317</v>
      </c>
      <c r="AO77" s="139">
        <f t="shared" si="188"/>
        <v>420607.02898193977</v>
      </c>
      <c r="AP77" s="139">
        <f t="shared" si="188"/>
        <v>27170321.417393073</v>
      </c>
      <c r="AQ77" s="139">
        <f t="shared" si="188"/>
        <v>94058515.749721065</v>
      </c>
      <c r="AR77" s="139">
        <f t="shared" si="188"/>
        <v>64191071.430519357</v>
      </c>
      <c r="AS77" s="139">
        <f t="shared" si="188"/>
        <v>32156310.420980342</v>
      </c>
      <c r="AT77" s="139">
        <f t="shared" si="188"/>
        <v>2877555.3488002657</v>
      </c>
      <c r="AU77" s="142">
        <f t="shared" si="189"/>
        <v>319931053.10182768</v>
      </c>
      <c r="AW77" s="187">
        <f t="shared" si="190"/>
        <v>89249917.833602265</v>
      </c>
      <c r="AX77" s="139">
        <f t="shared" si="190"/>
        <v>425654.97285838198</v>
      </c>
      <c r="AY77" s="139">
        <f t="shared" si="190"/>
        <v>23908076.927685875</v>
      </c>
      <c r="AZ77" s="139">
        <f t="shared" si="190"/>
        <v>94436010.131688729</v>
      </c>
      <c r="BA77" s="139">
        <f t="shared" si="190"/>
        <v>61827126.242716864</v>
      </c>
      <c r="BB77" s="139">
        <f t="shared" si="190"/>
        <v>27827707.344231777</v>
      </c>
      <c r="BC77" s="139">
        <f t="shared" si="190"/>
        <v>2955306.5555192586</v>
      </c>
      <c r="BD77" s="186">
        <f t="shared" si="191"/>
        <v>300629800.00830317</v>
      </c>
      <c r="BF77" s="187">
        <f t="shared" si="192"/>
        <v>87819963</v>
      </c>
      <c r="BG77" s="139">
        <f t="shared" si="192"/>
        <v>425415.37916827603</v>
      </c>
      <c r="BH77" s="139">
        <f t="shared" si="192"/>
        <v>23927186.620831724</v>
      </c>
      <c r="BI77" s="139">
        <f t="shared" si="192"/>
        <v>94539745</v>
      </c>
      <c r="BJ77" s="139">
        <f t="shared" si="192"/>
        <v>60763420</v>
      </c>
      <c r="BK77" s="139">
        <f t="shared" si="192"/>
        <v>30830986</v>
      </c>
      <c r="BL77" s="139">
        <f t="shared" si="192"/>
        <v>3068768</v>
      </c>
      <c r="BM77" s="142">
        <f t="shared" si="193"/>
        <v>301375484</v>
      </c>
      <c r="BO77" s="187">
        <f t="shared" ref="BO77:BU77" si="249">BO32*$BV$62</f>
        <v>93460069</v>
      </c>
      <c r="BP77" s="139">
        <f t="shared" si="249"/>
        <v>444573.19428350712</v>
      </c>
      <c r="BQ77" s="139">
        <f t="shared" si="249"/>
        <v>24777605</v>
      </c>
      <c r="BR77" s="139">
        <f t="shared" si="249"/>
        <v>93708037.85245268</v>
      </c>
      <c r="BS77" s="139">
        <f t="shared" si="249"/>
        <v>62547673.721851744</v>
      </c>
      <c r="BT77" s="139">
        <f t="shared" si="249"/>
        <v>28034881</v>
      </c>
      <c r="BU77" s="139">
        <f t="shared" si="249"/>
        <v>3182609</v>
      </c>
      <c r="BV77" s="142">
        <f t="shared" si="195"/>
        <v>306155448.76858795</v>
      </c>
      <c r="BX77" s="187">
        <f t="shared" ref="BX77:CD77" si="250">BX32*$CE$62</f>
        <v>92314566</v>
      </c>
      <c r="BY77" s="139">
        <f t="shared" si="250"/>
        <v>460585</v>
      </c>
      <c r="BZ77" s="139">
        <f t="shared" si="250"/>
        <v>26067832.649999999</v>
      </c>
      <c r="CA77" s="139">
        <f t="shared" si="250"/>
        <v>90962431.152768388</v>
      </c>
      <c r="CB77" s="139">
        <f t="shared" si="250"/>
        <v>63425646.96742747</v>
      </c>
      <c r="CC77" s="139">
        <f t="shared" si="250"/>
        <v>30134684</v>
      </c>
      <c r="CD77" s="139">
        <f t="shared" si="250"/>
        <v>3319440</v>
      </c>
      <c r="CE77" s="142">
        <f t="shared" si="197"/>
        <v>306685185.7701959</v>
      </c>
      <c r="CG77" s="187">
        <f t="shared" ref="CG77:CM77" si="251">CG32*$CE$62</f>
        <v>96437742</v>
      </c>
      <c r="CH77" s="139">
        <f t="shared" si="251"/>
        <v>466623</v>
      </c>
      <c r="CI77" s="139">
        <f t="shared" si="251"/>
        <v>27061653.690000001</v>
      </c>
      <c r="CJ77" s="139">
        <f t="shared" si="251"/>
        <v>90793223</v>
      </c>
      <c r="CK77" s="139">
        <f t="shared" si="251"/>
        <v>63475593.686344288</v>
      </c>
      <c r="CL77" s="139">
        <f t="shared" si="251"/>
        <v>29734917</v>
      </c>
      <c r="CM77" s="139">
        <f t="shared" si="251"/>
        <v>3413612</v>
      </c>
      <c r="CN77" s="142">
        <f t="shared" si="199"/>
        <v>311383364.37634426</v>
      </c>
      <c r="CP77" s="187">
        <f t="shared" ref="CP77:CV77" si="252">CP32*$CE$62</f>
        <v>100699156</v>
      </c>
      <c r="CQ77" s="139">
        <f t="shared" si="252"/>
        <v>474928</v>
      </c>
      <c r="CR77" s="139">
        <f t="shared" si="252"/>
        <v>28583806.850000001</v>
      </c>
      <c r="CS77" s="139">
        <f t="shared" si="252"/>
        <v>91954075.756111711</v>
      </c>
      <c r="CT77" s="139">
        <f t="shared" si="252"/>
        <v>66801818.604700193</v>
      </c>
      <c r="CU77" s="139">
        <f t="shared" si="252"/>
        <v>29847819.905213274</v>
      </c>
      <c r="CV77" s="139">
        <f t="shared" si="252"/>
        <v>3426750.4106676974</v>
      </c>
      <c r="CW77" s="142">
        <f t="shared" si="201"/>
        <v>321788355.52669293</v>
      </c>
      <c r="CY77" s="187">
        <f t="shared" ref="CY77:DE77" si="253">CY32*$CE$62</f>
        <v>0</v>
      </c>
      <c r="CZ77" s="139">
        <f t="shared" si="253"/>
        <v>0</v>
      </c>
      <c r="DA77" s="139">
        <f t="shared" si="253"/>
        <v>0</v>
      </c>
      <c r="DB77" s="139">
        <f t="shared" si="253"/>
        <v>0</v>
      </c>
      <c r="DC77" s="139">
        <f t="shared" si="253"/>
        <v>0</v>
      </c>
      <c r="DD77" s="139">
        <f t="shared" si="253"/>
        <v>0</v>
      </c>
      <c r="DE77" s="139">
        <f t="shared" si="253"/>
        <v>0</v>
      </c>
      <c r="DF77" s="142">
        <f t="shared" si="203"/>
        <v>0</v>
      </c>
    </row>
    <row r="78" spans="1:110" ht="13.8" thickBot="1">
      <c r="D78" s="187"/>
      <c r="E78" s="139"/>
      <c r="F78" s="139"/>
      <c r="G78" s="137"/>
      <c r="H78" s="137"/>
      <c r="I78" s="139"/>
      <c r="J78" s="139"/>
      <c r="K78" s="129"/>
      <c r="M78" s="136"/>
      <c r="N78" s="137"/>
      <c r="O78" s="137"/>
      <c r="P78" s="137"/>
      <c r="Q78" s="137"/>
      <c r="R78" s="137"/>
      <c r="S78" s="137"/>
      <c r="T78" s="138"/>
      <c r="V78" s="245"/>
      <c r="W78" s="246"/>
      <c r="X78" s="246"/>
      <c r="Y78" s="246"/>
      <c r="Z78" s="246"/>
      <c r="AA78" s="246"/>
      <c r="AB78" s="246"/>
      <c r="AC78" s="153"/>
      <c r="AE78" s="187"/>
      <c r="AF78" s="139"/>
      <c r="AG78" s="139"/>
      <c r="AH78" s="137"/>
      <c r="AI78" s="137"/>
      <c r="AJ78" s="139"/>
      <c r="AK78" s="139"/>
      <c r="AL78" s="130"/>
      <c r="AN78" s="187"/>
      <c r="AO78" s="139"/>
      <c r="AP78" s="139"/>
      <c r="AQ78" s="137"/>
      <c r="AR78" s="137"/>
      <c r="AS78" s="139"/>
      <c r="AT78" s="139"/>
      <c r="AU78" s="142"/>
      <c r="AW78" s="187"/>
      <c r="AX78" s="137"/>
      <c r="AY78" s="137"/>
      <c r="AZ78" s="137"/>
      <c r="BA78" s="137"/>
      <c r="BB78" s="139"/>
      <c r="BC78" s="139"/>
      <c r="BD78" s="129"/>
      <c r="BF78" s="187"/>
      <c r="BG78" s="137"/>
      <c r="BH78" s="137"/>
      <c r="BI78" s="137"/>
      <c r="BJ78" s="137"/>
      <c r="BK78" s="139"/>
      <c r="BL78" s="139"/>
      <c r="BM78" s="142"/>
      <c r="BO78" s="187"/>
      <c r="BP78" s="137"/>
      <c r="BQ78" s="137"/>
      <c r="BR78" s="137"/>
      <c r="BS78" s="137"/>
      <c r="BT78" s="139"/>
      <c r="BU78" s="139"/>
      <c r="BV78" s="142"/>
      <c r="BX78" s="187"/>
      <c r="BY78" s="137"/>
      <c r="BZ78" s="137"/>
      <c r="CA78" s="137"/>
      <c r="CB78" s="137"/>
      <c r="CC78" s="139"/>
      <c r="CD78" s="139"/>
      <c r="CE78" s="142"/>
      <c r="CG78" s="187"/>
      <c r="CH78" s="137"/>
      <c r="CI78" s="137"/>
      <c r="CJ78" s="137"/>
      <c r="CK78" s="137"/>
      <c r="CL78" s="139"/>
      <c r="CM78" s="139"/>
      <c r="CN78" s="142"/>
      <c r="CP78" s="187"/>
      <c r="CQ78" s="137"/>
      <c r="CR78" s="137"/>
      <c r="CS78" s="137"/>
      <c r="CT78" s="137"/>
      <c r="CU78" s="139"/>
      <c r="CV78" s="139"/>
      <c r="CW78" s="142"/>
      <c r="CY78" s="187"/>
      <c r="CZ78" s="137"/>
      <c r="DA78" s="137"/>
      <c r="DB78" s="137"/>
      <c r="DC78" s="137"/>
      <c r="DD78" s="139"/>
      <c r="DE78" s="139"/>
      <c r="DF78" s="142"/>
    </row>
    <row r="79" spans="1:110" ht="13.8" thickBot="1">
      <c r="D79" s="201">
        <f t="shared" ref="D79:J79" si="254">SUM(D66:D77)</f>
        <v>918500653</v>
      </c>
      <c r="E79" s="202">
        <f>SUM(E66:E77)</f>
        <v>7522731.7497103112</v>
      </c>
      <c r="F79" s="202">
        <f t="shared" si="254"/>
        <v>261424109.25028968</v>
      </c>
      <c r="G79" s="202">
        <f>SUM(G66:G77)</f>
        <v>996032849</v>
      </c>
      <c r="H79" s="202">
        <f t="shared" si="254"/>
        <v>845121401</v>
      </c>
      <c r="I79" s="202">
        <f t="shared" si="254"/>
        <v>281784328</v>
      </c>
      <c r="J79" s="202">
        <f t="shared" si="254"/>
        <v>19110906</v>
      </c>
      <c r="K79" s="336">
        <f>SUM(D79:J79)</f>
        <v>3329496978</v>
      </c>
      <c r="M79" s="201">
        <f t="shared" ref="M79:S79" si="255">SUM(M66:M77)</f>
        <v>933248820.28987145</v>
      </c>
      <c r="N79" s="202">
        <f>SUM(N66:N77)</f>
        <v>5817641.8745574197</v>
      </c>
      <c r="O79" s="202">
        <f t="shared" si="255"/>
        <v>264116354.38468543</v>
      </c>
      <c r="P79" s="202">
        <f>SUM(P66:P77)</f>
        <v>1045707603.4846358</v>
      </c>
      <c r="Q79" s="202">
        <f t="shared" si="255"/>
        <v>922964133.89185596</v>
      </c>
      <c r="R79" s="202">
        <f t="shared" si="255"/>
        <v>290325101.76705635</v>
      </c>
      <c r="S79" s="202">
        <f t="shared" si="255"/>
        <v>20964771.307337914</v>
      </c>
      <c r="T79" s="338">
        <f>SUM(T66:T77)</f>
        <v>3483144427</v>
      </c>
      <c r="V79" s="201">
        <f t="shared" ref="V79:AB79" si="256">SUM(V66:V77)</f>
        <v>1066310557</v>
      </c>
      <c r="W79" s="202">
        <f>SUM(W66:W77)</f>
        <v>5528171.1085361158</v>
      </c>
      <c r="X79" s="202">
        <f t="shared" si="256"/>
        <v>288084105.89146394</v>
      </c>
      <c r="Y79" s="202">
        <f>SUM(Y66:Y77)</f>
        <v>1083191856</v>
      </c>
      <c r="Z79" s="202">
        <f t="shared" si="256"/>
        <v>954061083</v>
      </c>
      <c r="AA79" s="202">
        <f t="shared" si="256"/>
        <v>304422360</v>
      </c>
      <c r="AB79" s="202">
        <f t="shared" si="256"/>
        <v>21908421</v>
      </c>
      <c r="AC79" s="336">
        <f>SUM(AC66:AC77)</f>
        <v>3723506554</v>
      </c>
      <c r="AE79" s="201">
        <f t="shared" ref="AE79:AL79" si="257">SUM(AE66:AE77)</f>
        <v>1041609066.9531491</v>
      </c>
      <c r="AF79" s="202">
        <f t="shared" si="257"/>
        <v>5294846.6409916664</v>
      </c>
      <c r="AG79" s="202">
        <f t="shared" si="257"/>
        <v>282703765.98419368</v>
      </c>
      <c r="AH79" s="202">
        <f>SUM(AH66:AH77)</f>
        <v>1080817873.5867229</v>
      </c>
      <c r="AI79" s="202">
        <f t="shared" si="257"/>
        <v>950418593.19007277</v>
      </c>
      <c r="AJ79" s="202">
        <f t="shared" si="257"/>
        <v>334087721.73003125</v>
      </c>
      <c r="AK79" s="202">
        <f t="shared" si="257"/>
        <v>23791244.91483907</v>
      </c>
      <c r="AL79" s="336">
        <f t="shared" si="257"/>
        <v>3718723113</v>
      </c>
      <c r="AN79" s="201">
        <f t="shared" ref="AN79:AT79" si="258">SUM(AN66:AN77)</f>
        <v>1102238845.1530476</v>
      </c>
      <c r="AO79" s="202">
        <f>SUM(AO66:AO77)</f>
        <v>5047284.3477832777</v>
      </c>
      <c r="AP79" s="202">
        <f t="shared" si="258"/>
        <v>298781693.03695661</v>
      </c>
      <c r="AQ79" s="202">
        <f>SUM(AQ66:AQ77)</f>
        <v>1109791373.6344707</v>
      </c>
      <c r="AR79" s="202">
        <f t="shared" si="258"/>
        <v>942048351.14727533</v>
      </c>
      <c r="AS79" s="202">
        <f t="shared" si="258"/>
        <v>355306259.56106627</v>
      </c>
      <c r="AT79" s="202">
        <f t="shared" si="258"/>
        <v>25786193.119400337</v>
      </c>
      <c r="AU79" s="338">
        <f>SUM(AU66:AU77)</f>
        <v>3839000000</v>
      </c>
      <c r="AW79" s="201">
        <f>SUM(AW66:AW77)</f>
        <v>1093308663.4511402</v>
      </c>
      <c r="AX79" s="202">
        <f t="shared" ref="AX79:BC79" si="259">SUM(AX66:AX77)</f>
        <v>5107859.6743005849</v>
      </c>
      <c r="AY79" s="202">
        <f t="shared" si="259"/>
        <v>288887931.38641804</v>
      </c>
      <c r="AZ79" s="202">
        <f>SUM(AZ66:AZ77)</f>
        <v>1116685267.4894316</v>
      </c>
      <c r="BA79" s="202">
        <f t="shared" si="259"/>
        <v>872378904.46835363</v>
      </c>
      <c r="BB79" s="202">
        <f t="shared" si="259"/>
        <v>388608246.60237163</v>
      </c>
      <c r="BC79" s="202">
        <f t="shared" si="259"/>
        <v>26786692.927983887</v>
      </c>
      <c r="BD79" s="336">
        <f>SUM(BD66:BD77)</f>
        <v>3791763566.0000005</v>
      </c>
      <c r="BF79" s="201">
        <f>SUM(BF66:BF77)</f>
        <v>1088557819</v>
      </c>
      <c r="BG79" s="202">
        <f t="shared" ref="BG79:BL79" si="260">SUM(BG66:BG77)</f>
        <v>5104984.5500193126</v>
      </c>
      <c r="BH79" s="202">
        <f t="shared" si="260"/>
        <v>283991997.44998068</v>
      </c>
      <c r="BI79" s="202">
        <f>SUM(BI66:BI77)</f>
        <v>1081007720</v>
      </c>
      <c r="BJ79" s="202">
        <f t="shared" si="260"/>
        <v>788185444</v>
      </c>
      <c r="BK79" s="202">
        <f t="shared" si="260"/>
        <v>342523390</v>
      </c>
      <c r="BL79" s="202">
        <f t="shared" si="260"/>
        <v>27343426</v>
      </c>
      <c r="BM79" s="338">
        <f>SUM(BM66:BM77)</f>
        <v>3616714781</v>
      </c>
      <c r="BO79" s="201">
        <f>SUM(BO66:BO77)</f>
        <v>1171315280</v>
      </c>
      <c r="BP79" s="202">
        <f t="shared" ref="BP79:BQ79" si="261">SUM(BP66:BP77)</f>
        <v>5197576.365005793</v>
      </c>
      <c r="BQ79" s="202">
        <f t="shared" si="261"/>
        <v>291782860</v>
      </c>
      <c r="BR79" s="202">
        <f>SUM(BR66:BR77)</f>
        <v>1088985441.2900734</v>
      </c>
      <c r="BS79" s="202">
        <f t="shared" ref="BS79:BU79" si="262">SUM(BS66:BS77)</f>
        <v>839914784.96182454</v>
      </c>
      <c r="BT79" s="202">
        <f t="shared" si="262"/>
        <v>363198797</v>
      </c>
      <c r="BU79" s="202">
        <f t="shared" si="262"/>
        <v>28336125</v>
      </c>
      <c r="BV79" s="338">
        <f>SUM(BV66:BV77)</f>
        <v>3788730864.6169038</v>
      </c>
      <c r="BX79" s="201">
        <f>SUM(BX66:BX77)</f>
        <v>1190237359</v>
      </c>
      <c r="BY79" s="202">
        <f t="shared" ref="BY79:BZ79" si="263">SUM(BY66:BY77)</f>
        <v>5450025</v>
      </c>
      <c r="BZ79" s="202">
        <f t="shared" si="263"/>
        <v>309962282.28999996</v>
      </c>
      <c r="CA79" s="202">
        <f>SUM(CA66:CA77)</f>
        <v>1100145273.7238808</v>
      </c>
      <c r="CB79" s="202">
        <f t="shared" ref="CB79:CD79" si="264">SUM(CB66:CB77)</f>
        <v>830895242.85765326</v>
      </c>
      <c r="CC79" s="202">
        <f t="shared" si="264"/>
        <v>394428511</v>
      </c>
      <c r="CD79" s="202">
        <f t="shared" si="264"/>
        <v>29752537.486288141</v>
      </c>
      <c r="CE79" s="338">
        <f>SUM(CE66:CE77)</f>
        <v>3860871231.3578219</v>
      </c>
      <c r="CG79" s="201">
        <f>SUM(CG66:CG77)</f>
        <v>1212040627</v>
      </c>
      <c r="CH79" s="202">
        <f t="shared" ref="CH79:CI79" si="265">SUM(CH66:CH77)</f>
        <v>5562245</v>
      </c>
      <c r="CI79" s="202">
        <f t="shared" si="265"/>
        <v>315917674.04000002</v>
      </c>
      <c r="CJ79" s="202">
        <f>SUM(CJ66:CJ77)</f>
        <v>1101990612.5347376</v>
      </c>
      <c r="CK79" s="202">
        <f t="shared" ref="CK79:CM79" si="266">SUM(CK66:CK77)</f>
        <v>858711126.76622808</v>
      </c>
      <c r="CL79" s="202">
        <f t="shared" si="266"/>
        <v>402243669</v>
      </c>
      <c r="CM79" s="202">
        <f t="shared" si="266"/>
        <v>30597265</v>
      </c>
      <c r="CN79" s="338">
        <f>SUM(CN66:CN77)</f>
        <v>3927063219.3409657</v>
      </c>
      <c r="CP79" s="201">
        <f>SUM(CP66:CP77)</f>
        <v>1198023626</v>
      </c>
      <c r="CQ79" s="202">
        <f t="shared" ref="CQ79:CR79" si="267">SUM(CQ66:CQ77)</f>
        <v>5706945</v>
      </c>
      <c r="CR79" s="202">
        <f t="shared" si="267"/>
        <v>323299858.31000006</v>
      </c>
      <c r="CS79" s="202">
        <f>SUM(CS66:CS77)</f>
        <v>1084942787.3014786</v>
      </c>
      <c r="CT79" s="202">
        <f t="shared" ref="CT79:CV79" si="268">SUM(CT66:CT77)</f>
        <v>868876684.12686646</v>
      </c>
      <c r="CU79" s="202">
        <f t="shared" si="268"/>
        <v>380451261.84834135</v>
      </c>
      <c r="CV79" s="202">
        <f t="shared" si="268"/>
        <v>31295952.417045128</v>
      </c>
      <c r="CW79" s="338">
        <f>SUM(CW66:CW77)</f>
        <v>3892597115.0037313</v>
      </c>
      <c r="CY79" s="201">
        <f>SUM(CY66:CY77)</f>
        <v>0</v>
      </c>
      <c r="CZ79" s="202">
        <f t="shared" ref="CZ79:DA79" si="269">SUM(CZ66:CZ77)</f>
        <v>0</v>
      </c>
      <c r="DA79" s="202">
        <f t="shared" si="269"/>
        <v>0</v>
      </c>
      <c r="DB79" s="202">
        <f>SUM(DB66:DB77)</f>
        <v>0</v>
      </c>
      <c r="DC79" s="202">
        <f t="shared" ref="DC79:DE79" si="270">SUM(DC66:DC77)</f>
        <v>0</v>
      </c>
      <c r="DD79" s="202">
        <f t="shared" si="270"/>
        <v>0</v>
      </c>
      <c r="DE79" s="202">
        <f t="shared" si="270"/>
        <v>0</v>
      </c>
      <c r="DF79" s="338">
        <f>SUM(DF66:DF77)</f>
        <v>0</v>
      </c>
    </row>
    <row r="80" spans="1:110" ht="13.8" thickBot="1">
      <c r="D80" s="131"/>
      <c r="E80" s="132"/>
      <c r="F80" s="132"/>
      <c r="G80" s="133"/>
      <c r="H80" s="133"/>
      <c r="I80" s="132"/>
      <c r="J80" s="132"/>
      <c r="K80" s="149"/>
      <c r="M80" s="120"/>
      <c r="N80" s="119"/>
      <c r="O80" s="119"/>
      <c r="P80" s="121"/>
      <c r="Q80" s="121"/>
      <c r="R80" s="119"/>
      <c r="S80" s="119"/>
      <c r="T80" s="130"/>
      <c r="V80" s="131"/>
      <c r="W80" s="132"/>
      <c r="X80" s="132"/>
      <c r="Y80" s="132"/>
      <c r="Z80" s="132"/>
      <c r="AA80" s="132"/>
      <c r="AB80" s="132"/>
      <c r="AC80" s="149"/>
      <c r="AE80" s="131"/>
      <c r="AF80" s="132"/>
      <c r="AG80" s="132"/>
      <c r="AH80" s="132"/>
      <c r="AI80" s="132"/>
      <c r="AJ80" s="132"/>
      <c r="AK80" s="132"/>
      <c r="AL80" s="149"/>
      <c r="AN80" s="131"/>
      <c r="AO80" s="132"/>
      <c r="AP80" s="132"/>
      <c r="AQ80" s="132"/>
      <c r="AR80" s="132"/>
      <c r="AS80" s="132"/>
      <c r="AT80" s="132"/>
      <c r="AU80" s="149"/>
      <c r="AW80" s="131"/>
      <c r="AX80" s="132"/>
      <c r="AY80" s="132"/>
      <c r="AZ80" s="132"/>
      <c r="BA80" s="132"/>
      <c r="BB80" s="132"/>
      <c r="BC80" s="132"/>
      <c r="BD80" s="149"/>
      <c r="BF80" s="131"/>
      <c r="BG80" s="132"/>
      <c r="BH80" s="132"/>
      <c r="BI80" s="132"/>
      <c r="BJ80" s="132"/>
      <c r="BK80" s="132"/>
      <c r="BL80" s="132"/>
      <c r="BM80" s="149"/>
      <c r="BO80" s="131"/>
      <c r="BP80" s="132"/>
      <c r="BQ80" s="132"/>
      <c r="BR80" s="132"/>
      <c r="BS80" s="132"/>
      <c r="BT80" s="132"/>
      <c r="BU80" s="132"/>
      <c r="BV80" s="149"/>
      <c r="BX80" s="131"/>
      <c r="BY80" s="132"/>
      <c r="BZ80" s="132"/>
      <c r="CA80" s="132"/>
      <c r="CB80" s="132"/>
      <c r="CC80" s="132"/>
      <c r="CD80" s="132"/>
      <c r="CE80" s="149"/>
      <c r="CG80" s="131"/>
      <c r="CH80" s="132"/>
      <c r="CI80" s="132"/>
      <c r="CJ80" s="132"/>
      <c r="CK80" s="132"/>
      <c r="CL80" s="132"/>
      <c r="CM80" s="132"/>
      <c r="CN80" s="149"/>
      <c r="CP80" s="131"/>
      <c r="CQ80" s="132"/>
      <c r="CR80" s="132"/>
      <c r="CS80" s="132"/>
      <c r="CT80" s="132"/>
      <c r="CU80" s="132"/>
      <c r="CV80" s="132"/>
      <c r="CW80" s="149"/>
    </row>
    <row r="83" spans="4:101">
      <c r="D83" s="247"/>
      <c r="E83" s="248"/>
      <c r="CG83"/>
      <c r="CH83" s="441"/>
      <c r="CI83" s="441"/>
      <c r="CJ83" s="441"/>
      <c r="CK83" s="441"/>
      <c r="CL83" s="441"/>
      <c r="CM83" s="441"/>
      <c r="CN83" s="441"/>
      <c r="CO83" s="441"/>
      <c r="CP83" s="441"/>
      <c r="CQ83" s="441"/>
      <c r="CR83" s="441"/>
    </row>
    <row r="84" spans="4:101" ht="14.4">
      <c r="D84" s="247"/>
      <c r="E84" s="248"/>
      <c r="CG84" s="169"/>
      <c r="CH84" s="169"/>
      <c r="CI84" s="169"/>
      <c r="CJ84" s="169"/>
      <c r="CK84" s="169"/>
      <c r="CL84" s="169"/>
      <c r="CM84" s="169"/>
      <c r="CN84" s="169"/>
      <c r="CO84" s="169"/>
      <c r="CP84" s="440"/>
      <c r="CQ84" s="440"/>
      <c r="CR84" s="440"/>
      <c r="CS84" s="438"/>
      <c r="CT84" s="438"/>
      <c r="CU84" s="438"/>
      <c r="CV84" s="438"/>
      <c r="CW84" s="438"/>
    </row>
    <row r="85" spans="4:101" ht="14.4">
      <c r="D85" s="247"/>
      <c r="E85" s="248"/>
      <c r="CG85" s="432"/>
      <c r="CH85" s="432"/>
      <c r="CI85" s="432"/>
      <c r="CJ85" s="432"/>
      <c r="CK85" s="432"/>
      <c r="CL85" s="432"/>
      <c r="CM85" s="432"/>
      <c r="CN85" s="432"/>
      <c r="CO85" s="432"/>
      <c r="CP85" s="432"/>
      <c r="CQ85" s="432"/>
      <c r="CR85" s="432"/>
      <c r="CS85" s="439"/>
      <c r="CT85" s="439"/>
      <c r="CU85" s="439"/>
      <c r="CV85" s="439"/>
      <c r="CW85" s="439"/>
    </row>
    <row r="86" spans="4:101" ht="14.4">
      <c r="D86" s="247"/>
      <c r="E86" s="248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438"/>
      <c r="CT86" s="438"/>
      <c r="CU86" s="438"/>
      <c r="CV86" s="438"/>
      <c r="CW86" s="438"/>
    </row>
    <row r="87" spans="4:101" ht="14.4">
      <c r="D87" s="247"/>
      <c r="E87" s="248"/>
      <c r="CG87" s="169"/>
      <c r="CH87" s="169"/>
      <c r="CI87" s="169"/>
      <c r="CJ87" s="169"/>
      <c r="CK87" s="169"/>
      <c r="CL87" s="169"/>
      <c r="CM87" s="169"/>
      <c r="CN87" s="169"/>
      <c r="CO87" s="169"/>
      <c r="CP87" s="440"/>
      <c r="CQ87" s="440"/>
      <c r="CR87" s="440"/>
      <c r="CS87" s="440"/>
      <c r="CT87" s="440"/>
      <c r="CU87" s="440"/>
      <c r="CV87" s="440"/>
      <c r="CW87" s="440"/>
    </row>
    <row r="88" spans="4:101" ht="14.4">
      <c r="D88" s="247"/>
      <c r="E88" s="248"/>
      <c r="CG88" s="169"/>
      <c r="CH88" s="169"/>
      <c r="CI88" s="169"/>
      <c r="CJ88" s="169"/>
      <c r="CK88" s="169"/>
      <c r="CL88" s="169"/>
      <c r="CM88" s="169"/>
      <c r="CN88" s="169"/>
      <c r="CO88" s="169"/>
      <c r="CP88" s="440"/>
      <c r="CQ88" s="440"/>
      <c r="CR88" s="440"/>
      <c r="CS88" s="440"/>
      <c r="CT88" s="440"/>
      <c r="CU88" s="440"/>
      <c r="CV88" s="440"/>
      <c r="CW88" s="440"/>
    </row>
    <row r="89" spans="4:101" ht="14.4">
      <c r="D89" s="247"/>
      <c r="E89" s="248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440"/>
      <c r="CT89" s="440"/>
      <c r="CU89" s="440"/>
      <c r="CV89" s="440"/>
      <c r="CW89" s="440"/>
    </row>
    <row r="90" spans="4:101" ht="14.4">
      <c r="D90" s="247"/>
      <c r="E90" s="248"/>
      <c r="CG90" s="169"/>
      <c r="CH90" s="169"/>
      <c r="CI90" s="169"/>
      <c r="CJ90" s="169"/>
      <c r="CK90" s="169"/>
      <c r="CL90" s="169"/>
      <c r="CM90" s="169"/>
      <c r="CN90" s="169"/>
      <c r="CO90" s="169"/>
      <c r="CP90" s="440"/>
      <c r="CQ90" s="440"/>
      <c r="CR90" s="440"/>
      <c r="CS90" s="440"/>
      <c r="CT90" s="440"/>
      <c r="CU90" s="440"/>
      <c r="CV90" s="440"/>
      <c r="CW90" s="440"/>
    </row>
    <row r="92" spans="4:101"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</row>
  </sheetData>
  <mergeCells count="60">
    <mergeCell ref="CY1:DE1"/>
    <mergeCell ref="CY19:DE19"/>
    <mergeCell ref="CY37:DF37"/>
    <mergeCell ref="CZ56:DA56"/>
    <mergeCell ref="CY64:DE64"/>
    <mergeCell ref="CP1:CV1"/>
    <mergeCell ref="CP19:CV19"/>
    <mergeCell ref="CP37:CW37"/>
    <mergeCell ref="CQ56:CR56"/>
    <mergeCell ref="CP64:CV64"/>
    <mergeCell ref="CG1:CM1"/>
    <mergeCell ref="CG19:CM19"/>
    <mergeCell ref="CG37:CN37"/>
    <mergeCell ref="CH56:CI56"/>
    <mergeCell ref="CG64:CM64"/>
    <mergeCell ref="BX1:CD1"/>
    <mergeCell ref="BX19:CD19"/>
    <mergeCell ref="BX37:CE37"/>
    <mergeCell ref="BY56:BZ56"/>
    <mergeCell ref="BX64:CD64"/>
    <mergeCell ref="BO1:BU1"/>
    <mergeCell ref="BO19:BU19"/>
    <mergeCell ref="BO37:BV37"/>
    <mergeCell ref="BO64:BU64"/>
    <mergeCell ref="BF1:BL1"/>
    <mergeCell ref="BF37:BM37"/>
    <mergeCell ref="BG56:BH56"/>
    <mergeCell ref="BF64:BL64"/>
    <mergeCell ref="M1:S1"/>
    <mergeCell ref="V1:AB1"/>
    <mergeCell ref="AE1:AK1"/>
    <mergeCell ref="AN1:AT1"/>
    <mergeCell ref="AW1:BC1"/>
    <mergeCell ref="AW19:BC19"/>
    <mergeCell ref="BF19:BL19"/>
    <mergeCell ref="D1:J1"/>
    <mergeCell ref="A21:A34"/>
    <mergeCell ref="D37:K37"/>
    <mergeCell ref="M37:T37"/>
    <mergeCell ref="V37:AC37"/>
    <mergeCell ref="AE37:AL37"/>
    <mergeCell ref="AN37:AU37"/>
    <mergeCell ref="AW37:BD37"/>
    <mergeCell ref="A3:A16"/>
    <mergeCell ref="D19:J19"/>
    <mergeCell ref="M19:S19"/>
    <mergeCell ref="V19:AB19"/>
    <mergeCell ref="AE19:AK19"/>
    <mergeCell ref="AN19:AT19"/>
    <mergeCell ref="A38:A52"/>
    <mergeCell ref="F54:H54"/>
    <mergeCell ref="O56:Q56"/>
    <mergeCell ref="AH56:AI56"/>
    <mergeCell ref="AQ56:AR56"/>
    <mergeCell ref="AW64:BD64"/>
    <mergeCell ref="D64:J64"/>
    <mergeCell ref="M64:S64"/>
    <mergeCell ref="V64:AB64"/>
    <mergeCell ref="AE64:AK64"/>
    <mergeCell ref="AN64:AT64"/>
  </mergeCells>
  <printOptions horizontalCentered="1"/>
  <pageMargins left="0.7" right="0.7" top="0.75" bottom="0.75" header="0.3" footer="0.3"/>
  <pageSetup scale="40" orientation="portrait" r:id="rId1"/>
  <colBreaks count="6" manualBreakCount="6">
    <brk id="12" max="1048575" man="1"/>
    <brk id="21" max="1048575" man="1"/>
    <brk id="30" max="1048575" man="1"/>
    <brk id="39" max="1048575" man="1"/>
    <brk id="48" max="1048575" man="1"/>
    <brk id="57" max="1048575" man="1"/>
  </colBreaks>
  <ignoredErrors>
    <ignoredError sqref="CH34 BY34 CZ34 CQ34 BQ30:BQ32" formula="1"/>
  </ignoredError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50"/>
  </sheetPr>
  <dimension ref="A1:BV67"/>
  <sheetViews>
    <sheetView showGridLines="0" topLeftCell="BK1" zoomScale="90" zoomScaleNormal="90" workbookViewId="0">
      <selection activeCell="BT21" sqref="BT21"/>
    </sheetView>
  </sheetViews>
  <sheetFormatPr defaultRowHeight="14.4"/>
  <cols>
    <col min="1" max="1" width="14.6640625" bestFit="1" customWidth="1"/>
    <col min="2" max="2" width="0.6640625" customWidth="1"/>
    <col min="3" max="3" width="14" style="160" customWidth="1"/>
    <col min="4" max="4" width="12.5546875" style="160" customWidth="1"/>
    <col min="5" max="5" width="10.109375" customWidth="1"/>
    <col min="6" max="6" width="9" customWidth="1"/>
    <col min="7" max="7" width="11.5546875" customWidth="1"/>
    <col min="8" max="8" width="7.6640625" bestFit="1" customWidth="1"/>
    <col min="9" max="9" width="11.109375" style="160" bestFit="1" customWidth="1"/>
    <col min="10" max="10" width="12.5546875" style="160" customWidth="1"/>
    <col min="11" max="11" width="10.109375" customWidth="1"/>
    <col min="12" max="12" width="9.88671875" customWidth="1"/>
    <col min="13" max="13" width="12" customWidth="1"/>
    <col min="14" max="14" width="7.6640625" bestFit="1" customWidth="1"/>
    <col min="15" max="15" width="11.109375" style="161" bestFit="1" customWidth="1"/>
    <col min="16" max="16" width="12.5546875" style="161" customWidth="1"/>
    <col min="17" max="17" width="9.5546875" style="161" bestFit="1" customWidth="1"/>
    <col min="18" max="18" width="8.44140625" style="161" bestFit="1" customWidth="1"/>
    <col min="19" max="19" width="11.109375" style="161" bestFit="1" customWidth="1"/>
    <col min="20" max="20" width="5.5546875" bestFit="1" customWidth="1"/>
    <col min="21" max="21" width="11.109375" style="162" bestFit="1" customWidth="1"/>
    <col min="22" max="22" width="12.5546875" style="162" customWidth="1"/>
    <col min="23" max="23" width="9.5546875" style="162" bestFit="1" customWidth="1"/>
    <col min="24" max="24" width="8.44140625" style="162" bestFit="1" customWidth="1"/>
    <col min="25" max="25" width="11.109375" style="162" bestFit="1" customWidth="1"/>
    <col min="26" max="26" width="5" bestFit="1" customWidth="1"/>
    <col min="27" max="27" width="11.109375" bestFit="1" customWidth="1"/>
    <col min="28" max="28" width="12.5546875" customWidth="1"/>
    <col min="29" max="29" width="9.5546875" bestFit="1" customWidth="1"/>
    <col min="30" max="30" width="8.44140625" bestFit="1" customWidth="1"/>
    <col min="31" max="31" width="11.109375" bestFit="1" customWidth="1"/>
    <col min="32" max="32" width="7.6640625" bestFit="1" customWidth="1"/>
    <col min="33" max="33" width="11.109375" style="163" bestFit="1" customWidth="1"/>
    <col min="34" max="34" width="12.5546875" style="163" customWidth="1"/>
    <col min="35" max="35" width="9.5546875" style="163" bestFit="1" customWidth="1"/>
    <col min="36" max="36" width="8.44140625" style="163" bestFit="1" customWidth="1"/>
    <col min="37" max="37" width="11.109375" style="163" bestFit="1" customWidth="1"/>
    <col min="38" max="38" width="7.6640625" bestFit="1" customWidth="1"/>
    <col min="39" max="39" width="11.109375" bestFit="1" customWidth="1"/>
    <col min="40" max="40" width="12.5546875" customWidth="1"/>
    <col min="41" max="41" width="9.5546875" bestFit="1" customWidth="1"/>
    <col min="42" max="42" width="8.44140625" bestFit="1" customWidth="1"/>
    <col min="43" max="43" width="11.109375" bestFit="1" customWidth="1"/>
    <col min="44" max="44" width="7.6640625" bestFit="1" customWidth="1"/>
    <col min="45" max="45" width="11.109375" bestFit="1" customWidth="1"/>
    <col min="46" max="46" width="12.5546875" customWidth="1"/>
    <col min="47" max="47" width="9.5546875" bestFit="1" customWidth="1"/>
    <col min="48" max="48" width="8.44140625" bestFit="1" customWidth="1"/>
    <col min="49" max="49" width="11.109375" bestFit="1" customWidth="1"/>
    <col min="50" max="50" width="7.6640625" bestFit="1" customWidth="1"/>
    <col min="51" max="51" width="11.109375" customWidth="1"/>
    <col min="52" max="52" width="12.5546875" customWidth="1"/>
    <col min="53" max="53" width="9.5546875" customWidth="1"/>
    <col min="54" max="54" width="8.88671875" customWidth="1"/>
    <col min="55" max="55" width="11" customWidth="1"/>
    <col min="56" max="56" width="7.6640625" bestFit="1" customWidth="1"/>
    <col min="57" max="57" width="11" customWidth="1"/>
    <col min="58" max="58" width="12.5546875" customWidth="1"/>
    <col min="59" max="59" width="10.6640625" customWidth="1"/>
    <col min="60" max="60" width="9.109375" customWidth="1"/>
    <col min="61" max="61" width="11.109375" customWidth="1"/>
    <col min="62" max="62" width="7.6640625" bestFit="1" customWidth="1"/>
    <col min="63" max="63" width="11.44140625" customWidth="1"/>
    <col min="64" max="64" width="12.5546875" customWidth="1"/>
    <col min="65" max="65" width="9.33203125" customWidth="1"/>
    <col min="66" max="66" width="8.88671875" customWidth="1"/>
    <col min="67" max="67" width="11" customWidth="1"/>
    <col min="68" max="68" width="7.6640625" bestFit="1" customWidth="1"/>
    <col min="69" max="69" width="11.5546875" customWidth="1"/>
    <col min="70" max="70" width="12.5546875" bestFit="1" customWidth="1"/>
    <col min="71" max="71" width="9.5546875" customWidth="1"/>
    <col min="72" max="72" width="8.88671875" customWidth="1"/>
    <col min="73" max="73" width="11.109375" customWidth="1"/>
  </cols>
  <sheetData>
    <row r="1" spans="1:74" ht="15.75" customHeight="1" thickBot="1">
      <c r="A1" s="995" t="s">
        <v>260</v>
      </c>
      <c r="B1" s="995"/>
      <c r="C1" s="995"/>
      <c r="D1" s="995"/>
      <c r="E1" s="995"/>
      <c r="F1" s="995"/>
      <c r="G1" s="995"/>
      <c r="H1" s="995"/>
      <c r="I1" s="995"/>
      <c r="J1" s="995"/>
      <c r="K1" s="995"/>
      <c r="L1" s="995"/>
      <c r="M1" s="995"/>
      <c r="N1" s="995"/>
      <c r="O1" s="995"/>
      <c r="P1" s="995"/>
      <c r="Q1" s="995"/>
      <c r="R1" s="995"/>
      <c r="S1" s="995"/>
      <c r="T1" s="995"/>
      <c r="U1" s="995"/>
      <c r="V1" s="995"/>
      <c r="W1" s="995"/>
      <c r="X1" s="995"/>
      <c r="Y1" s="995"/>
      <c r="Z1" s="995"/>
      <c r="AA1" s="995"/>
      <c r="AB1" s="995"/>
      <c r="AC1" s="995"/>
      <c r="AD1" s="995"/>
      <c r="AE1" s="995"/>
      <c r="AF1" s="995"/>
      <c r="AG1" s="995"/>
      <c r="AH1" s="995"/>
      <c r="AI1" s="995"/>
      <c r="AJ1" s="995"/>
      <c r="AK1" s="995"/>
      <c r="AL1" s="995"/>
      <c r="AM1" s="995"/>
      <c r="AN1" s="995"/>
      <c r="AO1" s="995"/>
      <c r="AP1" s="995"/>
      <c r="AQ1" s="995"/>
      <c r="AR1" s="995"/>
      <c r="AS1" s="995"/>
      <c r="AT1" s="995"/>
      <c r="AU1" s="995"/>
      <c r="AV1" s="995"/>
      <c r="AW1" s="995"/>
      <c r="AX1" s="995"/>
      <c r="AY1" s="995"/>
      <c r="AZ1" s="995"/>
      <c r="BA1" s="995"/>
      <c r="BB1" s="995"/>
      <c r="BC1" s="995"/>
      <c r="BD1" s="995"/>
      <c r="BE1" s="995"/>
      <c r="BF1" s="995"/>
      <c r="BG1" s="995"/>
      <c r="BH1" s="995"/>
      <c r="BI1" s="995"/>
      <c r="BJ1" s="995"/>
      <c r="BK1" s="995"/>
      <c r="BL1" s="995"/>
      <c r="BM1" s="995"/>
      <c r="BN1" s="995"/>
      <c r="BO1" s="995"/>
      <c r="BP1" s="995"/>
    </row>
    <row r="2" spans="1:74" s="1" customFormat="1" ht="13.2">
      <c r="C2" s="972"/>
      <c r="D2" s="975"/>
      <c r="E2" s="975"/>
      <c r="F2" s="975"/>
      <c r="G2" s="105"/>
      <c r="H2" s="63">
        <v>2003</v>
      </c>
      <c r="I2" s="972"/>
      <c r="J2" s="975"/>
      <c r="K2" s="975"/>
      <c r="L2" s="975"/>
      <c r="M2" s="11"/>
      <c r="N2" s="63">
        <v>2004</v>
      </c>
      <c r="O2" s="972"/>
      <c r="P2" s="975"/>
      <c r="Q2" s="975"/>
      <c r="R2" s="975"/>
      <c r="S2" s="11"/>
      <c r="T2" s="63">
        <v>2005</v>
      </c>
      <c r="U2" s="972"/>
      <c r="V2" s="975"/>
      <c r="W2" s="975"/>
      <c r="X2" s="975"/>
      <c r="Y2" s="11"/>
      <c r="Z2" s="63">
        <v>2006</v>
      </c>
      <c r="AA2" s="972"/>
      <c r="AB2" s="975"/>
      <c r="AC2" s="975"/>
      <c r="AD2" s="975"/>
      <c r="AE2" s="11"/>
      <c r="AF2" s="63">
        <v>2007</v>
      </c>
      <c r="AG2" s="972"/>
      <c r="AH2" s="975"/>
      <c r="AI2" s="975"/>
      <c r="AJ2" s="975"/>
      <c r="AK2" s="11"/>
      <c r="AL2" s="63">
        <v>2008</v>
      </c>
      <c r="AM2" s="972"/>
      <c r="AN2" s="975"/>
      <c r="AO2" s="975"/>
      <c r="AP2" s="975"/>
      <c r="AQ2" s="107"/>
      <c r="AR2" s="63">
        <v>2009</v>
      </c>
      <c r="AS2" s="972"/>
      <c r="AT2" s="975"/>
      <c r="AU2" s="975"/>
      <c r="AV2" s="975"/>
      <c r="AW2" s="390"/>
      <c r="AX2" s="63">
        <v>2010</v>
      </c>
      <c r="AY2" s="972"/>
      <c r="AZ2" s="975"/>
      <c r="BA2" s="975"/>
      <c r="BB2" s="975"/>
      <c r="BC2" s="390"/>
      <c r="BD2" s="63">
        <v>2011</v>
      </c>
      <c r="BE2" s="972"/>
      <c r="BF2" s="975"/>
      <c r="BG2" s="975"/>
      <c r="BH2" s="975"/>
      <c r="BI2" s="416"/>
      <c r="BJ2" s="63">
        <v>2012</v>
      </c>
      <c r="BK2" s="972"/>
      <c r="BL2" s="975"/>
      <c r="BM2" s="975"/>
      <c r="BN2" s="975"/>
      <c r="BO2" s="433"/>
      <c r="BP2" s="63">
        <v>2013</v>
      </c>
      <c r="BQ2" s="972"/>
      <c r="BR2" s="975"/>
      <c r="BS2" s="975"/>
      <c r="BT2" s="975"/>
      <c r="BU2" s="457"/>
      <c r="BV2" s="63">
        <v>2014</v>
      </c>
    </row>
    <row r="3" spans="1:74" s="1" customFormat="1" ht="13.8" thickBot="1">
      <c r="C3" s="108" t="s">
        <v>48</v>
      </c>
      <c r="D3" s="109" t="s">
        <v>49</v>
      </c>
      <c r="E3" s="109" t="s">
        <v>55</v>
      </c>
      <c r="F3" s="109" t="s">
        <v>51</v>
      </c>
      <c r="G3" s="110" t="s">
        <v>52</v>
      </c>
      <c r="I3" s="108" t="s">
        <v>48</v>
      </c>
      <c r="J3" s="109" t="s">
        <v>49</v>
      </c>
      <c r="K3" s="109" t="s">
        <v>55</v>
      </c>
      <c r="L3" s="109" t="s">
        <v>51</v>
      </c>
      <c r="M3" s="110" t="s">
        <v>52</v>
      </c>
      <c r="O3" s="108" t="s">
        <v>48</v>
      </c>
      <c r="P3" s="109" t="s">
        <v>49</v>
      </c>
      <c r="Q3" s="109" t="s">
        <v>50</v>
      </c>
      <c r="R3" s="109" t="s">
        <v>51</v>
      </c>
      <c r="S3" s="110" t="s">
        <v>52</v>
      </c>
      <c r="U3" s="134" t="s">
        <v>48</v>
      </c>
      <c r="V3" s="113" t="s">
        <v>49</v>
      </c>
      <c r="W3" s="113" t="s">
        <v>50</v>
      </c>
      <c r="X3" s="112" t="s">
        <v>51</v>
      </c>
      <c r="Y3" s="110" t="s">
        <v>52</v>
      </c>
      <c r="AA3" s="108" t="s">
        <v>48</v>
      </c>
      <c r="AB3" s="109" t="s">
        <v>49</v>
      </c>
      <c r="AC3" s="109" t="s">
        <v>50</v>
      </c>
      <c r="AD3" s="109" t="s">
        <v>51</v>
      </c>
      <c r="AE3" s="114" t="s">
        <v>52</v>
      </c>
      <c r="AG3" s="108" t="s">
        <v>48</v>
      </c>
      <c r="AH3" s="109" t="s">
        <v>49</v>
      </c>
      <c r="AI3" s="109" t="s">
        <v>50</v>
      </c>
      <c r="AJ3" s="109" t="s">
        <v>51</v>
      </c>
      <c r="AK3" s="115" t="s">
        <v>52</v>
      </c>
      <c r="AM3" s="108" t="s">
        <v>48</v>
      </c>
      <c r="AN3" s="109" t="s">
        <v>49</v>
      </c>
      <c r="AO3" s="109" t="s">
        <v>50</v>
      </c>
      <c r="AP3" s="109" t="s">
        <v>51</v>
      </c>
      <c r="AQ3" s="115" t="s">
        <v>52</v>
      </c>
      <c r="AS3" s="108" t="s">
        <v>48</v>
      </c>
      <c r="AT3" s="391" t="s">
        <v>49</v>
      </c>
      <c r="AU3" s="391" t="s">
        <v>50</v>
      </c>
      <c r="AV3" s="391" t="s">
        <v>51</v>
      </c>
      <c r="AW3" s="115" t="s">
        <v>52</v>
      </c>
      <c r="AY3" s="108" t="s">
        <v>48</v>
      </c>
      <c r="AZ3" s="391" t="s">
        <v>49</v>
      </c>
      <c r="BA3" s="391" t="s">
        <v>50</v>
      </c>
      <c r="BB3" s="391" t="s">
        <v>51</v>
      </c>
      <c r="BC3" s="115" t="s">
        <v>52</v>
      </c>
      <c r="BE3" s="108" t="s">
        <v>48</v>
      </c>
      <c r="BF3" s="417" t="s">
        <v>49</v>
      </c>
      <c r="BG3" s="417" t="s">
        <v>50</v>
      </c>
      <c r="BH3" s="417" t="s">
        <v>51</v>
      </c>
      <c r="BI3" s="115" t="s">
        <v>52</v>
      </c>
      <c r="BK3" s="108" t="s">
        <v>48</v>
      </c>
      <c r="BL3" s="434" t="s">
        <v>49</v>
      </c>
      <c r="BM3" s="434" t="s">
        <v>50</v>
      </c>
      <c r="BN3" s="434" t="s">
        <v>51</v>
      </c>
      <c r="BO3" s="115" t="s">
        <v>52</v>
      </c>
      <c r="BQ3" s="108" t="s">
        <v>48</v>
      </c>
      <c r="BR3" s="458" t="s">
        <v>49</v>
      </c>
      <c r="BS3" s="458" t="s">
        <v>50</v>
      </c>
      <c r="BT3" s="458" t="s">
        <v>51</v>
      </c>
      <c r="BU3" s="115" t="s">
        <v>52</v>
      </c>
    </row>
    <row r="4" spans="1:74" s="3" customFormat="1" ht="13.2">
      <c r="A4" s="135" t="s">
        <v>3</v>
      </c>
      <c r="C4" s="136">
        <v>228091</v>
      </c>
      <c r="D4" s="137">
        <v>152121</v>
      </c>
      <c r="E4" s="137">
        <v>49432</v>
      </c>
      <c r="F4" s="137">
        <v>4859</v>
      </c>
      <c r="G4" s="138">
        <f>SUM(C4:F4)</f>
        <v>434503</v>
      </c>
      <c r="I4" s="136">
        <v>231787</v>
      </c>
      <c r="J4" s="137">
        <v>166256</v>
      </c>
      <c r="K4" s="137">
        <v>42040</v>
      </c>
      <c r="L4" s="137">
        <v>4940</v>
      </c>
      <c r="M4" s="138">
        <f>SUM(I4:L4)</f>
        <v>445023</v>
      </c>
      <c r="O4" s="136">
        <v>237681</v>
      </c>
      <c r="P4" s="137">
        <v>172709</v>
      </c>
      <c r="Q4" s="139">
        <v>42204</v>
      </c>
      <c r="R4" s="139">
        <v>5258</v>
      </c>
      <c r="S4" s="138">
        <f>SUM(O4:R4)</f>
        <v>457852</v>
      </c>
      <c r="U4" s="136">
        <v>236221</v>
      </c>
      <c r="V4" s="137">
        <v>174648</v>
      </c>
      <c r="W4" s="139">
        <v>42359</v>
      </c>
      <c r="X4" s="139">
        <v>5730</v>
      </c>
      <c r="Y4" s="138">
        <f>SUM(U4:X4)</f>
        <v>458958</v>
      </c>
      <c r="AA4" s="136">
        <v>246149</v>
      </c>
      <c r="AB4" s="137">
        <v>170000</v>
      </c>
      <c r="AC4" s="139">
        <v>46728</v>
      </c>
      <c r="AD4" s="139">
        <v>6098</v>
      </c>
      <c r="AE4" s="138">
        <f>SUM(AA4:AD4)</f>
        <v>468975</v>
      </c>
      <c r="AG4" s="136">
        <v>255704</v>
      </c>
      <c r="AH4" s="137">
        <v>162567</v>
      </c>
      <c r="AI4" s="139">
        <v>57398</v>
      </c>
      <c r="AJ4" s="139">
        <v>6603</v>
      </c>
      <c r="AK4" s="138">
        <f>SUM(AG4:AJ4)</f>
        <v>482272</v>
      </c>
      <c r="AM4" s="136">
        <v>255081</v>
      </c>
      <c r="AN4" s="137">
        <v>144247</v>
      </c>
      <c r="AO4" s="139">
        <v>55525</v>
      </c>
      <c r="AP4" s="139">
        <v>6745</v>
      </c>
      <c r="AQ4" s="138">
        <f>SUM(AM4:AP4)</f>
        <v>461598</v>
      </c>
      <c r="AS4" s="136">
        <v>255117</v>
      </c>
      <c r="AT4" s="137">
        <v>152252</v>
      </c>
      <c r="AU4" s="139">
        <v>54416</v>
      </c>
      <c r="AV4" s="139">
        <v>6969</v>
      </c>
      <c r="AW4" s="138">
        <f>SUM(AS4:AV4)</f>
        <v>468754</v>
      </c>
      <c r="AY4" s="136">
        <v>250775</v>
      </c>
      <c r="AZ4" s="137">
        <v>151050</v>
      </c>
      <c r="BA4" s="139">
        <v>55233</v>
      </c>
      <c r="BB4" s="139">
        <v>7361</v>
      </c>
      <c r="BC4" s="138">
        <f>SUM(AY4:BB4)</f>
        <v>464419</v>
      </c>
      <c r="BE4" s="136">
        <v>247011</v>
      </c>
      <c r="BF4" s="137">
        <v>151870</v>
      </c>
      <c r="BG4" s="139">
        <v>56673</v>
      </c>
      <c r="BH4" s="139">
        <v>7656</v>
      </c>
      <c r="BI4" s="138">
        <f>SUM(BE4:BH4)</f>
        <v>463210</v>
      </c>
      <c r="BK4" s="187">
        <v>244817</v>
      </c>
      <c r="BL4" s="139">
        <v>154702</v>
      </c>
      <c r="BM4" s="139">
        <v>59780</v>
      </c>
      <c r="BN4" s="139">
        <v>7915</v>
      </c>
      <c r="BO4" s="138">
        <f>SUM(BK4:BN4)</f>
        <v>467214</v>
      </c>
      <c r="BQ4" s="491"/>
      <c r="BR4" s="490"/>
      <c r="BS4" s="490"/>
      <c r="BT4" s="490"/>
      <c r="BU4" s="1017"/>
    </row>
    <row r="5" spans="1:74" s="3" customFormat="1" ht="13.2">
      <c r="A5" s="140" t="s">
        <v>4</v>
      </c>
      <c r="C5" s="136">
        <v>226105</v>
      </c>
      <c r="D5" s="137">
        <v>154691</v>
      </c>
      <c r="E5" s="137">
        <v>47419</v>
      </c>
      <c r="F5" s="137">
        <v>4862</v>
      </c>
      <c r="G5" s="138">
        <f t="shared" ref="G5:G15" si="0">SUM(C5:F5)</f>
        <v>433077</v>
      </c>
      <c r="I5" s="136">
        <v>227922</v>
      </c>
      <c r="J5" s="137">
        <v>171354</v>
      </c>
      <c r="K5" s="137">
        <v>37730</v>
      </c>
      <c r="L5" s="137">
        <v>4954</v>
      </c>
      <c r="M5" s="138">
        <f t="shared" ref="M5:M15" si="1">SUM(I5:L5)</f>
        <v>441960</v>
      </c>
      <c r="O5" s="136">
        <v>235242</v>
      </c>
      <c r="P5" s="137">
        <v>173674</v>
      </c>
      <c r="Q5" s="139">
        <v>41354</v>
      </c>
      <c r="R5" s="139">
        <v>5288</v>
      </c>
      <c r="S5" s="138">
        <f t="shared" ref="S5:S15" si="2">SUM(O5:R5)</f>
        <v>455558</v>
      </c>
      <c r="U5" s="136">
        <v>240459</v>
      </c>
      <c r="V5" s="137">
        <v>175085</v>
      </c>
      <c r="W5" s="139">
        <v>49949</v>
      </c>
      <c r="X5" s="139">
        <v>5744</v>
      </c>
      <c r="Y5" s="138">
        <f t="shared" ref="Y5:Y15" si="3">SUM(U5:X5)</f>
        <v>471237</v>
      </c>
      <c r="AA5" s="136">
        <v>250951</v>
      </c>
      <c r="AB5" s="137">
        <v>169006</v>
      </c>
      <c r="AC5" s="139">
        <v>45680</v>
      </c>
      <c r="AD5" s="139">
        <v>6227</v>
      </c>
      <c r="AE5" s="138">
        <f t="shared" ref="AE5:AE15" si="4">SUM(AA5:AD5)</f>
        <v>471864</v>
      </c>
      <c r="AG5" s="136">
        <v>254190</v>
      </c>
      <c r="AH5" s="137">
        <v>156802</v>
      </c>
      <c r="AI5" s="139">
        <v>56212</v>
      </c>
      <c r="AJ5" s="139">
        <v>6612</v>
      </c>
      <c r="AK5" s="138">
        <f t="shared" ref="AK5:AK15" si="5">SUM(AG5:AJ5)</f>
        <v>473816</v>
      </c>
      <c r="AM5" s="136">
        <v>251215</v>
      </c>
      <c r="AN5" s="137">
        <v>151679</v>
      </c>
      <c r="AO5" s="139">
        <v>58244</v>
      </c>
      <c r="AP5" s="139">
        <v>6768</v>
      </c>
      <c r="AQ5" s="138">
        <f t="shared" ref="AQ5:AQ15" si="6">SUM(AM5:AP5)</f>
        <v>467906</v>
      </c>
      <c r="AS5" s="136">
        <v>248456</v>
      </c>
      <c r="AT5" s="137">
        <v>151984</v>
      </c>
      <c r="AU5" s="139">
        <v>53726</v>
      </c>
      <c r="AV5" s="139">
        <v>6969</v>
      </c>
      <c r="AW5" s="138">
        <f t="shared" ref="AW5:AW15" si="7">SUM(AS5:AV5)</f>
        <v>461135</v>
      </c>
      <c r="AY5" s="136">
        <v>250983</v>
      </c>
      <c r="AZ5" s="137">
        <v>152214</v>
      </c>
      <c r="BA5" s="139">
        <v>55044</v>
      </c>
      <c r="BB5" s="139">
        <v>7406</v>
      </c>
      <c r="BC5" s="138">
        <f t="shared" ref="BC5:BC15" si="8">SUM(AY5:BB5)</f>
        <v>465647</v>
      </c>
      <c r="BE5" s="136">
        <v>247945</v>
      </c>
      <c r="BF5" s="137">
        <v>154021</v>
      </c>
      <c r="BG5" s="139">
        <v>55438</v>
      </c>
      <c r="BH5" s="139">
        <v>7679</v>
      </c>
      <c r="BI5" s="138">
        <f t="shared" ref="BI5:BI15" si="9">SUM(BE5:BH5)</f>
        <v>465083</v>
      </c>
      <c r="BK5" s="187">
        <v>251910</v>
      </c>
      <c r="BL5" s="139">
        <v>154341</v>
      </c>
      <c r="BM5" s="139">
        <v>54971</v>
      </c>
      <c r="BN5" s="139">
        <v>7911</v>
      </c>
      <c r="BO5" s="138">
        <f t="shared" ref="BO5:BO15" si="10">SUM(BK5:BN5)</f>
        <v>469133</v>
      </c>
      <c r="BQ5" s="491"/>
      <c r="BR5" s="490"/>
      <c r="BS5" s="490"/>
      <c r="BT5" s="490"/>
      <c r="BU5" s="1017"/>
    </row>
    <row r="6" spans="1:74" s="3" customFormat="1" ht="13.2">
      <c r="A6" s="140" t="s">
        <v>5</v>
      </c>
      <c r="C6" s="136">
        <v>228013</v>
      </c>
      <c r="D6" s="137">
        <v>158199</v>
      </c>
      <c r="E6" s="137">
        <v>49311</v>
      </c>
      <c r="F6" s="137">
        <v>4861</v>
      </c>
      <c r="G6" s="138">
        <f t="shared" si="0"/>
        <v>440384</v>
      </c>
      <c r="I6" s="136">
        <v>225728</v>
      </c>
      <c r="J6" s="137">
        <v>173500</v>
      </c>
      <c r="K6" s="137">
        <v>40399</v>
      </c>
      <c r="L6" s="137">
        <v>4960</v>
      </c>
      <c r="M6" s="138">
        <f t="shared" si="1"/>
        <v>444587</v>
      </c>
      <c r="O6" s="136">
        <v>233430</v>
      </c>
      <c r="P6" s="137">
        <v>172916</v>
      </c>
      <c r="Q6" s="139">
        <v>40802</v>
      </c>
      <c r="R6" s="139">
        <v>5344</v>
      </c>
      <c r="S6" s="138">
        <f t="shared" si="2"/>
        <v>452492</v>
      </c>
      <c r="U6" s="136">
        <v>237612</v>
      </c>
      <c r="V6" s="137">
        <v>171688</v>
      </c>
      <c r="W6" s="139">
        <v>49261</v>
      </c>
      <c r="X6" s="139">
        <v>5765</v>
      </c>
      <c r="Y6" s="138">
        <f t="shared" si="3"/>
        <v>464326</v>
      </c>
      <c r="AA6" s="136">
        <v>248434</v>
      </c>
      <c r="AB6" s="137">
        <v>170084</v>
      </c>
      <c r="AC6" s="139">
        <v>55205</v>
      </c>
      <c r="AD6" s="139">
        <v>6255</v>
      </c>
      <c r="AE6" s="138">
        <f t="shared" si="4"/>
        <v>479978</v>
      </c>
      <c r="AG6" s="136">
        <v>253203</v>
      </c>
      <c r="AH6" s="137">
        <v>156406</v>
      </c>
      <c r="AI6" s="139">
        <v>57242</v>
      </c>
      <c r="AJ6" s="139">
        <v>6619</v>
      </c>
      <c r="AK6" s="138">
        <f t="shared" si="5"/>
        <v>473470</v>
      </c>
      <c r="AM6" s="136">
        <v>252831</v>
      </c>
      <c r="AN6" s="137">
        <v>152796</v>
      </c>
      <c r="AO6" s="139">
        <v>57967</v>
      </c>
      <c r="AP6" s="139">
        <v>6765</v>
      </c>
      <c r="AQ6" s="138">
        <f t="shared" si="6"/>
        <v>470359</v>
      </c>
      <c r="AS6" s="136">
        <v>247706</v>
      </c>
      <c r="AT6" s="137">
        <v>154115</v>
      </c>
      <c r="AU6" s="139">
        <v>53828</v>
      </c>
      <c r="AV6" s="139">
        <v>6974</v>
      </c>
      <c r="AW6" s="138">
        <f t="shared" si="7"/>
        <v>462623</v>
      </c>
      <c r="AY6" s="136">
        <v>242275</v>
      </c>
      <c r="AZ6" s="137">
        <v>148286</v>
      </c>
      <c r="BA6" s="139">
        <v>56058</v>
      </c>
      <c r="BB6" s="139">
        <v>7447</v>
      </c>
      <c r="BC6" s="138">
        <f t="shared" si="8"/>
        <v>454066</v>
      </c>
      <c r="BE6" s="136">
        <v>250999</v>
      </c>
      <c r="BF6" s="137">
        <v>157013</v>
      </c>
      <c r="BG6" s="139">
        <v>59691</v>
      </c>
      <c r="BH6" s="139">
        <v>7682</v>
      </c>
      <c r="BI6" s="138">
        <f t="shared" si="9"/>
        <v>475385</v>
      </c>
      <c r="BK6" s="187">
        <v>244906</v>
      </c>
      <c r="BL6" s="139">
        <v>156164</v>
      </c>
      <c r="BM6" s="139">
        <v>53743</v>
      </c>
      <c r="BN6" s="139">
        <v>7862</v>
      </c>
      <c r="BO6" s="138">
        <f t="shared" si="10"/>
        <v>462675</v>
      </c>
      <c r="BQ6" s="491"/>
      <c r="BR6" s="490"/>
      <c r="BS6" s="490"/>
      <c r="BT6" s="490"/>
      <c r="BU6" s="1017"/>
    </row>
    <row r="7" spans="1:74" s="3" customFormat="1" ht="13.2">
      <c r="A7" s="140" t="s">
        <v>6</v>
      </c>
      <c r="C7" s="136">
        <v>224493</v>
      </c>
      <c r="D7" s="137">
        <v>159309</v>
      </c>
      <c r="E7" s="137">
        <v>45823</v>
      </c>
      <c r="F7" s="137">
        <v>4863</v>
      </c>
      <c r="G7" s="138">
        <f t="shared" si="0"/>
        <v>434488</v>
      </c>
      <c r="I7" s="136">
        <v>200145</v>
      </c>
      <c r="J7" s="137">
        <v>174346</v>
      </c>
      <c r="K7" s="137">
        <v>40107</v>
      </c>
      <c r="L7" s="137">
        <v>4967</v>
      </c>
      <c r="M7" s="138">
        <f t="shared" si="1"/>
        <v>419565</v>
      </c>
      <c r="O7" s="136">
        <v>233029</v>
      </c>
      <c r="P7" s="137">
        <v>178026</v>
      </c>
      <c r="Q7" s="139">
        <v>41194</v>
      </c>
      <c r="R7" s="139">
        <v>5376</v>
      </c>
      <c r="S7" s="138">
        <f t="shared" si="2"/>
        <v>457625</v>
      </c>
      <c r="U7" s="136">
        <v>235064</v>
      </c>
      <c r="V7" s="137">
        <v>166087</v>
      </c>
      <c r="W7" s="139">
        <v>49703</v>
      </c>
      <c r="X7" s="139">
        <v>5768</v>
      </c>
      <c r="Y7" s="138">
        <f t="shared" si="3"/>
        <v>456622</v>
      </c>
      <c r="AA7" s="136">
        <v>242906</v>
      </c>
      <c r="AB7" s="137">
        <v>170437</v>
      </c>
      <c r="AC7" s="139">
        <v>51344</v>
      </c>
      <c r="AD7" s="139">
        <v>6277</v>
      </c>
      <c r="AE7" s="138">
        <f t="shared" si="4"/>
        <v>470964</v>
      </c>
      <c r="AG7" s="136">
        <v>252368</v>
      </c>
      <c r="AH7" s="137">
        <v>167983</v>
      </c>
      <c r="AI7" s="139">
        <v>58743</v>
      </c>
      <c r="AJ7" s="139">
        <v>6625</v>
      </c>
      <c r="AK7" s="138">
        <f t="shared" si="5"/>
        <v>485719</v>
      </c>
      <c r="AM7" s="136">
        <v>254322</v>
      </c>
      <c r="AN7" s="137">
        <v>150148</v>
      </c>
      <c r="AO7" s="139">
        <v>58655</v>
      </c>
      <c r="AP7" s="139">
        <v>6777</v>
      </c>
      <c r="AQ7" s="138">
        <f t="shared" si="6"/>
        <v>469902</v>
      </c>
      <c r="AS7" s="136">
        <v>241977</v>
      </c>
      <c r="AT7" s="137">
        <v>157624</v>
      </c>
      <c r="AU7" s="139">
        <v>55518</v>
      </c>
      <c r="AV7" s="139">
        <v>6987</v>
      </c>
      <c r="AW7" s="138">
        <f t="shared" si="7"/>
        <v>462106</v>
      </c>
      <c r="AY7" s="136">
        <v>240642</v>
      </c>
      <c r="AZ7" s="137">
        <v>149922</v>
      </c>
      <c r="BA7" s="139">
        <v>58035</v>
      </c>
      <c r="BB7" s="139">
        <v>7513</v>
      </c>
      <c r="BC7" s="138">
        <f t="shared" si="8"/>
        <v>456112</v>
      </c>
      <c r="BE7" s="136">
        <v>244599</v>
      </c>
      <c r="BF7" s="137">
        <v>157094</v>
      </c>
      <c r="BG7" s="139">
        <v>59986</v>
      </c>
      <c r="BH7" s="139">
        <v>7689</v>
      </c>
      <c r="BI7" s="138">
        <f t="shared" si="9"/>
        <v>469368</v>
      </c>
      <c r="BK7" s="187">
        <v>241911</v>
      </c>
      <c r="BL7" s="139">
        <v>161212</v>
      </c>
      <c r="BM7" s="139">
        <v>55774</v>
      </c>
      <c r="BN7" s="139">
        <v>7888</v>
      </c>
      <c r="BO7" s="138">
        <f t="shared" si="10"/>
        <v>466785</v>
      </c>
      <c r="BQ7" s="491"/>
      <c r="BR7" s="490"/>
      <c r="BS7" s="490"/>
      <c r="BT7" s="490"/>
      <c r="BU7" s="1017"/>
    </row>
    <row r="8" spans="1:74" s="3" customFormat="1" ht="13.2">
      <c r="A8" s="140" t="s">
        <v>7</v>
      </c>
      <c r="C8" s="136">
        <v>220504</v>
      </c>
      <c r="D8" s="137">
        <v>160905</v>
      </c>
      <c r="E8" s="137">
        <v>45962</v>
      </c>
      <c r="F8" s="137">
        <v>4874</v>
      </c>
      <c r="G8" s="138">
        <f t="shared" si="0"/>
        <v>432245</v>
      </c>
      <c r="I8" s="136">
        <v>238313</v>
      </c>
      <c r="J8" s="137">
        <v>174522</v>
      </c>
      <c r="K8" s="137">
        <v>42150</v>
      </c>
      <c r="L8" s="137">
        <v>4970</v>
      </c>
      <c r="M8" s="138">
        <f t="shared" si="1"/>
        <v>459955</v>
      </c>
      <c r="O8" s="136">
        <v>235317</v>
      </c>
      <c r="P8" s="137">
        <v>177927</v>
      </c>
      <c r="Q8" s="139">
        <v>41340</v>
      </c>
      <c r="R8" s="139">
        <v>5391</v>
      </c>
      <c r="S8" s="138">
        <f t="shared" si="2"/>
        <v>459975</v>
      </c>
      <c r="U8" s="136">
        <v>245850</v>
      </c>
      <c r="V8" s="137">
        <v>188905</v>
      </c>
      <c r="W8" s="139">
        <v>50635</v>
      </c>
      <c r="X8" s="139">
        <v>5789</v>
      </c>
      <c r="Y8" s="138">
        <f t="shared" si="3"/>
        <v>491179</v>
      </c>
      <c r="AA8" s="136">
        <v>251017</v>
      </c>
      <c r="AB8" s="137">
        <v>179957</v>
      </c>
      <c r="AC8" s="139">
        <v>54957</v>
      </c>
      <c r="AD8" s="139">
        <v>6311</v>
      </c>
      <c r="AE8" s="138">
        <f t="shared" si="4"/>
        <v>492242</v>
      </c>
      <c r="AG8" s="136">
        <v>248343</v>
      </c>
      <c r="AH8" s="137">
        <v>165407</v>
      </c>
      <c r="AI8" s="139">
        <v>59034</v>
      </c>
      <c r="AJ8" s="139">
        <v>6627</v>
      </c>
      <c r="AK8" s="138">
        <f t="shared" si="5"/>
        <v>479411</v>
      </c>
      <c r="AM8" s="136">
        <v>249379</v>
      </c>
      <c r="AN8" s="137">
        <v>155033</v>
      </c>
      <c r="AO8" s="139">
        <v>58459</v>
      </c>
      <c r="AP8" s="139">
        <v>6778</v>
      </c>
      <c r="AQ8" s="138">
        <f t="shared" si="6"/>
        <v>469649</v>
      </c>
      <c r="AS8" s="136">
        <v>257642</v>
      </c>
      <c r="AT8" s="137">
        <v>166323</v>
      </c>
      <c r="AU8" s="139">
        <v>59446</v>
      </c>
      <c r="AV8" s="139">
        <v>7010</v>
      </c>
      <c r="AW8" s="138">
        <f t="shared" si="7"/>
        <v>490421</v>
      </c>
      <c r="AY8" s="136">
        <v>253847</v>
      </c>
      <c r="AZ8" s="137">
        <v>160600</v>
      </c>
      <c r="BA8" s="139">
        <v>62990</v>
      </c>
      <c r="BB8" s="139">
        <v>7518</v>
      </c>
      <c r="BC8" s="138">
        <f t="shared" si="8"/>
        <v>484955</v>
      </c>
      <c r="BE8" s="436">
        <v>263450</v>
      </c>
      <c r="BF8" s="194">
        <v>169600</v>
      </c>
      <c r="BG8" s="192">
        <v>64021</v>
      </c>
      <c r="BH8" s="192">
        <v>7725</v>
      </c>
      <c r="BI8" s="138">
        <f>SUM(BE8:BH8)</f>
        <v>504796</v>
      </c>
      <c r="BK8" s="496">
        <v>263817</v>
      </c>
      <c r="BL8" s="492">
        <v>166776</v>
      </c>
      <c r="BM8" s="490">
        <v>59213</v>
      </c>
      <c r="BN8" s="490">
        <v>7914</v>
      </c>
      <c r="BO8" s="138">
        <f t="shared" si="10"/>
        <v>497720</v>
      </c>
      <c r="BQ8" s="496"/>
      <c r="BR8" s="492"/>
      <c r="BS8" s="490"/>
      <c r="BT8" s="490"/>
      <c r="BU8" s="1017"/>
    </row>
    <row r="9" spans="1:74" s="3" customFormat="1" ht="13.2">
      <c r="A9" s="140" t="s">
        <v>8</v>
      </c>
      <c r="C9" s="136">
        <v>232409</v>
      </c>
      <c r="D9" s="137">
        <v>171401</v>
      </c>
      <c r="E9" s="137">
        <v>48836</v>
      </c>
      <c r="F9" s="137">
        <v>4864</v>
      </c>
      <c r="G9" s="138">
        <f t="shared" si="0"/>
        <v>457510</v>
      </c>
      <c r="I9" s="136">
        <v>243761</v>
      </c>
      <c r="J9" s="137">
        <v>178672</v>
      </c>
      <c r="K9" s="137">
        <v>48129</v>
      </c>
      <c r="L9" s="137">
        <v>4998</v>
      </c>
      <c r="M9" s="138">
        <f t="shared" si="1"/>
        <v>475560</v>
      </c>
      <c r="O9" s="136">
        <v>252086</v>
      </c>
      <c r="P9" s="137">
        <v>189816</v>
      </c>
      <c r="Q9" s="139">
        <v>44299</v>
      </c>
      <c r="R9" s="139">
        <v>5457</v>
      </c>
      <c r="S9" s="138">
        <f t="shared" si="2"/>
        <v>491658</v>
      </c>
      <c r="U9" s="136">
        <v>261826</v>
      </c>
      <c r="V9" s="137">
        <v>183101</v>
      </c>
      <c r="W9" s="139">
        <v>49691</v>
      </c>
      <c r="X9" s="139">
        <v>5787</v>
      </c>
      <c r="Y9" s="138">
        <f t="shared" si="3"/>
        <v>500405</v>
      </c>
      <c r="AA9" s="136">
        <v>263857</v>
      </c>
      <c r="AB9" s="137">
        <v>188327</v>
      </c>
      <c r="AC9" s="139">
        <v>56675</v>
      </c>
      <c r="AD9" s="139">
        <v>6312</v>
      </c>
      <c r="AE9" s="138">
        <f t="shared" si="4"/>
        <v>515171</v>
      </c>
      <c r="AG9" s="136">
        <v>265813</v>
      </c>
      <c r="AH9" s="137">
        <v>177293</v>
      </c>
      <c r="AI9" s="139">
        <v>63496</v>
      </c>
      <c r="AJ9" s="139">
        <v>6627</v>
      </c>
      <c r="AK9" s="138">
        <f t="shared" si="5"/>
        <v>513229</v>
      </c>
      <c r="AM9" s="136">
        <v>261374</v>
      </c>
      <c r="AN9" s="137">
        <v>156083</v>
      </c>
      <c r="AO9" s="139">
        <v>61604</v>
      </c>
      <c r="AP9" s="139">
        <v>6786</v>
      </c>
      <c r="AQ9" s="138">
        <f t="shared" si="6"/>
        <v>485847</v>
      </c>
      <c r="AS9" s="136">
        <v>264471</v>
      </c>
      <c r="AT9" s="137">
        <v>168523</v>
      </c>
      <c r="AU9" s="139">
        <v>57469</v>
      </c>
      <c r="AV9" s="139">
        <v>7032</v>
      </c>
      <c r="AW9" s="138">
        <f t="shared" si="7"/>
        <v>497495</v>
      </c>
      <c r="AY9" s="136">
        <v>268327</v>
      </c>
      <c r="AZ9" s="137">
        <v>165730</v>
      </c>
      <c r="BA9" s="139">
        <v>63318</v>
      </c>
      <c r="BB9" s="139">
        <v>7526</v>
      </c>
      <c r="BC9" s="138">
        <f t="shared" si="8"/>
        <v>504901</v>
      </c>
      <c r="BE9" s="436">
        <v>272209</v>
      </c>
      <c r="BF9" s="194">
        <v>171525</v>
      </c>
      <c r="BG9" s="192">
        <v>64369</v>
      </c>
      <c r="BH9" s="192">
        <v>7750</v>
      </c>
      <c r="BI9" s="138">
        <f t="shared" si="9"/>
        <v>515853</v>
      </c>
      <c r="BK9" s="496">
        <v>271207</v>
      </c>
      <c r="BL9" s="492">
        <v>173302</v>
      </c>
      <c r="BM9" s="490">
        <v>60472</v>
      </c>
      <c r="BN9" s="490">
        <v>7925</v>
      </c>
      <c r="BO9" s="138">
        <f t="shared" si="10"/>
        <v>512906</v>
      </c>
      <c r="BQ9" s="496"/>
      <c r="BR9" s="492"/>
      <c r="BS9" s="490"/>
      <c r="BT9" s="490"/>
      <c r="BU9" s="1017"/>
    </row>
    <row r="10" spans="1:74" s="3" customFormat="1" ht="13.2">
      <c r="A10" s="140" t="s">
        <v>9</v>
      </c>
      <c r="C10" s="136">
        <v>235676</v>
      </c>
      <c r="D10" s="137">
        <v>173042</v>
      </c>
      <c r="E10" s="137">
        <v>48000</v>
      </c>
      <c r="F10" s="137">
        <v>4866</v>
      </c>
      <c r="G10" s="138">
        <f t="shared" si="0"/>
        <v>461584</v>
      </c>
      <c r="I10" s="136">
        <v>240028</v>
      </c>
      <c r="J10" s="137">
        <v>183630</v>
      </c>
      <c r="K10" s="137">
        <v>39508</v>
      </c>
      <c r="L10" s="137">
        <v>5017</v>
      </c>
      <c r="M10" s="138">
        <f t="shared" si="1"/>
        <v>468183</v>
      </c>
      <c r="O10" s="136">
        <v>252717</v>
      </c>
      <c r="P10" s="137">
        <v>191155</v>
      </c>
      <c r="Q10" s="139">
        <v>46731</v>
      </c>
      <c r="R10" s="139">
        <v>5484</v>
      </c>
      <c r="S10" s="138">
        <f t="shared" si="2"/>
        <v>496087</v>
      </c>
      <c r="U10" s="136">
        <v>266072</v>
      </c>
      <c r="V10" s="137">
        <v>187617</v>
      </c>
      <c r="W10" s="139">
        <v>51473</v>
      </c>
      <c r="X10" s="139">
        <v>5828</v>
      </c>
      <c r="Y10" s="138">
        <f t="shared" si="3"/>
        <v>510990</v>
      </c>
      <c r="AA10" s="136">
        <v>256387</v>
      </c>
      <c r="AB10" s="137">
        <v>178650</v>
      </c>
      <c r="AC10" s="139">
        <v>55846</v>
      </c>
      <c r="AD10" s="139">
        <v>6341</v>
      </c>
      <c r="AE10" s="138">
        <f t="shared" si="4"/>
        <v>497224</v>
      </c>
      <c r="AG10" s="136">
        <v>258298</v>
      </c>
      <c r="AH10" s="137">
        <v>174090</v>
      </c>
      <c r="AI10" s="139">
        <v>64260</v>
      </c>
      <c r="AJ10" s="139">
        <v>6649</v>
      </c>
      <c r="AK10" s="138">
        <f t="shared" si="5"/>
        <v>503297</v>
      </c>
      <c r="AM10" s="136">
        <v>257697</v>
      </c>
      <c r="AN10" s="137">
        <v>158142</v>
      </c>
      <c r="AO10" s="139">
        <v>63208</v>
      </c>
      <c r="AP10" s="139">
        <v>6805</v>
      </c>
      <c r="AQ10" s="138">
        <f t="shared" si="6"/>
        <v>485852</v>
      </c>
      <c r="AS10" s="136">
        <v>270336</v>
      </c>
      <c r="AT10" s="137">
        <v>170188</v>
      </c>
      <c r="AU10" s="139">
        <v>62518</v>
      </c>
      <c r="AV10" s="139">
        <v>7062</v>
      </c>
      <c r="AW10" s="138">
        <f t="shared" si="7"/>
        <v>510104</v>
      </c>
      <c r="AY10" s="136">
        <v>270832</v>
      </c>
      <c r="AZ10" s="137">
        <v>170350</v>
      </c>
      <c r="BA10" s="139">
        <v>65384</v>
      </c>
      <c r="BB10" s="139">
        <v>7526</v>
      </c>
      <c r="BC10" s="138">
        <f t="shared" si="8"/>
        <v>514092</v>
      </c>
      <c r="BE10" s="436">
        <v>272952</v>
      </c>
      <c r="BF10" s="194">
        <v>170752</v>
      </c>
      <c r="BG10" s="192">
        <v>65621</v>
      </c>
      <c r="BH10" s="192">
        <v>7734</v>
      </c>
      <c r="BI10" s="138">
        <f t="shared" si="9"/>
        <v>517059</v>
      </c>
      <c r="BK10" s="496">
        <v>267373</v>
      </c>
      <c r="BL10" s="492">
        <v>176007</v>
      </c>
      <c r="BM10" s="490">
        <v>65460</v>
      </c>
      <c r="BN10" s="490">
        <v>7957</v>
      </c>
      <c r="BO10" s="138">
        <f t="shared" si="10"/>
        <v>516797</v>
      </c>
      <c r="BQ10" s="496"/>
      <c r="BR10" s="492"/>
      <c r="BS10" s="490"/>
      <c r="BT10" s="490"/>
      <c r="BU10" s="1017"/>
    </row>
    <row r="11" spans="1:74" s="3" customFormat="1" ht="13.2">
      <c r="A11" s="140" t="s">
        <v>10</v>
      </c>
      <c r="C11" s="136">
        <v>234447</v>
      </c>
      <c r="D11" s="137">
        <v>170943</v>
      </c>
      <c r="E11" s="137">
        <v>48897</v>
      </c>
      <c r="F11" s="137">
        <v>4866</v>
      </c>
      <c r="G11" s="138">
        <f t="shared" si="0"/>
        <v>459153</v>
      </c>
      <c r="I11" s="136">
        <v>240178</v>
      </c>
      <c r="J11" s="137">
        <v>180263</v>
      </c>
      <c r="K11" s="137">
        <v>45961</v>
      </c>
      <c r="L11" s="137">
        <v>5054</v>
      </c>
      <c r="M11" s="138">
        <f t="shared" si="1"/>
        <v>471456</v>
      </c>
      <c r="O11" s="136">
        <v>247239</v>
      </c>
      <c r="P11" s="137">
        <v>192460</v>
      </c>
      <c r="Q11" s="139">
        <v>43786</v>
      </c>
      <c r="R11" s="139">
        <v>5513</v>
      </c>
      <c r="S11" s="138">
        <f t="shared" si="2"/>
        <v>488998</v>
      </c>
      <c r="U11" s="136">
        <v>260654</v>
      </c>
      <c r="V11" s="137">
        <v>189939</v>
      </c>
      <c r="W11" s="139">
        <v>51199</v>
      </c>
      <c r="X11" s="139">
        <v>5859</v>
      </c>
      <c r="Y11" s="138">
        <f t="shared" si="3"/>
        <v>507651</v>
      </c>
      <c r="AA11" s="136">
        <v>260868</v>
      </c>
      <c r="AB11" s="137">
        <v>191279</v>
      </c>
      <c r="AC11" s="139">
        <v>55455</v>
      </c>
      <c r="AD11" s="139">
        <v>6376</v>
      </c>
      <c r="AE11" s="138">
        <f t="shared" si="4"/>
        <v>513978</v>
      </c>
      <c r="AG11" s="136">
        <v>260311</v>
      </c>
      <c r="AH11" s="137">
        <v>173203</v>
      </c>
      <c r="AI11" s="139">
        <v>61551</v>
      </c>
      <c r="AJ11" s="139">
        <v>6689</v>
      </c>
      <c r="AK11" s="138">
        <f t="shared" si="5"/>
        <v>501754</v>
      </c>
      <c r="AM11" s="136">
        <v>265732</v>
      </c>
      <c r="AN11" s="137">
        <v>160979</v>
      </c>
      <c r="AO11" s="139">
        <v>64048</v>
      </c>
      <c r="AP11" s="139">
        <v>6811</v>
      </c>
      <c r="AQ11" s="138">
        <f t="shared" si="6"/>
        <v>497570</v>
      </c>
      <c r="AS11" s="136">
        <v>263758</v>
      </c>
      <c r="AT11" s="137">
        <v>168870</v>
      </c>
      <c r="AU11" s="139">
        <v>61532</v>
      </c>
      <c r="AV11" s="139">
        <v>7061</v>
      </c>
      <c r="AW11" s="138">
        <f t="shared" si="7"/>
        <v>501221</v>
      </c>
      <c r="AY11" s="136">
        <v>266521</v>
      </c>
      <c r="AZ11" s="137">
        <v>164534</v>
      </c>
      <c r="BA11" s="139">
        <v>66145</v>
      </c>
      <c r="BB11" s="139">
        <v>7569</v>
      </c>
      <c r="BC11" s="138">
        <f t="shared" si="8"/>
        <v>504769</v>
      </c>
      <c r="BE11" s="436">
        <v>267504</v>
      </c>
      <c r="BF11" s="194">
        <v>165932</v>
      </c>
      <c r="BG11" s="192">
        <v>66482</v>
      </c>
      <c r="BH11" s="192">
        <v>7748</v>
      </c>
      <c r="BI11" s="138">
        <f t="shared" si="9"/>
        <v>507666</v>
      </c>
      <c r="BK11" s="496">
        <v>260532</v>
      </c>
      <c r="BL11" s="492">
        <v>174842</v>
      </c>
      <c r="BM11" s="490">
        <v>63258</v>
      </c>
      <c r="BN11" s="490">
        <v>7975</v>
      </c>
      <c r="BO11" s="138">
        <f t="shared" si="10"/>
        <v>506607</v>
      </c>
      <c r="BQ11" s="496"/>
      <c r="BR11" s="492"/>
      <c r="BS11" s="490"/>
      <c r="BT11" s="490"/>
      <c r="BU11" s="1017"/>
    </row>
    <row r="12" spans="1:74" s="3" customFormat="1" ht="13.2">
      <c r="A12" s="140" t="s">
        <v>11</v>
      </c>
      <c r="C12" s="136">
        <v>232512</v>
      </c>
      <c r="D12" s="137">
        <v>170186</v>
      </c>
      <c r="E12" s="137">
        <v>28930</v>
      </c>
      <c r="F12" s="137">
        <v>4903</v>
      </c>
      <c r="G12" s="138">
        <f t="shared" si="0"/>
        <v>436531</v>
      </c>
      <c r="I12" s="136">
        <v>241622</v>
      </c>
      <c r="J12" s="137">
        <v>180232</v>
      </c>
      <c r="K12" s="137">
        <v>44541</v>
      </c>
      <c r="L12" s="137">
        <v>5117</v>
      </c>
      <c r="M12" s="138">
        <f t="shared" si="1"/>
        <v>471512</v>
      </c>
      <c r="O12" s="136">
        <v>250488</v>
      </c>
      <c r="P12" s="137">
        <v>179188</v>
      </c>
      <c r="Q12" s="139">
        <v>46058</v>
      </c>
      <c r="R12" s="139">
        <v>5561</v>
      </c>
      <c r="S12" s="138">
        <f t="shared" si="2"/>
        <v>481295</v>
      </c>
      <c r="U12" s="136">
        <v>242459</v>
      </c>
      <c r="V12" s="137">
        <v>181115</v>
      </c>
      <c r="W12" s="139">
        <v>51764</v>
      </c>
      <c r="X12" s="139">
        <v>5940</v>
      </c>
      <c r="Y12" s="138">
        <f t="shared" si="3"/>
        <v>481278</v>
      </c>
      <c r="AA12" s="136">
        <v>263139</v>
      </c>
      <c r="AB12" s="137">
        <v>183128</v>
      </c>
      <c r="AC12" s="139">
        <v>56113</v>
      </c>
      <c r="AD12" s="139">
        <v>6508</v>
      </c>
      <c r="AE12" s="138">
        <f t="shared" si="4"/>
        <v>508888</v>
      </c>
      <c r="AG12" s="136">
        <v>264444</v>
      </c>
      <c r="AH12" s="137">
        <v>172361</v>
      </c>
      <c r="AI12" s="139">
        <v>61243</v>
      </c>
      <c r="AJ12" s="139">
        <v>6697</v>
      </c>
      <c r="AK12" s="138">
        <f t="shared" si="5"/>
        <v>504745</v>
      </c>
      <c r="AM12" s="136">
        <v>260809</v>
      </c>
      <c r="AN12" s="137">
        <v>158645</v>
      </c>
      <c r="AO12" s="139">
        <v>57409</v>
      </c>
      <c r="AP12" s="139">
        <v>6850</v>
      </c>
      <c r="AQ12" s="138">
        <f t="shared" si="6"/>
        <v>483713</v>
      </c>
      <c r="AS12" s="136">
        <v>266595</v>
      </c>
      <c r="AT12" s="137">
        <v>165456</v>
      </c>
      <c r="AU12" s="139">
        <v>64632</v>
      </c>
      <c r="AV12" s="139">
        <v>7062</v>
      </c>
      <c r="AW12" s="138">
        <f t="shared" si="7"/>
        <v>503745</v>
      </c>
      <c r="AY12" s="136">
        <v>266354</v>
      </c>
      <c r="AZ12" s="137">
        <v>163200</v>
      </c>
      <c r="BA12" s="139">
        <v>60982</v>
      </c>
      <c r="BB12" s="139">
        <v>7570</v>
      </c>
      <c r="BC12" s="138">
        <f t="shared" si="8"/>
        <v>498106</v>
      </c>
      <c r="BE12" s="436">
        <v>266281</v>
      </c>
      <c r="BF12" s="194">
        <v>162386</v>
      </c>
      <c r="BG12" s="192">
        <v>67675</v>
      </c>
      <c r="BH12" s="192">
        <v>7779</v>
      </c>
      <c r="BI12" s="138">
        <f t="shared" si="9"/>
        <v>504121</v>
      </c>
      <c r="BK12" s="496">
        <v>263699</v>
      </c>
      <c r="BL12" s="492">
        <v>174466</v>
      </c>
      <c r="BM12" s="490">
        <v>60215</v>
      </c>
      <c r="BN12" s="490">
        <v>7983</v>
      </c>
      <c r="BO12" s="138">
        <f>SUM(BK12:BN12)</f>
        <v>506363</v>
      </c>
      <c r="BQ12" s="496"/>
      <c r="BR12" s="492"/>
      <c r="BS12" s="490"/>
      <c r="BT12" s="490"/>
      <c r="BU12" s="1017"/>
    </row>
    <row r="13" spans="1:74" s="3" customFormat="1" ht="13.2">
      <c r="A13" s="140" t="s">
        <v>23</v>
      </c>
      <c r="C13" s="136">
        <v>227037</v>
      </c>
      <c r="D13" s="137">
        <v>167429</v>
      </c>
      <c r="E13" s="137">
        <v>32807</v>
      </c>
      <c r="F13" s="137">
        <v>4907</v>
      </c>
      <c r="G13" s="138">
        <f t="shared" si="0"/>
        <v>432180</v>
      </c>
      <c r="I13" s="136">
        <v>234200</v>
      </c>
      <c r="J13" s="137">
        <v>178269</v>
      </c>
      <c r="K13" s="137">
        <v>41126</v>
      </c>
      <c r="L13" s="137">
        <v>5128</v>
      </c>
      <c r="M13" s="138">
        <f t="shared" si="1"/>
        <v>458723</v>
      </c>
      <c r="O13" s="136">
        <v>246228</v>
      </c>
      <c r="P13" s="137">
        <v>191465</v>
      </c>
      <c r="Q13" s="139">
        <v>42865</v>
      </c>
      <c r="R13" s="139">
        <v>5574</v>
      </c>
      <c r="S13" s="138">
        <f t="shared" si="2"/>
        <v>486132</v>
      </c>
      <c r="U13" s="136">
        <v>254597</v>
      </c>
      <c r="V13" s="137">
        <v>175253</v>
      </c>
      <c r="W13" s="139">
        <v>48350</v>
      </c>
      <c r="X13" s="139">
        <v>5958</v>
      </c>
      <c r="Y13" s="138">
        <f t="shared" si="3"/>
        <v>484158</v>
      </c>
      <c r="AA13" s="136">
        <v>256586</v>
      </c>
      <c r="AB13" s="137">
        <v>178829</v>
      </c>
      <c r="AC13" s="139">
        <v>53541</v>
      </c>
      <c r="AD13" s="139">
        <v>6536</v>
      </c>
      <c r="AE13" s="138">
        <f t="shared" si="4"/>
        <v>495492</v>
      </c>
      <c r="AG13" s="136">
        <v>246511</v>
      </c>
      <c r="AH13" s="137">
        <v>162041</v>
      </c>
      <c r="AI13" s="139">
        <v>59199</v>
      </c>
      <c r="AJ13" s="139">
        <v>6716</v>
      </c>
      <c r="AK13" s="138">
        <f t="shared" si="5"/>
        <v>474467</v>
      </c>
      <c r="AM13" s="136">
        <v>244783</v>
      </c>
      <c r="AN13" s="137">
        <v>152529</v>
      </c>
      <c r="AO13" s="139">
        <v>53997</v>
      </c>
      <c r="AP13" s="139">
        <v>6935</v>
      </c>
      <c r="AQ13" s="138">
        <f t="shared" si="6"/>
        <v>458244</v>
      </c>
      <c r="AS13" s="136">
        <v>243681</v>
      </c>
      <c r="AT13" s="137">
        <v>157713</v>
      </c>
      <c r="AU13" s="139">
        <v>55675</v>
      </c>
      <c r="AV13" s="139">
        <v>7162</v>
      </c>
      <c r="AW13" s="138">
        <f t="shared" si="7"/>
        <v>464231</v>
      </c>
      <c r="AY13" s="136">
        <v>252475</v>
      </c>
      <c r="AZ13" s="137">
        <v>157876</v>
      </c>
      <c r="BA13" s="139">
        <v>59645</v>
      </c>
      <c r="BB13" s="139">
        <v>7584</v>
      </c>
      <c r="BC13" s="138">
        <f t="shared" si="8"/>
        <v>477580</v>
      </c>
      <c r="BE13" s="436">
        <v>248785</v>
      </c>
      <c r="BF13" s="194">
        <v>156889</v>
      </c>
      <c r="BG13" s="192">
        <v>60323</v>
      </c>
      <c r="BH13" s="192">
        <v>7831</v>
      </c>
      <c r="BI13" s="138">
        <f t="shared" si="9"/>
        <v>473828</v>
      </c>
      <c r="BK13" s="496">
        <v>249703</v>
      </c>
      <c r="BL13" s="492">
        <v>165885</v>
      </c>
      <c r="BM13" s="490">
        <v>55622</v>
      </c>
      <c r="BN13" s="490">
        <v>8015</v>
      </c>
      <c r="BO13" s="138">
        <f t="shared" si="10"/>
        <v>479225</v>
      </c>
      <c r="BQ13" s="496"/>
      <c r="BR13" s="492"/>
      <c r="BS13" s="490"/>
      <c r="BT13" s="490"/>
      <c r="BU13" s="1017"/>
    </row>
    <row r="14" spans="1:74" s="3" customFormat="1" ht="13.2">
      <c r="A14" s="140" t="s">
        <v>12</v>
      </c>
      <c r="C14" s="136">
        <v>221080</v>
      </c>
      <c r="D14" s="137">
        <v>164394</v>
      </c>
      <c r="E14" s="137">
        <v>39383</v>
      </c>
      <c r="F14" s="137">
        <v>4927</v>
      </c>
      <c r="G14" s="138">
        <f t="shared" si="0"/>
        <v>429784</v>
      </c>
      <c r="I14" s="136">
        <v>230873</v>
      </c>
      <c r="J14" s="137">
        <v>172315</v>
      </c>
      <c r="K14" s="137">
        <v>40622</v>
      </c>
      <c r="L14" s="137">
        <v>5158</v>
      </c>
      <c r="M14" s="138">
        <f t="shared" si="1"/>
        <v>448968</v>
      </c>
      <c r="O14" s="136">
        <v>236318</v>
      </c>
      <c r="P14" s="137">
        <v>179864</v>
      </c>
      <c r="Q14" s="139">
        <v>42079</v>
      </c>
      <c r="R14" s="139">
        <v>5596</v>
      </c>
      <c r="S14" s="138">
        <f t="shared" si="2"/>
        <v>463857</v>
      </c>
      <c r="U14" s="136">
        <v>239883</v>
      </c>
      <c r="V14" s="137">
        <v>171163</v>
      </c>
      <c r="W14" s="139">
        <v>47473</v>
      </c>
      <c r="X14" s="139">
        <v>5967</v>
      </c>
      <c r="Y14" s="138">
        <f t="shared" si="3"/>
        <v>464486</v>
      </c>
      <c r="AA14" s="136">
        <v>248423</v>
      </c>
      <c r="AB14" s="137">
        <v>169703</v>
      </c>
      <c r="AC14" s="139">
        <v>52298</v>
      </c>
      <c r="AD14" s="139">
        <v>6571</v>
      </c>
      <c r="AE14" s="138">
        <f t="shared" si="4"/>
        <v>476995</v>
      </c>
      <c r="AG14" s="136">
        <v>253311</v>
      </c>
      <c r="AH14" s="137">
        <v>157513</v>
      </c>
      <c r="AI14" s="139">
        <v>56454</v>
      </c>
      <c r="AJ14" s="139">
        <v>6728</v>
      </c>
      <c r="AK14" s="138">
        <f t="shared" si="5"/>
        <v>474006</v>
      </c>
      <c r="AM14" s="136">
        <v>245003</v>
      </c>
      <c r="AN14" s="137">
        <v>150935</v>
      </c>
      <c r="AO14" s="139">
        <v>53661</v>
      </c>
      <c r="AP14" s="139">
        <v>6945</v>
      </c>
      <c r="AQ14" s="138">
        <f t="shared" si="6"/>
        <v>456544</v>
      </c>
      <c r="AS14" s="136">
        <v>240800</v>
      </c>
      <c r="AT14" s="137">
        <v>153769</v>
      </c>
      <c r="AU14" s="139">
        <v>50715</v>
      </c>
      <c r="AV14" s="139">
        <v>7267</v>
      </c>
      <c r="AW14" s="138">
        <f t="shared" si="7"/>
        <v>452551</v>
      </c>
      <c r="AY14" s="136">
        <v>241584</v>
      </c>
      <c r="AZ14" s="137">
        <v>156187</v>
      </c>
      <c r="BA14" s="139">
        <v>58190</v>
      </c>
      <c r="BB14" s="139">
        <v>7592</v>
      </c>
      <c r="BC14" s="138">
        <f t="shared" si="8"/>
        <v>463553</v>
      </c>
      <c r="BE14" s="436">
        <v>246454</v>
      </c>
      <c r="BF14" s="194">
        <v>158455</v>
      </c>
      <c r="BG14" s="192">
        <v>59126</v>
      </c>
      <c r="BH14" s="192">
        <v>7842</v>
      </c>
      <c r="BI14" s="138">
        <f t="shared" si="9"/>
        <v>471877</v>
      </c>
      <c r="BK14" s="496">
        <v>243119</v>
      </c>
      <c r="BL14" s="492">
        <v>161049</v>
      </c>
      <c r="BM14" s="490">
        <v>54683</v>
      </c>
      <c r="BN14" s="490">
        <v>8021</v>
      </c>
      <c r="BO14" s="138">
        <f t="shared" si="10"/>
        <v>466872</v>
      </c>
      <c r="BQ14" s="496"/>
      <c r="BR14" s="492"/>
      <c r="BS14" s="490"/>
      <c r="BT14" s="490"/>
      <c r="BU14" s="1017"/>
    </row>
    <row r="15" spans="1:74" s="3" customFormat="1" ht="13.8" thickBot="1">
      <c r="A15" s="141" t="s">
        <v>13</v>
      </c>
      <c r="C15" s="136">
        <v>216316</v>
      </c>
      <c r="D15" s="137">
        <v>153665</v>
      </c>
      <c r="E15" s="137">
        <v>46389</v>
      </c>
      <c r="F15" s="137">
        <v>4763</v>
      </c>
      <c r="G15" s="138">
        <f t="shared" si="0"/>
        <v>421133</v>
      </c>
      <c r="I15" s="136">
        <v>238116</v>
      </c>
      <c r="J15" s="137">
        <v>171603</v>
      </c>
      <c r="K15" s="137">
        <v>42688</v>
      </c>
      <c r="L15" s="137">
        <v>5211</v>
      </c>
      <c r="M15" s="138">
        <f t="shared" si="1"/>
        <v>457618</v>
      </c>
      <c r="O15" s="136">
        <v>241682</v>
      </c>
      <c r="P15" s="137">
        <v>168672</v>
      </c>
      <c r="Q15" s="139">
        <v>43073</v>
      </c>
      <c r="R15" s="139">
        <v>5680</v>
      </c>
      <c r="S15" s="138">
        <f t="shared" si="2"/>
        <v>459107</v>
      </c>
      <c r="U15" s="136">
        <v>242169</v>
      </c>
      <c r="V15" s="137">
        <v>172887</v>
      </c>
      <c r="W15" s="139">
        <v>47614</v>
      </c>
      <c r="X15" s="139">
        <v>6015</v>
      </c>
      <c r="Y15" s="138">
        <f t="shared" si="3"/>
        <v>468685</v>
      </c>
      <c r="AA15" s="136">
        <v>251257</v>
      </c>
      <c r="AB15" s="137">
        <v>157215</v>
      </c>
      <c r="AC15" s="139">
        <v>56019</v>
      </c>
      <c r="AD15" s="139">
        <v>6573</v>
      </c>
      <c r="AE15" s="138">
        <f t="shared" si="4"/>
        <v>471064</v>
      </c>
      <c r="AG15" s="136">
        <v>251613</v>
      </c>
      <c r="AH15" s="137">
        <v>150885</v>
      </c>
      <c r="AI15" s="139">
        <v>58103</v>
      </c>
      <c r="AJ15" s="139">
        <v>6737</v>
      </c>
      <c r="AK15" s="138">
        <f t="shared" si="5"/>
        <v>467338</v>
      </c>
      <c r="AM15" s="136">
        <v>250893</v>
      </c>
      <c r="AN15" s="137">
        <v>148754</v>
      </c>
      <c r="AO15" s="139">
        <v>54074</v>
      </c>
      <c r="AP15" s="139">
        <v>6956</v>
      </c>
      <c r="AQ15" s="138">
        <f t="shared" si="6"/>
        <v>460677</v>
      </c>
      <c r="AS15" s="136">
        <v>249274</v>
      </c>
      <c r="AT15" s="137">
        <v>149964</v>
      </c>
      <c r="AU15" s="139">
        <v>54815</v>
      </c>
      <c r="AV15" s="139">
        <v>7338</v>
      </c>
      <c r="AW15" s="138">
        <f t="shared" si="7"/>
        <v>461391</v>
      </c>
      <c r="AY15" s="136">
        <v>246438</v>
      </c>
      <c r="AZ15" s="137">
        <v>154351</v>
      </c>
      <c r="BA15" s="139">
        <v>55719</v>
      </c>
      <c r="BB15" s="139">
        <v>7623</v>
      </c>
      <c r="BC15" s="138">
        <f t="shared" si="8"/>
        <v>464131</v>
      </c>
      <c r="BE15" s="436">
        <v>245997</v>
      </c>
      <c r="BF15" s="194">
        <v>152500</v>
      </c>
      <c r="BG15" s="192">
        <v>56855</v>
      </c>
      <c r="BH15" s="192">
        <v>7880</v>
      </c>
      <c r="BI15" s="138">
        <f t="shared" si="9"/>
        <v>463232</v>
      </c>
      <c r="BK15" s="496">
        <v>248064</v>
      </c>
      <c r="BL15" s="492">
        <v>161730</v>
      </c>
      <c r="BM15" s="490">
        <v>57820</v>
      </c>
      <c r="BN15" s="490">
        <v>8044</v>
      </c>
      <c r="BO15" s="138">
        <f t="shared" si="10"/>
        <v>475658</v>
      </c>
      <c r="BQ15" s="496"/>
      <c r="BR15" s="492"/>
      <c r="BS15" s="490"/>
      <c r="BT15" s="490"/>
      <c r="BU15" s="1017"/>
    </row>
    <row r="16" spans="1:74" s="3" customFormat="1" ht="13.8" thickBot="1">
      <c r="C16" s="136"/>
      <c r="D16" s="137"/>
      <c r="E16" s="137"/>
      <c r="F16" s="137"/>
      <c r="G16" s="129"/>
      <c r="I16" s="136"/>
      <c r="J16" s="137"/>
      <c r="K16" s="137"/>
      <c r="L16" s="137"/>
      <c r="M16" s="129"/>
      <c r="O16" s="136"/>
      <c r="P16" s="137"/>
      <c r="Q16" s="139"/>
      <c r="R16" s="139"/>
      <c r="S16" s="129"/>
      <c r="U16" s="136"/>
      <c r="V16" s="137"/>
      <c r="W16" s="139"/>
      <c r="X16" s="139"/>
      <c r="Y16" s="129"/>
      <c r="AA16" s="136"/>
      <c r="AB16" s="137"/>
      <c r="AC16" s="139"/>
      <c r="AD16" s="139"/>
      <c r="AE16" s="142"/>
      <c r="AG16" s="136"/>
      <c r="AH16" s="137"/>
      <c r="AI16" s="139"/>
      <c r="AJ16" s="139"/>
      <c r="AK16" s="129"/>
      <c r="AM16" s="136"/>
      <c r="AN16" s="137"/>
      <c r="AO16" s="139"/>
      <c r="AP16" s="139"/>
      <c r="AQ16" s="142"/>
      <c r="AS16" s="136"/>
      <c r="AT16" s="137"/>
      <c r="AU16" s="139"/>
      <c r="AV16" s="139"/>
      <c r="AW16" s="142"/>
      <c r="AY16" s="136"/>
      <c r="AZ16" s="137"/>
      <c r="BA16" s="139"/>
      <c r="BB16" s="139"/>
      <c r="BC16" s="142"/>
      <c r="BE16" s="136"/>
      <c r="BF16" s="137"/>
      <c r="BG16" s="139"/>
      <c r="BH16" s="139"/>
      <c r="BI16" s="142"/>
      <c r="BK16" s="136"/>
      <c r="BL16" s="137"/>
      <c r="BM16" s="139"/>
      <c r="BN16" s="139"/>
      <c r="BO16" s="142"/>
      <c r="BQ16" s="136"/>
      <c r="BR16" s="137"/>
      <c r="BS16" s="139"/>
      <c r="BT16" s="139"/>
      <c r="BU16" s="142"/>
    </row>
    <row r="17" spans="1:73" s="73" customFormat="1" ht="13.8" thickBot="1">
      <c r="A17" s="143" t="s">
        <v>0</v>
      </c>
      <c r="C17" s="144">
        <f>SUM(C4:C15)</f>
        <v>2726683</v>
      </c>
      <c r="D17" s="145">
        <f>SUM(D4:D15)</f>
        <v>1956285</v>
      </c>
      <c r="E17" s="145">
        <f>SUM(E4:E15)</f>
        <v>531189</v>
      </c>
      <c r="F17" s="145">
        <f>SUM(F4:F15)</f>
        <v>58415</v>
      </c>
      <c r="G17" s="146">
        <f>SUM(G4:G15)</f>
        <v>5272572</v>
      </c>
      <c r="I17" s="144">
        <f>SUM(I4:I15)</f>
        <v>2792673</v>
      </c>
      <c r="J17" s="145">
        <f>SUM(J4:J15)</f>
        <v>2104962</v>
      </c>
      <c r="K17" s="145">
        <f>SUM(K4:K15)</f>
        <v>505001</v>
      </c>
      <c r="L17" s="145">
        <f>SUM(L4:L15)</f>
        <v>60474</v>
      </c>
      <c r="M17" s="146">
        <f>SUM(M4:M15)</f>
        <v>5463110</v>
      </c>
      <c r="O17" s="144">
        <f>SUM(O4:O15)</f>
        <v>2901457</v>
      </c>
      <c r="P17" s="145">
        <f>SUM(P4:P15)</f>
        <v>2167872</v>
      </c>
      <c r="Q17" s="145">
        <f>SUM(Q4:Q15)</f>
        <v>515785</v>
      </c>
      <c r="R17" s="145">
        <f>SUM(R4:R15)</f>
        <v>65522</v>
      </c>
      <c r="S17" s="146">
        <f>SUM(S4:S15)</f>
        <v>5650636</v>
      </c>
      <c r="U17" s="144">
        <f>SUM(U4:U15)</f>
        <v>2962866</v>
      </c>
      <c r="V17" s="145">
        <f>SUM(V4:V15)</f>
        <v>2137488</v>
      </c>
      <c r="W17" s="145">
        <f>SUM(W4:W15)</f>
        <v>589471</v>
      </c>
      <c r="X17" s="145">
        <f>SUM(X4:X15)</f>
        <v>70150</v>
      </c>
      <c r="Y17" s="146">
        <f>SUM(Y4:Y15)</f>
        <v>5759975</v>
      </c>
      <c r="AA17" s="144">
        <f>SUM(AA4:AA15)</f>
        <v>3039974</v>
      </c>
      <c r="AB17" s="145">
        <f>SUM(AB4:AB15)</f>
        <v>2106615</v>
      </c>
      <c r="AC17" s="145">
        <f>SUM(AC4:AC15)</f>
        <v>639861</v>
      </c>
      <c r="AD17" s="145">
        <f>SUM(AD4:AD15)</f>
        <v>76385</v>
      </c>
      <c r="AE17" s="147">
        <f>SUM(AE4:AE15)</f>
        <v>5862835</v>
      </c>
      <c r="AG17" s="144">
        <f>SUM(AG4:AG15)</f>
        <v>3064109</v>
      </c>
      <c r="AH17" s="145">
        <f>SUM(AH4:AH15)</f>
        <v>1976551</v>
      </c>
      <c r="AI17" s="145">
        <f>SUM(AI4:AI15)</f>
        <v>712935</v>
      </c>
      <c r="AJ17" s="145">
        <f>SUM(AJ4:AJ15)</f>
        <v>79929</v>
      </c>
      <c r="AK17" s="146">
        <f>SUM(AK4:AK15)</f>
        <v>5833524</v>
      </c>
      <c r="AM17" s="144">
        <f>SUM(AM4:AM15)</f>
        <v>3049119</v>
      </c>
      <c r="AN17" s="145">
        <f>SUM(AN4:AN15)</f>
        <v>1839970</v>
      </c>
      <c r="AO17" s="145">
        <f>SUM(AO4:AO15)</f>
        <v>696851</v>
      </c>
      <c r="AP17" s="145">
        <f>SUM(AP4:AP15)</f>
        <v>81921</v>
      </c>
      <c r="AQ17" s="147">
        <f>SUM(AQ4:AQ15)</f>
        <v>5667861</v>
      </c>
      <c r="AS17" s="144">
        <f>SUM(AS4:AS15)</f>
        <v>3049813</v>
      </c>
      <c r="AT17" s="145">
        <f>SUM(AT4:AT15)</f>
        <v>1916781</v>
      </c>
      <c r="AU17" s="145">
        <f>SUM(AU4:AU15)</f>
        <v>684290</v>
      </c>
      <c r="AV17" s="145">
        <f>SUM(AV4:AV15)</f>
        <v>84893</v>
      </c>
      <c r="AW17" s="147">
        <f>SUM(AW4:AW15)</f>
        <v>5735777</v>
      </c>
      <c r="AY17" s="144">
        <f>SUM(AY4:AY15)</f>
        <v>3051053</v>
      </c>
      <c r="AZ17" s="145">
        <f>SUM(AZ4:AZ15)</f>
        <v>1894300</v>
      </c>
      <c r="BA17" s="145">
        <f>SUM(BA4:BA15)</f>
        <v>716743</v>
      </c>
      <c r="BB17" s="145">
        <f>SUM(BB4:BB15)</f>
        <v>90235</v>
      </c>
      <c r="BC17" s="147">
        <f>SUM(BC4:BC15)</f>
        <v>5752331</v>
      </c>
      <c r="BE17" s="144">
        <f>SUM(BE4:BE15)</f>
        <v>3074186</v>
      </c>
      <c r="BF17" s="145">
        <f>SUM(BF4:BF15)</f>
        <v>1928037</v>
      </c>
      <c r="BG17" s="145">
        <f>SUM(BG4:BG15)</f>
        <v>736260</v>
      </c>
      <c r="BH17" s="145">
        <f>SUM(BH4:BH15)</f>
        <v>92995</v>
      </c>
      <c r="BI17" s="147">
        <f>SUM(BI4:BI15)</f>
        <v>5831478</v>
      </c>
      <c r="BK17" s="144">
        <f>SUM(BK4:BK15)</f>
        <v>3051058</v>
      </c>
      <c r="BL17" s="145">
        <f>SUM(BL4:BL15)</f>
        <v>1980476</v>
      </c>
      <c r="BM17" s="145">
        <f>SUM(BM4:BM15)</f>
        <v>701011</v>
      </c>
      <c r="BN17" s="145">
        <f>SUM(BN4:BN15)</f>
        <v>95410</v>
      </c>
      <c r="BO17" s="147">
        <f>SUM(BO4:BO15)</f>
        <v>5827955</v>
      </c>
      <c r="BQ17" s="144">
        <f>SUM(BQ4:BQ15)</f>
        <v>0</v>
      </c>
      <c r="BR17" s="145">
        <f>SUM(BR4:BR15)</f>
        <v>0</v>
      </c>
      <c r="BS17" s="145">
        <f>SUM(BS4:BS15)</f>
        <v>0</v>
      </c>
      <c r="BT17" s="145">
        <f>SUM(BT4:BT15)</f>
        <v>0</v>
      </c>
      <c r="BU17" s="147">
        <f>SUM(BU4:BU15)</f>
        <v>0</v>
      </c>
    </row>
    <row r="18" spans="1:73" s="3" customFormat="1" ht="13.8" thickBot="1">
      <c r="C18" s="148"/>
      <c r="D18" s="133"/>
      <c r="E18" s="132"/>
      <c r="F18" s="132"/>
      <c r="G18" s="149"/>
      <c r="I18" s="150"/>
      <c r="J18" s="121"/>
      <c r="K18" s="151"/>
      <c r="L18" s="151"/>
      <c r="M18" s="152"/>
      <c r="O18" s="150"/>
      <c r="P18" s="121"/>
      <c r="Q18" s="151"/>
      <c r="R18" s="151"/>
      <c r="S18" s="152"/>
      <c r="U18" s="148"/>
      <c r="V18" s="133"/>
      <c r="W18" s="132"/>
      <c r="X18" s="132"/>
      <c r="Y18" s="149"/>
      <c r="AA18" s="150"/>
      <c r="AB18" s="121"/>
      <c r="AC18" s="119"/>
      <c r="AD18" s="119"/>
      <c r="AE18" s="153"/>
      <c r="AG18" s="154"/>
      <c r="AH18" s="119"/>
      <c r="AI18" s="119"/>
      <c r="AJ18" s="119"/>
      <c r="AK18" s="130"/>
      <c r="AM18" s="154"/>
      <c r="AN18" s="119"/>
      <c r="AO18" s="119"/>
      <c r="AP18" s="119"/>
      <c r="AQ18" s="130"/>
      <c r="AS18" s="154"/>
      <c r="AT18" s="119"/>
      <c r="AU18" s="119"/>
      <c r="AV18" s="119"/>
      <c r="AW18" s="130"/>
      <c r="AY18" s="154"/>
      <c r="AZ18" s="119"/>
      <c r="BA18" s="119"/>
      <c r="BB18" s="119"/>
      <c r="BC18" s="130"/>
      <c r="BE18" s="154"/>
      <c r="BF18" s="119"/>
      <c r="BG18" s="119"/>
      <c r="BH18" s="119"/>
      <c r="BI18" s="130"/>
      <c r="BK18" s="154"/>
      <c r="BL18" s="119"/>
      <c r="BM18" s="119"/>
      <c r="BN18" s="119"/>
      <c r="BO18" s="130"/>
      <c r="BQ18" s="154"/>
      <c r="BR18" s="119"/>
      <c r="BS18" s="119"/>
      <c r="BT18" s="119"/>
      <c r="BU18" s="130"/>
    </row>
    <row r="19" spans="1:73">
      <c r="Q19" s="156"/>
    </row>
    <row r="20" spans="1:73" s="66" customFormat="1">
      <c r="C20" s="155"/>
      <c r="D20" s="155"/>
      <c r="I20" s="155"/>
      <c r="J20" s="155"/>
      <c r="O20" s="156"/>
      <c r="P20" s="156"/>
      <c r="Q20" s="156"/>
      <c r="R20" s="156"/>
      <c r="S20" s="156"/>
      <c r="U20" s="157"/>
      <c r="V20" s="157"/>
      <c r="W20" s="157"/>
      <c r="X20" s="157"/>
      <c r="Y20" s="157"/>
      <c r="AG20" s="158"/>
      <c r="AH20" s="158"/>
      <c r="AI20" s="158"/>
      <c r="AJ20" s="158"/>
      <c r="AK20" s="158"/>
    </row>
    <row r="21" spans="1:73" s="66" customFormat="1" ht="13.2">
      <c r="C21" s="159"/>
      <c r="D21" s="159"/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S21" s="159"/>
      <c r="AT21" s="159"/>
      <c r="AU21" s="159"/>
      <c r="AV21" s="159"/>
      <c r="AW21" s="159"/>
      <c r="AY21"/>
      <c r="AZ21"/>
      <c r="BA21"/>
      <c r="BB21"/>
      <c r="BC21"/>
      <c r="BD21"/>
      <c r="BE21"/>
      <c r="BF21"/>
      <c r="BG21"/>
      <c r="BH21" s="159"/>
      <c r="BI21" s="159"/>
      <c r="BK21"/>
      <c r="BL21"/>
      <c r="BM21"/>
      <c r="BN21" s="159"/>
      <c r="BO21" s="159"/>
    </row>
    <row r="22" spans="1:73">
      <c r="Q22" s="156"/>
    </row>
    <row r="23" spans="1:73">
      <c r="Q23" s="156"/>
      <c r="BH23" s="487"/>
      <c r="BI23" s="487"/>
      <c r="BJ23" s="487"/>
      <c r="BK23" s="437"/>
      <c r="BL23" s="437"/>
      <c r="BM23" s="437"/>
      <c r="BN23" s="437"/>
      <c r="BO23" s="437"/>
      <c r="BP23" s="437"/>
      <c r="BQ23" s="437"/>
      <c r="BR23" s="437"/>
      <c r="BS23" s="487"/>
      <c r="BT23" s="495"/>
    </row>
    <row r="24" spans="1:73">
      <c r="Q24" s="156"/>
      <c r="BH24" s="495"/>
      <c r="BI24" s="495"/>
      <c r="BJ24" s="495"/>
      <c r="BK24" s="437"/>
      <c r="BL24" s="437"/>
      <c r="BM24" s="437"/>
      <c r="BN24" s="437"/>
      <c r="BO24" s="437"/>
      <c r="BP24" s="437"/>
      <c r="BQ24" s="437"/>
      <c r="BR24" s="437"/>
      <c r="BS24" s="495"/>
      <c r="BT24" s="495"/>
    </row>
    <row r="25" spans="1:73">
      <c r="Q25" s="156"/>
      <c r="BH25" s="487"/>
      <c r="BI25" s="487"/>
      <c r="BJ25" s="487"/>
      <c r="BK25" s="437"/>
      <c r="BL25" s="437"/>
      <c r="BM25" s="437"/>
      <c r="BN25" s="437"/>
      <c r="BO25" s="437"/>
      <c r="BP25" s="437"/>
      <c r="BQ25" s="437"/>
      <c r="BR25" s="437"/>
      <c r="BS25" s="487"/>
      <c r="BT25" s="495"/>
    </row>
    <row r="26" spans="1:73">
      <c r="Q26" s="156"/>
      <c r="BH26" s="486"/>
      <c r="BI26" s="486"/>
      <c r="BJ26" s="486"/>
      <c r="BK26" s="486"/>
      <c r="BL26" s="486"/>
      <c r="BM26" s="486"/>
      <c r="BN26" s="486"/>
      <c r="BO26" s="486"/>
      <c r="BP26" s="486"/>
      <c r="BQ26" s="486"/>
      <c r="BR26" s="486"/>
      <c r="BS26" s="486"/>
      <c r="BT26" s="495"/>
    </row>
    <row r="27" spans="1:73">
      <c r="Q27" s="156"/>
      <c r="BH27" s="488"/>
      <c r="BI27" s="488"/>
      <c r="BJ27" s="488"/>
      <c r="BK27" s="488"/>
      <c r="BL27" s="488"/>
      <c r="BM27" s="488"/>
      <c r="BN27" s="488"/>
      <c r="BO27" s="488"/>
      <c r="BP27" s="488"/>
      <c r="BQ27" s="488"/>
      <c r="BR27" s="488"/>
      <c r="BS27" s="488"/>
      <c r="BT27" s="495"/>
    </row>
    <row r="28" spans="1:73">
      <c r="Q28" s="156"/>
      <c r="BH28" s="495"/>
      <c r="BI28" s="495"/>
      <c r="BJ28" s="495"/>
      <c r="BK28" s="495"/>
      <c r="BL28" s="495"/>
      <c r="BM28" s="495"/>
      <c r="BN28" s="495"/>
      <c r="BO28" s="495"/>
      <c r="BP28" s="495"/>
      <c r="BQ28" s="495"/>
      <c r="BR28" s="495"/>
      <c r="BS28" s="495"/>
      <c r="BT28" s="495"/>
    </row>
    <row r="29" spans="1:73">
      <c r="Q29" s="156"/>
    </row>
    <row r="30" spans="1:73">
      <c r="Q30" s="156"/>
    </row>
    <row r="31" spans="1:73">
      <c r="Q31" s="156"/>
    </row>
    <row r="32" spans="1:73">
      <c r="Q32" s="156"/>
    </row>
    <row r="33" spans="17:17">
      <c r="Q33" s="156"/>
    </row>
    <row r="34" spans="17:17">
      <c r="Q34" s="156"/>
    </row>
    <row r="35" spans="17:17">
      <c r="Q35" s="156"/>
    </row>
    <row r="36" spans="17:17">
      <c r="Q36" s="156"/>
    </row>
    <row r="37" spans="17:17">
      <c r="Q37" s="156"/>
    </row>
    <row r="38" spans="17:17">
      <c r="Q38" s="156"/>
    </row>
    <row r="39" spans="17:17">
      <c r="Q39" s="156"/>
    </row>
    <row r="40" spans="17:17">
      <c r="Q40" s="156"/>
    </row>
    <row r="41" spans="17:17">
      <c r="Q41" s="156"/>
    </row>
    <row r="49" spans="17:17">
      <c r="Q49" s="653"/>
    </row>
    <row r="58" spans="17:17">
      <c r="Q58" s="653"/>
    </row>
    <row r="67" spans="17:17">
      <c r="Q67" s="653"/>
    </row>
  </sheetData>
  <mergeCells count="13">
    <mergeCell ref="BQ2:BT2"/>
    <mergeCell ref="BK2:BN2"/>
    <mergeCell ref="BE2:BH2"/>
    <mergeCell ref="AS2:AV2"/>
    <mergeCell ref="AY2:BB2"/>
    <mergeCell ref="A1:BP1"/>
    <mergeCell ref="AM2:AP2"/>
    <mergeCell ref="AG2:AJ2"/>
    <mergeCell ref="C2:F2"/>
    <mergeCell ref="I2:L2"/>
    <mergeCell ref="O2:R2"/>
    <mergeCell ref="U2:X2"/>
    <mergeCell ref="AA2:AD2"/>
  </mergeCells>
  <printOptions horizontalCentered="1"/>
  <pageMargins left="0.7" right="0.7" top="0.75" bottom="0.75" header="0.3" footer="0.3"/>
  <pageSetup scale="65" orientation="landscape" r:id="rId1"/>
  <colBreaks count="3" manualBreakCount="3">
    <brk id="14" max="1048575" man="1"/>
    <brk id="26" max="1048575" man="1"/>
    <brk id="38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B2:H37"/>
  <sheetViews>
    <sheetView showGridLines="0" workbookViewId="0">
      <selection activeCell="C21" sqref="C21"/>
    </sheetView>
  </sheetViews>
  <sheetFormatPr defaultColWidth="9.109375" defaultRowHeight="13.8"/>
  <cols>
    <col min="1" max="1" width="1" style="828" customWidth="1"/>
    <col min="2" max="2" width="32.5546875" style="828" customWidth="1"/>
    <col min="3" max="3" width="16.5546875" style="828" customWidth="1"/>
    <col min="4" max="4" width="15.88671875" style="828" customWidth="1"/>
    <col min="5" max="5" width="14" style="828" customWidth="1"/>
    <col min="6" max="6" width="12.88671875" style="828" customWidth="1"/>
    <col min="7" max="7" width="1.33203125" style="828" customWidth="1"/>
    <col min="8" max="16384" width="9.109375" style="828"/>
  </cols>
  <sheetData>
    <row r="2" spans="2:6">
      <c r="B2" s="934" t="s">
        <v>351</v>
      </c>
      <c r="C2" s="934"/>
      <c r="D2" s="934"/>
      <c r="E2" s="934"/>
      <c r="F2" s="934"/>
    </row>
    <row r="3" spans="2:6" ht="6.75" customHeight="1">
      <c r="B3" s="829"/>
      <c r="C3" s="829"/>
      <c r="D3" s="829"/>
      <c r="E3" s="829"/>
      <c r="F3" s="829"/>
    </row>
    <row r="4" spans="2:6" ht="19.95" customHeight="1">
      <c r="B4" s="935" t="s">
        <v>296</v>
      </c>
      <c r="C4" s="935" t="s">
        <v>297</v>
      </c>
      <c r="D4" s="935" t="s">
        <v>298</v>
      </c>
      <c r="E4" s="935" t="s">
        <v>299</v>
      </c>
      <c r="F4" s="935" t="s">
        <v>300</v>
      </c>
    </row>
    <row r="5" spans="2:6" ht="17.399999999999999" customHeight="1">
      <c r="B5" s="935"/>
      <c r="C5" s="935"/>
      <c r="D5" s="935"/>
      <c r="E5" s="935"/>
      <c r="F5" s="935"/>
    </row>
    <row r="6" spans="2:6">
      <c r="B6" s="830" t="s">
        <v>301</v>
      </c>
      <c r="C6" s="831">
        <f>Summary!L188</f>
        <v>3850115760.1599708</v>
      </c>
      <c r="D6" s="831">
        <f>Summary!Q188</f>
        <v>3972635062.5123029</v>
      </c>
      <c r="E6" s="831">
        <f>D6-C6</f>
        <v>122519302.35233212</v>
      </c>
      <c r="F6" s="832">
        <f>(D6-C6)/C6</f>
        <v>3.182223859867566E-2</v>
      </c>
    </row>
    <row r="7" spans="2:6">
      <c r="B7" s="830" t="s">
        <v>302</v>
      </c>
      <c r="C7" s="831">
        <f>Summary!L186</f>
        <v>134539.11991852472</v>
      </c>
      <c r="D7" s="833">
        <f>Summary!Q186</f>
        <v>151708.41850582566</v>
      </c>
      <c r="E7" s="831">
        <f>D7-C7</f>
        <v>17169.298587300931</v>
      </c>
      <c r="F7" s="832">
        <f>(D7-C7)/C7</f>
        <v>0.12761566002288741</v>
      </c>
    </row>
    <row r="8" spans="2:6">
      <c r="B8" s="830" t="s">
        <v>303</v>
      </c>
      <c r="C8" s="831">
        <f>Summary!L187</f>
        <v>22519.280909620047</v>
      </c>
      <c r="D8" s="833">
        <f>Summary!Q187</f>
        <v>23896.281680722986</v>
      </c>
      <c r="E8" s="831">
        <f>D8-C8</f>
        <v>1377.0007711029393</v>
      </c>
      <c r="F8" s="832">
        <f>(D8-C8)/C8</f>
        <v>6.1147635070118792E-2</v>
      </c>
    </row>
    <row r="9" spans="2:6" ht="6.6" customHeight="1"/>
    <row r="10" spans="2:6">
      <c r="B10" s="834" t="s">
        <v>304</v>
      </c>
      <c r="C10" s="835"/>
      <c r="D10" s="835"/>
      <c r="E10" s="835"/>
      <c r="F10" s="835"/>
    </row>
    <row r="11" spans="2:6">
      <c r="B11" s="836" t="s">
        <v>305</v>
      </c>
      <c r="C11" s="835"/>
      <c r="D11" s="835"/>
      <c r="E11" s="835"/>
      <c r="F11" s="835"/>
    </row>
    <row r="12" spans="2:6">
      <c r="B12" s="836" t="s">
        <v>306</v>
      </c>
      <c r="C12" s="837"/>
      <c r="D12" s="837"/>
      <c r="E12" s="837"/>
      <c r="F12" s="837"/>
    </row>
    <row r="13" spans="2:6">
      <c r="B13" s="836" t="s">
        <v>326</v>
      </c>
      <c r="C13" s="837"/>
      <c r="D13" s="837"/>
      <c r="E13" s="837"/>
      <c r="F13" s="837"/>
    </row>
    <row r="14" spans="2:6">
      <c r="B14" s="836" t="s">
        <v>327</v>
      </c>
      <c r="C14" s="837"/>
      <c r="D14" s="837"/>
      <c r="E14" s="837"/>
      <c r="F14" s="837"/>
    </row>
    <row r="15" spans="2:6" ht="3.6" customHeight="1">
      <c r="B15" s="836"/>
      <c r="C15" s="837"/>
      <c r="D15" s="837"/>
      <c r="E15" s="837"/>
      <c r="F15" s="837"/>
    </row>
    <row r="16" spans="2:6">
      <c r="C16" s="837"/>
      <c r="D16" s="837"/>
      <c r="E16" s="837"/>
      <c r="F16" s="837"/>
    </row>
    <row r="17" spans="2:8">
      <c r="C17" s="837"/>
      <c r="D17" s="837"/>
      <c r="E17" s="837"/>
      <c r="F17" s="837"/>
    </row>
    <row r="18" spans="2:8">
      <c r="B18" s="923"/>
      <c r="C18" s="923"/>
      <c r="D18" s="923"/>
      <c r="E18" s="923"/>
      <c r="F18" s="923"/>
      <c r="G18" s="923"/>
      <c r="H18" s="923"/>
    </row>
    <row r="19" spans="2:8">
      <c r="B19" s="924"/>
      <c r="C19" s="925"/>
      <c r="D19" s="923"/>
      <c r="E19" s="923"/>
      <c r="F19" s="926"/>
      <c r="G19" s="838"/>
      <c r="H19" s="927"/>
    </row>
    <row r="20" spans="2:8">
      <c r="B20" s="923"/>
      <c r="C20" s="923"/>
      <c r="D20" s="923"/>
      <c r="E20" s="923"/>
      <c r="F20" s="926"/>
      <c r="G20" s="923"/>
      <c r="H20" s="923"/>
    </row>
    <row r="21" spans="2:8">
      <c r="B21" s="923"/>
      <c r="C21" s="924"/>
      <c r="D21" s="923"/>
      <c r="E21" s="923"/>
      <c r="F21" s="926"/>
      <c r="G21" s="923"/>
      <c r="H21" s="923"/>
    </row>
    <row r="22" spans="2:8">
      <c r="B22" s="924"/>
      <c r="C22" s="923"/>
      <c r="D22" s="924"/>
      <c r="E22" s="923"/>
      <c r="F22" s="926"/>
      <c r="G22" s="923"/>
      <c r="H22" s="923"/>
    </row>
    <row r="23" spans="2:8">
      <c r="B23" s="923"/>
      <c r="C23" s="927"/>
      <c r="D23" s="923"/>
      <c r="E23" s="923"/>
      <c r="F23" s="926"/>
      <c r="G23" s="923"/>
      <c r="H23" s="923"/>
    </row>
    <row r="24" spans="2:8">
      <c r="B24" s="923"/>
      <c r="C24" s="923"/>
      <c r="D24" s="923"/>
      <c r="E24" s="923"/>
      <c r="F24" s="926"/>
      <c r="G24" s="923"/>
      <c r="H24" s="923"/>
    </row>
    <row r="25" spans="2:8">
      <c r="B25" s="923"/>
      <c r="C25" s="926"/>
      <c r="D25" s="923"/>
      <c r="E25" s="923"/>
      <c r="F25" s="926"/>
      <c r="G25" s="923"/>
      <c r="H25" s="923"/>
    </row>
    <row r="26" spans="2:8">
      <c r="B26" s="923"/>
      <c r="C26" s="926"/>
      <c r="D26" s="923"/>
      <c r="E26" s="923"/>
      <c r="F26" s="926"/>
      <c r="G26" s="923"/>
      <c r="H26" s="923"/>
    </row>
    <row r="27" spans="2:8">
      <c r="B27" s="923"/>
      <c r="C27" s="923"/>
      <c r="D27" s="923"/>
      <c r="E27" s="923"/>
      <c r="F27" s="926"/>
      <c r="G27" s="923"/>
      <c r="H27" s="923"/>
    </row>
    <row r="28" spans="2:8">
      <c r="B28" s="923"/>
      <c r="C28" s="923"/>
      <c r="D28" s="923"/>
      <c r="E28" s="923"/>
      <c r="F28" s="926"/>
      <c r="G28" s="923"/>
      <c r="H28" s="923"/>
    </row>
    <row r="29" spans="2:8">
      <c r="B29" s="923"/>
      <c r="C29" s="924"/>
      <c r="D29" s="928"/>
      <c r="E29" s="923"/>
      <c r="F29" s="926"/>
      <c r="G29" s="923"/>
      <c r="H29" s="923"/>
    </row>
    <row r="30" spans="2:8">
      <c r="B30" s="923"/>
      <c r="C30" s="929"/>
      <c r="D30" s="926"/>
      <c r="E30" s="923"/>
      <c r="F30" s="926"/>
      <c r="G30" s="923"/>
      <c r="H30" s="923"/>
    </row>
    <row r="31" spans="2:8">
      <c r="B31" s="923"/>
      <c r="C31" s="923"/>
      <c r="D31" s="923"/>
      <c r="E31" s="923"/>
      <c r="F31" s="923"/>
      <c r="G31" s="923"/>
      <c r="H31" s="923"/>
    </row>
    <row r="32" spans="2:8">
      <c r="B32" s="923"/>
      <c r="C32" s="924"/>
      <c r="D32" s="924"/>
      <c r="E32" s="924"/>
      <c r="F32" s="923"/>
      <c r="G32" s="923"/>
      <c r="H32" s="923"/>
    </row>
    <row r="33" spans="2:8">
      <c r="B33" s="923"/>
      <c r="C33" s="923"/>
      <c r="D33" s="923"/>
      <c r="E33" s="923"/>
      <c r="F33" s="923"/>
      <c r="G33" s="923"/>
      <c r="H33" s="923"/>
    </row>
    <row r="34" spans="2:8">
      <c r="B34" s="923"/>
      <c r="C34" s="923"/>
      <c r="D34" s="923"/>
      <c r="E34" s="923"/>
      <c r="F34" s="923"/>
      <c r="G34" s="923"/>
      <c r="H34" s="923"/>
    </row>
    <row r="35" spans="2:8">
      <c r="B35" s="923"/>
      <c r="C35" s="923"/>
      <c r="D35" s="923"/>
      <c r="E35" s="923"/>
      <c r="F35" s="923"/>
      <c r="G35" s="923"/>
      <c r="H35" s="923"/>
    </row>
    <row r="36" spans="2:8">
      <c r="B36" s="923"/>
      <c r="C36" s="923"/>
      <c r="D36" s="923"/>
      <c r="E36" s="923"/>
      <c r="F36" s="923"/>
      <c r="G36" s="923"/>
      <c r="H36" s="923"/>
    </row>
    <row r="37" spans="2:8">
      <c r="B37" s="923"/>
      <c r="C37" s="923"/>
      <c r="D37" s="923"/>
      <c r="E37" s="923"/>
      <c r="F37" s="923"/>
      <c r="G37" s="923"/>
      <c r="H37" s="923"/>
    </row>
  </sheetData>
  <mergeCells count="6">
    <mergeCell ref="B2:F2"/>
    <mergeCell ref="B4:B5"/>
    <mergeCell ref="C4:C5"/>
    <mergeCell ref="D4:D5"/>
    <mergeCell ref="E4:E5"/>
    <mergeCell ref="F4:F5"/>
  </mergeCells>
  <pageMargins left="0.70866141732283505" right="0.70866141732283505" top="0.74803149606299202" bottom="0.74803149606299202" header="0.31496062992126" footer="0.31496062992126"/>
  <pageSetup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AJ240"/>
  <sheetViews>
    <sheetView showGridLines="0" view="pageBreakPreview" zoomScale="60" zoomScaleNormal="100" workbookViewId="0">
      <pane xSplit="2" ySplit="2" topLeftCell="C3" activePane="bottomRight" state="frozen"/>
      <selection activeCell="H9" sqref="H9"/>
      <selection pane="topRight" activeCell="H9" sqref="H9"/>
      <selection pane="bottomLeft" activeCell="H9" sqref="H9"/>
      <selection pane="bottomRight" activeCell="D43" sqref="D43"/>
    </sheetView>
  </sheetViews>
  <sheetFormatPr defaultColWidth="9.109375" defaultRowHeight="13.2"/>
  <cols>
    <col min="1" max="1" width="9.109375" style="66" customWidth="1"/>
    <col min="2" max="2" width="12.5546875" style="66" customWidth="1"/>
    <col min="3" max="3" width="15.33203125" style="65" customWidth="1"/>
    <col min="4" max="4" width="25.33203125" style="76" customWidth="1"/>
    <col min="5" max="5" width="18.44140625" style="76" customWidth="1"/>
    <col min="6" max="6" width="15.88671875" style="72" customWidth="1"/>
    <col min="7" max="7" width="19.44140625" style="76" bestFit="1" customWidth="1"/>
    <col min="8" max="9" width="15.109375" style="76" customWidth="1"/>
    <col min="10" max="10" width="15.44140625" style="76" customWidth="1"/>
    <col min="11" max="11" width="16.109375" style="76" bestFit="1" customWidth="1"/>
    <col min="12" max="13" width="19" style="76" bestFit="1" customWidth="1"/>
    <col min="14" max="14" width="17.109375" style="76" customWidth="1"/>
    <col min="15" max="15" width="14.44140625" style="528" customWidth="1"/>
    <col min="16" max="16" width="5" style="495" customWidth="1"/>
    <col min="17" max="17" width="27" style="294" bestFit="1" customWidth="1"/>
    <col min="18" max="19" width="15.88671875" style="294" bestFit="1" customWidth="1"/>
    <col min="20" max="20" width="13.109375" style="294" bestFit="1" customWidth="1"/>
    <col min="21" max="21" width="12.5546875" style="294" customWidth="1"/>
    <col min="22" max="22" width="15.44140625" style="294" bestFit="1" customWidth="1"/>
    <col min="23" max="23" width="18.6640625" style="294" bestFit="1" customWidth="1"/>
    <col min="24" max="25" width="18.6640625" style="495" bestFit="1" customWidth="1"/>
    <col min="26" max="36" width="9.109375" style="495"/>
    <col min="37" max="16384" width="9.109375" style="66"/>
  </cols>
  <sheetData>
    <row r="1" spans="1:36" ht="18" customHeight="1">
      <c r="A1" s="938" t="s">
        <v>294</v>
      </c>
      <c r="B1" s="938"/>
      <c r="C1" s="938"/>
      <c r="D1" s="938"/>
      <c r="E1" s="938"/>
      <c r="F1" s="938"/>
      <c r="G1" s="938"/>
      <c r="H1" s="938"/>
      <c r="I1" s="938"/>
      <c r="J1" s="938"/>
      <c r="K1" s="938"/>
      <c r="L1" s="938"/>
      <c r="M1" s="938"/>
      <c r="N1" s="938"/>
    </row>
    <row r="2" spans="1:36" ht="42" customHeight="1">
      <c r="B2" s="280"/>
      <c r="C2" s="282" t="s">
        <v>101</v>
      </c>
      <c r="D2" s="64" t="s">
        <v>29</v>
      </c>
      <c r="E2" s="64" t="s">
        <v>30</v>
      </c>
      <c r="F2" s="307" t="s">
        <v>102</v>
      </c>
      <c r="G2" s="64" t="s">
        <v>31</v>
      </c>
      <c r="H2" s="64" t="s">
        <v>32</v>
      </c>
      <c r="I2" s="64" t="s">
        <v>34</v>
      </c>
      <c r="J2" s="64" t="s">
        <v>194</v>
      </c>
      <c r="K2" s="64" t="s">
        <v>16</v>
      </c>
      <c r="L2" s="64" t="s">
        <v>103</v>
      </c>
      <c r="M2" s="64" t="s">
        <v>104</v>
      </c>
      <c r="N2" s="64" t="s">
        <v>105</v>
      </c>
      <c r="O2" s="733"/>
      <c r="Q2" s="592"/>
    </row>
    <row r="3" spans="1:36">
      <c r="A3" s="66">
        <f t="shared" ref="A3:A66" si="0">YEAR(B3)</f>
        <v>2004</v>
      </c>
      <c r="B3" s="67">
        <v>37987</v>
      </c>
      <c r="C3" s="294">
        <f>HLOOKUP(MONTH(B3),'Purchased kWh'!$4:$17,6,FALSE)</f>
        <v>318825772.38951999</v>
      </c>
      <c r="D3" s="68">
        <f>'Month &amp; Hour Data'!B2</f>
        <v>849.1</v>
      </c>
      <c r="E3" s="68">
        <f>'Month &amp; Hour Data'!C2</f>
        <v>0</v>
      </c>
      <c r="F3" s="308">
        <f>'Month &amp; Hour Data'!H2</f>
        <v>1.0159128651183942</v>
      </c>
      <c r="G3" s="69">
        <f>'Month &amp; Hour Data'!D2</f>
        <v>31</v>
      </c>
      <c r="H3" s="69">
        <f>'Month &amp; Hour Data'!E2</f>
        <v>0</v>
      </c>
      <c r="I3" s="69">
        <f>'Month &amp; Hour Data'!G2</f>
        <v>336</v>
      </c>
      <c r="J3" s="538">
        <f>SUM(Customer!C15:I15)</f>
        <v>123569.86175526932</v>
      </c>
      <c r="K3" s="70">
        <f>Population!T3</f>
        <v>373416.66666666622</v>
      </c>
      <c r="L3" s="70">
        <f>$E$187+(D3*$E$188)+(E3*$E$189)+(F3*$E$190)+(G3*$E$191)+(H3*$E$192)+(I3*$E$193)+(J3*$E$194)+(K3*$E$195)</f>
        <v>323256508.2317633</v>
      </c>
      <c r="M3" s="70">
        <f t="shared" ref="M3:M34" si="1">L3-C3</f>
        <v>4430735.8422433138</v>
      </c>
      <c r="N3" s="330">
        <f t="shared" ref="N3:N34" si="2">M3/C3</f>
        <v>1.3897044172546181E-2</v>
      </c>
      <c r="O3" s="734"/>
      <c r="AA3" s="4"/>
      <c r="AB3" s="310"/>
      <c r="AC3" s="310"/>
      <c r="AD3" s="310"/>
      <c r="AE3" s="310"/>
      <c r="AF3" s="310"/>
      <c r="AG3" s="310"/>
      <c r="AH3" s="310"/>
      <c r="AI3" s="310"/>
      <c r="AJ3" s="310"/>
    </row>
    <row r="4" spans="1:36">
      <c r="A4" s="66">
        <f t="shared" si="0"/>
        <v>2004</v>
      </c>
      <c r="B4" s="67">
        <v>38018</v>
      </c>
      <c r="C4" s="294">
        <f>HLOOKUP(MONTH(B4),'Purchased kWh'!$4:$17,6,FALSE)</f>
        <v>292561275.78360003</v>
      </c>
      <c r="D4" s="68">
        <f>'Month &amp; Hour Data'!B3</f>
        <v>631.70000000000005</v>
      </c>
      <c r="E4" s="68">
        <f>'Month &amp; Hour Data'!C3</f>
        <v>0</v>
      </c>
      <c r="F4" s="308">
        <f>'Month &amp; Hour Data'!H3</f>
        <v>1.0180619339601864</v>
      </c>
      <c r="G4" s="69">
        <f>'Month &amp; Hour Data'!D3</f>
        <v>29</v>
      </c>
      <c r="H4" s="69">
        <f>'Month &amp; Hour Data'!E3</f>
        <v>0</v>
      </c>
      <c r="I4" s="69">
        <f>'Month &amp; Hour Data'!G3</f>
        <v>320</v>
      </c>
      <c r="J4" s="538">
        <f>SUM(Customer!C16:I16)</f>
        <v>124465.73347053546</v>
      </c>
      <c r="K4" s="70">
        <f>Population!T4</f>
        <v>374833.33333333291</v>
      </c>
      <c r="L4" s="70">
        <f t="shared" ref="L4:L67" si="3">$E$187+(D4*$E$188)+(E4*$E$189)+(F4*$E$190)+(G4*$E$191)+(H4*$E$192)+(I4*$E$193)+(J4*$E$194)+(K4*$E$195)</f>
        <v>297579547.84612</v>
      </c>
      <c r="M4" s="70">
        <f t="shared" si="1"/>
        <v>5018272.0625199676</v>
      </c>
      <c r="N4" s="330">
        <f t="shared" si="2"/>
        <v>1.7152892326843191E-2</v>
      </c>
      <c r="O4" s="734"/>
      <c r="AA4" s="4"/>
      <c r="AB4" s="310"/>
      <c r="AC4" s="310"/>
      <c r="AD4" s="310"/>
      <c r="AE4" s="310"/>
      <c r="AF4" s="310"/>
      <c r="AG4" s="310"/>
      <c r="AH4" s="310"/>
      <c r="AI4" s="310"/>
      <c r="AJ4" s="310"/>
    </row>
    <row r="5" spans="1:36">
      <c r="A5" s="66">
        <f t="shared" si="0"/>
        <v>2004</v>
      </c>
      <c r="B5" s="67">
        <v>38047</v>
      </c>
      <c r="C5" s="294">
        <f>HLOOKUP(MONTH(B5),'Purchased kWh'!$4:$17,6,FALSE)</f>
        <v>304403355.98512</v>
      </c>
      <c r="D5" s="68">
        <f>'Month &amp; Hour Data'!B4</f>
        <v>487.3</v>
      </c>
      <c r="E5" s="68">
        <f>'Month &amp; Hour Data'!C4</f>
        <v>0</v>
      </c>
      <c r="F5" s="308">
        <f>'Month &amp; Hour Data'!H4</f>
        <v>1.0202155489565214</v>
      </c>
      <c r="G5" s="69">
        <f>'Month &amp; Hour Data'!D4</f>
        <v>31</v>
      </c>
      <c r="H5" s="69">
        <f>'Month &amp; Hour Data'!E4</f>
        <v>1</v>
      </c>
      <c r="I5" s="69">
        <f>'Month &amp; Hour Data'!G4</f>
        <v>368</v>
      </c>
      <c r="J5" s="538">
        <f>SUM(Customer!C17:I17)</f>
        <v>124883.61515295497</v>
      </c>
      <c r="K5" s="70">
        <f>Population!T5</f>
        <v>376249.99999999959</v>
      </c>
      <c r="L5" s="70">
        <f t="shared" si="3"/>
        <v>304693228.34340715</v>
      </c>
      <c r="M5" s="70">
        <f t="shared" si="1"/>
        <v>289872.35828715563</v>
      </c>
      <c r="N5" s="330">
        <f t="shared" si="2"/>
        <v>9.5226400296758004E-4</v>
      </c>
      <c r="O5" s="734"/>
      <c r="AA5" s="506"/>
      <c r="AB5" s="310"/>
      <c r="AC5" s="310"/>
      <c r="AD5" s="310"/>
      <c r="AE5" s="310"/>
      <c r="AF5" s="310"/>
      <c r="AG5" s="310"/>
      <c r="AH5" s="310"/>
      <c r="AI5" s="310"/>
      <c r="AJ5" s="310"/>
    </row>
    <row r="6" spans="1:36">
      <c r="A6" s="66">
        <f t="shared" si="0"/>
        <v>2004</v>
      </c>
      <c r="B6" s="67">
        <v>38078</v>
      </c>
      <c r="C6" s="294">
        <f>HLOOKUP(MONTH(B6),'Purchased kWh'!$4:$17,6,FALSE)</f>
        <v>280729503.61992002</v>
      </c>
      <c r="D6" s="68">
        <f>'Month &amp; Hour Data'!B5</f>
        <v>331.5</v>
      </c>
      <c r="E6" s="68">
        <f>'Month &amp; Hour Data'!C5</f>
        <v>0</v>
      </c>
      <c r="F6" s="308">
        <f>'Month &amp; Hour Data'!H5</f>
        <v>1.0223737197243647</v>
      </c>
      <c r="G6" s="69">
        <f>'Month &amp; Hour Data'!D5</f>
        <v>30</v>
      </c>
      <c r="H6" s="69">
        <f>'Month &amp; Hour Data'!E5</f>
        <v>1</v>
      </c>
      <c r="I6" s="69">
        <f>'Month &amp; Hour Data'!G5</f>
        <v>336</v>
      </c>
      <c r="J6" s="538">
        <f>SUM(Customer!C18:I18)</f>
        <v>125342.50680968942</v>
      </c>
      <c r="K6" s="70">
        <f>Population!T6</f>
        <v>377666.66666666628</v>
      </c>
      <c r="L6" s="70">
        <f t="shared" si="3"/>
        <v>285947435.74470055</v>
      </c>
      <c r="M6" s="70">
        <f t="shared" si="1"/>
        <v>5217932.1247805357</v>
      </c>
      <c r="N6" s="330">
        <f t="shared" si="2"/>
        <v>1.858704574153025E-2</v>
      </c>
      <c r="O6" s="734"/>
      <c r="AA6" s="310"/>
      <c r="AB6" s="310"/>
      <c r="AC6" s="310"/>
      <c r="AD6" s="310"/>
      <c r="AE6" s="310"/>
      <c r="AF6" s="310"/>
      <c r="AG6" s="310"/>
      <c r="AH6" s="310"/>
      <c r="AI6" s="310"/>
      <c r="AJ6" s="310"/>
    </row>
    <row r="7" spans="1:36">
      <c r="A7" s="66">
        <f t="shared" si="0"/>
        <v>2004</v>
      </c>
      <c r="B7" s="67">
        <v>38108</v>
      </c>
      <c r="C7" s="294">
        <f>HLOOKUP(MONTH(B7),'Purchased kWh'!$4:$17,6,FALSE)</f>
        <v>284754157.46888</v>
      </c>
      <c r="D7" s="68">
        <f>'Month &amp; Hour Data'!B6</f>
        <v>158.9</v>
      </c>
      <c r="E7" s="68">
        <f>'Month &amp; Hour Data'!C6</f>
        <v>8.6</v>
      </c>
      <c r="F7" s="308">
        <f>'Month &amp; Hour Data'!H6</f>
        <v>1.0245364559010257</v>
      </c>
      <c r="G7" s="69">
        <f>'Month &amp; Hour Data'!D6</f>
        <v>31</v>
      </c>
      <c r="H7" s="69">
        <f>'Month &amp; Hour Data'!E6</f>
        <v>1</v>
      </c>
      <c r="I7" s="69">
        <f>'Month &amp; Hour Data'!G6</f>
        <v>320</v>
      </c>
      <c r="J7" s="538">
        <f>SUM(Customer!C19:I19)</f>
        <v>125702.40844790565</v>
      </c>
      <c r="K7" s="70">
        <f>Population!T7</f>
        <v>379083.33333333296</v>
      </c>
      <c r="L7" s="70">
        <f t="shared" si="3"/>
        <v>285197202.01078874</v>
      </c>
      <c r="M7" s="70">
        <f t="shared" si="1"/>
        <v>443044.541908741</v>
      </c>
      <c r="N7" s="330">
        <f t="shared" si="2"/>
        <v>1.555884366524693E-3</v>
      </c>
      <c r="O7" s="734"/>
      <c r="AA7" s="310"/>
      <c r="AB7" s="310"/>
      <c r="AC7" s="310"/>
      <c r="AD7" s="310"/>
      <c r="AE7" s="310"/>
      <c r="AF7" s="310"/>
      <c r="AG7" s="310"/>
      <c r="AH7" s="310"/>
      <c r="AI7" s="310"/>
      <c r="AJ7" s="310"/>
    </row>
    <row r="8" spans="1:36">
      <c r="A8" s="66">
        <f t="shared" si="0"/>
        <v>2004</v>
      </c>
      <c r="B8" s="67">
        <v>38139</v>
      </c>
      <c r="C8" s="294">
        <f>HLOOKUP(MONTH(B8),'Purchased kWh'!$4:$17,6,FALSE)</f>
        <v>296130054.74768001</v>
      </c>
      <c r="D8" s="68">
        <f>'Month &amp; Hour Data'!B7</f>
        <v>44.2</v>
      </c>
      <c r="E8" s="68">
        <f>'Month &amp; Hour Data'!C7</f>
        <v>31.6</v>
      </c>
      <c r="F8" s="308">
        <f>'Month &amp; Hour Data'!H7</f>
        <v>1.0267037671442005</v>
      </c>
      <c r="G8" s="69">
        <f>'Month &amp; Hour Data'!D7</f>
        <v>30</v>
      </c>
      <c r="H8" s="69">
        <f>'Month &amp; Hour Data'!E7</f>
        <v>0</v>
      </c>
      <c r="I8" s="69">
        <f>'Month &amp; Hour Data'!G7</f>
        <v>352</v>
      </c>
      <c r="J8" s="538">
        <f>SUM(Customer!C20:I20)</f>
        <v>126445.32007477553</v>
      </c>
      <c r="K8" s="70">
        <f>Population!T8</f>
        <v>380499.99999999965</v>
      </c>
      <c r="L8" s="70">
        <f t="shared" si="3"/>
        <v>295492226.23215872</v>
      </c>
      <c r="M8" s="70">
        <f t="shared" si="1"/>
        <v>-637828.51552128792</v>
      </c>
      <c r="N8" s="330">
        <f t="shared" si="2"/>
        <v>-2.153879706890119E-3</v>
      </c>
      <c r="O8" s="734"/>
      <c r="AA8" s="310"/>
      <c r="AB8" s="310"/>
      <c r="AC8" s="310"/>
      <c r="AD8" s="310"/>
      <c r="AE8" s="310"/>
      <c r="AF8" s="310"/>
      <c r="AG8" s="310"/>
      <c r="AH8" s="310"/>
      <c r="AI8" s="310"/>
      <c r="AJ8" s="310"/>
    </row>
    <row r="9" spans="1:36">
      <c r="A9" s="66">
        <f t="shared" si="0"/>
        <v>2004</v>
      </c>
      <c r="B9" s="67">
        <v>38169</v>
      </c>
      <c r="C9" s="294">
        <f>HLOOKUP(MONTH(B9),'Purchased kWh'!$4:$17,6,FALSE)</f>
        <v>316526151.50408</v>
      </c>
      <c r="D9" s="68">
        <f>'Month &amp; Hour Data'!B8</f>
        <v>3.6</v>
      </c>
      <c r="E9" s="68">
        <f>'Month &amp; Hour Data'!C8</f>
        <v>86.4</v>
      </c>
      <c r="F9" s="308">
        <f>'Month &amp; Hour Data'!H8</f>
        <v>1.0288756631320157</v>
      </c>
      <c r="G9" s="69">
        <f>'Month &amp; Hour Data'!D8</f>
        <v>31</v>
      </c>
      <c r="H9" s="69">
        <f>'Month &amp; Hour Data'!E8</f>
        <v>0</v>
      </c>
      <c r="I9" s="69">
        <f>'Month &amp; Hour Data'!G8</f>
        <v>336</v>
      </c>
      <c r="J9" s="538">
        <f>SUM(Customer!C21:I21)</f>
        <v>126961.24169747619</v>
      </c>
      <c r="K9" s="70">
        <f>Population!T9</f>
        <v>381916.66666666634</v>
      </c>
      <c r="L9" s="70">
        <f t="shared" si="3"/>
        <v>324891609.2086395</v>
      </c>
      <c r="M9" s="70">
        <f t="shared" si="1"/>
        <v>8365457.704559505</v>
      </c>
      <c r="N9" s="330">
        <f t="shared" si="2"/>
        <v>2.6428962235215736E-2</v>
      </c>
      <c r="O9" s="734"/>
      <c r="AA9" s="310"/>
      <c r="AB9" s="310"/>
      <c r="AC9" s="310"/>
      <c r="AD9" s="310"/>
      <c r="AE9" s="310"/>
      <c r="AF9" s="310"/>
      <c r="AG9" s="310"/>
      <c r="AH9" s="310"/>
      <c r="AI9" s="310"/>
      <c r="AJ9" s="310"/>
    </row>
    <row r="10" spans="1:36">
      <c r="A10" s="66">
        <f t="shared" si="0"/>
        <v>2004</v>
      </c>
      <c r="B10" s="67">
        <v>38200</v>
      </c>
      <c r="C10" s="294">
        <f>HLOOKUP(MONTH(B10),'Purchased kWh'!$4:$17,6,FALSE)</f>
        <v>311532144.03864002</v>
      </c>
      <c r="D10" s="68">
        <f>'Month &amp; Hour Data'!B9</f>
        <v>12.8</v>
      </c>
      <c r="E10" s="68">
        <f>'Month &amp; Hour Data'!C9</f>
        <v>59.6</v>
      </c>
      <c r="F10" s="308">
        <f>'Month &amp; Hour Data'!H9</f>
        <v>1.0310521535630701</v>
      </c>
      <c r="G10" s="69">
        <f>'Month &amp; Hour Data'!D9</f>
        <v>31</v>
      </c>
      <c r="H10" s="69">
        <f>'Month &amp; Hour Data'!E9</f>
        <v>0</v>
      </c>
      <c r="I10" s="69">
        <f>'Month &amp; Hour Data'!G9</f>
        <v>336</v>
      </c>
      <c r="J10" s="538">
        <f>SUM(Customer!C22:I22)</f>
        <v>127757.17332318985</v>
      </c>
      <c r="K10" s="70">
        <f>Population!T10</f>
        <v>383333.33333333302</v>
      </c>
      <c r="L10" s="70">
        <f t="shared" si="3"/>
        <v>312327728.520441</v>
      </c>
      <c r="M10" s="70">
        <f t="shared" si="1"/>
        <v>795584.48180097342</v>
      </c>
      <c r="N10" s="330">
        <f t="shared" si="2"/>
        <v>2.5537797528279948E-3</v>
      </c>
      <c r="O10" s="734"/>
      <c r="AA10" s="310"/>
      <c r="AB10" s="4"/>
      <c r="AC10" s="4"/>
      <c r="AD10" s="4"/>
      <c r="AE10" s="4"/>
      <c r="AF10" s="4"/>
      <c r="AG10" s="4"/>
      <c r="AH10" s="4"/>
      <c r="AI10" s="4"/>
      <c r="AJ10" s="4"/>
    </row>
    <row r="11" spans="1:36">
      <c r="A11" s="66">
        <f t="shared" si="0"/>
        <v>2004</v>
      </c>
      <c r="B11" s="67">
        <v>38231</v>
      </c>
      <c r="C11" s="294">
        <f>HLOOKUP(MONTH(B11),'Purchased kWh'!$4:$17,6,FALSE)</f>
        <v>300510638.83407998</v>
      </c>
      <c r="D11" s="68">
        <f>'Month &amp; Hour Data'!B10</f>
        <v>30</v>
      </c>
      <c r="E11" s="68">
        <f>'Month &amp; Hour Data'!C10</f>
        <v>41.2</v>
      </c>
      <c r="F11" s="308">
        <f>'Month &amp; Hour Data'!H10</f>
        <v>1.0332332481564799</v>
      </c>
      <c r="G11" s="69">
        <f>'Month &amp; Hour Data'!D10</f>
        <v>30</v>
      </c>
      <c r="H11" s="69">
        <f>'Month &amp; Hour Data'!E10</f>
        <v>1</v>
      </c>
      <c r="I11" s="69">
        <f>'Month &amp; Hour Data'!G10</f>
        <v>336</v>
      </c>
      <c r="J11" s="538">
        <f>SUM(Customer!C23:I23)</f>
        <v>128704.11495910391</v>
      </c>
      <c r="K11" s="70">
        <f>Population!T11</f>
        <v>384749.99999999971</v>
      </c>
      <c r="L11" s="70">
        <f t="shared" si="3"/>
        <v>292993510.57229662</v>
      </c>
      <c r="M11" s="70">
        <f t="shared" si="1"/>
        <v>-7517128.2617833614</v>
      </c>
      <c r="N11" s="330">
        <f t="shared" si="2"/>
        <v>-2.5014516261215532E-2</v>
      </c>
      <c r="O11" s="734"/>
      <c r="AA11" s="310"/>
      <c r="AB11" s="4"/>
      <c r="AC11" s="4"/>
      <c r="AD11" s="4"/>
      <c r="AE11" s="4"/>
      <c r="AF11" s="4"/>
      <c r="AG11" s="4"/>
      <c r="AH11" s="4"/>
      <c r="AI11" s="4"/>
      <c r="AJ11" s="4"/>
    </row>
    <row r="12" spans="1:36">
      <c r="A12" s="66">
        <f t="shared" si="0"/>
        <v>2004</v>
      </c>
      <c r="B12" s="67">
        <v>38261</v>
      </c>
      <c r="C12" s="294">
        <f>HLOOKUP(MONTH(B12),'Purchased kWh'!$4:$17,6,FALSE)</f>
        <v>288181524.40336001</v>
      </c>
      <c r="D12" s="68">
        <f>'Month &amp; Hour Data'!B11</f>
        <v>226.3</v>
      </c>
      <c r="E12" s="68">
        <f>'Month &amp; Hour Data'!C11</f>
        <v>1.5</v>
      </c>
      <c r="F12" s="308">
        <f>'Month &amp; Hour Data'!H11</f>
        <v>1.0354189566519207</v>
      </c>
      <c r="G12" s="69">
        <f>'Month &amp; Hour Data'!D11</f>
        <v>31</v>
      </c>
      <c r="H12" s="69">
        <f>'Month &amp; Hour Data'!E11</f>
        <v>1</v>
      </c>
      <c r="I12" s="69">
        <f>'Month &amp; Hour Data'!G11</f>
        <v>320</v>
      </c>
      <c r="J12" s="538">
        <f>SUM(Customer!C24:I24)</f>
        <v>129339.06661241094</v>
      </c>
      <c r="K12" s="70">
        <f>Population!T12</f>
        <v>386166.6666666664</v>
      </c>
      <c r="L12" s="70">
        <f t="shared" si="3"/>
        <v>287417327.06290585</v>
      </c>
      <c r="M12" s="70">
        <f t="shared" si="1"/>
        <v>-764197.34045416117</v>
      </c>
      <c r="N12" s="330">
        <f t="shared" si="2"/>
        <v>-2.6517915818383086E-3</v>
      </c>
      <c r="O12" s="734"/>
      <c r="AA12" s="310"/>
      <c r="AB12" s="4"/>
      <c r="AC12" s="4"/>
      <c r="AD12" s="4"/>
      <c r="AE12" s="4"/>
      <c r="AF12" s="4"/>
      <c r="AG12" s="4"/>
      <c r="AH12" s="4"/>
      <c r="AI12" s="4"/>
      <c r="AJ12" s="4"/>
    </row>
    <row r="13" spans="1:36">
      <c r="A13" s="66">
        <f t="shared" si="0"/>
        <v>2004</v>
      </c>
      <c r="B13" s="67">
        <v>38292</v>
      </c>
      <c r="C13" s="294">
        <f>HLOOKUP(MONTH(B13),'Purchased kWh'!$4:$17,6,FALSE)</f>
        <v>296760230.17967999</v>
      </c>
      <c r="D13" s="68">
        <f>'Month &amp; Hour Data'!B12</f>
        <v>379.1</v>
      </c>
      <c r="E13" s="68">
        <f>'Month &amp; Hour Data'!C12</f>
        <v>0</v>
      </c>
      <c r="F13" s="308">
        <f>'Month &amp; Hour Data'!H12</f>
        <v>1.0376092888096715</v>
      </c>
      <c r="G13" s="69">
        <f>'Month &amp; Hour Data'!D12</f>
        <v>30</v>
      </c>
      <c r="H13" s="69">
        <f>'Month &amp; Hour Data'!E12</f>
        <v>1</v>
      </c>
      <c r="I13" s="69">
        <f>'Month &amp; Hour Data'!G12</f>
        <v>352</v>
      </c>
      <c r="J13" s="538">
        <f>SUM(Customer!C25:I25)</f>
        <v>130303.02829030866</v>
      </c>
      <c r="K13" s="70">
        <f>Population!T13</f>
        <v>387583.33333333308</v>
      </c>
      <c r="L13" s="70">
        <f t="shared" si="3"/>
        <v>294142028.26302677</v>
      </c>
      <c r="M13" s="70">
        <f t="shared" si="1"/>
        <v>-2618201.9166532159</v>
      </c>
      <c r="N13" s="330">
        <f t="shared" si="2"/>
        <v>-8.8226172188502761E-3</v>
      </c>
      <c r="O13" s="734"/>
      <c r="AA13" s="310"/>
      <c r="AB13" s="310"/>
    </row>
    <row r="14" spans="1:36">
      <c r="A14" s="66">
        <f t="shared" si="0"/>
        <v>2004</v>
      </c>
      <c r="B14" s="67">
        <v>38322</v>
      </c>
      <c r="C14" s="294">
        <f>HLOOKUP(MONTH(B14),'Purchased kWh'!$4:$17,6,FALSE)</f>
        <v>315819545.97799999</v>
      </c>
      <c r="D14" s="68">
        <f>'Month &amp; Hour Data'!B13</f>
        <v>643.4</v>
      </c>
      <c r="E14" s="68">
        <f>'Month &amp; Hour Data'!C13</f>
        <v>0</v>
      </c>
      <c r="F14" s="308">
        <f>'Month &amp; Hour Data'!H13</f>
        <v>1.0398042544106587</v>
      </c>
      <c r="G14" s="69">
        <f>'Month &amp; Hour Data'!D13</f>
        <v>31</v>
      </c>
      <c r="H14" s="69">
        <f>'Month &amp; Hour Data'!E13</f>
        <v>0</v>
      </c>
      <c r="I14" s="69">
        <f>'Month &amp; Hour Data'!G13</f>
        <v>336</v>
      </c>
      <c r="J14" s="538">
        <f>SUM(Customer!C26:I26)</f>
        <v>130956</v>
      </c>
      <c r="K14" s="70">
        <f>Population!T14</f>
        <v>388999.99999999977</v>
      </c>
      <c r="L14" s="70">
        <f t="shared" si="3"/>
        <v>317465802.08346266</v>
      </c>
      <c r="M14" s="70">
        <f t="shared" si="1"/>
        <v>1646256.1054626703</v>
      </c>
      <c r="N14" s="330">
        <f t="shared" si="2"/>
        <v>5.2126479390776801E-3</v>
      </c>
      <c r="O14" s="734"/>
      <c r="AA14" s="4"/>
      <c r="AB14" s="4"/>
    </row>
    <row r="15" spans="1:36">
      <c r="A15" s="66">
        <f t="shared" si="0"/>
        <v>2005</v>
      </c>
      <c r="B15" s="67">
        <v>38353</v>
      </c>
      <c r="C15" s="294">
        <f>HLOOKUP(MONTH(B15),'Purchased kWh'!$4:$17,7,FALSE)</f>
        <v>329967590.92255998</v>
      </c>
      <c r="D15" s="68">
        <f>'Month &amp; Hour Data'!B14</f>
        <v>770</v>
      </c>
      <c r="E15" s="68">
        <f>'Month &amp; Hour Data'!C14</f>
        <v>0</v>
      </c>
      <c r="F15" s="308">
        <f>'Month &amp; Hour Data'!H14</f>
        <v>1.0421691144657905</v>
      </c>
      <c r="G15" s="69">
        <f>'Month &amp; Hour Data'!D14</f>
        <v>31</v>
      </c>
      <c r="H15" s="69">
        <f>'Month &amp; Hour Data'!E14</f>
        <v>0</v>
      </c>
      <c r="I15" s="69">
        <f>'Month &amp; Hour Data'!G14</f>
        <v>320</v>
      </c>
      <c r="J15" s="538">
        <f>SUM(Customer!C27:I27)</f>
        <v>131351.21438543039</v>
      </c>
      <c r="K15" s="70">
        <f>Population!U3</f>
        <v>390999.99999999977</v>
      </c>
      <c r="L15" s="70">
        <f t="shared" si="3"/>
        <v>322332364.53924167</v>
      </c>
      <c r="M15" s="70">
        <f t="shared" si="1"/>
        <v>-7635226.383318305</v>
      </c>
      <c r="N15" s="330">
        <f t="shared" si="2"/>
        <v>-2.3139322143641113E-2</v>
      </c>
      <c r="O15" s="734"/>
      <c r="AA15" s="4"/>
      <c r="AB15" s="4"/>
    </row>
    <row r="16" spans="1:36">
      <c r="A16" s="66">
        <f t="shared" si="0"/>
        <v>2005</v>
      </c>
      <c r="B16" s="67">
        <v>38384</v>
      </c>
      <c r="C16" s="294">
        <f>HLOOKUP(MONTH(B16),'Purchased kWh'!$4:$17,7,FALSE)</f>
        <v>293588957.80200005</v>
      </c>
      <c r="D16" s="68">
        <f>'Month &amp; Hour Data'!B15</f>
        <v>616.4</v>
      </c>
      <c r="E16" s="68">
        <f>'Month &amp; Hour Data'!C15</f>
        <v>0</v>
      </c>
      <c r="F16" s="308">
        <f>'Month &amp; Hour Data'!H15</f>
        <v>1.0445393529977427</v>
      </c>
      <c r="G16" s="69">
        <f>'Month &amp; Hour Data'!D15</f>
        <v>28</v>
      </c>
      <c r="H16" s="69">
        <f>'Month &amp; Hour Data'!E15</f>
        <v>0</v>
      </c>
      <c r="I16" s="69">
        <f>'Month &amp; Hour Data'!G15</f>
        <v>320</v>
      </c>
      <c r="J16" s="538">
        <f>SUM(Customer!C28:I28)</f>
        <v>131775.43523380545</v>
      </c>
      <c r="K16" s="70">
        <f>Population!U4</f>
        <v>392999.99999999977</v>
      </c>
      <c r="L16" s="70">
        <f t="shared" si="3"/>
        <v>296846870.10249162</v>
      </c>
      <c r="M16" s="70">
        <f t="shared" si="1"/>
        <v>3257912.3004915714</v>
      </c>
      <c r="N16" s="330">
        <f t="shared" si="2"/>
        <v>1.1096848889966588E-2</v>
      </c>
      <c r="O16" s="734"/>
      <c r="AA16" s="4"/>
      <c r="AB16" s="4"/>
    </row>
    <row r="17" spans="1:25">
      <c r="A17" s="66">
        <f t="shared" si="0"/>
        <v>2005</v>
      </c>
      <c r="B17" s="67">
        <v>38412</v>
      </c>
      <c r="C17" s="294">
        <f>HLOOKUP(MONTH(B17),'Purchased kWh'!$4:$17,7,FALSE)</f>
        <v>313508513.50768</v>
      </c>
      <c r="D17" s="68">
        <f>'Month &amp; Hour Data'!B16</f>
        <v>608.6</v>
      </c>
      <c r="E17" s="68">
        <f>'Month &amp; Hour Data'!C16</f>
        <v>0</v>
      </c>
      <c r="F17" s="308">
        <f>'Month &amp; Hour Data'!H16</f>
        <v>1.0469149822389572</v>
      </c>
      <c r="G17" s="69">
        <f>'Month &amp; Hour Data'!D16</f>
        <v>31</v>
      </c>
      <c r="H17" s="69">
        <f>'Month &amp; Hour Data'!E16</f>
        <v>1</v>
      </c>
      <c r="I17" s="69">
        <f>'Month &amp; Hour Data'!G16</f>
        <v>352</v>
      </c>
      <c r="J17" s="538">
        <f>SUM(Customer!C29:I29)</f>
        <v>132094.66254884982</v>
      </c>
      <c r="K17" s="70">
        <f>Population!U5</f>
        <v>394999.99999999977</v>
      </c>
      <c r="L17" s="70">
        <f t="shared" si="3"/>
        <v>314832141.97930646</v>
      </c>
      <c r="M17" s="70">
        <f t="shared" si="1"/>
        <v>1323628.4716264606</v>
      </c>
      <c r="N17" s="330">
        <f t="shared" si="2"/>
        <v>4.2219857343492387E-3</v>
      </c>
      <c r="O17" s="734"/>
    </row>
    <row r="18" spans="1:25">
      <c r="A18" s="66">
        <f t="shared" si="0"/>
        <v>2005</v>
      </c>
      <c r="B18" s="67">
        <v>38443</v>
      </c>
      <c r="C18" s="294">
        <f>HLOOKUP(MONTH(B18),'Purchased kWh'!$4:$17,7,FALSE)</f>
        <v>285449755.92167997</v>
      </c>
      <c r="D18" s="68">
        <f>'Month &amp; Hour Data'!B17</f>
        <v>306.8</v>
      </c>
      <c r="E18" s="68">
        <f>'Month &amp; Hour Data'!C17</f>
        <v>0</v>
      </c>
      <c r="F18" s="308">
        <f>'Month &amp; Hour Data'!H17</f>
        <v>1.0492960144496968</v>
      </c>
      <c r="G18" s="69">
        <f>'Month &amp; Hour Data'!D17</f>
        <v>30</v>
      </c>
      <c r="H18" s="69">
        <f>'Month &amp; Hour Data'!E17</f>
        <v>1</v>
      </c>
      <c r="I18" s="69">
        <f>'Month &amp; Hour Data'!G17</f>
        <v>336</v>
      </c>
      <c r="J18" s="538">
        <f>SUM(Customer!C30:I30)</f>
        <v>132547.89633429036</v>
      </c>
      <c r="K18" s="70">
        <f>Population!U6</f>
        <v>396999.99999999977</v>
      </c>
      <c r="L18" s="70">
        <f t="shared" si="3"/>
        <v>290974281.02761531</v>
      </c>
      <c r="M18" s="70">
        <f t="shared" si="1"/>
        <v>5524525.1059353352</v>
      </c>
      <c r="N18" s="330">
        <f t="shared" si="2"/>
        <v>1.9353756629068977E-2</v>
      </c>
      <c r="O18" s="734"/>
    </row>
    <row r="19" spans="1:25">
      <c r="A19" s="66">
        <f t="shared" si="0"/>
        <v>2005</v>
      </c>
      <c r="B19" s="67">
        <v>38473</v>
      </c>
      <c r="C19" s="294">
        <f>HLOOKUP(MONTH(B19),'Purchased kWh'!$4:$17,7,FALSE)</f>
        <v>287810112.58807999</v>
      </c>
      <c r="D19" s="68">
        <f>'Month &amp; Hour Data'!B18</f>
        <v>189.4</v>
      </c>
      <c r="E19" s="68">
        <f>'Month &amp; Hour Data'!C18</f>
        <v>0.8</v>
      </c>
      <c r="F19" s="308">
        <f>'Month &amp; Hour Data'!H18</f>
        <v>1.0516824619181071</v>
      </c>
      <c r="G19" s="69">
        <f>'Month &amp; Hour Data'!D18</f>
        <v>31</v>
      </c>
      <c r="H19" s="69">
        <f>'Month &amp; Hour Data'!E18</f>
        <v>1</v>
      </c>
      <c r="I19" s="69">
        <f>'Month &amp; Hour Data'!G18</f>
        <v>336</v>
      </c>
      <c r="J19" s="538">
        <f>SUM(Customer!C31:I31)</f>
        <v>132946.13659385595</v>
      </c>
      <c r="K19" s="70">
        <f>Population!U7</f>
        <v>398999.99999999977</v>
      </c>
      <c r="L19" s="70">
        <f t="shared" si="3"/>
        <v>291837230.05123687</v>
      </c>
      <c r="M19" s="70">
        <f t="shared" si="1"/>
        <v>4027117.4631568789</v>
      </c>
      <c r="N19" s="330">
        <f t="shared" si="2"/>
        <v>1.3992272290030947E-2</v>
      </c>
      <c r="O19" s="734"/>
    </row>
    <row r="20" spans="1:25">
      <c r="A20" s="66">
        <f t="shared" si="0"/>
        <v>2005</v>
      </c>
      <c r="B20" s="67">
        <v>38504</v>
      </c>
      <c r="C20" s="294">
        <f>HLOOKUP(MONTH(B20),'Purchased kWh'!$4:$17,7,FALSE)</f>
        <v>354566496.19744003</v>
      </c>
      <c r="D20" s="68">
        <f>'Month &amp; Hour Data'!B19</f>
        <v>8.9</v>
      </c>
      <c r="E20" s="68">
        <f>'Month &amp; Hour Data'!C19</f>
        <v>146.30000000000001</v>
      </c>
      <c r="F20" s="308">
        <f>'Month &amp; Hour Data'!H19</f>
        <v>1.0540743369602825</v>
      </c>
      <c r="G20" s="69">
        <f>'Month &amp; Hour Data'!D19</f>
        <v>30</v>
      </c>
      <c r="H20" s="69">
        <f>'Month &amp; Hour Data'!E19</f>
        <v>0</v>
      </c>
      <c r="I20" s="69">
        <f>'Month &amp; Hour Data'!G19</f>
        <v>352</v>
      </c>
      <c r="J20" s="538">
        <f>SUM(Customer!C32:I32)</f>
        <v>133426.38333127773</v>
      </c>
      <c r="K20" s="70">
        <f>Population!U8</f>
        <v>400999.99999999977</v>
      </c>
      <c r="L20" s="70">
        <f t="shared" si="3"/>
        <v>357897334.6023792</v>
      </c>
      <c r="M20" s="70">
        <f t="shared" si="1"/>
        <v>3330838.4049391747</v>
      </c>
      <c r="N20" s="330">
        <f t="shared" si="2"/>
        <v>9.3941148999154185E-3</v>
      </c>
      <c r="O20" s="734"/>
    </row>
    <row r="21" spans="1:25">
      <c r="A21" s="66">
        <f t="shared" si="0"/>
        <v>2005</v>
      </c>
      <c r="B21" s="67">
        <v>38534</v>
      </c>
      <c r="C21" s="294">
        <f>HLOOKUP(MONTH(B21),'Purchased kWh'!$4:$17,7,FALSE)</f>
        <v>365920796.29247999</v>
      </c>
      <c r="D21" s="68">
        <f>'Month &amp; Hour Data'!B20</f>
        <v>0</v>
      </c>
      <c r="E21" s="68">
        <f>'Month &amp; Hour Data'!C20</f>
        <v>188.7</v>
      </c>
      <c r="F21" s="308">
        <f>'Month &amp; Hour Data'!H20</f>
        <v>1.0564716519203272</v>
      </c>
      <c r="G21" s="69">
        <f>'Month &amp; Hour Data'!D20</f>
        <v>31</v>
      </c>
      <c r="H21" s="69">
        <f>'Month &amp; Hour Data'!E20</f>
        <v>0</v>
      </c>
      <c r="I21" s="69">
        <f>'Month &amp; Hour Data'!G20</f>
        <v>320</v>
      </c>
      <c r="J21" s="538">
        <f>SUM(Customer!C33:I33)</f>
        <v>133936.63655028888</v>
      </c>
      <c r="K21" s="70">
        <f>Population!U9</f>
        <v>402999.99999999977</v>
      </c>
      <c r="L21" s="70">
        <f t="shared" si="3"/>
        <v>380338447.24094224</v>
      </c>
      <c r="M21" s="70">
        <f t="shared" si="1"/>
        <v>14417650.948462248</v>
      </c>
      <c r="N21" s="330">
        <f t="shared" si="2"/>
        <v>3.9401015450726773E-2</v>
      </c>
      <c r="O21" s="734"/>
    </row>
    <row r="22" spans="1:25">
      <c r="A22" s="66">
        <f t="shared" si="0"/>
        <v>2005</v>
      </c>
      <c r="B22" s="67">
        <v>38565</v>
      </c>
      <c r="C22" s="294">
        <f>HLOOKUP(MONTH(B22),'Purchased kWh'!$4:$17,7,FALSE)</f>
        <v>358835198.94231999</v>
      </c>
      <c r="D22" s="68">
        <f>'Month &amp; Hour Data'!B21</f>
        <v>0.2</v>
      </c>
      <c r="E22" s="68">
        <f>'Month &amp; Hour Data'!C21</f>
        <v>140.69999999999999</v>
      </c>
      <c r="F22" s="308">
        <f>'Month &amp; Hour Data'!H21</f>
        <v>1.05887441917042</v>
      </c>
      <c r="G22" s="69">
        <f>'Month &amp; Hour Data'!D21</f>
        <v>31</v>
      </c>
      <c r="H22" s="69">
        <f>'Month &amp; Hour Data'!E21</f>
        <v>0</v>
      </c>
      <c r="I22" s="69">
        <f>'Month &amp; Hour Data'!G21</f>
        <v>352</v>
      </c>
      <c r="J22" s="538">
        <f>SUM(Customer!C34:I34)</f>
        <v>134410.89625462485</v>
      </c>
      <c r="K22" s="70">
        <f>Population!U10</f>
        <v>404999.99999999977</v>
      </c>
      <c r="L22" s="70">
        <f t="shared" si="3"/>
        <v>361915590.1212123</v>
      </c>
      <c r="M22" s="70">
        <f t="shared" si="1"/>
        <v>3080391.1788923144</v>
      </c>
      <c r="N22" s="330">
        <f t="shared" si="2"/>
        <v>8.5844175487016922E-3</v>
      </c>
      <c r="O22" s="734"/>
      <c r="Q22" s="495"/>
      <c r="R22" s="495"/>
      <c r="S22" s="495"/>
      <c r="T22" s="495"/>
      <c r="U22" s="495"/>
      <c r="V22" s="495"/>
      <c r="W22" s="4"/>
      <c r="X22" s="4"/>
      <c r="Y22" s="4"/>
    </row>
    <row r="23" spans="1:25">
      <c r="A23" s="66">
        <f t="shared" si="0"/>
        <v>2005</v>
      </c>
      <c r="B23" s="67">
        <v>38596</v>
      </c>
      <c r="C23" s="294">
        <f>HLOOKUP(MONTH(B23),'Purchased kWh'!$4:$17,7,FALSE)</f>
        <v>314383693.67223996</v>
      </c>
      <c r="D23" s="68">
        <f>'Month &amp; Hour Data'!B22</f>
        <v>22.6</v>
      </c>
      <c r="E23" s="68">
        <f>'Month &amp; Hour Data'!C22</f>
        <v>52.1</v>
      </c>
      <c r="F23" s="308">
        <f>'Month &amp; Hour Data'!H22</f>
        <v>1.0612826511108788</v>
      </c>
      <c r="G23" s="69">
        <f>'Month &amp; Hour Data'!D22</f>
        <v>30</v>
      </c>
      <c r="H23" s="69">
        <f>'Month &amp; Hour Data'!E22</f>
        <v>1</v>
      </c>
      <c r="I23" s="69">
        <f>'Month &amp; Hour Data'!G22</f>
        <v>336</v>
      </c>
      <c r="J23" s="538">
        <f>SUM(Customer!C35:I35)</f>
        <v>135185.16244802318</v>
      </c>
      <c r="K23" s="70">
        <f>Population!U11</f>
        <v>406999.99999999977</v>
      </c>
      <c r="L23" s="70">
        <f t="shared" si="3"/>
        <v>305243056.00993532</v>
      </c>
      <c r="M23" s="70">
        <f t="shared" si="1"/>
        <v>-9140637.6623046398</v>
      </c>
      <c r="N23" s="330">
        <f t="shared" si="2"/>
        <v>-2.9074782968337383E-2</v>
      </c>
      <c r="O23" s="734"/>
      <c r="Q23" s="495"/>
      <c r="R23" s="495"/>
      <c r="S23" s="495"/>
      <c r="T23" s="495"/>
      <c r="U23" s="495"/>
      <c r="V23" s="495"/>
      <c r="W23" s="4"/>
      <c r="X23" s="4"/>
      <c r="Y23" s="4"/>
    </row>
    <row r="24" spans="1:25">
      <c r="A24" s="66">
        <f t="shared" si="0"/>
        <v>2005</v>
      </c>
      <c r="B24" s="67">
        <v>38626</v>
      </c>
      <c r="C24" s="294">
        <f>HLOOKUP(MONTH(B24),'Purchased kWh'!$4:$17,7,FALSE)</f>
        <v>304341531.72799999</v>
      </c>
      <c r="D24" s="68">
        <f>'Month &amp; Hour Data'!B23</f>
        <v>220.2</v>
      </c>
      <c r="E24" s="68">
        <f>'Month &amp; Hour Data'!C23</f>
        <v>7.6</v>
      </c>
      <c r="F24" s="308">
        <f>'Month &amp; Hour Data'!H23</f>
        <v>1.0636963601702236</v>
      </c>
      <c r="G24" s="69">
        <f>'Month &amp; Hour Data'!D23</f>
        <v>31</v>
      </c>
      <c r="H24" s="69">
        <f>'Month &amp; Hour Data'!E23</f>
        <v>1</v>
      </c>
      <c r="I24" s="69">
        <f>'Month &amp; Hour Data'!G23</f>
        <v>320</v>
      </c>
      <c r="J24" s="538">
        <f>SUM(Customer!C36:I36)</f>
        <v>135713.43513422355</v>
      </c>
      <c r="K24" s="70">
        <f>Population!U12</f>
        <v>408999.99999999977</v>
      </c>
      <c r="L24" s="70">
        <f t="shared" si="3"/>
        <v>297474808.06317383</v>
      </c>
      <c r="M24" s="70">
        <f t="shared" si="1"/>
        <v>-6866723.6648261547</v>
      </c>
      <c r="N24" s="330">
        <f t="shared" si="2"/>
        <v>-2.2562558668342284E-2</v>
      </c>
      <c r="O24" s="734"/>
      <c r="Q24" s="495"/>
      <c r="R24" s="495"/>
      <c r="S24" s="495"/>
      <c r="T24" s="495"/>
      <c r="U24" s="495"/>
      <c r="V24" s="495"/>
      <c r="W24" s="4"/>
      <c r="X24" s="4"/>
      <c r="Y24" s="4"/>
    </row>
    <row r="25" spans="1:25">
      <c r="A25" s="66">
        <f t="shared" si="0"/>
        <v>2005</v>
      </c>
      <c r="B25" s="67">
        <v>38657</v>
      </c>
      <c r="C25" s="294">
        <f>HLOOKUP(MONTH(B25),'Purchased kWh'!$4:$17,7,FALSE)</f>
        <v>311009155.23224002</v>
      </c>
      <c r="D25" s="68">
        <f>'Month &amp; Hour Data'!B24</f>
        <v>388.4</v>
      </c>
      <c r="E25" s="68">
        <f>'Month &amp; Hour Data'!C24</f>
        <v>0</v>
      </c>
      <c r="F25" s="308">
        <f>'Month &amp; Hour Data'!H24</f>
        <v>1.0661155588052409</v>
      </c>
      <c r="G25" s="69">
        <f>'Month &amp; Hour Data'!D24</f>
        <v>30</v>
      </c>
      <c r="H25" s="69">
        <f>'Month &amp; Hour Data'!E24</f>
        <v>1</v>
      </c>
      <c r="I25" s="69">
        <f>'Month &amp; Hour Data'!G24</f>
        <v>352</v>
      </c>
      <c r="J25" s="538">
        <f>SUM(Customer!C37:I37)</f>
        <v>136466.71431696782</v>
      </c>
      <c r="K25" s="70">
        <f>Population!U13</f>
        <v>410999.99999999977</v>
      </c>
      <c r="L25" s="70">
        <f t="shared" si="3"/>
        <v>302143891.75264645</v>
      </c>
      <c r="M25" s="70">
        <f t="shared" si="1"/>
        <v>-8865263.479593575</v>
      </c>
      <c r="N25" s="330">
        <f t="shared" si="2"/>
        <v>-2.8504831225864113E-2</v>
      </c>
      <c r="O25" s="734"/>
      <c r="Q25" s="495"/>
      <c r="R25" s="495"/>
      <c r="S25" s="495"/>
      <c r="T25" s="495"/>
      <c r="U25" s="495"/>
      <c r="V25" s="495"/>
      <c r="W25" s="4"/>
      <c r="X25" s="4"/>
      <c r="Y25" s="4"/>
    </row>
    <row r="26" spans="1:25">
      <c r="A26" s="66">
        <f t="shared" si="0"/>
        <v>2005</v>
      </c>
      <c r="B26" s="67">
        <v>38687</v>
      </c>
      <c r="C26" s="294">
        <f>HLOOKUP(MONTH(B26),'Purchased kWh'!$4:$17,7,FALSE)</f>
        <v>329446542.45952004</v>
      </c>
      <c r="D26" s="68">
        <f>'Month &amp; Hour Data'!B25</f>
        <v>665.3</v>
      </c>
      <c r="E26" s="68">
        <f>'Month &amp; Hour Data'!C25</f>
        <v>0</v>
      </c>
      <c r="F26" s="308">
        <f>'Month &amp; Hour Data'!H25</f>
        <v>1.068540259501048</v>
      </c>
      <c r="G26" s="69">
        <f>'Month &amp; Hour Data'!D25</f>
        <v>31</v>
      </c>
      <c r="H26" s="69">
        <f>'Month &amp; Hour Data'!E25</f>
        <v>0</v>
      </c>
      <c r="I26" s="69">
        <f>'Month &amp; Hour Data'!G25</f>
        <v>320</v>
      </c>
      <c r="J26" s="538">
        <f>SUM(Customer!C38:I38)</f>
        <v>136843.00000000003</v>
      </c>
      <c r="K26" s="70">
        <f>Population!U14</f>
        <v>412999.99999999977</v>
      </c>
      <c r="L26" s="70">
        <f t="shared" si="3"/>
        <v>323839411.59736717</v>
      </c>
      <c r="M26" s="70">
        <f t="shared" si="1"/>
        <v>-5607130.8621528745</v>
      </c>
      <c r="N26" s="330">
        <f t="shared" si="2"/>
        <v>-1.7019850383896008E-2</v>
      </c>
      <c r="O26" s="734"/>
      <c r="Q26" s="495"/>
      <c r="R26" s="495"/>
      <c r="S26" s="495"/>
      <c r="T26" s="495"/>
      <c r="U26" s="495"/>
      <c r="V26" s="495"/>
      <c r="W26" s="4"/>
      <c r="X26" s="4"/>
      <c r="Y26" s="4"/>
    </row>
    <row r="27" spans="1:25">
      <c r="A27" s="66">
        <f t="shared" si="0"/>
        <v>2006</v>
      </c>
      <c r="B27" s="67">
        <v>38718</v>
      </c>
      <c r="C27" s="294">
        <f>HLOOKUP(MONTH(B27),'Purchased kWh'!$4:$17,8,FALSE)</f>
        <v>329248076.85679996</v>
      </c>
      <c r="D27" s="68">
        <f>'Month &amp; Hour Data'!B26</f>
        <v>551.79999999999995</v>
      </c>
      <c r="E27" s="68">
        <f>'Month &amp; Hour Data'!C26</f>
        <v>0</v>
      </c>
      <c r="F27" s="308">
        <f>'Month &amp; Hour Data'!H26</f>
        <v>1.0706945906258896</v>
      </c>
      <c r="G27" s="69">
        <f>'Month &amp; Hour Data'!D26</f>
        <v>31</v>
      </c>
      <c r="H27" s="69">
        <f>'Month &amp; Hour Data'!E26</f>
        <v>0</v>
      </c>
      <c r="I27" s="69">
        <f>'Month &amp; Hour Data'!G26</f>
        <v>336</v>
      </c>
      <c r="J27" s="538">
        <f>SUM(Customer!C39:I39)</f>
        <v>137418.34149895998</v>
      </c>
      <c r="K27" s="70">
        <f>Population!V3</f>
        <v>414666.66666666645</v>
      </c>
      <c r="L27" s="70">
        <f t="shared" si="3"/>
        <v>320856986.77671188</v>
      </c>
      <c r="M27" s="70">
        <f t="shared" si="1"/>
        <v>-8391090.080088079</v>
      </c>
      <c r="N27" s="330">
        <f t="shared" si="2"/>
        <v>-2.5485616074646413E-2</v>
      </c>
      <c r="O27" s="734"/>
      <c r="Q27" s="593"/>
      <c r="R27" s="593"/>
      <c r="S27" s="495"/>
      <c r="T27" s="495"/>
      <c r="U27" s="495"/>
      <c r="V27" s="495"/>
      <c r="W27" s="4"/>
      <c r="X27" s="4"/>
      <c r="Y27" s="4"/>
    </row>
    <row r="28" spans="1:25">
      <c r="A28" s="66">
        <f t="shared" si="0"/>
        <v>2006</v>
      </c>
      <c r="B28" s="67">
        <v>38749</v>
      </c>
      <c r="C28" s="294">
        <f>HLOOKUP(MONTH(B28),'Purchased kWh'!$4:$17,8,FALSE)</f>
        <v>304825404.56072003</v>
      </c>
      <c r="D28" s="68">
        <f>'Month &amp; Hour Data'!B27</f>
        <v>604.29999999999995</v>
      </c>
      <c r="E28" s="68">
        <f>'Month &amp; Hour Data'!C27</f>
        <v>0</v>
      </c>
      <c r="F28" s="308">
        <f>'Month &amp; Hour Data'!H27</f>
        <v>1.0728532651926865</v>
      </c>
      <c r="G28" s="69">
        <f>'Month &amp; Hour Data'!D27</f>
        <v>28</v>
      </c>
      <c r="H28" s="69">
        <f>'Month &amp; Hour Data'!E27</f>
        <v>0</v>
      </c>
      <c r="I28" s="69">
        <f>'Month &amp; Hour Data'!G27</f>
        <v>320</v>
      </c>
      <c r="J28" s="538">
        <f>SUM(Customer!C40:I40)</f>
        <v>137683.69662681594</v>
      </c>
      <c r="K28" s="70">
        <f>Population!V4</f>
        <v>416333.33333333314</v>
      </c>
      <c r="L28" s="70">
        <f t="shared" si="3"/>
        <v>303756021.27254212</v>
      </c>
      <c r="M28" s="70">
        <f t="shared" si="1"/>
        <v>-1069383.2881779075</v>
      </c>
      <c r="N28" s="330">
        <f t="shared" si="2"/>
        <v>-3.5081829538419936E-3</v>
      </c>
      <c r="O28" s="734"/>
      <c r="Q28" s="310"/>
      <c r="R28" s="310"/>
      <c r="S28" s="495"/>
      <c r="T28" s="495"/>
      <c r="U28" s="495"/>
      <c r="V28" s="495"/>
      <c r="W28" s="4"/>
      <c r="X28" s="4"/>
      <c r="Y28" s="4"/>
    </row>
    <row r="29" spans="1:25">
      <c r="A29" s="66">
        <f t="shared" si="0"/>
        <v>2006</v>
      </c>
      <c r="B29" s="67">
        <v>38777</v>
      </c>
      <c r="C29" s="294">
        <f>HLOOKUP(MONTH(B29),'Purchased kWh'!$4:$17,8,FALSE)</f>
        <v>325241931.66935998</v>
      </c>
      <c r="D29" s="68">
        <f>'Month &amp; Hour Data'!B28</f>
        <v>516.6</v>
      </c>
      <c r="E29" s="68">
        <f>'Month &amp; Hour Data'!C28</f>
        <v>0</v>
      </c>
      <c r="F29" s="308">
        <f>'Month &amp; Hour Data'!H28</f>
        <v>1.0750162919584452</v>
      </c>
      <c r="G29" s="69">
        <f>'Month &amp; Hour Data'!D28</f>
        <v>31</v>
      </c>
      <c r="H29" s="69">
        <f>'Month &amp; Hour Data'!E28</f>
        <v>1</v>
      </c>
      <c r="I29" s="69">
        <f>'Month &amp; Hour Data'!G28</f>
        <v>368</v>
      </c>
      <c r="J29" s="538">
        <f>SUM(Customer!C41:I41)</f>
        <v>138077.06539493447</v>
      </c>
      <c r="K29" s="70">
        <f>Population!V5</f>
        <v>417999.99999999983</v>
      </c>
      <c r="L29" s="70">
        <f t="shared" si="3"/>
        <v>319907782.3948406</v>
      </c>
      <c r="M29" s="70">
        <f t="shared" si="1"/>
        <v>-5334149.2745193839</v>
      </c>
      <c r="N29" s="330">
        <f t="shared" si="2"/>
        <v>-1.6400558338652546E-2</v>
      </c>
      <c r="O29" s="734"/>
      <c r="Q29" s="310"/>
      <c r="R29" s="310"/>
      <c r="S29" s="495"/>
      <c r="T29" s="495"/>
      <c r="U29" s="495"/>
      <c r="V29" s="495"/>
      <c r="W29" s="4"/>
      <c r="X29" s="4"/>
      <c r="Y29" s="4"/>
    </row>
    <row r="30" spans="1:25">
      <c r="A30" s="66">
        <f t="shared" si="0"/>
        <v>2006</v>
      </c>
      <c r="B30" s="67">
        <v>38808</v>
      </c>
      <c r="C30" s="294">
        <f>HLOOKUP(MONTH(B30),'Purchased kWh'!$4:$17,8,FALSE)</f>
        <v>289070045.05703998</v>
      </c>
      <c r="D30" s="68">
        <f>'Month &amp; Hour Data'!B29</f>
        <v>293.3</v>
      </c>
      <c r="E30" s="68">
        <f>'Month &amp; Hour Data'!C29</f>
        <v>0</v>
      </c>
      <c r="F30" s="308">
        <f>'Month &amp; Hour Data'!H29</f>
        <v>1.0771836796978254</v>
      </c>
      <c r="G30" s="69">
        <f>'Month &amp; Hour Data'!D29</f>
        <v>30</v>
      </c>
      <c r="H30" s="69">
        <f>'Month &amp; Hour Data'!E29</f>
        <v>1</v>
      </c>
      <c r="I30" s="69">
        <f>'Month &amp; Hour Data'!G29</f>
        <v>304</v>
      </c>
      <c r="J30" s="538">
        <f>SUM(Customer!C42:I42)</f>
        <v>138376.44781469164</v>
      </c>
      <c r="K30" s="70">
        <f>Population!V6</f>
        <v>419666.66666666651</v>
      </c>
      <c r="L30" s="70">
        <f t="shared" si="3"/>
        <v>292636817.86330843</v>
      </c>
      <c r="M30" s="70">
        <f t="shared" si="1"/>
        <v>3566772.8062684536</v>
      </c>
      <c r="N30" s="330">
        <f t="shared" si="2"/>
        <v>1.2338783859685806E-2</v>
      </c>
      <c r="O30" s="734"/>
      <c r="Q30" s="310"/>
      <c r="R30" s="310"/>
      <c r="S30" s="495"/>
      <c r="T30" s="495"/>
      <c r="U30" s="495"/>
      <c r="V30" s="495"/>
      <c r="W30" s="4"/>
      <c r="X30" s="4"/>
      <c r="Y30" s="4"/>
    </row>
    <row r="31" spans="1:25">
      <c r="A31" s="66">
        <f t="shared" si="0"/>
        <v>2006</v>
      </c>
      <c r="B31" s="67">
        <v>38838</v>
      </c>
      <c r="C31" s="294">
        <f>HLOOKUP(MONTH(B31),'Purchased kWh'!$4:$17,8,FALSE)</f>
        <v>310032606.06352001</v>
      </c>
      <c r="D31" s="68">
        <f>'Month &amp; Hour Data'!B30</f>
        <v>136.9</v>
      </c>
      <c r="E31" s="68">
        <f>'Month &amp; Hour Data'!C30</f>
        <v>26</v>
      </c>
      <c r="F31" s="308">
        <f>'Month &amp; Hour Data'!H30</f>
        <v>1.0793554372031784</v>
      </c>
      <c r="G31" s="69">
        <f>'Month &amp; Hour Data'!D30</f>
        <v>31</v>
      </c>
      <c r="H31" s="69">
        <f>'Month &amp; Hour Data'!E30</f>
        <v>1</v>
      </c>
      <c r="I31" s="69">
        <f>'Month &amp; Hour Data'!G30</f>
        <v>352</v>
      </c>
      <c r="J31" s="538">
        <f>SUM(Customer!C43:I43)</f>
        <v>138709.84389747295</v>
      </c>
      <c r="K31" s="70">
        <f>Population!V7</f>
        <v>421333.3333333332</v>
      </c>
      <c r="L31" s="70">
        <f t="shared" si="3"/>
        <v>311585305.66303796</v>
      </c>
      <c r="M31" s="70">
        <f t="shared" si="1"/>
        <v>1552699.5995179415</v>
      </c>
      <c r="N31" s="330">
        <f t="shared" si="2"/>
        <v>5.0081816207415992E-3</v>
      </c>
      <c r="O31" s="734"/>
      <c r="Q31" s="310"/>
      <c r="R31" s="310"/>
      <c r="S31" s="495"/>
      <c r="T31" s="495"/>
      <c r="U31" s="495"/>
      <c r="V31" s="495"/>
      <c r="W31" s="4"/>
      <c r="X31" s="4"/>
      <c r="Y31" s="4"/>
    </row>
    <row r="32" spans="1:25">
      <c r="A32" s="66">
        <f t="shared" si="0"/>
        <v>2006</v>
      </c>
      <c r="B32" s="67">
        <v>38869</v>
      </c>
      <c r="C32" s="294">
        <f>HLOOKUP(MONTH(B32),'Purchased kWh'!$4:$17,8,FALSE)</f>
        <v>333895801.36328</v>
      </c>
      <c r="D32" s="68">
        <f>'Month &amp; Hour Data'!B31</f>
        <v>19.5</v>
      </c>
      <c r="E32" s="68">
        <f>'Month &amp; Hour Data'!C31</f>
        <v>73.599999999999994</v>
      </c>
      <c r="F32" s="308">
        <f>'Month &amp; Hour Data'!H31</f>
        <v>1.0815315732845823</v>
      </c>
      <c r="G32" s="69">
        <f>'Month &amp; Hour Data'!D31</f>
        <v>30</v>
      </c>
      <c r="H32" s="69">
        <f>'Month &amp; Hour Data'!E31</f>
        <v>0</v>
      </c>
      <c r="I32" s="69">
        <f>'Month &amp; Hour Data'!G31</f>
        <v>352</v>
      </c>
      <c r="J32" s="538">
        <f>SUM(Customer!C44:I44)</f>
        <v>138913.25365467346</v>
      </c>
      <c r="K32" s="70">
        <f>Population!V8</f>
        <v>422999.99999999988</v>
      </c>
      <c r="L32" s="70">
        <f t="shared" si="3"/>
        <v>329304588.3627466</v>
      </c>
      <c r="M32" s="70">
        <f t="shared" si="1"/>
        <v>-4591213.000533402</v>
      </c>
      <c r="N32" s="330">
        <f t="shared" si="2"/>
        <v>-1.3750436458882402E-2</v>
      </c>
      <c r="O32" s="734"/>
      <c r="Q32" s="310"/>
      <c r="R32" s="310"/>
      <c r="S32" s="495"/>
      <c r="T32" s="495"/>
      <c r="U32" s="495"/>
      <c r="V32" s="495"/>
      <c r="W32" s="4"/>
      <c r="X32" s="4"/>
      <c r="Y32" s="4"/>
    </row>
    <row r="33" spans="1:25">
      <c r="A33" s="66">
        <f t="shared" si="0"/>
        <v>2006</v>
      </c>
      <c r="B33" s="67">
        <v>38899</v>
      </c>
      <c r="C33" s="294">
        <f>HLOOKUP(MONTH(B33),'Purchased kWh'!$4:$17,8,FALSE)</f>
        <v>371225703.04703999</v>
      </c>
      <c r="D33" s="68">
        <f>'Month &amp; Hour Data'!B32</f>
        <v>0</v>
      </c>
      <c r="E33" s="68">
        <f>'Month &amp; Hour Data'!C32</f>
        <v>167.3</v>
      </c>
      <c r="F33" s="308">
        <f>'Month &amp; Hour Data'!H32</f>
        <v>1.0837120967698766</v>
      </c>
      <c r="G33" s="69">
        <f>'Month &amp; Hour Data'!D32</f>
        <v>31</v>
      </c>
      <c r="H33" s="69">
        <f>'Month &amp; Hour Data'!E32</f>
        <v>0</v>
      </c>
      <c r="I33" s="69">
        <f>'Month &amp; Hour Data'!G32</f>
        <v>320</v>
      </c>
      <c r="J33" s="538">
        <f>SUM(Customer!C45:I45)</f>
        <v>139217.67709769774</v>
      </c>
      <c r="K33" s="70">
        <f>Population!V9</f>
        <v>424666.66666666657</v>
      </c>
      <c r="L33" s="70">
        <f t="shared" si="3"/>
        <v>376958393.69248217</v>
      </c>
      <c r="M33" s="70">
        <f t="shared" si="1"/>
        <v>5732690.6454421878</v>
      </c>
      <c r="N33" s="330">
        <f t="shared" si="2"/>
        <v>1.5442601625878712E-2</v>
      </c>
      <c r="O33" s="734"/>
      <c r="Q33" s="495"/>
      <c r="R33" s="495"/>
      <c r="S33" s="495"/>
      <c r="T33" s="495"/>
      <c r="U33" s="495"/>
      <c r="V33" s="495"/>
      <c r="W33" s="4"/>
      <c r="X33" s="4"/>
      <c r="Y33" s="4"/>
    </row>
    <row r="34" spans="1:25">
      <c r="A34" s="66">
        <f t="shared" si="0"/>
        <v>2006</v>
      </c>
      <c r="B34" s="67">
        <v>38930</v>
      </c>
      <c r="C34" s="294">
        <f>HLOOKUP(MONTH(B34),'Purchased kWh'!$4:$17,8,FALSE)</f>
        <v>353706210.33784002</v>
      </c>
      <c r="D34" s="68">
        <f>'Month &amp; Hour Data'!B33</f>
        <v>4.2</v>
      </c>
      <c r="E34" s="68">
        <f>'Month &amp; Hour Data'!C33</f>
        <v>101.6</v>
      </c>
      <c r="F34" s="308">
        <f>'Month &amp; Hour Data'!H33</f>
        <v>1.0858970165047004</v>
      </c>
      <c r="G34" s="69">
        <f>'Month &amp; Hour Data'!D33</f>
        <v>31</v>
      </c>
      <c r="H34" s="69">
        <f>'Month &amp; Hour Data'!E33</f>
        <v>0</v>
      </c>
      <c r="I34" s="69">
        <f>'Month &amp; Hour Data'!G33</f>
        <v>352</v>
      </c>
      <c r="J34" s="538">
        <f>SUM(Customer!C46:I46)</f>
        <v>139677.11423795976</v>
      </c>
      <c r="K34" s="70">
        <f>Population!V10</f>
        <v>426333.33333333326</v>
      </c>
      <c r="L34" s="70">
        <f t="shared" si="3"/>
        <v>349772149.45383358</v>
      </c>
      <c r="M34" s="70">
        <f t="shared" si="1"/>
        <v>-3934060.8840064406</v>
      </c>
      <c r="N34" s="330">
        <f t="shared" si="2"/>
        <v>-1.1122396975300066E-2</v>
      </c>
      <c r="O34" s="734"/>
      <c r="Q34" s="495"/>
      <c r="R34" s="495"/>
      <c r="S34" s="495"/>
      <c r="T34" s="495"/>
      <c r="U34" s="495"/>
      <c r="V34" s="495"/>
      <c r="W34" s="4"/>
      <c r="X34" s="4"/>
      <c r="Y34" s="4"/>
    </row>
    <row r="35" spans="1:25">
      <c r="A35" s="66">
        <f t="shared" si="0"/>
        <v>2006</v>
      </c>
      <c r="B35" s="67">
        <v>38961</v>
      </c>
      <c r="C35" s="294">
        <f>HLOOKUP(MONTH(B35),'Purchased kWh'!$4:$17,8,FALSE)</f>
        <v>298103404.68008</v>
      </c>
      <c r="D35" s="68">
        <f>'Month &amp; Hour Data'!B34</f>
        <v>80.900000000000006</v>
      </c>
      <c r="E35" s="68">
        <f>'Month &amp; Hour Data'!C34</f>
        <v>12.9</v>
      </c>
      <c r="F35" s="308">
        <f>'Month &amp; Hour Data'!H34</f>
        <v>1.0880863413525259</v>
      </c>
      <c r="G35" s="69">
        <f>'Month &amp; Hour Data'!D34</f>
        <v>30</v>
      </c>
      <c r="H35" s="69">
        <f>'Month &amp; Hour Data'!E34</f>
        <v>1</v>
      </c>
      <c r="I35" s="69">
        <f>'Month &amp; Hour Data'!G34</f>
        <v>320</v>
      </c>
      <c r="J35" s="538">
        <f>SUM(Customer!C47:I47)</f>
        <v>140112.56508688314</v>
      </c>
      <c r="K35" s="70">
        <f>Population!V11</f>
        <v>427999.99999999994</v>
      </c>
      <c r="L35" s="70">
        <f t="shared" si="3"/>
        <v>293460374.06563389</v>
      </c>
      <c r="M35" s="70">
        <f t="shared" ref="M35:M66" si="4">L35-C35</f>
        <v>-4643030.6144461036</v>
      </c>
      <c r="N35" s="330">
        <f t="shared" ref="N35:N66" si="5">M35/C35</f>
        <v>-1.5575235108196544E-2</v>
      </c>
      <c r="O35" s="734"/>
      <c r="Q35" s="506"/>
      <c r="R35" s="506"/>
      <c r="S35" s="506"/>
      <c r="T35" s="506"/>
      <c r="U35" s="506"/>
      <c r="V35" s="506"/>
      <c r="W35" s="4"/>
      <c r="X35" s="4"/>
      <c r="Y35" s="4"/>
    </row>
    <row r="36" spans="1:25">
      <c r="A36" s="66">
        <f t="shared" si="0"/>
        <v>2006</v>
      </c>
      <c r="B36" s="67">
        <v>38991</v>
      </c>
      <c r="C36" s="294">
        <f>HLOOKUP(MONTH(B36),'Purchased kWh'!$4:$17,8,FALSE)</f>
        <v>307942170.88808</v>
      </c>
      <c r="D36" s="68">
        <f>'Month &amp; Hour Data'!B35</f>
        <v>288.3</v>
      </c>
      <c r="E36" s="68">
        <f>'Month &amp; Hour Data'!C35</f>
        <v>1.1000000000000001</v>
      </c>
      <c r="F36" s="308">
        <f>'Month &amp; Hour Data'!H35</f>
        <v>1.0902800801946957</v>
      </c>
      <c r="G36" s="69">
        <f>'Month &amp; Hour Data'!D35</f>
        <v>31</v>
      </c>
      <c r="H36" s="69">
        <f>'Month &amp; Hour Data'!E35</f>
        <v>1</v>
      </c>
      <c r="I36" s="69">
        <f>'Month &amp; Hour Data'!G35</f>
        <v>336</v>
      </c>
      <c r="J36" s="538">
        <f>SUM(Customer!C48:I48)</f>
        <v>140876.02965590096</v>
      </c>
      <c r="K36" s="70">
        <f>Population!V12</f>
        <v>429666.66666666663</v>
      </c>
      <c r="L36" s="70">
        <f t="shared" si="3"/>
        <v>307492572.7000106</v>
      </c>
      <c r="M36" s="70">
        <f t="shared" si="4"/>
        <v>-449598.18806940317</v>
      </c>
      <c r="N36" s="330">
        <f t="shared" si="5"/>
        <v>-1.4600085034563431E-3</v>
      </c>
      <c r="O36" s="734"/>
      <c r="Q36" s="310"/>
      <c r="R36" s="310"/>
      <c r="S36" s="310"/>
      <c r="T36" s="310"/>
      <c r="U36" s="310"/>
      <c r="V36" s="310"/>
      <c r="W36" s="4"/>
      <c r="X36" s="4"/>
      <c r="Y36" s="4"/>
    </row>
    <row r="37" spans="1:25">
      <c r="A37" s="66">
        <f t="shared" si="0"/>
        <v>2006</v>
      </c>
      <c r="B37" s="67">
        <v>39022</v>
      </c>
      <c r="C37" s="294">
        <f>HLOOKUP(MONTH(B37),'Purchased kWh'!$4:$17,8,FALSE)</f>
        <v>312999805.54064</v>
      </c>
      <c r="D37" s="68">
        <f>'Month &amp; Hour Data'!B36</f>
        <v>382.2</v>
      </c>
      <c r="E37" s="68">
        <f>'Month &amp; Hour Data'!C36</f>
        <v>0</v>
      </c>
      <c r="F37" s="308">
        <f>'Month &amp; Hour Data'!H36</f>
        <v>1.0924782419304584</v>
      </c>
      <c r="G37" s="69">
        <f>'Month &amp; Hour Data'!D36</f>
        <v>30</v>
      </c>
      <c r="H37" s="69">
        <f>'Month &amp; Hour Data'!E36</f>
        <v>1</v>
      </c>
      <c r="I37" s="69">
        <f>'Month &amp; Hour Data'!G36</f>
        <v>352</v>
      </c>
      <c r="J37" s="538">
        <f>SUM(Customer!C49:I49)</f>
        <v>141075.50795645587</v>
      </c>
      <c r="K37" s="70">
        <f>Population!V13</f>
        <v>431333.33333333331</v>
      </c>
      <c r="L37" s="70">
        <f t="shared" si="3"/>
        <v>309110545.49887395</v>
      </c>
      <c r="M37" s="70">
        <f t="shared" si="4"/>
        <v>-3889260.0417660475</v>
      </c>
      <c r="N37" s="330">
        <f t="shared" si="5"/>
        <v>-1.2425758651984416E-2</v>
      </c>
      <c r="O37" s="734"/>
      <c r="Q37" s="310"/>
      <c r="R37" s="310"/>
      <c r="S37" s="310"/>
      <c r="T37" s="310"/>
      <c r="U37" s="310"/>
      <c r="V37" s="310"/>
      <c r="W37" s="4"/>
      <c r="X37" s="4"/>
      <c r="Y37" s="4"/>
    </row>
    <row r="38" spans="1:25">
      <c r="A38" s="66">
        <f t="shared" si="0"/>
        <v>2006</v>
      </c>
      <c r="B38" s="67">
        <v>39052</v>
      </c>
      <c r="C38" s="294">
        <f>HLOOKUP(MONTH(B38),'Purchased kWh'!$4:$17,8,FALSE)</f>
        <v>317982953.65599346</v>
      </c>
      <c r="D38" s="68">
        <f>'Month &amp; Hour Data'!B37</f>
        <v>500.5</v>
      </c>
      <c r="E38" s="68">
        <f>'Month &amp; Hour Data'!C37</f>
        <v>0</v>
      </c>
      <c r="F38" s="308">
        <f>'Month &amp; Hour Data'!H37</f>
        <v>1.0946808354770046</v>
      </c>
      <c r="G38" s="69">
        <f>'Month &amp; Hour Data'!D37</f>
        <v>31</v>
      </c>
      <c r="H38" s="69">
        <f>'Month &amp; Hour Data'!E37</f>
        <v>0</v>
      </c>
      <c r="I38" s="69">
        <f>'Month &amp; Hour Data'!G37</f>
        <v>304</v>
      </c>
      <c r="J38" s="538">
        <f>SUM(Customer!C50:I50)</f>
        <v>141291.00000000003</v>
      </c>
      <c r="K38" s="70">
        <f>Population!V14</f>
        <v>433000</v>
      </c>
      <c r="L38" s="70">
        <f t="shared" si="3"/>
        <v>319861537.4234643</v>
      </c>
      <c r="M38" s="70">
        <f t="shared" si="4"/>
        <v>1878583.7674708366</v>
      </c>
      <c r="N38" s="330">
        <f t="shared" si="5"/>
        <v>5.907812811573424E-3</v>
      </c>
      <c r="O38" s="734"/>
      <c r="Q38" s="310"/>
      <c r="R38" s="310"/>
      <c r="S38" s="310"/>
      <c r="T38" s="310"/>
      <c r="U38" s="310"/>
      <c r="V38" s="310"/>
      <c r="W38" s="4"/>
      <c r="X38" s="4"/>
      <c r="Y38" s="4"/>
    </row>
    <row r="39" spans="1:25">
      <c r="A39" s="66">
        <f t="shared" si="0"/>
        <v>2007</v>
      </c>
      <c r="B39" s="67">
        <v>39083</v>
      </c>
      <c r="C39" s="294">
        <f>HLOOKUP(MONTH(B39),'Purchased kWh'!$4:$17,9,FALSE)</f>
        <v>332533627.73552001</v>
      </c>
      <c r="D39" s="68">
        <f>'Month &amp; Hour Data'!B38</f>
        <v>647.1</v>
      </c>
      <c r="E39" s="68">
        <f>'Month &amp; Hour Data'!C38</f>
        <v>0</v>
      </c>
      <c r="F39" s="308">
        <f>'Month &amp; Hour Data'!H38</f>
        <v>1.0964502498500059</v>
      </c>
      <c r="G39" s="69">
        <f>'Month &amp; Hour Data'!D38</f>
        <v>31</v>
      </c>
      <c r="H39" s="69">
        <f>'Month &amp; Hour Data'!E38</f>
        <v>0</v>
      </c>
      <c r="I39" s="69">
        <f>'Month &amp; Hour Data'!G38</f>
        <v>352</v>
      </c>
      <c r="J39" s="538">
        <f>SUM(Customer!C51:I51)</f>
        <v>141799.29196114634</v>
      </c>
      <c r="K39" s="70">
        <f>Population!W3</f>
        <v>434416.66666666669</v>
      </c>
      <c r="L39" s="70">
        <f t="shared" si="3"/>
        <v>335592396.14150566</v>
      </c>
      <c r="M39" s="70">
        <f t="shared" si="4"/>
        <v>3058768.4059856534</v>
      </c>
      <c r="N39" s="330">
        <f t="shared" si="5"/>
        <v>9.1983731895483329E-3</v>
      </c>
      <c r="O39" s="734"/>
      <c r="Q39" s="495"/>
      <c r="R39" s="495"/>
      <c r="S39" s="495"/>
      <c r="T39" s="495"/>
      <c r="U39" s="495"/>
      <c r="V39" s="495"/>
      <c r="W39" s="4"/>
      <c r="X39" s="4"/>
      <c r="Y39" s="4"/>
    </row>
    <row r="40" spans="1:25">
      <c r="A40" s="66">
        <f t="shared" si="0"/>
        <v>2007</v>
      </c>
      <c r="B40" s="67">
        <v>39114</v>
      </c>
      <c r="C40" s="294">
        <f>HLOOKUP(MONTH(B40),'Purchased kWh'!$4:$17,9,FALSE)</f>
        <v>318174492.26888001</v>
      </c>
      <c r="D40" s="68">
        <f>'Month &amp; Hour Data'!B39</f>
        <v>740.1</v>
      </c>
      <c r="E40" s="68">
        <f>'Month &amp; Hour Data'!C39</f>
        <v>0</v>
      </c>
      <c r="F40" s="308">
        <f>'Month &amp; Hour Data'!H39</f>
        <v>1.09822252425958</v>
      </c>
      <c r="G40" s="69">
        <f>'Month &amp; Hour Data'!D39</f>
        <v>28</v>
      </c>
      <c r="H40" s="69">
        <f>'Month &amp; Hour Data'!E39</f>
        <v>0</v>
      </c>
      <c r="I40" s="69">
        <f>'Month &amp; Hour Data'!G39</f>
        <v>320</v>
      </c>
      <c r="J40" s="538">
        <f>SUM(Customer!C52:I52)</f>
        <v>142118.63661143192</v>
      </c>
      <c r="K40" s="70">
        <f>Population!W4</f>
        <v>435833.33333333337</v>
      </c>
      <c r="L40" s="70">
        <f t="shared" si="3"/>
        <v>317968243.68421966</v>
      </c>
      <c r="M40" s="70">
        <f t="shared" si="4"/>
        <v>-206248.58466035128</v>
      </c>
      <c r="N40" s="330">
        <f t="shared" si="5"/>
        <v>-6.4822476242393625E-4</v>
      </c>
      <c r="O40" s="734"/>
      <c r="Q40" s="506"/>
      <c r="R40" s="506"/>
      <c r="S40" s="506"/>
      <c r="T40" s="506"/>
      <c r="U40" s="506"/>
      <c r="V40" s="506"/>
      <c r="W40" s="506"/>
      <c r="X40" s="506"/>
      <c r="Y40" s="506"/>
    </row>
    <row r="41" spans="1:25">
      <c r="A41" s="66">
        <f t="shared" si="0"/>
        <v>2007</v>
      </c>
      <c r="B41" s="67">
        <v>39142</v>
      </c>
      <c r="C41" s="294">
        <f>HLOOKUP(MONTH(B41),'Purchased kWh'!$4:$17,9,FALSE)</f>
        <v>330329410.74735999</v>
      </c>
      <c r="D41" s="68">
        <f>'Month &amp; Hour Data'!B40</f>
        <v>546.70000000000005</v>
      </c>
      <c r="E41" s="68">
        <f>'Month &amp; Hour Data'!C40</f>
        <v>0</v>
      </c>
      <c r="F41" s="308">
        <f>'Month &amp; Hour Data'!H40</f>
        <v>1.0999976633286159</v>
      </c>
      <c r="G41" s="69">
        <f>'Month &amp; Hour Data'!D40</f>
        <v>31</v>
      </c>
      <c r="H41" s="69">
        <f>'Month &amp; Hour Data'!E40</f>
        <v>1</v>
      </c>
      <c r="I41" s="69">
        <f>'Month &amp; Hour Data'!G40</f>
        <v>352</v>
      </c>
      <c r="J41" s="538">
        <f>SUM(Customer!C53:I53)</f>
        <v>142417.0340368269</v>
      </c>
      <c r="K41" s="70">
        <f>Population!W5</f>
        <v>437250.00000000006</v>
      </c>
      <c r="L41" s="70">
        <f t="shared" si="3"/>
        <v>325909200.89241719</v>
      </c>
      <c r="M41" s="70">
        <f t="shared" si="4"/>
        <v>-4420209.8549427986</v>
      </c>
      <c r="N41" s="330">
        <f t="shared" si="5"/>
        <v>-1.3381217993705773E-2</v>
      </c>
      <c r="O41" s="734"/>
      <c r="Q41" s="310"/>
      <c r="R41" s="310"/>
      <c r="S41" s="310"/>
      <c r="T41" s="310"/>
      <c r="U41" s="310"/>
      <c r="V41" s="310"/>
      <c r="W41" s="310"/>
      <c r="X41" s="310"/>
      <c r="Y41" s="310"/>
    </row>
    <row r="42" spans="1:25">
      <c r="A42" s="66">
        <f t="shared" si="0"/>
        <v>2007</v>
      </c>
      <c r="B42" s="67">
        <v>39173</v>
      </c>
      <c r="C42" s="294">
        <f>HLOOKUP(MONTH(B42),'Purchased kWh'!$4:$17,9,FALSE)</f>
        <v>301193988.05048001</v>
      </c>
      <c r="D42" s="68">
        <f>'Month &amp; Hour Data'!B41</f>
        <v>356.4</v>
      </c>
      <c r="E42" s="68">
        <f>'Month &amp; Hour Data'!C41</f>
        <v>0</v>
      </c>
      <c r="F42" s="308">
        <f>'Month &amp; Hour Data'!H41</f>
        <v>1.1017756716874769</v>
      </c>
      <c r="G42" s="69">
        <f>'Month &amp; Hour Data'!D41</f>
        <v>30</v>
      </c>
      <c r="H42" s="69">
        <f>'Month &amp; Hour Data'!E41</f>
        <v>1</v>
      </c>
      <c r="I42" s="69">
        <f>'Month &amp; Hour Data'!G41</f>
        <v>320</v>
      </c>
      <c r="J42" s="538">
        <f>SUM(Customer!C54:I54)</f>
        <v>142744.48432344175</v>
      </c>
      <c r="K42" s="70">
        <f>Population!W6</f>
        <v>438666.66666666674</v>
      </c>
      <c r="L42" s="70">
        <f t="shared" si="3"/>
        <v>305276762.00017613</v>
      </c>
      <c r="M42" s="70">
        <f t="shared" si="4"/>
        <v>4082773.9496961236</v>
      </c>
      <c r="N42" s="330">
        <f t="shared" si="5"/>
        <v>1.3555296957029075E-2</v>
      </c>
      <c r="O42" s="734"/>
      <c r="Q42" s="310"/>
      <c r="R42" s="310"/>
      <c r="S42" s="310"/>
      <c r="T42" s="310"/>
      <c r="U42" s="310"/>
      <c r="V42" s="310"/>
      <c r="W42" s="310"/>
      <c r="X42" s="310"/>
      <c r="Y42" s="310"/>
    </row>
    <row r="43" spans="1:25">
      <c r="A43" s="66">
        <f t="shared" si="0"/>
        <v>2007</v>
      </c>
      <c r="B43" s="67">
        <v>39203</v>
      </c>
      <c r="C43" s="294">
        <f>HLOOKUP(MONTH(B43),'Purchased kWh'!$4:$17,9,FALSE)</f>
        <v>313881665.17031997</v>
      </c>
      <c r="D43" s="68">
        <f>'Month &amp; Hour Data'!B42</f>
        <v>136.4</v>
      </c>
      <c r="E43" s="68">
        <f>'Month &amp; Hour Data'!C42</f>
        <v>22.4</v>
      </c>
      <c r="F43" s="308">
        <f>'Month &amp; Hour Data'!H42</f>
        <v>1.10355655397401</v>
      </c>
      <c r="G43" s="69">
        <f>'Month &amp; Hour Data'!D42</f>
        <v>31</v>
      </c>
      <c r="H43" s="69">
        <f>'Month &amp; Hour Data'!E42</f>
        <v>1</v>
      </c>
      <c r="I43" s="69">
        <f>'Month &amp; Hour Data'!G42</f>
        <v>352</v>
      </c>
      <c r="J43" s="538">
        <f>SUM(Customer!C55:I55)</f>
        <v>143193.98755752738</v>
      </c>
      <c r="K43" s="70">
        <f>Population!W7</f>
        <v>440083.33333333343</v>
      </c>
      <c r="L43" s="70">
        <f t="shared" si="3"/>
        <v>316349932.45145577</v>
      </c>
      <c r="M43" s="70">
        <f t="shared" si="4"/>
        <v>2468267.2811357975</v>
      </c>
      <c r="N43" s="330">
        <f t="shared" si="5"/>
        <v>7.8636873542659927E-3</v>
      </c>
      <c r="O43" s="734"/>
      <c r="Q43" s="310"/>
      <c r="R43" s="310"/>
      <c r="S43" s="310"/>
      <c r="T43" s="310"/>
      <c r="U43" s="310"/>
      <c r="V43" s="310"/>
      <c r="W43" s="310"/>
      <c r="X43" s="310"/>
      <c r="Y43" s="310"/>
    </row>
    <row r="44" spans="1:25">
      <c r="A44" s="66">
        <f t="shared" si="0"/>
        <v>2007</v>
      </c>
      <c r="B44" s="67">
        <v>39234</v>
      </c>
      <c r="C44" s="294">
        <f>HLOOKUP(MONTH(B44),'Purchased kWh'!$4:$17,9,FALSE)</f>
        <v>352305947.40079999</v>
      </c>
      <c r="D44" s="68">
        <f>'Month &amp; Hour Data'!B43</f>
        <v>16.5</v>
      </c>
      <c r="E44" s="68">
        <f>'Month &amp; Hour Data'!C43</f>
        <v>99.2</v>
      </c>
      <c r="F44" s="308">
        <f>'Month &amp; Hour Data'!H43</f>
        <v>1.1053403148335597</v>
      </c>
      <c r="G44" s="69">
        <f>'Month &amp; Hour Data'!D43</f>
        <v>30</v>
      </c>
      <c r="H44" s="69">
        <f>'Month &amp; Hour Data'!E43</f>
        <v>0</v>
      </c>
      <c r="I44" s="69">
        <f>'Month &amp; Hour Data'!G43</f>
        <v>336</v>
      </c>
      <c r="J44" s="538">
        <f>SUM(Customer!C56:I56)</f>
        <v>143585.54382547547</v>
      </c>
      <c r="K44" s="70">
        <f>Population!W8</f>
        <v>441500.00000000012</v>
      </c>
      <c r="L44" s="70">
        <f t="shared" si="3"/>
        <v>345883844.84037411</v>
      </c>
      <c r="M44" s="70">
        <f t="shared" si="4"/>
        <v>-6422102.5604258776</v>
      </c>
      <c r="N44" s="330">
        <f t="shared" si="5"/>
        <v>-1.8228765673148822E-2</v>
      </c>
      <c r="O44" s="734"/>
      <c r="Q44" s="310"/>
      <c r="R44" s="310"/>
      <c r="S44" s="310"/>
      <c r="T44" s="310"/>
      <c r="U44" s="310"/>
      <c r="V44" s="310"/>
      <c r="W44" s="310"/>
      <c r="X44" s="310"/>
      <c r="Y44" s="310"/>
    </row>
    <row r="45" spans="1:25">
      <c r="A45" s="66">
        <f t="shared" si="0"/>
        <v>2007</v>
      </c>
      <c r="B45" s="67">
        <v>39264</v>
      </c>
      <c r="C45" s="294">
        <f>HLOOKUP(MONTH(B45),'Purchased kWh'!$4:$17,9,FALSE)</f>
        <v>350987926.23040003</v>
      </c>
      <c r="D45" s="68">
        <f>'Month &amp; Hour Data'!B44</f>
        <v>3.2</v>
      </c>
      <c r="E45" s="68">
        <f>'Month &amp; Hour Data'!C44</f>
        <v>106.1</v>
      </c>
      <c r="F45" s="308">
        <f>'Month &amp; Hour Data'!H44</f>
        <v>1.1071269589189776</v>
      </c>
      <c r="G45" s="69">
        <f>'Month &amp; Hour Data'!D44</f>
        <v>31</v>
      </c>
      <c r="H45" s="69">
        <f>'Month &amp; Hour Data'!E44</f>
        <v>0</v>
      </c>
      <c r="I45" s="69">
        <f>'Month &amp; Hour Data'!G44</f>
        <v>336</v>
      </c>
      <c r="J45" s="538">
        <f>SUM(Customer!C57:I57)</f>
        <v>144178.15321381867</v>
      </c>
      <c r="K45" s="70">
        <f>Population!W9</f>
        <v>442916.6666666668</v>
      </c>
      <c r="L45" s="70">
        <f t="shared" si="3"/>
        <v>355032741.1314708</v>
      </c>
      <c r="M45" s="70">
        <f t="shared" si="4"/>
        <v>4044814.9010707736</v>
      </c>
      <c r="N45" s="330">
        <f t="shared" si="5"/>
        <v>1.1524085584686533E-2</v>
      </c>
      <c r="O45" s="734"/>
      <c r="Q45" s="310"/>
      <c r="R45" s="310"/>
      <c r="S45" s="310"/>
      <c r="T45" s="310"/>
      <c r="U45" s="310"/>
      <c r="V45" s="310"/>
      <c r="W45" s="310"/>
      <c r="X45" s="310"/>
      <c r="Y45" s="310"/>
    </row>
    <row r="46" spans="1:25">
      <c r="A46" s="66">
        <f t="shared" si="0"/>
        <v>2007</v>
      </c>
      <c r="B46" s="67">
        <v>39295</v>
      </c>
      <c r="C46" s="294">
        <f>HLOOKUP(MONTH(B46),'Purchased kWh'!$4:$17,9,FALSE)</f>
        <v>363680290.54207999</v>
      </c>
      <c r="D46" s="68">
        <f>'Month &amp; Hour Data'!B45</f>
        <v>5.2</v>
      </c>
      <c r="E46" s="68">
        <f>'Month &amp; Hour Data'!C45</f>
        <v>141</v>
      </c>
      <c r="F46" s="308">
        <f>'Month &amp; Hour Data'!H45</f>
        <v>1.1089164908906379</v>
      </c>
      <c r="G46" s="69">
        <f>'Month &amp; Hour Data'!D45</f>
        <v>31</v>
      </c>
      <c r="H46" s="69">
        <f>'Month &amp; Hour Data'!E45</f>
        <v>0</v>
      </c>
      <c r="I46" s="69">
        <f>'Month &amp; Hour Data'!G45</f>
        <v>352</v>
      </c>
      <c r="J46" s="538">
        <f>SUM(Customer!C58:I58)</f>
        <v>144837.81580923084</v>
      </c>
      <c r="K46" s="70">
        <f>Population!W10</f>
        <v>444333.33333333349</v>
      </c>
      <c r="L46" s="70">
        <f t="shared" si="3"/>
        <v>375549146.36929309</v>
      </c>
      <c r="M46" s="70">
        <f t="shared" si="4"/>
        <v>11868855.827213109</v>
      </c>
      <c r="N46" s="330">
        <f t="shared" si="5"/>
        <v>3.2635411200101348E-2</v>
      </c>
      <c r="O46" s="734"/>
      <c r="Q46" s="310"/>
      <c r="R46" s="310"/>
      <c r="S46" s="310"/>
      <c r="T46" s="310"/>
      <c r="U46" s="310"/>
      <c r="V46" s="310"/>
      <c r="W46" s="310"/>
      <c r="X46" s="310"/>
      <c r="Y46" s="310"/>
    </row>
    <row r="47" spans="1:25">
      <c r="A47" s="66">
        <f t="shared" si="0"/>
        <v>2007</v>
      </c>
      <c r="B47" s="67">
        <v>39326</v>
      </c>
      <c r="C47" s="294">
        <f>HLOOKUP(MONTH(B47),'Purchased kWh'!$4:$17,9,FALSE)</f>
        <v>320412435.58792001</v>
      </c>
      <c r="D47" s="68">
        <f>'Month &amp; Hour Data'!B46</f>
        <v>36.9</v>
      </c>
      <c r="E47" s="68">
        <f>'Month &amp; Hour Data'!C46</f>
        <v>47.5</v>
      </c>
      <c r="F47" s="308">
        <f>'Month &amp; Hour Data'!H46</f>
        <v>1.1107089154164462</v>
      </c>
      <c r="G47" s="69">
        <f>'Month &amp; Hour Data'!D46</f>
        <v>30</v>
      </c>
      <c r="H47" s="69">
        <f>'Month &amp; Hour Data'!E46</f>
        <v>1</v>
      </c>
      <c r="I47" s="69">
        <f>'Month &amp; Hour Data'!G46</f>
        <v>304</v>
      </c>
      <c r="J47" s="538">
        <f>SUM(Customer!C59:I59)</f>
        <v>145263.53169852716</v>
      </c>
      <c r="K47" s="70">
        <f>Population!W11</f>
        <v>445750.00000000017</v>
      </c>
      <c r="L47" s="70">
        <f t="shared" si="3"/>
        <v>311794061.2593444</v>
      </c>
      <c r="M47" s="70">
        <f t="shared" si="4"/>
        <v>-8618374.3285756111</v>
      </c>
      <c r="N47" s="330">
        <f t="shared" si="5"/>
        <v>-2.6897752307153387E-2</v>
      </c>
      <c r="O47" s="734"/>
      <c r="Q47" s="310"/>
      <c r="R47" s="310"/>
      <c r="S47" s="310"/>
      <c r="T47" s="310"/>
      <c r="U47" s="310"/>
      <c r="V47" s="310"/>
      <c r="W47" s="310"/>
      <c r="X47" s="310"/>
      <c r="Y47" s="310"/>
    </row>
    <row r="48" spans="1:25">
      <c r="A48" s="66">
        <f t="shared" si="0"/>
        <v>2007</v>
      </c>
      <c r="B48" s="67">
        <v>39356</v>
      </c>
      <c r="C48" s="294">
        <f>HLOOKUP(MONTH(B48),'Purchased kWh'!$4:$17,9,FALSE)</f>
        <v>318245128.16911995</v>
      </c>
      <c r="D48" s="68">
        <f>'Month &amp; Hour Data'!B47</f>
        <v>137.69999999999999</v>
      </c>
      <c r="E48" s="68">
        <f>'Month &amp; Hour Data'!C47</f>
        <v>19.8</v>
      </c>
      <c r="F48" s="308">
        <f>'Month &amp; Hour Data'!H47</f>
        <v>1.1125042371718541</v>
      </c>
      <c r="G48" s="69">
        <f>'Month &amp; Hour Data'!D47</f>
        <v>31</v>
      </c>
      <c r="H48" s="69">
        <f>'Month &amp; Hour Data'!E47</f>
        <v>1</v>
      </c>
      <c r="I48" s="69">
        <f>'Month &amp; Hour Data'!G47</f>
        <v>352</v>
      </c>
      <c r="J48" s="538">
        <f>SUM(Customer!C60:I60)</f>
        <v>146037.30096866461</v>
      </c>
      <c r="K48" s="70">
        <f>Population!W12</f>
        <v>447166.66666666686</v>
      </c>
      <c r="L48" s="70">
        <f t="shared" si="3"/>
        <v>317081824.94987041</v>
      </c>
      <c r="M48" s="70">
        <f t="shared" si="4"/>
        <v>-1163303.2192495465</v>
      </c>
      <c r="N48" s="330">
        <f t="shared" si="5"/>
        <v>-3.6553685077351781E-3</v>
      </c>
      <c r="O48" s="734"/>
      <c r="Q48" s="310"/>
      <c r="R48" s="310"/>
      <c r="S48" s="310"/>
      <c r="T48" s="310"/>
      <c r="U48" s="310"/>
      <c r="V48" s="310"/>
      <c r="W48" s="310"/>
      <c r="X48" s="310"/>
      <c r="Y48" s="310"/>
    </row>
    <row r="49" spans="1:25">
      <c r="A49" s="66">
        <f t="shared" si="0"/>
        <v>2007</v>
      </c>
      <c r="B49" s="67">
        <v>39387</v>
      </c>
      <c r="C49" s="294">
        <f>HLOOKUP(MONTH(B49),'Purchased kWh'!$4:$17,9,FALSE)</f>
        <v>323515779.22904003</v>
      </c>
      <c r="D49" s="68">
        <f>'Month &amp; Hour Data'!B48</f>
        <v>462.5</v>
      </c>
      <c r="E49" s="68">
        <f>'Month &amp; Hour Data'!C48</f>
        <v>0</v>
      </c>
      <c r="F49" s="308">
        <f>'Month &amp; Hour Data'!H48</f>
        <v>1.1143024608398699</v>
      </c>
      <c r="G49" s="69">
        <f>'Month &amp; Hour Data'!D48</f>
        <v>30</v>
      </c>
      <c r="H49" s="69">
        <f>'Month &amp; Hour Data'!E48</f>
        <v>1</v>
      </c>
      <c r="I49" s="69">
        <f>'Month &amp; Hour Data'!G48</f>
        <v>352</v>
      </c>
      <c r="J49" s="538">
        <f>SUM(Customer!C61:I61)</f>
        <v>146813.1237067419</v>
      </c>
      <c r="K49" s="70">
        <f>Population!W13</f>
        <v>448583.33333333355</v>
      </c>
      <c r="L49" s="70">
        <f t="shared" si="3"/>
        <v>318653941.1388858</v>
      </c>
      <c r="M49" s="70">
        <f t="shared" si="4"/>
        <v>-4861838.0901542306</v>
      </c>
      <c r="N49" s="330">
        <f t="shared" si="5"/>
        <v>-1.5028132790741519E-2</v>
      </c>
      <c r="O49" s="734"/>
      <c r="Q49" s="495"/>
      <c r="R49" s="495"/>
      <c r="S49" s="495"/>
      <c r="T49" s="495"/>
      <c r="U49" s="495"/>
      <c r="V49" s="495"/>
      <c r="W49" s="4"/>
      <c r="X49" s="4"/>
      <c r="Y49" s="4"/>
    </row>
    <row r="50" spans="1:25">
      <c r="A50" s="66">
        <f t="shared" si="0"/>
        <v>2007</v>
      </c>
      <c r="B50" s="67">
        <v>39417</v>
      </c>
      <c r="C50" s="294">
        <f>HLOOKUP(MONTH(B50),'Purchased kWh'!$4:$17,9,FALSE)</f>
        <v>333331076.53263998</v>
      </c>
      <c r="D50" s="68">
        <f>'Month &amp; Hour Data'!B49</f>
        <v>630.70000000000005</v>
      </c>
      <c r="E50" s="68">
        <f>'Month &amp; Hour Data'!C49</f>
        <v>0</v>
      </c>
      <c r="F50" s="308">
        <f>'Month &amp; Hour Data'!H49</f>
        <v>1.1161035911110719</v>
      </c>
      <c r="G50" s="69">
        <f>'Month &amp; Hour Data'!D49</f>
        <v>31</v>
      </c>
      <c r="H50" s="69">
        <f>'Month &amp; Hour Data'!E49</f>
        <v>0</v>
      </c>
      <c r="I50" s="69">
        <f>'Month &amp; Hour Data'!G49</f>
        <v>304</v>
      </c>
      <c r="J50" s="538">
        <f>SUM(Customer!C62:I62)</f>
        <v>147458</v>
      </c>
      <c r="K50" s="70">
        <f>Population!W14</f>
        <v>450000.00000000023</v>
      </c>
      <c r="L50" s="70">
        <f t="shared" si="3"/>
        <v>331739562.38903451</v>
      </c>
      <c r="M50" s="70">
        <f t="shared" si="4"/>
        <v>-1591514.1436054707</v>
      </c>
      <c r="N50" s="330">
        <f t="shared" si="5"/>
        <v>-4.7745747566072753E-3</v>
      </c>
      <c r="O50" s="734"/>
      <c r="Q50" s="495"/>
      <c r="R50" s="495"/>
      <c r="S50" s="495"/>
      <c r="T50" s="495"/>
      <c r="U50" s="495"/>
      <c r="V50" s="495"/>
      <c r="W50" s="4"/>
      <c r="X50" s="4"/>
      <c r="Y50" s="4"/>
    </row>
    <row r="51" spans="1:25">
      <c r="A51" s="66">
        <f t="shared" si="0"/>
        <v>2008</v>
      </c>
      <c r="B51" s="67">
        <v>39448</v>
      </c>
      <c r="C51" s="294">
        <f>HLOOKUP(MONTH(B51),'Purchased kWh'!$4:$17,10,FALSE)</f>
        <v>344575662.39160001</v>
      </c>
      <c r="D51" s="68">
        <f>'Month &amp; Hour Data'!B50</f>
        <v>623.5</v>
      </c>
      <c r="E51" s="68">
        <f>'Month &amp; Hour Data'!C50</f>
        <v>0</v>
      </c>
      <c r="F51" s="308">
        <f>'Month &amp; Hour Data'!H50</f>
        <v>1.1155079320471661</v>
      </c>
      <c r="G51" s="69">
        <f>'Month &amp; Hour Data'!D50</f>
        <v>31</v>
      </c>
      <c r="H51" s="69">
        <f>'Month &amp; Hour Data'!E50</f>
        <v>0</v>
      </c>
      <c r="I51" s="69">
        <f>'Month &amp; Hour Data'!G50</f>
        <v>352</v>
      </c>
      <c r="J51" s="538">
        <f>SUM(Customer!C63:I63)</f>
        <v>147966.35227264656</v>
      </c>
      <c r="K51" s="70">
        <f>Population!X3</f>
        <v>451250.00000000023</v>
      </c>
      <c r="L51" s="70">
        <f t="shared" si="3"/>
        <v>338613261.31589246</v>
      </c>
      <c r="M51" s="70">
        <f t="shared" si="4"/>
        <v>-5962401.0757075548</v>
      </c>
      <c r="N51" s="330">
        <f t="shared" si="5"/>
        <v>-1.7303604770935514E-2</v>
      </c>
      <c r="O51" s="734"/>
      <c r="Q51" s="495"/>
      <c r="R51" s="495"/>
      <c r="S51" s="495"/>
      <c r="T51" s="495"/>
      <c r="U51" s="495"/>
      <c r="V51" s="495"/>
      <c r="W51" s="4"/>
      <c r="X51" s="4"/>
      <c r="Y51" s="4"/>
    </row>
    <row r="52" spans="1:25">
      <c r="A52" s="66">
        <f t="shared" si="0"/>
        <v>2008</v>
      </c>
      <c r="B52" s="67">
        <v>39479</v>
      </c>
      <c r="C52" s="294">
        <f>HLOOKUP(MONTH(B52),'Purchased kWh'!$4:$17,10,FALSE)</f>
        <v>326113371.71056002</v>
      </c>
      <c r="D52" s="68">
        <f>'Month &amp; Hour Data'!B51</f>
        <v>674.7</v>
      </c>
      <c r="E52" s="68">
        <f>'Month &amp; Hour Data'!C51</f>
        <v>0</v>
      </c>
      <c r="F52" s="308">
        <f>'Month &amp; Hour Data'!H51</f>
        <v>1.1149125908836075</v>
      </c>
      <c r="G52" s="69">
        <f>'Month &amp; Hour Data'!D51</f>
        <v>29</v>
      </c>
      <c r="H52" s="69">
        <f>'Month &amp; Hour Data'!E51</f>
        <v>0</v>
      </c>
      <c r="I52" s="69">
        <f>'Month &amp; Hour Data'!G51</f>
        <v>320</v>
      </c>
      <c r="J52" s="538">
        <f>SUM(Customer!C64:I64)</f>
        <v>148405.71622363399</v>
      </c>
      <c r="K52" s="70">
        <f>Population!X4</f>
        <v>452500.00000000023</v>
      </c>
      <c r="L52" s="70">
        <f t="shared" si="3"/>
        <v>324020970.19306928</v>
      </c>
      <c r="M52" s="70">
        <f t="shared" si="4"/>
        <v>-2092401.5174907446</v>
      </c>
      <c r="N52" s="330">
        <f t="shared" si="5"/>
        <v>-6.4161782343222741E-3</v>
      </c>
      <c r="O52" s="734"/>
      <c r="Q52" s="495"/>
      <c r="R52" s="495"/>
      <c r="S52" s="495"/>
      <c r="T52" s="495"/>
      <c r="U52" s="495"/>
      <c r="V52" s="495"/>
      <c r="W52" s="4"/>
      <c r="X52" s="4"/>
      <c r="Y52" s="4"/>
    </row>
    <row r="53" spans="1:25">
      <c r="A53" s="66">
        <f t="shared" si="0"/>
        <v>2008</v>
      </c>
      <c r="B53" s="67">
        <v>39508</v>
      </c>
      <c r="C53" s="294">
        <f>HLOOKUP(MONTH(B53),'Purchased kWh'!$4:$17,10,FALSE)</f>
        <v>331077485.06296003</v>
      </c>
      <c r="D53" s="68">
        <f>'Month &amp; Hour Data'!B52</f>
        <v>610.20000000000005</v>
      </c>
      <c r="E53" s="68">
        <f>'Month &amp; Hour Data'!C52</f>
        <v>0</v>
      </c>
      <c r="F53" s="308">
        <f>'Month &amp; Hour Data'!H52</f>
        <v>1.1143175674507355</v>
      </c>
      <c r="G53" s="69">
        <f>'Month &amp; Hour Data'!D52</f>
        <v>31</v>
      </c>
      <c r="H53" s="69">
        <f>'Month &amp; Hour Data'!E52</f>
        <v>1</v>
      </c>
      <c r="I53" s="69">
        <f>'Month &amp; Hour Data'!G52</f>
        <v>304</v>
      </c>
      <c r="J53" s="538">
        <f>SUM(Customer!C65:I65)</f>
        <v>148695.0918618459</v>
      </c>
      <c r="K53" s="70">
        <f>Population!X5</f>
        <v>453750.00000000023</v>
      </c>
      <c r="L53" s="70">
        <f t="shared" si="3"/>
        <v>324535520.97563875</v>
      </c>
      <c r="M53" s="70">
        <f t="shared" si="4"/>
        <v>-6541964.0873212814</v>
      </c>
      <c r="N53" s="330">
        <f t="shared" si="5"/>
        <v>-1.975961635107025E-2</v>
      </c>
      <c r="O53" s="734"/>
      <c r="Q53" s="495"/>
      <c r="R53" s="495"/>
      <c r="S53" s="495"/>
      <c r="T53" s="495"/>
      <c r="U53" s="495"/>
      <c r="V53" s="495"/>
      <c r="W53" s="4"/>
      <c r="X53" s="4"/>
      <c r="Y53" s="4"/>
    </row>
    <row r="54" spans="1:25">
      <c r="A54" s="66">
        <f t="shared" si="0"/>
        <v>2008</v>
      </c>
      <c r="B54" s="67">
        <v>39539</v>
      </c>
      <c r="C54" s="294">
        <f>HLOOKUP(MONTH(B54),'Purchased kWh'!$4:$17,10,FALSE)</f>
        <v>303230329.28384</v>
      </c>
      <c r="D54" s="68">
        <f>'Month &amp; Hour Data'!B53</f>
        <v>253.9</v>
      </c>
      <c r="E54" s="68">
        <f>'Month &amp; Hour Data'!C53</f>
        <v>0</v>
      </c>
      <c r="F54" s="308">
        <f>'Month &amp; Hour Data'!H53</f>
        <v>1.1137228615789785</v>
      </c>
      <c r="G54" s="69">
        <f>'Month &amp; Hour Data'!D53</f>
        <v>30</v>
      </c>
      <c r="H54" s="69">
        <f>'Month &amp; Hour Data'!E53</f>
        <v>1</v>
      </c>
      <c r="I54" s="69">
        <f>'Month &amp; Hour Data'!G53</f>
        <v>352</v>
      </c>
      <c r="J54" s="538">
        <f>SUM(Customer!C66:I66)</f>
        <v>149036.47919617267</v>
      </c>
      <c r="K54" s="70">
        <f>Population!X6</f>
        <v>455000.00000000023</v>
      </c>
      <c r="L54" s="70">
        <f t="shared" si="3"/>
        <v>306974048.79396677</v>
      </c>
      <c r="M54" s="70">
        <f t="shared" si="4"/>
        <v>3743719.5101267695</v>
      </c>
      <c r="N54" s="330">
        <f t="shared" si="5"/>
        <v>1.234612487137606E-2</v>
      </c>
      <c r="O54" s="734"/>
    </row>
    <row r="55" spans="1:25">
      <c r="A55" s="66">
        <f t="shared" si="0"/>
        <v>2008</v>
      </c>
      <c r="B55" s="67">
        <v>39569</v>
      </c>
      <c r="C55" s="294">
        <f>HLOOKUP(MONTH(B55),'Purchased kWh'!$4:$17,10,FALSE)</f>
        <v>301056523.36776</v>
      </c>
      <c r="D55" s="68">
        <f>'Month &amp; Hour Data'!B54</f>
        <v>193.5</v>
      </c>
      <c r="E55" s="68">
        <f>'Month &amp; Hour Data'!C54</f>
        <v>2.5</v>
      </c>
      <c r="F55" s="308">
        <f>'Month &amp; Hour Data'!H54</f>
        <v>1.113128473098856</v>
      </c>
      <c r="G55" s="69">
        <f>'Month &amp; Hour Data'!D54</f>
        <v>31</v>
      </c>
      <c r="H55" s="69">
        <f>'Month &amp; Hour Data'!E54</f>
        <v>1</v>
      </c>
      <c r="I55" s="69">
        <f>'Month &amp; Hour Data'!G54</f>
        <v>336</v>
      </c>
      <c r="J55" s="538">
        <f>SUM(Customer!C67:I67)</f>
        <v>149375.87823551139</v>
      </c>
      <c r="K55" s="70">
        <f>Population!X7</f>
        <v>456250.00000000023</v>
      </c>
      <c r="L55" s="70">
        <f t="shared" si="3"/>
        <v>308290857.30389315</v>
      </c>
      <c r="M55" s="70">
        <f t="shared" si="4"/>
        <v>7234333.9361331463</v>
      </c>
      <c r="N55" s="330">
        <f t="shared" si="5"/>
        <v>2.4029819567456905E-2</v>
      </c>
      <c r="O55" s="734"/>
    </row>
    <row r="56" spans="1:25">
      <c r="A56" s="66">
        <f t="shared" si="0"/>
        <v>2008</v>
      </c>
      <c r="B56" s="67">
        <v>39600</v>
      </c>
      <c r="C56" s="294">
        <f>HLOOKUP(MONTH(B56),'Purchased kWh'!$4:$17,10,FALSE)</f>
        <v>334428490.42672002</v>
      </c>
      <c r="D56" s="68">
        <f>'Month &amp; Hour Data'!B55</f>
        <v>22.7</v>
      </c>
      <c r="E56" s="68">
        <f>'Month &amp; Hour Data'!C55</f>
        <v>71.5</v>
      </c>
      <c r="F56" s="308">
        <f>'Month &amp; Hour Data'!H55</f>
        <v>1.1125344018409773</v>
      </c>
      <c r="G56" s="69">
        <f>'Month &amp; Hour Data'!D55</f>
        <v>30</v>
      </c>
      <c r="H56" s="69">
        <f>'Month &amp; Hour Data'!E55</f>
        <v>0</v>
      </c>
      <c r="I56" s="69">
        <f>'Month &amp; Hour Data'!G55</f>
        <v>336</v>
      </c>
      <c r="J56" s="538">
        <f>SUM(Customer!C68:I68)</f>
        <v>149525.28898876603</v>
      </c>
      <c r="K56" s="70">
        <f>Population!X8</f>
        <v>457500.00000000023</v>
      </c>
      <c r="L56" s="70">
        <f t="shared" si="3"/>
        <v>333112293.86403537</v>
      </c>
      <c r="M56" s="70">
        <f t="shared" si="4"/>
        <v>-1316196.5626846552</v>
      </c>
      <c r="N56" s="330">
        <f t="shared" si="5"/>
        <v>-3.9356591928074985E-3</v>
      </c>
      <c r="O56" s="734"/>
    </row>
    <row r="57" spans="1:25">
      <c r="A57" s="66">
        <f t="shared" si="0"/>
        <v>2008</v>
      </c>
      <c r="B57" s="67">
        <v>39630</v>
      </c>
      <c r="C57" s="294">
        <f>HLOOKUP(MONTH(B57),'Purchased kWh'!$4:$17,10,FALSE)</f>
        <v>363118366.56239998</v>
      </c>
      <c r="D57" s="68">
        <f>'Month &amp; Hour Data'!B56</f>
        <v>1</v>
      </c>
      <c r="E57" s="68">
        <f>'Month &amp; Hour Data'!C56</f>
        <v>111</v>
      </c>
      <c r="F57" s="308">
        <f>'Month &amp; Hour Data'!H56</f>
        <v>1.1119406476360427</v>
      </c>
      <c r="G57" s="69">
        <f>'Month &amp; Hour Data'!D56</f>
        <v>31</v>
      </c>
      <c r="H57" s="69">
        <f>'Month &amp; Hour Data'!E56</f>
        <v>0</v>
      </c>
      <c r="I57" s="69">
        <f>'Month &amp; Hour Data'!G56</f>
        <v>352</v>
      </c>
      <c r="J57" s="538">
        <f>SUM(Customer!C69:I69)</f>
        <v>149859.71146484723</v>
      </c>
      <c r="K57" s="70">
        <f>Population!X9</f>
        <v>458750.00000000023</v>
      </c>
      <c r="L57" s="70">
        <f t="shared" si="3"/>
        <v>360107364.27799022</v>
      </c>
      <c r="M57" s="70">
        <f t="shared" si="4"/>
        <v>-3011002.2844097614</v>
      </c>
      <c r="N57" s="330">
        <f t="shared" si="5"/>
        <v>-8.2920682666497297E-3</v>
      </c>
      <c r="O57" s="734"/>
    </row>
    <row r="58" spans="1:25">
      <c r="A58" s="66">
        <f t="shared" si="0"/>
        <v>2008</v>
      </c>
      <c r="B58" s="67">
        <v>39661</v>
      </c>
      <c r="C58" s="294">
        <f>HLOOKUP(MONTH(B58),'Purchased kWh'!$4:$17,10,FALSE)</f>
        <v>341326026.458</v>
      </c>
      <c r="D58" s="68">
        <f>'Month &amp; Hour Data'!B57</f>
        <v>12.7</v>
      </c>
      <c r="E58" s="68">
        <f>'Month &amp; Hour Data'!C57</f>
        <v>64</v>
      </c>
      <c r="F58" s="308">
        <f>'Month &amp; Hour Data'!H57</f>
        <v>1.1113472103148427</v>
      </c>
      <c r="G58" s="69">
        <f>'Month &amp; Hour Data'!D57</f>
        <v>31</v>
      </c>
      <c r="H58" s="69">
        <f>'Month &amp; Hour Data'!E57</f>
        <v>0</v>
      </c>
      <c r="I58" s="69">
        <f>'Month &amp; Hour Data'!G57</f>
        <v>320</v>
      </c>
      <c r="J58" s="538">
        <f>SUM(Customer!C70:I70)</f>
        <v>150043.14567267243</v>
      </c>
      <c r="K58" s="70">
        <f>Population!X10</f>
        <v>460000.00000000023</v>
      </c>
      <c r="L58" s="70">
        <f t="shared" si="3"/>
        <v>331915563.71767485</v>
      </c>
      <c r="M58" s="70">
        <f t="shared" si="4"/>
        <v>-9410462.7403251529</v>
      </c>
      <c r="N58" s="330">
        <f t="shared" si="5"/>
        <v>-2.7570305253247676E-2</v>
      </c>
      <c r="O58" s="734"/>
    </row>
    <row r="59" spans="1:25">
      <c r="A59" s="66">
        <f t="shared" si="0"/>
        <v>2008</v>
      </c>
      <c r="B59" s="67">
        <v>39692</v>
      </c>
      <c r="C59" s="294">
        <f>HLOOKUP(MONTH(B59),'Purchased kWh'!$4:$17,10,FALSE)</f>
        <v>317499537.95280004</v>
      </c>
      <c r="D59" s="68">
        <f>'Month &amp; Hour Data'!B58</f>
        <v>59</v>
      </c>
      <c r="E59" s="68">
        <f>'Month &amp; Hour Data'!C58</f>
        <v>26.7</v>
      </c>
      <c r="F59" s="308">
        <f>'Month &amp; Hour Data'!H58</f>
        <v>1.1107540897082573</v>
      </c>
      <c r="G59" s="69">
        <f>'Month &amp; Hour Data'!D58</f>
        <v>30</v>
      </c>
      <c r="H59" s="69">
        <f>'Month &amp; Hour Data'!E58</f>
        <v>1</v>
      </c>
      <c r="I59" s="69">
        <f>'Month &amp; Hour Data'!G58</f>
        <v>336</v>
      </c>
      <c r="J59" s="538">
        <f>SUM(Customer!C71:I71)</f>
        <v>150234.59162116589</v>
      </c>
      <c r="K59" s="70">
        <f>Population!X11</f>
        <v>461250.00000000023</v>
      </c>
      <c r="L59" s="70">
        <f t="shared" si="3"/>
        <v>306622602.95667082</v>
      </c>
      <c r="M59" s="70">
        <f t="shared" si="4"/>
        <v>-10876934.996129215</v>
      </c>
      <c r="N59" s="330">
        <f t="shared" si="5"/>
        <v>-3.4258112834627798E-2</v>
      </c>
      <c r="O59" s="734"/>
    </row>
    <row r="60" spans="1:25">
      <c r="A60" s="66">
        <f t="shared" si="0"/>
        <v>2008</v>
      </c>
      <c r="B60" s="67">
        <v>39722</v>
      </c>
      <c r="C60" s="294">
        <f>HLOOKUP(MONTH(B60),'Purchased kWh'!$4:$17,10,FALSE)</f>
        <v>310230041.67615998</v>
      </c>
      <c r="D60" s="68">
        <f>'Month &amp; Hour Data'!B59</f>
        <v>278.60000000000002</v>
      </c>
      <c r="E60" s="68">
        <f>'Month &amp; Hour Data'!C59</f>
        <v>0</v>
      </c>
      <c r="F60" s="308">
        <f>'Month &amp; Hour Data'!H59</f>
        <v>1.110161285647258</v>
      </c>
      <c r="G60" s="69">
        <f>'Month &amp; Hour Data'!D59</f>
        <v>31</v>
      </c>
      <c r="H60" s="69">
        <f>'Month &amp; Hour Data'!E59</f>
        <v>1</v>
      </c>
      <c r="I60" s="69">
        <f>'Month &amp; Hour Data'!G59</f>
        <v>352</v>
      </c>
      <c r="J60" s="538">
        <f>SUM(Customer!C72:I72)</f>
        <v>150639.04931925863</v>
      </c>
      <c r="K60" s="70">
        <f>Population!X12</f>
        <v>462500.00000000023</v>
      </c>
      <c r="L60" s="70">
        <f t="shared" si="3"/>
        <v>313111905.3202222</v>
      </c>
      <c r="M60" s="70">
        <f t="shared" si="4"/>
        <v>2881863.6440622211</v>
      </c>
      <c r="N60" s="330">
        <f t="shared" si="5"/>
        <v>9.2894409209747456E-3</v>
      </c>
      <c r="O60" s="734"/>
    </row>
    <row r="61" spans="1:25">
      <c r="A61" s="66">
        <f t="shared" si="0"/>
        <v>2008</v>
      </c>
      <c r="B61" s="67">
        <v>39753</v>
      </c>
      <c r="C61" s="294">
        <f>HLOOKUP(MONTH(B61),'Purchased kWh'!$4:$17,10,FALSE)</f>
        <v>313840849.62728</v>
      </c>
      <c r="D61" s="68">
        <f>'Month &amp; Hour Data'!B60</f>
        <v>451.6</v>
      </c>
      <c r="E61" s="68">
        <f>'Month &amp; Hour Data'!C60</f>
        <v>0</v>
      </c>
      <c r="F61" s="308">
        <f>'Month &amp; Hour Data'!H60</f>
        <v>1.1095687979629063</v>
      </c>
      <c r="G61" s="69">
        <f>'Month &amp; Hour Data'!D60</f>
        <v>30</v>
      </c>
      <c r="H61" s="69">
        <f>'Month &amp; Hour Data'!E60</f>
        <v>1</v>
      </c>
      <c r="I61" s="69">
        <f>'Month &amp; Hour Data'!G60</f>
        <v>304</v>
      </c>
      <c r="J61" s="538">
        <f>SUM(Customer!C73:I73)</f>
        <v>150966.51877588846</v>
      </c>
      <c r="K61" s="70">
        <f>Population!X13</f>
        <v>463750.00000000023</v>
      </c>
      <c r="L61" s="70">
        <f t="shared" si="3"/>
        <v>308507179.25212681</v>
      </c>
      <c r="M61" s="70">
        <f t="shared" si="4"/>
        <v>-5333670.3751531839</v>
      </c>
      <c r="N61" s="330">
        <f t="shared" si="5"/>
        <v>-1.6994825184444586E-2</v>
      </c>
      <c r="O61" s="734"/>
    </row>
    <row r="62" spans="1:25">
      <c r="A62" s="66">
        <f t="shared" si="0"/>
        <v>2008</v>
      </c>
      <c r="B62" s="67">
        <v>39783</v>
      </c>
      <c r="C62" s="294">
        <f>HLOOKUP(MONTH(B62),'Purchased kWh'!$4:$17,10,FALSE)</f>
        <v>328946879.91896003</v>
      </c>
      <c r="D62" s="68">
        <f>'Month &amp; Hour Data'!B61</f>
        <v>654.6</v>
      </c>
      <c r="E62" s="68">
        <f>'Month &amp; Hour Data'!C61</f>
        <v>0</v>
      </c>
      <c r="F62" s="308">
        <f>'Month &amp; Hour Data'!H61</f>
        <v>1.1089766264863528</v>
      </c>
      <c r="G62" s="69">
        <f>'Month &amp; Hour Data'!D61</f>
        <v>31</v>
      </c>
      <c r="H62" s="69">
        <f>'Month &amp; Hour Data'!E61</f>
        <v>0</v>
      </c>
      <c r="I62" s="69">
        <f>'Month &amp; Hour Data'!G61</f>
        <v>336</v>
      </c>
      <c r="J62" s="538">
        <f>SUM(Customer!C74:I74)</f>
        <v>151156</v>
      </c>
      <c r="K62" s="70">
        <f>Population!X14</f>
        <v>465000.00000000023</v>
      </c>
      <c r="L62" s="70">
        <f t="shared" si="3"/>
        <v>335489354.99844539</v>
      </c>
      <c r="M62" s="70">
        <f t="shared" si="4"/>
        <v>6542475.0794853568</v>
      </c>
      <c r="N62" s="330">
        <f t="shared" si="5"/>
        <v>1.9889153777950936E-2</v>
      </c>
      <c r="O62" s="734"/>
    </row>
    <row r="63" spans="1:25">
      <c r="A63" s="66">
        <f t="shared" si="0"/>
        <v>2009</v>
      </c>
      <c r="B63" s="67">
        <v>39814</v>
      </c>
      <c r="C63" s="294">
        <f>HLOOKUP(MONTH(B63),'Purchased kWh'!$4:$17,11,FALSE)</f>
        <v>340125286.47127998</v>
      </c>
      <c r="D63" s="68">
        <f>'Month &amp; Hour Data'!B62</f>
        <v>830.2</v>
      </c>
      <c r="E63" s="68">
        <f>'Month &amp; Hour Data'!C62</f>
        <v>0</v>
      </c>
      <c r="F63" s="308">
        <f>'Month &amp; Hour Data'!H62</f>
        <v>1.105941193882537</v>
      </c>
      <c r="G63" s="69">
        <f>'Month &amp; Hour Data'!D62</f>
        <v>31</v>
      </c>
      <c r="H63" s="69">
        <f>'Month &amp; Hour Data'!E62</f>
        <v>0</v>
      </c>
      <c r="I63" s="69">
        <f>'Month &amp; Hour Data'!G62</f>
        <v>336</v>
      </c>
      <c r="J63" s="538">
        <f>SUM(Customer!C75:I75)</f>
        <v>151358.02224287315</v>
      </c>
      <c r="K63" s="70">
        <f>Population!Y3</f>
        <v>467666.66666666692</v>
      </c>
      <c r="L63" s="70">
        <f t="shared" si="3"/>
        <v>344006863.37362039</v>
      </c>
      <c r="M63" s="70">
        <f t="shared" si="4"/>
        <v>3881576.9023404121</v>
      </c>
      <c r="N63" s="330">
        <f t="shared" si="5"/>
        <v>1.1412197377651222E-2</v>
      </c>
      <c r="O63" s="734"/>
    </row>
    <row r="64" spans="1:25">
      <c r="A64" s="66">
        <f t="shared" si="0"/>
        <v>2009</v>
      </c>
      <c r="B64" s="67">
        <v>39845</v>
      </c>
      <c r="C64" s="294">
        <f>HLOOKUP(MONTH(B64),'Purchased kWh'!$4:$17,11,FALSE)</f>
        <v>298423228.43304002</v>
      </c>
      <c r="D64" s="68">
        <f>'Month &amp; Hour Data'!B63</f>
        <v>606.4</v>
      </c>
      <c r="E64" s="68">
        <f>'Month &amp; Hour Data'!C63</f>
        <v>0</v>
      </c>
      <c r="F64" s="308">
        <f>'Month &amp; Hour Data'!H63</f>
        <v>1.1029140697054922</v>
      </c>
      <c r="G64" s="69">
        <f>'Month &amp; Hour Data'!D63</f>
        <v>28</v>
      </c>
      <c r="H64" s="69">
        <f>'Month &amp; Hour Data'!E63</f>
        <v>0</v>
      </c>
      <c r="I64" s="69">
        <f>'Month &amp; Hour Data'!G63</f>
        <v>304</v>
      </c>
      <c r="J64" s="538">
        <f>SUM(Customer!C76:I76)</f>
        <v>151427.05556581603</v>
      </c>
      <c r="K64" s="70">
        <f>Population!Y4</f>
        <v>470333.3333333336</v>
      </c>
      <c r="L64" s="70">
        <f t="shared" si="3"/>
        <v>308372597.13850105</v>
      </c>
      <c r="M64" s="70">
        <f t="shared" si="4"/>
        <v>9949368.7054610252</v>
      </c>
      <c r="N64" s="330">
        <f t="shared" si="5"/>
        <v>3.3339793144465148E-2</v>
      </c>
      <c r="O64" s="734"/>
    </row>
    <row r="65" spans="1:15">
      <c r="A65" s="66">
        <f t="shared" si="0"/>
        <v>2009</v>
      </c>
      <c r="B65" s="67">
        <v>39873</v>
      </c>
      <c r="C65" s="294">
        <f>HLOOKUP(MONTH(B65),'Purchased kWh'!$4:$17,11,FALSE)</f>
        <v>317878968.44471997</v>
      </c>
      <c r="D65" s="68">
        <f>'Month &amp; Hour Data'!B64</f>
        <v>533.79999999999995</v>
      </c>
      <c r="E65" s="68">
        <f>'Month &amp; Hour Data'!C64</f>
        <v>0</v>
      </c>
      <c r="F65" s="308">
        <f>'Month &amp; Hour Data'!H64</f>
        <v>1.0998952312138288</v>
      </c>
      <c r="G65" s="69">
        <f>'Month &amp; Hour Data'!D64</f>
        <v>31</v>
      </c>
      <c r="H65" s="69">
        <f>'Month &amp; Hour Data'!E64</f>
        <v>1</v>
      </c>
      <c r="I65" s="69">
        <f>'Month &amp; Hour Data'!G64</f>
        <v>352</v>
      </c>
      <c r="J65" s="538">
        <f>SUM(Customer!C77:I77)</f>
        <v>151559.09997700111</v>
      </c>
      <c r="K65" s="70">
        <f>Population!Y5</f>
        <v>473000.00000000029</v>
      </c>
      <c r="L65" s="70">
        <f t="shared" si="3"/>
        <v>323977423.4443472</v>
      </c>
      <c r="M65" s="70">
        <f t="shared" si="4"/>
        <v>6098454.9996272326</v>
      </c>
      <c r="N65" s="330">
        <f t="shared" si="5"/>
        <v>1.9184833238465007E-2</v>
      </c>
      <c r="O65" s="734"/>
    </row>
    <row r="66" spans="1:15">
      <c r="A66" s="66">
        <f t="shared" si="0"/>
        <v>2009</v>
      </c>
      <c r="B66" s="67">
        <v>39904</v>
      </c>
      <c r="C66" s="294">
        <f>HLOOKUP(MONTH(B66),'Purchased kWh'!$4:$17,11,FALSE)</f>
        <v>288048156.51208001</v>
      </c>
      <c r="D66" s="68">
        <f>'Month &amp; Hour Data'!B65</f>
        <v>305.8</v>
      </c>
      <c r="E66" s="68">
        <f>'Month &amp; Hour Data'!C65</f>
        <v>1.2</v>
      </c>
      <c r="F66" s="308">
        <f>'Month &amp; Hour Data'!H65</f>
        <v>1.0968846557284044</v>
      </c>
      <c r="G66" s="69">
        <f>'Month &amp; Hour Data'!D65</f>
        <v>30</v>
      </c>
      <c r="H66" s="69">
        <f>'Month &amp; Hour Data'!E65</f>
        <v>1</v>
      </c>
      <c r="I66" s="69">
        <f>'Month &amp; Hour Data'!G65</f>
        <v>320</v>
      </c>
      <c r="J66" s="538">
        <f>SUM(Customer!C78:I78)</f>
        <v>151619.15548460683</v>
      </c>
      <c r="K66" s="70">
        <f>Population!Y6</f>
        <v>475666.66666666698</v>
      </c>
      <c r="L66" s="70">
        <f t="shared" si="3"/>
        <v>300738469.41829097</v>
      </c>
      <c r="M66" s="70">
        <f t="shared" si="4"/>
        <v>12690312.906210959</v>
      </c>
      <c r="N66" s="330">
        <f t="shared" si="5"/>
        <v>4.4056219834473262E-2</v>
      </c>
      <c r="O66" s="734"/>
    </row>
    <row r="67" spans="1:15">
      <c r="A67" s="66">
        <f t="shared" ref="A67:A130" si="6">YEAR(B67)</f>
        <v>2009</v>
      </c>
      <c r="B67" s="67">
        <v>39934</v>
      </c>
      <c r="C67" s="294">
        <f>HLOOKUP(MONTH(B67),'Purchased kWh'!$4:$17,11,FALSE)</f>
        <v>279549260.71288002</v>
      </c>
      <c r="D67" s="68">
        <f>'Month &amp; Hour Data'!B66</f>
        <v>158.80000000000001</v>
      </c>
      <c r="E67" s="68">
        <f>'Month &amp; Hour Data'!C66</f>
        <v>6.9</v>
      </c>
      <c r="F67" s="308">
        <f>'Month &amp; Hour Data'!H66</f>
        <v>1.093882320632152</v>
      </c>
      <c r="G67" s="69">
        <f>'Month &amp; Hour Data'!D66</f>
        <v>31</v>
      </c>
      <c r="H67" s="69">
        <f>'Month &amp; Hour Data'!E66</f>
        <v>1</v>
      </c>
      <c r="I67" s="69">
        <f>'Month &amp; Hour Data'!G66</f>
        <v>320</v>
      </c>
      <c r="J67" s="538">
        <f>SUM(Customer!C79:I79)</f>
        <v>151734.2220968176</v>
      </c>
      <c r="K67" s="70">
        <f>Population!Y7</f>
        <v>478333.33333333366</v>
      </c>
      <c r="L67" s="70">
        <f t="shared" si="3"/>
        <v>301072690.18313408</v>
      </c>
      <c r="M67" s="70">
        <f t="shared" ref="M67:M98" si="7">L67-C67</f>
        <v>21523429.470254064</v>
      </c>
      <c r="N67" s="330">
        <f t="shared" ref="N67:N98" si="8">M67/C67</f>
        <v>7.6993333537592107E-2</v>
      </c>
      <c r="O67" s="734"/>
    </row>
    <row r="68" spans="1:15">
      <c r="A68" s="66">
        <f t="shared" si="6"/>
        <v>2009</v>
      </c>
      <c r="B68" s="67">
        <v>39965</v>
      </c>
      <c r="C68" s="294">
        <f>HLOOKUP(MONTH(B68),'Purchased kWh'!$4:$17,11,FALSE)</f>
        <v>301280402.76728004</v>
      </c>
      <c r="D68" s="68">
        <f>'Month &amp; Hour Data'!B67</f>
        <v>49.3</v>
      </c>
      <c r="E68" s="68">
        <f>'Month &amp; Hour Data'!C67</f>
        <v>34.200000000000003</v>
      </c>
      <c r="F68" s="308">
        <f>'Month &amp; Hour Data'!H67</f>
        <v>1.0908882033699105</v>
      </c>
      <c r="G68" s="69">
        <f>'Month &amp; Hour Data'!D67</f>
        <v>30</v>
      </c>
      <c r="H68" s="69">
        <f>'Month &amp; Hour Data'!E67</f>
        <v>0</v>
      </c>
      <c r="I68" s="69">
        <f>'Month &amp; Hour Data'!G67</f>
        <v>352</v>
      </c>
      <c r="J68" s="538">
        <f>SUM(Customer!C80:I80)</f>
        <v>151834.29982182398</v>
      </c>
      <c r="K68" s="70">
        <f>Population!Y8</f>
        <v>481000.00000000035</v>
      </c>
      <c r="L68" s="70">
        <f t="shared" ref="L68:L131" si="9">$E$187+(D68*$E$188)+(E68*$E$189)+(F68*$E$190)+(G68*$E$191)+(H68*$E$192)+(I68*$E$193)+(J68*$E$194)+(K68*$E$195)</f>
        <v>312635184.61775041</v>
      </c>
      <c r="M68" s="70">
        <f t="shared" si="7"/>
        <v>11354781.850470364</v>
      </c>
      <c r="N68" s="330">
        <f t="shared" si="8"/>
        <v>3.7688418317872507E-2</v>
      </c>
      <c r="O68" s="734"/>
    </row>
    <row r="69" spans="1:15">
      <c r="A69" s="66">
        <f t="shared" si="6"/>
        <v>2009</v>
      </c>
      <c r="B69" s="67">
        <v>39995</v>
      </c>
      <c r="C69" s="294">
        <f>HLOOKUP(MONTH(B69),'Purchased kWh'!$4:$17,11,FALSE)</f>
        <v>312634481.25511998</v>
      </c>
      <c r="D69" s="68">
        <f>'Month &amp; Hour Data'!B68</f>
        <v>6.2</v>
      </c>
      <c r="E69" s="68">
        <f>'Month &amp; Hour Data'!C68</f>
        <v>43.7</v>
      </c>
      <c r="F69" s="308">
        <f>'Month &amp; Hour Data'!H68</f>
        <v>1.0879022814482564</v>
      </c>
      <c r="G69" s="69">
        <f>'Month &amp; Hour Data'!D68</f>
        <v>31</v>
      </c>
      <c r="H69" s="69">
        <f>'Month &amp; Hour Data'!E68</f>
        <v>0</v>
      </c>
      <c r="I69" s="69">
        <f>'Month &amp; Hour Data'!G68</f>
        <v>352</v>
      </c>
      <c r="J69" s="538">
        <f>SUM(Customer!C81:I81)</f>
        <v>152017.38866782252</v>
      </c>
      <c r="K69" s="70">
        <f>Population!Y9</f>
        <v>483666.66666666704</v>
      </c>
      <c r="L69" s="70">
        <f t="shared" si="9"/>
        <v>320362110.45493156</v>
      </c>
      <c r="M69" s="70">
        <f t="shared" si="7"/>
        <v>7727629.1998115778</v>
      </c>
      <c r="N69" s="330">
        <f t="shared" si="8"/>
        <v>2.4717776391099927E-2</v>
      </c>
      <c r="O69" s="734"/>
    </row>
    <row r="70" spans="1:15">
      <c r="A70" s="66">
        <f t="shared" si="6"/>
        <v>2009</v>
      </c>
      <c r="B70" s="67">
        <v>40026</v>
      </c>
      <c r="C70" s="294">
        <f>HLOOKUP(MONTH(B70),'Purchased kWh'!$4:$17,11,FALSE)</f>
        <v>342969586.97349995</v>
      </c>
      <c r="D70" s="68">
        <f>'Month &amp; Hour Data'!B69</f>
        <v>9.8000000000000007</v>
      </c>
      <c r="E70" s="68">
        <f>'Month &amp; Hour Data'!C69</f>
        <v>91</v>
      </c>
      <c r="F70" s="308">
        <f>'Month &amp; Hour Data'!H69</f>
        <v>1.0849245324353336</v>
      </c>
      <c r="G70" s="69">
        <f>'Month &amp; Hour Data'!D69</f>
        <v>31</v>
      </c>
      <c r="H70" s="69">
        <f>'Month &amp; Hour Data'!E69</f>
        <v>0</v>
      </c>
      <c r="I70" s="69">
        <f>'Month &amp; Hour Data'!G69</f>
        <v>320</v>
      </c>
      <c r="J70" s="538">
        <f>SUM(Customer!C82:I82)</f>
        <v>152184.48864301579</v>
      </c>
      <c r="K70" s="70">
        <f>Population!Y10</f>
        <v>486333.33333333372</v>
      </c>
      <c r="L70" s="70">
        <f t="shared" si="9"/>
        <v>338530711.50698274</v>
      </c>
      <c r="M70" s="70">
        <f t="shared" si="7"/>
        <v>-4438875.46651721</v>
      </c>
      <c r="N70" s="330">
        <f t="shared" si="8"/>
        <v>-1.2942475470456762E-2</v>
      </c>
      <c r="O70" s="734"/>
    </row>
    <row r="71" spans="1:15">
      <c r="A71" s="66">
        <f t="shared" si="6"/>
        <v>2009</v>
      </c>
      <c r="B71" s="67">
        <v>40057</v>
      </c>
      <c r="C71" s="294">
        <f>HLOOKUP(MONTH(B71),'Purchased kWh'!$4:$17,11,FALSE)</f>
        <v>305441230.39999998</v>
      </c>
      <c r="D71" s="68">
        <f>'Month &amp; Hour Data'!B70</f>
        <v>55.2</v>
      </c>
      <c r="E71" s="68">
        <f>'Month &amp; Hour Data'!C70</f>
        <v>20.9</v>
      </c>
      <c r="F71" s="308">
        <f>'Month &amp; Hour Data'!H70</f>
        <v>1.0819549339606855</v>
      </c>
      <c r="G71" s="69">
        <f>'Month &amp; Hour Data'!D70</f>
        <v>30</v>
      </c>
      <c r="H71" s="69">
        <f>'Month &amp; Hour Data'!E70</f>
        <v>1</v>
      </c>
      <c r="I71" s="69">
        <f>'Month &amp; Hour Data'!G70</f>
        <v>336</v>
      </c>
      <c r="J71" s="538">
        <f>SUM(Customer!C83:I83)</f>
        <v>152274.59975561243</v>
      </c>
      <c r="K71" s="70">
        <f>Population!Y11</f>
        <v>489000.00000000041</v>
      </c>
      <c r="L71" s="70">
        <f t="shared" si="9"/>
        <v>296149815.05472898</v>
      </c>
      <c r="M71" s="70">
        <f t="shared" si="7"/>
        <v>-9291415.3452709913</v>
      </c>
      <c r="N71" s="330">
        <f t="shared" si="8"/>
        <v>-3.0419650068535711E-2</v>
      </c>
      <c r="O71" s="734"/>
    </row>
    <row r="72" spans="1:15">
      <c r="A72" s="66">
        <f t="shared" si="6"/>
        <v>2009</v>
      </c>
      <c r="B72" s="67">
        <v>40087</v>
      </c>
      <c r="C72" s="294">
        <f>HLOOKUP(MONTH(B72),'Purchased kWh'!$4:$17,11,FALSE)</f>
        <v>307520270</v>
      </c>
      <c r="D72" s="68">
        <f>'Month &amp; Hour Data'!B71</f>
        <v>287.8</v>
      </c>
      <c r="E72" s="68">
        <f>'Month &amp; Hour Data'!C71</f>
        <v>0</v>
      </c>
      <c r="F72" s="308">
        <f>'Month &amp; Hour Data'!H71</f>
        <v>1.0789934637150864</v>
      </c>
      <c r="G72" s="69">
        <f>'Month &amp; Hour Data'!D71</f>
        <v>31</v>
      </c>
      <c r="H72" s="69">
        <f>'Month &amp; Hour Data'!E71</f>
        <v>1</v>
      </c>
      <c r="I72" s="69">
        <f>'Month &amp; Hour Data'!G71</f>
        <v>336</v>
      </c>
      <c r="J72" s="538">
        <f>SUM(Customer!C84:I84)</f>
        <v>152457.72201382718</v>
      </c>
      <c r="K72" s="70">
        <f>Population!Y12</f>
        <v>491666.66666666709</v>
      </c>
      <c r="L72" s="70">
        <f t="shared" si="9"/>
        <v>303218481.18295175</v>
      </c>
      <c r="M72" s="70">
        <f t="shared" si="7"/>
        <v>-4301788.8170482516</v>
      </c>
      <c r="N72" s="330">
        <f t="shared" si="8"/>
        <v>-1.3988635015988545E-2</v>
      </c>
      <c r="O72" s="734"/>
    </row>
    <row r="73" spans="1:15">
      <c r="A73" s="66">
        <f t="shared" si="6"/>
        <v>2009</v>
      </c>
      <c r="B73" s="67">
        <v>40118</v>
      </c>
      <c r="C73" s="294">
        <f>HLOOKUP(MONTH(B73),'Purchased kWh'!$4:$17,11,FALSE)</f>
        <v>303012735.71912003</v>
      </c>
      <c r="D73" s="68">
        <f>'Month &amp; Hour Data'!B72</f>
        <v>361.2</v>
      </c>
      <c r="E73" s="68">
        <f>'Month &amp; Hour Data'!C72</f>
        <v>0</v>
      </c>
      <c r="F73" s="308">
        <f>'Month &amp; Hour Data'!H72</f>
        <v>1.0760400994503745</v>
      </c>
      <c r="G73" s="69">
        <f>'Month &amp; Hour Data'!D72</f>
        <v>30</v>
      </c>
      <c r="H73" s="69">
        <f>'Month &amp; Hour Data'!E72</f>
        <v>1</v>
      </c>
      <c r="I73" s="69">
        <f>'Month &amp; Hour Data'!G72</f>
        <v>320</v>
      </c>
      <c r="J73" s="538">
        <f>SUM(Customer!C85:I85)</f>
        <v>152599.85542588076</v>
      </c>
      <c r="K73" s="70">
        <f>Population!Y13</f>
        <v>494333.33333333378</v>
      </c>
      <c r="L73" s="70">
        <f t="shared" si="9"/>
        <v>297848785.75224614</v>
      </c>
      <c r="M73" s="70">
        <f t="shared" si="7"/>
        <v>-5163949.9668738842</v>
      </c>
      <c r="N73" s="330">
        <f t="shared" si="8"/>
        <v>-1.7042022852995352E-2</v>
      </c>
      <c r="O73" s="734"/>
    </row>
    <row r="74" spans="1:15">
      <c r="A74" s="66">
        <f t="shared" si="6"/>
        <v>2009</v>
      </c>
      <c r="B74" s="67">
        <v>40148</v>
      </c>
      <c r="C74" s="294">
        <f>HLOOKUP(MONTH(B74),'Purchased kWh'!$4:$17,11,FALSE)</f>
        <v>331058360.70839995</v>
      </c>
      <c r="D74" s="68">
        <f>'Month &amp; Hour Data'!B73</f>
        <v>631.29999999999995</v>
      </c>
      <c r="E74" s="68">
        <f>'Month &amp; Hour Data'!C73</f>
        <v>0</v>
      </c>
      <c r="F74" s="308">
        <f>'Month &amp; Hour Data'!H73</f>
        <v>1.0730948189792846</v>
      </c>
      <c r="G74" s="69">
        <f>'Month &amp; Hour Data'!D73</f>
        <v>31</v>
      </c>
      <c r="H74" s="69">
        <f>'Month &amp; Hour Data'!E73</f>
        <v>0</v>
      </c>
      <c r="I74" s="69">
        <f>'Month &amp; Hour Data'!G73</f>
        <v>352</v>
      </c>
      <c r="J74" s="538">
        <f>SUM(Customer!C86:I86)</f>
        <v>152791</v>
      </c>
      <c r="K74" s="70">
        <f>Population!Y14</f>
        <v>497000.00000000047</v>
      </c>
      <c r="L74" s="70">
        <f t="shared" si="9"/>
        <v>327793368.75388241</v>
      </c>
      <c r="M74" s="70">
        <f t="shared" si="7"/>
        <v>-3264991.9545175433</v>
      </c>
      <c r="N74" s="330">
        <f t="shared" si="8"/>
        <v>-9.8622851497575867E-3</v>
      </c>
      <c r="O74" s="734"/>
    </row>
    <row r="75" spans="1:15">
      <c r="A75" s="66">
        <f t="shared" si="6"/>
        <v>2010</v>
      </c>
      <c r="B75" s="67">
        <v>40179</v>
      </c>
      <c r="C75" s="294">
        <f>HLOOKUP(MONTH(B75),'Purchased kWh'!$4:$17,12,FALSE)</f>
        <v>338841929.64000005</v>
      </c>
      <c r="D75" s="68">
        <f>VLOOKUP($B75,'Month &amp; Hour Data'!$A:$H,2,FALSE)</f>
        <v>720</v>
      </c>
      <c r="E75" s="68">
        <f>VLOOKUP($B75,'Month &amp; Hour Data'!$A:$H,3,FALSE)</f>
        <v>0</v>
      </c>
      <c r="F75" s="308">
        <f>VLOOKUP($B75,'Month &amp; Hour Data'!$A:$H,8,FALSE)</f>
        <v>1.0756984776680034</v>
      </c>
      <c r="G75" s="69">
        <f>VLOOKUP($B75,'Month &amp; Hour Data'!$A:$H,4,FALSE)</f>
        <v>31</v>
      </c>
      <c r="H75" s="69">
        <f>VLOOKUP($B75,'Month &amp; Hour Data'!$A:$H,5,FALSE)</f>
        <v>0</v>
      </c>
      <c r="I75" s="69">
        <f>VLOOKUP($B75,'Month &amp; Hour Data'!$A:$H,7,FALSE)</f>
        <v>320</v>
      </c>
      <c r="J75" s="538">
        <f>SUM(Customer!C87:I87)</f>
        <v>152970.8715032195</v>
      </c>
      <c r="K75" s="70">
        <f>HLOOKUP(YEAR($B75),Population!$2:$20,2,FALSE)</f>
        <v>497583.33333333378</v>
      </c>
      <c r="L75" s="70">
        <f t="shared" si="9"/>
        <v>328193772.88194686</v>
      </c>
      <c r="M75" s="70">
        <f t="shared" si="7"/>
        <v>-10648156.758053184</v>
      </c>
      <c r="N75" s="330">
        <f t="shared" si="8"/>
        <v>-3.1425144961741404E-2</v>
      </c>
      <c r="O75" s="734"/>
    </row>
    <row r="76" spans="1:15">
      <c r="A76" s="66">
        <f t="shared" si="6"/>
        <v>2010</v>
      </c>
      <c r="B76" s="67">
        <v>40210</v>
      </c>
      <c r="C76" s="294">
        <f>HLOOKUP(MONTH(B76),'Purchased kWh'!$4:$17,12,FALSE)</f>
        <v>307563620.17000002</v>
      </c>
      <c r="D76" s="68">
        <f>VLOOKUP($B76,'Month &amp; Hour Data'!$A:$H,2,FALSE)</f>
        <v>598.29999999999995</v>
      </c>
      <c r="E76" s="68">
        <f>VLOOKUP($B76,'Month &amp; Hour Data'!$A:$H,3,FALSE)</f>
        <v>0</v>
      </c>
      <c r="F76" s="308">
        <f>VLOOKUP($B76,'Month &amp; Hour Data'!$A:$H,8,FALSE)</f>
        <v>1.0783084536349796</v>
      </c>
      <c r="G76" s="69">
        <f>VLOOKUP($B76,'Month &amp; Hour Data'!$A:$H,4,FALSE)</f>
        <v>28</v>
      </c>
      <c r="H76" s="69">
        <f>VLOOKUP($B76,'Month &amp; Hour Data'!$A:$H,5,FALSE)</f>
        <v>0</v>
      </c>
      <c r="I76" s="69">
        <f>VLOOKUP($B76,'Month &amp; Hour Data'!$A:$H,7,FALSE)</f>
        <v>304</v>
      </c>
      <c r="J76" s="538">
        <f>SUM(Customer!C88:I88)</f>
        <v>153107.7662866927</v>
      </c>
      <c r="K76" s="70">
        <f>HLOOKUP(YEAR($B76),Population!$2:$20,3,FALSE)</f>
        <v>498166.66666666709</v>
      </c>
      <c r="L76" s="70">
        <f t="shared" si="9"/>
        <v>301970567.94660652</v>
      </c>
      <c r="M76" s="70">
        <f t="shared" si="7"/>
        <v>-5593052.2233934999</v>
      </c>
      <c r="N76" s="330">
        <f t="shared" si="8"/>
        <v>-1.818502533005056E-2</v>
      </c>
      <c r="O76" s="734"/>
    </row>
    <row r="77" spans="1:15">
      <c r="A77" s="66">
        <f t="shared" si="6"/>
        <v>2010</v>
      </c>
      <c r="B77" s="67">
        <v>40238</v>
      </c>
      <c r="C77" s="294">
        <f>HLOOKUP(MONTH(B77),'Purchased kWh'!$4:$17,12,FALSE)</f>
        <v>317385708.60000008</v>
      </c>
      <c r="D77" s="68">
        <f>VLOOKUP($B77,'Month &amp; Hour Data'!$A:$H,2,FALSE)</f>
        <v>422.8</v>
      </c>
      <c r="E77" s="68">
        <f>VLOOKUP($B77,'Month &amp; Hour Data'!$A:$H,3,FALSE)</f>
        <v>0</v>
      </c>
      <c r="F77" s="308">
        <f>VLOOKUP($B77,'Month &amp; Hour Data'!$A:$H,8,FALSE)</f>
        <v>1.0809247622078761</v>
      </c>
      <c r="G77" s="69">
        <f>VLOOKUP($B77,'Month &amp; Hour Data'!$A:$H,4,FALSE)</f>
        <v>31</v>
      </c>
      <c r="H77" s="69">
        <f>VLOOKUP($B77,'Month &amp; Hour Data'!$A:$H,5,FALSE)</f>
        <v>1</v>
      </c>
      <c r="I77" s="69">
        <f>VLOOKUP($B77,'Month &amp; Hour Data'!$A:$H,7,FALSE)</f>
        <v>368</v>
      </c>
      <c r="J77" s="538">
        <f>SUM(Customer!C89:I89)</f>
        <v>153431.68437519937</v>
      </c>
      <c r="K77" s="70">
        <f>HLOOKUP(YEAR($B77),Population!$2:$20,4,FALSE)</f>
        <v>498750.00000000041</v>
      </c>
      <c r="L77" s="70">
        <f t="shared" si="9"/>
        <v>316071861.66772377</v>
      </c>
      <c r="M77" s="70">
        <f t="shared" si="7"/>
        <v>-1313846.9322763085</v>
      </c>
      <c r="N77" s="330">
        <f t="shared" si="8"/>
        <v>-4.1395907146283785E-3</v>
      </c>
      <c r="O77" s="734"/>
    </row>
    <row r="78" spans="1:15">
      <c r="A78" s="66">
        <f t="shared" si="6"/>
        <v>2010</v>
      </c>
      <c r="B78" s="67">
        <v>40269</v>
      </c>
      <c r="C78" s="294">
        <f>HLOOKUP(MONTH(B78),'Purchased kWh'!$4:$17,12,FALSE)</f>
        <v>288580434.81999999</v>
      </c>
      <c r="D78" s="68">
        <f>VLOOKUP($B78,'Month &amp; Hour Data'!$A:$H,2,FALSE)</f>
        <v>225.1</v>
      </c>
      <c r="E78" s="68">
        <f>VLOOKUP($B78,'Month &amp; Hour Data'!$A:$H,3,FALSE)</f>
        <v>0</v>
      </c>
      <c r="F78" s="308">
        <f>VLOOKUP($B78,'Month &amp; Hour Data'!$A:$H,8,FALSE)</f>
        <v>1.0835474187515461</v>
      </c>
      <c r="G78" s="69">
        <f>VLOOKUP($B78,'Month &amp; Hour Data'!$A:$H,4,FALSE)</f>
        <v>30</v>
      </c>
      <c r="H78" s="69">
        <f>VLOOKUP($B78,'Month &amp; Hour Data'!$A:$H,5,FALSE)</f>
        <v>1</v>
      </c>
      <c r="I78" s="69">
        <f>VLOOKUP($B78,'Month &amp; Hour Data'!$A:$H,7,FALSE)</f>
        <v>320</v>
      </c>
      <c r="J78" s="538">
        <f>SUM(Customer!C90:I90)</f>
        <v>153605.62579354559</v>
      </c>
      <c r="K78" s="70">
        <f>HLOOKUP(YEAR($B78),Population!$2:$20,5,FALSE)</f>
        <v>499333.33333333372</v>
      </c>
      <c r="L78" s="70">
        <f t="shared" si="9"/>
        <v>292783210.88240504</v>
      </c>
      <c r="M78" s="70">
        <f t="shared" si="7"/>
        <v>4202776.0624050498</v>
      </c>
      <c r="N78" s="330">
        <f t="shared" si="8"/>
        <v>1.4563620936486917E-2</v>
      </c>
      <c r="O78" s="734"/>
    </row>
    <row r="79" spans="1:15">
      <c r="A79" s="66">
        <f t="shared" si="6"/>
        <v>2010</v>
      </c>
      <c r="B79" s="67">
        <v>40299</v>
      </c>
      <c r="C79" s="294">
        <f>HLOOKUP(MONTH(B79),'Purchased kWh'!$4:$17,12,FALSE)</f>
        <v>317160058.12000006</v>
      </c>
      <c r="D79" s="68">
        <f>VLOOKUP($B79,'Month &amp; Hour Data'!$A:$H,2,FALSE)</f>
        <v>107.9</v>
      </c>
      <c r="E79" s="68">
        <f>VLOOKUP($B79,'Month &amp; Hour Data'!$A:$H,3,FALSE)</f>
        <v>45.7</v>
      </c>
      <c r="F79" s="308">
        <f>VLOOKUP($B79,'Month &amp; Hour Data'!$A:$H,8,FALSE)</f>
        <v>1.086176438668123</v>
      </c>
      <c r="G79" s="69">
        <f>VLOOKUP($B79,'Month &amp; Hour Data'!$A:$H,4,FALSE)</f>
        <v>31</v>
      </c>
      <c r="H79" s="69">
        <f>VLOOKUP($B79,'Month &amp; Hour Data'!$A:$H,5,FALSE)</f>
        <v>1</v>
      </c>
      <c r="I79" s="69">
        <f>VLOOKUP($B79,'Month &amp; Hour Data'!$A:$H,7,FALSE)</f>
        <v>320</v>
      </c>
      <c r="J79" s="538">
        <f>SUM(Customer!C91:I91)</f>
        <v>153765.59056656389</v>
      </c>
      <c r="K79" s="70">
        <f>HLOOKUP(YEAR($B79),Population!$2:$20,6,FALSE)</f>
        <v>499916.66666666704</v>
      </c>
      <c r="L79" s="70">
        <f t="shared" si="9"/>
        <v>316287859.25119734</v>
      </c>
      <c r="M79" s="70">
        <f t="shared" si="7"/>
        <v>-872198.86880272627</v>
      </c>
      <c r="N79" s="330">
        <f t="shared" si="8"/>
        <v>-2.7500274592354968E-3</v>
      </c>
      <c r="O79" s="734"/>
    </row>
    <row r="80" spans="1:15">
      <c r="A80" s="66">
        <f t="shared" si="6"/>
        <v>2010</v>
      </c>
      <c r="B80" s="67">
        <v>40330</v>
      </c>
      <c r="C80" s="294">
        <f>HLOOKUP(MONTH(B80),'Purchased kWh'!$4:$17,12,FALSE)</f>
        <v>327911313.14999998</v>
      </c>
      <c r="D80" s="68">
        <f>VLOOKUP($B80,'Month &amp; Hour Data'!$A:$H,2,FALSE)</f>
        <v>21.7</v>
      </c>
      <c r="E80" s="68">
        <f>VLOOKUP($B80,'Month &amp; Hour Data'!$A:$H,3,FALSE)</f>
        <v>58.7</v>
      </c>
      <c r="F80" s="308">
        <f>VLOOKUP($B80,'Month &amp; Hour Data'!$A:$H,8,FALSE)</f>
        <v>1.0888118373971101</v>
      </c>
      <c r="G80" s="69">
        <f>VLOOKUP($B80,'Month &amp; Hour Data'!$A:$H,4,FALSE)</f>
        <v>30</v>
      </c>
      <c r="H80" s="69">
        <f>VLOOKUP($B80,'Month &amp; Hour Data'!$A:$H,5,FALSE)</f>
        <v>0</v>
      </c>
      <c r="I80" s="69">
        <f>VLOOKUP($B80,'Month &amp; Hour Data'!$A:$H,7,FALSE)</f>
        <v>352</v>
      </c>
      <c r="J80" s="538">
        <f>SUM(Customer!C92:I92)</f>
        <v>154025.57871911323</v>
      </c>
      <c r="K80" s="70">
        <f>HLOOKUP(YEAR($B80),Population!$2:$20,7,FALSE)</f>
        <v>500500.00000000035</v>
      </c>
      <c r="L80" s="70">
        <f t="shared" si="9"/>
        <v>323343788.66773605</v>
      </c>
      <c r="M80" s="70">
        <f t="shared" si="7"/>
        <v>-4567524.4822639227</v>
      </c>
      <c r="N80" s="330">
        <f t="shared" si="8"/>
        <v>-1.3929145775383941E-2</v>
      </c>
      <c r="O80" s="734"/>
    </row>
    <row r="81" spans="1:15">
      <c r="A81" s="66">
        <f t="shared" si="6"/>
        <v>2010</v>
      </c>
      <c r="B81" s="67">
        <v>40360</v>
      </c>
      <c r="C81" s="294">
        <f>HLOOKUP(MONTH(B81),'Purchased kWh'!$4:$17,12,FALSE)</f>
        <v>387084557.87</v>
      </c>
      <c r="D81" s="68">
        <f>VLOOKUP($B81,'Month &amp; Hour Data'!$A:$H,2,FALSE)</f>
        <v>1.8</v>
      </c>
      <c r="E81" s="68">
        <f>VLOOKUP($B81,'Month &amp; Hour Data'!$A:$H,3,FALSE)</f>
        <v>164.9</v>
      </c>
      <c r="F81" s="308">
        <f>VLOOKUP($B81,'Month &amp; Hour Data'!$A:$H,8,FALSE)</f>
        <v>1.0914536304154718</v>
      </c>
      <c r="G81" s="69">
        <f>VLOOKUP($B81,'Month &amp; Hour Data'!$A:$H,4,FALSE)</f>
        <v>31</v>
      </c>
      <c r="H81" s="69">
        <f>VLOOKUP($B81,'Month &amp; Hour Data'!$A:$H,5,FALSE)</f>
        <v>0</v>
      </c>
      <c r="I81" s="69">
        <f>VLOOKUP($B81,'Month &amp; Hour Data'!$A:$H,7,FALSE)</f>
        <v>336</v>
      </c>
      <c r="J81" s="538">
        <f>SUM(Customer!C93:I93)</f>
        <v>154333.59027607902</v>
      </c>
      <c r="K81" s="70">
        <f>HLOOKUP(YEAR($B81),Population!$2:$20,8,FALSE)</f>
        <v>501083.33333333366</v>
      </c>
      <c r="L81" s="70">
        <f t="shared" si="9"/>
        <v>379832603.74023604</v>
      </c>
      <c r="M81" s="70">
        <f t="shared" si="7"/>
        <v>-7251954.1297639608</v>
      </c>
      <c r="N81" s="330">
        <f t="shared" si="8"/>
        <v>-1.8734806083893135E-2</v>
      </c>
      <c r="O81" s="734"/>
    </row>
    <row r="82" spans="1:15">
      <c r="A82" s="66">
        <f t="shared" si="6"/>
        <v>2010</v>
      </c>
      <c r="B82" s="67">
        <v>40391</v>
      </c>
      <c r="C82" s="294">
        <f>HLOOKUP(MONTH(B82),'Purchased kWh'!$4:$17,12,FALSE)</f>
        <v>372085384</v>
      </c>
      <c r="D82" s="68">
        <f>VLOOKUP($B82,'Month &amp; Hour Data'!$A:$H,2,FALSE)</f>
        <v>2.1</v>
      </c>
      <c r="E82" s="68">
        <f>VLOOKUP($B82,'Month &amp; Hour Data'!$A:$H,3,FALSE)</f>
        <v>138.80000000000001</v>
      </c>
      <c r="F82" s="308">
        <f>VLOOKUP($B82,'Month &amp; Hour Data'!$A:$H,8,FALSE)</f>
        <v>1.0941018332377244</v>
      </c>
      <c r="G82" s="69">
        <f>VLOOKUP($B82,'Month &amp; Hour Data'!$A:$H,4,FALSE)</f>
        <v>31</v>
      </c>
      <c r="H82" s="69">
        <f>VLOOKUP($B82,'Month &amp; Hour Data'!$A:$H,5,FALSE)</f>
        <v>0</v>
      </c>
      <c r="I82" s="69">
        <f>VLOOKUP($B82,'Month &amp; Hour Data'!$A:$H,7,FALSE)</f>
        <v>336</v>
      </c>
      <c r="J82" s="538">
        <f>SUM(Customer!C94:I94)</f>
        <v>154778.62526237316</v>
      </c>
      <c r="K82" s="70">
        <f>HLOOKUP(YEAR($B82),Population!$2:$20,9,FALSE)</f>
        <v>501666.66666666698</v>
      </c>
      <c r="L82" s="70">
        <f t="shared" si="9"/>
        <v>367371797.57202816</v>
      </c>
      <c r="M82" s="70">
        <f t="shared" si="7"/>
        <v>-4713586.4279718399</v>
      </c>
      <c r="N82" s="330">
        <f t="shared" si="8"/>
        <v>-1.2668023606032964E-2</v>
      </c>
      <c r="O82" s="734"/>
    </row>
    <row r="83" spans="1:15">
      <c r="A83" s="66">
        <f t="shared" si="6"/>
        <v>2010</v>
      </c>
      <c r="B83" s="67">
        <v>40422</v>
      </c>
      <c r="C83" s="294">
        <f>HLOOKUP(MONTH(B83),'Purchased kWh'!$4:$17,12,FALSE)</f>
        <v>309880174.61000001</v>
      </c>
      <c r="D83" s="68">
        <f>VLOOKUP($B83,'Month &amp; Hour Data'!$A:$H,2,FALSE)</f>
        <v>78.2</v>
      </c>
      <c r="E83" s="68">
        <f>VLOOKUP($B83,'Month &amp; Hour Data'!$A:$H,3,FALSE)</f>
        <v>31.5</v>
      </c>
      <c r="F83" s="308">
        <f>VLOOKUP($B83,'Month &amp; Hour Data'!$A:$H,8,FALSE)</f>
        <v>1.0967564614160272</v>
      </c>
      <c r="G83" s="69">
        <f>VLOOKUP($B83,'Month &amp; Hour Data'!$A:$H,4,FALSE)</f>
        <v>30</v>
      </c>
      <c r="H83" s="69">
        <f>VLOOKUP($B83,'Month &amp; Hour Data'!$A:$H,5,FALSE)</f>
        <v>1</v>
      </c>
      <c r="I83" s="69">
        <f>VLOOKUP($B83,'Month &amp; Hour Data'!$A:$H,7,FALSE)</f>
        <v>336</v>
      </c>
      <c r="J83" s="538">
        <f>SUM(Customer!C95:I95)</f>
        <v>155108.6837029341</v>
      </c>
      <c r="K83" s="70">
        <f>HLOOKUP(YEAR($B83),Population!$2:$20,10,FALSE)</f>
        <v>502250.00000000029</v>
      </c>
      <c r="L83" s="70">
        <f t="shared" si="9"/>
        <v>306818874.20086509</v>
      </c>
      <c r="M83" s="70">
        <f t="shared" si="7"/>
        <v>-3061300.4091349244</v>
      </c>
      <c r="N83" s="330">
        <f t="shared" si="8"/>
        <v>-9.8789811674390819E-3</v>
      </c>
      <c r="O83" s="734"/>
    </row>
    <row r="84" spans="1:15">
      <c r="A84" s="66">
        <f t="shared" si="6"/>
        <v>2010</v>
      </c>
      <c r="B84" s="67">
        <v>40452</v>
      </c>
      <c r="C84" s="294">
        <f>HLOOKUP(MONTH(B84),'Purchased kWh'!$4:$17,12,FALSE)</f>
        <v>301944346.81</v>
      </c>
      <c r="D84" s="68">
        <f>VLOOKUP($B84,'Month &amp; Hour Data'!$A:$H,2,FALSE)</f>
        <v>241.6</v>
      </c>
      <c r="E84" s="68">
        <f>VLOOKUP($B84,'Month &amp; Hour Data'!$A:$H,3,FALSE)</f>
        <v>0</v>
      </c>
      <c r="F84" s="308">
        <f>VLOOKUP($B84,'Month &amp; Hour Data'!$A:$H,8,FALSE)</f>
        <v>1.0994175305402742</v>
      </c>
      <c r="G84" s="69">
        <f>VLOOKUP($B84,'Month &amp; Hour Data'!$A:$H,4,FALSE)</f>
        <v>31</v>
      </c>
      <c r="H84" s="69">
        <f>VLOOKUP($B84,'Month &amp; Hour Data'!$A:$H,5,FALSE)</f>
        <v>1</v>
      </c>
      <c r="I84" s="69">
        <f>VLOOKUP($B84,'Month &amp; Hour Data'!$A:$H,7,FALSE)</f>
        <v>320</v>
      </c>
      <c r="J84" s="538">
        <f>SUM(Customer!C96:I96)</f>
        <v>155543.76562272676</v>
      </c>
      <c r="K84" s="70">
        <f>HLOOKUP(YEAR($B84),Population!$2:$20,11,FALSE)</f>
        <v>502833.3333333336</v>
      </c>
      <c r="L84" s="70">
        <f t="shared" si="9"/>
        <v>303782367.54674739</v>
      </c>
      <c r="M84" s="70">
        <f t="shared" si="7"/>
        <v>1838020.7367473841</v>
      </c>
      <c r="N84" s="330">
        <f t="shared" si="8"/>
        <v>6.0872831571970711E-3</v>
      </c>
      <c r="O84" s="734"/>
    </row>
    <row r="85" spans="1:15">
      <c r="A85" s="66">
        <f t="shared" si="6"/>
        <v>2010</v>
      </c>
      <c r="B85" s="67">
        <v>40483</v>
      </c>
      <c r="C85" s="294">
        <f>HLOOKUP(MONTH(B85),'Purchased kWh'!$4:$17,12,FALSE)</f>
        <v>309107400.75999999</v>
      </c>
      <c r="D85" s="68">
        <f>VLOOKUP($B85,'Month &amp; Hour Data'!$A:$H,2,FALSE)</f>
        <v>405.3</v>
      </c>
      <c r="E85" s="68">
        <f>VLOOKUP($B85,'Month &amp; Hour Data'!$A:$H,3,FALSE)</f>
        <v>0</v>
      </c>
      <c r="F85" s="308">
        <f>VLOOKUP($B85,'Month &amp; Hour Data'!$A:$H,8,FALSE)</f>
        <v>1.1020850562381843</v>
      </c>
      <c r="G85" s="69">
        <f>VLOOKUP($B85,'Month &amp; Hour Data'!$A:$H,4,FALSE)</f>
        <v>30</v>
      </c>
      <c r="H85" s="69">
        <f>VLOOKUP($B85,'Month &amp; Hour Data'!$A:$H,5,FALSE)</f>
        <v>1</v>
      </c>
      <c r="I85" s="69">
        <f>VLOOKUP($B85,'Month &amp; Hour Data'!$A:$H,7,FALSE)</f>
        <v>336</v>
      </c>
      <c r="J85" s="538">
        <f>SUM(Customer!C97:I97)</f>
        <v>155938.87104674269</v>
      </c>
      <c r="K85" s="70">
        <f>HLOOKUP(YEAR($B85),Population!$2:$20,12,FALSE)</f>
        <v>503416.66666666692</v>
      </c>
      <c r="L85" s="70">
        <f t="shared" si="9"/>
        <v>309635000.47213256</v>
      </c>
      <c r="M85" s="70">
        <f t="shared" si="7"/>
        <v>527599.71213257313</v>
      </c>
      <c r="N85" s="330">
        <f t="shared" si="8"/>
        <v>1.7068491755142963E-3</v>
      </c>
      <c r="O85" s="734"/>
    </row>
    <row r="86" spans="1:15">
      <c r="A86" s="66">
        <f t="shared" si="6"/>
        <v>2010</v>
      </c>
      <c r="B86" s="67">
        <v>40513</v>
      </c>
      <c r="C86" s="294">
        <f>HLOOKUP(MONTH(B86),'Purchased kWh'!$4:$17,12,FALSE)</f>
        <v>333509213.89770001</v>
      </c>
      <c r="D86" s="68">
        <f>VLOOKUP($B86,'Month &amp; Hour Data'!$A:$H,2,FALSE)</f>
        <v>676.2</v>
      </c>
      <c r="E86" s="68">
        <f>VLOOKUP($B86,'Month &amp; Hour Data'!$A:$H,3,FALSE)</f>
        <v>0</v>
      </c>
      <c r="F86" s="308">
        <f>VLOOKUP($B86,'Month &amp; Hour Data'!$A:$H,8,FALSE)</f>
        <v>1.1047590541753953</v>
      </c>
      <c r="G86" s="69">
        <f>VLOOKUP($B86,'Month &amp; Hour Data'!$A:$H,4,FALSE)</f>
        <v>31</v>
      </c>
      <c r="H86" s="69">
        <f>VLOOKUP($B86,'Month &amp; Hour Data'!$A:$H,5,FALSE)</f>
        <v>0</v>
      </c>
      <c r="I86" s="69">
        <f>VLOOKUP($B86,'Month &amp; Hour Data'!$A:$H,7,FALSE)</f>
        <v>368</v>
      </c>
      <c r="J86" s="538">
        <f>SUM(Customer!C98:I98)</f>
        <v>156272.00000000003</v>
      </c>
      <c r="K86" s="70">
        <f>HLOOKUP(YEAR($B86),Population!$2:$20,13,FALSE)</f>
        <v>504000.00000000023</v>
      </c>
      <c r="L86" s="70">
        <f t="shared" si="9"/>
        <v>341070564.68351912</v>
      </c>
      <c r="M86" s="70">
        <f t="shared" si="7"/>
        <v>7561350.7858191133</v>
      </c>
      <c r="N86" s="330">
        <f t="shared" si="8"/>
        <v>2.2672089617705338E-2</v>
      </c>
      <c r="O86" s="734"/>
    </row>
    <row r="87" spans="1:15">
      <c r="A87" s="66">
        <f t="shared" si="6"/>
        <v>2011</v>
      </c>
      <c r="B87" s="67">
        <v>40544</v>
      </c>
      <c r="C87" s="294">
        <f>HLOOKUP(MONTH(B87),'Purchased kWh'!$4:$17,13,FALSE)</f>
        <v>346157898.25999999</v>
      </c>
      <c r="D87" s="68">
        <f>VLOOKUP($B87,'Month &amp; Hour Data'!$A:$H,2,FALSE)</f>
        <v>775.3</v>
      </c>
      <c r="E87" s="68">
        <f>VLOOKUP($B87,'Month &amp; Hour Data'!$A:$H,3,FALSE)</f>
        <v>0</v>
      </c>
      <c r="F87" s="308">
        <f>VLOOKUP($B87,'Month &amp; Hour Data'!$A:$H,8,FALSE)</f>
        <v>1.106402672454752</v>
      </c>
      <c r="G87" s="69">
        <f>VLOOKUP($B87,'Month &amp; Hour Data'!$A:$H,4,FALSE)</f>
        <v>31</v>
      </c>
      <c r="H87" s="69">
        <f>VLOOKUP($B87,'Month &amp; Hour Data'!$A:$H,5,FALSE)</f>
        <v>0</v>
      </c>
      <c r="I87" s="69">
        <f>VLOOKUP($B87,'Month &amp; Hour Data'!$A:$H,7,FALSE)</f>
        <v>320</v>
      </c>
      <c r="J87" s="538">
        <f>SUM(Customer!C99:I99)</f>
        <v>156635.27248714739</v>
      </c>
      <c r="K87" s="70">
        <f>HLOOKUP(YEAR($B87),Population!$2:$20,2,FALSE)</f>
        <v>505659.25000000023</v>
      </c>
      <c r="L87" s="70">
        <f t="shared" si="9"/>
        <v>339224019.86874199</v>
      </c>
      <c r="M87" s="70">
        <f t="shared" si="7"/>
        <v>-6933878.3912580013</v>
      </c>
      <c r="N87" s="330">
        <f t="shared" si="8"/>
        <v>-2.0030969757188523E-2</v>
      </c>
      <c r="O87" s="734"/>
    </row>
    <row r="88" spans="1:15">
      <c r="A88" s="66">
        <f t="shared" si="6"/>
        <v>2011</v>
      </c>
      <c r="B88" s="67">
        <v>40575</v>
      </c>
      <c r="C88" s="294">
        <f>HLOOKUP(MONTH(B88),'Purchased kWh'!$4:$17,13,FALSE)</f>
        <v>312406684.80686557</v>
      </c>
      <c r="D88" s="68">
        <f>VLOOKUP($B88,'Month &amp; Hour Data'!$A:$H,2,FALSE)</f>
        <v>654.20000000000005</v>
      </c>
      <c r="E88" s="68">
        <f>VLOOKUP($B88,'Month &amp; Hour Data'!$A:$H,3,FALSE)</f>
        <v>0</v>
      </c>
      <c r="F88" s="308">
        <f>VLOOKUP($B88,'Month &amp; Hour Data'!$A:$H,8,FALSE)</f>
        <v>1.1080487396470626</v>
      </c>
      <c r="G88" s="69">
        <f>VLOOKUP($B88,'Month &amp; Hour Data'!$A:$H,4,FALSE)</f>
        <v>28</v>
      </c>
      <c r="H88" s="69">
        <f>VLOOKUP($B88,'Month &amp; Hour Data'!$A:$H,5,FALSE)</f>
        <v>0</v>
      </c>
      <c r="I88" s="69">
        <f>VLOOKUP($B88,'Month &amp; Hour Data'!$A:$H,7,FALSE)</f>
        <v>304</v>
      </c>
      <c r="J88" s="538">
        <f>SUM(Customer!C100:I100)</f>
        <v>156846.58614662342</v>
      </c>
      <c r="K88" s="70">
        <f>HLOOKUP(YEAR($B88),Population!$2:$20,3,FALSE)</f>
        <v>507318.50000000023</v>
      </c>
      <c r="L88" s="70">
        <f t="shared" si="9"/>
        <v>312794141.92388719</v>
      </c>
      <c r="M88" s="70">
        <f t="shared" si="7"/>
        <v>387457.11702162027</v>
      </c>
      <c r="N88" s="330">
        <f t="shared" si="8"/>
        <v>1.240233118766815E-3</v>
      </c>
      <c r="O88" s="734"/>
    </row>
    <row r="89" spans="1:15">
      <c r="A89" s="66">
        <f t="shared" si="6"/>
        <v>2011</v>
      </c>
      <c r="B89" s="67">
        <v>40603</v>
      </c>
      <c r="C89" s="294">
        <f>HLOOKUP(MONTH(B89),'Purchased kWh'!$4:$17,13,FALSE)</f>
        <v>334049130.14831591</v>
      </c>
      <c r="D89" s="68">
        <f>VLOOKUP($B89,'Month &amp; Hour Data'!$A:$H,2,FALSE)</f>
        <v>572.79999999999995</v>
      </c>
      <c r="E89" s="68">
        <f>VLOOKUP($B89,'Month &amp; Hour Data'!$A:$H,3,FALSE)</f>
        <v>0</v>
      </c>
      <c r="F89" s="308">
        <f>VLOOKUP($B89,'Month &amp; Hour Data'!$A:$H,8,FALSE)</f>
        <v>1.1096972557523284</v>
      </c>
      <c r="G89" s="69">
        <f>VLOOKUP($B89,'Month &amp; Hour Data'!$A:$H,4,FALSE)</f>
        <v>31</v>
      </c>
      <c r="H89" s="69">
        <f>VLOOKUP($B89,'Month &amp; Hour Data'!$A:$H,5,FALSE)</f>
        <v>1</v>
      </c>
      <c r="I89" s="69">
        <f>VLOOKUP($B89,'Month &amp; Hour Data'!$A:$H,7,FALSE)</f>
        <v>368</v>
      </c>
      <c r="J89" s="538">
        <f>SUM(Customer!C101:I101)</f>
        <v>157134.94103633775</v>
      </c>
      <c r="K89" s="70">
        <f>HLOOKUP(YEAR($B89),Population!$2:$20,4,FALSE)</f>
        <v>508977.75000000023</v>
      </c>
      <c r="L89" s="70">
        <f t="shared" si="9"/>
        <v>331687166.43226719</v>
      </c>
      <c r="M89" s="70">
        <f t="shared" si="7"/>
        <v>-2361963.7160487175</v>
      </c>
      <c r="N89" s="330">
        <f t="shared" si="8"/>
        <v>-7.0707075782535916E-3</v>
      </c>
      <c r="O89" s="734"/>
    </row>
    <row r="90" spans="1:15">
      <c r="A90" s="66">
        <f t="shared" si="6"/>
        <v>2011</v>
      </c>
      <c r="B90" s="67">
        <v>40634</v>
      </c>
      <c r="C90" s="294">
        <f>HLOOKUP(MONTH(B90),'Purchased kWh'!$4:$17,13,FALSE)</f>
        <v>299909525.74392897</v>
      </c>
      <c r="D90" s="68">
        <f>VLOOKUP($B90,'Month &amp; Hour Data'!$A:$H,2,FALSE)</f>
        <v>332.3</v>
      </c>
      <c r="E90" s="68">
        <f>VLOOKUP($B90,'Month &amp; Hour Data'!$A:$H,3,FALSE)</f>
        <v>0</v>
      </c>
      <c r="F90" s="308">
        <f>VLOOKUP($B90,'Month &amp; Hour Data'!$A:$H,8,FALSE)</f>
        <v>1.1113482207705487</v>
      </c>
      <c r="G90" s="69">
        <f>VLOOKUP($B90,'Month &amp; Hour Data'!$A:$H,4,FALSE)</f>
        <v>30</v>
      </c>
      <c r="H90" s="69">
        <f>VLOOKUP($B90,'Month &amp; Hour Data'!$A:$H,5,FALSE)</f>
        <v>1</v>
      </c>
      <c r="I90" s="69">
        <f>VLOOKUP($B90,'Month &amp; Hour Data'!$A:$H,7,FALSE)</f>
        <v>304</v>
      </c>
      <c r="J90" s="538">
        <f>SUM(Customer!C102:I102)</f>
        <v>157417.33721428158</v>
      </c>
      <c r="K90" s="70">
        <f>HLOOKUP(YEAR($B90),Population!$2:$20,5,FALSE)</f>
        <v>510637.00000000023</v>
      </c>
      <c r="L90" s="70">
        <f t="shared" si="9"/>
        <v>303359312.87668687</v>
      </c>
      <c r="M90" s="70">
        <f t="shared" si="7"/>
        <v>3449787.1327579021</v>
      </c>
      <c r="N90" s="330">
        <f t="shared" si="8"/>
        <v>1.1502759454541052E-2</v>
      </c>
      <c r="O90" s="734"/>
    </row>
    <row r="91" spans="1:15">
      <c r="A91" s="66">
        <f t="shared" si="6"/>
        <v>2011</v>
      </c>
      <c r="B91" s="67">
        <v>40664</v>
      </c>
      <c r="C91" s="294">
        <f>HLOOKUP(MONTH(B91),'Purchased kWh'!$4:$17,13,FALSE)</f>
        <v>308520841.60441828</v>
      </c>
      <c r="D91" s="68">
        <f>VLOOKUP($B91,'Month &amp; Hour Data'!$A:$H,2,FALSE)</f>
        <v>134.1</v>
      </c>
      <c r="E91" s="68">
        <f>VLOOKUP($B91,'Month &amp; Hour Data'!$A:$H,3,FALSE)</f>
        <v>13</v>
      </c>
      <c r="F91" s="308">
        <f>VLOOKUP($B91,'Month &amp; Hour Data'!$A:$H,8,FALSE)</f>
        <v>1.1130016556326037</v>
      </c>
      <c r="G91" s="69">
        <f>VLOOKUP($B91,'Month &amp; Hour Data'!$A:$H,4,FALSE)</f>
        <v>31</v>
      </c>
      <c r="H91" s="69">
        <f>VLOOKUP($B91,'Month &amp; Hour Data'!$A:$H,5,FALSE)</f>
        <v>1</v>
      </c>
      <c r="I91" s="69">
        <f>VLOOKUP($B91,'Month &amp; Hour Data'!$A:$H,7,FALSE)</f>
        <v>336</v>
      </c>
      <c r="J91" s="538">
        <f>SUM(Customer!C103:I103)</f>
        <v>157765.7747385276</v>
      </c>
      <c r="K91" s="70">
        <f>HLOOKUP(YEAR($B91),Population!$2:$20,6,FALSE)</f>
        <v>512296.25000000023</v>
      </c>
      <c r="L91" s="70">
        <f t="shared" si="9"/>
        <v>310884811.81194365</v>
      </c>
      <c r="M91" s="70">
        <f t="shared" si="7"/>
        <v>2363970.2075253725</v>
      </c>
      <c r="N91" s="330">
        <f t="shared" si="8"/>
        <v>7.6622707082992687E-3</v>
      </c>
      <c r="O91" s="734"/>
    </row>
    <row r="92" spans="1:15">
      <c r="A92" s="66">
        <f t="shared" si="6"/>
        <v>2011</v>
      </c>
      <c r="B92" s="67">
        <v>40695</v>
      </c>
      <c r="C92" s="294">
        <f>HLOOKUP(MONTH(B92),'Purchased kWh'!$4:$17,13,FALSE)</f>
        <v>331406120.1022172</v>
      </c>
      <c r="D92" s="68">
        <f>VLOOKUP($B92,'Month &amp; Hour Data'!$A:$H,2,FALSE)</f>
        <v>19</v>
      </c>
      <c r="E92" s="68">
        <f>VLOOKUP($B92,'Month &amp; Hour Data'!$A:$H,3,FALSE)</f>
        <v>52.2</v>
      </c>
      <c r="F92" s="308">
        <f>VLOOKUP($B92,'Month &amp; Hour Data'!$A:$H,8,FALSE)</f>
        <v>1.1146575394076135</v>
      </c>
      <c r="G92" s="69">
        <f>VLOOKUP($B92,'Month &amp; Hour Data'!$A:$H,4,FALSE)</f>
        <v>30</v>
      </c>
      <c r="H92" s="69">
        <f>VLOOKUP($B92,'Month &amp; Hour Data'!$A:$H,5,FALSE)</f>
        <v>0</v>
      </c>
      <c r="I92" s="69">
        <f>VLOOKUP($B92,'Month &amp; Hour Data'!$A:$H,7,FALSE)</f>
        <v>352</v>
      </c>
      <c r="J92" s="538">
        <f>SUM(Customer!C104:I104)</f>
        <v>158225.25366723016</v>
      </c>
      <c r="K92" s="70">
        <f>HLOOKUP(YEAR($B92),Population!$2:$20,7,FALSE)</f>
        <v>513955.50000000023</v>
      </c>
      <c r="L92" s="70">
        <f t="shared" si="9"/>
        <v>326764174.60965592</v>
      </c>
      <c r="M92" s="70">
        <f t="shared" si="7"/>
        <v>-4641945.4925612807</v>
      </c>
      <c r="N92" s="330">
        <f t="shared" si="8"/>
        <v>-1.40068188575683E-2</v>
      </c>
      <c r="O92" s="734"/>
    </row>
    <row r="93" spans="1:15">
      <c r="A93" s="66">
        <f t="shared" si="6"/>
        <v>2011</v>
      </c>
      <c r="B93" s="67">
        <v>40725</v>
      </c>
      <c r="C93" s="294">
        <f>HLOOKUP(MONTH(B93),'Purchased kWh'!$4:$17,13,FALSE)</f>
        <v>399276723.94634914</v>
      </c>
      <c r="D93" s="68">
        <f>VLOOKUP($B93,'Month &amp; Hour Data'!$A:$H,2,FALSE)</f>
        <v>0</v>
      </c>
      <c r="E93" s="68">
        <f>VLOOKUP($B93,'Month &amp; Hour Data'!$A:$H,3,FALSE)</f>
        <v>198.6</v>
      </c>
      <c r="F93" s="308">
        <f>VLOOKUP($B93,'Month &amp; Hour Data'!$A:$H,8,FALSE)</f>
        <v>1.1163158930264581</v>
      </c>
      <c r="G93" s="69">
        <f>VLOOKUP($B93,'Month &amp; Hour Data'!$A:$H,4,FALSE)</f>
        <v>31</v>
      </c>
      <c r="H93" s="69">
        <f>VLOOKUP($B93,'Month &amp; Hour Data'!$A:$H,5,FALSE)</f>
        <v>0</v>
      </c>
      <c r="I93" s="69">
        <f>VLOOKUP($B93,'Month &amp; Hour Data'!$A:$H,7,FALSE)</f>
        <v>320</v>
      </c>
      <c r="J93" s="538">
        <f>SUM(Customer!C105:I105)</f>
        <v>158540.77405862551</v>
      </c>
      <c r="K93" s="70">
        <f>HLOOKUP(YEAR($B93),Population!$2:$20,8,FALSE)</f>
        <v>515614.75000000023</v>
      </c>
      <c r="L93" s="70">
        <f t="shared" si="9"/>
        <v>400767301.38926041</v>
      </c>
      <c r="M93" s="70">
        <f t="shared" si="7"/>
        <v>1490577.4429112673</v>
      </c>
      <c r="N93" s="330">
        <f t="shared" si="8"/>
        <v>3.7331939317142774E-3</v>
      </c>
      <c r="O93" s="734"/>
    </row>
    <row r="94" spans="1:15">
      <c r="A94" s="66">
        <f t="shared" si="6"/>
        <v>2011</v>
      </c>
      <c r="B94" s="67">
        <v>40756</v>
      </c>
      <c r="C94" s="294">
        <f>HLOOKUP(MONTH(B94),'Purchased kWh'!$4:$17,13,FALSE)</f>
        <v>367773295.40579629</v>
      </c>
      <c r="D94" s="68">
        <f>VLOOKUP($B94,'Month &amp; Hour Data'!$A:$H,2,FALSE)</f>
        <v>0</v>
      </c>
      <c r="E94" s="68">
        <f>VLOOKUP($B94,'Month &amp; Hour Data'!$A:$H,3,FALSE)</f>
        <v>122.2</v>
      </c>
      <c r="F94" s="308">
        <f>VLOOKUP($B94,'Month &amp; Hour Data'!$A:$H,8,FALSE)</f>
        <v>1.1179767164891372</v>
      </c>
      <c r="G94" s="69">
        <f>VLOOKUP($B94,'Month &amp; Hour Data'!$A:$H,4,FALSE)</f>
        <v>31</v>
      </c>
      <c r="H94" s="69">
        <f>VLOOKUP($B94,'Month &amp; Hour Data'!$A:$H,5,FALSE)</f>
        <v>0</v>
      </c>
      <c r="I94" s="69">
        <f>VLOOKUP($B94,'Month &amp; Hour Data'!$A:$H,7,FALSE)</f>
        <v>352</v>
      </c>
      <c r="J94" s="538">
        <f>SUM(Customer!C106:I106)</f>
        <v>158871.33597103169</v>
      </c>
      <c r="K94" s="70">
        <f>HLOOKUP(YEAR($B94),Population!$2:$20,9,FALSE)</f>
        <v>517274.00000000023</v>
      </c>
      <c r="L94" s="70">
        <f t="shared" si="9"/>
        <v>367879591.24444854</v>
      </c>
      <c r="M94" s="70">
        <f t="shared" si="7"/>
        <v>106295.83865225315</v>
      </c>
      <c r="N94" s="330">
        <f t="shared" si="8"/>
        <v>2.8902544034625381E-4</v>
      </c>
      <c r="O94" s="734"/>
    </row>
    <row r="95" spans="1:15">
      <c r="A95" s="66">
        <f t="shared" si="6"/>
        <v>2011</v>
      </c>
      <c r="B95" s="67">
        <v>40787</v>
      </c>
      <c r="C95" s="294">
        <f>HLOOKUP(MONTH(B95),'Purchased kWh'!$4:$17,13,FALSE)</f>
        <v>313781747.26860797</v>
      </c>
      <c r="D95" s="68">
        <f>VLOOKUP($B95,'Month &amp; Hour Data'!$A:$H,2,FALSE)</f>
        <v>48.2</v>
      </c>
      <c r="E95" s="68">
        <f>VLOOKUP($B95,'Month &amp; Hour Data'!$A:$H,3,FALSE)</f>
        <v>39.700000000000003</v>
      </c>
      <c r="F95" s="308">
        <f>VLOOKUP($B95,'Month &amp; Hour Data'!$A:$H,8,FALSE)</f>
        <v>1.1196399888647712</v>
      </c>
      <c r="G95" s="69">
        <f>VLOOKUP($B95,'Month &amp; Hour Data'!$A:$H,4,FALSE)</f>
        <v>30</v>
      </c>
      <c r="H95" s="69">
        <f>VLOOKUP($B95,'Month &amp; Hour Data'!$A:$H,5,FALSE)</f>
        <v>1</v>
      </c>
      <c r="I95" s="69">
        <f>VLOOKUP($B95,'Month &amp; Hour Data'!$A:$H,7,FALSE)</f>
        <v>336</v>
      </c>
      <c r="J95" s="538">
        <f>SUM(Customer!C107:I107)</f>
        <v>159292.93946284882</v>
      </c>
      <c r="K95" s="70">
        <f>HLOOKUP(YEAR($B95),Population!$2:$20,10,FALSE)</f>
        <v>518933.25000000023</v>
      </c>
      <c r="L95" s="70">
        <f t="shared" si="9"/>
        <v>315539949.60747051</v>
      </c>
      <c r="M95" s="70">
        <f t="shared" si="7"/>
        <v>1758202.3388625383</v>
      </c>
      <c r="N95" s="330">
        <f t="shared" si="8"/>
        <v>5.603265180869353E-3</v>
      </c>
      <c r="O95" s="734"/>
    </row>
    <row r="96" spans="1:15">
      <c r="A96" s="66">
        <f t="shared" si="6"/>
        <v>2011</v>
      </c>
      <c r="B96" s="67">
        <v>40817</v>
      </c>
      <c r="C96" s="294">
        <f>HLOOKUP(MONTH(B96),'Purchased kWh'!$4:$17,13,FALSE)</f>
        <v>312095896.83517671</v>
      </c>
      <c r="D96" s="68">
        <f>VLOOKUP($B96,'Month &amp; Hour Data'!$A:$H,2,FALSE)</f>
        <v>235.5</v>
      </c>
      <c r="E96" s="68">
        <f>VLOOKUP($B96,'Month &amp; Hour Data'!$A:$H,3,FALSE)</f>
        <v>2.4</v>
      </c>
      <c r="F96" s="308">
        <f>VLOOKUP($B96,'Month &amp; Hour Data'!$A:$H,8,FALSE)</f>
        <v>1.1213057520151197</v>
      </c>
      <c r="G96" s="69">
        <f>VLOOKUP($B96,'Month &amp; Hour Data'!$A:$H,4,FALSE)</f>
        <v>31</v>
      </c>
      <c r="H96" s="69">
        <f>VLOOKUP($B96,'Month &amp; Hour Data'!$A:$H,5,FALSE)</f>
        <v>1</v>
      </c>
      <c r="I96" s="69">
        <f>VLOOKUP($B96,'Month &amp; Hour Data'!$A:$H,7,FALSE)</f>
        <v>336</v>
      </c>
      <c r="J96" s="538">
        <f>SUM(Customer!C108:I108)</f>
        <v>159763.58459255917</v>
      </c>
      <c r="K96" s="70">
        <f>HLOOKUP(YEAR($B96),Population!$2:$20,11,FALSE)</f>
        <v>520592.50000000023</v>
      </c>
      <c r="L96" s="70">
        <f t="shared" si="9"/>
        <v>313140119.12907976</v>
      </c>
      <c r="M96" s="70">
        <f t="shared" si="7"/>
        <v>1044222.2939030528</v>
      </c>
      <c r="N96" s="330">
        <f t="shared" si="8"/>
        <v>3.345837944337105E-3</v>
      </c>
      <c r="O96" s="734"/>
    </row>
    <row r="97" spans="1:15">
      <c r="A97" s="66">
        <f t="shared" si="6"/>
        <v>2011</v>
      </c>
      <c r="B97" s="67">
        <v>40848</v>
      </c>
      <c r="C97" s="294">
        <f>HLOOKUP(MONTH(B97),'Purchased kWh'!$4:$17,13,FALSE)</f>
        <v>314340389.14520544</v>
      </c>
      <c r="D97" s="68">
        <f>VLOOKUP($B97,'Month &amp; Hour Data'!$A:$H,2,FALSE)</f>
        <v>342.1</v>
      </c>
      <c r="E97" s="68">
        <f>VLOOKUP($B97,'Month &amp; Hour Data'!$A:$H,3,FALSE)</f>
        <v>0</v>
      </c>
      <c r="F97" s="308">
        <f>VLOOKUP($B97,'Month &amp; Hour Data'!$A:$H,8,FALSE)</f>
        <v>1.122973985009303</v>
      </c>
      <c r="G97" s="69">
        <f>VLOOKUP($B97,'Month &amp; Hour Data'!$A:$H,4,FALSE)</f>
        <v>30</v>
      </c>
      <c r="H97" s="69">
        <f>VLOOKUP($B97,'Month &amp; Hour Data'!$A:$H,5,FALSE)</f>
        <v>1</v>
      </c>
      <c r="I97" s="69">
        <f>VLOOKUP($B97,'Month &amp; Hour Data'!$A:$H,7,FALSE)</f>
        <v>352</v>
      </c>
      <c r="J97" s="538">
        <f>SUM(Customer!C109:I109)</f>
        <v>160172.27141872726</v>
      </c>
      <c r="K97" s="70">
        <f>HLOOKUP(YEAR($B97),Population!$2:$20,12,FALSE)</f>
        <v>522251.75000000023</v>
      </c>
      <c r="L97" s="70">
        <f t="shared" si="9"/>
        <v>314536671.13519257</v>
      </c>
      <c r="M97" s="70">
        <f t="shared" si="7"/>
        <v>196281.98998713493</v>
      </c>
      <c r="N97" s="330">
        <f t="shared" si="8"/>
        <v>6.2442497612505345E-4</v>
      </c>
      <c r="O97" s="734"/>
    </row>
    <row r="98" spans="1:15">
      <c r="A98" s="66">
        <f t="shared" si="6"/>
        <v>2011</v>
      </c>
      <c r="B98" s="67">
        <v>40878</v>
      </c>
      <c r="C98" s="294">
        <f>HLOOKUP(MONTH(B98),'Purchased kWh'!$4:$17,13,FALSE)</f>
        <v>328784346.68523514</v>
      </c>
      <c r="D98" s="68">
        <f>VLOOKUP($B98,'Month &amp; Hour Data'!$A:$H,2,FALSE)</f>
        <v>534</v>
      </c>
      <c r="E98" s="68">
        <f>VLOOKUP($B98,'Month &amp; Hour Data'!$A:$H,3,FALSE)</f>
        <v>0</v>
      </c>
      <c r="F98" s="308">
        <f>VLOOKUP($B98,'Month &amp; Hour Data'!$A:$H,8,FALSE)</f>
        <v>1.124644708778201</v>
      </c>
      <c r="G98" s="69">
        <f>VLOOKUP($B98,'Month &amp; Hour Data'!$A:$H,4,FALSE)</f>
        <v>31</v>
      </c>
      <c r="H98" s="69">
        <f>VLOOKUP($B98,'Month &amp; Hour Data'!$A:$H,5,FALSE)</f>
        <v>0</v>
      </c>
      <c r="I98" s="69">
        <f>VLOOKUP($B98,'Month &amp; Hour Data'!$A:$H,7,FALSE)</f>
        <v>336</v>
      </c>
      <c r="J98" s="538">
        <f>SUM(Customer!C110:I110)</f>
        <v>160422</v>
      </c>
      <c r="K98" s="70">
        <f>HLOOKUP(YEAR($B98),Population!$2:$20,13,FALSE)</f>
        <v>523911.00000000023</v>
      </c>
      <c r="L98" s="70">
        <f t="shared" si="9"/>
        <v>334050262.25182199</v>
      </c>
      <c r="M98" s="70">
        <f t="shared" si="7"/>
        <v>5265915.5665868521</v>
      </c>
      <c r="N98" s="330">
        <f t="shared" si="8"/>
        <v>1.6016320788009495E-2</v>
      </c>
      <c r="O98" s="734"/>
    </row>
    <row r="99" spans="1:15">
      <c r="A99" s="66">
        <f t="shared" si="6"/>
        <v>2012</v>
      </c>
      <c r="B99" s="67">
        <v>40909</v>
      </c>
      <c r="C99" s="294">
        <f>HLOOKUP(MONTH(B99),'Purchased kWh'!$4:$17,14,FALSE)</f>
        <v>342744741.61208785</v>
      </c>
      <c r="D99" s="74">
        <f>'Month &amp; Hour Data'!B98</f>
        <v>611.1</v>
      </c>
      <c r="E99" s="74">
        <f>'Month &amp; Hour Data'!C98</f>
        <v>0</v>
      </c>
      <c r="F99" s="308">
        <f>VLOOKUP($B99,'Month &amp; Hour Data'!$A:$H,8,FALSE)</f>
        <v>1.1260409497522648</v>
      </c>
      <c r="G99" s="69">
        <f>VLOOKUP($B99,'Month &amp; Hour Data'!$A:$H,4,FALSE)</f>
        <v>31</v>
      </c>
      <c r="H99" s="69">
        <f>'Month &amp; Hour Data'!E98</f>
        <v>0</v>
      </c>
      <c r="I99" s="69">
        <f>VLOOKUP($B99,'Month &amp; Hour Data'!$A:$H,7,FALSE)</f>
        <v>336</v>
      </c>
      <c r="J99" s="538">
        <f>SUM(Customer!C111:I111)</f>
        <v>160563.60452774609</v>
      </c>
      <c r="K99" s="312">
        <f>Population!AB3</f>
        <v>525084.8333333336</v>
      </c>
      <c r="L99" s="70">
        <f t="shared" si="9"/>
        <v>338570806.73637795</v>
      </c>
      <c r="M99" s="70">
        <f t="shared" ref="M99:M130" si="10">L99-C99</f>
        <v>-4173934.8757098913</v>
      </c>
      <c r="N99" s="330">
        <f t="shared" ref="N99:N122" si="11">M99/C99</f>
        <v>-1.2177969109250036E-2</v>
      </c>
      <c r="O99" s="734"/>
    </row>
    <row r="100" spans="1:15">
      <c r="A100" s="66">
        <f t="shared" si="6"/>
        <v>2012</v>
      </c>
      <c r="B100" s="67">
        <v>40940</v>
      </c>
      <c r="C100" s="294">
        <f>HLOOKUP(MONTH(B100),'Purchased kWh'!$4:$17,14,FALSE)</f>
        <v>317435425.36419511</v>
      </c>
      <c r="D100" s="74">
        <f>'Month &amp; Hour Data'!B99</f>
        <v>531.70000000000005</v>
      </c>
      <c r="E100" s="74">
        <f>'Month &amp; Hour Data'!C99</f>
        <v>0</v>
      </c>
      <c r="F100" s="308">
        <f>VLOOKUP($B100,'Month &amp; Hour Data'!$A:$H,8,FALSE)</f>
        <v>1.127438915759601</v>
      </c>
      <c r="G100" s="69">
        <f>VLOOKUP($B100,'Month &amp; Hour Data'!$A:$H,4,FALSE)</f>
        <v>29</v>
      </c>
      <c r="H100" s="69">
        <f>'Month &amp; Hour Data'!E99</f>
        <v>0</v>
      </c>
      <c r="I100" s="69">
        <f>VLOOKUP($B100,'Month &amp; Hour Data'!$A:$H,7,FALSE)</f>
        <v>320</v>
      </c>
      <c r="J100" s="538">
        <f>SUM(Customer!C112:I112)</f>
        <v>160858.25046284657</v>
      </c>
      <c r="K100" s="312">
        <f>Population!AB4</f>
        <v>526258.66666666698</v>
      </c>
      <c r="L100" s="70">
        <f t="shared" si="9"/>
        <v>320213347.66581511</v>
      </c>
      <c r="M100" s="70">
        <f t="shared" si="10"/>
        <v>2777922.3016200066</v>
      </c>
      <c r="N100" s="330">
        <f t="shared" si="11"/>
        <v>8.7511414280018792E-3</v>
      </c>
      <c r="O100" s="734"/>
    </row>
    <row r="101" spans="1:15">
      <c r="A101" s="66">
        <f t="shared" si="6"/>
        <v>2012</v>
      </c>
      <c r="B101" s="67">
        <v>40969</v>
      </c>
      <c r="C101" s="294">
        <f>HLOOKUP(MONTH(B101),'Purchased kWh'!$4:$17,14,FALSE)</f>
        <v>323010361.81250238</v>
      </c>
      <c r="D101" s="74">
        <f>'Month &amp; Hour Data'!B100</f>
        <v>349.4</v>
      </c>
      <c r="E101" s="74">
        <f>'Month &amp; Hour Data'!C100</f>
        <v>0.2</v>
      </c>
      <c r="F101" s="308">
        <f>VLOOKUP($B101,'Month &amp; Hour Data'!$A:$H,8,FALSE)</f>
        <v>1.1288386173245635</v>
      </c>
      <c r="G101" s="69">
        <f>VLOOKUP($B101,'Month &amp; Hour Data'!$A:$H,4,FALSE)</f>
        <v>31</v>
      </c>
      <c r="H101" s="69">
        <f>'Month &amp; Hour Data'!E100</f>
        <v>1</v>
      </c>
      <c r="I101" s="69">
        <f>VLOOKUP($B101,'Month &amp; Hour Data'!$A:$H,7,FALSE)</f>
        <v>352</v>
      </c>
      <c r="J101" s="538">
        <f>SUM(Customer!C113:I113)</f>
        <v>161102.93786321723</v>
      </c>
      <c r="K101" s="312">
        <f>Population!AB5</f>
        <v>527432.50000000035</v>
      </c>
      <c r="L101" s="70">
        <f t="shared" si="9"/>
        <v>322734363.83541036</v>
      </c>
      <c r="M101" s="70">
        <f t="shared" si="10"/>
        <v>-275997.97709202766</v>
      </c>
      <c r="N101" s="330">
        <f t="shared" si="11"/>
        <v>-8.5445549035431884E-4</v>
      </c>
      <c r="O101" s="734"/>
    </row>
    <row r="102" spans="1:15">
      <c r="A102" s="66">
        <f t="shared" si="6"/>
        <v>2012</v>
      </c>
      <c r="B102" s="67">
        <v>41000</v>
      </c>
      <c r="C102" s="294">
        <f>HLOOKUP(MONTH(B102),'Purchased kWh'!$4:$17,14,FALSE)</f>
        <v>301644611.39755243</v>
      </c>
      <c r="D102" s="74">
        <f>'Month &amp; Hour Data'!B101</f>
        <v>321.7</v>
      </c>
      <c r="E102" s="74">
        <f>'Month &amp; Hour Data'!C101</f>
        <v>0</v>
      </c>
      <c r="F102" s="308">
        <f>VLOOKUP($B102,'Month &amp; Hour Data'!$A:$H,8,FALSE)</f>
        <v>1.1302400566018256</v>
      </c>
      <c r="G102" s="69">
        <f>VLOOKUP($B102,'Month &amp; Hour Data'!$A:$H,4,FALSE)</f>
        <v>30</v>
      </c>
      <c r="H102" s="69">
        <f>'Month &amp; Hour Data'!E101</f>
        <v>1</v>
      </c>
      <c r="I102" s="69">
        <f>VLOOKUP($B102,'Month &amp; Hour Data'!$A:$H,7,FALSE)</f>
        <v>320</v>
      </c>
      <c r="J102" s="538">
        <f>SUM(Customer!C114:I114)</f>
        <v>161360.6667868548</v>
      </c>
      <c r="K102" s="312">
        <f>Population!AB6</f>
        <v>528606.33333333372</v>
      </c>
      <c r="L102" s="70">
        <f t="shared" si="9"/>
        <v>310518868.04527164</v>
      </c>
      <c r="M102" s="70">
        <f t="shared" si="10"/>
        <v>8874256.6477192044</v>
      </c>
      <c r="N102" s="330">
        <f t="shared" si="11"/>
        <v>2.941957625764904E-2</v>
      </c>
      <c r="O102" s="734"/>
    </row>
    <row r="103" spans="1:15">
      <c r="A103" s="66">
        <f t="shared" si="6"/>
        <v>2012</v>
      </c>
      <c r="B103" s="67">
        <v>41030</v>
      </c>
      <c r="C103" s="294">
        <f>HLOOKUP(MONTH(B103),'Purchased kWh'!$4:$17,14,FALSE)</f>
        <v>326399579.19420129</v>
      </c>
      <c r="D103" s="74">
        <f>'Month &amp; Hour Data'!B102</f>
        <v>80.7</v>
      </c>
      <c r="E103" s="74">
        <f>'Month &amp; Hour Data'!C102</f>
        <v>36.700000000000003</v>
      </c>
      <c r="F103" s="308">
        <f>VLOOKUP($B103,'Month &amp; Hour Data'!$A:$H,8,FALSE)</f>
        <v>1.1316432357487356</v>
      </c>
      <c r="G103" s="69">
        <f>VLOOKUP($B103,'Month &amp; Hour Data'!$A:$H,4,FALSE)</f>
        <v>31</v>
      </c>
      <c r="H103" s="69">
        <f>'Month &amp; Hour Data'!E102</f>
        <v>1</v>
      </c>
      <c r="I103" s="69">
        <f>VLOOKUP($B103,'Month &amp; Hour Data'!$A:$H,7,FALSE)</f>
        <v>352</v>
      </c>
      <c r="J103" s="538">
        <f>SUM(Customer!C115:I115)</f>
        <v>161659.43729183724</v>
      </c>
      <c r="K103" s="312">
        <f>Population!AB7</f>
        <v>529780.16666666709</v>
      </c>
      <c r="L103" s="70">
        <f t="shared" si="9"/>
        <v>327598054.96928728</v>
      </c>
      <c r="M103" s="70">
        <f t="shared" si="10"/>
        <v>1198475.7750859857</v>
      </c>
      <c r="N103" s="330">
        <f t="shared" si="11"/>
        <v>3.6718055153279359E-3</v>
      </c>
      <c r="O103" s="734"/>
    </row>
    <row r="104" spans="1:15">
      <c r="A104" s="66">
        <f t="shared" si="6"/>
        <v>2012</v>
      </c>
      <c r="B104" s="67">
        <v>41061</v>
      </c>
      <c r="C104" s="294">
        <f>HLOOKUP(MONTH(B104),'Purchased kWh'!$4:$17,14,FALSE)</f>
        <v>357950416.91688043</v>
      </c>
      <c r="D104" s="74">
        <f>'Month &amp; Hour Data'!B103</f>
        <v>23.2</v>
      </c>
      <c r="E104" s="74">
        <f>'Month &amp; Hour Data'!C103</f>
        <v>101.6</v>
      </c>
      <c r="F104" s="308">
        <f>VLOOKUP($B104,'Month &amp; Hour Data'!$A:$H,8,FALSE)</f>
        <v>1.1330481569253206</v>
      </c>
      <c r="G104" s="69">
        <f>VLOOKUP($B104,'Month &amp; Hour Data'!$A:$H,4,FALSE)</f>
        <v>30</v>
      </c>
      <c r="H104" s="69">
        <f>'Month &amp; Hour Data'!E103</f>
        <v>0</v>
      </c>
      <c r="I104" s="69">
        <f>VLOOKUP($B104,'Month &amp; Hour Data'!$A:$H,7,FALSE)</f>
        <v>336</v>
      </c>
      <c r="J104" s="538">
        <f>SUM(Customer!C116:I116)</f>
        <v>162106.24943632359</v>
      </c>
      <c r="K104" s="312">
        <f>Population!AB8</f>
        <v>530954.00000000047</v>
      </c>
      <c r="L104" s="70">
        <f t="shared" si="9"/>
        <v>354308400.09034759</v>
      </c>
      <c r="M104" s="70">
        <f t="shared" si="10"/>
        <v>-3642016.8265328407</v>
      </c>
      <c r="N104" s="330">
        <f t="shared" si="11"/>
        <v>-1.0174640549108657E-2</v>
      </c>
      <c r="O104" s="734"/>
    </row>
    <row r="105" spans="1:15">
      <c r="A105" s="66">
        <f t="shared" si="6"/>
        <v>2012</v>
      </c>
      <c r="B105" s="67">
        <v>41091</v>
      </c>
      <c r="C105" s="294">
        <f>HLOOKUP(MONTH(B105),'Purchased kWh'!$4:$17,14,FALSE)</f>
        <v>407476192.08811313</v>
      </c>
      <c r="D105" s="74">
        <f>'Month &amp; Hour Data'!B104</f>
        <v>0</v>
      </c>
      <c r="E105" s="74">
        <f>'Month &amp; Hour Data'!C104</f>
        <v>195.4</v>
      </c>
      <c r="F105" s="308">
        <f>VLOOKUP($B105,'Month &amp; Hour Data'!$A:$H,8,FALSE)</f>
        <v>1.134454822294289</v>
      </c>
      <c r="G105" s="69">
        <f>VLOOKUP($B105,'Month &amp; Hour Data'!$A:$H,4,FALSE)</f>
        <v>31</v>
      </c>
      <c r="H105" s="69">
        <f>'Month &amp; Hour Data'!E104</f>
        <v>0</v>
      </c>
      <c r="I105" s="69">
        <f>VLOOKUP($B105,'Month &amp; Hour Data'!$A:$H,7,FALSE)</f>
        <v>352</v>
      </c>
      <c r="J105" s="538">
        <f>SUM(Customer!C117:I117)</f>
        <v>162563.10327855439</v>
      </c>
      <c r="K105" s="312">
        <f>Population!AB9</f>
        <v>532127.83333333384</v>
      </c>
      <c r="L105" s="70">
        <f t="shared" si="9"/>
        <v>409042198.23383152</v>
      </c>
      <c r="M105" s="70">
        <f t="shared" si="10"/>
        <v>1566006.1457183957</v>
      </c>
      <c r="N105" s="330">
        <f t="shared" si="11"/>
        <v>3.8431844022429676E-3</v>
      </c>
      <c r="O105" s="734"/>
    </row>
    <row r="106" spans="1:15">
      <c r="A106" s="66">
        <f t="shared" si="6"/>
        <v>2012</v>
      </c>
      <c r="B106" s="67">
        <v>41122</v>
      </c>
      <c r="C106" s="294">
        <f>HLOOKUP(MONTH(B106),'Purchased kWh'!$4:$17,14,FALSE)</f>
        <v>375206978.09512293</v>
      </c>
      <c r="D106" s="74">
        <f>'Month &amp; Hour Data'!B105</f>
        <v>2</v>
      </c>
      <c r="E106" s="74">
        <f>'Month &amp; Hour Data'!C105</f>
        <v>112.1</v>
      </c>
      <c r="F106" s="308">
        <f>VLOOKUP($B106,'Month &amp; Hour Data'!$A:$H,8,FALSE)</f>
        <v>1.135863234021034</v>
      </c>
      <c r="G106" s="69">
        <f>VLOOKUP($B106,'Month &amp; Hour Data'!$A:$H,4,FALSE)</f>
        <v>31</v>
      </c>
      <c r="H106" s="69">
        <f>'Month &amp; Hour Data'!E105</f>
        <v>0</v>
      </c>
      <c r="I106" s="69">
        <f>VLOOKUP($B106,'Month &amp; Hour Data'!$A:$H,7,FALSE)</f>
        <v>352</v>
      </c>
      <c r="J106" s="538">
        <f>SUM(Customer!C118:I118)</f>
        <v>162977.99887685158</v>
      </c>
      <c r="K106" s="312">
        <f>Population!AB10</f>
        <v>533301.66666666721</v>
      </c>
      <c r="L106" s="70">
        <f t="shared" si="9"/>
        <v>367617993.30312812</v>
      </c>
      <c r="M106" s="70">
        <f t="shared" si="10"/>
        <v>-7588984.7919948101</v>
      </c>
      <c r="N106" s="330">
        <f t="shared" si="11"/>
        <v>-2.0226129136838286E-2</v>
      </c>
      <c r="O106" s="734"/>
    </row>
    <row r="107" spans="1:15">
      <c r="A107" s="66">
        <f t="shared" si="6"/>
        <v>2012</v>
      </c>
      <c r="B107" s="67">
        <v>41153</v>
      </c>
      <c r="C107" s="294">
        <f>HLOOKUP(MONTH(B107),'Purchased kWh'!$4:$17,14,FALSE)</f>
        <v>319835102.72689074</v>
      </c>
      <c r="D107" s="74">
        <f>'Month &amp; Hour Data'!B106</f>
        <v>85</v>
      </c>
      <c r="E107" s="74">
        <f>'Month &amp; Hour Data'!C106</f>
        <v>35.6</v>
      </c>
      <c r="F107" s="308">
        <f>VLOOKUP($B107,'Month &amp; Hour Data'!$A:$H,8,FALSE)</f>
        <v>1.1372733942736375</v>
      </c>
      <c r="G107" s="69">
        <f>VLOOKUP($B107,'Month &amp; Hour Data'!$A:$H,4,FALSE)</f>
        <v>30</v>
      </c>
      <c r="H107" s="69">
        <f>'Month &amp; Hour Data'!E106</f>
        <v>1</v>
      </c>
      <c r="I107" s="69">
        <f>VLOOKUP($B107,'Month &amp; Hour Data'!$A:$H,7,FALSE)</f>
        <v>304</v>
      </c>
      <c r="J107" s="538">
        <f>SUM(Customer!C119:I119)</f>
        <v>163309.93628961861</v>
      </c>
      <c r="K107" s="312">
        <f>Population!AB11</f>
        <v>534475.50000000058</v>
      </c>
      <c r="L107" s="70">
        <f t="shared" si="9"/>
        <v>315032622.11321366</v>
      </c>
      <c r="M107" s="70">
        <f t="shared" si="10"/>
        <v>-4802480.6136770844</v>
      </c>
      <c r="N107" s="330">
        <f t="shared" si="11"/>
        <v>-1.5015489459197834E-2</v>
      </c>
      <c r="O107" s="734"/>
    </row>
    <row r="108" spans="1:15">
      <c r="A108" s="66">
        <f t="shared" si="6"/>
        <v>2012</v>
      </c>
      <c r="B108" s="67">
        <v>41183</v>
      </c>
      <c r="C108" s="294">
        <f>HLOOKUP(MONTH(B108),'Purchased kWh'!$4:$17,14,FALSE)</f>
        <v>318167446.69244564</v>
      </c>
      <c r="D108" s="74">
        <f>'Month &amp; Hour Data'!B107</f>
        <v>242.5</v>
      </c>
      <c r="E108" s="74">
        <f>'Month &amp; Hour Data'!C107</f>
        <v>1.1000000000000001</v>
      </c>
      <c r="F108" s="308">
        <f>VLOOKUP($B108,'Month &amp; Hour Data'!$A:$H,8,FALSE)</f>
        <v>1.1386853052228729</v>
      </c>
      <c r="G108" s="69">
        <f>VLOOKUP($B108,'Month &amp; Hour Data'!$A:$H,4,FALSE)</f>
        <v>31</v>
      </c>
      <c r="H108" s="69">
        <f>'Month &amp; Hour Data'!E107</f>
        <v>1</v>
      </c>
      <c r="I108" s="69">
        <f>VLOOKUP($B108,'Month &amp; Hour Data'!$A:$H,7,FALSE)</f>
        <v>352</v>
      </c>
      <c r="J108" s="538">
        <f>SUM(Customer!C120:I120)</f>
        <v>163820.91557534071</v>
      </c>
      <c r="K108" s="312">
        <f>Population!AB12</f>
        <v>535649.33333333395</v>
      </c>
      <c r="L108" s="70">
        <f t="shared" si="9"/>
        <v>319885238.77190542</v>
      </c>
      <c r="M108" s="70">
        <f t="shared" si="10"/>
        <v>1717792.0794597864</v>
      </c>
      <c r="N108" s="330">
        <f t="shared" si="11"/>
        <v>5.3990189672681321E-3</v>
      </c>
      <c r="O108" s="734"/>
    </row>
    <row r="109" spans="1:15">
      <c r="A109" s="66">
        <f t="shared" si="6"/>
        <v>2012</v>
      </c>
      <c r="B109" s="67">
        <v>41214</v>
      </c>
      <c r="C109" s="294">
        <f>HLOOKUP(MONTH(B109),'Purchased kWh'!$4:$17,14,FALSE)</f>
        <v>324129468.26891255</v>
      </c>
      <c r="D109" s="74">
        <f>'Month &amp; Hour Data'!B108</f>
        <v>434</v>
      </c>
      <c r="E109" s="74">
        <f>'Month &amp; Hour Data'!C108</f>
        <v>0</v>
      </c>
      <c r="F109" s="308">
        <f>VLOOKUP($B109,'Month &amp; Hour Data'!$A:$H,8,FALSE)</f>
        <v>1.1400989690422085</v>
      </c>
      <c r="G109" s="69">
        <f>VLOOKUP($B109,'Month &amp; Hour Data'!$A:$H,4,FALSE)</f>
        <v>30</v>
      </c>
      <c r="H109" s="69">
        <f>'Month &amp; Hour Data'!E108</f>
        <v>1</v>
      </c>
      <c r="I109" s="69">
        <f>VLOOKUP($B109,'Month &amp; Hour Data'!$A:$H,7,FALSE)</f>
        <v>352</v>
      </c>
      <c r="J109" s="538">
        <f>SUM(Customer!C121:I121)</f>
        <v>164392.93679258486</v>
      </c>
      <c r="K109" s="312">
        <f>Population!AB13</f>
        <v>536823.16666666733</v>
      </c>
      <c r="L109" s="70">
        <f t="shared" si="9"/>
        <v>323742690.99519271</v>
      </c>
      <c r="M109" s="70">
        <f t="shared" si="10"/>
        <v>-386777.2737198472</v>
      </c>
      <c r="N109" s="330">
        <f t="shared" si="11"/>
        <v>-1.1932801907383478E-3</v>
      </c>
      <c r="O109" s="734"/>
    </row>
    <row r="110" spans="1:15">
      <c r="A110" s="66">
        <f t="shared" si="6"/>
        <v>2012</v>
      </c>
      <c r="B110" s="67">
        <v>41244</v>
      </c>
      <c r="C110" s="294">
        <f>HLOOKUP(MONTH(B110),'Purchased kWh'!$4:$17,14,FALSE)</f>
        <v>329242704.47332603</v>
      </c>
      <c r="D110" s="74">
        <f>'Month &amp; Hour Data'!B109</f>
        <v>533.5</v>
      </c>
      <c r="E110" s="74">
        <f>'Month &amp; Hour Data'!C109</f>
        <v>0</v>
      </c>
      <c r="F110" s="308">
        <f>VLOOKUP($B110,'Month &amp; Hour Data'!$A:$H,8,FALSE)</f>
        <v>1.1415143879078107</v>
      </c>
      <c r="G110" s="69">
        <f>VLOOKUP($B110,'Month &amp; Hour Data'!$A:$H,4,FALSE)</f>
        <v>31</v>
      </c>
      <c r="H110" s="69">
        <f>'Month &amp; Hour Data'!E109</f>
        <v>0</v>
      </c>
      <c r="I110" s="69">
        <f>VLOOKUP($B110,'Month &amp; Hour Data'!$A:$H,7,FALSE)</f>
        <v>304</v>
      </c>
      <c r="J110" s="538">
        <f>SUM(Customer!C122:I122)</f>
        <v>164718</v>
      </c>
      <c r="K110" s="312">
        <f>Population!AB14</f>
        <v>537997.0000000007</v>
      </c>
      <c r="L110" s="70">
        <f t="shared" si="9"/>
        <v>333187194.12892151</v>
      </c>
      <c r="M110" s="70">
        <f t="shared" si="10"/>
        <v>3944489.6555954814</v>
      </c>
      <c r="N110" s="330">
        <f t="shared" si="11"/>
        <v>1.198049220834003E-2</v>
      </c>
      <c r="O110" s="734"/>
    </row>
    <row r="111" spans="1:15">
      <c r="A111" s="66">
        <f t="shared" si="6"/>
        <v>2013</v>
      </c>
      <c r="B111" s="67">
        <v>41275</v>
      </c>
      <c r="C111" s="294">
        <f>HLOOKUP(MONTH(B111),'Purchased kWh'!$4:$18,15,FALSE)</f>
        <v>348513720.32204151</v>
      </c>
      <c r="D111" s="74">
        <f>'Month &amp; Hour Data'!B110</f>
        <v>624.4</v>
      </c>
      <c r="E111" s="74">
        <f>'Month &amp; Hour Data'!C110</f>
        <v>0</v>
      </c>
      <c r="F111" s="308">
        <f>VLOOKUP($B111,'Month &amp; Hour Data'!$A:$H,8,FALSE)</f>
        <v>1.1427437208015847</v>
      </c>
      <c r="G111" s="69">
        <f>VLOOKUP($B111,'Month &amp; Hour Data'!$A:$H,4,FALSE)</f>
        <v>31</v>
      </c>
      <c r="H111" s="69">
        <f>'Month &amp; Hour Data'!E110</f>
        <v>0</v>
      </c>
      <c r="I111" s="69">
        <f>VLOOKUP($B111,'Month &amp; Hour Data'!$A:$H,7,FALSE)</f>
        <v>352</v>
      </c>
      <c r="J111" s="538">
        <f>SUM(Customer!C123:I123)</f>
        <v>165120.08522564269</v>
      </c>
      <c r="K111" s="70">
        <f>Population!AC3</f>
        <v>539267.7500000007</v>
      </c>
      <c r="L111" s="70">
        <f t="shared" si="9"/>
        <v>345840521.0593015</v>
      </c>
      <c r="M111" s="70">
        <f t="shared" si="10"/>
        <v>-2673199.262740016</v>
      </c>
      <c r="N111" s="330">
        <f t="shared" si="11"/>
        <v>-7.6702841433900111E-3</v>
      </c>
      <c r="O111" s="734"/>
    </row>
    <row r="112" spans="1:15">
      <c r="A112" s="66">
        <f t="shared" si="6"/>
        <v>2013</v>
      </c>
      <c r="B112" s="67">
        <v>41306</v>
      </c>
      <c r="C112" s="294">
        <f>HLOOKUP(MONTH(B112),'Purchased kWh'!$4:$18,15,FALSE)</f>
        <v>317590943.46700263</v>
      </c>
      <c r="D112" s="74">
        <f>'Month &amp; Hour Data'!B111</f>
        <v>631.5</v>
      </c>
      <c r="E112" s="74">
        <f>'Month &amp; Hour Data'!C111</f>
        <v>0</v>
      </c>
      <c r="F112" s="308">
        <f>VLOOKUP($B112,'Month &amp; Hour Data'!$A:$H,8,FALSE)</f>
        <v>1.1439743776027749</v>
      </c>
      <c r="G112" s="69">
        <f>VLOOKUP($B112,'Month &amp; Hour Data'!$A:$H,4,FALSE)</f>
        <v>28</v>
      </c>
      <c r="H112" s="69">
        <f>'Month &amp; Hour Data'!E111</f>
        <v>0</v>
      </c>
      <c r="I112" s="69">
        <f>VLOOKUP($B112,'Month &amp; Hour Data'!$A:$H,7,FALSE)</f>
        <v>304</v>
      </c>
      <c r="J112" s="538">
        <f>SUM(Customer!C124:I124)</f>
        <v>165419.21534495073</v>
      </c>
      <c r="K112" s="70">
        <f>Population!AC4</f>
        <v>540538.5000000007</v>
      </c>
      <c r="L112" s="70">
        <f t="shared" si="9"/>
        <v>320986564.56890261</v>
      </c>
      <c r="M112" s="70">
        <f t="shared" si="10"/>
        <v>3395621.1018999815</v>
      </c>
      <c r="N112" s="330">
        <f t="shared" si="11"/>
        <v>1.0691807092580973E-2</v>
      </c>
      <c r="O112" s="734"/>
    </row>
    <row r="113" spans="1:15">
      <c r="A113" s="66">
        <f t="shared" si="6"/>
        <v>2013</v>
      </c>
      <c r="B113" s="67">
        <v>41334</v>
      </c>
      <c r="C113" s="294">
        <f>HLOOKUP(MONTH(B113),'Purchased kWh'!$4:$18,15,FALSE)</f>
        <v>333368808.18886328</v>
      </c>
      <c r="D113" s="74">
        <f>'Month &amp; Hour Data'!B112</f>
        <v>554.79999999999995</v>
      </c>
      <c r="E113" s="74">
        <f>'Month &amp; Hour Data'!C112</f>
        <v>0</v>
      </c>
      <c r="F113" s="308">
        <f>VLOOKUP($B113,'Month &amp; Hour Data'!$A:$H,8,FALSE)</f>
        <v>1.1452063597371387</v>
      </c>
      <c r="G113" s="69">
        <f>VLOOKUP($B113,'Month &amp; Hour Data'!$A:$H,4,FALSE)</f>
        <v>31</v>
      </c>
      <c r="H113" s="69">
        <f>'Month &amp; Hour Data'!E112</f>
        <v>1</v>
      </c>
      <c r="I113" s="69">
        <f>VLOOKUP($B113,'Month &amp; Hour Data'!$A:$H,7,FALSE)</f>
        <v>320</v>
      </c>
      <c r="J113" s="538">
        <f>SUM(Customer!C125:I125)</f>
        <v>165718.3904227601</v>
      </c>
      <c r="K113" s="70">
        <f>Population!AC5</f>
        <v>541809.2500000007</v>
      </c>
      <c r="L113" s="70">
        <f t="shared" si="9"/>
        <v>332425232.44428039</v>
      </c>
      <c r="M113" s="70">
        <f t="shared" si="10"/>
        <v>-943575.74458289146</v>
      </c>
      <c r="N113" s="330">
        <f t="shared" si="11"/>
        <v>-2.8304260068876268E-3</v>
      </c>
      <c r="O113" s="734"/>
    </row>
    <row r="114" spans="1:15">
      <c r="A114" s="66">
        <f t="shared" si="6"/>
        <v>2013</v>
      </c>
      <c r="B114" s="67">
        <v>41365</v>
      </c>
      <c r="C114" s="294">
        <f>HLOOKUP(MONTH(B114),'Purchased kWh'!$4:$18,15,FALSE)</f>
        <v>312277395.642299</v>
      </c>
      <c r="D114" s="74">
        <f>'Month &amp; Hour Data'!B113</f>
        <v>358.6</v>
      </c>
      <c r="E114" s="74">
        <f>'Month &amp; Hour Data'!C113</f>
        <v>0</v>
      </c>
      <c r="F114" s="308">
        <f>VLOOKUP($B114,'Month &amp; Hour Data'!$A:$H,8,FALSE)</f>
        <v>1.1464396686319696</v>
      </c>
      <c r="G114" s="69">
        <f>VLOOKUP($B114,'Month &amp; Hour Data'!$A:$H,4,FALSE)</f>
        <v>30</v>
      </c>
      <c r="H114" s="69">
        <f>'Month &amp; Hour Data'!E113</f>
        <v>1</v>
      </c>
      <c r="I114" s="69">
        <f>VLOOKUP($B114,'Month &amp; Hour Data'!$A:$H,7,FALSE)</f>
        <v>352</v>
      </c>
      <c r="J114" s="538">
        <f>SUM(Customer!C126:I126)</f>
        <v>166143.61052400045</v>
      </c>
      <c r="K114" s="70">
        <f>Population!AC6</f>
        <v>543080.0000000007</v>
      </c>
      <c r="L114" s="70">
        <f t="shared" si="9"/>
        <v>321336194.32740498</v>
      </c>
      <c r="M114" s="70">
        <f t="shared" si="10"/>
        <v>9058798.6851059794</v>
      </c>
      <c r="N114" s="330">
        <f t="shared" si="11"/>
        <v>2.9008819759347753E-2</v>
      </c>
      <c r="O114" s="734"/>
    </row>
    <row r="115" spans="1:15">
      <c r="A115" s="66">
        <f t="shared" si="6"/>
        <v>2013</v>
      </c>
      <c r="B115" s="67">
        <v>41395</v>
      </c>
      <c r="C115" s="294">
        <f>HLOOKUP(MONTH(B115),'Purchased kWh'!$4:$18,15,FALSE)</f>
        <v>320170212.77697694</v>
      </c>
      <c r="D115" s="74">
        <f>'Month &amp; Hour Data'!B114</f>
        <v>109.1</v>
      </c>
      <c r="E115" s="74">
        <f>'Month &amp; Hour Data'!C114</f>
        <v>23.1</v>
      </c>
      <c r="F115" s="308">
        <f>VLOOKUP($B115,'Month &amp; Hour Data'!$A:$H,8,FALSE)</f>
        <v>1.1476743057160976</v>
      </c>
      <c r="G115" s="69">
        <f>VLOOKUP($B115,'Month &amp; Hour Data'!$A:$H,4,FALSE)</f>
        <v>31</v>
      </c>
      <c r="H115" s="69">
        <f>'Month &amp; Hour Data'!E114</f>
        <v>1</v>
      </c>
      <c r="I115" s="69">
        <f>VLOOKUP($B115,'Month &amp; Hour Data'!$A:$H,7,FALSE)</f>
        <v>352</v>
      </c>
      <c r="J115" s="538">
        <f>SUM(Customer!C127:I127)</f>
        <v>166549.87571369516</v>
      </c>
      <c r="K115" s="70">
        <f>Population!AC7</f>
        <v>544350.7500000007</v>
      </c>
      <c r="L115" s="70">
        <f t="shared" si="9"/>
        <v>326011621.6775701</v>
      </c>
      <c r="M115" s="70">
        <f t="shared" si="10"/>
        <v>5841408.9005931616</v>
      </c>
      <c r="N115" s="330">
        <f t="shared" si="11"/>
        <v>1.8244698187030128E-2</v>
      </c>
      <c r="O115" s="734"/>
    </row>
    <row r="116" spans="1:15">
      <c r="A116" s="66">
        <f t="shared" si="6"/>
        <v>2013</v>
      </c>
      <c r="B116" s="67">
        <v>41426</v>
      </c>
      <c r="C116" s="294">
        <f>HLOOKUP(MONTH(B116),'Purchased kWh'!$4:$18,15,FALSE)</f>
        <v>335997920.17368233</v>
      </c>
      <c r="D116" s="74">
        <f>'Month &amp; Hour Data'!B115</f>
        <v>33.4</v>
      </c>
      <c r="E116" s="74">
        <f>'Month &amp; Hour Data'!C115</f>
        <v>59.3</v>
      </c>
      <c r="F116" s="308">
        <f>VLOOKUP($B116,'Month &amp; Hour Data'!$A:$H,8,FALSE)</f>
        <v>1.1489102724198916</v>
      </c>
      <c r="G116" s="69">
        <f>VLOOKUP($B116,'Month &amp; Hour Data'!$A:$H,4,FALSE)</f>
        <v>30</v>
      </c>
      <c r="H116" s="69">
        <f>'Month &amp; Hour Data'!E115</f>
        <v>0</v>
      </c>
      <c r="I116" s="69">
        <f>VLOOKUP($B116,'Month &amp; Hour Data'!$A:$H,7,FALSE)</f>
        <v>320</v>
      </c>
      <c r="J116" s="538">
        <f>SUM(Customer!C128:I128)</f>
        <v>166778.18605696154</v>
      </c>
      <c r="K116" s="70">
        <f>Population!AC8</f>
        <v>545621.5000000007</v>
      </c>
      <c r="L116" s="70">
        <f t="shared" si="9"/>
        <v>334865275.40311307</v>
      </c>
      <c r="M116" s="70">
        <f t="shared" si="10"/>
        <v>-1132644.7705692649</v>
      </c>
      <c r="N116" s="330">
        <f t="shared" si="11"/>
        <v>-3.3709874453502092E-3</v>
      </c>
      <c r="O116" s="734"/>
    </row>
    <row r="117" spans="1:15">
      <c r="A117" s="66">
        <f t="shared" si="6"/>
        <v>2013</v>
      </c>
      <c r="B117" s="67">
        <v>41456</v>
      </c>
      <c r="C117" s="294">
        <f>HLOOKUP(MONTH(B117),'Purchased kWh'!$4:$18,15,FALSE)</f>
        <v>385395997.74065989</v>
      </c>
      <c r="D117" s="74">
        <f>'Month &amp; Hour Data'!B116</f>
        <v>1.4</v>
      </c>
      <c r="E117" s="74">
        <f>'Month &amp; Hour Data'!C116</f>
        <v>133.30000000000001</v>
      </c>
      <c r="F117" s="308">
        <f>VLOOKUP($B117,'Month &amp; Hour Data'!$A:$H,8,FALSE)</f>
        <v>1.1501475701752613</v>
      </c>
      <c r="G117" s="69">
        <f>VLOOKUP($B117,'Month &amp; Hour Data'!$A:$H,4,FALSE)</f>
        <v>31</v>
      </c>
      <c r="H117" s="69">
        <f>'Month &amp; Hour Data'!E116</f>
        <v>0</v>
      </c>
      <c r="I117" s="69">
        <f>VLOOKUP($B117,'Month &amp; Hour Data'!$A:$H,7,FALSE)</f>
        <v>352</v>
      </c>
      <c r="J117" s="538">
        <f>SUM(Customer!C129:I129)</f>
        <v>167167.54161901091</v>
      </c>
      <c r="K117" s="70">
        <f>Population!AC9</f>
        <v>546892.2500000007</v>
      </c>
      <c r="L117" s="70">
        <f t="shared" si="9"/>
        <v>381684283.46170151</v>
      </c>
      <c r="M117" s="70">
        <f t="shared" si="10"/>
        <v>-3711714.2789583802</v>
      </c>
      <c r="N117" s="330">
        <f t="shared" si="11"/>
        <v>-9.6309102863493187E-3</v>
      </c>
      <c r="O117" s="734"/>
    </row>
    <row r="118" spans="1:15">
      <c r="A118" s="66">
        <f t="shared" si="6"/>
        <v>2013</v>
      </c>
      <c r="B118" s="67">
        <v>41487</v>
      </c>
      <c r="C118" s="294">
        <f>HLOOKUP(MONTH(B118),'Purchased kWh'!$4:$18,15,FALSE)</f>
        <v>362278436.561683</v>
      </c>
      <c r="D118" s="74">
        <f>'Month &amp; Hour Data'!B117</f>
        <v>4.5999999999999996</v>
      </c>
      <c r="E118" s="74">
        <f>'Month &amp; Hour Data'!C117</f>
        <v>93.2</v>
      </c>
      <c r="F118" s="308">
        <f>VLOOKUP($B118,'Month &amp; Hour Data'!$A:$H,8,FALSE)</f>
        <v>1.1513862004156583</v>
      </c>
      <c r="G118" s="69">
        <f>VLOOKUP($B118,'Month &amp; Hour Data'!$A:$H,4,FALSE)</f>
        <v>31</v>
      </c>
      <c r="H118" s="69">
        <f>'Month &amp; Hour Data'!E117</f>
        <v>0</v>
      </c>
      <c r="I118" s="69">
        <f>VLOOKUP($B118,'Month &amp; Hour Data'!$A:$H,7,FALSE)</f>
        <v>336</v>
      </c>
      <c r="J118" s="538">
        <f>SUM(Customer!C130:I130)</f>
        <v>167610.94246514881</v>
      </c>
      <c r="K118" s="70">
        <f>Population!AC10</f>
        <v>548163.0000000007</v>
      </c>
      <c r="L118" s="70">
        <f t="shared" si="9"/>
        <v>359460096.45947874</v>
      </c>
      <c r="M118" s="70">
        <f t="shared" si="10"/>
        <v>-2818340.1022042632</v>
      </c>
      <c r="N118" s="330">
        <f t="shared" si="11"/>
        <v>-7.7794862121869654E-3</v>
      </c>
      <c r="O118" s="734"/>
    </row>
    <row r="119" spans="1:15">
      <c r="A119" s="66">
        <f t="shared" si="6"/>
        <v>2013</v>
      </c>
      <c r="B119" s="67">
        <v>41518</v>
      </c>
      <c r="C119" s="294">
        <f>HLOOKUP(MONTH(B119),'Purchased kWh'!$4:$18,15,FALSE)</f>
        <v>318477236.99047047</v>
      </c>
      <c r="D119" s="74">
        <f>'Month &amp; Hour Data'!B118</f>
        <v>89.6</v>
      </c>
      <c r="E119" s="74">
        <f>'Month &amp; Hour Data'!C118</f>
        <v>28</v>
      </c>
      <c r="F119" s="308">
        <f>VLOOKUP($B119,'Month &amp; Hour Data'!$A:$H,8,FALSE)</f>
        <v>1.1526261645760774</v>
      </c>
      <c r="G119" s="69">
        <f>VLOOKUP($B119,'Month &amp; Hour Data'!$A:$H,4,FALSE)</f>
        <v>30</v>
      </c>
      <c r="H119" s="69">
        <f>'Month &amp; Hour Data'!E118</f>
        <v>1</v>
      </c>
      <c r="I119" s="69">
        <f>VLOOKUP($B119,'Month &amp; Hour Data'!$A:$H,7,FALSE)</f>
        <v>320</v>
      </c>
      <c r="J119" s="538">
        <f>SUM(Customer!C131:I131)</f>
        <v>167963.38866077506</v>
      </c>
      <c r="K119" s="70">
        <f>Population!AC11</f>
        <v>549433.7500000007</v>
      </c>
      <c r="L119" s="70">
        <f t="shared" si="9"/>
        <v>317640291.86281461</v>
      </c>
      <c r="M119" s="70">
        <f t="shared" si="10"/>
        <v>-836945.12765586376</v>
      </c>
      <c r="N119" s="330">
        <f t="shared" si="11"/>
        <v>-2.6279590201321265E-3</v>
      </c>
      <c r="O119" s="734"/>
    </row>
    <row r="120" spans="1:15">
      <c r="A120" s="66">
        <f t="shared" si="6"/>
        <v>2013</v>
      </c>
      <c r="B120" s="67">
        <v>41548</v>
      </c>
      <c r="C120" s="294">
        <f>HLOOKUP(MONTH(B120),'Purchased kWh'!$4:$18,15,FALSE)</f>
        <v>318760031.98889458</v>
      </c>
      <c r="D120" s="74">
        <f>'Month &amp; Hour Data'!B119</f>
        <v>224.2</v>
      </c>
      <c r="E120" s="74">
        <f>'Month &amp; Hour Data'!C119</f>
        <v>0</v>
      </c>
      <c r="F120" s="308">
        <f>VLOOKUP($B120,'Month &amp; Hour Data'!$A:$H,8,FALSE)</f>
        <v>1.1538674640930595</v>
      </c>
      <c r="G120" s="69">
        <f>VLOOKUP($B120,'Month &amp; Hour Data'!$A:$H,4,FALSE)</f>
        <v>31</v>
      </c>
      <c r="H120" s="69">
        <f>'Month &amp; Hour Data'!E119</f>
        <v>1</v>
      </c>
      <c r="I120" s="69">
        <f>VLOOKUP($B120,'Month &amp; Hour Data'!$A:$H,7,FALSE)</f>
        <v>352</v>
      </c>
      <c r="J120" s="538">
        <f>SUM(Customer!C132:I132)</f>
        <v>168365.880271384</v>
      </c>
      <c r="K120" s="70">
        <f>Population!AC12</f>
        <v>550704.5000000007</v>
      </c>
      <c r="L120" s="70">
        <f t="shared" si="9"/>
        <v>322029707.03864568</v>
      </c>
      <c r="M120" s="70">
        <f t="shared" si="10"/>
        <v>3269675.0497511029</v>
      </c>
      <c r="N120" s="330">
        <f t="shared" si="11"/>
        <v>1.0257481244904056E-2</v>
      </c>
      <c r="O120" s="734"/>
    </row>
    <row r="121" spans="1:15">
      <c r="A121" s="66">
        <f t="shared" si="6"/>
        <v>2013</v>
      </c>
      <c r="B121" s="67">
        <v>41579</v>
      </c>
      <c r="C121" s="294">
        <f>HLOOKUP(MONTH(B121),'Purchased kWh'!$4:$18,15,FALSE)</f>
        <v>329707414.74445009</v>
      </c>
      <c r="D121" s="74">
        <f>'Month &amp; Hour Data'!B120</f>
        <v>478.3</v>
      </c>
      <c r="E121" s="74">
        <f>'Month &amp; Hour Data'!C120</f>
        <v>0</v>
      </c>
      <c r="F121" s="308">
        <f>VLOOKUP($B121,'Month &amp; Hour Data'!$A:$H,8,FALSE)</f>
        <v>1.155110100404692</v>
      </c>
      <c r="G121" s="69">
        <f>VLOOKUP($B121,'Month &amp; Hour Data'!$A:$H,4,FALSE)</f>
        <v>30</v>
      </c>
      <c r="H121" s="69">
        <f>'Month &amp; Hour Data'!E120</f>
        <v>1</v>
      </c>
      <c r="I121" s="69">
        <f>VLOOKUP($B121,'Month &amp; Hour Data'!$A:$H,7,FALSE)</f>
        <v>336</v>
      </c>
      <c r="J121" s="538">
        <f>SUM(Customer!C133:I133)</f>
        <v>168896.41736256445</v>
      </c>
      <c r="K121" s="70">
        <f>Population!AC13</f>
        <v>551975.2500000007</v>
      </c>
      <c r="L121" s="70">
        <f t="shared" si="9"/>
        <v>327214125.15182233</v>
      </c>
      <c r="M121" s="70">
        <f t="shared" si="10"/>
        <v>-2493289.5926277637</v>
      </c>
      <c r="N121" s="330">
        <f t="shared" si="11"/>
        <v>-7.5621277566968424E-3</v>
      </c>
      <c r="O121" s="734"/>
    </row>
    <row r="122" spans="1:15">
      <c r="A122" s="66">
        <f t="shared" si="6"/>
        <v>2013</v>
      </c>
      <c r="B122" s="67">
        <v>41609</v>
      </c>
      <c r="C122" s="294">
        <f>HLOOKUP(MONTH(B122),'Purchased kWh'!$4:$18,15,FALSE)</f>
        <v>344618545.50918531</v>
      </c>
      <c r="D122" s="74">
        <f>'Month &amp; Hour Data'!B121</f>
        <v>687.7</v>
      </c>
      <c r="E122" s="74">
        <f>'Month &amp; Hour Data'!C121</f>
        <v>0</v>
      </c>
      <c r="F122" s="308">
        <f>VLOOKUP($B122,'Month &amp; Hour Data'!$A:$H,8,FALSE)</f>
        <v>1.1563540749506114</v>
      </c>
      <c r="G122" s="69">
        <f>VLOOKUP($B122,'Month &amp; Hour Data'!$A:$H,4,FALSE)</f>
        <v>31</v>
      </c>
      <c r="H122" s="69">
        <f>'Month &amp; Hour Data'!E121</f>
        <v>0</v>
      </c>
      <c r="I122" s="69">
        <f>VLOOKUP($B122,'Month &amp; Hour Data'!$A:$H,7,FALSE)</f>
        <v>320</v>
      </c>
      <c r="J122" s="538">
        <f>SUM(Customer!C134:I134)</f>
        <v>169366</v>
      </c>
      <c r="K122" s="70">
        <f>Population!AC14</f>
        <v>553246.0000000007</v>
      </c>
      <c r="L122" s="70">
        <f t="shared" si="9"/>
        <v>347413327.95736384</v>
      </c>
      <c r="M122" s="70">
        <f t="shared" si="10"/>
        <v>2794782.4481785297</v>
      </c>
      <c r="N122" s="330">
        <f t="shared" si="11"/>
        <v>8.1097853977914799E-3</v>
      </c>
      <c r="O122" s="734"/>
    </row>
    <row r="123" spans="1:15">
      <c r="A123" s="66">
        <f t="shared" si="6"/>
        <v>2014</v>
      </c>
      <c r="B123" s="67">
        <v>41640</v>
      </c>
      <c r="C123" s="279"/>
      <c r="D123" s="341">
        <f>'Month &amp; Hour Data'!B122</f>
        <v>700.25</v>
      </c>
      <c r="E123" s="342">
        <f>'Month &amp; Hour Data'!C122</f>
        <v>0</v>
      </c>
      <c r="F123" s="308">
        <f>VLOOKUP($B123,'Month &amp; Hour Data'!$A:$H,8,FALSE)</f>
        <v>1.1583584746270237</v>
      </c>
      <c r="G123" s="69">
        <f>VLOOKUP($B123,'Month &amp; Hour Data'!$A:$H,4,FALSE)</f>
        <v>31</v>
      </c>
      <c r="H123" s="69">
        <f>'Month &amp; Hour Data'!E122</f>
        <v>0</v>
      </c>
      <c r="I123" s="69">
        <f>VLOOKUP($B123,'Month &amp; Hour Data'!$A:$H,7,FALSE)</f>
        <v>352</v>
      </c>
      <c r="J123" s="538">
        <f>SUM(Customer!C135:I135)</f>
        <v>169652.81732195467</v>
      </c>
      <c r="K123" s="70">
        <f>Population!AD3</f>
        <v>554324.66666666733</v>
      </c>
      <c r="L123" s="70">
        <f t="shared" si="9"/>
        <v>353659301.05675578</v>
      </c>
      <c r="M123" s="70">
        <f t="shared" si="10"/>
        <v>353659301.05675578</v>
      </c>
      <c r="N123" s="330"/>
      <c r="O123" s="353"/>
    </row>
    <row r="124" spans="1:15">
      <c r="A124" s="66">
        <f t="shared" si="6"/>
        <v>2014</v>
      </c>
      <c r="B124" s="67">
        <v>41671</v>
      </c>
      <c r="C124" s="279"/>
      <c r="D124" s="341">
        <f>'Month &amp; Hour Data'!B123</f>
        <v>628.92999999999995</v>
      </c>
      <c r="E124" s="342">
        <f>'Month &amp; Hour Data'!C123</f>
        <v>0</v>
      </c>
      <c r="F124" s="308">
        <f>VLOOKUP($B124,'Month &amp; Hour Data'!$A:$H,8,FALSE)</f>
        <v>1.1603663486874065</v>
      </c>
      <c r="G124" s="69">
        <f>VLOOKUP($B124,'Month &amp; Hour Data'!$A:$H,4,FALSE)</f>
        <v>28</v>
      </c>
      <c r="H124" s="69">
        <f>'Month &amp; Hour Data'!E123</f>
        <v>0</v>
      </c>
      <c r="I124" s="69">
        <f>VLOOKUP($B124,'Month &amp; Hour Data'!$A:$H,7,FALSE)</f>
        <v>304</v>
      </c>
      <c r="J124" s="538">
        <f>SUM(Customer!C136:I136)</f>
        <v>169939.6346439094</v>
      </c>
      <c r="K124" s="70">
        <f>Population!AD4</f>
        <v>555403.33333333395</v>
      </c>
      <c r="L124" s="70">
        <f t="shared" si="9"/>
        <v>324869621.31634867</v>
      </c>
      <c r="M124" s="70">
        <f t="shared" si="10"/>
        <v>324869621.31634867</v>
      </c>
      <c r="N124" s="330"/>
      <c r="O124" s="353"/>
    </row>
    <row r="125" spans="1:15">
      <c r="A125" s="66">
        <f t="shared" si="6"/>
        <v>2014</v>
      </c>
      <c r="B125" s="67">
        <v>41699</v>
      </c>
      <c r="C125" s="279"/>
      <c r="D125" s="341">
        <f>'Month &amp; Hour Data'!B124</f>
        <v>520.29999999999995</v>
      </c>
      <c r="E125" s="342">
        <f>'Month &amp; Hour Data'!C124</f>
        <v>0.02</v>
      </c>
      <c r="F125" s="308">
        <f>VLOOKUP($B125,'Month &amp; Hour Data'!$A:$H,8,FALSE)</f>
        <v>1.1623777031541842</v>
      </c>
      <c r="G125" s="69">
        <f>VLOOKUP($B125,'Month &amp; Hour Data'!$A:$H,4,FALSE)</f>
        <v>31</v>
      </c>
      <c r="H125" s="69">
        <f>'Month &amp; Hour Data'!E124</f>
        <v>1</v>
      </c>
      <c r="I125" s="69">
        <f>VLOOKUP($B125,'Month &amp; Hour Data'!$A:$H,7,FALSE)</f>
        <v>320</v>
      </c>
      <c r="J125" s="538">
        <f>SUM(Customer!C137:I137)</f>
        <v>170226.45196586405</v>
      </c>
      <c r="K125" s="70">
        <f>Population!AD5</f>
        <v>556482.00000000058</v>
      </c>
      <c r="L125" s="70">
        <f t="shared" si="9"/>
        <v>334846936.68300629</v>
      </c>
      <c r="M125" s="70">
        <f t="shared" si="10"/>
        <v>334846936.68300629</v>
      </c>
      <c r="N125" s="330"/>
      <c r="O125" s="353"/>
    </row>
    <row r="126" spans="1:15">
      <c r="A126" s="66">
        <f t="shared" si="6"/>
        <v>2014</v>
      </c>
      <c r="B126" s="67">
        <v>41730</v>
      </c>
      <c r="C126" s="279"/>
      <c r="D126" s="341">
        <f>'Month &amp; Hour Data'!B125</f>
        <v>308.53999999999996</v>
      </c>
      <c r="E126" s="342">
        <f>'Month &amp; Hour Data'!C125</f>
        <v>0.12</v>
      </c>
      <c r="F126" s="308">
        <f>VLOOKUP($B126,'Month &amp; Hour Data'!$A:$H,8,FALSE)</f>
        <v>1.1643925440602192</v>
      </c>
      <c r="G126" s="69">
        <f>VLOOKUP($B126,'Month &amp; Hour Data'!$A:$H,4,FALSE)</f>
        <v>30</v>
      </c>
      <c r="H126" s="69">
        <f>'Month &amp; Hour Data'!E125</f>
        <v>1</v>
      </c>
      <c r="I126" s="69">
        <f>VLOOKUP($B126,'Month &amp; Hour Data'!$A:$H,7,FALSE)</f>
        <v>352</v>
      </c>
      <c r="J126" s="538">
        <f>SUM(Customer!C138:I138)</f>
        <v>170513.26928781878</v>
      </c>
      <c r="K126" s="70">
        <f>Population!AD6</f>
        <v>557560.66666666721</v>
      </c>
      <c r="L126" s="70">
        <f t="shared" si="9"/>
        <v>323256055.4708479</v>
      </c>
      <c r="M126" s="70">
        <f t="shared" si="10"/>
        <v>323256055.4708479</v>
      </c>
      <c r="N126" s="330"/>
      <c r="O126" s="353"/>
    </row>
    <row r="127" spans="1:15">
      <c r="A127" s="66">
        <f t="shared" si="6"/>
        <v>2014</v>
      </c>
      <c r="B127" s="67">
        <v>41760</v>
      </c>
      <c r="C127" s="279"/>
      <c r="D127" s="341">
        <f>'Month &amp; Hour Data'!B126</f>
        <v>140.57</v>
      </c>
      <c r="E127" s="342">
        <f>'Month &amp; Hour Data'!C126</f>
        <v>18.57</v>
      </c>
      <c r="F127" s="308">
        <f>VLOOKUP($B127,'Month &amp; Hour Data'!$A:$H,8,FALSE)</f>
        <v>1.1664108774488315</v>
      </c>
      <c r="G127" s="69">
        <f>VLOOKUP($B127,'Month &amp; Hour Data'!$A:$H,4,FALSE)</f>
        <v>31</v>
      </c>
      <c r="H127" s="69">
        <f>'Month &amp; Hour Data'!E126</f>
        <v>1</v>
      </c>
      <c r="I127" s="69">
        <f>VLOOKUP($B127,'Month &amp; Hour Data'!$A:$H,7,FALSE)</f>
        <v>336</v>
      </c>
      <c r="J127" s="538">
        <f>SUM(Customer!C139:I139)</f>
        <v>170800.08660977345</v>
      </c>
      <c r="K127" s="70">
        <f>Population!AD7</f>
        <v>558639.33333333384</v>
      </c>
      <c r="L127" s="70">
        <f t="shared" si="9"/>
        <v>327664381.35496229</v>
      </c>
      <c r="M127" s="70">
        <f t="shared" si="10"/>
        <v>327664381.35496229</v>
      </c>
      <c r="N127" s="330"/>
      <c r="O127" s="353"/>
    </row>
    <row r="128" spans="1:15">
      <c r="A128" s="66">
        <f t="shared" si="6"/>
        <v>2014</v>
      </c>
      <c r="B128" s="67">
        <v>41791</v>
      </c>
      <c r="C128" s="279"/>
      <c r="D128" s="341">
        <f>'Month &amp; Hour Data'!B127</f>
        <v>25.84</v>
      </c>
      <c r="E128" s="342">
        <f>'Month &amp; Hour Data'!C127</f>
        <v>72.819999999999993</v>
      </c>
      <c r="F128" s="308">
        <f>VLOOKUP($B128,'Month &amp; Hour Data'!$A:$H,8,FALSE)</f>
        <v>1.1684327093738167</v>
      </c>
      <c r="G128" s="69">
        <f>VLOOKUP($B128,'Month &amp; Hour Data'!$A:$H,4,FALSE)</f>
        <v>30</v>
      </c>
      <c r="H128" s="69">
        <f>'Month &amp; Hour Data'!E127</f>
        <v>0</v>
      </c>
      <c r="I128" s="69">
        <f>VLOOKUP($B128,'Month &amp; Hour Data'!$A:$H,7,FALSE)</f>
        <v>336</v>
      </c>
      <c r="J128" s="538">
        <f>SUM(Customer!C140:I140)</f>
        <v>171086.90393172816</v>
      </c>
      <c r="K128" s="70">
        <f>Population!AD8</f>
        <v>559718.00000000047</v>
      </c>
      <c r="L128" s="70">
        <f t="shared" si="9"/>
        <v>348746504.40650809</v>
      </c>
      <c r="M128" s="70">
        <f t="shared" si="10"/>
        <v>348746504.40650809</v>
      </c>
      <c r="N128" s="330"/>
      <c r="O128" s="353"/>
    </row>
    <row r="129" spans="1:15">
      <c r="A129" s="66">
        <f t="shared" si="6"/>
        <v>2014</v>
      </c>
      <c r="B129" s="67">
        <v>41821</v>
      </c>
      <c r="C129" s="279"/>
      <c r="D129" s="341">
        <f>'Month &amp; Hour Data'!B128</f>
        <v>1.7200000000000002</v>
      </c>
      <c r="E129" s="342">
        <f>'Month &amp; Hour Data'!C128</f>
        <v>139.54000000000002</v>
      </c>
      <c r="F129" s="308">
        <f>VLOOKUP($B129,'Month &amp; Hour Data'!$A:$H,8,FALSE)</f>
        <v>1.1704580458994638</v>
      </c>
      <c r="G129" s="69">
        <f>VLOOKUP($B129,'Month &amp; Hour Data'!$A:$H,4,FALSE)</f>
        <v>31</v>
      </c>
      <c r="H129" s="69">
        <f>'Month &amp; Hour Data'!E128</f>
        <v>0</v>
      </c>
      <c r="I129" s="69">
        <f>VLOOKUP($B129,'Month &amp; Hour Data'!$A:$H,7,FALSE)</f>
        <v>352</v>
      </c>
      <c r="J129" s="538">
        <f>SUM(Customer!C141:I141)</f>
        <v>171373.72125368283</v>
      </c>
      <c r="K129" s="70">
        <f>Population!AD9</f>
        <v>560796.66666666709</v>
      </c>
      <c r="L129" s="70">
        <f t="shared" si="9"/>
        <v>390068295.49280977</v>
      </c>
      <c r="M129" s="70">
        <f t="shared" si="10"/>
        <v>390068295.49280977</v>
      </c>
      <c r="N129" s="330"/>
      <c r="O129" s="353"/>
    </row>
    <row r="130" spans="1:15">
      <c r="A130" s="66">
        <f t="shared" si="6"/>
        <v>2014</v>
      </c>
      <c r="B130" s="67">
        <v>41852</v>
      </c>
      <c r="C130" s="279"/>
      <c r="D130" s="341">
        <f>'Month &amp; Hour Data'!B129</f>
        <v>5.3599999999999994</v>
      </c>
      <c r="E130" s="342">
        <f>'Month &amp; Hour Data'!C129</f>
        <v>106.42000000000002</v>
      </c>
      <c r="F130" s="308">
        <f>VLOOKUP($B130,'Month &amp; Hour Data'!$A:$H,8,FALSE)</f>
        <v>1.172486893100573</v>
      </c>
      <c r="G130" s="69">
        <f>VLOOKUP($B130,'Month &amp; Hour Data'!$A:$H,4,FALSE)</f>
        <v>31</v>
      </c>
      <c r="H130" s="69">
        <f>'Month &amp; Hour Data'!E129</f>
        <v>0</v>
      </c>
      <c r="I130" s="69">
        <f>VLOOKUP($B130,'Month &amp; Hour Data'!$A:$H,7,FALSE)</f>
        <v>320</v>
      </c>
      <c r="J130" s="538">
        <f>SUM(Customer!C142:I142)</f>
        <v>171660.53857563756</v>
      </c>
      <c r="K130" s="70">
        <f>Population!AD10</f>
        <v>561875.33333333372</v>
      </c>
      <c r="L130" s="70">
        <f t="shared" si="9"/>
        <v>369140733.24481595</v>
      </c>
      <c r="M130" s="70">
        <f t="shared" si="10"/>
        <v>369140733.24481595</v>
      </c>
      <c r="N130" s="330"/>
      <c r="O130" s="353"/>
    </row>
    <row r="131" spans="1:15">
      <c r="A131" s="66">
        <f t="shared" ref="A131:A146" si="12">YEAR(B131)</f>
        <v>2014</v>
      </c>
      <c r="B131" s="67">
        <v>41883</v>
      </c>
      <c r="C131" s="279"/>
      <c r="D131" s="341">
        <f>'Month &amp; Hour Data'!B130</f>
        <v>58.56</v>
      </c>
      <c r="E131" s="342">
        <f>'Month &amp; Hour Data'!C130</f>
        <v>33.610000000000007</v>
      </c>
      <c r="F131" s="308">
        <f>VLOOKUP($B131,'Month &amp; Hour Data'!$A:$H,8,FALSE)</f>
        <v>1.174519257062475</v>
      </c>
      <c r="G131" s="69">
        <f>VLOOKUP($B131,'Month &amp; Hour Data'!$A:$H,4,FALSE)</f>
        <v>30</v>
      </c>
      <c r="H131" s="69">
        <f>'Month &amp; Hour Data'!E130</f>
        <v>1</v>
      </c>
      <c r="I131" s="69">
        <f>VLOOKUP($B131,'Month &amp; Hour Data'!$A:$H,7,FALSE)</f>
        <v>336</v>
      </c>
      <c r="J131" s="538">
        <f>SUM(Customer!C143:I143)</f>
        <v>171947.35589759224</v>
      </c>
      <c r="K131" s="70">
        <f>Population!AD11</f>
        <v>562954.00000000035</v>
      </c>
      <c r="L131" s="70">
        <f t="shared" si="9"/>
        <v>327090919.61616904</v>
      </c>
      <c r="M131" s="70">
        <f t="shared" ref="M131:M146" si="13">L131-C131</f>
        <v>327090919.61616904</v>
      </c>
      <c r="N131" s="330"/>
      <c r="O131" s="353"/>
    </row>
    <row r="132" spans="1:15">
      <c r="A132" s="66">
        <f t="shared" si="12"/>
        <v>2014</v>
      </c>
      <c r="B132" s="67">
        <v>41913</v>
      </c>
      <c r="C132" s="279"/>
      <c r="D132" s="341">
        <f>'Month &amp; Hour Data'!B131</f>
        <v>238.26999999999998</v>
      </c>
      <c r="E132" s="342">
        <f>'Month &amp; Hour Data'!C131</f>
        <v>3.35</v>
      </c>
      <c r="F132" s="308">
        <f>VLOOKUP($B132,'Month &amp; Hour Data'!$A:$H,8,FALSE)</f>
        <v>1.1765551438810484</v>
      </c>
      <c r="G132" s="69">
        <f>VLOOKUP($B132,'Month &amp; Hour Data'!$A:$H,4,FALSE)</f>
        <v>31</v>
      </c>
      <c r="H132" s="69">
        <f>'Month &amp; Hour Data'!E131</f>
        <v>1</v>
      </c>
      <c r="I132" s="69">
        <f>VLOOKUP($B132,'Month &amp; Hour Data'!$A:$H,7,FALSE)</f>
        <v>352</v>
      </c>
      <c r="J132" s="538">
        <f>SUM(Customer!C144:I144)</f>
        <v>172234.17321954697</v>
      </c>
      <c r="K132" s="70">
        <f>Population!AD12</f>
        <v>564032.66666666698</v>
      </c>
      <c r="L132" s="70">
        <f t="shared" ref="L132:L145" si="14">$E$187+(D132*$E$188)+(E132*$E$189)+(F132*$E$190)+(G132*$E$191)+(H132*$E$192)+(I132*$E$193)+(J132*$E$194)+(K132*$E$195)</f>
        <v>330485833.1301505</v>
      </c>
      <c r="M132" s="70">
        <f t="shared" si="13"/>
        <v>330485833.1301505</v>
      </c>
      <c r="N132" s="330"/>
      <c r="O132" s="353"/>
    </row>
    <row r="133" spans="1:15">
      <c r="A133" s="66">
        <f t="shared" si="12"/>
        <v>2014</v>
      </c>
      <c r="B133" s="67">
        <v>41944</v>
      </c>
      <c r="C133" s="279"/>
      <c r="D133" s="341">
        <f>'Month &amp; Hour Data'!B132</f>
        <v>408.47</v>
      </c>
      <c r="E133" s="342">
        <f>'Month &amp; Hour Data'!C132</f>
        <v>0</v>
      </c>
      <c r="F133" s="308">
        <f>VLOOKUP($B133,'Month &amp; Hour Data'!$A:$H,8,FALSE)</f>
        <v>1.1785945596627387</v>
      </c>
      <c r="G133" s="69">
        <f>VLOOKUP($B133,'Month &amp; Hour Data'!$A:$H,4,FALSE)</f>
        <v>30</v>
      </c>
      <c r="H133" s="69">
        <f>'Month &amp; Hour Data'!E132</f>
        <v>1</v>
      </c>
      <c r="I133" s="69">
        <f>VLOOKUP($B133,'Month &amp; Hour Data'!$A:$H,7,FALSE)</f>
        <v>320</v>
      </c>
      <c r="J133" s="538">
        <f>SUM(Customer!C145:I145)</f>
        <v>172520.99054150161</v>
      </c>
      <c r="K133" s="70">
        <f>Population!AD13</f>
        <v>565111.3333333336</v>
      </c>
      <c r="L133" s="70">
        <f t="shared" si="14"/>
        <v>327343965.75975299</v>
      </c>
      <c r="M133" s="70">
        <f t="shared" si="13"/>
        <v>327343965.75975299</v>
      </c>
      <c r="N133" s="330"/>
      <c r="O133" s="353"/>
    </row>
    <row r="134" spans="1:15">
      <c r="A134" s="66">
        <f t="shared" si="12"/>
        <v>2014</v>
      </c>
      <c r="B134" s="67">
        <v>41974</v>
      </c>
      <c r="C134" s="279"/>
      <c r="D134" s="341">
        <f>'Month &amp; Hour Data'!B133</f>
        <v>615.7199999999998</v>
      </c>
      <c r="E134" s="342">
        <f>'Month &amp; Hour Data'!C133</f>
        <v>0</v>
      </c>
      <c r="F134" s="308">
        <f>VLOOKUP($B134,'Month &amp; Hour Data'!$A:$H,8,FALSE)</f>
        <v>1.1806375105245757</v>
      </c>
      <c r="G134" s="69">
        <f>VLOOKUP($B134,'Month &amp; Hour Data'!$A:$H,4,FALSE)</f>
        <v>31</v>
      </c>
      <c r="H134" s="69">
        <f>'Month &amp; Hour Data'!E133</f>
        <v>0</v>
      </c>
      <c r="I134" s="69">
        <f>VLOOKUP($B134,'Month &amp; Hour Data'!$A:$H,7,FALSE)</f>
        <v>336</v>
      </c>
      <c r="J134" s="538">
        <f>SUM(Customer!C146:I146)</f>
        <v>172807.80786345631</v>
      </c>
      <c r="K134" s="70">
        <f>Population!AD14</f>
        <v>566190.00000000023</v>
      </c>
      <c r="L134" s="70">
        <f t="shared" si="14"/>
        <v>352757867.37257648</v>
      </c>
      <c r="M134" s="70">
        <f t="shared" si="13"/>
        <v>352757867.37257648</v>
      </c>
      <c r="N134" s="330"/>
      <c r="O134" s="353"/>
    </row>
    <row r="135" spans="1:15">
      <c r="A135" s="66">
        <f t="shared" si="12"/>
        <v>2015</v>
      </c>
      <c r="B135" s="67">
        <v>42005</v>
      </c>
      <c r="C135" s="279"/>
      <c r="D135" s="341">
        <f>D123</f>
        <v>700.25</v>
      </c>
      <c r="E135" s="342">
        <f>E123</f>
        <v>0</v>
      </c>
      <c r="F135" s="308">
        <f>VLOOKUP($B135,'Month &amp; Hour Data'!$A:$H,8,FALSE)</f>
        <v>1.1830694304902911</v>
      </c>
      <c r="G135" s="69">
        <f>VLOOKUP($B135,'Month &amp; Hour Data'!$A:$H,4,FALSE)</f>
        <v>31</v>
      </c>
      <c r="H135" s="69">
        <f>'Month &amp; Hour Data'!E134</f>
        <v>0</v>
      </c>
      <c r="I135" s="69">
        <f>VLOOKUP($B135,'Month &amp; Hour Data'!$A:$H,7,FALSE)</f>
        <v>336</v>
      </c>
      <c r="J135" s="538">
        <f>SUM(Customer!C147:I147)</f>
        <v>173218.33962520183</v>
      </c>
      <c r="K135" s="70">
        <f>Population!AE3</f>
        <v>567268.5833333336</v>
      </c>
      <c r="L135" s="70">
        <f t="shared" si="14"/>
        <v>357860723.40366518</v>
      </c>
      <c r="M135" s="70">
        <f t="shared" si="13"/>
        <v>357860723.40366518</v>
      </c>
      <c r="N135" s="330"/>
      <c r="O135" s="353"/>
    </row>
    <row r="136" spans="1:15">
      <c r="A136" s="66">
        <f t="shared" si="12"/>
        <v>2015</v>
      </c>
      <c r="B136" s="67">
        <v>42036</v>
      </c>
      <c r="C136" s="279"/>
      <c r="D136" s="341">
        <f t="shared" ref="D136:E146" si="15">D124</f>
        <v>628.92999999999995</v>
      </c>
      <c r="E136" s="342">
        <f t="shared" si="15"/>
        <v>0</v>
      </c>
      <c r="F136" s="308">
        <f>VLOOKUP($B136,'Month &amp; Hour Data'!$A:$H,8,FALSE)</f>
        <v>1.1855063598129572</v>
      </c>
      <c r="G136" s="69">
        <f>VLOOKUP($B136,'Month &amp; Hour Data'!$A:$H,4,FALSE)</f>
        <v>28</v>
      </c>
      <c r="H136" s="69">
        <f>'Month &amp; Hour Data'!E135</f>
        <v>0</v>
      </c>
      <c r="I136" s="69">
        <f>VLOOKUP($B136,'Month &amp; Hour Data'!$A:$H,7,FALSE)</f>
        <v>304</v>
      </c>
      <c r="J136" s="538">
        <f>SUM(Customer!C148:I148)</f>
        <v>173628.87138694734</v>
      </c>
      <c r="K136" s="70">
        <f>Population!AE4</f>
        <v>568347.16666666698</v>
      </c>
      <c r="L136" s="70">
        <f t="shared" si="14"/>
        <v>331663419.47022384</v>
      </c>
      <c r="M136" s="70">
        <f t="shared" si="13"/>
        <v>331663419.47022384</v>
      </c>
      <c r="N136" s="330"/>
      <c r="O136" s="353"/>
    </row>
    <row r="137" spans="1:15">
      <c r="A137" s="66">
        <f t="shared" si="12"/>
        <v>2015</v>
      </c>
      <c r="B137" s="67">
        <v>42064</v>
      </c>
      <c r="C137" s="279"/>
      <c r="D137" s="341">
        <f t="shared" si="15"/>
        <v>520.29999999999995</v>
      </c>
      <c r="E137" s="342">
        <f t="shared" si="15"/>
        <v>0.02</v>
      </c>
      <c r="F137" s="308">
        <f>VLOOKUP($B137,'Month &amp; Hour Data'!$A:$H,8,FALSE)</f>
        <v>1.187948308811029</v>
      </c>
      <c r="G137" s="69">
        <f>VLOOKUP($B137,'Month &amp; Hour Data'!$A:$H,4,FALSE)</f>
        <v>31</v>
      </c>
      <c r="H137" s="69">
        <f>'Month &amp; Hour Data'!E136</f>
        <v>1</v>
      </c>
      <c r="I137" s="69">
        <f>VLOOKUP($B137,'Month &amp; Hour Data'!$A:$H,7,FALSE)</f>
        <v>352</v>
      </c>
      <c r="J137" s="538">
        <f>SUM(Customer!C149:I149)</f>
        <v>174039.40314869289</v>
      </c>
      <c r="K137" s="70">
        <f>Population!AE5</f>
        <v>569425.75000000035</v>
      </c>
      <c r="L137" s="70">
        <f t="shared" si="14"/>
        <v>346750068.41535562</v>
      </c>
      <c r="M137" s="70">
        <f t="shared" si="13"/>
        <v>346750068.41535562</v>
      </c>
      <c r="N137" s="330"/>
      <c r="O137" s="353"/>
    </row>
    <row r="138" spans="1:15">
      <c r="A138" s="66">
        <f t="shared" si="12"/>
        <v>2015</v>
      </c>
      <c r="B138" s="67">
        <v>42095</v>
      </c>
      <c r="C138" s="279"/>
      <c r="D138" s="341">
        <f t="shared" si="15"/>
        <v>308.53999999999996</v>
      </c>
      <c r="E138" s="342">
        <f t="shared" si="15"/>
        <v>0.12</v>
      </c>
      <c r="F138" s="308">
        <f>VLOOKUP($B138,'Month &amp; Hour Data'!$A:$H,8,FALSE)</f>
        <v>1.1903952878242163</v>
      </c>
      <c r="G138" s="69">
        <f>VLOOKUP($B138,'Month &amp; Hour Data'!$A:$H,4,FALSE)</f>
        <v>30</v>
      </c>
      <c r="H138" s="69">
        <f>'Month &amp; Hour Data'!E137</f>
        <v>1</v>
      </c>
      <c r="I138" s="69">
        <f>VLOOKUP($B138,'Month &amp; Hour Data'!$A:$H,7,FALSE)</f>
        <v>336</v>
      </c>
      <c r="J138" s="538">
        <f>SUM(Customer!C150:I150)</f>
        <v>174449.9349104384</v>
      </c>
      <c r="K138" s="70">
        <f>Population!AE6</f>
        <v>570504.33333333372</v>
      </c>
      <c r="L138" s="70">
        <f t="shared" si="14"/>
        <v>327686447.57933146</v>
      </c>
      <c r="M138" s="70">
        <f t="shared" si="13"/>
        <v>327686447.57933146</v>
      </c>
      <c r="N138" s="330"/>
      <c r="O138" s="353"/>
    </row>
    <row r="139" spans="1:15">
      <c r="A139" s="66">
        <f t="shared" si="12"/>
        <v>2015</v>
      </c>
      <c r="B139" s="67">
        <v>42125</v>
      </c>
      <c r="C139" s="279"/>
      <c r="D139" s="341">
        <f t="shared" si="15"/>
        <v>140.57</v>
      </c>
      <c r="E139" s="342">
        <f t="shared" si="15"/>
        <v>18.57</v>
      </c>
      <c r="F139" s="308">
        <f>VLOOKUP($B139,'Month &amp; Hour Data'!$A:$H,8,FALSE)</f>
        <v>1.1928473072135266</v>
      </c>
      <c r="G139" s="69">
        <f>VLOOKUP($B139,'Month &amp; Hour Data'!$A:$H,4,FALSE)</f>
        <v>31</v>
      </c>
      <c r="H139" s="69">
        <f>'Month &amp; Hour Data'!E138</f>
        <v>1</v>
      </c>
      <c r="I139" s="69">
        <f>VLOOKUP($B139,'Month &amp; Hour Data'!$A:$H,7,FALSE)</f>
        <v>320</v>
      </c>
      <c r="J139" s="538">
        <f>SUM(Customer!C151:I151)</f>
        <v>174860.46667218395</v>
      </c>
      <c r="K139" s="70">
        <f>Population!AE7</f>
        <v>571582.91666666709</v>
      </c>
      <c r="L139" s="70">
        <f t="shared" si="14"/>
        <v>332172004.89242887</v>
      </c>
      <c r="M139" s="70">
        <f t="shared" si="13"/>
        <v>332172004.89242887</v>
      </c>
      <c r="N139" s="330"/>
      <c r="O139" s="353"/>
    </row>
    <row r="140" spans="1:15">
      <c r="A140" s="66">
        <f t="shared" si="12"/>
        <v>2015</v>
      </c>
      <c r="B140" s="67">
        <v>42156</v>
      </c>
      <c r="C140" s="279"/>
      <c r="D140" s="341">
        <f t="shared" si="15"/>
        <v>25.84</v>
      </c>
      <c r="E140" s="342">
        <f t="shared" si="15"/>
        <v>72.819999999999993</v>
      </c>
      <c r="F140" s="308">
        <f>VLOOKUP($B140,'Month &amp; Hour Data'!$A:$H,8,FALSE)</f>
        <v>1.1953043773613092</v>
      </c>
      <c r="G140" s="69">
        <f>VLOOKUP($B140,'Month &amp; Hour Data'!$A:$H,4,FALSE)</f>
        <v>30</v>
      </c>
      <c r="H140" s="69">
        <f>'Month &amp; Hour Data'!E139</f>
        <v>0</v>
      </c>
      <c r="I140" s="69">
        <f>VLOOKUP($B140,'Month &amp; Hour Data'!$A:$H,7,FALSE)</f>
        <v>352</v>
      </c>
      <c r="J140" s="538">
        <f>SUM(Customer!C152:I152)</f>
        <v>175270.99843392946</v>
      </c>
      <c r="K140" s="70">
        <f>Population!AE8</f>
        <v>572661.50000000047</v>
      </c>
      <c r="L140" s="70">
        <f t="shared" si="14"/>
        <v>358364826.32471341</v>
      </c>
      <c r="M140" s="70">
        <f t="shared" si="13"/>
        <v>358364826.32471341</v>
      </c>
      <c r="N140" s="330"/>
      <c r="O140" s="353"/>
    </row>
    <row r="141" spans="1:15">
      <c r="A141" s="66">
        <f t="shared" si="12"/>
        <v>2015</v>
      </c>
      <c r="B141" s="67">
        <v>42186</v>
      </c>
      <c r="C141" s="279"/>
      <c r="D141" s="341">
        <f t="shared" si="15"/>
        <v>1.7200000000000002</v>
      </c>
      <c r="E141" s="342">
        <f t="shared" si="15"/>
        <v>139.54000000000002</v>
      </c>
      <c r="F141" s="308">
        <f>VLOOKUP($B141,'Month &amp; Hour Data'!$A:$H,8,FALSE)</f>
        <v>1.1977665086713001</v>
      </c>
      <c r="G141" s="69">
        <f>VLOOKUP($B141,'Month &amp; Hour Data'!$A:$H,4,FALSE)</f>
        <v>31</v>
      </c>
      <c r="H141" s="69">
        <f>'Month &amp; Hour Data'!E140</f>
        <v>0</v>
      </c>
      <c r="I141" s="69">
        <f>VLOOKUP($B141,'Month &amp; Hour Data'!$A:$H,7,FALSE)</f>
        <v>352</v>
      </c>
      <c r="J141" s="538">
        <f>SUM(Customer!C153:I153)</f>
        <v>175681.53019567498</v>
      </c>
      <c r="K141" s="70">
        <f>Population!AE9</f>
        <v>573740.08333333384</v>
      </c>
      <c r="L141" s="70">
        <f t="shared" si="14"/>
        <v>397248257.15251732</v>
      </c>
      <c r="M141" s="70">
        <f t="shared" si="13"/>
        <v>397248257.15251732</v>
      </c>
      <c r="N141" s="330"/>
      <c r="O141" s="353"/>
    </row>
    <row r="142" spans="1:15">
      <c r="A142" s="66">
        <f t="shared" si="12"/>
        <v>2015</v>
      </c>
      <c r="B142" s="67">
        <v>42217</v>
      </c>
      <c r="C142" s="279"/>
      <c r="D142" s="341">
        <f t="shared" si="15"/>
        <v>5.3599999999999994</v>
      </c>
      <c r="E142" s="342">
        <f t="shared" si="15"/>
        <v>106.42000000000002</v>
      </c>
      <c r="F142" s="308">
        <f>VLOOKUP($B142,'Month &amp; Hour Data'!$A:$H,8,FALSE)</f>
        <v>1.2002337115686641</v>
      </c>
      <c r="G142" s="69">
        <f>VLOOKUP($B142,'Month &amp; Hour Data'!$A:$H,4,FALSE)</f>
        <v>31</v>
      </c>
      <c r="H142" s="69">
        <f>'Month &amp; Hour Data'!E141</f>
        <v>0</v>
      </c>
      <c r="I142" s="69">
        <f>VLOOKUP($B142,'Month &amp; Hour Data'!$A:$H,7,FALSE)</f>
        <v>320</v>
      </c>
      <c r="J142" s="538">
        <f>SUM(Customer!C154:I154)</f>
        <v>176092.06195742052</v>
      </c>
      <c r="K142" s="70">
        <f>Population!AE10</f>
        <v>574818.66666666721</v>
      </c>
      <c r="L142" s="70">
        <f t="shared" si="14"/>
        <v>376399298.77848208</v>
      </c>
      <c r="M142" s="70">
        <f t="shared" si="13"/>
        <v>376399298.77848208</v>
      </c>
      <c r="N142" s="330"/>
      <c r="O142" s="353"/>
    </row>
    <row r="143" spans="1:15">
      <c r="A143" s="66">
        <f t="shared" si="12"/>
        <v>2015</v>
      </c>
      <c r="B143" s="67">
        <v>42248</v>
      </c>
      <c r="C143" s="279"/>
      <c r="D143" s="341">
        <f t="shared" si="15"/>
        <v>58.56</v>
      </c>
      <c r="E143" s="342">
        <f t="shared" si="15"/>
        <v>33.610000000000007</v>
      </c>
      <c r="F143" s="308">
        <f>VLOOKUP($B143,'Month &amp; Hour Data'!$A:$H,8,FALSE)</f>
        <v>1.2027059965000411</v>
      </c>
      <c r="G143" s="69">
        <f>VLOOKUP($B143,'Month &amp; Hour Data'!$A:$H,4,FALSE)</f>
        <v>30</v>
      </c>
      <c r="H143" s="69">
        <f>'Month &amp; Hour Data'!E142</f>
        <v>1</v>
      </c>
      <c r="I143" s="69">
        <f>VLOOKUP($B143,'Month &amp; Hour Data'!$A:$H,7,FALSE)</f>
        <v>336</v>
      </c>
      <c r="J143" s="538">
        <f>SUM(Customer!C155:I155)</f>
        <v>176502.59371916606</v>
      </c>
      <c r="K143" s="70">
        <f>Population!AE11</f>
        <v>575897.25000000058</v>
      </c>
      <c r="L143" s="70">
        <f t="shared" si="14"/>
        <v>334428549.06478339</v>
      </c>
      <c r="M143" s="70">
        <f t="shared" si="13"/>
        <v>334428549.06478339</v>
      </c>
      <c r="N143" s="330"/>
      <c r="O143" s="353"/>
    </row>
    <row r="144" spans="1:15">
      <c r="A144" s="66">
        <f t="shared" si="12"/>
        <v>2015</v>
      </c>
      <c r="B144" s="67">
        <v>42278</v>
      </c>
      <c r="C144" s="279"/>
      <c r="D144" s="341">
        <f t="shared" si="15"/>
        <v>238.26999999999998</v>
      </c>
      <c r="E144" s="342">
        <f t="shared" si="15"/>
        <v>3.35</v>
      </c>
      <c r="F144" s="308">
        <f>VLOOKUP($B144,'Month &amp; Hour Data'!$A:$H,8,FALSE)</f>
        <v>1.2051833739335891</v>
      </c>
      <c r="G144" s="69">
        <f>VLOOKUP($B144,'Month &amp; Hour Data'!$A:$H,4,FALSE)</f>
        <v>31</v>
      </c>
      <c r="H144" s="69">
        <f>'Month &amp; Hour Data'!E143</f>
        <v>1</v>
      </c>
      <c r="I144" s="69">
        <f>VLOOKUP($B144,'Month &amp; Hour Data'!$A:$H,7,FALSE)</f>
        <v>336</v>
      </c>
      <c r="J144" s="538">
        <f>SUM(Customer!C156:I156)</f>
        <v>176913.12548091158</v>
      </c>
      <c r="K144" s="70">
        <f>Population!AE12</f>
        <v>576975.83333333395</v>
      </c>
      <c r="L144" s="70">
        <f t="shared" si="14"/>
        <v>335386482.44646096</v>
      </c>
      <c r="M144" s="70">
        <f t="shared" si="13"/>
        <v>335386482.44646096</v>
      </c>
      <c r="N144" s="330"/>
      <c r="O144" s="353"/>
    </row>
    <row r="145" spans="1:15">
      <c r="A145" s="66">
        <f t="shared" si="12"/>
        <v>2015</v>
      </c>
      <c r="B145" s="67">
        <v>42309</v>
      </c>
      <c r="C145" s="279"/>
      <c r="D145" s="341">
        <f t="shared" si="15"/>
        <v>408.47</v>
      </c>
      <c r="E145" s="342">
        <f t="shared" si="15"/>
        <v>0</v>
      </c>
      <c r="F145" s="308">
        <f>VLOOKUP($B145,'Month &amp; Hour Data'!$A:$H,8,FALSE)</f>
        <v>1.2076658543590291</v>
      </c>
      <c r="G145" s="69">
        <f>VLOOKUP($B145,'Month &amp; Hour Data'!$A:$H,4,FALSE)</f>
        <v>30</v>
      </c>
      <c r="H145" s="69">
        <f>'Month &amp; Hour Data'!E144</f>
        <v>1</v>
      </c>
      <c r="I145" s="69">
        <f>VLOOKUP($B145,'Month &amp; Hour Data'!$A:$H,7,FALSE)</f>
        <v>336</v>
      </c>
      <c r="J145" s="538">
        <f>SUM(Customer!C157:I157)</f>
        <v>177323.65724265709</v>
      </c>
      <c r="K145" s="70">
        <f>Population!AE13</f>
        <v>578054.41666666733</v>
      </c>
      <c r="L145" s="70">
        <f t="shared" si="14"/>
        <v>337357613.67787224</v>
      </c>
      <c r="M145" s="70">
        <f t="shared" si="13"/>
        <v>337357613.67787224</v>
      </c>
      <c r="N145" s="330"/>
      <c r="O145" s="353"/>
    </row>
    <row r="146" spans="1:15" ht="13.8" thickBot="1">
      <c r="A146" s="66">
        <f t="shared" si="12"/>
        <v>2015</v>
      </c>
      <c r="B146" s="67">
        <v>42339</v>
      </c>
      <c r="C146" s="279"/>
      <c r="D146" s="341">
        <f t="shared" si="15"/>
        <v>615.7199999999998</v>
      </c>
      <c r="E146" s="342">
        <f t="shared" si="15"/>
        <v>0</v>
      </c>
      <c r="F146" s="308">
        <f>VLOOKUP($B146,'Month &amp; Hour Data'!$A:$H,8,FALSE)</f>
        <v>1.2101534482876883</v>
      </c>
      <c r="G146" s="69">
        <f>VLOOKUP($B146,'Month &amp; Hour Data'!$A:$H,4,FALSE)</f>
        <v>31</v>
      </c>
      <c r="H146" s="69">
        <f>'Month &amp; Hour Data'!E145</f>
        <v>0</v>
      </c>
      <c r="I146" s="69">
        <f>VLOOKUP($B146,'Month &amp; Hour Data'!$A:$H,7,FALSE)</f>
        <v>352</v>
      </c>
      <c r="J146" s="538">
        <f>SUM(Customer!C158:I158)</f>
        <v>177734.18900440264</v>
      </c>
      <c r="K146" s="70">
        <f>Population!AE14</f>
        <v>579133.0000000007</v>
      </c>
      <c r="L146" s="70">
        <f>$E$187+(D146*$E$188)+(E146*$E$189)+(F146*$E$190)+(G146*$E$191)+(H146*$E$192)+(I146*$E$193)+(J146*$E$194)+(K146*$E$195)</f>
        <v>362851967.05174649</v>
      </c>
      <c r="M146" s="70">
        <f t="shared" si="13"/>
        <v>362851967.05174649</v>
      </c>
      <c r="N146" s="330"/>
      <c r="O146" s="732"/>
    </row>
    <row r="147" spans="1:15" ht="13.8" thickBot="1">
      <c r="B147" s="75"/>
      <c r="D147" s="936" t="s">
        <v>36</v>
      </c>
      <c r="E147" s="937"/>
      <c r="G147" s="69"/>
    </row>
    <row r="148" spans="1:15" ht="13.8" thickBot="1">
      <c r="B148" s="75"/>
      <c r="D148" s="313"/>
      <c r="E148" s="313"/>
      <c r="G148" s="70"/>
      <c r="I148" s="314"/>
      <c r="J148" s="314"/>
      <c r="K148" s="314"/>
      <c r="L148" s="314"/>
    </row>
    <row r="149" spans="1:15" ht="18.75" customHeight="1">
      <c r="B149" s="315"/>
      <c r="C149" s="324" t="s">
        <v>129</v>
      </c>
      <c r="D149" s="316" t="s">
        <v>130</v>
      </c>
      <c r="E149" s="316" t="s">
        <v>131</v>
      </c>
      <c r="F149" s="317" t="s">
        <v>132</v>
      </c>
      <c r="G149" s="325"/>
      <c r="H149" s="313"/>
      <c r="I149" s="508"/>
      <c r="J149" s="508"/>
    </row>
    <row r="150" spans="1:15">
      <c r="B150" s="318">
        <v>2001</v>
      </c>
      <c r="C150" s="294"/>
      <c r="D150" s="294"/>
      <c r="E150" s="319"/>
      <c r="F150" s="320"/>
      <c r="G150" s="312"/>
      <c r="H150" s="294"/>
      <c r="I150" s="508"/>
      <c r="J150" s="508"/>
      <c r="L150" s="72"/>
      <c r="M150" s="321"/>
      <c r="N150" s="322"/>
      <c r="O150" s="731"/>
    </row>
    <row r="151" spans="1:15">
      <c r="B151" s="306">
        <v>2002</v>
      </c>
      <c r="C151" s="294"/>
      <c r="D151" s="294"/>
      <c r="E151" s="319"/>
      <c r="F151" s="320"/>
      <c r="G151" s="294"/>
      <c r="H151" s="294"/>
      <c r="I151" s="508"/>
      <c r="J151" s="508"/>
      <c r="L151" s="65"/>
      <c r="M151" s="321"/>
      <c r="N151" s="322"/>
      <c r="O151" s="731"/>
    </row>
    <row r="152" spans="1:15">
      <c r="B152" s="318">
        <v>2003</v>
      </c>
      <c r="C152" s="294"/>
      <c r="D152" s="294"/>
      <c r="E152" s="319"/>
      <c r="F152" s="320"/>
      <c r="G152" s="294"/>
      <c r="H152" s="294"/>
      <c r="I152" s="508"/>
      <c r="J152" s="508"/>
      <c r="L152" s="314"/>
      <c r="M152" s="321"/>
      <c r="N152" s="322"/>
      <c r="O152" s="731"/>
    </row>
    <row r="153" spans="1:15">
      <c r="B153" s="306">
        <v>2004</v>
      </c>
      <c r="C153" s="294">
        <f>SUM(C3:C14)</f>
        <v>3606734354.93256</v>
      </c>
      <c r="D153" s="294">
        <f>SUM(L3:L14)</f>
        <v>3621404154.1197104</v>
      </c>
      <c r="E153" s="319">
        <f>C153-D153</f>
        <v>-14669799.187150478</v>
      </c>
      <c r="F153" s="320">
        <f t="shared" ref="F153:F162" si="16">E153/C153</f>
        <v>-4.0673356403662228E-3</v>
      </c>
      <c r="G153" s="294"/>
      <c r="H153" s="294"/>
      <c r="I153" s="72"/>
      <c r="J153" s="72"/>
      <c r="L153" s="65"/>
      <c r="M153" s="321"/>
      <c r="N153" s="322"/>
      <c r="O153" s="731"/>
    </row>
    <row r="154" spans="1:15">
      <c r="B154" s="318">
        <v>2005</v>
      </c>
      <c r="C154" s="294">
        <f>SUM(C15:C26)</f>
        <v>3848828345.2662396</v>
      </c>
      <c r="D154" s="294">
        <f>SUM(L15:L26)</f>
        <v>3845675427.0875483</v>
      </c>
      <c r="E154" s="319">
        <f t="shared" ref="E154:E162" si="17">C154-D154</f>
        <v>3152918.1786913872</v>
      </c>
      <c r="F154" s="320">
        <f t="shared" si="16"/>
        <v>8.1918908713329137E-4</v>
      </c>
      <c r="G154" s="294"/>
      <c r="H154" s="294"/>
      <c r="I154" s="72"/>
      <c r="J154" s="72"/>
      <c r="L154" s="65"/>
      <c r="M154" s="321"/>
      <c r="N154" s="322"/>
      <c r="O154" s="731"/>
    </row>
    <row r="155" spans="1:15">
      <c r="B155" s="306">
        <v>2006</v>
      </c>
      <c r="C155" s="294">
        <f>SUM(C27:C38)</f>
        <v>3854274113.7203932</v>
      </c>
      <c r="D155" s="294">
        <f>SUM(L27:L38)</f>
        <v>3834703075.1674857</v>
      </c>
      <c r="E155" s="319">
        <f t="shared" si="17"/>
        <v>19571038.552907467</v>
      </c>
      <c r="F155" s="320">
        <f t="shared" si="16"/>
        <v>5.0777495257119222E-3</v>
      </c>
      <c r="G155" s="294"/>
      <c r="H155" s="294"/>
      <c r="I155" s="72"/>
      <c r="J155" s="72"/>
      <c r="L155" s="65"/>
      <c r="M155" s="321"/>
      <c r="N155" s="322"/>
      <c r="O155" s="731"/>
    </row>
    <row r="156" spans="1:15">
      <c r="B156" s="318">
        <v>2007</v>
      </c>
      <c r="C156" s="294">
        <f>SUM(C39:C50)</f>
        <v>3958591767.6645598</v>
      </c>
      <c r="D156" s="294">
        <f>SUM(L39:L50)</f>
        <v>3956831657.2480478</v>
      </c>
      <c r="E156" s="319">
        <f t="shared" si="17"/>
        <v>1760110.4165120125</v>
      </c>
      <c r="F156" s="320">
        <f t="shared" si="16"/>
        <v>4.4463044431338779E-4</v>
      </c>
      <c r="G156" s="294"/>
      <c r="H156" s="294"/>
      <c r="I156" s="72"/>
      <c r="J156" s="72"/>
      <c r="L156" s="65"/>
      <c r="M156" s="321"/>
      <c r="N156" s="322"/>
      <c r="O156" s="731"/>
    </row>
    <row r="157" spans="1:15">
      <c r="B157" s="306">
        <v>2008</v>
      </c>
      <c r="C157" s="294">
        <f>SUM(C51:C62)</f>
        <v>3915443564.4390407</v>
      </c>
      <c r="D157" s="294">
        <f>SUM(L51:L62)</f>
        <v>3891300922.9696259</v>
      </c>
      <c r="E157" s="319">
        <f t="shared" si="17"/>
        <v>24142641.469414711</v>
      </c>
      <c r="F157" s="320">
        <f t="shared" si="16"/>
        <v>6.166004201588738E-3</v>
      </c>
      <c r="G157" s="294"/>
      <c r="H157" s="294"/>
      <c r="I157" s="72"/>
      <c r="J157" s="72"/>
      <c r="L157" s="65"/>
      <c r="M157" s="321"/>
      <c r="N157" s="322"/>
      <c r="O157" s="731"/>
    </row>
    <row r="158" spans="1:15">
      <c r="B158" s="318">
        <v>2009</v>
      </c>
      <c r="C158" s="294">
        <f>SUM(C63:C74)</f>
        <v>3727941968.3974199</v>
      </c>
      <c r="D158" s="294">
        <f>SUM(L63:L74)</f>
        <v>3774706500.8813677</v>
      </c>
      <c r="E158" s="319">
        <f t="shared" si="17"/>
        <v>-46764532.483947754</v>
      </c>
      <c r="F158" s="320">
        <f t="shared" si="16"/>
        <v>-1.2544329520250298E-2</v>
      </c>
      <c r="G158" s="294"/>
      <c r="H158" s="294"/>
      <c r="I158" s="72"/>
      <c r="J158" s="72"/>
      <c r="L158" s="65"/>
    </row>
    <row r="159" spans="1:15">
      <c r="B159" s="306">
        <v>2010</v>
      </c>
      <c r="C159" s="294">
        <f>SUM(C75:C86)</f>
        <v>3911054142.4477</v>
      </c>
      <c r="D159" s="294">
        <f>SUM(L75:L86)</f>
        <v>3887162269.5131435</v>
      </c>
      <c r="E159" s="319">
        <f t="shared" si="17"/>
        <v>23891872.934556484</v>
      </c>
      <c r="F159" s="320">
        <f t="shared" si="16"/>
        <v>6.1088064916442085E-3</v>
      </c>
      <c r="G159" s="294"/>
      <c r="H159" s="294"/>
      <c r="I159" s="72"/>
      <c r="J159" s="72"/>
      <c r="L159" s="509"/>
    </row>
    <row r="160" spans="1:15">
      <c r="B160" s="306">
        <v>2011</v>
      </c>
      <c r="C160" s="294">
        <f>SUM(C87:C98)</f>
        <v>3968502599.952116</v>
      </c>
      <c r="D160" s="294">
        <f>SUM(L87:L98)</f>
        <v>3970627522.2804565</v>
      </c>
      <c r="E160" s="319">
        <f t="shared" si="17"/>
        <v>-2124922.3283405304</v>
      </c>
      <c r="F160" s="320">
        <f t="shared" si="16"/>
        <v>-5.3544687821703075E-4</v>
      </c>
      <c r="G160" s="294"/>
      <c r="H160" s="294"/>
      <c r="I160" s="72"/>
      <c r="J160" s="72"/>
      <c r="L160" s="65"/>
    </row>
    <row r="161" spans="2:14">
      <c r="B161" s="306">
        <v>2012</v>
      </c>
      <c r="C161" s="294">
        <f>SUM(C99:C110)</f>
        <v>4043243028.6422305</v>
      </c>
      <c r="D161" s="294">
        <f>SUM(L99:L110)</f>
        <v>4042451778.8887029</v>
      </c>
      <c r="E161" s="319">
        <f t="shared" si="17"/>
        <v>791249.7535276413</v>
      </c>
      <c r="F161" s="320">
        <f t="shared" si="16"/>
        <v>1.9569680771658993E-4</v>
      </c>
      <c r="G161" s="294"/>
      <c r="H161" s="294"/>
      <c r="I161" s="72"/>
      <c r="J161" s="72"/>
      <c r="L161" s="65"/>
    </row>
    <row r="162" spans="2:14">
      <c r="B162" s="306">
        <v>2013</v>
      </c>
      <c r="C162" s="294">
        <f>SUM(C111:C122)</f>
        <v>4027156664.1062088</v>
      </c>
      <c r="D162" s="294">
        <f>SUM(L111:L122)</f>
        <v>4036907241.4123993</v>
      </c>
      <c r="E162" s="319">
        <f t="shared" si="17"/>
        <v>-9750577.3061904907</v>
      </c>
      <c r="F162" s="320">
        <f t="shared" si="16"/>
        <v>-2.4212063546215539E-3</v>
      </c>
      <c r="G162" s="294"/>
      <c r="H162" s="294"/>
      <c r="I162" s="72"/>
      <c r="J162" s="72"/>
      <c r="L162" s="65"/>
    </row>
    <row r="163" spans="2:14">
      <c r="B163" s="306">
        <v>2014</v>
      </c>
      <c r="C163" s="294"/>
      <c r="D163" s="294">
        <f>SUMIF($A$3:$A$146,B163,$L$3:$L$146)</f>
        <v>4109930414.9047041</v>
      </c>
      <c r="E163" s="319"/>
      <c r="F163" s="320"/>
      <c r="G163" s="325"/>
      <c r="H163" s="326"/>
      <c r="I163" s="72"/>
      <c r="J163" s="72"/>
      <c r="L163" s="65"/>
    </row>
    <row r="164" spans="2:14">
      <c r="B164" s="306">
        <v>2015</v>
      </c>
      <c r="C164" s="294"/>
      <c r="D164" s="294">
        <f>SUMIF($A$3:$A$146,B164,$L$3:$L$146)</f>
        <v>4198169658.2575803</v>
      </c>
      <c r="E164" s="319"/>
      <c r="F164" s="320"/>
      <c r="G164" s="325"/>
      <c r="H164" s="326"/>
      <c r="I164" s="72"/>
      <c r="J164" s="72"/>
      <c r="L164" s="65"/>
    </row>
    <row r="165" spans="2:14" ht="13.8" thickBot="1">
      <c r="B165" s="727"/>
      <c r="C165" s="467"/>
      <c r="D165" s="468"/>
      <c r="E165" s="469"/>
      <c r="F165" s="470"/>
      <c r="G165" s="325"/>
      <c r="H165" s="326"/>
      <c r="L165" s="65"/>
    </row>
    <row r="166" spans="2:14">
      <c r="B166" s="124"/>
      <c r="C166" s="294"/>
      <c r="D166" s="358"/>
      <c r="E166" s="319"/>
      <c r="F166" s="403"/>
      <c r="G166" s="325"/>
      <c r="H166" s="326"/>
      <c r="L166" s="65"/>
    </row>
    <row r="167" spans="2:14" ht="13.8" thickBot="1">
      <c r="D167" s="358"/>
      <c r="G167" s="312"/>
      <c r="H167" s="528"/>
      <c r="K167" s="314"/>
      <c r="L167" s="65"/>
    </row>
    <row r="168" spans="2:14" ht="16.2" thickBot="1">
      <c r="B168" s="327" t="s">
        <v>65</v>
      </c>
      <c r="C168" s="328">
        <f>SUM(C2:C122)</f>
        <v>38861770549.568489</v>
      </c>
      <c r="D168" s="329">
        <f>SUM(L2:L122)</f>
        <v>38861770549.568504</v>
      </c>
      <c r="E168" s="826">
        <f>C168-D168</f>
        <v>0</v>
      </c>
      <c r="G168" s="511"/>
      <c r="H168" s="511"/>
      <c r="L168" s="65"/>
      <c r="M168" s="65"/>
    </row>
    <row r="169" spans="2:14" ht="15.6">
      <c r="G169" s="511"/>
      <c r="H169" s="528"/>
    </row>
    <row r="170" spans="2:14">
      <c r="D170" s="65"/>
      <c r="G170" s="394"/>
      <c r="H170" s="508"/>
      <c r="L170" s="65"/>
      <c r="M170" s="314"/>
    </row>
    <row r="171" spans="2:14" ht="15.75" customHeight="1">
      <c r="B171" s="939" t="s">
        <v>106</v>
      </c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 s="939"/>
      <c r="N171" s="939"/>
    </row>
    <row r="172" spans="2:14" ht="13.8" thickBot="1">
      <c r="D172"/>
      <c r="E172"/>
      <c r="F172"/>
      <c r="G172"/>
      <c r="H172"/>
      <c r="I172"/>
      <c r="J172"/>
      <c r="K172"/>
      <c r="L172"/>
    </row>
    <row r="173" spans="2:14">
      <c r="D173" s="309" t="s">
        <v>107</v>
      </c>
      <c r="E173" s="309"/>
      <c r="F173"/>
      <c r="G173"/>
      <c r="H173"/>
      <c r="I173"/>
      <c r="J173"/>
      <c r="K173"/>
      <c r="L173"/>
    </row>
    <row r="174" spans="2:14">
      <c r="D174" s="310" t="s">
        <v>108</v>
      </c>
      <c r="E174" s="498">
        <v>0.97402018996747131</v>
      </c>
      <c r="F174"/>
      <c r="G174"/>
      <c r="H174"/>
      <c r="I174"/>
      <c r="J174"/>
      <c r="K174"/>
      <c r="L174"/>
    </row>
    <row r="175" spans="2:14">
      <c r="D175" s="310" t="s">
        <v>109</v>
      </c>
      <c r="E175" s="498">
        <v>0.94871533046426892</v>
      </c>
      <c r="F175"/>
      <c r="G175"/>
      <c r="H175"/>
      <c r="I175"/>
      <c r="J175"/>
      <c r="K175"/>
      <c r="L175"/>
    </row>
    <row r="176" spans="2:14">
      <c r="C176" s="512"/>
      <c r="D176" s="310" t="s">
        <v>110</v>
      </c>
      <c r="E176" s="498">
        <v>0.94501913806529736</v>
      </c>
      <c r="F176"/>
      <c r="G176"/>
      <c r="H176"/>
      <c r="I176"/>
      <c r="J176"/>
      <c r="K176"/>
      <c r="L176"/>
    </row>
    <row r="177" spans="4:12">
      <c r="D177" s="310" t="s">
        <v>111</v>
      </c>
      <c r="E177" s="657">
        <v>5857326.9046098879</v>
      </c>
      <c r="F177"/>
      <c r="G177"/>
      <c r="H177"/>
      <c r="I177"/>
      <c r="J177"/>
      <c r="K177"/>
      <c r="L177"/>
    </row>
    <row r="178" spans="4:12" ht="13.8" thickBot="1">
      <c r="D178" s="421" t="s">
        <v>112</v>
      </c>
      <c r="E178" s="421">
        <v>120</v>
      </c>
      <c r="F178"/>
      <c r="G178"/>
      <c r="H178"/>
      <c r="I178"/>
      <c r="J178"/>
      <c r="K178"/>
      <c r="L178"/>
    </row>
    <row r="179" spans="4:12">
      <c r="D179"/>
      <c r="E179"/>
      <c r="F179"/>
      <c r="G179"/>
      <c r="H179"/>
      <c r="I179"/>
      <c r="J179"/>
      <c r="K179"/>
      <c r="L179"/>
    </row>
    <row r="180" spans="4:12" ht="13.8" thickBot="1">
      <c r="D180" t="s">
        <v>113</v>
      </c>
      <c r="E180"/>
      <c r="F180"/>
      <c r="G180"/>
      <c r="H180"/>
      <c r="I180"/>
      <c r="J180"/>
      <c r="K180"/>
      <c r="L180"/>
    </row>
    <row r="181" spans="4:12">
      <c r="D181" s="311"/>
      <c r="E181" s="311" t="s">
        <v>114</v>
      </c>
      <c r="F181" s="311" t="s">
        <v>115</v>
      </c>
      <c r="G181" s="311" t="s">
        <v>116</v>
      </c>
      <c r="H181" s="311" t="s">
        <v>117</v>
      </c>
      <c r="I181" s="311" t="s">
        <v>118</v>
      </c>
      <c r="J181"/>
      <c r="K181"/>
      <c r="L181"/>
    </row>
    <row r="182" spans="4:12">
      <c r="D182" s="310" t="s">
        <v>119</v>
      </c>
      <c r="E182" s="310">
        <v>8</v>
      </c>
      <c r="F182" s="310">
        <v>7.0448258598181288E+16</v>
      </c>
      <c r="G182" s="310">
        <v>8806032324772661</v>
      </c>
      <c r="H182" s="657">
        <v>256.67368688064784</v>
      </c>
      <c r="I182" s="658">
        <v>6.8815365630462151E-68</v>
      </c>
      <c r="J182"/>
      <c r="K182"/>
      <c r="L182"/>
    </row>
    <row r="183" spans="4:12">
      <c r="D183" s="310" t="s">
        <v>120</v>
      </c>
      <c r="E183" s="310">
        <v>111</v>
      </c>
      <c r="F183" s="310">
        <v>3808218909888821</v>
      </c>
      <c r="G183" s="310">
        <v>34308278467466.855</v>
      </c>
      <c r="H183" s="310"/>
      <c r="I183" s="310"/>
      <c r="J183"/>
      <c r="K183"/>
      <c r="L183"/>
    </row>
    <row r="184" spans="4:12" ht="13.8" thickBot="1">
      <c r="D184" s="421" t="s">
        <v>65</v>
      </c>
      <c r="E184" s="421">
        <v>119</v>
      </c>
      <c r="F184" s="421">
        <v>7.4256477508070112E+16</v>
      </c>
      <c r="G184" s="421"/>
      <c r="H184" s="421"/>
      <c r="I184" s="421"/>
      <c r="J184"/>
      <c r="K184"/>
      <c r="L184"/>
    </row>
    <row r="185" spans="4:12" ht="13.8" thickBot="1">
      <c r="D185"/>
      <c r="E185"/>
      <c r="F185"/>
      <c r="G185"/>
      <c r="H185"/>
      <c r="I185"/>
      <c r="J185"/>
      <c r="K185"/>
      <c r="L185"/>
    </row>
    <row r="186" spans="4:12">
      <c r="D186" s="311"/>
      <c r="E186" s="311" t="s">
        <v>121</v>
      </c>
      <c r="F186" s="311" t="s">
        <v>111</v>
      </c>
      <c r="G186" s="311" t="s">
        <v>122</v>
      </c>
      <c r="H186" s="311" t="s">
        <v>123</v>
      </c>
      <c r="I186" s="311" t="s">
        <v>124</v>
      </c>
      <c r="J186" s="311" t="s">
        <v>125</v>
      </c>
      <c r="K186" s="311" t="s">
        <v>126</v>
      </c>
      <c r="L186" s="311" t="s">
        <v>127</v>
      </c>
    </row>
    <row r="187" spans="4:12">
      <c r="D187" s="310" t="s">
        <v>128</v>
      </c>
      <c r="E187" s="721">
        <v>-235145121.56732211</v>
      </c>
      <c r="F187" s="721">
        <v>37496163.216691114</v>
      </c>
      <c r="G187" s="658">
        <v>-6.2711782058450494</v>
      </c>
      <c r="H187" s="658">
        <v>7.0628956417075391E-9</v>
      </c>
      <c r="I187" s="721">
        <v>-309446269.80572885</v>
      </c>
      <c r="J187" s="721">
        <v>-160843973.32891536</v>
      </c>
      <c r="K187" s="310">
        <v>-309446269.80572885</v>
      </c>
      <c r="L187" s="310">
        <v>-160843973.32891536</v>
      </c>
    </row>
    <row r="188" spans="4:12">
      <c r="D188" s="310" t="s">
        <v>29</v>
      </c>
      <c r="E188" s="721">
        <v>52993.531260994961</v>
      </c>
      <c r="F188" s="721">
        <v>3604.3321893104171</v>
      </c>
      <c r="G188" s="658">
        <v>14.702732289260418</v>
      </c>
      <c r="H188" s="658">
        <v>8.1622533824098697E-28</v>
      </c>
      <c r="I188" s="721">
        <v>45851.306635217712</v>
      </c>
      <c r="J188" s="721">
        <v>60135.755886772211</v>
      </c>
      <c r="K188" s="310">
        <v>45851.306635217712</v>
      </c>
      <c r="L188" s="310">
        <v>60135.755886772211</v>
      </c>
    </row>
    <row r="189" spans="4:12">
      <c r="D189" s="310" t="s">
        <v>30</v>
      </c>
      <c r="E189" s="721">
        <v>502491.74911120621</v>
      </c>
      <c r="F189" s="721">
        <v>20823.225721631552</v>
      </c>
      <c r="G189" s="658">
        <v>24.131311633874692</v>
      </c>
      <c r="H189" s="658">
        <v>5.7418686076978199E-46</v>
      </c>
      <c r="I189" s="721">
        <v>461229.13852879783</v>
      </c>
      <c r="J189" s="721">
        <v>543754.35969361453</v>
      </c>
      <c r="K189" s="310">
        <v>461229.13852879783</v>
      </c>
      <c r="L189" s="310">
        <v>543754.35969361453</v>
      </c>
    </row>
    <row r="190" spans="4:12">
      <c r="D190" s="310" t="s">
        <v>102</v>
      </c>
      <c r="E190" s="721">
        <v>293904593.71580046</v>
      </c>
      <c r="F190" s="721">
        <v>61943324.423573405</v>
      </c>
      <c r="G190" s="658">
        <v>4.7447339394646848</v>
      </c>
      <c r="H190" s="658">
        <v>6.2597081655124992E-6</v>
      </c>
      <c r="I190" s="721">
        <v>171159765.03085113</v>
      </c>
      <c r="J190" s="721">
        <v>416649422.4007498</v>
      </c>
      <c r="K190" s="310">
        <v>171159765.03085113</v>
      </c>
      <c r="L190" s="310">
        <v>416649422.4007498</v>
      </c>
    </row>
    <row r="191" spans="4:12">
      <c r="D191" s="310" t="s">
        <v>31</v>
      </c>
      <c r="E191" s="721">
        <v>6003193.2146577444</v>
      </c>
      <c r="F191" s="721">
        <v>737303.21107316774</v>
      </c>
      <c r="G191" s="658">
        <v>8.1420955781813422</v>
      </c>
      <c r="H191" s="658">
        <v>6.28982353708568E-13</v>
      </c>
      <c r="I191" s="721">
        <v>4542177.7271260824</v>
      </c>
      <c r="J191" s="721">
        <v>7464208.7021894064</v>
      </c>
      <c r="K191" s="310">
        <v>4542177.7271260824</v>
      </c>
      <c r="L191" s="310">
        <v>7464208.7021894064</v>
      </c>
    </row>
    <row r="192" spans="4:12">
      <c r="D192" s="310" t="s">
        <v>32</v>
      </c>
      <c r="E192" s="721">
        <v>-5352069.7650439292</v>
      </c>
      <c r="F192" s="721">
        <v>1523558.2481554386</v>
      </c>
      <c r="G192" s="658">
        <v>-3.5128750551701211</v>
      </c>
      <c r="H192" s="658">
        <v>6.4231779578349736E-4</v>
      </c>
      <c r="I192" s="721">
        <v>-8371102.0482097315</v>
      </c>
      <c r="J192" s="721">
        <v>-2333037.481878127</v>
      </c>
      <c r="K192" s="310">
        <v>-8371102.0482097315</v>
      </c>
      <c r="L192" s="310">
        <v>-2333037.481878127</v>
      </c>
    </row>
    <row r="193" spans="3:23">
      <c r="D193" s="310" t="s">
        <v>34</v>
      </c>
      <c r="E193" s="721">
        <v>157281.58582969193</v>
      </c>
      <c r="F193" s="721">
        <v>33500.457216926705</v>
      </c>
      <c r="G193" s="658">
        <v>4.6949086339700044</v>
      </c>
      <c r="H193" s="658">
        <v>7.675308804357626E-6</v>
      </c>
      <c r="I193" s="721">
        <v>90898.195525340416</v>
      </c>
      <c r="J193" s="721">
        <v>223664.97613404345</v>
      </c>
      <c r="K193" s="310">
        <v>90898.195525340416</v>
      </c>
      <c r="L193" s="310">
        <v>223664.97613404345</v>
      </c>
    </row>
    <row r="194" spans="3:23">
      <c r="D194" s="310" t="s">
        <v>194</v>
      </c>
      <c r="E194" s="721">
        <v>-405.9757843297138</v>
      </c>
      <c r="F194" s="721">
        <v>657.72184796504143</v>
      </c>
      <c r="G194" s="658">
        <v>-0.61724539877424267</v>
      </c>
      <c r="H194" s="658">
        <v>0.53833700288548303</v>
      </c>
      <c r="I194" s="721">
        <v>-1709.295493145562</v>
      </c>
      <c r="J194" s="721">
        <v>897.34392448613426</v>
      </c>
      <c r="K194" s="310">
        <v>-1709.295493145562</v>
      </c>
      <c r="L194" s="310">
        <v>897.34392448613426</v>
      </c>
    </row>
    <row r="195" spans="3:23" ht="13.8" thickBot="1">
      <c r="D195" s="421" t="s">
        <v>16</v>
      </c>
      <c r="E195" s="722">
        <v>69.745503908613586</v>
      </c>
      <c r="F195" s="722">
        <v>120.14374430627674</v>
      </c>
      <c r="G195" s="714">
        <v>0.58051714894796924</v>
      </c>
      <c r="H195" s="714">
        <v>0.5627426267741833</v>
      </c>
      <c r="I195" s="722">
        <v>-168.32733847874314</v>
      </c>
      <c r="J195" s="722">
        <v>307.81834629597029</v>
      </c>
      <c r="K195" s="421">
        <v>-168.32733847874314</v>
      </c>
      <c r="L195" s="421">
        <v>307.81834629597029</v>
      </c>
    </row>
    <row r="196" spans="3:23">
      <c r="D196"/>
      <c r="E196"/>
      <c r="F196"/>
      <c r="G196"/>
      <c r="H196"/>
      <c r="I196"/>
      <c r="J196"/>
      <c r="K196"/>
      <c r="L196"/>
    </row>
    <row r="197" spans="3:23">
      <c r="D197"/>
      <c r="E197"/>
      <c r="F197"/>
      <c r="G197"/>
      <c r="H197"/>
      <c r="I197"/>
      <c r="J197"/>
      <c r="K197"/>
      <c r="L197"/>
    </row>
    <row r="198" spans="3:23">
      <c r="D198"/>
      <c r="E198"/>
      <c r="F198"/>
      <c r="G198"/>
      <c r="H198"/>
      <c r="I198"/>
      <c r="J198"/>
      <c r="K198"/>
      <c r="L198"/>
    </row>
    <row r="199" spans="3:23" s="495" customFormat="1">
      <c r="C199" s="294"/>
      <c r="D199" s="310"/>
      <c r="E199" s="443"/>
      <c r="F199" s="443"/>
      <c r="G199" s="443"/>
      <c r="H199" s="528"/>
      <c r="I199" s="528"/>
      <c r="J199" s="528"/>
      <c r="K199" s="528"/>
      <c r="L199" s="528"/>
      <c r="M199" s="528"/>
      <c r="N199" s="528"/>
      <c r="O199" s="528"/>
      <c r="Q199" s="294"/>
      <c r="R199" s="294"/>
      <c r="S199" s="294"/>
      <c r="T199" s="294"/>
      <c r="U199" s="294"/>
      <c r="V199" s="294"/>
      <c r="W199" s="294"/>
    </row>
    <row r="200" spans="3:23" s="495" customFormat="1">
      <c r="C200" s="294"/>
      <c r="D200" s="310"/>
      <c r="E200" s="657"/>
      <c r="F200" s="671"/>
      <c r="G200" s="528"/>
      <c r="H200" s="528"/>
      <c r="I200" s="528"/>
      <c r="J200" s="528"/>
      <c r="K200" s="528"/>
      <c r="L200" s="528"/>
      <c r="M200" s="528"/>
      <c r="N200" s="528"/>
      <c r="O200" s="528"/>
      <c r="Q200" s="294"/>
      <c r="R200" s="294"/>
      <c r="S200" s="294"/>
      <c r="T200" s="294"/>
      <c r="U200" s="294"/>
      <c r="V200" s="294"/>
      <c r="W200" s="294"/>
    </row>
    <row r="201" spans="3:23" s="495" customFormat="1">
      <c r="C201" s="294"/>
      <c r="D201" s="310"/>
      <c r="E201" s="657"/>
      <c r="F201" s="671"/>
      <c r="G201" s="528"/>
      <c r="H201" s="528"/>
      <c r="I201" s="528"/>
      <c r="J201" s="528"/>
      <c r="K201" s="528"/>
      <c r="L201" s="528"/>
      <c r="M201" s="528"/>
      <c r="N201" s="528"/>
      <c r="O201" s="528"/>
      <c r="Q201" s="294"/>
      <c r="R201" s="294"/>
      <c r="S201" s="294"/>
      <c r="T201" s="294"/>
      <c r="U201" s="294"/>
      <c r="V201" s="294"/>
      <c r="W201" s="294"/>
    </row>
    <row r="202" spans="3:23" s="495" customFormat="1">
      <c r="C202" s="294"/>
      <c r="D202" s="310"/>
      <c r="E202" s="657"/>
      <c r="F202" s="671"/>
      <c r="G202" s="528"/>
      <c r="H202" s="528"/>
      <c r="I202" s="528"/>
      <c r="J202" s="528"/>
      <c r="K202" s="528"/>
      <c r="L202" s="528"/>
      <c r="M202" s="528"/>
      <c r="N202" s="528"/>
      <c r="O202" s="528"/>
      <c r="Q202" s="294"/>
      <c r="R202" s="294"/>
      <c r="S202" s="294"/>
      <c r="T202" s="294"/>
      <c r="U202" s="294"/>
      <c r="V202" s="294"/>
      <c r="W202" s="294"/>
    </row>
    <row r="203" spans="3:23" s="495" customFormat="1">
      <c r="C203" s="294"/>
      <c r="D203" s="310"/>
      <c r="E203" s="657"/>
      <c r="F203" s="671"/>
      <c r="G203" s="528"/>
      <c r="H203" s="528"/>
      <c r="I203" s="528"/>
      <c r="J203" s="528"/>
      <c r="K203" s="528"/>
      <c r="L203" s="528"/>
      <c r="M203" s="528"/>
      <c r="N203" s="528"/>
      <c r="O203" s="528"/>
      <c r="Q203" s="294"/>
      <c r="R203" s="294"/>
      <c r="S203" s="294"/>
      <c r="T203" s="294"/>
      <c r="U203" s="294"/>
      <c r="V203" s="294"/>
      <c r="W203" s="294"/>
    </row>
    <row r="204" spans="3:23" s="495" customFormat="1">
      <c r="C204" s="294"/>
      <c r="D204" s="310"/>
      <c r="E204" s="657"/>
      <c r="F204" s="671"/>
      <c r="G204" s="528"/>
      <c r="H204" s="528"/>
      <c r="I204" s="528"/>
      <c r="J204" s="528"/>
      <c r="K204" s="528"/>
      <c r="L204" s="528"/>
      <c r="M204" s="528"/>
      <c r="N204" s="528"/>
      <c r="O204" s="528"/>
      <c r="Q204" s="294"/>
      <c r="R204" s="294"/>
      <c r="S204" s="294"/>
      <c r="T204" s="294"/>
      <c r="U204" s="294"/>
      <c r="V204" s="294"/>
      <c r="W204" s="294"/>
    </row>
    <row r="205" spans="3:23" s="495" customFormat="1">
      <c r="C205" s="294"/>
      <c r="D205" s="310"/>
      <c r="E205" s="657"/>
      <c r="F205" s="671"/>
      <c r="G205" s="528"/>
      <c r="H205" s="528"/>
      <c r="I205" s="528"/>
      <c r="J205" s="528"/>
      <c r="K205" s="528"/>
      <c r="L205" s="528"/>
      <c r="M205" s="528"/>
      <c r="N205" s="528"/>
      <c r="O205" s="528"/>
      <c r="Q205" s="294"/>
      <c r="R205" s="294"/>
      <c r="S205" s="294"/>
      <c r="T205" s="294"/>
      <c r="U205" s="294"/>
      <c r="V205" s="294"/>
      <c r="W205" s="294"/>
    </row>
    <row r="206" spans="3:23" s="495" customFormat="1">
      <c r="C206" s="294"/>
      <c r="D206" s="528"/>
      <c r="E206" s="528"/>
      <c r="F206" s="672"/>
      <c r="G206" s="528"/>
      <c r="H206" s="528"/>
      <c r="I206" s="528"/>
      <c r="J206" s="528"/>
      <c r="K206" s="528"/>
      <c r="L206" s="528"/>
      <c r="M206" s="528"/>
      <c r="N206" s="528"/>
      <c r="O206" s="528"/>
      <c r="Q206" s="294"/>
      <c r="R206" s="294"/>
      <c r="S206" s="294"/>
      <c r="T206" s="294"/>
      <c r="U206" s="294"/>
      <c r="V206" s="294"/>
      <c r="W206" s="294"/>
    </row>
    <row r="207" spans="3:23" s="495" customFormat="1">
      <c r="C207" s="294"/>
      <c r="D207" s="528"/>
      <c r="E207" s="528"/>
      <c r="F207" s="672"/>
      <c r="G207" s="528"/>
      <c r="H207" s="528"/>
      <c r="I207" s="528"/>
      <c r="J207" s="528"/>
      <c r="K207" s="528"/>
      <c r="L207" s="528"/>
      <c r="M207" s="528"/>
      <c r="N207" s="528"/>
      <c r="O207" s="528"/>
      <c r="Q207" s="294"/>
      <c r="R207" s="294"/>
      <c r="S207" s="294"/>
      <c r="T207" s="294"/>
      <c r="U207" s="294"/>
      <c r="V207" s="294"/>
      <c r="W207" s="294"/>
    </row>
    <row r="208" spans="3:23" s="495" customFormat="1">
      <c r="C208" s="294"/>
      <c r="D208" s="528"/>
      <c r="E208" s="528"/>
      <c r="F208" s="672"/>
      <c r="G208" s="528"/>
      <c r="H208" s="528"/>
      <c r="I208" s="528"/>
      <c r="J208" s="528"/>
      <c r="K208" s="528"/>
      <c r="L208" s="528"/>
      <c r="M208" s="528"/>
      <c r="N208" s="528"/>
      <c r="O208" s="528"/>
      <c r="Q208" s="294"/>
      <c r="R208" s="294"/>
      <c r="S208" s="294"/>
      <c r="T208" s="294"/>
      <c r="U208" s="294"/>
      <c r="V208" s="294"/>
      <c r="W208" s="294"/>
    </row>
    <row r="209" spans="3:23" s="495" customFormat="1">
      <c r="C209" s="294"/>
      <c r="D209" s="4"/>
      <c r="E209" s="4"/>
      <c r="F209" s="4"/>
      <c r="G209" s="4"/>
      <c r="H209" s="4"/>
      <c r="I209" s="4"/>
      <c r="J209" s="4"/>
      <c r="K209" s="4"/>
      <c r="L209" s="4"/>
      <c r="M209" s="528"/>
      <c r="N209" s="528"/>
      <c r="O209" s="528"/>
      <c r="Q209" s="294"/>
      <c r="R209" s="294"/>
      <c r="S209" s="294"/>
      <c r="T209" s="294"/>
      <c r="U209" s="294"/>
      <c r="V209" s="294"/>
      <c r="W209" s="294"/>
    </row>
    <row r="210" spans="3:23" s="495" customFormat="1">
      <c r="C210" s="294"/>
      <c r="D210" s="4"/>
      <c r="E210" s="4"/>
      <c r="F210" s="4"/>
      <c r="G210" s="4"/>
      <c r="H210" s="4"/>
      <c r="I210" s="4"/>
      <c r="J210" s="4"/>
      <c r="K210" s="4"/>
      <c r="L210" s="4"/>
      <c r="M210" s="528"/>
      <c r="N210" s="528"/>
      <c r="O210" s="528"/>
      <c r="Q210" s="294"/>
      <c r="R210" s="294"/>
      <c r="S210" s="294"/>
      <c r="T210" s="294"/>
      <c r="U210" s="294"/>
      <c r="V210" s="294"/>
      <c r="W210" s="294"/>
    </row>
    <row r="211" spans="3:23" s="495" customFormat="1">
      <c r="C211" s="294"/>
      <c r="D211" s="593"/>
      <c r="E211" s="593"/>
      <c r="F211" s="4"/>
      <c r="G211" s="4"/>
      <c r="H211" s="4"/>
      <c r="I211" s="4"/>
      <c r="J211" s="4"/>
      <c r="K211" s="4"/>
      <c r="L211" s="4"/>
      <c r="M211" s="528"/>
      <c r="N211" s="528"/>
      <c r="O211" s="528"/>
      <c r="Q211" s="294"/>
      <c r="R211" s="294"/>
      <c r="S211" s="294"/>
      <c r="T211" s="294"/>
      <c r="U211" s="294"/>
      <c r="V211" s="294"/>
      <c r="W211" s="294"/>
    </row>
    <row r="212" spans="3:23" s="495" customFormat="1">
      <c r="C212" s="294"/>
      <c r="D212" s="310"/>
      <c r="E212" s="498"/>
      <c r="F212" s="4"/>
      <c r="G212" s="4"/>
      <c r="H212" s="4"/>
      <c r="I212" s="4"/>
      <c r="J212" s="4"/>
      <c r="K212" s="4"/>
      <c r="L212" s="4"/>
      <c r="M212" s="528"/>
      <c r="N212" s="528"/>
      <c r="O212" s="528"/>
      <c r="Q212" s="294"/>
      <c r="R212" s="294"/>
      <c r="S212" s="294"/>
      <c r="T212" s="294"/>
      <c r="U212" s="294"/>
      <c r="V212" s="294"/>
      <c r="W212" s="294"/>
    </row>
    <row r="213" spans="3:23" s="495" customFormat="1">
      <c r="C213" s="294"/>
      <c r="D213" s="310"/>
      <c r="E213" s="498"/>
      <c r="F213" s="4"/>
      <c r="G213" s="4"/>
      <c r="H213" s="4"/>
      <c r="I213" s="4"/>
      <c r="J213" s="4"/>
      <c r="K213" s="4"/>
      <c r="L213" s="4"/>
      <c r="M213" s="528"/>
      <c r="N213" s="528"/>
      <c r="O213" s="528"/>
      <c r="Q213" s="294"/>
      <c r="R213" s="294"/>
      <c r="S213" s="294"/>
      <c r="T213" s="294"/>
      <c r="U213" s="294"/>
      <c r="V213" s="294"/>
      <c r="W213" s="294"/>
    </row>
    <row r="214" spans="3:23" s="495" customFormat="1">
      <c r="C214" s="294"/>
      <c r="D214" s="310"/>
      <c r="E214" s="498"/>
      <c r="F214" s="4"/>
      <c r="G214" s="4"/>
      <c r="H214" s="4"/>
      <c r="I214" s="4"/>
      <c r="J214" s="4"/>
      <c r="K214" s="4"/>
      <c r="L214" s="4"/>
      <c r="M214" s="528"/>
      <c r="N214" s="528"/>
      <c r="O214" s="528"/>
      <c r="Q214" s="294"/>
      <c r="R214" s="294"/>
      <c r="S214" s="294"/>
      <c r="T214" s="294"/>
      <c r="U214" s="294"/>
      <c r="V214" s="294"/>
      <c r="W214" s="294"/>
    </row>
    <row r="215" spans="3:23" s="495" customFormat="1">
      <c r="C215" s="294"/>
      <c r="D215" s="310"/>
      <c r="E215" s="310"/>
      <c r="F215" s="4"/>
      <c r="G215" s="4"/>
      <c r="H215" s="4"/>
      <c r="I215" s="4"/>
      <c r="J215" s="4"/>
      <c r="K215" s="4"/>
      <c r="L215" s="4"/>
      <c r="M215" s="528"/>
      <c r="N215" s="528"/>
      <c r="O215" s="528"/>
      <c r="Q215" s="294"/>
      <c r="R215" s="294"/>
      <c r="S215" s="294"/>
      <c r="T215" s="294"/>
      <c r="U215" s="294"/>
      <c r="V215" s="294"/>
      <c r="W215" s="294"/>
    </row>
    <row r="216" spans="3:23" s="495" customFormat="1">
      <c r="C216" s="294"/>
      <c r="D216" s="310"/>
      <c r="E216" s="310"/>
      <c r="F216" s="4"/>
      <c r="G216" s="4"/>
      <c r="H216" s="4"/>
      <c r="I216" s="4"/>
      <c r="J216" s="4"/>
      <c r="K216" s="4"/>
      <c r="L216" s="4"/>
      <c r="M216" s="528"/>
      <c r="N216" s="528"/>
      <c r="O216" s="528"/>
      <c r="Q216" s="294"/>
      <c r="R216" s="294"/>
      <c r="S216" s="294"/>
      <c r="T216" s="294"/>
      <c r="U216" s="294"/>
      <c r="V216" s="294"/>
      <c r="W216" s="294"/>
    </row>
    <row r="217" spans="3:23" s="495" customFormat="1">
      <c r="C217" s="294"/>
      <c r="D217" s="4"/>
      <c r="E217" s="4"/>
      <c r="F217" s="4"/>
      <c r="G217" s="4"/>
      <c r="H217" s="4"/>
      <c r="I217" s="4"/>
      <c r="J217" s="4"/>
      <c r="K217" s="4"/>
      <c r="L217" s="4"/>
      <c r="M217" s="528"/>
      <c r="N217" s="528"/>
      <c r="O217" s="528"/>
      <c r="Q217" s="294"/>
      <c r="R217" s="294"/>
      <c r="S217" s="294"/>
      <c r="T217" s="294"/>
      <c r="U217" s="294"/>
      <c r="V217" s="294"/>
      <c r="W217" s="294"/>
    </row>
    <row r="218" spans="3:23" s="495" customFormat="1">
      <c r="C218" s="294"/>
      <c r="D218" s="4"/>
      <c r="E218" s="4"/>
      <c r="F218" s="4"/>
      <c r="G218" s="4"/>
      <c r="H218" s="4"/>
      <c r="I218" s="4"/>
      <c r="J218" s="4"/>
      <c r="K218" s="4"/>
      <c r="L218" s="4"/>
      <c r="M218" s="528"/>
      <c r="N218" s="528"/>
      <c r="O218" s="528"/>
      <c r="Q218" s="294"/>
      <c r="R218" s="294"/>
      <c r="S218" s="294"/>
      <c r="T218" s="294"/>
      <c r="U218" s="294"/>
      <c r="V218" s="294"/>
      <c r="W218" s="294"/>
    </row>
    <row r="219" spans="3:23" s="495" customFormat="1">
      <c r="C219" s="294"/>
      <c r="D219" s="506"/>
      <c r="E219" s="506"/>
      <c r="F219" s="506"/>
      <c r="G219" s="506"/>
      <c r="H219" s="506"/>
      <c r="I219" s="506"/>
      <c r="J219" s="4"/>
      <c r="K219" s="4"/>
      <c r="L219" s="4"/>
      <c r="M219" s="528"/>
      <c r="N219" s="528"/>
      <c r="O219" s="528"/>
      <c r="Q219" s="294"/>
      <c r="R219" s="294"/>
      <c r="S219" s="294"/>
      <c r="T219" s="294"/>
      <c r="U219" s="294"/>
      <c r="V219" s="294"/>
      <c r="W219" s="294"/>
    </row>
    <row r="220" spans="3:23" s="495" customFormat="1">
      <c r="C220" s="294"/>
      <c r="D220" s="310"/>
      <c r="E220" s="310"/>
      <c r="F220" s="310"/>
      <c r="G220" s="310"/>
      <c r="H220" s="310"/>
      <c r="I220" s="310"/>
      <c r="J220" s="4"/>
      <c r="K220" s="4"/>
      <c r="L220" s="4"/>
      <c r="M220" s="528"/>
      <c r="N220" s="528"/>
      <c r="O220" s="528"/>
      <c r="Q220" s="294"/>
      <c r="R220" s="294"/>
      <c r="S220" s="294"/>
      <c r="T220" s="294"/>
      <c r="U220" s="294"/>
      <c r="V220" s="294"/>
      <c r="W220" s="294"/>
    </row>
    <row r="221" spans="3:23" s="495" customFormat="1">
      <c r="C221" s="294"/>
      <c r="D221" s="310"/>
      <c r="E221" s="310"/>
      <c r="F221" s="310"/>
      <c r="G221" s="310"/>
      <c r="H221" s="310"/>
      <c r="I221" s="310"/>
      <c r="J221" s="4"/>
      <c r="K221" s="4"/>
      <c r="L221" s="4"/>
      <c r="M221" s="528"/>
      <c r="N221" s="528"/>
      <c r="O221" s="528"/>
      <c r="Q221" s="294"/>
      <c r="R221" s="294"/>
      <c r="S221" s="294"/>
      <c r="T221" s="294"/>
      <c r="U221" s="294"/>
      <c r="V221" s="294"/>
      <c r="W221" s="294"/>
    </row>
    <row r="222" spans="3:23" s="495" customFormat="1">
      <c r="C222" s="294"/>
      <c r="D222" s="310"/>
      <c r="E222" s="310"/>
      <c r="F222" s="310"/>
      <c r="G222" s="310"/>
      <c r="H222" s="310"/>
      <c r="I222" s="310"/>
      <c r="J222" s="4"/>
      <c r="K222" s="4"/>
      <c r="L222" s="4"/>
      <c r="M222" s="528"/>
      <c r="N222" s="528"/>
      <c r="O222" s="528"/>
      <c r="Q222" s="294"/>
      <c r="R222" s="294"/>
      <c r="S222" s="294"/>
      <c r="T222" s="294"/>
      <c r="U222" s="294"/>
      <c r="V222" s="294"/>
      <c r="W222" s="294"/>
    </row>
    <row r="223" spans="3:23" s="495" customFormat="1">
      <c r="C223" s="294"/>
      <c r="D223" s="4"/>
      <c r="E223" s="4"/>
      <c r="F223" s="4"/>
      <c r="G223" s="4"/>
      <c r="H223" s="4"/>
      <c r="I223" s="4"/>
      <c r="J223" s="4"/>
      <c r="K223" s="4"/>
      <c r="L223" s="4"/>
      <c r="M223" s="528"/>
      <c r="N223" s="528"/>
      <c r="O223" s="528"/>
      <c r="Q223" s="294"/>
      <c r="R223" s="294"/>
      <c r="S223" s="294"/>
      <c r="T223" s="294"/>
      <c r="U223" s="294"/>
      <c r="V223" s="294"/>
      <c r="W223" s="294"/>
    </row>
    <row r="224" spans="3:23" s="495" customFormat="1">
      <c r="C224" s="294"/>
      <c r="D224" s="506"/>
      <c r="E224" s="506"/>
      <c r="F224" s="506"/>
      <c r="G224" s="506"/>
      <c r="H224" s="506"/>
      <c r="I224" s="506"/>
      <c r="J224" s="506"/>
      <c r="K224" s="506"/>
      <c r="L224" s="506"/>
      <c r="M224" s="528"/>
      <c r="N224" s="528"/>
      <c r="O224" s="528"/>
      <c r="Q224" s="294"/>
      <c r="R224" s="294"/>
      <c r="S224" s="294"/>
      <c r="T224" s="294"/>
      <c r="U224" s="294"/>
      <c r="V224" s="294"/>
      <c r="W224" s="294"/>
    </row>
    <row r="225" spans="3:23" s="495" customFormat="1">
      <c r="C225" s="294"/>
      <c r="D225" s="310"/>
      <c r="E225" s="657"/>
      <c r="F225" s="657"/>
      <c r="G225" s="658"/>
      <c r="H225" s="659"/>
      <c r="I225" s="310"/>
      <c r="J225" s="310"/>
      <c r="K225" s="310"/>
      <c r="L225" s="310"/>
      <c r="M225" s="528"/>
      <c r="N225" s="528"/>
      <c r="O225" s="528"/>
      <c r="Q225" s="294"/>
      <c r="R225" s="294"/>
      <c r="S225" s="294"/>
      <c r="T225" s="294"/>
      <c r="U225" s="294"/>
      <c r="V225" s="294"/>
      <c r="W225" s="294"/>
    </row>
    <row r="226" spans="3:23" s="495" customFormat="1">
      <c r="C226" s="294"/>
      <c r="D226" s="310"/>
      <c r="E226" s="657"/>
      <c r="F226" s="657"/>
      <c r="G226" s="658"/>
      <c r="H226" s="659"/>
      <c r="I226" s="310"/>
      <c r="J226" s="310"/>
      <c r="K226" s="310"/>
      <c r="L226" s="310"/>
      <c r="M226" s="528"/>
      <c r="N226" s="528"/>
      <c r="O226" s="528"/>
      <c r="Q226" s="294"/>
      <c r="R226" s="294"/>
      <c r="S226" s="294"/>
      <c r="T226" s="294"/>
      <c r="U226" s="294"/>
      <c r="V226" s="294"/>
      <c r="W226" s="294"/>
    </row>
    <row r="227" spans="3:23" s="495" customFormat="1">
      <c r="C227" s="294"/>
      <c r="D227" s="310"/>
      <c r="E227" s="657"/>
      <c r="F227" s="657"/>
      <c r="G227" s="658"/>
      <c r="H227" s="659"/>
      <c r="I227" s="310"/>
      <c r="J227" s="310"/>
      <c r="K227" s="310"/>
      <c r="L227" s="310"/>
      <c r="M227" s="528"/>
      <c r="N227" s="528"/>
      <c r="O227" s="528"/>
      <c r="Q227" s="294"/>
      <c r="R227" s="294"/>
      <c r="S227" s="294"/>
      <c r="T227" s="294"/>
      <c r="U227" s="294"/>
      <c r="V227" s="294"/>
      <c r="W227" s="294"/>
    </row>
    <row r="228" spans="3:23" s="495" customFormat="1">
      <c r="C228" s="294"/>
      <c r="D228" s="310"/>
      <c r="E228" s="657"/>
      <c r="F228" s="657"/>
      <c r="G228" s="658"/>
      <c r="H228" s="659"/>
      <c r="I228" s="310"/>
      <c r="J228" s="310"/>
      <c r="K228" s="310"/>
      <c r="L228" s="310"/>
      <c r="M228" s="528"/>
      <c r="N228" s="528"/>
      <c r="O228" s="528"/>
      <c r="Q228" s="294"/>
      <c r="R228" s="294"/>
      <c r="S228" s="294"/>
      <c r="T228" s="294"/>
      <c r="U228" s="294"/>
      <c r="V228" s="294"/>
      <c r="W228" s="294"/>
    </row>
    <row r="229" spans="3:23" s="495" customFormat="1">
      <c r="C229" s="294"/>
      <c r="D229" s="310"/>
      <c r="E229" s="657"/>
      <c r="F229" s="657"/>
      <c r="G229" s="658"/>
      <c r="H229" s="659"/>
      <c r="I229" s="310"/>
      <c r="J229" s="310"/>
      <c r="K229" s="310"/>
      <c r="L229" s="310"/>
      <c r="M229" s="528"/>
      <c r="N229" s="528"/>
      <c r="O229" s="528"/>
      <c r="Q229" s="294"/>
      <c r="R229" s="294"/>
      <c r="S229" s="294"/>
      <c r="T229" s="294"/>
      <c r="U229" s="294"/>
      <c r="V229" s="294"/>
      <c r="W229" s="294"/>
    </row>
    <row r="230" spans="3:23" s="495" customFormat="1">
      <c r="C230" s="294"/>
      <c r="D230" s="310"/>
      <c r="E230" s="657"/>
      <c r="F230" s="657"/>
      <c r="G230" s="658"/>
      <c r="H230" s="659"/>
      <c r="I230" s="310"/>
      <c r="J230" s="310"/>
      <c r="K230" s="310"/>
      <c r="L230" s="310"/>
      <c r="M230" s="528"/>
      <c r="N230" s="528"/>
      <c r="O230" s="528"/>
      <c r="Q230" s="294"/>
      <c r="R230" s="294"/>
      <c r="S230" s="294"/>
      <c r="T230" s="294"/>
      <c r="U230" s="294"/>
      <c r="V230" s="294"/>
      <c r="W230" s="294"/>
    </row>
    <row r="231" spans="3:23" s="495" customFormat="1">
      <c r="C231" s="294"/>
      <c r="D231" s="310"/>
      <c r="E231" s="657"/>
      <c r="F231" s="657"/>
      <c r="G231" s="658"/>
      <c r="H231" s="659"/>
      <c r="I231" s="310"/>
      <c r="J231" s="310"/>
      <c r="K231" s="310"/>
      <c r="L231" s="310"/>
      <c r="M231" s="528"/>
      <c r="N231" s="528"/>
      <c r="O231" s="528"/>
      <c r="Q231" s="294"/>
      <c r="R231" s="294"/>
      <c r="S231" s="294"/>
      <c r="T231" s="294"/>
      <c r="U231" s="294"/>
      <c r="V231" s="294"/>
      <c r="W231" s="294"/>
    </row>
    <row r="232" spans="3:23" s="495" customFormat="1">
      <c r="C232" s="294"/>
      <c r="D232" s="310"/>
      <c r="E232" s="657"/>
      <c r="F232" s="657"/>
      <c r="G232" s="658"/>
      <c r="H232" s="659"/>
      <c r="I232" s="310"/>
      <c r="J232" s="310"/>
      <c r="K232" s="310"/>
      <c r="L232" s="310"/>
      <c r="M232" s="528"/>
      <c r="N232" s="528"/>
      <c r="O232" s="528"/>
      <c r="Q232" s="294"/>
      <c r="R232" s="294"/>
      <c r="S232" s="294"/>
      <c r="T232" s="294"/>
      <c r="U232" s="294"/>
      <c r="V232" s="294"/>
      <c r="W232" s="294"/>
    </row>
    <row r="233" spans="3:23" s="495" customFormat="1">
      <c r="C233" s="294"/>
      <c r="D233" s="310"/>
      <c r="E233" s="657"/>
      <c r="F233" s="657"/>
      <c r="G233" s="658"/>
      <c r="H233" s="659"/>
      <c r="I233" s="310"/>
      <c r="J233" s="310"/>
      <c r="K233" s="310"/>
      <c r="L233" s="310"/>
      <c r="M233" s="528"/>
      <c r="N233" s="528"/>
      <c r="O233" s="528"/>
      <c r="Q233" s="294"/>
      <c r="R233" s="294"/>
      <c r="S233" s="294"/>
      <c r="T233" s="294"/>
      <c r="U233" s="294"/>
      <c r="V233" s="294"/>
      <c r="W233" s="294"/>
    </row>
    <row r="234" spans="3:23" s="495" customFormat="1">
      <c r="C234" s="294"/>
      <c r="D234" s="528"/>
      <c r="E234" s="528"/>
      <c r="F234" s="672"/>
      <c r="G234" s="528"/>
      <c r="H234" s="528"/>
      <c r="I234" s="528"/>
      <c r="J234" s="528"/>
      <c r="K234" s="528"/>
      <c r="L234" s="528"/>
      <c r="M234" s="528"/>
      <c r="N234" s="528"/>
      <c r="O234" s="528"/>
      <c r="Q234" s="294"/>
      <c r="R234" s="294"/>
      <c r="S234" s="294"/>
      <c r="T234" s="294"/>
      <c r="U234" s="294"/>
      <c r="V234" s="294"/>
      <c r="W234" s="294"/>
    </row>
    <row r="235" spans="3:23" s="495" customFormat="1">
      <c r="C235" s="294"/>
      <c r="D235" s="528"/>
      <c r="E235" s="528"/>
      <c r="F235" s="672"/>
      <c r="G235" s="528"/>
      <c r="H235" s="528"/>
      <c r="I235" s="528"/>
      <c r="J235" s="528"/>
      <c r="K235" s="528"/>
      <c r="L235" s="528"/>
      <c r="M235" s="528"/>
      <c r="N235" s="528"/>
      <c r="O235" s="528"/>
      <c r="Q235" s="294"/>
      <c r="R235" s="294"/>
      <c r="S235" s="294"/>
      <c r="T235" s="294"/>
      <c r="U235" s="294"/>
      <c r="V235" s="294"/>
      <c r="W235" s="294"/>
    </row>
    <row r="236" spans="3:23" s="495" customFormat="1">
      <c r="C236" s="294"/>
      <c r="D236" s="528"/>
      <c r="E236" s="528"/>
      <c r="F236" s="672"/>
      <c r="G236" s="528"/>
      <c r="H236" s="528"/>
      <c r="I236" s="528"/>
      <c r="J236" s="528"/>
      <c r="K236" s="528"/>
      <c r="L236" s="528"/>
      <c r="M236" s="528"/>
      <c r="N236" s="528"/>
      <c r="O236" s="528"/>
      <c r="Q236" s="294"/>
      <c r="R236" s="294"/>
      <c r="S236" s="294"/>
      <c r="T236" s="294"/>
      <c r="U236" s="294"/>
      <c r="V236" s="294"/>
      <c r="W236" s="294"/>
    </row>
    <row r="237" spans="3:23" s="495" customFormat="1">
      <c r="C237" s="294"/>
      <c r="D237" s="528"/>
      <c r="E237" s="528"/>
      <c r="F237" s="672"/>
      <c r="G237" s="528"/>
      <c r="H237" s="528"/>
      <c r="I237" s="528"/>
      <c r="J237" s="528"/>
      <c r="K237" s="528"/>
      <c r="L237" s="528"/>
      <c r="M237" s="528"/>
      <c r="N237" s="528"/>
      <c r="O237" s="528"/>
      <c r="Q237" s="294"/>
      <c r="R237" s="294"/>
      <c r="S237" s="294"/>
      <c r="T237" s="294"/>
      <c r="U237" s="294"/>
      <c r="V237" s="294"/>
      <c r="W237" s="294"/>
    </row>
    <row r="238" spans="3:23" s="495" customFormat="1">
      <c r="C238" s="294"/>
      <c r="D238" s="528"/>
      <c r="E238" s="528"/>
      <c r="F238" s="672"/>
      <c r="G238" s="528"/>
      <c r="H238" s="528"/>
      <c r="I238" s="528"/>
      <c r="J238" s="528"/>
      <c r="K238" s="528"/>
      <c r="L238" s="528"/>
      <c r="M238" s="528"/>
      <c r="N238" s="528"/>
      <c r="O238" s="528"/>
      <c r="Q238" s="294"/>
      <c r="R238" s="294"/>
      <c r="S238" s="294"/>
      <c r="T238" s="294"/>
      <c r="U238" s="294"/>
      <c r="V238" s="294"/>
      <c r="W238" s="294"/>
    </row>
    <row r="239" spans="3:23" s="495" customFormat="1">
      <c r="C239" s="294"/>
      <c r="D239" s="528"/>
      <c r="E239" s="528"/>
      <c r="F239" s="672"/>
      <c r="G239" s="528"/>
      <c r="H239" s="528"/>
      <c r="I239" s="528"/>
      <c r="J239" s="528"/>
      <c r="K239" s="528"/>
      <c r="L239" s="528"/>
      <c r="M239" s="528"/>
      <c r="N239" s="528"/>
      <c r="O239" s="528"/>
      <c r="Q239" s="294"/>
      <c r="R239" s="294"/>
      <c r="S239" s="294"/>
      <c r="T239" s="294"/>
      <c r="U239" s="294"/>
      <c r="V239" s="294"/>
      <c r="W239" s="294"/>
    </row>
    <row r="240" spans="3:23" s="495" customFormat="1">
      <c r="C240" s="294"/>
      <c r="D240" s="528"/>
      <c r="E240" s="528"/>
      <c r="F240" s="672"/>
      <c r="G240" s="528"/>
      <c r="H240" s="528"/>
      <c r="I240" s="528"/>
      <c r="J240" s="528"/>
      <c r="K240" s="528"/>
      <c r="L240" s="528"/>
      <c r="M240" s="528"/>
      <c r="N240" s="528"/>
      <c r="O240" s="528"/>
      <c r="Q240" s="294"/>
      <c r="R240" s="294"/>
      <c r="S240" s="294"/>
      <c r="T240" s="294"/>
      <c r="U240" s="294"/>
      <c r="V240" s="294"/>
      <c r="W240" s="294"/>
    </row>
  </sheetData>
  <mergeCells count="3">
    <mergeCell ref="D147:E147"/>
    <mergeCell ref="A1:N1"/>
    <mergeCell ref="B171:N171"/>
  </mergeCells>
  <pageMargins left="0.7" right="0.7" top="0.75" bottom="0.75" header="0.3" footer="0.3"/>
  <pageSetup scale="48" orientation="landscape" r:id="rId1"/>
  <rowBreaks count="2" manualBreakCount="2">
    <brk id="74" max="13" man="1"/>
    <brk id="147" max="13" man="1"/>
  </rowBreaks>
  <colBreaks count="1" manualBreakCount="1">
    <brk id="16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AI199"/>
  <sheetViews>
    <sheetView showGridLines="0" view="pageBreakPreview" zoomScale="80" zoomScaleNormal="100" zoomScaleSheetLayoutView="80" workbookViewId="0">
      <pane xSplit="2" ySplit="1" topLeftCell="C161" activePane="bottomRight" state="frozen"/>
      <selection activeCell="H9" sqref="H9"/>
      <selection pane="topRight" activeCell="H9" sqref="H9"/>
      <selection pane="bottomLeft" activeCell="H9" sqref="H9"/>
      <selection pane="bottomRight" activeCell="C154" sqref="C154"/>
    </sheetView>
  </sheetViews>
  <sheetFormatPr defaultColWidth="9.109375" defaultRowHeight="13.2"/>
  <cols>
    <col min="1" max="1" width="9.109375" style="66" customWidth="1"/>
    <col min="2" max="2" width="12.5546875" style="66" bestFit="1" customWidth="1"/>
    <col min="3" max="3" width="15.33203125" style="65" customWidth="1"/>
    <col min="4" max="4" width="23.33203125" style="76" customWidth="1"/>
    <col min="5" max="5" width="18.44140625" style="76" customWidth="1"/>
    <col min="6" max="6" width="15.88671875" style="72" customWidth="1"/>
    <col min="7" max="7" width="19.44140625" style="76" bestFit="1" customWidth="1"/>
    <col min="8" max="8" width="15.109375" style="76" customWidth="1"/>
    <col min="9" max="10" width="14.5546875" style="76" customWidth="1"/>
    <col min="11" max="11" width="13" style="76" customWidth="1"/>
    <col min="12" max="12" width="15.44140625" style="76" customWidth="1"/>
    <col min="13" max="13" width="17.109375" style="76" customWidth="1"/>
    <col min="14" max="14" width="14.44140625" style="528" customWidth="1"/>
    <col min="15" max="15" width="5" style="495" customWidth="1"/>
    <col min="16" max="16" width="27" style="294" bestFit="1" customWidth="1"/>
    <col min="17" max="18" width="15.88671875" style="294" bestFit="1" customWidth="1"/>
    <col min="19" max="19" width="13.109375" style="294" bestFit="1" customWidth="1"/>
    <col min="20" max="20" width="12.5546875" style="294" customWidth="1"/>
    <col min="21" max="21" width="15.44140625" style="294" bestFit="1" customWidth="1"/>
    <col min="22" max="22" width="18.6640625" style="294" bestFit="1" customWidth="1"/>
    <col min="23" max="24" width="18.6640625" style="495" bestFit="1" customWidth="1"/>
    <col min="25" max="35" width="9.109375" style="495"/>
    <col min="36" max="16384" width="9.109375" style="66"/>
  </cols>
  <sheetData>
    <row r="1" spans="1:35" ht="18" customHeight="1">
      <c r="A1" s="938" t="s">
        <v>295</v>
      </c>
      <c r="B1" s="938"/>
      <c r="C1" s="938"/>
      <c r="D1" s="938"/>
      <c r="E1" s="938"/>
      <c r="F1" s="938"/>
      <c r="G1" s="938"/>
      <c r="H1" s="938"/>
      <c r="I1" s="938"/>
      <c r="J1" s="938"/>
      <c r="K1" s="938"/>
      <c r="L1" s="938"/>
      <c r="M1" s="827"/>
      <c r="N1" s="827"/>
      <c r="O1" s="294"/>
      <c r="U1" s="495"/>
      <c r="V1" s="495"/>
      <c r="AH1" s="66"/>
      <c r="AI1" s="66"/>
    </row>
    <row r="2" spans="1:35" ht="26.4">
      <c r="B2" s="280"/>
      <c r="C2" s="282" t="s">
        <v>101</v>
      </c>
      <c r="D2" s="64" t="s">
        <v>29</v>
      </c>
      <c r="E2" s="64" t="s">
        <v>30</v>
      </c>
      <c r="F2" s="307" t="s">
        <v>102</v>
      </c>
      <c r="G2" s="64" t="s">
        <v>31</v>
      </c>
      <c r="H2" s="64" t="s">
        <v>32</v>
      </c>
      <c r="I2" s="64" t="s">
        <v>34</v>
      </c>
      <c r="J2" s="64" t="s">
        <v>103</v>
      </c>
      <c r="K2" s="64" t="s">
        <v>104</v>
      </c>
      <c r="L2" s="64" t="s">
        <v>105</v>
      </c>
      <c r="M2" s="495"/>
      <c r="N2" s="294"/>
      <c r="O2" s="294"/>
      <c r="U2" s="495"/>
      <c r="V2" s="495"/>
      <c r="Y2" s="310"/>
      <c r="Z2" s="310"/>
      <c r="AA2" s="310"/>
      <c r="AB2" s="310"/>
      <c r="AC2" s="310"/>
      <c r="AD2" s="310"/>
      <c r="AE2" s="310"/>
      <c r="AF2" s="310"/>
      <c r="AG2" s="310"/>
      <c r="AH2" s="66"/>
      <c r="AI2" s="66"/>
    </row>
    <row r="3" spans="1:35">
      <c r="A3" s="66">
        <f t="shared" ref="A3:A54" si="0">YEAR(B3)</f>
        <v>2004</v>
      </c>
      <c r="B3" s="67">
        <v>37987</v>
      </c>
      <c r="C3" s="294">
        <f>HLOOKUP(MONTH(B3),'Purchased kWh'!$4:$17,6,FALSE)</f>
        <v>318825772.38951999</v>
      </c>
      <c r="D3" s="68">
        <f>'Month &amp; Hour Data'!B2</f>
        <v>849.1</v>
      </c>
      <c r="E3" s="68">
        <f>'Month &amp; Hour Data'!C2</f>
        <v>0</v>
      </c>
      <c r="F3" s="308">
        <f>'Month &amp; Hour Data'!H2</f>
        <v>1.0159128651183942</v>
      </c>
      <c r="G3" s="69">
        <f>'Month &amp; Hour Data'!D2</f>
        <v>31</v>
      </c>
      <c r="H3" s="69">
        <f>'Month &amp; Hour Data'!E2</f>
        <v>0</v>
      </c>
      <c r="I3" s="69">
        <f>'Month &amp; Hour Data'!G2</f>
        <v>336</v>
      </c>
      <c r="J3" s="70">
        <f>$E$187+(D3*$E$188)+(E3*$E$189)+(F3*$E$190)+(G3*$E$191)+(H3*$E$192)+(I3*$E$193)</f>
        <v>322566086.16029006</v>
      </c>
      <c r="K3" s="70">
        <f t="shared" ref="K3:K34" si="1">J3-C3</f>
        <v>3740313.7707700729</v>
      </c>
      <c r="L3" s="330">
        <f t="shared" ref="L3:L34" si="2">K3/C3</f>
        <v>1.1731528924833617E-2</v>
      </c>
      <c r="M3" s="495"/>
      <c r="N3" s="294"/>
      <c r="O3" s="294"/>
      <c r="U3" s="495"/>
      <c r="V3" s="495"/>
      <c r="Y3" s="310"/>
      <c r="Z3" s="310"/>
      <c r="AA3" s="310"/>
      <c r="AB3" s="310"/>
      <c r="AC3" s="310"/>
      <c r="AD3" s="310"/>
      <c r="AE3" s="310"/>
      <c r="AF3" s="310"/>
      <c r="AG3" s="310"/>
      <c r="AH3" s="66"/>
      <c r="AI3" s="66"/>
    </row>
    <row r="4" spans="1:35">
      <c r="A4" s="66">
        <f t="shared" si="0"/>
        <v>2004</v>
      </c>
      <c r="B4" s="67">
        <v>38018</v>
      </c>
      <c r="C4" s="294">
        <f>HLOOKUP(MONTH(B4),'Purchased kWh'!$4:$17,6,FALSE)</f>
        <v>292561275.78360003</v>
      </c>
      <c r="D4" s="68">
        <f>'Month &amp; Hour Data'!B3</f>
        <v>631.70000000000005</v>
      </c>
      <c r="E4" s="68">
        <f>'Month &amp; Hour Data'!C3</f>
        <v>0</v>
      </c>
      <c r="F4" s="308">
        <f>'Month &amp; Hour Data'!H3</f>
        <v>1.0180619339601864</v>
      </c>
      <c r="G4" s="69">
        <f>'Month &amp; Hour Data'!D3</f>
        <v>29</v>
      </c>
      <c r="H4" s="69">
        <f>'Month &amp; Hour Data'!E3</f>
        <v>0</v>
      </c>
      <c r="I4" s="69">
        <f>'Month &amp; Hour Data'!G3</f>
        <v>320</v>
      </c>
      <c r="J4" s="70">
        <f t="shared" ref="J4:J67" si="3">$E$187+(D4*$E$188)+(E4*$E$189)+(F4*$E$190)+(G4*$E$191)+(H4*$E$192)+(I4*$E$193)</f>
        <v>297085242.5738911</v>
      </c>
      <c r="K4" s="70">
        <f t="shared" si="1"/>
        <v>4523966.7902910709</v>
      </c>
      <c r="L4" s="330">
        <f t="shared" si="2"/>
        <v>1.5463313721797316E-2</v>
      </c>
      <c r="M4" s="495"/>
      <c r="N4" s="294"/>
      <c r="O4" s="294"/>
      <c r="U4" s="495"/>
      <c r="V4" s="495"/>
      <c r="X4" s="506"/>
      <c r="Y4" s="310"/>
      <c r="Z4" s="310"/>
      <c r="AA4" s="310"/>
      <c r="AB4" s="310"/>
      <c r="AC4" s="310"/>
      <c r="AD4" s="310"/>
      <c r="AE4" s="310"/>
      <c r="AF4" s="310"/>
      <c r="AG4" s="310"/>
      <c r="AH4" s="66"/>
      <c r="AI4" s="66"/>
    </row>
    <row r="5" spans="1:35">
      <c r="A5" s="66">
        <f t="shared" si="0"/>
        <v>2004</v>
      </c>
      <c r="B5" s="67">
        <v>38047</v>
      </c>
      <c r="C5" s="294">
        <f>HLOOKUP(MONTH(B5),'Purchased kWh'!$4:$17,6,FALSE)</f>
        <v>304403355.98512</v>
      </c>
      <c r="D5" s="68">
        <f>'Month &amp; Hour Data'!B4</f>
        <v>487.3</v>
      </c>
      <c r="E5" s="68">
        <f>'Month &amp; Hour Data'!C4</f>
        <v>0</v>
      </c>
      <c r="F5" s="308">
        <f>'Month &amp; Hour Data'!H4</f>
        <v>1.0202155489565214</v>
      </c>
      <c r="G5" s="69">
        <f>'Month &amp; Hour Data'!D4</f>
        <v>31</v>
      </c>
      <c r="H5" s="69">
        <f>'Month &amp; Hour Data'!E4</f>
        <v>1</v>
      </c>
      <c r="I5" s="69">
        <f>'Month &amp; Hour Data'!G4</f>
        <v>368</v>
      </c>
      <c r="J5" s="70">
        <f t="shared" si="3"/>
        <v>304265658.61163652</v>
      </c>
      <c r="K5" s="70">
        <f t="shared" si="1"/>
        <v>-137697.37348347902</v>
      </c>
      <c r="L5" s="330">
        <f t="shared" si="2"/>
        <v>-4.5235169316007809E-4</v>
      </c>
      <c r="M5" s="495"/>
      <c r="N5" s="294"/>
      <c r="O5" s="294"/>
      <c r="U5" s="495"/>
      <c r="V5" s="495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66"/>
      <c r="AI5" s="66"/>
    </row>
    <row r="6" spans="1:35">
      <c r="A6" s="66">
        <f t="shared" si="0"/>
        <v>2004</v>
      </c>
      <c r="B6" s="67">
        <v>38078</v>
      </c>
      <c r="C6" s="294">
        <f>HLOOKUP(MONTH(B6),'Purchased kWh'!$4:$17,6,FALSE)</f>
        <v>280729503.61992002</v>
      </c>
      <c r="D6" s="68">
        <f>'Month &amp; Hour Data'!B5</f>
        <v>331.5</v>
      </c>
      <c r="E6" s="68">
        <f>'Month &amp; Hour Data'!C5</f>
        <v>0</v>
      </c>
      <c r="F6" s="308">
        <f>'Month &amp; Hour Data'!H5</f>
        <v>1.0223737197243647</v>
      </c>
      <c r="G6" s="69">
        <f>'Month &amp; Hour Data'!D5</f>
        <v>30</v>
      </c>
      <c r="H6" s="69">
        <f>'Month &amp; Hour Data'!E5</f>
        <v>1</v>
      </c>
      <c r="I6" s="69">
        <f>'Month &amp; Hour Data'!G5</f>
        <v>336</v>
      </c>
      <c r="J6" s="70">
        <f t="shared" si="3"/>
        <v>285495872.81202883</v>
      </c>
      <c r="K6" s="70">
        <f t="shared" si="1"/>
        <v>4766369.1921088099</v>
      </c>
      <c r="L6" s="330">
        <f t="shared" si="2"/>
        <v>1.6978511808156804E-2</v>
      </c>
      <c r="M6" s="495"/>
      <c r="N6" s="294"/>
      <c r="O6" s="294"/>
      <c r="U6" s="495"/>
      <c r="V6" s="495"/>
      <c r="X6" s="310"/>
      <c r="Y6" s="310"/>
      <c r="Z6" s="310"/>
      <c r="AA6" s="310"/>
      <c r="AB6" s="310"/>
      <c r="AC6" s="310"/>
      <c r="AD6" s="310"/>
      <c r="AE6" s="310"/>
      <c r="AF6" s="310"/>
      <c r="AG6" s="310"/>
      <c r="AH6" s="66"/>
      <c r="AI6" s="66"/>
    </row>
    <row r="7" spans="1:35">
      <c r="A7" s="66">
        <f t="shared" si="0"/>
        <v>2004</v>
      </c>
      <c r="B7" s="67">
        <v>38108</v>
      </c>
      <c r="C7" s="294">
        <f>HLOOKUP(MONTH(B7),'Purchased kWh'!$4:$17,6,FALSE)</f>
        <v>284754157.46888</v>
      </c>
      <c r="D7" s="68">
        <f>'Month &amp; Hour Data'!B6</f>
        <v>158.9</v>
      </c>
      <c r="E7" s="68">
        <f>'Month &amp; Hour Data'!C6</f>
        <v>8.6</v>
      </c>
      <c r="F7" s="308">
        <f>'Month &amp; Hour Data'!H6</f>
        <v>1.0245364559010257</v>
      </c>
      <c r="G7" s="69">
        <f>'Month &amp; Hour Data'!D6</f>
        <v>31</v>
      </c>
      <c r="H7" s="69">
        <f>'Month &amp; Hour Data'!E6</f>
        <v>1</v>
      </c>
      <c r="I7" s="69">
        <f>'Month &amp; Hour Data'!G6</f>
        <v>320</v>
      </c>
      <c r="J7" s="70">
        <f t="shared" si="3"/>
        <v>284672702.21671432</v>
      </c>
      <c r="K7" s="70">
        <f t="shared" si="1"/>
        <v>-81455.252165675163</v>
      </c>
      <c r="L7" s="330">
        <f t="shared" si="2"/>
        <v>-2.8605465461756143E-4</v>
      </c>
      <c r="M7" s="495"/>
      <c r="N7" s="294"/>
      <c r="O7" s="294"/>
      <c r="U7" s="495"/>
      <c r="V7" s="495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66"/>
      <c r="AI7" s="66"/>
    </row>
    <row r="8" spans="1:35">
      <c r="A8" s="66">
        <f t="shared" si="0"/>
        <v>2004</v>
      </c>
      <c r="B8" s="67">
        <v>38139</v>
      </c>
      <c r="C8" s="294">
        <f>HLOOKUP(MONTH(B8),'Purchased kWh'!$4:$17,6,FALSE)</f>
        <v>296130054.74768001</v>
      </c>
      <c r="D8" s="68">
        <f>'Month &amp; Hour Data'!B7</f>
        <v>44.2</v>
      </c>
      <c r="E8" s="68">
        <f>'Month &amp; Hour Data'!C7</f>
        <v>31.6</v>
      </c>
      <c r="F8" s="308">
        <f>'Month &amp; Hour Data'!H7</f>
        <v>1.0267037671442005</v>
      </c>
      <c r="G8" s="69">
        <f>'Month &amp; Hour Data'!D7</f>
        <v>30</v>
      </c>
      <c r="H8" s="69">
        <f>'Month &amp; Hour Data'!E7</f>
        <v>0</v>
      </c>
      <c r="I8" s="69">
        <f>'Month &amp; Hour Data'!G7</f>
        <v>352</v>
      </c>
      <c r="J8" s="70">
        <f t="shared" si="3"/>
        <v>295129455.87852657</v>
      </c>
      <c r="K8" s="70">
        <f t="shared" si="1"/>
        <v>-1000598.86915344</v>
      </c>
      <c r="L8" s="330">
        <f t="shared" si="2"/>
        <v>-3.3789169762117131E-3</v>
      </c>
      <c r="M8" s="495"/>
      <c r="N8" s="294"/>
      <c r="O8" s="294"/>
      <c r="U8" s="495"/>
      <c r="V8" s="495"/>
      <c r="X8" s="310"/>
      <c r="Y8" s="310"/>
      <c r="Z8" s="310"/>
      <c r="AA8" s="310"/>
      <c r="AB8" s="310"/>
      <c r="AC8" s="310"/>
      <c r="AD8" s="310"/>
      <c r="AE8" s="310"/>
      <c r="AF8" s="310"/>
      <c r="AG8" s="310"/>
      <c r="AH8" s="66"/>
      <c r="AI8" s="66"/>
    </row>
    <row r="9" spans="1:35">
      <c r="A9" s="66">
        <f t="shared" si="0"/>
        <v>2004</v>
      </c>
      <c r="B9" s="67">
        <v>38169</v>
      </c>
      <c r="C9" s="294">
        <f>HLOOKUP(MONTH(B9),'Purchased kWh'!$4:$17,6,FALSE)</f>
        <v>316526151.50408</v>
      </c>
      <c r="D9" s="68">
        <f>'Month &amp; Hour Data'!B8</f>
        <v>3.6</v>
      </c>
      <c r="E9" s="68">
        <f>'Month &amp; Hour Data'!C8</f>
        <v>86.4</v>
      </c>
      <c r="F9" s="308">
        <f>'Month &amp; Hour Data'!H8</f>
        <v>1.0288756631320157</v>
      </c>
      <c r="G9" s="69">
        <f>'Month &amp; Hour Data'!D8</f>
        <v>31</v>
      </c>
      <c r="H9" s="69">
        <f>'Month &amp; Hour Data'!E8</f>
        <v>0</v>
      </c>
      <c r="I9" s="69">
        <f>'Month &amp; Hour Data'!G8</f>
        <v>336</v>
      </c>
      <c r="J9" s="70">
        <f t="shared" si="3"/>
        <v>324594235.40513647</v>
      </c>
      <c r="K9" s="70">
        <f t="shared" si="1"/>
        <v>8068083.9010564685</v>
      </c>
      <c r="L9" s="330">
        <f t="shared" si="2"/>
        <v>2.5489470183484891E-2</v>
      </c>
      <c r="M9" s="495"/>
      <c r="N9" s="294"/>
      <c r="O9" s="294"/>
      <c r="U9" s="495"/>
      <c r="V9" s="495"/>
      <c r="X9" s="310"/>
      <c r="AE9" s="4"/>
      <c r="AF9" s="4"/>
      <c r="AG9" s="4"/>
      <c r="AH9" s="66"/>
      <c r="AI9" s="66"/>
    </row>
    <row r="10" spans="1:35">
      <c r="A10" s="66">
        <f t="shared" si="0"/>
        <v>2004</v>
      </c>
      <c r="B10" s="67">
        <v>38200</v>
      </c>
      <c r="C10" s="294">
        <f>HLOOKUP(MONTH(B10),'Purchased kWh'!$4:$17,6,FALSE)</f>
        <v>311532144.03864002</v>
      </c>
      <c r="D10" s="68">
        <f>'Month &amp; Hour Data'!B9</f>
        <v>12.8</v>
      </c>
      <c r="E10" s="68">
        <f>'Month &amp; Hour Data'!C9</f>
        <v>59.6</v>
      </c>
      <c r="F10" s="308">
        <f>'Month &amp; Hour Data'!H9</f>
        <v>1.0310521535630701</v>
      </c>
      <c r="G10" s="69">
        <f>'Month &amp; Hour Data'!D9</f>
        <v>31</v>
      </c>
      <c r="H10" s="69">
        <f>'Month &amp; Hour Data'!E9</f>
        <v>0</v>
      </c>
      <c r="I10" s="69">
        <f>'Month &amp; Hour Data'!G9</f>
        <v>336</v>
      </c>
      <c r="J10" s="70">
        <f t="shared" si="3"/>
        <v>312132834.2382952</v>
      </c>
      <c r="K10" s="70">
        <f t="shared" si="1"/>
        <v>600690.19965517521</v>
      </c>
      <c r="L10" s="330">
        <f t="shared" si="2"/>
        <v>1.9281804820136643E-3</v>
      </c>
      <c r="M10" s="495"/>
      <c r="N10" s="294"/>
      <c r="O10" s="294"/>
      <c r="U10" s="495"/>
      <c r="V10" s="495"/>
      <c r="X10" s="310"/>
      <c r="AE10" s="4"/>
      <c r="AF10" s="4"/>
      <c r="AG10" s="4"/>
      <c r="AH10" s="66"/>
      <c r="AI10" s="66"/>
    </row>
    <row r="11" spans="1:35">
      <c r="A11" s="66">
        <f t="shared" si="0"/>
        <v>2004</v>
      </c>
      <c r="B11" s="67">
        <v>38231</v>
      </c>
      <c r="C11" s="294">
        <f>HLOOKUP(MONTH(B11),'Purchased kWh'!$4:$17,6,FALSE)</f>
        <v>300510638.83407998</v>
      </c>
      <c r="D11" s="68">
        <f>'Month &amp; Hour Data'!B10</f>
        <v>30</v>
      </c>
      <c r="E11" s="68">
        <f>'Month &amp; Hour Data'!C10</f>
        <v>41.2</v>
      </c>
      <c r="F11" s="308">
        <f>'Month &amp; Hour Data'!H10</f>
        <v>1.0332332481564799</v>
      </c>
      <c r="G11" s="69">
        <f>'Month &amp; Hour Data'!D10</f>
        <v>30</v>
      </c>
      <c r="H11" s="69">
        <f>'Month &amp; Hour Data'!E10</f>
        <v>1</v>
      </c>
      <c r="I11" s="69">
        <f>'Month &amp; Hour Data'!G10</f>
        <v>336</v>
      </c>
      <c r="J11" s="70">
        <f t="shared" si="3"/>
        <v>293054846.81399363</v>
      </c>
      <c r="K11" s="70">
        <f t="shared" si="1"/>
        <v>-7455792.0200863481</v>
      </c>
      <c r="L11" s="330">
        <f t="shared" si="2"/>
        <v>-2.4810409538288898E-2</v>
      </c>
      <c r="M11" s="495"/>
      <c r="N11" s="294"/>
      <c r="O11" s="294"/>
      <c r="U11" s="495"/>
      <c r="V11" s="495"/>
      <c r="X11" s="310"/>
      <c r="AE11" s="4"/>
      <c r="AF11" s="4"/>
      <c r="AG11" s="4"/>
      <c r="AH11" s="66"/>
      <c r="AI11" s="66"/>
    </row>
    <row r="12" spans="1:35">
      <c r="A12" s="66">
        <f t="shared" si="0"/>
        <v>2004</v>
      </c>
      <c r="B12" s="67">
        <v>38261</v>
      </c>
      <c r="C12" s="294">
        <f>HLOOKUP(MONTH(B12),'Purchased kWh'!$4:$17,6,FALSE)</f>
        <v>288181524.40336001</v>
      </c>
      <c r="D12" s="68">
        <f>'Month &amp; Hour Data'!B11</f>
        <v>226.3</v>
      </c>
      <c r="E12" s="68">
        <f>'Month &amp; Hour Data'!C11</f>
        <v>1.5</v>
      </c>
      <c r="F12" s="308">
        <f>'Month &amp; Hour Data'!H11</f>
        <v>1.0354189566519207</v>
      </c>
      <c r="G12" s="69">
        <f>'Month &amp; Hour Data'!D11</f>
        <v>31</v>
      </c>
      <c r="H12" s="69">
        <f>'Month &amp; Hour Data'!E11</f>
        <v>1</v>
      </c>
      <c r="I12" s="69">
        <f>'Month &amp; Hour Data'!G11</f>
        <v>320</v>
      </c>
      <c r="J12" s="70">
        <f t="shared" si="3"/>
        <v>287458769.24337691</v>
      </c>
      <c r="K12" s="70">
        <f t="shared" si="1"/>
        <v>-722755.15998309851</v>
      </c>
      <c r="L12" s="330">
        <f t="shared" si="2"/>
        <v>-2.5079857616808125E-3</v>
      </c>
      <c r="M12" s="495"/>
      <c r="N12" s="294"/>
      <c r="O12" s="294"/>
      <c r="U12" s="495"/>
      <c r="V12" s="495"/>
      <c r="X12" s="310"/>
      <c r="Y12" s="310"/>
      <c r="AH12" s="66"/>
      <c r="AI12" s="66"/>
    </row>
    <row r="13" spans="1:35">
      <c r="A13" s="66">
        <f t="shared" si="0"/>
        <v>2004</v>
      </c>
      <c r="B13" s="67">
        <v>38292</v>
      </c>
      <c r="C13" s="294">
        <f>HLOOKUP(MONTH(B13),'Purchased kWh'!$4:$17,6,FALSE)</f>
        <v>296760230.17967999</v>
      </c>
      <c r="D13" s="68">
        <f>'Month &amp; Hour Data'!B12</f>
        <v>379.1</v>
      </c>
      <c r="E13" s="68">
        <f>'Month &amp; Hour Data'!C12</f>
        <v>0</v>
      </c>
      <c r="F13" s="308">
        <f>'Month &amp; Hour Data'!H12</f>
        <v>1.0376092888096715</v>
      </c>
      <c r="G13" s="69">
        <f>'Month &amp; Hour Data'!D12</f>
        <v>30</v>
      </c>
      <c r="H13" s="69">
        <f>'Month &amp; Hour Data'!E12</f>
        <v>1</v>
      </c>
      <c r="I13" s="69">
        <f>'Month &amp; Hour Data'!G12</f>
        <v>352</v>
      </c>
      <c r="J13" s="70">
        <f t="shared" si="3"/>
        <v>294465754.74452496</v>
      </c>
      <c r="K13" s="70">
        <f t="shared" si="1"/>
        <v>-2294475.4351550341</v>
      </c>
      <c r="L13" s="330">
        <f t="shared" si="2"/>
        <v>-7.7317484009423827E-3</v>
      </c>
      <c r="M13" s="495"/>
      <c r="N13" s="294"/>
      <c r="O13" s="294"/>
      <c r="U13" s="495"/>
      <c r="V13" s="495"/>
      <c r="AH13" s="66"/>
      <c r="AI13" s="66"/>
    </row>
    <row r="14" spans="1:35">
      <c r="A14" s="66">
        <f t="shared" si="0"/>
        <v>2004</v>
      </c>
      <c r="B14" s="67">
        <v>38322</v>
      </c>
      <c r="C14" s="294">
        <f>HLOOKUP(MONTH(B14),'Purchased kWh'!$4:$17,6,FALSE)</f>
        <v>315819545.97799999</v>
      </c>
      <c r="D14" s="68">
        <f>'Month &amp; Hour Data'!B13</f>
        <v>643.4</v>
      </c>
      <c r="E14" s="68">
        <f>'Month &amp; Hour Data'!C13</f>
        <v>0</v>
      </c>
      <c r="F14" s="308">
        <f>'Month &amp; Hour Data'!H13</f>
        <v>1.0398042544106587</v>
      </c>
      <c r="G14" s="69">
        <f>'Month &amp; Hour Data'!D13</f>
        <v>31</v>
      </c>
      <c r="H14" s="69">
        <f>'Month &amp; Hour Data'!E13</f>
        <v>0</v>
      </c>
      <c r="I14" s="69">
        <f>'Month &amp; Hour Data'!G13</f>
        <v>336</v>
      </c>
      <c r="J14" s="70">
        <f t="shared" si="3"/>
        <v>317781812.50522697</v>
      </c>
      <c r="K14" s="70">
        <f t="shared" si="1"/>
        <v>1962266.5272269845</v>
      </c>
      <c r="L14" s="330">
        <f t="shared" si="2"/>
        <v>6.2132523215129827E-3</v>
      </c>
      <c r="M14" s="495"/>
      <c r="N14" s="294"/>
      <c r="O14" s="294"/>
      <c r="U14" s="495"/>
      <c r="V14" s="495"/>
      <c r="AH14" s="66"/>
      <c r="AI14" s="66"/>
    </row>
    <row r="15" spans="1:35">
      <c r="A15" s="66">
        <f t="shared" si="0"/>
        <v>2005</v>
      </c>
      <c r="B15" s="67">
        <v>38353</v>
      </c>
      <c r="C15" s="294">
        <f>HLOOKUP(MONTH(B15),'Purchased kWh'!$4:$17,7,FALSE)</f>
        <v>329967590.92255998</v>
      </c>
      <c r="D15" s="68">
        <f>'Month &amp; Hour Data'!B14</f>
        <v>770</v>
      </c>
      <c r="E15" s="68">
        <f>'Month &amp; Hour Data'!C14</f>
        <v>0</v>
      </c>
      <c r="F15" s="308">
        <f>'Month &amp; Hour Data'!H14</f>
        <v>1.0421691144657905</v>
      </c>
      <c r="G15" s="69">
        <f>'Month &amp; Hour Data'!D14</f>
        <v>31</v>
      </c>
      <c r="H15" s="69">
        <f>'Month &amp; Hour Data'!E14</f>
        <v>0</v>
      </c>
      <c r="I15" s="69">
        <f>'Month &amp; Hour Data'!G14</f>
        <v>320</v>
      </c>
      <c r="J15" s="70">
        <f t="shared" si="3"/>
        <v>322562831.0732249</v>
      </c>
      <c r="K15" s="70">
        <f t="shared" si="1"/>
        <v>-7404759.8493350744</v>
      </c>
      <c r="L15" s="330">
        <f t="shared" si="2"/>
        <v>-2.24408701128254E-2</v>
      </c>
      <c r="M15" s="495"/>
      <c r="N15" s="294"/>
      <c r="O15" s="294"/>
      <c r="U15" s="495"/>
      <c r="V15" s="495"/>
      <c r="AH15" s="66"/>
      <c r="AI15" s="66"/>
    </row>
    <row r="16" spans="1:35">
      <c r="A16" s="66">
        <f t="shared" si="0"/>
        <v>2005</v>
      </c>
      <c r="B16" s="67">
        <v>38384</v>
      </c>
      <c r="C16" s="294">
        <f>HLOOKUP(MONTH(B16),'Purchased kWh'!$4:$17,7,FALSE)</f>
        <v>293588957.80200005</v>
      </c>
      <c r="D16" s="68">
        <f>'Month &amp; Hour Data'!B15</f>
        <v>616.4</v>
      </c>
      <c r="E16" s="68">
        <f>'Month &amp; Hour Data'!C15</f>
        <v>0</v>
      </c>
      <c r="F16" s="308">
        <f>'Month &amp; Hour Data'!H15</f>
        <v>1.0445393529977427</v>
      </c>
      <c r="G16" s="69">
        <f>'Month &amp; Hour Data'!D15</f>
        <v>28</v>
      </c>
      <c r="H16" s="69">
        <f>'Month &amp; Hour Data'!E15</f>
        <v>0</v>
      </c>
      <c r="I16" s="69">
        <f>'Month &amp; Hour Data'!G15</f>
        <v>320</v>
      </c>
      <c r="J16" s="70">
        <f t="shared" si="3"/>
        <v>297080548.87342405</v>
      </c>
      <c r="K16" s="70">
        <f t="shared" si="1"/>
        <v>3491591.0714240074</v>
      </c>
      <c r="L16" s="330">
        <f t="shared" si="2"/>
        <v>1.1892787445292064E-2</v>
      </c>
      <c r="M16" s="495"/>
      <c r="N16" s="294"/>
      <c r="O16" s="294"/>
      <c r="U16" s="495"/>
      <c r="V16" s="495"/>
      <c r="AH16" s="66"/>
      <c r="AI16" s="66"/>
    </row>
    <row r="17" spans="1:35">
      <c r="A17" s="66">
        <f t="shared" si="0"/>
        <v>2005</v>
      </c>
      <c r="B17" s="67">
        <v>38412</v>
      </c>
      <c r="C17" s="294">
        <f>HLOOKUP(MONTH(B17),'Purchased kWh'!$4:$17,7,FALSE)</f>
        <v>313508513.50768</v>
      </c>
      <c r="D17" s="68">
        <f>'Month &amp; Hour Data'!B16</f>
        <v>608.6</v>
      </c>
      <c r="E17" s="68">
        <f>'Month &amp; Hour Data'!C16</f>
        <v>0</v>
      </c>
      <c r="F17" s="308">
        <f>'Month &amp; Hour Data'!H16</f>
        <v>1.0469149822389572</v>
      </c>
      <c r="G17" s="69">
        <f>'Month &amp; Hour Data'!D16</f>
        <v>31</v>
      </c>
      <c r="H17" s="69">
        <f>'Month &amp; Hour Data'!E16</f>
        <v>1</v>
      </c>
      <c r="I17" s="69">
        <f>'Month &amp; Hour Data'!G16</f>
        <v>352</v>
      </c>
      <c r="J17" s="70">
        <f t="shared" si="3"/>
        <v>315004229.24834484</v>
      </c>
      <c r="K17" s="70">
        <f t="shared" si="1"/>
        <v>1495715.7406648397</v>
      </c>
      <c r="L17" s="330">
        <f t="shared" si="2"/>
        <v>4.7708935362873305E-3</v>
      </c>
      <c r="M17" s="495"/>
      <c r="N17" s="294"/>
      <c r="O17" s="294"/>
      <c r="U17" s="495"/>
      <c r="V17" s="495"/>
      <c r="AH17" s="66"/>
      <c r="AI17" s="66"/>
    </row>
    <row r="18" spans="1:35">
      <c r="A18" s="66">
        <f t="shared" si="0"/>
        <v>2005</v>
      </c>
      <c r="B18" s="67">
        <v>38443</v>
      </c>
      <c r="C18" s="294">
        <f>HLOOKUP(MONTH(B18),'Purchased kWh'!$4:$17,7,FALSE)</f>
        <v>285449755.92167997</v>
      </c>
      <c r="D18" s="68">
        <f>'Month &amp; Hour Data'!B17</f>
        <v>306.8</v>
      </c>
      <c r="E18" s="68">
        <f>'Month &amp; Hour Data'!C17</f>
        <v>0</v>
      </c>
      <c r="F18" s="308">
        <f>'Month &amp; Hour Data'!H17</f>
        <v>1.0492960144496968</v>
      </c>
      <c r="G18" s="69">
        <f>'Month &amp; Hour Data'!D17</f>
        <v>30</v>
      </c>
      <c r="H18" s="69">
        <f>'Month &amp; Hour Data'!E17</f>
        <v>1</v>
      </c>
      <c r="I18" s="69">
        <f>'Month &amp; Hour Data'!G17</f>
        <v>336</v>
      </c>
      <c r="J18" s="70">
        <f t="shared" si="3"/>
        <v>291087958.89736038</v>
      </c>
      <c r="K18" s="70">
        <f t="shared" si="1"/>
        <v>5638202.9756804109</v>
      </c>
      <c r="L18" s="330">
        <f t="shared" si="2"/>
        <v>1.975199788654711E-2</v>
      </c>
      <c r="M18" s="495"/>
      <c r="N18" s="294"/>
      <c r="O18" s="294"/>
      <c r="U18" s="495"/>
      <c r="V18" s="495"/>
      <c r="AH18" s="66"/>
      <c r="AI18" s="66"/>
    </row>
    <row r="19" spans="1:35">
      <c r="A19" s="66">
        <f t="shared" si="0"/>
        <v>2005</v>
      </c>
      <c r="B19" s="67">
        <v>38473</v>
      </c>
      <c r="C19" s="294">
        <f>HLOOKUP(MONTH(B19),'Purchased kWh'!$4:$17,7,FALSE)</f>
        <v>287810112.58807999</v>
      </c>
      <c r="D19" s="68">
        <f>'Month &amp; Hour Data'!B18</f>
        <v>189.4</v>
      </c>
      <c r="E19" s="68">
        <f>'Month &amp; Hour Data'!C18</f>
        <v>0.8</v>
      </c>
      <c r="F19" s="308">
        <f>'Month &amp; Hour Data'!H18</f>
        <v>1.0516824619181071</v>
      </c>
      <c r="G19" s="69">
        <f>'Month &amp; Hour Data'!D18</f>
        <v>31</v>
      </c>
      <c r="H19" s="69">
        <f>'Month &amp; Hour Data'!E18</f>
        <v>1</v>
      </c>
      <c r="I19" s="69">
        <f>'Month &amp; Hour Data'!G18</f>
        <v>336</v>
      </c>
      <c r="J19" s="70">
        <f t="shared" si="3"/>
        <v>291857925.08868706</v>
      </c>
      <c r="K19" s="70">
        <f t="shared" si="1"/>
        <v>4047812.5006070733</v>
      </c>
      <c r="L19" s="330">
        <f t="shared" si="2"/>
        <v>1.4064177468289273E-2</v>
      </c>
      <c r="M19" s="495"/>
      <c r="N19" s="294"/>
      <c r="O19" s="294"/>
      <c r="U19" s="495"/>
      <c r="V19" s="495"/>
      <c r="AH19" s="66"/>
      <c r="AI19" s="66"/>
    </row>
    <row r="20" spans="1:35">
      <c r="A20" s="66">
        <f t="shared" si="0"/>
        <v>2005</v>
      </c>
      <c r="B20" s="67">
        <v>38504</v>
      </c>
      <c r="C20" s="294">
        <f>HLOOKUP(MONTH(B20),'Purchased kWh'!$4:$17,7,FALSE)</f>
        <v>354566496.19744003</v>
      </c>
      <c r="D20" s="68">
        <f>'Month &amp; Hour Data'!B19</f>
        <v>8.9</v>
      </c>
      <c r="E20" s="68">
        <f>'Month &amp; Hour Data'!C19</f>
        <v>146.30000000000001</v>
      </c>
      <c r="F20" s="308">
        <f>'Month &amp; Hour Data'!H19</f>
        <v>1.0540743369602825</v>
      </c>
      <c r="G20" s="69">
        <f>'Month &amp; Hour Data'!D19</f>
        <v>30</v>
      </c>
      <c r="H20" s="69">
        <f>'Month &amp; Hour Data'!E19</f>
        <v>0</v>
      </c>
      <c r="I20" s="69">
        <f>'Month &amp; Hour Data'!G19</f>
        <v>352</v>
      </c>
      <c r="J20" s="70">
        <f t="shared" si="3"/>
        <v>358083558.21999413</v>
      </c>
      <c r="K20" s="70">
        <f t="shared" si="1"/>
        <v>3517062.0225540996</v>
      </c>
      <c r="L20" s="330">
        <f t="shared" si="2"/>
        <v>9.9193298302940238E-3</v>
      </c>
      <c r="M20" s="495"/>
      <c r="N20" s="294"/>
      <c r="O20" s="294"/>
      <c r="U20" s="495"/>
      <c r="V20" s="495"/>
      <c r="AH20" s="66"/>
      <c r="AI20" s="66"/>
    </row>
    <row r="21" spans="1:35">
      <c r="A21" s="66">
        <f t="shared" si="0"/>
        <v>2005</v>
      </c>
      <c r="B21" s="67">
        <v>38534</v>
      </c>
      <c r="C21" s="294">
        <f>HLOOKUP(MONTH(B21),'Purchased kWh'!$4:$17,7,FALSE)</f>
        <v>365920796.29247999</v>
      </c>
      <c r="D21" s="68">
        <f>'Month &amp; Hour Data'!B20</f>
        <v>0</v>
      </c>
      <c r="E21" s="68">
        <f>'Month &amp; Hour Data'!C20</f>
        <v>188.7</v>
      </c>
      <c r="F21" s="308">
        <f>'Month &amp; Hour Data'!H20</f>
        <v>1.0564716519203272</v>
      </c>
      <c r="G21" s="69">
        <f>'Month &amp; Hour Data'!D20</f>
        <v>31</v>
      </c>
      <c r="H21" s="69">
        <f>'Month &amp; Hour Data'!E20</f>
        <v>0</v>
      </c>
      <c r="I21" s="69">
        <f>'Month &amp; Hour Data'!G20</f>
        <v>320</v>
      </c>
      <c r="J21" s="70">
        <f t="shared" si="3"/>
        <v>380498201.09625244</v>
      </c>
      <c r="K21" s="70">
        <f t="shared" si="1"/>
        <v>14577404.803772449</v>
      </c>
      <c r="L21" s="330">
        <f t="shared" si="2"/>
        <v>3.9837595871760043E-2</v>
      </c>
      <c r="M21" s="495"/>
      <c r="N21" s="495"/>
      <c r="P21" s="495"/>
      <c r="Q21" s="495"/>
      <c r="R21" s="495"/>
      <c r="S21" s="495"/>
      <c r="T21" s="495"/>
      <c r="U21" s="495"/>
      <c r="V21" s="495"/>
      <c r="AH21" s="66"/>
      <c r="AI21" s="66"/>
    </row>
    <row r="22" spans="1:35">
      <c r="A22" s="66">
        <f t="shared" si="0"/>
        <v>2005</v>
      </c>
      <c r="B22" s="67">
        <v>38565</v>
      </c>
      <c r="C22" s="294">
        <f>HLOOKUP(MONTH(B22),'Purchased kWh'!$4:$17,7,FALSE)</f>
        <v>358835198.94231999</v>
      </c>
      <c r="D22" s="68">
        <f>'Month &amp; Hour Data'!B21</f>
        <v>0.2</v>
      </c>
      <c r="E22" s="68">
        <f>'Month &amp; Hour Data'!C21</f>
        <v>140.69999999999999</v>
      </c>
      <c r="F22" s="308">
        <f>'Month &amp; Hour Data'!H21</f>
        <v>1.05887441917042</v>
      </c>
      <c r="G22" s="69">
        <f>'Month &amp; Hour Data'!D21</f>
        <v>31</v>
      </c>
      <c r="H22" s="69">
        <f>'Month &amp; Hour Data'!E21</f>
        <v>0</v>
      </c>
      <c r="I22" s="69">
        <f>'Month &amp; Hour Data'!G21</f>
        <v>352</v>
      </c>
      <c r="J22" s="70">
        <f t="shared" si="3"/>
        <v>362011581.10610473</v>
      </c>
      <c r="K22" s="70">
        <f t="shared" si="1"/>
        <v>3176382.1637847424</v>
      </c>
      <c r="L22" s="330">
        <f t="shared" si="2"/>
        <v>8.8519247084657415E-3</v>
      </c>
      <c r="M22" s="495"/>
      <c r="N22" s="495"/>
      <c r="P22" s="495"/>
      <c r="Q22" s="495"/>
      <c r="R22" s="495"/>
      <c r="S22" s="495"/>
      <c r="T22" s="495"/>
      <c r="U22" s="495"/>
      <c r="V22" s="495"/>
      <c r="AH22" s="66"/>
      <c r="AI22" s="66"/>
    </row>
    <row r="23" spans="1:35">
      <c r="A23" s="66">
        <f t="shared" si="0"/>
        <v>2005</v>
      </c>
      <c r="B23" s="67">
        <v>38596</v>
      </c>
      <c r="C23" s="294">
        <f>HLOOKUP(MONTH(B23),'Purchased kWh'!$4:$17,7,FALSE)</f>
        <v>314383693.67223996</v>
      </c>
      <c r="D23" s="68">
        <f>'Month &amp; Hour Data'!B22</f>
        <v>22.6</v>
      </c>
      <c r="E23" s="68">
        <f>'Month &amp; Hour Data'!C22</f>
        <v>52.1</v>
      </c>
      <c r="F23" s="308">
        <f>'Month &amp; Hour Data'!H22</f>
        <v>1.0612826511108788</v>
      </c>
      <c r="G23" s="69">
        <f>'Month &amp; Hour Data'!D22</f>
        <v>30</v>
      </c>
      <c r="H23" s="69">
        <f>'Month &amp; Hour Data'!E22</f>
        <v>1</v>
      </c>
      <c r="I23" s="69">
        <f>'Month &amp; Hour Data'!G22</f>
        <v>336</v>
      </c>
      <c r="J23" s="70">
        <f t="shared" si="3"/>
        <v>305347037.72568786</v>
      </c>
      <c r="K23" s="70">
        <f t="shared" si="1"/>
        <v>-9036655.9465520978</v>
      </c>
      <c r="L23" s="330">
        <f t="shared" si="2"/>
        <v>-2.8744035166064445E-2</v>
      </c>
      <c r="M23" s="495"/>
      <c r="N23" s="495"/>
      <c r="P23" s="495"/>
      <c r="Q23" s="495"/>
      <c r="R23" s="495"/>
      <c r="S23" s="495"/>
      <c r="T23" s="495"/>
      <c r="U23" s="495"/>
      <c r="V23" s="495"/>
      <c r="AH23" s="66"/>
      <c r="AI23" s="66"/>
    </row>
    <row r="24" spans="1:35">
      <c r="A24" s="66">
        <f t="shared" si="0"/>
        <v>2005</v>
      </c>
      <c r="B24" s="67">
        <v>38626</v>
      </c>
      <c r="C24" s="294">
        <f>HLOOKUP(MONTH(B24),'Purchased kWh'!$4:$17,7,FALSE)</f>
        <v>304341531.72799999</v>
      </c>
      <c r="D24" s="68">
        <f>'Month &amp; Hour Data'!B23</f>
        <v>220.2</v>
      </c>
      <c r="E24" s="68">
        <f>'Month &amp; Hour Data'!C23</f>
        <v>7.6</v>
      </c>
      <c r="F24" s="308">
        <f>'Month &amp; Hour Data'!H23</f>
        <v>1.0636963601702236</v>
      </c>
      <c r="G24" s="69">
        <f>'Month &amp; Hour Data'!D23</f>
        <v>31</v>
      </c>
      <c r="H24" s="69">
        <f>'Month &amp; Hour Data'!E23</f>
        <v>1</v>
      </c>
      <c r="I24" s="69">
        <f>'Month &amp; Hour Data'!G23</f>
        <v>320</v>
      </c>
      <c r="J24" s="70">
        <f t="shared" si="3"/>
        <v>297459138.58108377</v>
      </c>
      <c r="K24" s="70">
        <f t="shared" si="1"/>
        <v>-6882393.1469162107</v>
      </c>
      <c r="L24" s="330">
        <f t="shared" si="2"/>
        <v>-2.2614045174311703E-2</v>
      </c>
      <c r="M24" s="495"/>
      <c r="N24" s="495"/>
      <c r="P24" s="495"/>
      <c r="Q24" s="495"/>
      <c r="R24" s="495"/>
      <c r="S24" s="495"/>
      <c r="T24" s="495"/>
      <c r="U24" s="495"/>
      <c r="V24" s="495"/>
      <c r="AH24" s="66"/>
      <c r="AI24" s="66"/>
    </row>
    <row r="25" spans="1:35">
      <c r="A25" s="66">
        <f t="shared" si="0"/>
        <v>2005</v>
      </c>
      <c r="B25" s="67">
        <v>38657</v>
      </c>
      <c r="C25" s="294">
        <f>HLOOKUP(MONTH(B25),'Purchased kWh'!$4:$17,7,FALSE)</f>
        <v>311009155.23224002</v>
      </c>
      <c r="D25" s="68">
        <f>'Month &amp; Hour Data'!B24</f>
        <v>388.4</v>
      </c>
      <c r="E25" s="68">
        <f>'Month &amp; Hour Data'!C24</f>
        <v>0</v>
      </c>
      <c r="F25" s="308">
        <f>'Month &amp; Hour Data'!H24</f>
        <v>1.0661155588052409</v>
      </c>
      <c r="G25" s="69">
        <f>'Month &amp; Hour Data'!D24</f>
        <v>30</v>
      </c>
      <c r="H25" s="69">
        <f>'Month &amp; Hour Data'!E24</f>
        <v>1</v>
      </c>
      <c r="I25" s="69">
        <f>'Month &amp; Hour Data'!G24</f>
        <v>352</v>
      </c>
      <c r="J25" s="70">
        <f t="shared" si="3"/>
        <v>302267112.26062924</v>
      </c>
      <c r="K25" s="70">
        <f t="shared" si="1"/>
        <v>-8742042.9716107845</v>
      </c>
      <c r="L25" s="330">
        <f t="shared" si="2"/>
        <v>-2.8108635467926447E-2</v>
      </c>
      <c r="M25" s="495"/>
      <c r="N25" s="495"/>
      <c r="P25" s="495"/>
      <c r="Q25" s="495"/>
      <c r="R25" s="495"/>
      <c r="S25" s="495"/>
      <c r="T25" s="495"/>
      <c r="U25" s="495"/>
      <c r="V25" s="495"/>
      <c r="AH25" s="66"/>
      <c r="AI25" s="66"/>
    </row>
    <row r="26" spans="1:35">
      <c r="A26" s="66">
        <f t="shared" si="0"/>
        <v>2005</v>
      </c>
      <c r="B26" s="67">
        <v>38687</v>
      </c>
      <c r="C26" s="294">
        <f>HLOOKUP(MONTH(B26),'Purchased kWh'!$4:$17,7,FALSE)</f>
        <v>329446542.45952004</v>
      </c>
      <c r="D26" s="68">
        <f>'Month &amp; Hour Data'!B25</f>
        <v>665.3</v>
      </c>
      <c r="E26" s="68">
        <f>'Month &amp; Hour Data'!C25</f>
        <v>0</v>
      </c>
      <c r="F26" s="308">
        <f>'Month &amp; Hour Data'!H25</f>
        <v>1.068540259501048</v>
      </c>
      <c r="G26" s="69">
        <f>'Month &amp; Hour Data'!D25</f>
        <v>31</v>
      </c>
      <c r="H26" s="69">
        <f>'Month &amp; Hour Data'!E25</f>
        <v>0</v>
      </c>
      <c r="I26" s="69">
        <f>'Month &amp; Hour Data'!G25</f>
        <v>320</v>
      </c>
      <c r="J26" s="70">
        <f t="shared" si="3"/>
        <v>323770822.10713732</v>
      </c>
      <c r="K26" s="70">
        <f t="shared" si="1"/>
        <v>-5675720.3523827195</v>
      </c>
      <c r="L26" s="330">
        <f t="shared" si="2"/>
        <v>-1.7228046498864412E-2</v>
      </c>
      <c r="M26" s="495"/>
      <c r="N26" s="593"/>
      <c r="O26" s="593"/>
      <c r="P26" s="495"/>
      <c r="Q26" s="495"/>
      <c r="R26" s="495"/>
      <c r="S26" s="495"/>
      <c r="T26" s="495"/>
      <c r="U26" s="495"/>
      <c r="V26" s="495"/>
      <c r="AH26" s="66"/>
      <c r="AI26" s="66"/>
    </row>
    <row r="27" spans="1:35">
      <c r="A27" s="66">
        <f t="shared" si="0"/>
        <v>2006</v>
      </c>
      <c r="B27" s="67">
        <v>38718</v>
      </c>
      <c r="C27" s="294">
        <f>HLOOKUP(MONTH(B27),'Purchased kWh'!$4:$17,8,FALSE)</f>
        <v>329248076.85679996</v>
      </c>
      <c r="D27" s="68">
        <f>'Month &amp; Hour Data'!B26</f>
        <v>551.79999999999995</v>
      </c>
      <c r="E27" s="68">
        <f>'Month &amp; Hour Data'!C26</f>
        <v>0</v>
      </c>
      <c r="F27" s="308">
        <f>'Month &amp; Hour Data'!H26</f>
        <v>1.0706945906258896</v>
      </c>
      <c r="G27" s="69">
        <f>'Month &amp; Hour Data'!D26</f>
        <v>31</v>
      </c>
      <c r="H27" s="69">
        <f>'Month &amp; Hour Data'!E26</f>
        <v>0</v>
      </c>
      <c r="I27" s="69">
        <f>'Month &amp; Hour Data'!G26</f>
        <v>336</v>
      </c>
      <c r="J27" s="70">
        <f t="shared" si="3"/>
        <v>320843143.43649888</v>
      </c>
      <c r="K27" s="70">
        <f t="shared" si="1"/>
        <v>-8404933.4203010798</v>
      </c>
      <c r="L27" s="330">
        <f t="shared" si="2"/>
        <v>-2.5527661393012911E-2</v>
      </c>
      <c r="M27" s="495"/>
      <c r="N27" s="310"/>
      <c r="O27" s="310"/>
      <c r="P27" s="495"/>
      <c r="Q27" s="495"/>
      <c r="R27" s="495"/>
      <c r="S27" s="495"/>
      <c r="T27" s="495"/>
      <c r="U27" s="495"/>
      <c r="V27" s="495"/>
      <c r="AH27" s="66"/>
      <c r="AI27" s="66"/>
    </row>
    <row r="28" spans="1:35">
      <c r="A28" s="66">
        <f t="shared" si="0"/>
        <v>2006</v>
      </c>
      <c r="B28" s="67">
        <v>38749</v>
      </c>
      <c r="C28" s="294">
        <f>HLOOKUP(MONTH(B28),'Purchased kWh'!$4:$17,8,FALSE)</f>
        <v>304825404.56072003</v>
      </c>
      <c r="D28" s="68">
        <f>'Month &amp; Hour Data'!B27</f>
        <v>604.29999999999995</v>
      </c>
      <c r="E28" s="68">
        <f>'Month &amp; Hour Data'!C27</f>
        <v>0</v>
      </c>
      <c r="F28" s="308">
        <f>'Month &amp; Hour Data'!H27</f>
        <v>1.0728532651926865</v>
      </c>
      <c r="G28" s="69">
        <f>'Month &amp; Hour Data'!D27</f>
        <v>28</v>
      </c>
      <c r="H28" s="69">
        <f>'Month &amp; Hour Data'!E27</f>
        <v>0</v>
      </c>
      <c r="I28" s="69">
        <f>'Month &amp; Hour Data'!G27</f>
        <v>320</v>
      </c>
      <c r="J28" s="70">
        <f t="shared" si="3"/>
        <v>303697643.50641584</v>
      </c>
      <c r="K28" s="70">
        <f t="shared" si="1"/>
        <v>-1127761.0543041825</v>
      </c>
      <c r="L28" s="330">
        <f t="shared" si="2"/>
        <v>-3.6996950957200714E-3</v>
      </c>
      <c r="M28" s="495"/>
      <c r="N28" s="310"/>
      <c r="O28" s="310"/>
      <c r="P28" s="495"/>
      <c r="Q28" s="495"/>
      <c r="R28" s="495"/>
      <c r="S28" s="495"/>
      <c r="T28" s="495"/>
      <c r="U28" s="495"/>
      <c r="V28" s="495"/>
      <c r="AH28" s="66"/>
      <c r="AI28" s="66"/>
    </row>
    <row r="29" spans="1:35">
      <c r="A29" s="66">
        <f t="shared" si="0"/>
        <v>2006</v>
      </c>
      <c r="B29" s="67">
        <v>38777</v>
      </c>
      <c r="C29" s="294">
        <f>HLOOKUP(MONTH(B29),'Purchased kWh'!$4:$17,8,FALSE)</f>
        <v>325241931.66935998</v>
      </c>
      <c r="D29" s="68">
        <f>'Month &amp; Hour Data'!B28</f>
        <v>516.6</v>
      </c>
      <c r="E29" s="68">
        <f>'Month &amp; Hour Data'!C28</f>
        <v>0</v>
      </c>
      <c r="F29" s="308">
        <f>'Month &amp; Hour Data'!H28</f>
        <v>1.0750162919584452</v>
      </c>
      <c r="G29" s="69">
        <f>'Month &amp; Hour Data'!D28</f>
        <v>31</v>
      </c>
      <c r="H29" s="69">
        <f>'Month &amp; Hour Data'!E28</f>
        <v>1</v>
      </c>
      <c r="I29" s="69">
        <f>'Month &amp; Hour Data'!G28</f>
        <v>368</v>
      </c>
      <c r="J29" s="70">
        <f t="shared" si="3"/>
        <v>319868810.93368834</v>
      </c>
      <c r="K29" s="70">
        <f t="shared" si="1"/>
        <v>-5373120.7356716394</v>
      </c>
      <c r="L29" s="330">
        <f t="shared" si="2"/>
        <v>-1.6520381329963134E-2</v>
      </c>
      <c r="M29" s="495"/>
      <c r="N29" s="310"/>
      <c r="O29" s="310"/>
      <c r="P29" s="495"/>
      <c r="Q29" s="495"/>
      <c r="R29" s="495"/>
      <c r="S29" s="495"/>
      <c r="T29" s="495"/>
      <c r="U29" s="495"/>
      <c r="V29" s="495"/>
      <c r="AH29" s="66"/>
      <c r="AI29" s="66"/>
    </row>
    <row r="30" spans="1:35">
      <c r="A30" s="66">
        <f t="shared" si="0"/>
        <v>2006</v>
      </c>
      <c r="B30" s="67">
        <v>38808</v>
      </c>
      <c r="C30" s="294">
        <f>HLOOKUP(MONTH(B30),'Purchased kWh'!$4:$17,8,FALSE)</f>
        <v>289070045.05703998</v>
      </c>
      <c r="D30" s="68">
        <f>'Month &amp; Hour Data'!B29</f>
        <v>293.3</v>
      </c>
      <c r="E30" s="68">
        <f>'Month &amp; Hour Data'!C29</f>
        <v>0</v>
      </c>
      <c r="F30" s="308">
        <f>'Month &amp; Hour Data'!H29</f>
        <v>1.0771836796978254</v>
      </c>
      <c r="G30" s="69">
        <f>'Month &amp; Hour Data'!D29</f>
        <v>30</v>
      </c>
      <c r="H30" s="69">
        <f>'Month &amp; Hour Data'!E29</f>
        <v>1</v>
      </c>
      <c r="I30" s="69">
        <f>'Month &amp; Hour Data'!G29</f>
        <v>304</v>
      </c>
      <c r="J30" s="70">
        <f t="shared" si="3"/>
        <v>292442556.95712703</v>
      </c>
      <c r="K30" s="70">
        <f t="shared" si="1"/>
        <v>3372511.9000870585</v>
      </c>
      <c r="L30" s="330">
        <f t="shared" si="2"/>
        <v>1.1666763671142704E-2</v>
      </c>
      <c r="M30" s="495"/>
      <c r="N30" s="310"/>
      <c r="O30" s="310"/>
      <c r="P30" s="495"/>
      <c r="Q30" s="495"/>
      <c r="R30" s="495"/>
      <c r="S30" s="495"/>
      <c r="T30" s="495"/>
      <c r="U30" s="495"/>
      <c r="V30" s="495"/>
      <c r="AH30" s="66"/>
      <c r="AI30" s="66"/>
    </row>
    <row r="31" spans="1:35">
      <c r="A31" s="66">
        <f t="shared" si="0"/>
        <v>2006</v>
      </c>
      <c r="B31" s="67">
        <v>38838</v>
      </c>
      <c r="C31" s="294">
        <f>HLOOKUP(MONTH(B31),'Purchased kWh'!$4:$17,8,FALSE)</f>
        <v>310032606.06352001</v>
      </c>
      <c r="D31" s="68">
        <f>'Month &amp; Hour Data'!B30</f>
        <v>136.9</v>
      </c>
      <c r="E31" s="68">
        <f>'Month &amp; Hour Data'!C30</f>
        <v>26</v>
      </c>
      <c r="F31" s="308">
        <f>'Month &amp; Hour Data'!H30</f>
        <v>1.0793554372031784</v>
      </c>
      <c r="G31" s="69">
        <f>'Month &amp; Hour Data'!D30</f>
        <v>31</v>
      </c>
      <c r="H31" s="69">
        <f>'Month &amp; Hour Data'!E30</f>
        <v>1</v>
      </c>
      <c r="I31" s="69">
        <f>'Month &amp; Hour Data'!G30</f>
        <v>352</v>
      </c>
      <c r="J31" s="70">
        <f t="shared" si="3"/>
        <v>311408477.79570431</v>
      </c>
      <c r="K31" s="70">
        <f t="shared" si="1"/>
        <v>1375871.7321842909</v>
      </c>
      <c r="L31" s="330">
        <f t="shared" si="2"/>
        <v>4.4378291356309794E-3</v>
      </c>
      <c r="M31" s="495"/>
      <c r="N31" s="310"/>
      <c r="O31" s="310"/>
      <c r="P31" s="495"/>
      <c r="Q31" s="495"/>
      <c r="R31" s="495"/>
      <c r="S31" s="495"/>
      <c r="T31" s="495"/>
      <c r="U31" s="495"/>
      <c r="V31" s="495"/>
      <c r="AH31" s="66"/>
      <c r="AI31" s="66"/>
    </row>
    <row r="32" spans="1:35">
      <c r="A32" s="66">
        <f t="shared" si="0"/>
        <v>2006</v>
      </c>
      <c r="B32" s="67">
        <v>38869</v>
      </c>
      <c r="C32" s="294">
        <f>HLOOKUP(MONTH(B32),'Purchased kWh'!$4:$17,8,FALSE)</f>
        <v>333895801.36328</v>
      </c>
      <c r="D32" s="68">
        <f>'Month &amp; Hour Data'!B31</f>
        <v>19.5</v>
      </c>
      <c r="E32" s="68">
        <f>'Month &amp; Hour Data'!C31</f>
        <v>73.599999999999994</v>
      </c>
      <c r="F32" s="308">
        <f>'Month &amp; Hour Data'!H31</f>
        <v>1.0815315732845823</v>
      </c>
      <c r="G32" s="69">
        <f>'Month &amp; Hour Data'!D31</f>
        <v>30</v>
      </c>
      <c r="H32" s="69">
        <f>'Month &amp; Hour Data'!E31</f>
        <v>0</v>
      </c>
      <c r="I32" s="69">
        <f>'Month &amp; Hour Data'!G31</f>
        <v>352</v>
      </c>
      <c r="J32" s="70">
        <f t="shared" si="3"/>
        <v>329043827.75933135</v>
      </c>
      <c r="K32" s="70">
        <f t="shared" si="1"/>
        <v>-4851973.6039486527</v>
      </c>
      <c r="L32" s="330">
        <f t="shared" si="2"/>
        <v>-1.453140046726639E-2</v>
      </c>
      <c r="M32" s="495"/>
      <c r="N32" s="495"/>
      <c r="P32" s="495"/>
      <c r="Q32" s="495"/>
      <c r="R32" s="495"/>
      <c r="S32" s="495"/>
      <c r="T32" s="495"/>
      <c r="U32" s="495"/>
      <c r="V32" s="495"/>
      <c r="AH32" s="66"/>
      <c r="AI32" s="66"/>
    </row>
    <row r="33" spans="1:35">
      <c r="A33" s="66">
        <f t="shared" si="0"/>
        <v>2006</v>
      </c>
      <c r="B33" s="67">
        <v>38899</v>
      </c>
      <c r="C33" s="294">
        <f>HLOOKUP(MONTH(B33),'Purchased kWh'!$4:$17,8,FALSE)</f>
        <v>371225703.04703999</v>
      </c>
      <c r="D33" s="68">
        <f>'Month &amp; Hour Data'!B32</f>
        <v>0</v>
      </c>
      <c r="E33" s="68">
        <f>'Month &amp; Hour Data'!C32</f>
        <v>167.3</v>
      </c>
      <c r="F33" s="308">
        <f>'Month &amp; Hour Data'!H32</f>
        <v>1.0837120967698766</v>
      </c>
      <c r="G33" s="69">
        <f>'Month &amp; Hour Data'!D32</f>
        <v>31</v>
      </c>
      <c r="H33" s="69">
        <f>'Month &amp; Hour Data'!E32</f>
        <v>0</v>
      </c>
      <c r="I33" s="69">
        <f>'Month &amp; Hour Data'!G32</f>
        <v>320</v>
      </c>
      <c r="J33" s="70">
        <f t="shared" si="3"/>
        <v>376696128.37044919</v>
      </c>
      <c r="K33" s="70">
        <f t="shared" si="1"/>
        <v>5470425.3234091997</v>
      </c>
      <c r="L33" s="330">
        <f t="shared" si="2"/>
        <v>1.4736116811168145E-2</v>
      </c>
      <c r="M33" s="495"/>
      <c r="N33" s="495"/>
      <c r="P33" s="495"/>
      <c r="Q33" s="495"/>
      <c r="R33" s="495"/>
      <c r="S33" s="495"/>
      <c r="T33" s="495"/>
      <c r="U33" s="495"/>
      <c r="V33" s="495"/>
      <c r="AH33" s="66"/>
      <c r="AI33" s="66"/>
    </row>
    <row r="34" spans="1:35">
      <c r="A34" s="66">
        <f t="shared" si="0"/>
        <v>2006</v>
      </c>
      <c r="B34" s="67">
        <v>38930</v>
      </c>
      <c r="C34" s="294">
        <f>HLOOKUP(MONTH(B34),'Purchased kWh'!$4:$17,8,FALSE)</f>
        <v>353706210.33784002</v>
      </c>
      <c r="D34" s="68">
        <f>'Month &amp; Hour Data'!B33</f>
        <v>4.2</v>
      </c>
      <c r="E34" s="68">
        <f>'Month &amp; Hour Data'!C33</f>
        <v>101.6</v>
      </c>
      <c r="F34" s="308">
        <f>'Month &amp; Hour Data'!H33</f>
        <v>1.0858970165047004</v>
      </c>
      <c r="G34" s="69">
        <f>'Month &amp; Hour Data'!D33</f>
        <v>31</v>
      </c>
      <c r="H34" s="69">
        <f>'Month &amp; Hour Data'!E33</f>
        <v>0</v>
      </c>
      <c r="I34" s="69">
        <f>'Month &amp; Hour Data'!G33</f>
        <v>352</v>
      </c>
      <c r="J34" s="70">
        <f t="shared" si="3"/>
        <v>349444927.39102566</v>
      </c>
      <c r="K34" s="70">
        <f t="shared" si="1"/>
        <v>-4261282.9468143582</v>
      </c>
      <c r="L34" s="330">
        <f t="shared" si="2"/>
        <v>-1.2047520858466759E-2</v>
      </c>
      <c r="M34" s="495"/>
      <c r="N34" s="506"/>
      <c r="O34" s="506"/>
      <c r="P34" s="506"/>
      <c r="Q34" s="506"/>
      <c r="R34" s="506"/>
      <c r="S34" s="506"/>
      <c r="T34" s="495"/>
      <c r="U34" s="495"/>
      <c r="V34" s="495"/>
      <c r="AH34" s="66"/>
      <c r="AI34" s="66"/>
    </row>
    <row r="35" spans="1:35">
      <c r="A35" s="66">
        <f t="shared" si="0"/>
        <v>2006</v>
      </c>
      <c r="B35" s="67">
        <v>38961</v>
      </c>
      <c r="C35" s="294">
        <f>HLOOKUP(MONTH(B35),'Purchased kWh'!$4:$17,8,FALSE)</f>
        <v>298103404.68008</v>
      </c>
      <c r="D35" s="68">
        <f>'Month &amp; Hour Data'!B34</f>
        <v>80.900000000000006</v>
      </c>
      <c r="E35" s="68">
        <f>'Month &amp; Hour Data'!C34</f>
        <v>12.9</v>
      </c>
      <c r="F35" s="308">
        <f>'Month &amp; Hour Data'!H34</f>
        <v>1.0880863413525259</v>
      </c>
      <c r="G35" s="69">
        <f>'Month &amp; Hour Data'!D34</f>
        <v>30</v>
      </c>
      <c r="H35" s="69">
        <f>'Month &amp; Hour Data'!E34</f>
        <v>1</v>
      </c>
      <c r="I35" s="69">
        <f>'Month &amp; Hour Data'!G34</f>
        <v>320</v>
      </c>
      <c r="J35" s="70">
        <f t="shared" si="3"/>
        <v>293014175.64884901</v>
      </c>
      <c r="K35" s="70">
        <f t="shared" ref="K35:K66" si="4">J35-C35</f>
        <v>-5089229.0312309861</v>
      </c>
      <c r="L35" s="330">
        <f t="shared" ref="L35:L66" si="5">K35/C35</f>
        <v>-1.7072025851877368E-2</v>
      </c>
      <c r="M35" s="495"/>
      <c r="N35" s="310"/>
      <c r="O35" s="310"/>
      <c r="P35" s="310"/>
      <c r="Q35" s="310"/>
      <c r="R35" s="310"/>
      <c r="S35" s="310"/>
      <c r="T35" s="495"/>
      <c r="U35" s="495"/>
      <c r="V35" s="495"/>
      <c r="AH35" s="66"/>
      <c r="AI35" s="66"/>
    </row>
    <row r="36" spans="1:35">
      <c r="A36" s="66">
        <f t="shared" si="0"/>
        <v>2006</v>
      </c>
      <c r="B36" s="67">
        <v>38991</v>
      </c>
      <c r="C36" s="294">
        <f>HLOOKUP(MONTH(B36),'Purchased kWh'!$4:$17,8,FALSE)</f>
        <v>307942170.88808</v>
      </c>
      <c r="D36" s="68">
        <f>'Month &amp; Hour Data'!B35</f>
        <v>288.3</v>
      </c>
      <c r="E36" s="68">
        <f>'Month &amp; Hour Data'!C35</f>
        <v>1.1000000000000001</v>
      </c>
      <c r="F36" s="308">
        <f>'Month &amp; Hour Data'!H35</f>
        <v>1.0902800801946957</v>
      </c>
      <c r="G36" s="69">
        <f>'Month &amp; Hour Data'!D35</f>
        <v>31</v>
      </c>
      <c r="H36" s="69">
        <f>'Month &amp; Hour Data'!E35</f>
        <v>1</v>
      </c>
      <c r="I36" s="69">
        <f>'Month &amp; Hour Data'!G35</f>
        <v>336</v>
      </c>
      <c r="J36" s="70">
        <f t="shared" si="3"/>
        <v>307149528.51732188</v>
      </c>
      <c r="K36" s="70">
        <f t="shared" si="4"/>
        <v>-792642.37075811625</v>
      </c>
      <c r="L36" s="330">
        <f t="shared" si="5"/>
        <v>-2.5739974764489078E-3</v>
      </c>
      <c r="M36" s="495"/>
      <c r="N36" s="310"/>
      <c r="O36" s="310"/>
      <c r="P36" s="310"/>
      <c r="Q36" s="310"/>
      <c r="R36" s="310"/>
      <c r="S36" s="310"/>
      <c r="T36" s="495"/>
      <c r="U36" s="495"/>
      <c r="V36" s="495"/>
      <c r="AH36" s="66"/>
      <c r="AI36" s="66"/>
    </row>
    <row r="37" spans="1:35">
      <c r="A37" s="66">
        <f t="shared" si="0"/>
        <v>2006</v>
      </c>
      <c r="B37" s="67">
        <v>39022</v>
      </c>
      <c r="C37" s="294">
        <f>HLOOKUP(MONTH(B37),'Purchased kWh'!$4:$17,8,FALSE)</f>
        <v>312999805.54064</v>
      </c>
      <c r="D37" s="68">
        <f>'Month &amp; Hour Data'!B36</f>
        <v>382.2</v>
      </c>
      <c r="E37" s="68">
        <f>'Month &amp; Hour Data'!C36</f>
        <v>0</v>
      </c>
      <c r="F37" s="308">
        <f>'Month &amp; Hour Data'!H36</f>
        <v>1.0924782419304584</v>
      </c>
      <c r="G37" s="69">
        <f>'Month &amp; Hour Data'!D36</f>
        <v>30</v>
      </c>
      <c r="H37" s="69">
        <f>'Month &amp; Hour Data'!E36</f>
        <v>1</v>
      </c>
      <c r="I37" s="69">
        <f>'Month &amp; Hour Data'!G36</f>
        <v>352</v>
      </c>
      <c r="J37" s="70">
        <f t="shared" si="3"/>
        <v>308696877.96565187</v>
      </c>
      <c r="K37" s="70">
        <f t="shared" si="4"/>
        <v>-4302927.5749881268</v>
      </c>
      <c r="L37" s="330">
        <f t="shared" si="5"/>
        <v>-1.3747380984968163E-2</v>
      </c>
      <c r="M37" s="495"/>
      <c r="N37" s="310"/>
      <c r="O37" s="310"/>
      <c r="P37" s="310"/>
      <c r="Q37" s="310"/>
      <c r="R37" s="310"/>
      <c r="S37" s="310"/>
      <c r="T37" s="495"/>
      <c r="U37" s="495"/>
      <c r="V37" s="495"/>
      <c r="AH37" s="66"/>
      <c r="AI37" s="66"/>
    </row>
    <row r="38" spans="1:35">
      <c r="A38" s="66">
        <f t="shared" si="0"/>
        <v>2006</v>
      </c>
      <c r="B38" s="67">
        <v>39052</v>
      </c>
      <c r="C38" s="294">
        <f>HLOOKUP(MONTH(B38),'Purchased kWh'!$4:$17,8,FALSE)</f>
        <v>317982953.65599346</v>
      </c>
      <c r="D38" s="68">
        <f>'Month &amp; Hour Data'!B37</f>
        <v>500.5</v>
      </c>
      <c r="E38" s="68">
        <f>'Month &amp; Hour Data'!C37</f>
        <v>0</v>
      </c>
      <c r="F38" s="308">
        <f>'Month &amp; Hour Data'!H37</f>
        <v>1.0946808354770046</v>
      </c>
      <c r="G38" s="69">
        <f>'Month &amp; Hour Data'!D37</f>
        <v>31</v>
      </c>
      <c r="H38" s="69">
        <f>'Month &amp; Hour Data'!E37</f>
        <v>0</v>
      </c>
      <c r="I38" s="69">
        <f>'Month &amp; Hour Data'!G37</f>
        <v>304</v>
      </c>
      <c r="J38" s="70">
        <f t="shared" si="3"/>
        <v>319192815.42539054</v>
      </c>
      <c r="K38" s="70">
        <f t="shared" si="4"/>
        <v>1209861.7693970799</v>
      </c>
      <c r="L38" s="330">
        <f t="shared" si="5"/>
        <v>3.8048007149023349E-3</v>
      </c>
      <c r="M38" s="495"/>
      <c r="N38" s="495"/>
      <c r="P38" s="495"/>
      <c r="Q38" s="495"/>
      <c r="R38" s="495"/>
      <c r="S38" s="495"/>
      <c r="T38" s="495"/>
      <c r="U38" s="495"/>
      <c r="V38" s="495"/>
      <c r="AH38" s="66"/>
      <c r="AI38" s="66"/>
    </row>
    <row r="39" spans="1:35">
      <c r="A39" s="66">
        <f t="shared" si="0"/>
        <v>2007</v>
      </c>
      <c r="B39" s="67">
        <v>39083</v>
      </c>
      <c r="C39" s="294">
        <f>HLOOKUP(MONTH(B39),'Purchased kWh'!$4:$17,9,FALSE)</f>
        <v>332533627.73552001</v>
      </c>
      <c r="D39" s="68">
        <f>'Month &amp; Hour Data'!B38</f>
        <v>647.1</v>
      </c>
      <c r="E39" s="68">
        <f>'Month &amp; Hour Data'!C38</f>
        <v>0</v>
      </c>
      <c r="F39" s="308">
        <f>'Month &amp; Hour Data'!H38</f>
        <v>1.0964502498500059</v>
      </c>
      <c r="G39" s="69">
        <f>'Month &amp; Hour Data'!D38</f>
        <v>31</v>
      </c>
      <c r="H39" s="69">
        <f>'Month &amp; Hour Data'!E38</f>
        <v>0</v>
      </c>
      <c r="I39" s="69">
        <f>'Month &amp; Hour Data'!G38</f>
        <v>352</v>
      </c>
      <c r="J39" s="70">
        <f t="shared" si="3"/>
        <v>335039821.28826874</v>
      </c>
      <c r="K39" s="70">
        <f t="shared" si="4"/>
        <v>2506193.5527487397</v>
      </c>
      <c r="L39" s="330">
        <f t="shared" si="5"/>
        <v>7.5366619905943349E-3</v>
      </c>
      <c r="M39" s="495"/>
      <c r="N39" s="506"/>
      <c r="O39" s="506"/>
      <c r="P39" s="506"/>
      <c r="Q39" s="506"/>
      <c r="R39" s="506"/>
      <c r="S39" s="506"/>
      <c r="T39" s="506"/>
      <c r="U39" s="506"/>
      <c r="V39" s="506"/>
      <c r="AH39" s="66"/>
      <c r="AI39" s="66"/>
    </row>
    <row r="40" spans="1:35">
      <c r="A40" s="66">
        <f t="shared" si="0"/>
        <v>2007</v>
      </c>
      <c r="B40" s="67">
        <v>39114</v>
      </c>
      <c r="C40" s="294">
        <f>HLOOKUP(MONTH(B40),'Purchased kWh'!$4:$17,9,FALSE)</f>
        <v>318174492.26888001</v>
      </c>
      <c r="D40" s="68">
        <f>'Month &amp; Hour Data'!B39</f>
        <v>740.1</v>
      </c>
      <c r="E40" s="68">
        <f>'Month &amp; Hour Data'!C39</f>
        <v>0</v>
      </c>
      <c r="F40" s="308">
        <f>'Month &amp; Hour Data'!H39</f>
        <v>1.09822252425958</v>
      </c>
      <c r="G40" s="69">
        <f>'Month &amp; Hour Data'!D39</f>
        <v>28</v>
      </c>
      <c r="H40" s="69">
        <f>'Month &amp; Hour Data'!E39</f>
        <v>0</v>
      </c>
      <c r="I40" s="69">
        <f>'Month &amp; Hour Data'!G39</f>
        <v>320</v>
      </c>
      <c r="J40" s="70">
        <f t="shared" si="3"/>
        <v>317403690.80517256</v>
      </c>
      <c r="K40" s="70">
        <f t="shared" si="4"/>
        <v>-770801.46370744705</v>
      </c>
      <c r="L40" s="330">
        <f t="shared" si="5"/>
        <v>-2.4225746640182118E-3</v>
      </c>
      <c r="M40" s="495"/>
      <c r="N40" s="310"/>
      <c r="O40" s="310"/>
      <c r="P40" s="310"/>
      <c r="Q40" s="310"/>
      <c r="R40" s="310"/>
      <c r="S40" s="310"/>
      <c r="T40" s="310"/>
      <c r="U40" s="310"/>
      <c r="V40" s="310"/>
      <c r="AH40" s="66"/>
      <c r="AI40" s="66"/>
    </row>
    <row r="41" spans="1:35">
      <c r="A41" s="66">
        <f t="shared" si="0"/>
        <v>2007</v>
      </c>
      <c r="B41" s="67">
        <v>39142</v>
      </c>
      <c r="C41" s="294">
        <f>HLOOKUP(MONTH(B41),'Purchased kWh'!$4:$17,9,FALSE)</f>
        <v>330329410.74735999</v>
      </c>
      <c r="D41" s="68">
        <f>'Month &amp; Hour Data'!B40</f>
        <v>546.70000000000005</v>
      </c>
      <c r="E41" s="68">
        <f>'Month &amp; Hour Data'!C40</f>
        <v>0</v>
      </c>
      <c r="F41" s="308">
        <f>'Month &amp; Hour Data'!H40</f>
        <v>1.0999976633286159</v>
      </c>
      <c r="G41" s="69">
        <f>'Month &amp; Hour Data'!D40</f>
        <v>31</v>
      </c>
      <c r="H41" s="69">
        <f>'Month &amp; Hour Data'!E40</f>
        <v>1</v>
      </c>
      <c r="I41" s="69">
        <f>'Month &amp; Hour Data'!G40</f>
        <v>352</v>
      </c>
      <c r="J41" s="70">
        <f t="shared" si="3"/>
        <v>325330134.44807905</v>
      </c>
      <c r="K41" s="70">
        <f t="shared" si="4"/>
        <v>-4999276.2992809415</v>
      </c>
      <c r="L41" s="330">
        <f t="shared" si="5"/>
        <v>-1.5134214927972156E-2</v>
      </c>
      <c r="M41" s="495"/>
      <c r="N41" s="310"/>
      <c r="O41" s="310"/>
      <c r="P41" s="310"/>
      <c r="Q41" s="310"/>
      <c r="R41" s="310"/>
      <c r="S41" s="310"/>
      <c r="T41" s="310"/>
      <c r="U41" s="310"/>
      <c r="V41" s="310"/>
      <c r="AH41" s="66"/>
      <c r="AI41" s="66"/>
    </row>
    <row r="42" spans="1:35">
      <c r="A42" s="66">
        <f t="shared" si="0"/>
        <v>2007</v>
      </c>
      <c r="B42" s="67">
        <v>39173</v>
      </c>
      <c r="C42" s="294">
        <f>HLOOKUP(MONTH(B42),'Purchased kWh'!$4:$17,9,FALSE)</f>
        <v>301193988.05048001</v>
      </c>
      <c r="D42" s="68">
        <f>'Month &amp; Hour Data'!B41</f>
        <v>356.4</v>
      </c>
      <c r="E42" s="68">
        <f>'Month &amp; Hour Data'!C41</f>
        <v>0</v>
      </c>
      <c r="F42" s="308">
        <f>'Month &amp; Hour Data'!H41</f>
        <v>1.1017756716874769</v>
      </c>
      <c r="G42" s="69">
        <f>'Month &amp; Hour Data'!D41</f>
        <v>30</v>
      </c>
      <c r="H42" s="69">
        <f>'Month &amp; Hour Data'!E41</f>
        <v>1</v>
      </c>
      <c r="I42" s="69">
        <f>'Month &amp; Hour Data'!G41</f>
        <v>320</v>
      </c>
      <c r="J42" s="70">
        <f t="shared" si="3"/>
        <v>304633180.38980818</v>
      </c>
      <c r="K42" s="70">
        <f t="shared" si="4"/>
        <v>3439192.3393281698</v>
      </c>
      <c r="L42" s="330">
        <f t="shared" si="5"/>
        <v>1.1418529173137952E-2</v>
      </c>
      <c r="M42" s="495"/>
      <c r="N42" s="310"/>
      <c r="O42" s="310"/>
      <c r="P42" s="310"/>
      <c r="Q42" s="310"/>
      <c r="R42" s="310"/>
      <c r="S42" s="310"/>
      <c r="T42" s="310"/>
      <c r="U42" s="310"/>
      <c r="V42" s="310"/>
      <c r="AH42" s="66"/>
      <c r="AI42" s="66"/>
    </row>
    <row r="43" spans="1:35">
      <c r="A43" s="66">
        <f t="shared" si="0"/>
        <v>2007</v>
      </c>
      <c r="B43" s="67">
        <v>39203</v>
      </c>
      <c r="C43" s="294">
        <f>HLOOKUP(MONTH(B43),'Purchased kWh'!$4:$17,9,FALSE)</f>
        <v>313881665.17031997</v>
      </c>
      <c r="D43" s="68">
        <f>'Month &amp; Hour Data'!B42</f>
        <v>136.4</v>
      </c>
      <c r="E43" s="68">
        <f>'Month &amp; Hour Data'!C42</f>
        <v>22.4</v>
      </c>
      <c r="F43" s="308">
        <f>'Month &amp; Hour Data'!H42</f>
        <v>1.10355655397401</v>
      </c>
      <c r="G43" s="69">
        <f>'Month &amp; Hour Data'!D42</f>
        <v>31</v>
      </c>
      <c r="H43" s="69">
        <f>'Month &amp; Hour Data'!E42</f>
        <v>1</v>
      </c>
      <c r="I43" s="69">
        <f>'Month &amp; Hour Data'!G42</f>
        <v>352</v>
      </c>
      <c r="J43" s="70">
        <f t="shared" si="3"/>
        <v>315771969.02922416</v>
      </c>
      <c r="K43" s="70">
        <f t="shared" si="4"/>
        <v>1890303.8589041829</v>
      </c>
      <c r="L43" s="330">
        <f t="shared" si="5"/>
        <v>6.0223455800722135E-3</v>
      </c>
      <c r="M43" s="495"/>
      <c r="N43" s="310"/>
      <c r="O43" s="310"/>
      <c r="P43" s="310"/>
      <c r="Q43" s="310"/>
      <c r="R43" s="310"/>
      <c r="S43" s="310"/>
      <c r="T43" s="310"/>
      <c r="U43" s="310"/>
      <c r="V43" s="310"/>
      <c r="AH43" s="66"/>
      <c r="AI43" s="66"/>
    </row>
    <row r="44" spans="1:35">
      <c r="A44" s="66">
        <f t="shared" si="0"/>
        <v>2007</v>
      </c>
      <c r="B44" s="67">
        <v>39234</v>
      </c>
      <c r="C44" s="294">
        <f>HLOOKUP(MONTH(B44),'Purchased kWh'!$4:$17,9,FALSE)</f>
        <v>352305947.40079999</v>
      </c>
      <c r="D44" s="68">
        <f>'Month &amp; Hour Data'!B43</f>
        <v>16.5</v>
      </c>
      <c r="E44" s="68">
        <f>'Month &amp; Hour Data'!C43</f>
        <v>99.2</v>
      </c>
      <c r="F44" s="308">
        <f>'Month &amp; Hour Data'!H43</f>
        <v>1.1053403148335597</v>
      </c>
      <c r="G44" s="69">
        <f>'Month &amp; Hour Data'!D43</f>
        <v>30</v>
      </c>
      <c r="H44" s="69">
        <f>'Month &amp; Hour Data'!E43</f>
        <v>0</v>
      </c>
      <c r="I44" s="69">
        <f>'Month &amp; Hour Data'!G43</f>
        <v>336</v>
      </c>
      <c r="J44" s="70">
        <f t="shared" si="3"/>
        <v>345351570.97266763</v>
      </c>
      <c r="K44" s="70">
        <f t="shared" si="4"/>
        <v>-6954376.4281323552</v>
      </c>
      <c r="L44" s="330">
        <f t="shared" si="5"/>
        <v>-1.9739594177843173E-2</v>
      </c>
      <c r="M44" s="495"/>
      <c r="N44" s="310"/>
      <c r="O44" s="310"/>
      <c r="P44" s="310"/>
      <c r="Q44" s="310"/>
      <c r="R44" s="310"/>
      <c r="S44" s="310"/>
      <c r="T44" s="310"/>
      <c r="U44" s="310"/>
      <c r="V44" s="310"/>
      <c r="AH44" s="66"/>
      <c r="AI44" s="66"/>
    </row>
    <row r="45" spans="1:35">
      <c r="A45" s="66">
        <f t="shared" si="0"/>
        <v>2007</v>
      </c>
      <c r="B45" s="67">
        <v>39264</v>
      </c>
      <c r="C45" s="294">
        <f>HLOOKUP(MONTH(B45),'Purchased kWh'!$4:$17,9,FALSE)</f>
        <v>350987926.23040003</v>
      </c>
      <c r="D45" s="68">
        <f>'Month &amp; Hour Data'!B44</f>
        <v>3.2</v>
      </c>
      <c r="E45" s="68">
        <f>'Month &amp; Hour Data'!C44</f>
        <v>106.1</v>
      </c>
      <c r="F45" s="308">
        <f>'Month &amp; Hour Data'!H44</f>
        <v>1.1071269589189776</v>
      </c>
      <c r="G45" s="69">
        <f>'Month &amp; Hour Data'!D44</f>
        <v>31</v>
      </c>
      <c r="H45" s="69">
        <f>'Month &amp; Hour Data'!E44</f>
        <v>0</v>
      </c>
      <c r="I45" s="69">
        <f>'Month &amp; Hour Data'!G44</f>
        <v>336</v>
      </c>
      <c r="J45" s="70">
        <f t="shared" si="3"/>
        <v>354563130.46100748</v>
      </c>
      <c r="K45" s="70">
        <f t="shared" si="4"/>
        <v>3575204.23060745</v>
      </c>
      <c r="L45" s="330">
        <f t="shared" si="5"/>
        <v>1.0186117422912628E-2</v>
      </c>
      <c r="M45" s="495"/>
      <c r="N45" s="310"/>
      <c r="O45" s="310"/>
      <c r="P45" s="310"/>
      <c r="Q45" s="310"/>
      <c r="R45" s="310"/>
      <c r="S45" s="310"/>
      <c r="T45" s="310"/>
      <c r="U45" s="310"/>
      <c r="V45" s="310"/>
      <c r="AH45" s="66"/>
      <c r="AI45" s="66"/>
    </row>
    <row r="46" spans="1:35">
      <c r="A46" s="66">
        <f t="shared" si="0"/>
        <v>2007</v>
      </c>
      <c r="B46" s="67">
        <v>39295</v>
      </c>
      <c r="C46" s="294">
        <f>HLOOKUP(MONTH(B46),'Purchased kWh'!$4:$17,9,FALSE)</f>
        <v>363680290.54207999</v>
      </c>
      <c r="D46" s="68">
        <f>'Month &amp; Hour Data'!B45</f>
        <v>5.2</v>
      </c>
      <c r="E46" s="68">
        <f>'Month &amp; Hour Data'!C45</f>
        <v>141</v>
      </c>
      <c r="F46" s="308">
        <f>'Month &amp; Hour Data'!H45</f>
        <v>1.1089164908906379</v>
      </c>
      <c r="G46" s="69">
        <f>'Month &amp; Hour Data'!D45</f>
        <v>31</v>
      </c>
      <c r="H46" s="69">
        <f>'Month &amp; Hour Data'!E45</f>
        <v>0</v>
      </c>
      <c r="I46" s="69">
        <f>'Month &amp; Hour Data'!G45</f>
        <v>352</v>
      </c>
      <c r="J46" s="70">
        <f t="shared" si="3"/>
        <v>375257207.78955972</v>
      </c>
      <c r="K46" s="70">
        <f t="shared" si="4"/>
        <v>11576917.247479737</v>
      </c>
      <c r="L46" s="330">
        <f t="shared" si="5"/>
        <v>3.1832677075306667E-2</v>
      </c>
      <c r="M46" s="495"/>
      <c r="N46" s="310"/>
      <c r="O46" s="310"/>
      <c r="P46" s="310"/>
      <c r="Q46" s="310"/>
      <c r="R46" s="310"/>
      <c r="S46" s="310"/>
      <c r="T46" s="310"/>
      <c r="U46" s="310"/>
      <c r="V46" s="310"/>
      <c r="AH46" s="66"/>
      <c r="AI46" s="66"/>
    </row>
    <row r="47" spans="1:35">
      <c r="A47" s="66">
        <f t="shared" si="0"/>
        <v>2007</v>
      </c>
      <c r="B47" s="67">
        <v>39326</v>
      </c>
      <c r="C47" s="294">
        <f>HLOOKUP(MONTH(B47),'Purchased kWh'!$4:$17,9,FALSE)</f>
        <v>320412435.58792001</v>
      </c>
      <c r="D47" s="68">
        <f>'Month &amp; Hour Data'!B46</f>
        <v>36.9</v>
      </c>
      <c r="E47" s="68">
        <f>'Month &amp; Hour Data'!C46</f>
        <v>47.5</v>
      </c>
      <c r="F47" s="308">
        <f>'Month &amp; Hour Data'!H46</f>
        <v>1.1107089154164462</v>
      </c>
      <c r="G47" s="69">
        <f>'Month &amp; Hour Data'!D46</f>
        <v>30</v>
      </c>
      <c r="H47" s="69">
        <f>'Month &amp; Hour Data'!E46</f>
        <v>1</v>
      </c>
      <c r="I47" s="69">
        <f>'Month &amp; Hour Data'!G46</f>
        <v>304</v>
      </c>
      <c r="J47" s="70">
        <f t="shared" si="3"/>
        <v>311379424.70129538</v>
      </c>
      <c r="K47" s="70">
        <f t="shared" si="4"/>
        <v>-9033010.8866246343</v>
      </c>
      <c r="L47" s="330">
        <f t="shared" si="5"/>
        <v>-2.819182367266769E-2</v>
      </c>
      <c r="M47" s="495"/>
      <c r="N47" s="310"/>
      <c r="O47" s="310"/>
      <c r="P47" s="310"/>
      <c r="Q47" s="310"/>
      <c r="R47" s="310"/>
      <c r="S47" s="310"/>
      <c r="T47" s="310"/>
      <c r="U47" s="310"/>
      <c r="V47" s="310"/>
      <c r="AH47" s="66"/>
      <c r="AI47" s="66"/>
    </row>
    <row r="48" spans="1:35">
      <c r="A48" s="66">
        <f t="shared" si="0"/>
        <v>2007</v>
      </c>
      <c r="B48" s="67">
        <v>39356</v>
      </c>
      <c r="C48" s="294">
        <f>HLOOKUP(MONTH(B48),'Purchased kWh'!$4:$17,9,FALSE)</f>
        <v>318245128.16911995</v>
      </c>
      <c r="D48" s="68">
        <f>'Month &amp; Hour Data'!B47</f>
        <v>137.69999999999999</v>
      </c>
      <c r="E48" s="68">
        <f>'Month &amp; Hour Data'!C47</f>
        <v>19.8</v>
      </c>
      <c r="F48" s="308">
        <f>'Month &amp; Hour Data'!H47</f>
        <v>1.1125042371718541</v>
      </c>
      <c r="G48" s="69">
        <f>'Month &amp; Hour Data'!D47</f>
        <v>31</v>
      </c>
      <c r="H48" s="69">
        <f>'Month &amp; Hour Data'!E47</f>
        <v>1</v>
      </c>
      <c r="I48" s="69">
        <f>'Month &amp; Hour Data'!G47</f>
        <v>352</v>
      </c>
      <c r="J48" s="70">
        <f t="shared" si="3"/>
        <v>316824415.22380066</v>
      </c>
      <c r="K48" s="70">
        <f t="shared" si="4"/>
        <v>-1420712.9453192949</v>
      </c>
      <c r="L48" s="330">
        <f t="shared" si="5"/>
        <v>-4.464209565414959E-3</v>
      </c>
      <c r="M48" s="495"/>
      <c r="N48" s="495"/>
      <c r="P48" s="495"/>
      <c r="Q48" s="495"/>
      <c r="R48" s="495"/>
      <c r="S48" s="495"/>
      <c r="T48" s="495"/>
      <c r="U48" s="495"/>
      <c r="V48" s="495"/>
      <c r="AH48" s="66"/>
      <c r="AI48" s="66"/>
    </row>
    <row r="49" spans="1:35">
      <c r="A49" s="66">
        <f t="shared" si="0"/>
        <v>2007</v>
      </c>
      <c r="B49" s="67">
        <v>39387</v>
      </c>
      <c r="C49" s="294">
        <f>HLOOKUP(MONTH(B49),'Purchased kWh'!$4:$17,9,FALSE)</f>
        <v>323515779.22904003</v>
      </c>
      <c r="D49" s="68">
        <f>'Month &amp; Hour Data'!B48</f>
        <v>462.5</v>
      </c>
      <c r="E49" s="68">
        <f>'Month &amp; Hour Data'!C48</f>
        <v>0</v>
      </c>
      <c r="F49" s="308">
        <f>'Month &amp; Hour Data'!H48</f>
        <v>1.1143024608398699</v>
      </c>
      <c r="G49" s="69">
        <f>'Month &amp; Hour Data'!D48</f>
        <v>30</v>
      </c>
      <c r="H49" s="69">
        <f>'Month &amp; Hour Data'!E48</f>
        <v>1</v>
      </c>
      <c r="I49" s="69">
        <f>'Month &amp; Hour Data'!G48</f>
        <v>352</v>
      </c>
      <c r="J49" s="70">
        <f t="shared" si="3"/>
        <v>318550645.26514399</v>
      </c>
      <c r="K49" s="70">
        <f t="shared" si="4"/>
        <v>-4965133.9638960361</v>
      </c>
      <c r="L49" s="330">
        <f t="shared" si="5"/>
        <v>-1.5347424399911146E-2</v>
      </c>
      <c r="M49" s="495"/>
      <c r="N49" s="495"/>
      <c r="P49" s="495"/>
      <c r="Q49" s="495"/>
      <c r="R49" s="495"/>
      <c r="S49" s="495"/>
      <c r="T49" s="495"/>
      <c r="U49" s="495"/>
      <c r="V49" s="495"/>
      <c r="AH49" s="66"/>
      <c r="AI49" s="66"/>
    </row>
    <row r="50" spans="1:35">
      <c r="A50" s="66">
        <f t="shared" si="0"/>
        <v>2007</v>
      </c>
      <c r="B50" s="67">
        <v>39417</v>
      </c>
      <c r="C50" s="294">
        <f>HLOOKUP(MONTH(B50),'Purchased kWh'!$4:$17,9,FALSE)</f>
        <v>333331076.53263998</v>
      </c>
      <c r="D50" s="68">
        <f>'Month &amp; Hour Data'!B49</f>
        <v>630.70000000000005</v>
      </c>
      <c r="E50" s="68">
        <f>'Month &amp; Hour Data'!C49</f>
        <v>0</v>
      </c>
      <c r="F50" s="308">
        <f>'Month &amp; Hour Data'!H49</f>
        <v>1.1161035911110719</v>
      </c>
      <c r="G50" s="69">
        <f>'Month &amp; Hour Data'!D49</f>
        <v>31</v>
      </c>
      <c r="H50" s="69">
        <f>'Month &amp; Hour Data'!E49</f>
        <v>0</v>
      </c>
      <c r="I50" s="69">
        <f>'Month &amp; Hour Data'!G49</f>
        <v>304</v>
      </c>
      <c r="J50" s="70">
        <f t="shared" si="3"/>
        <v>331590104.61771911</v>
      </c>
      <c r="K50" s="70">
        <f t="shared" si="4"/>
        <v>-1740971.9149208665</v>
      </c>
      <c r="L50" s="330">
        <f t="shared" si="5"/>
        <v>-5.2229511062416335E-3</v>
      </c>
      <c r="M50" s="495"/>
      <c r="N50" s="495"/>
      <c r="P50" s="495"/>
      <c r="Q50" s="495"/>
      <c r="R50" s="495"/>
      <c r="S50" s="495"/>
      <c r="T50" s="495"/>
      <c r="U50" s="495"/>
      <c r="V50" s="495"/>
      <c r="AH50" s="66"/>
      <c r="AI50" s="66"/>
    </row>
    <row r="51" spans="1:35">
      <c r="A51" s="66">
        <f t="shared" si="0"/>
        <v>2008</v>
      </c>
      <c r="B51" s="67">
        <v>39448</v>
      </c>
      <c r="C51" s="294">
        <f>HLOOKUP(MONTH(B51),'Purchased kWh'!$4:$17,10,FALSE)</f>
        <v>344575662.39160001</v>
      </c>
      <c r="D51" s="68">
        <f>'Month &amp; Hour Data'!B50</f>
        <v>623.5</v>
      </c>
      <c r="E51" s="68">
        <f>'Month &amp; Hour Data'!C50</f>
        <v>0</v>
      </c>
      <c r="F51" s="308">
        <f>'Month &amp; Hour Data'!H50</f>
        <v>1.1155079320471661</v>
      </c>
      <c r="G51" s="69">
        <f>'Month &amp; Hour Data'!D50</f>
        <v>31</v>
      </c>
      <c r="H51" s="69">
        <f>'Month &amp; Hour Data'!E50</f>
        <v>0</v>
      </c>
      <c r="I51" s="69">
        <f>'Month &amp; Hour Data'!G50</f>
        <v>352</v>
      </c>
      <c r="J51" s="70">
        <f t="shared" si="3"/>
        <v>338674000.66559243</v>
      </c>
      <c r="K51" s="70">
        <f t="shared" si="4"/>
        <v>-5901661.7260075808</v>
      </c>
      <c r="L51" s="330">
        <f t="shared" si="5"/>
        <v>-1.7127331875518584E-2</v>
      </c>
      <c r="M51" s="495"/>
      <c r="N51" s="495"/>
      <c r="P51" s="495"/>
      <c r="Q51" s="495"/>
      <c r="R51" s="495"/>
      <c r="S51" s="495"/>
      <c r="T51" s="495"/>
      <c r="U51" s="495"/>
      <c r="V51" s="495"/>
      <c r="AH51" s="66"/>
      <c r="AI51" s="66"/>
    </row>
    <row r="52" spans="1:35">
      <c r="A52" s="66">
        <f t="shared" si="0"/>
        <v>2008</v>
      </c>
      <c r="B52" s="67">
        <v>39479</v>
      </c>
      <c r="C52" s="294">
        <f>HLOOKUP(MONTH(B52),'Purchased kWh'!$4:$17,10,FALSE)</f>
        <v>326113371.71056002</v>
      </c>
      <c r="D52" s="68">
        <f>'Month &amp; Hour Data'!B51</f>
        <v>674.7</v>
      </c>
      <c r="E52" s="68">
        <f>'Month &amp; Hour Data'!C51</f>
        <v>0</v>
      </c>
      <c r="F52" s="308">
        <f>'Month &amp; Hour Data'!H51</f>
        <v>1.1149125908836075</v>
      </c>
      <c r="G52" s="69">
        <f>'Month &amp; Hour Data'!D51</f>
        <v>29</v>
      </c>
      <c r="H52" s="69">
        <f>'Month &amp; Hour Data'!E51</f>
        <v>0</v>
      </c>
      <c r="I52" s="69">
        <f>'Month &amp; Hour Data'!G51</f>
        <v>320</v>
      </c>
      <c r="J52" s="70">
        <f t="shared" si="3"/>
        <v>324195280.70295608</v>
      </c>
      <c r="K52" s="70">
        <f t="shared" si="4"/>
        <v>-1918091.0076039433</v>
      </c>
      <c r="L52" s="330">
        <f t="shared" si="5"/>
        <v>-5.88166930274277E-3</v>
      </c>
      <c r="M52" s="495"/>
      <c r="N52" s="495"/>
      <c r="P52" s="495"/>
      <c r="Q52" s="495"/>
      <c r="R52" s="495"/>
      <c r="S52" s="495"/>
      <c r="T52" s="495"/>
      <c r="U52" s="495"/>
      <c r="V52" s="495"/>
      <c r="AH52" s="66"/>
      <c r="AI52" s="66"/>
    </row>
    <row r="53" spans="1:35">
      <c r="A53" s="66">
        <f t="shared" si="0"/>
        <v>2008</v>
      </c>
      <c r="B53" s="67">
        <v>39508</v>
      </c>
      <c r="C53" s="294">
        <f>HLOOKUP(MONTH(B53),'Purchased kWh'!$4:$17,10,FALSE)</f>
        <v>331077485.06296003</v>
      </c>
      <c r="D53" s="68">
        <f>'Month &amp; Hour Data'!B52</f>
        <v>610.20000000000005</v>
      </c>
      <c r="E53" s="68">
        <f>'Month &amp; Hour Data'!C52</f>
        <v>0</v>
      </c>
      <c r="F53" s="308">
        <f>'Month &amp; Hour Data'!H52</f>
        <v>1.1143175674507355</v>
      </c>
      <c r="G53" s="69">
        <f>'Month &amp; Hour Data'!D52</f>
        <v>31</v>
      </c>
      <c r="H53" s="69">
        <f>'Month &amp; Hour Data'!E52</f>
        <v>1</v>
      </c>
      <c r="I53" s="69">
        <f>'Month &amp; Hour Data'!G52</f>
        <v>304</v>
      </c>
      <c r="J53" s="70">
        <f t="shared" si="3"/>
        <v>324750581.9556374</v>
      </c>
      <c r="K53" s="70">
        <f t="shared" si="4"/>
        <v>-6326903.1073226333</v>
      </c>
      <c r="L53" s="330">
        <f t="shared" si="5"/>
        <v>-1.9110037356117601E-2</v>
      </c>
      <c r="M53" s="495"/>
      <c r="N53" s="294"/>
      <c r="O53" s="294"/>
      <c r="U53" s="495"/>
      <c r="V53" s="495"/>
      <c r="AH53" s="66"/>
      <c r="AI53" s="66"/>
    </row>
    <row r="54" spans="1:35">
      <c r="A54" s="66">
        <f t="shared" si="0"/>
        <v>2008</v>
      </c>
      <c r="B54" s="67">
        <v>39539</v>
      </c>
      <c r="C54" s="294">
        <f>HLOOKUP(MONTH(B54),'Purchased kWh'!$4:$17,10,FALSE)</f>
        <v>303230329.28384</v>
      </c>
      <c r="D54" s="68">
        <f>'Month &amp; Hour Data'!B53</f>
        <v>253.9</v>
      </c>
      <c r="E54" s="68">
        <f>'Month &amp; Hour Data'!C53</f>
        <v>0</v>
      </c>
      <c r="F54" s="308">
        <f>'Month &amp; Hour Data'!H53</f>
        <v>1.1137228615789785</v>
      </c>
      <c r="G54" s="69">
        <f>'Month &amp; Hour Data'!D53</f>
        <v>30</v>
      </c>
      <c r="H54" s="69">
        <f>'Month &amp; Hour Data'!E53</f>
        <v>1</v>
      </c>
      <c r="I54" s="69">
        <f>'Month &amp; Hour Data'!G53</f>
        <v>352</v>
      </c>
      <c r="J54" s="70">
        <f t="shared" si="3"/>
        <v>307338960.12807482</v>
      </c>
      <c r="K54" s="70">
        <f t="shared" si="4"/>
        <v>4108630.8442348242</v>
      </c>
      <c r="L54" s="330">
        <f t="shared" si="5"/>
        <v>1.3549537917062785E-2</v>
      </c>
      <c r="M54" s="495"/>
      <c r="N54" s="294"/>
      <c r="O54" s="294"/>
      <c r="U54" s="495"/>
      <c r="V54" s="495"/>
      <c r="AH54" s="66"/>
      <c r="AI54" s="66"/>
    </row>
    <row r="55" spans="1:35">
      <c r="A55" s="66">
        <f t="shared" ref="A55:A118" si="6">YEAR(B55)</f>
        <v>2008</v>
      </c>
      <c r="B55" s="67">
        <v>39569</v>
      </c>
      <c r="C55" s="294">
        <f>HLOOKUP(MONTH(B55),'Purchased kWh'!$4:$17,10,FALSE)</f>
        <v>301056523.36776</v>
      </c>
      <c r="D55" s="68">
        <f>'Month &amp; Hour Data'!B54</f>
        <v>193.5</v>
      </c>
      <c r="E55" s="68">
        <f>'Month &amp; Hour Data'!C54</f>
        <v>2.5</v>
      </c>
      <c r="F55" s="308">
        <f>'Month &amp; Hour Data'!H54</f>
        <v>1.113128473098856</v>
      </c>
      <c r="G55" s="69">
        <f>'Month &amp; Hour Data'!D54</f>
        <v>31</v>
      </c>
      <c r="H55" s="69">
        <f>'Month &amp; Hour Data'!E54</f>
        <v>1</v>
      </c>
      <c r="I55" s="69">
        <f>'Month &amp; Hour Data'!G54</f>
        <v>336</v>
      </c>
      <c r="J55" s="70">
        <f t="shared" si="3"/>
        <v>308685045.87384683</v>
      </c>
      <c r="K55" s="70">
        <f t="shared" si="4"/>
        <v>7628522.5060868263</v>
      </c>
      <c r="L55" s="330">
        <f t="shared" si="5"/>
        <v>2.5339170268594689E-2</v>
      </c>
      <c r="M55" s="495"/>
      <c r="N55" s="294"/>
      <c r="O55" s="294"/>
      <c r="U55" s="495"/>
      <c r="V55" s="495"/>
      <c r="AH55" s="66"/>
      <c r="AI55" s="66"/>
    </row>
    <row r="56" spans="1:35">
      <c r="A56" s="66">
        <f t="shared" si="6"/>
        <v>2008</v>
      </c>
      <c r="B56" s="67">
        <v>39600</v>
      </c>
      <c r="C56" s="294">
        <f>HLOOKUP(MONTH(B56),'Purchased kWh'!$4:$17,10,FALSE)</f>
        <v>334428490.42672002</v>
      </c>
      <c r="D56" s="68">
        <f>'Month &amp; Hour Data'!B55</f>
        <v>22.7</v>
      </c>
      <c r="E56" s="68">
        <f>'Month &amp; Hour Data'!C55</f>
        <v>71.5</v>
      </c>
      <c r="F56" s="308">
        <f>'Month &amp; Hour Data'!H55</f>
        <v>1.1125344018409773</v>
      </c>
      <c r="G56" s="69">
        <f>'Month &amp; Hour Data'!D55</f>
        <v>30</v>
      </c>
      <c r="H56" s="69">
        <f>'Month &amp; Hour Data'!E55</f>
        <v>0</v>
      </c>
      <c r="I56" s="69">
        <f>'Month &amp; Hour Data'!G55</f>
        <v>336</v>
      </c>
      <c r="J56" s="70">
        <f t="shared" si="3"/>
        <v>333563818.9757216</v>
      </c>
      <c r="K56" s="70">
        <f t="shared" si="4"/>
        <v>-864671.45099842548</v>
      </c>
      <c r="L56" s="330">
        <f t="shared" si="5"/>
        <v>-2.585519702269183E-3</v>
      </c>
      <c r="M56" s="495"/>
      <c r="N56" s="294"/>
      <c r="O56" s="294"/>
      <c r="U56" s="495"/>
      <c r="V56" s="495"/>
      <c r="AH56" s="66"/>
      <c r="AI56" s="66"/>
    </row>
    <row r="57" spans="1:35">
      <c r="A57" s="66">
        <f t="shared" si="6"/>
        <v>2008</v>
      </c>
      <c r="B57" s="67">
        <v>39630</v>
      </c>
      <c r="C57" s="294">
        <f>HLOOKUP(MONTH(B57),'Purchased kWh'!$4:$17,10,FALSE)</f>
        <v>363118366.56239998</v>
      </c>
      <c r="D57" s="68">
        <f>'Month &amp; Hour Data'!B56</f>
        <v>1</v>
      </c>
      <c r="E57" s="68">
        <f>'Month &amp; Hour Data'!C56</f>
        <v>111</v>
      </c>
      <c r="F57" s="308">
        <f>'Month &amp; Hour Data'!H56</f>
        <v>1.1119406476360427</v>
      </c>
      <c r="G57" s="69">
        <f>'Month &amp; Hour Data'!D56</f>
        <v>31</v>
      </c>
      <c r="H57" s="69">
        <f>'Month &amp; Hour Data'!E56</f>
        <v>0</v>
      </c>
      <c r="I57" s="69">
        <f>'Month &amp; Hour Data'!G56</f>
        <v>352</v>
      </c>
      <c r="J57" s="70">
        <f t="shared" si="3"/>
        <v>360689640.79334152</v>
      </c>
      <c r="K57" s="70">
        <f t="shared" si="4"/>
        <v>-2428725.769058466</v>
      </c>
      <c r="L57" s="330">
        <f t="shared" si="5"/>
        <v>-6.6885236129775941E-3</v>
      </c>
      <c r="M57" s="495"/>
      <c r="N57" s="294"/>
      <c r="O57" s="294"/>
      <c r="U57" s="495"/>
      <c r="V57" s="495"/>
      <c r="AH57" s="66"/>
      <c r="AI57" s="66"/>
    </row>
    <row r="58" spans="1:35">
      <c r="A58" s="66">
        <f t="shared" si="6"/>
        <v>2008</v>
      </c>
      <c r="B58" s="67">
        <v>39661</v>
      </c>
      <c r="C58" s="294">
        <f>HLOOKUP(MONTH(B58),'Purchased kWh'!$4:$17,10,FALSE)</f>
        <v>341326026.458</v>
      </c>
      <c r="D58" s="68">
        <f>'Month &amp; Hour Data'!B57</f>
        <v>12.7</v>
      </c>
      <c r="E58" s="68">
        <f>'Month &amp; Hour Data'!C57</f>
        <v>64</v>
      </c>
      <c r="F58" s="308">
        <f>'Month &amp; Hour Data'!H57</f>
        <v>1.1113472103148427</v>
      </c>
      <c r="G58" s="69">
        <f>'Month &amp; Hour Data'!D57</f>
        <v>31</v>
      </c>
      <c r="H58" s="69">
        <f>'Month &amp; Hour Data'!E57</f>
        <v>0</v>
      </c>
      <c r="I58" s="69">
        <f>'Month &amp; Hour Data'!G57</f>
        <v>320</v>
      </c>
      <c r="J58" s="70">
        <f t="shared" si="3"/>
        <v>332390850.09588563</v>
      </c>
      <c r="K58" s="70">
        <f t="shared" si="4"/>
        <v>-8935176.3621143699</v>
      </c>
      <c r="L58" s="330">
        <f t="shared" si="5"/>
        <v>-2.6177834883663167E-2</v>
      </c>
      <c r="M58" s="495"/>
      <c r="N58" s="294"/>
      <c r="O58" s="294"/>
      <c r="U58" s="495"/>
      <c r="V58" s="495"/>
      <c r="AH58" s="66"/>
      <c r="AI58" s="66"/>
    </row>
    <row r="59" spans="1:35">
      <c r="A59" s="66">
        <f t="shared" si="6"/>
        <v>2008</v>
      </c>
      <c r="B59" s="67">
        <v>39692</v>
      </c>
      <c r="C59" s="294">
        <f>HLOOKUP(MONTH(B59),'Purchased kWh'!$4:$17,10,FALSE)</f>
        <v>317499537.95280004</v>
      </c>
      <c r="D59" s="68">
        <f>'Month &amp; Hour Data'!B58</f>
        <v>59</v>
      </c>
      <c r="E59" s="68">
        <f>'Month &amp; Hour Data'!C58</f>
        <v>26.7</v>
      </c>
      <c r="F59" s="308">
        <f>'Month &amp; Hour Data'!H58</f>
        <v>1.1107540897082573</v>
      </c>
      <c r="G59" s="69">
        <f>'Month &amp; Hour Data'!D58</f>
        <v>30</v>
      </c>
      <c r="H59" s="69">
        <f>'Month &amp; Hour Data'!E58</f>
        <v>1</v>
      </c>
      <c r="I59" s="69">
        <f>'Month &amp; Hour Data'!G58</f>
        <v>336</v>
      </c>
      <c r="J59" s="70">
        <f t="shared" si="3"/>
        <v>307158765.77424848</v>
      </c>
      <c r="K59" s="70">
        <f t="shared" si="4"/>
        <v>-10340772.178551555</v>
      </c>
      <c r="L59" s="330">
        <f t="shared" si="5"/>
        <v>-3.2569408589466449E-2</v>
      </c>
      <c r="M59" s="495"/>
      <c r="N59" s="294"/>
      <c r="O59" s="294"/>
      <c r="U59" s="495"/>
      <c r="V59" s="495"/>
      <c r="AH59" s="66"/>
      <c r="AI59" s="66"/>
    </row>
    <row r="60" spans="1:35">
      <c r="A60" s="66">
        <f t="shared" si="6"/>
        <v>2008</v>
      </c>
      <c r="B60" s="67">
        <v>39722</v>
      </c>
      <c r="C60" s="294">
        <f>HLOOKUP(MONTH(B60),'Purchased kWh'!$4:$17,10,FALSE)</f>
        <v>310230041.67615998</v>
      </c>
      <c r="D60" s="68">
        <f>'Month &amp; Hour Data'!B59</f>
        <v>278.60000000000002</v>
      </c>
      <c r="E60" s="68">
        <f>'Month &amp; Hour Data'!C59</f>
        <v>0</v>
      </c>
      <c r="F60" s="308">
        <f>'Month &amp; Hour Data'!H59</f>
        <v>1.110161285647258</v>
      </c>
      <c r="G60" s="69">
        <f>'Month &amp; Hour Data'!D59</f>
        <v>31</v>
      </c>
      <c r="H60" s="69">
        <f>'Month &amp; Hour Data'!E59</f>
        <v>1</v>
      </c>
      <c r="I60" s="69">
        <f>'Month &amp; Hour Data'!G59</f>
        <v>352</v>
      </c>
      <c r="J60" s="70">
        <f t="shared" si="3"/>
        <v>313717101.04057699</v>
      </c>
      <c r="K60" s="70">
        <f t="shared" si="4"/>
        <v>3487059.3644170165</v>
      </c>
      <c r="L60" s="330">
        <f t="shared" si="5"/>
        <v>1.1240237552677298E-2</v>
      </c>
      <c r="M60" s="495"/>
      <c r="N60" s="294"/>
      <c r="O60" s="294"/>
      <c r="U60" s="495"/>
      <c r="V60" s="495"/>
      <c r="AH60" s="66"/>
      <c r="AI60" s="66"/>
    </row>
    <row r="61" spans="1:35">
      <c r="A61" s="66">
        <f t="shared" si="6"/>
        <v>2008</v>
      </c>
      <c r="B61" s="67">
        <v>39753</v>
      </c>
      <c r="C61" s="294">
        <f>HLOOKUP(MONTH(B61),'Purchased kWh'!$4:$17,10,FALSE)</f>
        <v>313840849.62728</v>
      </c>
      <c r="D61" s="68">
        <f>'Month &amp; Hour Data'!B60</f>
        <v>451.6</v>
      </c>
      <c r="E61" s="68">
        <f>'Month &amp; Hour Data'!C60</f>
        <v>0</v>
      </c>
      <c r="F61" s="308">
        <f>'Month &amp; Hour Data'!H60</f>
        <v>1.1095687979629063</v>
      </c>
      <c r="G61" s="69">
        <f>'Month &amp; Hour Data'!D60</f>
        <v>30</v>
      </c>
      <c r="H61" s="69">
        <f>'Month &amp; Hour Data'!E60</f>
        <v>1</v>
      </c>
      <c r="I61" s="69">
        <f>'Month &amp; Hour Data'!G60</f>
        <v>304</v>
      </c>
      <c r="J61" s="70">
        <f t="shared" si="3"/>
        <v>309140541.84324884</v>
      </c>
      <c r="K61" s="70">
        <f t="shared" si="4"/>
        <v>-4700307.7840311527</v>
      </c>
      <c r="L61" s="330">
        <f t="shared" si="5"/>
        <v>-1.4976723997571627E-2</v>
      </c>
      <c r="M61" s="495"/>
      <c r="N61" s="294"/>
      <c r="O61" s="294"/>
      <c r="U61" s="495"/>
      <c r="V61" s="495"/>
      <c r="AH61" s="66"/>
      <c r="AI61" s="66"/>
    </row>
    <row r="62" spans="1:35">
      <c r="A62" s="66">
        <f t="shared" si="6"/>
        <v>2008</v>
      </c>
      <c r="B62" s="67">
        <v>39783</v>
      </c>
      <c r="C62" s="294">
        <f>HLOOKUP(MONTH(B62),'Purchased kWh'!$4:$17,10,FALSE)</f>
        <v>328946879.91896003</v>
      </c>
      <c r="D62" s="68">
        <f>'Month &amp; Hour Data'!B61</f>
        <v>654.6</v>
      </c>
      <c r="E62" s="68">
        <f>'Month &amp; Hour Data'!C61</f>
        <v>0</v>
      </c>
      <c r="F62" s="308">
        <f>'Month &amp; Hour Data'!H61</f>
        <v>1.1089766264863528</v>
      </c>
      <c r="G62" s="69">
        <f>'Month &amp; Hour Data'!D61</f>
        <v>31</v>
      </c>
      <c r="H62" s="69">
        <f>'Month &amp; Hour Data'!E61</f>
        <v>0</v>
      </c>
      <c r="I62" s="69">
        <f>'Month &amp; Hour Data'!G61</f>
        <v>336</v>
      </c>
      <c r="J62" s="70">
        <f t="shared" si="3"/>
        <v>336109476.37603223</v>
      </c>
      <c r="K62" s="70">
        <f t="shared" si="4"/>
        <v>7162596.4570721984</v>
      </c>
      <c r="L62" s="330">
        <f t="shared" si="5"/>
        <v>2.1774325565382439E-2</v>
      </c>
      <c r="M62" s="495"/>
      <c r="N62" s="294"/>
      <c r="O62" s="294"/>
      <c r="U62" s="495"/>
      <c r="V62" s="495"/>
      <c r="AH62" s="66"/>
      <c r="AI62" s="66"/>
    </row>
    <row r="63" spans="1:35">
      <c r="A63" s="66">
        <f t="shared" si="6"/>
        <v>2009</v>
      </c>
      <c r="B63" s="67">
        <v>39814</v>
      </c>
      <c r="C63" s="294">
        <f>HLOOKUP(MONTH(B63),'Purchased kWh'!$4:$17,11,FALSE)</f>
        <v>340125286.47127998</v>
      </c>
      <c r="D63" s="68">
        <f>'Month &amp; Hour Data'!B62</f>
        <v>830.2</v>
      </c>
      <c r="E63" s="68">
        <f>'Month &amp; Hour Data'!C62</f>
        <v>0</v>
      </c>
      <c r="F63" s="308">
        <f>'Month &amp; Hour Data'!H62</f>
        <v>1.105941193882537</v>
      </c>
      <c r="G63" s="69">
        <f>'Month &amp; Hour Data'!D62</f>
        <v>31</v>
      </c>
      <c r="H63" s="69">
        <f>'Month &amp; Hour Data'!E62</f>
        <v>0</v>
      </c>
      <c r="I63" s="69">
        <f>'Month &amp; Hour Data'!G62</f>
        <v>336</v>
      </c>
      <c r="J63" s="70">
        <f t="shared" si="3"/>
        <v>344644224.49999017</v>
      </c>
      <c r="K63" s="70">
        <f t="shared" si="4"/>
        <v>4518938.0287101865</v>
      </c>
      <c r="L63" s="330">
        <f t="shared" si="5"/>
        <v>1.3286098412714643E-2</v>
      </c>
      <c r="M63" s="495"/>
      <c r="N63" s="294"/>
      <c r="O63" s="294"/>
      <c r="U63" s="495"/>
      <c r="V63" s="495"/>
      <c r="AH63" s="66"/>
      <c r="AI63" s="66"/>
    </row>
    <row r="64" spans="1:35">
      <c r="A64" s="66">
        <f t="shared" si="6"/>
        <v>2009</v>
      </c>
      <c r="B64" s="67">
        <v>39845</v>
      </c>
      <c r="C64" s="294">
        <f>HLOOKUP(MONTH(B64),'Purchased kWh'!$4:$17,11,FALSE)</f>
        <v>298423228.43304002</v>
      </c>
      <c r="D64" s="68">
        <f>'Month &amp; Hour Data'!B63</f>
        <v>606.4</v>
      </c>
      <c r="E64" s="68">
        <f>'Month &amp; Hour Data'!C63</f>
        <v>0</v>
      </c>
      <c r="F64" s="308">
        <f>'Month &amp; Hour Data'!H63</f>
        <v>1.1029140697054922</v>
      </c>
      <c r="G64" s="69">
        <f>'Month &amp; Hour Data'!D63</f>
        <v>28</v>
      </c>
      <c r="H64" s="69">
        <f>'Month &amp; Hour Data'!E63</f>
        <v>0</v>
      </c>
      <c r="I64" s="69">
        <f>'Month &amp; Hour Data'!G63</f>
        <v>304</v>
      </c>
      <c r="J64" s="70">
        <f t="shared" si="3"/>
        <v>308976198.69679254</v>
      </c>
      <c r="K64" s="70">
        <f t="shared" si="4"/>
        <v>10552970.26375252</v>
      </c>
      <c r="L64" s="330">
        <f t="shared" si="5"/>
        <v>3.5362429121767867E-2</v>
      </c>
      <c r="M64" s="495"/>
      <c r="N64" s="294"/>
      <c r="O64" s="294"/>
      <c r="U64" s="495"/>
      <c r="V64" s="495"/>
      <c r="AH64" s="66"/>
      <c r="AI64" s="66"/>
    </row>
    <row r="65" spans="1:35">
      <c r="A65" s="66">
        <f t="shared" si="6"/>
        <v>2009</v>
      </c>
      <c r="B65" s="67">
        <v>39873</v>
      </c>
      <c r="C65" s="294">
        <f>HLOOKUP(MONTH(B65),'Purchased kWh'!$4:$17,11,FALSE)</f>
        <v>317878968.44471997</v>
      </c>
      <c r="D65" s="68">
        <f>'Month &amp; Hour Data'!B64</f>
        <v>533.79999999999995</v>
      </c>
      <c r="E65" s="68">
        <f>'Month &amp; Hour Data'!C64</f>
        <v>0</v>
      </c>
      <c r="F65" s="308">
        <f>'Month &amp; Hour Data'!H64</f>
        <v>1.0998952312138288</v>
      </c>
      <c r="G65" s="69">
        <f>'Month &amp; Hour Data'!D64</f>
        <v>31</v>
      </c>
      <c r="H65" s="69">
        <f>'Month &amp; Hour Data'!E64</f>
        <v>1</v>
      </c>
      <c r="I65" s="69">
        <f>'Month &amp; Hour Data'!G64</f>
        <v>352</v>
      </c>
      <c r="J65" s="70">
        <f t="shared" si="3"/>
        <v>324619722.9515034</v>
      </c>
      <c r="K65" s="70">
        <f t="shared" si="4"/>
        <v>6740754.5067834258</v>
      </c>
      <c r="L65" s="330">
        <f t="shared" si="5"/>
        <v>2.1205412046489833E-2</v>
      </c>
      <c r="M65" s="495"/>
      <c r="N65" s="294"/>
      <c r="O65" s="294"/>
      <c r="U65" s="495"/>
      <c r="V65" s="495"/>
      <c r="AH65" s="66"/>
      <c r="AI65" s="66"/>
    </row>
    <row r="66" spans="1:35">
      <c r="A66" s="66">
        <f t="shared" si="6"/>
        <v>2009</v>
      </c>
      <c r="B66" s="67">
        <v>39904</v>
      </c>
      <c r="C66" s="294">
        <f>HLOOKUP(MONTH(B66),'Purchased kWh'!$4:$17,11,FALSE)</f>
        <v>288048156.51208001</v>
      </c>
      <c r="D66" s="68">
        <f>'Month &amp; Hour Data'!B65</f>
        <v>305.8</v>
      </c>
      <c r="E66" s="68">
        <f>'Month &amp; Hour Data'!C65</f>
        <v>1.2</v>
      </c>
      <c r="F66" s="308">
        <f>'Month &amp; Hour Data'!H65</f>
        <v>1.0968846557284044</v>
      </c>
      <c r="G66" s="69">
        <f>'Month &amp; Hour Data'!D65</f>
        <v>30</v>
      </c>
      <c r="H66" s="69">
        <f>'Month &amp; Hour Data'!E65</f>
        <v>1</v>
      </c>
      <c r="I66" s="69">
        <f>'Month &amp; Hour Data'!G65</f>
        <v>320</v>
      </c>
      <c r="J66" s="70">
        <f t="shared" si="3"/>
        <v>301300509.69436365</v>
      </c>
      <c r="K66" s="70">
        <f t="shared" si="4"/>
        <v>13252353.18228364</v>
      </c>
      <c r="L66" s="330">
        <f t="shared" si="5"/>
        <v>4.6007422310053454E-2</v>
      </c>
      <c r="M66" s="495"/>
      <c r="N66" s="294"/>
      <c r="O66" s="294"/>
      <c r="U66" s="495"/>
      <c r="V66" s="495"/>
      <c r="AH66" s="66"/>
      <c r="AI66" s="66"/>
    </row>
    <row r="67" spans="1:35">
      <c r="A67" s="66">
        <f t="shared" si="6"/>
        <v>2009</v>
      </c>
      <c r="B67" s="67">
        <v>39934</v>
      </c>
      <c r="C67" s="294">
        <f>HLOOKUP(MONTH(B67),'Purchased kWh'!$4:$17,11,FALSE)</f>
        <v>279549260.71288002</v>
      </c>
      <c r="D67" s="68">
        <f>'Month &amp; Hour Data'!B66</f>
        <v>158.80000000000001</v>
      </c>
      <c r="E67" s="68">
        <f>'Month &amp; Hour Data'!C66</f>
        <v>6.9</v>
      </c>
      <c r="F67" s="308">
        <f>'Month &amp; Hour Data'!H66</f>
        <v>1.093882320632152</v>
      </c>
      <c r="G67" s="69">
        <f>'Month &amp; Hour Data'!D66</f>
        <v>31</v>
      </c>
      <c r="H67" s="69">
        <f>'Month &amp; Hour Data'!E66</f>
        <v>1</v>
      </c>
      <c r="I67" s="69">
        <f>'Month &amp; Hour Data'!G66</f>
        <v>320</v>
      </c>
      <c r="J67" s="70">
        <f t="shared" si="3"/>
        <v>301588742.31264651</v>
      </c>
      <c r="K67" s="70">
        <f t="shared" ref="K67:K98" si="7">J67-C67</f>
        <v>22039481.599766493</v>
      </c>
      <c r="L67" s="330">
        <f t="shared" ref="L67:L98" si="8">K67/C67</f>
        <v>7.8839348541160495E-2</v>
      </c>
      <c r="M67" s="495"/>
      <c r="N67" s="294"/>
      <c r="O67" s="294"/>
      <c r="U67" s="495"/>
      <c r="V67" s="495"/>
      <c r="AH67" s="66"/>
      <c r="AI67" s="66"/>
    </row>
    <row r="68" spans="1:35">
      <c r="A68" s="66">
        <f t="shared" si="6"/>
        <v>2009</v>
      </c>
      <c r="B68" s="67">
        <v>39965</v>
      </c>
      <c r="C68" s="294">
        <f>HLOOKUP(MONTH(B68),'Purchased kWh'!$4:$17,11,FALSE)</f>
        <v>301280402.76728004</v>
      </c>
      <c r="D68" s="68">
        <f>'Month &amp; Hour Data'!B67</f>
        <v>49.3</v>
      </c>
      <c r="E68" s="68">
        <f>'Month &amp; Hour Data'!C67</f>
        <v>34.200000000000003</v>
      </c>
      <c r="F68" s="308">
        <f>'Month &amp; Hour Data'!H67</f>
        <v>1.0908882033699105</v>
      </c>
      <c r="G68" s="69">
        <f>'Month &amp; Hour Data'!D67</f>
        <v>30</v>
      </c>
      <c r="H68" s="69">
        <f>'Month &amp; Hour Data'!E67</f>
        <v>0</v>
      </c>
      <c r="I68" s="69">
        <f>'Month &amp; Hour Data'!G67</f>
        <v>352</v>
      </c>
      <c r="J68" s="70">
        <f t="shared" ref="J68:J131" si="9">$E$187+(D68*$E$188)+(E68*$E$189)+(F68*$E$190)+(G68*$E$191)+(H68*$E$192)+(I68*$E$193)</f>
        <v>313165263.35913348</v>
      </c>
      <c r="K68" s="70">
        <f t="shared" si="7"/>
        <v>11884860.59185344</v>
      </c>
      <c r="L68" s="330">
        <f t="shared" si="8"/>
        <v>3.944783823537882E-2</v>
      </c>
      <c r="M68" s="495"/>
      <c r="N68" s="294"/>
      <c r="O68" s="294"/>
      <c r="U68" s="495"/>
      <c r="V68" s="495"/>
      <c r="AH68" s="66"/>
      <c r="AI68" s="66"/>
    </row>
    <row r="69" spans="1:35">
      <c r="A69" s="66">
        <f t="shared" si="6"/>
        <v>2009</v>
      </c>
      <c r="B69" s="67">
        <v>39995</v>
      </c>
      <c r="C69" s="294">
        <f>HLOOKUP(MONTH(B69),'Purchased kWh'!$4:$17,11,FALSE)</f>
        <v>312634481.25511998</v>
      </c>
      <c r="D69" s="68">
        <f>'Month &amp; Hour Data'!B68</f>
        <v>6.2</v>
      </c>
      <c r="E69" s="68">
        <f>'Month &amp; Hour Data'!C68</f>
        <v>43.7</v>
      </c>
      <c r="F69" s="308">
        <f>'Month &amp; Hour Data'!H68</f>
        <v>1.0879022814482564</v>
      </c>
      <c r="G69" s="69">
        <f>'Month &amp; Hour Data'!D68</f>
        <v>31</v>
      </c>
      <c r="H69" s="69">
        <f>'Month &amp; Hour Data'!E68</f>
        <v>0</v>
      </c>
      <c r="I69" s="69">
        <f>'Month &amp; Hour Data'!G68</f>
        <v>352</v>
      </c>
      <c r="J69" s="70">
        <f t="shared" si="9"/>
        <v>320883252.00336963</v>
      </c>
      <c r="K69" s="70">
        <f t="shared" si="7"/>
        <v>8248770.74824965</v>
      </c>
      <c r="L69" s="330">
        <f t="shared" si="8"/>
        <v>2.6384711997005802E-2</v>
      </c>
      <c r="M69" s="495"/>
      <c r="N69" s="294"/>
      <c r="O69" s="294"/>
      <c r="U69" s="495"/>
      <c r="V69" s="495"/>
      <c r="AH69" s="66"/>
      <c r="AI69" s="66"/>
    </row>
    <row r="70" spans="1:35">
      <c r="A70" s="66">
        <f t="shared" si="6"/>
        <v>2009</v>
      </c>
      <c r="B70" s="67">
        <v>40026</v>
      </c>
      <c r="C70" s="294">
        <f>HLOOKUP(MONTH(B70),'Purchased kWh'!$4:$17,11,FALSE)</f>
        <v>342969586.97349995</v>
      </c>
      <c r="D70" s="68">
        <f>'Month &amp; Hour Data'!B69</f>
        <v>9.8000000000000007</v>
      </c>
      <c r="E70" s="68">
        <f>'Month &amp; Hour Data'!C69</f>
        <v>91</v>
      </c>
      <c r="F70" s="308">
        <f>'Month &amp; Hour Data'!H69</f>
        <v>1.0849245324353336</v>
      </c>
      <c r="G70" s="69">
        <f>'Month &amp; Hour Data'!D69</f>
        <v>31</v>
      </c>
      <c r="H70" s="69">
        <f>'Month &amp; Hour Data'!E69</f>
        <v>0</v>
      </c>
      <c r="I70" s="69">
        <f>'Month &amp; Hour Data'!G69</f>
        <v>320</v>
      </c>
      <c r="J70" s="70">
        <f t="shared" si="9"/>
        <v>339071194.36592948</v>
      </c>
      <c r="K70" s="70">
        <f t="shared" si="7"/>
        <v>-3898392.6075704694</v>
      </c>
      <c r="L70" s="330">
        <f t="shared" si="8"/>
        <v>-1.1366583964401732E-2</v>
      </c>
      <c r="M70" s="495"/>
      <c r="N70" s="294"/>
      <c r="O70" s="294"/>
      <c r="U70" s="495"/>
      <c r="V70" s="495"/>
      <c r="AH70" s="66"/>
      <c r="AI70" s="66"/>
    </row>
    <row r="71" spans="1:35">
      <c r="A71" s="66">
        <f t="shared" si="6"/>
        <v>2009</v>
      </c>
      <c r="B71" s="67">
        <v>40057</v>
      </c>
      <c r="C71" s="294">
        <f>HLOOKUP(MONTH(B71),'Purchased kWh'!$4:$17,11,FALSE)</f>
        <v>305441230.39999998</v>
      </c>
      <c r="D71" s="68">
        <f>'Month &amp; Hour Data'!B70</f>
        <v>55.2</v>
      </c>
      <c r="E71" s="68">
        <f>'Month &amp; Hour Data'!C70</f>
        <v>20.9</v>
      </c>
      <c r="F71" s="308">
        <f>'Month &amp; Hour Data'!H70</f>
        <v>1.0819549339606855</v>
      </c>
      <c r="G71" s="69">
        <f>'Month &amp; Hour Data'!D70</f>
        <v>30</v>
      </c>
      <c r="H71" s="69">
        <f>'Month &amp; Hour Data'!E70</f>
        <v>1</v>
      </c>
      <c r="I71" s="69">
        <f>'Month &amp; Hour Data'!G70</f>
        <v>336</v>
      </c>
      <c r="J71" s="70">
        <f t="shared" si="9"/>
        <v>296650790.24336618</v>
      </c>
      <c r="K71" s="70">
        <f t="shared" si="7"/>
        <v>-8790440.1566337943</v>
      </c>
      <c r="L71" s="330">
        <f t="shared" si="8"/>
        <v>-2.877948122826117E-2</v>
      </c>
      <c r="M71" s="495"/>
      <c r="N71" s="294"/>
      <c r="O71" s="294"/>
      <c r="U71" s="495"/>
      <c r="V71" s="495"/>
      <c r="AH71" s="66"/>
      <c r="AI71" s="66"/>
    </row>
    <row r="72" spans="1:35">
      <c r="A72" s="66">
        <f t="shared" si="6"/>
        <v>2009</v>
      </c>
      <c r="B72" s="67">
        <v>40087</v>
      </c>
      <c r="C72" s="294">
        <f>HLOOKUP(MONTH(B72),'Purchased kWh'!$4:$17,11,FALSE)</f>
        <v>307520270</v>
      </c>
      <c r="D72" s="68">
        <f>'Month &amp; Hour Data'!B71</f>
        <v>287.8</v>
      </c>
      <c r="E72" s="68">
        <f>'Month &amp; Hour Data'!C71</f>
        <v>0</v>
      </c>
      <c r="F72" s="308">
        <f>'Month &amp; Hour Data'!H71</f>
        <v>1.0789934637150864</v>
      </c>
      <c r="G72" s="69">
        <f>'Month &amp; Hour Data'!D71</f>
        <v>31</v>
      </c>
      <c r="H72" s="69">
        <f>'Month &amp; Hour Data'!E71</f>
        <v>1</v>
      </c>
      <c r="I72" s="69">
        <f>'Month &amp; Hour Data'!G71</f>
        <v>336</v>
      </c>
      <c r="J72" s="70">
        <f t="shared" si="9"/>
        <v>303675064.68539518</v>
      </c>
      <c r="K72" s="70">
        <f t="shared" si="7"/>
        <v>-3845205.3146048188</v>
      </c>
      <c r="L72" s="330">
        <f t="shared" si="8"/>
        <v>-1.2503908489039824E-2</v>
      </c>
      <c r="M72" s="495"/>
      <c r="N72" s="294"/>
      <c r="O72" s="294"/>
      <c r="U72" s="495"/>
      <c r="V72" s="495"/>
      <c r="AH72" s="66"/>
      <c r="AI72" s="66"/>
    </row>
    <row r="73" spans="1:35">
      <c r="A73" s="66">
        <f t="shared" si="6"/>
        <v>2009</v>
      </c>
      <c r="B73" s="67">
        <v>40118</v>
      </c>
      <c r="C73" s="294">
        <f>HLOOKUP(MONTH(B73),'Purchased kWh'!$4:$17,11,FALSE)</f>
        <v>303012735.71912003</v>
      </c>
      <c r="D73" s="68">
        <f>'Month &amp; Hour Data'!B72</f>
        <v>361.2</v>
      </c>
      <c r="E73" s="68">
        <f>'Month &amp; Hour Data'!C72</f>
        <v>0</v>
      </c>
      <c r="F73" s="308">
        <f>'Month &amp; Hour Data'!H72</f>
        <v>1.0760400994503745</v>
      </c>
      <c r="G73" s="69">
        <f>'Month &amp; Hour Data'!D72</f>
        <v>30</v>
      </c>
      <c r="H73" s="69">
        <f>'Month &amp; Hour Data'!E72</f>
        <v>1</v>
      </c>
      <c r="I73" s="69">
        <f>'Month &amp; Hour Data'!G72</f>
        <v>320</v>
      </c>
      <c r="J73" s="70">
        <f t="shared" si="9"/>
        <v>298289937.71017492</v>
      </c>
      <c r="K73" s="70">
        <f t="shared" si="7"/>
        <v>-4722798.0089451075</v>
      </c>
      <c r="L73" s="330">
        <f t="shared" si="8"/>
        <v>-1.558613699103044E-2</v>
      </c>
      <c r="M73" s="495"/>
      <c r="N73" s="294"/>
      <c r="O73" s="294"/>
      <c r="U73" s="495"/>
      <c r="V73" s="495"/>
      <c r="AH73" s="66"/>
      <c r="AI73" s="66"/>
    </row>
    <row r="74" spans="1:35">
      <c r="A74" s="66">
        <f t="shared" si="6"/>
        <v>2009</v>
      </c>
      <c r="B74" s="67">
        <v>40148</v>
      </c>
      <c r="C74" s="294">
        <f>HLOOKUP(MONTH(B74),'Purchased kWh'!$4:$17,11,FALSE)</f>
        <v>331058360.70839995</v>
      </c>
      <c r="D74" s="68">
        <f>'Month &amp; Hour Data'!B73</f>
        <v>631.29999999999995</v>
      </c>
      <c r="E74" s="68">
        <f>'Month &amp; Hour Data'!C73</f>
        <v>0</v>
      </c>
      <c r="F74" s="308">
        <f>'Month &amp; Hour Data'!H73</f>
        <v>1.0730948189792846</v>
      </c>
      <c r="G74" s="69">
        <f>'Month &amp; Hour Data'!D73</f>
        <v>31</v>
      </c>
      <c r="H74" s="69">
        <f>'Month &amp; Hour Data'!E73</f>
        <v>0</v>
      </c>
      <c r="I74" s="69">
        <f>'Month &amp; Hour Data'!G73</f>
        <v>352</v>
      </c>
      <c r="J74" s="70">
        <f t="shared" si="9"/>
        <v>328214253.4953379</v>
      </c>
      <c r="K74" s="70">
        <f t="shared" si="7"/>
        <v>-2844107.213062048</v>
      </c>
      <c r="L74" s="330">
        <f t="shared" si="8"/>
        <v>-8.5909541960402878E-3</v>
      </c>
      <c r="M74" s="495"/>
      <c r="N74" s="294"/>
      <c r="O74" s="294"/>
      <c r="U74" s="495"/>
      <c r="V74" s="495"/>
      <c r="AH74" s="66"/>
      <c r="AI74" s="66"/>
    </row>
    <row r="75" spans="1:35">
      <c r="A75" s="66">
        <f t="shared" si="6"/>
        <v>2010</v>
      </c>
      <c r="B75" s="67">
        <v>40179</v>
      </c>
      <c r="C75" s="294">
        <f>HLOOKUP(MONTH(B75),'Purchased kWh'!$4:$17,12,FALSE)</f>
        <v>338841929.64000005</v>
      </c>
      <c r="D75" s="68">
        <f>VLOOKUP($B75,'Month &amp; Hour Data'!$A:$H,2,FALSE)</f>
        <v>720</v>
      </c>
      <c r="E75" s="68">
        <f>VLOOKUP($B75,'Month &amp; Hour Data'!$A:$H,3,FALSE)</f>
        <v>0</v>
      </c>
      <c r="F75" s="308">
        <f>VLOOKUP($B75,'Month &amp; Hour Data'!$A:$H,8,FALSE)</f>
        <v>1.0756984776680034</v>
      </c>
      <c r="G75" s="69">
        <f>VLOOKUP($B75,'Month &amp; Hour Data'!$A:$H,4,FALSE)</f>
        <v>31</v>
      </c>
      <c r="H75" s="69">
        <f>VLOOKUP($B75,'Month &amp; Hour Data'!$A:$H,5,FALSE)</f>
        <v>0</v>
      </c>
      <c r="I75" s="69">
        <f>VLOOKUP($B75,'Month &amp; Hour Data'!$A:$H,7,FALSE)</f>
        <v>320</v>
      </c>
      <c r="J75" s="70">
        <f t="shared" si="9"/>
        <v>328506982.0335201</v>
      </c>
      <c r="K75" s="70">
        <f t="shared" si="7"/>
        <v>-10334947.606479943</v>
      </c>
      <c r="L75" s="330">
        <f t="shared" si="8"/>
        <v>-3.050079314995115E-2</v>
      </c>
      <c r="M75" s="495"/>
      <c r="N75" s="294"/>
      <c r="O75" s="294"/>
      <c r="U75" s="495"/>
      <c r="V75" s="495"/>
      <c r="AH75" s="66"/>
      <c r="AI75" s="66"/>
    </row>
    <row r="76" spans="1:35">
      <c r="A76" s="66">
        <f t="shared" si="6"/>
        <v>2010</v>
      </c>
      <c r="B76" s="67">
        <v>40210</v>
      </c>
      <c r="C76" s="294">
        <f>HLOOKUP(MONTH(B76),'Purchased kWh'!$4:$17,12,FALSE)</f>
        <v>307563620.17000002</v>
      </c>
      <c r="D76" s="68">
        <f>VLOOKUP($B76,'Month &amp; Hour Data'!$A:$H,2,FALSE)</f>
        <v>598.29999999999995</v>
      </c>
      <c r="E76" s="68">
        <f>VLOOKUP($B76,'Month &amp; Hour Data'!$A:$H,3,FALSE)</f>
        <v>0</v>
      </c>
      <c r="F76" s="308">
        <f>VLOOKUP($B76,'Month &amp; Hour Data'!$A:$H,8,FALSE)</f>
        <v>1.0783084536349796</v>
      </c>
      <c r="G76" s="69">
        <f>VLOOKUP($B76,'Month &amp; Hour Data'!$A:$H,4,FALSE)</f>
        <v>28</v>
      </c>
      <c r="H76" s="69">
        <f>VLOOKUP($B76,'Month &amp; Hour Data'!$A:$H,5,FALSE)</f>
        <v>0</v>
      </c>
      <c r="I76" s="69">
        <f>VLOOKUP($B76,'Month &amp; Hour Data'!$A:$H,7,FALSE)</f>
        <v>304</v>
      </c>
      <c r="J76" s="70">
        <f t="shared" si="9"/>
        <v>302238491.03546673</v>
      </c>
      <c r="K76" s="70">
        <f t="shared" si="7"/>
        <v>-5325129.1345332861</v>
      </c>
      <c r="L76" s="330">
        <f t="shared" si="8"/>
        <v>-1.7313910961218107E-2</v>
      </c>
      <c r="M76" s="495"/>
      <c r="N76" s="294"/>
      <c r="O76" s="294"/>
      <c r="U76" s="495"/>
      <c r="V76" s="495"/>
      <c r="AH76" s="66"/>
      <c r="AI76" s="66"/>
    </row>
    <row r="77" spans="1:35">
      <c r="A77" s="66">
        <f t="shared" si="6"/>
        <v>2010</v>
      </c>
      <c r="B77" s="67">
        <v>40238</v>
      </c>
      <c r="C77" s="294">
        <f>HLOOKUP(MONTH(B77),'Purchased kWh'!$4:$17,12,FALSE)</f>
        <v>317385708.60000008</v>
      </c>
      <c r="D77" s="68">
        <f>VLOOKUP($B77,'Month &amp; Hour Data'!$A:$H,2,FALSE)</f>
        <v>422.8</v>
      </c>
      <c r="E77" s="68">
        <f>VLOOKUP($B77,'Month &amp; Hour Data'!$A:$H,3,FALSE)</f>
        <v>0</v>
      </c>
      <c r="F77" s="308">
        <f>VLOOKUP($B77,'Month &amp; Hour Data'!$A:$H,8,FALSE)</f>
        <v>1.0809247622078761</v>
      </c>
      <c r="G77" s="69">
        <f>VLOOKUP($B77,'Month &amp; Hour Data'!$A:$H,4,FALSE)</f>
        <v>31</v>
      </c>
      <c r="H77" s="69">
        <f>VLOOKUP($B77,'Month &amp; Hour Data'!$A:$H,5,FALSE)</f>
        <v>1</v>
      </c>
      <c r="I77" s="69">
        <f>VLOOKUP($B77,'Month &amp; Hour Data'!$A:$H,7,FALSE)</f>
        <v>368</v>
      </c>
      <c r="J77" s="70">
        <f t="shared" si="9"/>
        <v>316408881.57628179</v>
      </c>
      <c r="K77" s="70">
        <f t="shared" si="7"/>
        <v>-976827.02371829748</v>
      </c>
      <c r="L77" s="330">
        <f t="shared" si="8"/>
        <v>-3.0777284460195673E-3</v>
      </c>
      <c r="M77" s="495"/>
      <c r="N77" s="294"/>
      <c r="O77" s="294"/>
      <c r="U77" s="495"/>
      <c r="V77" s="495"/>
      <c r="AH77" s="66"/>
      <c r="AI77" s="66"/>
    </row>
    <row r="78" spans="1:35">
      <c r="A78" s="66">
        <f t="shared" si="6"/>
        <v>2010</v>
      </c>
      <c r="B78" s="67">
        <v>40269</v>
      </c>
      <c r="C78" s="294">
        <f>HLOOKUP(MONTH(B78),'Purchased kWh'!$4:$17,12,FALSE)</f>
        <v>288580434.81999999</v>
      </c>
      <c r="D78" s="68">
        <f>VLOOKUP($B78,'Month &amp; Hour Data'!$A:$H,2,FALSE)</f>
        <v>225.1</v>
      </c>
      <c r="E78" s="68">
        <f>VLOOKUP($B78,'Month &amp; Hour Data'!$A:$H,3,FALSE)</f>
        <v>0</v>
      </c>
      <c r="F78" s="308">
        <f>VLOOKUP($B78,'Month &amp; Hour Data'!$A:$H,8,FALSE)</f>
        <v>1.0835474187515461</v>
      </c>
      <c r="G78" s="69">
        <f>VLOOKUP($B78,'Month &amp; Hour Data'!$A:$H,4,FALSE)</f>
        <v>30</v>
      </c>
      <c r="H78" s="69">
        <f>VLOOKUP($B78,'Month &amp; Hour Data'!$A:$H,5,FALSE)</f>
        <v>1</v>
      </c>
      <c r="I78" s="69">
        <f>VLOOKUP($B78,'Month &amp; Hour Data'!$A:$H,7,FALSE)</f>
        <v>320</v>
      </c>
      <c r="J78" s="70">
        <f t="shared" si="9"/>
        <v>292996525.14071232</v>
      </c>
      <c r="K78" s="70">
        <f t="shared" si="7"/>
        <v>4416090.320712328</v>
      </c>
      <c r="L78" s="330">
        <f t="shared" si="8"/>
        <v>1.5302805692516311E-2</v>
      </c>
      <c r="M78" s="495"/>
      <c r="N78" s="294"/>
      <c r="O78" s="294"/>
      <c r="U78" s="495"/>
      <c r="V78" s="495"/>
      <c r="AH78" s="66"/>
      <c r="AI78" s="66"/>
    </row>
    <row r="79" spans="1:35">
      <c r="A79" s="66">
        <f t="shared" si="6"/>
        <v>2010</v>
      </c>
      <c r="B79" s="67">
        <v>40299</v>
      </c>
      <c r="C79" s="294">
        <f>HLOOKUP(MONTH(B79),'Purchased kWh'!$4:$17,12,FALSE)</f>
        <v>317160058.12000006</v>
      </c>
      <c r="D79" s="68">
        <f>VLOOKUP($B79,'Month &amp; Hour Data'!$A:$H,2,FALSE)</f>
        <v>107.9</v>
      </c>
      <c r="E79" s="68">
        <f>VLOOKUP($B79,'Month &amp; Hour Data'!$A:$H,3,FALSE)</f>
        <v>45.7</v>
      </c>
      <c r="F79" s="308">
        <f>VLOOKUP($B79,'Month &amp; Hour Data'!$A:$H,8,FALSE)</f>
        <v>1.086176438668123</v>
      </c>
      <c r="G79" s="69">
        <f>VLOOKUP($B79,'Month &amp; Hour Data'!$A:$H,4,FALSE)</f>
        <v>31</v>
      </c>
      <c r="H79" s="69">
        <f>VLOOKUP($B79,'Month &amp; Hour Data'!$A:$H,5,FALSE)</f>
        <v>1</v>
      </c>
      <c r="I79" s="69">
        <f>VLOOKUP($B79,'Month &amp; Hour Data'!$A:$H,7,FALSE)</f>
        <v>320</v>
      </c>
      <c r="J79" s="70">
        <f t="shared" si="9"/>
        <v>316469067.66352594</v>
      </c>
      <c r="K79" s="70">
        <f t="shared" si="7"/>
        <v>-690990.45647412539</v>
      </c>
      <c r="L79" s="330">
        <f t="shared" si="8"/>
        <v>-2.1786805708450324E-3</v>
      </c>
      <c r="M79" s="495"/>
      <c r="N79" s="294"/>
      <c r="O79" s="294"/>
      <c r="U79" s="495"/>
      <c r="V79" s="495"/>
      <c r="AH79" s="66"/>
      <c r="AI79" s="66"/>
    </row>
    <row r="80" spans="1:35">
      <c r="A80" s="66">
        <f t="shared" si="6"/>
        <v>2010</v>
      </c>
      <c r="B80" s="67">
        <v>40330</v>
      </c>
      <c r="C80" s="294">
        <f>HLOOKUP(MONTH(B80),'Purchased kWh'!$4:$17,12,FALSE)</f>
        <v>327911313.14999998</v>
      </c>
      <c r="D80" s="68">
        <f>VLOOKUP($B80,'Month &amp; Hour Data'!$A:$H,2,FALSE)</f>
        <v>21.7</v>
      </c>
      <c r="E80" s="68">
        <f>VLOOKUP($B80,'Month &amp; Hour Data'!$A:$H,3,FALSE)</f>
        <v>58.7</v>
      </c>
      <c r="F80" s="308">
        <f>VLOOKUP($B80,'Month &amp; Hour Data'!$A:$H,8,FALSE)</f>
        <v>1.0888118373971101</v>
      </c>
      <c r="G80" s="69">
        <f>VLOOKUP($B80,'Month &amp; Hour Data'!$A:$H,4,FALSE)</f>
        <v>30</v>
      </c>
      <c r="H80" s="69">
        <f>VLOOKUP($B80,'Month &amp; Hour Data'!$A:$H,5,FALSE)</f>
        <v>0</v>
      </c>
      <c r="I80" s="69">
        <f>VLOOKUP($B80,'Month &amp; Hour Data'!$A:$H,7,FALSE)</f>
        <v>352</v>
      </c>
      <c r="J80" s="70">
        <f t="shared" si="9"/>
        <v>323517280.72562623</v>
      </c>
      <c r="K80" s="70">
        <f t="shared" si="7"/>
        <v>-4394032.4243737459</v>
      </c>
      <c r="L80" s="330">
        <f t="shared" si="8"/>
        <v>-1.3400063517673562E-2</v>
      </c>
      <c r="M80" s="495"/>
      <c r="N80" s="294"/>
      <c r="O80" s="294"/>
      <c r="U80" s="495"/>
      <c r="V80" s="495"/>
      <c r="AH80" s="66"/>
      <c r="AI80" s="66"/>
    </row>
    <row r="81" spans="1:35">
      <c r="A81" s="66">
        <f t="shared" si="6"/>
        <v>2010</v>
      </c>
      <c r="B81" s="67">
        <v>40360</v>
      </c>
      <c r="C81" s="294">
        <f>HLOOKUP(MONTH(B81),'Purchased kWh'!$4:$17,12,FALSE)</f>
        <v>387084557.87</v>
      </c>
      <c r="D81" s="68">
        <f>VLOOKUP($B81,'Month &amp; Hour Data'!$A:$H,2,FALSE)</f>
        <v>1.8</v>
      </c>
      <c r="E81" s="68">
        <f>VLOOKUP($B81,'Month &amp; Hour Data'!$A:$H,3,FALSE)</f>
        <v>164.9</v>
      </c>
      <c r="F81" s="308">
        <f>VLOOKUP($B81,'Month &amp; Hour Data'!$A:$H,8,FALSE)</f>
        <v>1.0914536304154718</v>
      </c>
      <c r="G81" s="69">
        <f>VLOOKUP($B81,'Month &amp; Hour Data'!$A:$H,4,FALSE)</f>
        <v>31</v>
      </c>
      <c r="H81" s="69">
        <f>VLOOKUP($B81,'Month &amp; Hour Data'!$A:$H,5,FALSE)</f>
        <v>0</v>
      </c>
      <c r="I81" s="69">
        <f>VLOOKUP($B81,'Month &amp; Hour Data'!$A:$H,7,FALSE)</f>
        <v>336</v>
      </c>
      <c r="J81" s="70">
        <f t="shared" si="9"/>
        <v>380106158.64080602</v>
      </c>
      <c r="K81" s="70">
        <f t="shared" si="7"/>
        <v>-6978399.2291939855</v>
      </c>
      <c r="L81" s="330">
        <f t="shared" si="8"/>
        <v>-1.8028100287941835E-2</v>
      </c>
      <c r="M81" s="495"/>
      <c r="N81" s="294"/>
      <c r="O81" s="294"/>
      <c r="U81" s="495"/>
      <c r="V81" s="495"/>
      <c r="AH81" s="66"/>
      <c r="AI81" s="66"/>
    </row>
    <row r="82" spans="1:35">
      <c r="A82" s="66">
        <f t="shared" si="6"/>
        <v>2010</v>
      </c>
      <c r="B82" s="67">
        <v>40391</v>
      </c>
      <c r="C82" s="294">
        <f>HLOOKUP(MONTH(B82),'Purchased kWh'!$4:$17,12,FALSE)</f>
        <v>372085384</v>
      </c>
      <c r="D82" s="68">
        <f>VLOOKUP($B82,'Month &amp; Hour Data'!$A:$H,2,FALSE)</f>
        <v>2.1</v>
      </c>
      <c r="E82" s="68">
        <f>VLOOKUP($B82,'Month &amp; Hour Data'!$A:$H,3,FALSE)</f>
        <v>138.80000000000001</v>
      </c>
      <c r="F82" s="308">
        <f>VLOOKUP($B82,'Month &amp; Hour Data'!$A:$H,8,FALSE)</f>
        <v>1.0941018332377244</v>
      </c>
      <c r="G82" s="69">
        <f>VLOOKUP($B82,'Month &amp; Hour Data'!$A:$H,4,FALSE)</f>
        <v>31</v>
      </c>
      <c r="H82" s="69">
        <f>VLOOKUP($B82,'Month &amp; Hour Data'!$A:$H,5,FALSE)</f>
        <v>0</v>
      </c>
      <c r="I82" s="69">
        <f>VLOOKUP($B82,'Month &amp; Hour Data'!$A:$H,7,FALSE)</f>
        <v>336</v>
      </c>
      <c r="J82" s="70">
        <f t="shared" si="9"/>
        <v>367646481.68443775</v>
      </c>
      <c r="K82" s="70">
        <f t="shared" si="7"/>
        <v>-4438902.3155622482</v>
      </c>
      <c r="L82" s="330">
        <f t="shared" si="8"/>
        <v>-1.192979489772769E-2</v>
      </c>
      <c r="M82" s="495"/>
      <c r="N82" s="294"/>
      <c r="O82" s="294"/>
      <c r="U82" s="495"/>
      <c r="V82" s="495"/>
      <c r="AH82" s="66"/>
      <c r="AI82" s="66"/>
    </row>
    <row r="83" spans="1:35">
      <c r="A83" s="66">
        <f t="shared" si="6"/>
        <v>2010</v>
      </c>
      <c r="B83" s="67">
        <v>40422</v>
      </c>
      <c r="C83" s="294">
        <f>HLOOKUP(MONTH(B83),'Purchased kWh'!$4:$17,12,FALSE)</f>
        <v>309880174.61000001</v>
      </c>
      <c r="D83" s="68">
        <f>VLOOKUP($B83,'Month &amp; Hour Data'!$A:$H,2,FALSE)</f>
        <v>78.2</v>
      </c>
      <c r="E83" s="68">
        <f>VLOOKUP($B83,'Month &amp; Hour Data'!$A:$H,3,FALSE)</f>
        <v>31.5</v>
      </c>
      <c r="F83" s="308">
        <f>VLOOKUP($B83,'Month &amp; Hour Data'!$A:$H,8,FALSE)</f>
        <v>1.0967564614160272</v>
      </c>
      <c r="G83" s="69">
        <f>VLOOKUP($B83,'Month &amp; Hour Data'!$A:$H,4,FALSE)</f>
        <v>30</v>
      </c>
      <c r="H83" s="69">
        <f>VLOOKUP($B83,'Month &amp; Hour Data'!$A:$H,5,FALSE)</f>
        <v>1</v>
      </c>
      <c r="I83" s="69">
        <f>VLOOKUP($B83,'Month &amp; Hour Data'!$A:$H,7,FALSE)</f>
        <v>336</v>
      </c>
      <c r="J83" s="70">
        <f t="shared" si="9"/>
        <v>307007694.37583065</v>
      </c>
      <c r="K83" s="70">
        <f t="shared" si="7"/>
        <v>-2872480.234169364</v>
      </c>
      <c r="L83" s="330">
        <f t="shared" si="8"/>
        <v>-9.2696483012652438E-3</v>
      </c>
      <c r="M83" s="495"/>
      <c r="N83" s="294"/>
      <c r="O83" s="294"/>
      <c r="U83" s="495"/>
      <c r="V83" s="495"/>
      <c r="AH83" s="66"/>
      <c r="AI83" s="66"/>
    </row>
    <row r="84" spans="1:35">
      <c r="A84" s="66">
        <f t="shared" si="6"/>
        <v>2010</v>
      </c>
      <c r="B84" s="67">
        <v>40452</v>
      </c>
      <c r="C84" s="294">
        <f>HLOOKUP(MONTH(B84),'Purchased kWh'!$4:$17,12,FALSE)</f>
        <v>301944346.81</v>
      </c>
      <c r="D84" s="68">
        <f>VLOOKUP($B84,'Month &amp; Hour Data'!$A:$H,2,FALSE)</f>
        <v>241.6</v>
      </c>
      <c r="E84" s="68">
        <f>VLOOKUP($B84,'Month &amp; Hour Data'!$A:$H,3,FALSE)</f>
        <v>0</v>
      </c>
      <c r="F84" s="308">
        <f>VLOOKUP($B84,'Month &amp; Hour Data'!$A:$H,8,FALSE)</f>
        <v>1.0994175305402742</v>
      </c>
      <c r="G84" s="69">
        <f>VLOOKUP($B84,'Month &amp; Hour Data'!$A:$H,4,FALSE)</f>
        <v>31</v>
      </c>
      <c r="H84" s="69">
        <f>VLOOKUP($B84,'Month &amp; Hour Data'!$A:$H,5,FALSE)</f>
        <v>1</v>
      </c>
      <c r="I84" s="69">
        <f>VLOOKUP($B84,'Month &amp; Hour Data'!$A:$H,7,FALSE)</f>
        <v>320</v>
      </c>
      <c r="J84" s="70">
        <f t="shared" si="9"/>
        <v>303921467.42270672</v>
      </c>
      <c r="K84" s="70">
        <f t="shared" si="7"/>
        <v>1977120.6127067208</v>
      </c>
      <c r="L84" s="330">
        <f t="shared" si="8"/>
        <v>6.547963668122039E-3</v>
      </c>
      <c r="M84" s="495"/>
      <c r="N84" s="294"/>
      <c r="O84" s="294"/>
      <c r="U84" s="495"/>
      <c r="V84" s="495"/>
      <c r="AH84" s="66"/>
      <c r="AI84" s="66"/>
    </row>
    <row r="85" spans="1:35">
      <c r="A85" s="66">
        <f t="shared" si="6"/>
        <v>2010</v>
      </c>
      <c r="B85" s="67">
        <v>40483</v>
      </c>
      <c r="C85" s="294">
        <f>HLOOKUP(MONTH(B85),'Purchased kWh'!$4:$17,12,FALSE)</f>
        <v>309107400.75999999</v>
      </c>
      <c r="D85" s="68">
        <f>VLOOKUP($B85,'Month &amp; Hour Data'!$A:$H,2,FALSE)</f>
        <v>405.3</v>
      </c>
      <c r="E85" s="68">
        <f>VLOOKUP($B85,'Month &amp; Hour Data'!$A:$H,3,FALSE)</f>
        <v>0</v>
      </c>
      <c r="F85" s="308">
        <f>VLOOKUP($B85,'Month &amp; Hour Data'!$A:$H,8,FALSE)</f>
        <v>1.1020850562381843</v>
      </c>
      <c r="G85" s="69">
        <f>VLOOKUP($B85,'Month &amp; Hour Data'!$A:$H,4,FALSE)</f>
        <v>30</v>
      </c>
      <c r="H85" s="69">
        <f>VLOOKUP($B85,'Month &amp; Hour Data'!$A:$H,5,FALSE)</f>
        <v>1</v>
      </c>
      <c r="I85" s="69">
        <f>VLOOKUP($B85,'Month &amp; Hour Data'!$A:$H,7,FALSE)</f>
        <v>336</v>
      </c>
      <c r="J85" s="70">
        <f t="shared" si="9"/>
        <v>309845392.37028611</v>
      </c>
      <c r="K85" s="70">
        <f t="shared" si="7"/>
        <v>737991.6102861166</v>
      </c>
      <c r="L85" s="330">
        <f t="shared" si="8"/>
        <v>2.3874925300126177E-3</v>
      </c>
      <c r="M85" s="495"/>
      <c r="N85" s="294"/>
      <c r="O85" s="294"/>
      <c r="U85" s="495"/>
      <c r="V85" s="495"/>
      <c r="AH85" s="66"/>
      <c r="AI85" s="66"/>
    </row>
    <row r="86" spans="1:35">
      <c r="A86" s="66">
        <f t="shared" si="6"/>
        <v>2010</v>
      </c>
      <c r="B86" s="67">
        <v>40513</v>
      </c>
      <c r="C86" s="294">
        <f>HLOOKUP(MONTH(B86),'Purchased kWh'!$4:$17,12,FALSE)</f>
        <v>333509213.89770001</v>
      </c>
      <c r="D86" s="68">
        <f>VLOOKUP($B86,'Month &amp; Hour Data'!$A:$H,2,FALSE)</f>
        <v>676.2</v>
      </c>
      <c r="E86" s="68">
        <f>VLOOKUP($B86,'Month &amp; Hour Data'!$A:$H,3,FALSE)</f>
        <v>0</v>
      </c>
      <c r="F86" s="308">
        <f>VLOOKUP($B86,'Month &amp; Hour Data'!$A:$H,8,FALSE)</f>
        <v>1.1047590541753953</v>
      </c>
      <c r="G86" s="69">
        <f>VLOOKUP($B86,'Month &amp; Hour Data'!$A:$H,4,FALSE)</f>
        <v>31</v>
      </c>
      <c r="H86" s="69">
        <f>VLOOKUP($B86,'Month &amp; Hour Data'!$A:$H,5,FALSE)</f>
        <v>0</v>
      </c>
      <c r="I86" s="69">
        <f>VLOOKUP($B86,'Month &amp; Hour Data'!$A:$H,7,FALSE)</f>
        <v>368</v>
      </c>
      <c r="J86" s="70">
        <f t="shared" si="9"/>
        <v>341252746.5714252</v>
      </c>
      <c r="K86" s="70">
        <f t="shared" si="7"/>
        <v>7743532.6737251878</v>
      </c>
      <c r="L86" s="330">
        <f t="shared" si="8"/>
        <v>2.3218347053225414E-2</v>
      </c>
      <c r="M86" s="495"/>
      <c r="N86" s="294"/>
      <c r="O86" s="294"/>
      <c r="U86" s="495"/>
      <c r="V86" s="495"/>
      <c r="AH86" s="66"/>
      <c r="AI86" s="66"/>
    </row>
    <row r="87" spans="1:35">
      <c r="A87" s="66">
        <f t="shared" si="6"/>
        <v>2011</v>
      </c>
      <c r="B87" s="67">
        <v>40544</v>
      </c>
      <c r="C87" s="294">
        <f>HLOOKUP(MONTH(B87),'Purchased kWh'!$4:$17,13,FALSE)</f>
        <v>346157898.25999999</v>
      </c>
      <c r="D87" s="68">
        <f>VLOOKUP($B87,'Month &amp; Hour Data'!$A:$H,2,FALSE)</f>
        <v>775.3</v>
      </c>
      <c r="E87" s="68">
        <f>VLOOKUP($B87,'Month &amp; Hour Data'!$A:$H,3,FALSE)</f>
        <v>0</v>
      </c>
      <c r="F87" s="308">
        <f>VLOOKUP($B87,'Month &amp; Hour Data'!$A:$H,8,FALSE)</f>
        <v>1.106402672454752</v>
      </c>
      <c r="G87" s="69">
        <f>VLOOKUP($B87,'Month &amp; Hour Data'!$A:$H,4,FALSE)</f>
        <v>31</v>
      </c>
      <c r="H87" s="69">
        <f>VLOOKUP($B87,'Month &amp; Hour Data'!$A:$H,5,FALSE)</f>
        <v>0</v>
      </c>
      <c r="I87" s="69">
        <f>VLOOKUP($B87,'Month &amp; Hour Data'!$A:$H,7,FALSE)</f>
        <v>320</v>
      </c>
      <c r="J87" s="70">
        <f t="shared" si="9"/>
        <v>339311428.36534548</v>
      </c>
      <c r="K87" s="70">
        <f t="shared" si="7"/>
        <v>-6846469.8946545124</v>
      </c>
      <c r="L87" s="330">
        <f t="shared" si="8"/>
        <v>-1.9778459278465207E-2</v>
      </c>
      <c r="M87" s="495"/>
      <c r="N87" s="294"/>
      <c r="O87" s="294"/>
      <c r="U87" s="495"/>
      <c r="V87" s="495"/>
      <c r="AH87" s="66"/>
      <c r="AI87" s="66"/>
    </row>
    <row r="88" spans="1:35">
      <c r="A88" s="66">
        <f t="shared" si="6"/>
        <v>2011</v>
      </c>
      <c r="B88" s="67">
        <v>40575</v>
      </c>
      <c r="C88" s="294">
        <f>HLOOKUP(MONTH(B88),'Purchased kWh'!$4:$17,13,FALSE)</f>
        <v>312406684.80686557</v>
      </c>
      <c r="D88" s="68">
        <f>VLOOKUP($B88,'Month &amp; Hour Data'!$A:$H,2,FALSE)</f>
        <v>654.20000000000005</v>
      </c>
      <c r="E88" s="68">
        <f>VLOOKUP($B88,'Month &amp; Hour Data'!$A:$H,3,FALSE)</f>
        <v>0</v>
      </c>
      <c r="F88" s="308">
        <f>VLOOKUP($B88,'Month &amp; Hour Data'!$A:$H,8,FALSE)</f>
        <v>1.1080487396470626</v>
      </c>
      <c r="G88" s="69">
        <f>VLOOKUP($B88,'Month &amp; Hour Data'!$A:$H,4,FALSE)</f>
        <v>28</v>
      </c>
      <c r="H88" s="69">
        <f>VLOOKUP($B88,'Month &amp; Hour Data'!$A:$H,5,FALSE)</f>
        <v>0</v>
      </c>
      <c r="I88" s="69">
        <f>VLOOKUP($B88,'Month &amp; Hour Data'!$A:$H,7,FALSE)</f>
        <v>304</v>
      </c>
      <c r="J88" s="70">
        <f t="shared" si="9"/>
        <v>312827641.73322552</v>
      </c>
      <c r="K88" s="70">
        <f t="shared" si="7"/>
        <v>420956.9263599515</v>
      </c>
      <c r="L88" s="330">
        <f t="shared" si="8"/>
        <v>1.3474645288726562E-3</v>
      </c>
      <c r="M88" s="495"/>
      <c r="N88" s="294"/>
      <c r="O88" s="294"/>
      <c r="U88" s="495"/>
      <c r="V88" s="495"/>
      <c r="AH88" s="66"/>
      <c r="AI88" s="66"/>
    </row>
    <row r="89" spans="1:35">
      <c r="A89" s="66">
        <f t="shared" si="6"/>
        <v>2011</v>
      </c>
      <c r="B89" s="67">
        <v>40603</v>
      </c>
      <c r="C89" s="294">
        <f>HLOOKUP(MONTH(B89),'Purchased kWh'!$4:$17,13,FALSE)</f>
        <v>334049130.14831591</v>
      </c>
      <c r="D89" s="68">
        <f>VLOOKUP($B89,'Month &amp; Hour Data'!$A:$H,2,FALSE)</f>
        <v>572.79999999999995</v>
      </c>
      <c r="E89" s="68">
        <f>VLOOKUP($B89,'Month &amp; Hour Data'!$A:$H,3,FALSE)</f>
        <v>0</v>
      </c>
      <c r="F89" s="308">
        <f>VLOOKUP($B89,'Month &amp; Hour Data'!$A:$H,8,FALSE)</f>
        <v>1.1096972557523284</v>
      </c>
      <c r="G89" s="69">
        <f>VLOOKUP($B89,'Month &amp; Hour Data'!$A:$H,4,FALSE)</f>
        <v>31</v>
      </c>
      <c r="H89" s="69">
        <f>VLOOKUP($B89,'Month &amp; Hour Data'!$A:$H,5,FALSE)</f>
        <v>1</v>
      </c>
      <c r="I89" s="69">
        <f>VLOOKUP($B89,'Month &amp; Hour Data'!$A:$H,7,FALSE)</f>
        <v>368</v>
      </c>
      <c r="J89" s="70">
        <f t="shared" si="9"/>
        <v>331740510.20074749</v>
      </c>
      <c r="K89" s="70">
        <f t="shared" si="7"/>
        <v>-2308619.9475684166</v>
      </c>
      <c r="L89" s="330">
        <f t="shared" si="8"/>
        <v>-6.9110191861400825E-3</v>
      </c>
      <c r="M89" s="495"/>
      <c r="N89" s="294"/>
      <c r="O89" s="294"/>
      <c r="U89" s="495"/>
      <c r="V89" s="495"/>
      <c r="AH89" s="66"/>
      <c r="AI89" s="66"/>
    </row>
    <row r="90" spans="1:35">
      <c r="A90" s="66">
        <f t="shared" si="6"/>
        <v>2011</v>
      </c>
      <c r="B90" s="67">
        <v>40634</v>
      </c>
      <c r="C90" s="294">
        <f>HLOOKUP(MONTH(B90),'Purchased kWh'!$4:$17,13,FALSE)</f>
        <v>299909525.74392897</v>
      </c>
      <c r="D90" s="68">
        <f>VLOOKUP($B90,'Month &amp; Hour Data'!$A:$H,2,FALSE)</f>
        <v>332.3</v>
      </c>
      <c r="E90" s="68">
        <f>VLOOKUP($B90,'Month &amp; Hour Data'!$A:$H,3,FALSE)</f>
        <v>0</v>
      </c>
      <c r="F90" s="308">
        <f>VLOOKUP($B90,'Month &amp; Hour Data'!$A:$H,8,FALSE)</f>
        <v>1.1113482207705487</v>
      </c>
      <c r="G90" s="69">
        <f>VLOOKUP($B90,'Month &amp; Hour Data'!$A:$H,4,FALSE)</f>
        <v>30</v>
      </c>
      <c r="H90" s="69">
        <f>VLOOKUP($B90,'Month &amp; Hour Data'!$A:$H,5,FALSE)</f>
        <v>1</v>
      </c>
      <c r="I90" s="69">
        <f>VLOOKUP($B90,'Month &amp; Hour Data'!$A:$H,7,FALSE)</f>
        <v>304</v>
      </c>
      <c r="J90" s="70">
        <f t="shared" si="9"/>
        <v>303269659.89853781</v>
      </c>
      <c r="K90" s="70">
        <f t="shared" si="7"/>
        <v>3360134.1546088457</v>
      </c>
      <c r="L90" s="330">
        <f t="shared" si="8"/>
        <v>1.1203826041450317E-2</v>
      </c>
      <c r="M90" s="495"/>
      <c r="N90" s="294"/>
      <c r="O90" s="294"/>
      <c r="U90" s="495"/>
      <c r="V90" s="495"/>
      <c r="AH90" s="66"/>
      <c r="AI90" s="66"/>
    </row>
    <row r="91" spans="1:35">
      <c r="A91" s="66">
        <f t="shared" si="6"/>
        <v>2011</v>
      </c>
      <c r="B91" s="67">
        <v>40664</v>
      </c>
      <c r="C91" s="294">
        <f>HLOOKUP(MONTH(B91),'Purchased kWh'!$4:$17,13,FALSE)</f>
        <v>308520841.60441828</v>
      </c>
      <c r="D91" s="68">
        <f>VLOOKUP($B91,'Month &amp; Hour Data'!$A:$H,2,FALSE)</f>
        <v>134.1</v>
      </c>
      <c r="E91" s="68">
        <f>VLOOKUP($B91,'Month &amp; Hour Data'!$A:$H,3,FALSE)</f>
        <v>13</v>
      </c>
      <c r="F91" s="308">
        <f>VLOOKUP($B91,'Month &amp; Hour Data'!$A:$H,8,FALSE)</f>
        <v>1.1130016556326037</v>
      </c>
      <c r="G91" s="69">
        <f>VLOOKUP($B91,'Month &amp; Hour Data'!$A:$H,4,FALSE)</f>
        <v>31</v>
      </c>
      <c r="H91" s="69">
        <f>VLOOKUP($B91,'Month &amp; Hour Data'!$A:$H,5,FALSE)</f>
        <v>1</v>
      </c>
      <c r="I91" s="69">
        <f>VLOOKUP($B91,'Month &amp; Hour Data'!$A:$H,7,FALSE)</f>
        <v>336</v>
      </c>
      <c r="J91" s="70">
        <f t="shared" si="9"/>
        <v>310794299.22966927</v>
      </c>
      <c r="K91" s="70">
        <f t="shared" si="7"/>
        <v>2273457.6252509952</v>
      </c>
      <c r="L91" s="330">
        <f t="shared" si="8"/>
        <v>7.3688947995480814E-3</v>
      </c>
      <c r="M91" s="495"/>
      <c r="N91" s="294"/>
      <c r="O91" s="294"/>
      <c r="U91" s="495"/>
      <c r="V91" s="495"/>
      <c r="AH91" s="66"/>
      <c r="AI91" s="66"/>
    </row>
    <row r="92" spans="1:35">
      <c r="A92" s="66">
        <f t="shared" si="6"/>
        <v>2011</v>
      </c>
      <c r="B92" s="67">
        <v>40695</v>
      </c>
      <c r="C92" s="294">
        <f>HLOOKUP(MONTH(B92),'Purchased kWh'!$4:$17,13,FALSE)</f>
        <v>331406120.1022172</v>
      </c>
      <c r="D92" s="68">
        <f>VLOOKUP($B92,'Month &amp; Hour Data'!$A:$H,2,FALSE)</f>
        <v>19</v>
      </c>
      <c r="E92" s="68">
        <f>VLOOKUP($B92,'Month &amp; Hour Data'!$A:$H,3,FALSE)</f>
        <v>52.2</v>
      </c>
      <c r="F92" s="308">
        <f>VLOOKUP($B92,'Month &amp; Hour Data'!$A:$H,8,FALSE)</f>
        <v>1.1146575394076135</v>
      </c>
      <c r="G92" s="69">
        <f>VLOOKUP($B92,'Month &amp; Hour Data'!$A:$H,4,FALSE)</f>
        <v>30</v>
      </c>
      <c r="H92" s="69">
        <f>VLOOKUP($B92,'Month &amp; Hour Data'!$A:$H,5,FALSE)</f>
        <v>0</v>
      </c>
      <c r="I92" s="69">
        <f>VLOOKUP($B92,'Month &amp; Hour Data'!$A:$H,7,FALSE)</f>
        <v>352</v>
      </c>
      <c r="J92" s="70">
        <f t="shared" si="9"/>
        <v>326724104.49075234</v>
      </c>
      <c r="K92" s="70">
        <f t="shared" si="7"/>
        <v>-4682015.6114648581</v>
      </c>
      <c r="L92" s="330">
        <f t="shared" si="8"/>
        <v>-1.4127728268931066E-2</v>
      </c>
      <c r="M92" s="495"/>
      <c r="N92" s="294"/>
      <c r="O92" s="294"/>
      <c r="U92" s="495"/>
      <c r="V92" s="495"/>
      <c r="AH92" s="66"/>
      <c r="AI92" s="66"/>
    </row>
    <row r="93" spans="1:35">
      <c r="A93" s="66">
        <f t="shared" si="6"/>
        <v>2011</v>
      </c>
      <c r="B93" s="67">
        <v>40725</v>
      </c>
      <c r="C93" s="294">
        <f>HLOOKUP(MONTH(B93),'Purchased kWh'!$4:$17,13,FALSE)</f>
        <v>399276723.94634914</v>
      </c>
      <c r="D93" s="68">
        <f>VLOOKUP($B93,'Month &amp; Hour Data'!$A:$H,2,FALSE)</f>
        <v>0</v>
      </c>
      <c r="E93" s="68">
        <f>VLOOKUP($B93,'Month &amp; Hour Data'!$A:$H,3,FALSE)</f>
        <v>198.6</v>
      </c>
      <c r="F93" s="308">
        <f>VLOOKUP($B93,'Month &amp; Hour Data'!$A:$H,8,FALSE)</f>
        <v>1.1163158930264581</v>
      </c>
      <c r="G93" s="69">
        <f>VLOOKUP($B93,'Month &amp; Hour Data'!$A:$H,4,FALSE)</f>
        <v>31</v>
      </c>
      <c r="H93" s="69">
        <f>VLOOKUP($B93,'Month &amp; Hour Data'!$A:$H,5,FALSE)</f>
        <v>0</v>
      </c>
      <c r="I93" s="69">
        <f>VLOOKUP($B93,'Month &amp; Hour Data'!$A:$H,7,FALSE)</f>
        <v>320</v>
      </c>
      <c r="J93" s="70">
        <f t="shared" si="9"/>
        <v>400830066.95462477</v>
      </c>
      <c r="K93" s="70">
        <f t="shared" si="7"/>
        <v>1553343.0082756281</v>
      </c>
      <c r="L93" s="330">
        <f t="shared" si="8"/>
        <v>3.8903920892827976E-3</v>
      </c>
      <c r="M93" s="495"/>
      <c r="N93" s="294"/>
      <c r="O93" s="294"/>
      <c r="U93" s="495"/>
      <c r="V93" s="495"/>
      <c r="AH93" s="66"/>
      <c r="AI93" s="66"/>
    </row>
    <row r="94" spans="1:35">
      <c r="A94" s="66">
        <f t="shared" si="6"/>
        <v>2011</v>
      </c>
      <c r="B94" s="67">
        <v>40756</v>
      </c>
      <c r="C94" s="294">
        <f>HLOOKUP(MONTH(B94),'Purchased kWh'!$4:$17,13,FALSE)</f>
        <v>367773295.40579629</v>
      </c>
      <c r="D94" s="68">
        <f>VLOOKUP($B94,'Month &amp; Hour Data'!$A:$H,2,FALSE)</f>
        <v>0</v>
      </c>
      <c r="E94" s="68">
        <f>VLOOKUP($B94,'Month &amp; Hour Data'!$A:$H,3,FALSE)</f>
        <v>122.2</v>
      </c>
      <c r="F94" s="308">
        <f>VLOOKUP($B94,'Month &amp; Hour Data'!$A:$H,8,FALSE)</f>
        <v>1.1179767164891372</v>
      </c>
      <c r="G94" s="69">
        <f>VLOOKUP($B94,'Month &amp; Hour Data'!$A:$H,4,FALSE)</f>
        <v>31</v>
      </c>
      <c r="H94" s="69">
        <f>VLOOKUP($B94,'Month &amp; Hour Data'!$A:$H,5,FALSE)</f>
        <v>0</v>
      </c>
      <c r="I94" s="69">
        <f>VLOOKUP($B94,'Month &amp; Hour Data'!$A:$H,7,FALSE)</f>
        <v>352</v>
      </c>
      <c r="J94" s="70">
        <f t="shared" si="9"/>
        <v>367828913.74680239</v>
      </c>
      <c r="K94" s="70">
        <f t="shared" si="7"/>
        <v>55618.341006100178</v>
      </c>
      <c r="L94" s="330">
        <f t="shared" si="8"/>
        <v>1.5122996068741648E-4</v>
      </c>
      <c r="M94" s="495"/>
      <c r="N94" s="294"/>
      <c r="O94" s="294"/>
      <c r="U94" s="495"/>
      <c r="V94" s="495"/>
      <c r="AH94" s="66"/>
      <c r="AI94" s="66"/>
    </row>
    <row r="95" spans="1:35">
      <c r="A95" s="66">
        <f t="shared" si="6"/>
        <v>2011</v>
      </c>
      <c r="B95" s="67">
        <v>40787</v>
      </c>
      <c r="C95" s="294">
        <f>HLOOKUP(MONTH(B95),'Purchased kWh'!$4:$17,13,FALSE)</f>
        <v>313781747.26860797</v>
      </c>
      <c r="D95" s="68">
        <f>VLOOKUP($B95,'Month &amp; Hour Data'!$A:$H,2,FALSE)</f>
        <v>48.2</v>
      </c>
      <c r="E95" s="68">
        <f>VLOOKUP($B95,'Month &amp; Hour Data'!$A:$H,3,FALSE)</f>
        <v>39.700000000000003</v>
      </c>
      <c r="F95" s="308">
        <f>VLOOKUP($B95,'Month &amp; Hour Data'!$A:$H,8,FALSE)</f>
        <v>1.1196399888647712</v>
      </c>
      <c r="G95" s="69">
        <f>VLOOKUP($B95,'Month &amp; Hour Data'!$A:$H,4,FALSE)</f>
        <v>30</v>
      </c>
      <c r="H95" s="69">
        <f>VLOOKUP($B95,'Month &amp; Hour Data'!$A:$H,5,FALSE)</f>
        <v>1</v>
      </c>
      <c r="I95" s="69">
        <f>VLOOKUP($B95,'Month &amp; Hour Data'!$A:$H,7,FALSE)</f>
        <v>336</v>
      </c>
      <c r="J95" s="70">
        <f t="shared" si="9"/>
        <v>315416112.32183987</v>
      </c>
      <c r="K95" s="70">
        <f t="shared" si="7"/>
        <v>1634365.053231895</v>
      </c>
      <c r="L95" s="330">
        <f t="shared" si="8"/>
        <v>5.208604603227039E-3</v>
      </c>
      <c r="M95" s="495"/>
      <c r="N95" s="294"/>
      <c r="O95" s="294"/>
      <c r="U95" s="495"/>
      <c r="V95" s="495"/>
      <c r="AH95" s="66"/>
      <c r="AI95" s="66"/>
    </row>
    <row r="96" spans="1:35">
      <c r="A96" s="66">
        <f t="shared" si="6"/>
        <v>2011</v>
      </c>
      <c r="B96" s="67">
        <v>40817</v>
      </c>
      <c r="C96" s="294">
        <f>HLOOKUP(MONTH(B96),'Purchased kWh'!$4:$17,13,FALSE)</f>
        <v>312095896.83517671</v>
      </c>
      <c r="D96" s="68">
        <f>VLOOKUP($B96,'Month &amp; Hour Data'!$A:$H,2,FALSE)</f>
        <v>235.5</v>
      </c>
      <c r="E96" s="68">
        <f>VLOOKUP($B96,'Month &amp; Hour Data'!$A:$H,3,FALSE)</f>
        <v>2.4</v>
      </c>
      <c r="F96" s="308">
        <f>VLOOKUP($B96,'Month &amp; Hour Data'!$A:$H,8,FALSE)</f>
        <v>1.1213057520151197</v>
      </c>
      <c r="G96" s="69">
        <f>VLOOKUP($B96,'Month &amp; Hour Data'!$A:$H,4,FALSE)</f>
        <v>31</v>
      </c>
      <c r="H96" s="69">
        <f>VLOOKUP($B96,'Month &amp; Hour Data'!$A:$H,5,FALSE)</f>
        <v>1</v>
      </c>
      <c r="I96" s="69">
        <f>VLOOKUP($B96,'Month &amp; Hour Data'!$A:$H,7,FALSE)</f>
        <v>336</v>
      </c>
      <c r="J96" s="70">
        <f t="shared" si="9"/>
        <v>312958517.22798491</v>
      </c>
      <c r="K96" s="70">
        <f t="shared" si="7"/>
        <v>862620.39280819893</v>
      </c>
      <c r="L96" s="330">
        <f t="shared" si="8"/>
        <v>2.7639594161783031E-3</v>
      </c>
      <c r="M96" s="495"/>
      <c r="N96" s="294"/>
      <c r="O96" s="294"/>
      <c r="U96" s="495"/>
      <c r="V96" s="495"/>
      <c r="AH96" s="66"/>
      <c r="AI96" s="66"/>
    </row>
    <row r="97" spans="1:35">
      <c r="A97" s="66">
        <f t="shared" si="6"/>
        <v>2011</v>
      </c>
      <c r="B97" s="67">
        <v>40848</v>
      </c>
      <c r="C97" s="294">
        <f>HLOOKUP(MONTH(B97),'Purchased kWh'!$4:$17,13,FALSE)</f>
        <v>314340389.14520544</v>
      </c>
      <c r="D97" s="68">
        <f>VLOOKUP($B97,'Month &amp; Hour Data'!$A:$H,2,FALSE)</f>
        <v>342.1</v>
      </c>
      <c r="E97" s="68">
        <f>VLOOKUP($B97,'Month &amp; Hour Data'!$A:$H,3,FALSE)</f>
        <v>0</v>
      </c>
      <c r="F97" s="308">
        <f>VLOOKUP($B97,'Month &amp; Hour Data'!$A:$H,8,FALSE)</f>
        <v>1.122973985009303</v>
      </c>
      <c r="G97" s="69">
        <f>VLOOKUP($B97,'Month &amp; Hour Data'!$A:$H,4,FALSE)</f>
        <v>30</v>
      </c>
      <c r="H97" s="69">
        <f>VLOOKUP($B97,'Month &amp; Hour Data'!$A:$H,5,FALSE)</f>
        <v>1</v>
      </c>
      <c r="I97" s="69">
        <f>VLOOKUP($B97,'Month &amp; Hour Data'!$A:$H,7,FALSE)</f>
        <v>352</v>
      </c>
      <c r="J97" s="70">
        <f t="shared" si="9"/>
        <v>314388348.0263201</v>
      </c>
      <c r="K97" s="70">
        <f t="shared" si="7"/>
        <v>47958.881114661694</v>
      </c>
      <c r="L97" s="330">
        <f t="shared" si="8"/>
        <v>1.5256989801748865E-4</v>
      </c>
      <c r="M97" s="495"/>
      <c r="N97" s="294"/>
      <c r="O97" s="294"/>
      <c r="U97" s="495"/>
      <c r="V97" s="495"/>
      <c r="AH97" s="66"/>
      <c r="AI97" s="66"/>
    </row>
    <row r="98" spans="1:35">
      <c r="A98" s="66">
        <f t="shared" si="6"/>
        <v>2011</v>
      </c>
      <c r="B98" s="67">
        <v>40878</v>
      </c>
      <c r="C98" s="294">
        <f>HLOOKUP(MONTH(B98),'Purchased kWh'!$4:$17,13,FALSE)</f>
        <v>328784346.68523514</v>
      </c>
      <c r="D98" s="68">
        <f>VLOOKUP($B98,'Month &amp; Hour Data'!$A:$H,2,FALSE)</f>
        <v>534</v>
      </c>
      <c r="E98" s="68">
        <f>VLOOKUP($B98,'Month &amp; Hour Data'!$A:$H,3,FALSE)</f>
        <v>0</v>
      </c>
      <c r="F98" s="308">
        <f>VLOOKUP($B98,'Month &amp; Hour Data'!$A:$H,8,FALSE)</f>
        <v>1.124644708778201</v>
      </c>
      <c r="G98" s="69">
        <f>VLOOKUP($B98,'Month &amp; Hour Data'!$A:$H,4,FALSE)</f>
        <v>31</v>
      </c>
      <c r="H98" s="69">
        <f>VLOOKUP($B98,'Month &amp; Hour Data'!$A:$H,5,FALSE)</f>
        <v>0</v>
      </c>
      <c r="I98" s="69">
        <f>VLOOKUP($B98,'Month &amp; Hour Data'!$A:$H,7,FALSE)</f>
        <v>336</v>
      </c>
      <c r="J98" s="70">
        <f t="shared" si="9"/>
        <v>333730274.81760818</v>
      </c>
      <c r="K98" s="70">
        <f t="shared" si="7"/>
        <v>4945928.132373035</v>
      </c>
      <c r="L98" s="330">
        <f t="shared" si="8"/>
        <v>1.5043076661761112E-2</v>
      </c>
      <c r="M98" s="495"/>
      <c r="N98" s="294"/>
      <c r="O98" s="294"/>
      <c r="U98" s="495"/>
      <c r="V98" s="495"/>
      <c r="AH98" s="66"/>
      <c r="AI98" s="66"/>
    </row>
    <row r="99" spans="1:35">
      <c r="A99" s="66">
        <f t="shared" si="6"/>
        <v>2012</v>
      </c>
      <c r="B99" s="67">
        <v>40909</v>
      </c>
      <c r="C99" s="294">
        <f>HLOOKUP(MONTH(B99),'Purchased kWh'!$4:$17,14,FALSE)</f>
        <v>342744741.61208785</v>
      </c>
      <c r="D99" s="74">
        <f>'Month &amp; Hour Data'!B98</f>
        <v>611.1</v>
      </c>
      <c r="E99" s="74">
        <f>'Month &amp; Hour Data'!C98</f>
        <v>0</v>
      </c>
      <c r="F99" s="308">
        <f>VLOOKUP($B99,'Month &amp; Hour Data'!$A:$H,8,FALSE)</f>
        <v>1.1260409497522648</v>
      </c>
      <c r="G99" s="69">
        <f>VLOOKUP($B99,'Month &amp; Hour Data'!$A:$H,4,FALSE)</f>
        <v>31</v>
      </c>
      <c r="H99" s="69">
        <f>'Month &amp; Hour Data'!E98</f>
        <v>0</v>
      </c>
      <c r="I99" s="69">
        <f>VLOOKUP($B99,'Month &amp; Hour Data'!$A:$H,7,FALSE)</f>
        <v>336</v>
      </c>
      <c r="J99" s="70">
        <f t="shared" si="9"/>
        <v>338177223.92744821</v>
      </c>
      <c r="K99" s="70">
        <f t="shared" ref="K99:K130" si="10">J99-C99</f>
        <v>-4567517.6846396327</v>
      </c>
      <c r="L99" s="330">
        <f t="shared" ref="L99:L122" si="11">K99/C99</f>
        <v>-1.332629543244478E-2</v>
      </c>
      <c r="M99" s="495"/>
      <c r="N99" s="294"/>
      <c r="O99" s="294"/>
      <c r="U99" s="495"/>
      <c r="V99" s="495"/>
      <c r="AH99" s="66"/>
      <c r="AI99" s="66"/>
    </row>
    <row r="100" spans="1:35">
      <c r="A100" s="66">
        <f t="shared" si="6"/>
        <v>2012</v>
      </c>
      <c r="B100" s="67">
        <v>40940</v>
      </c>
      <c r="C100" s="294">
        <f>HLOOKUP(MONTH(B100),'Purchased kWh'!$4:$17,14,FALSE)</f>
        <v>317435425.36419511</v>
      </c>
      <c r="D100" s="74">
        <f>'Month &amp; Hour Data'!B99</f>
        <v>531.70000000000005</v>
      </c>
      <c r="E100" s="74">
        <f>'Month &amp; Hour Data'!C99</f>
        <v>0</v>
      </c>
      <c r="F100" s="308">
        <f>VLOOKUP($B100,'Month &amp; Hour Data'!$A:$H,8,FALSE)</f>
        <v>1.127438915759601</v>
      </c>
      <c r="G100" s="69">
        <f>VLOOKUP($B100,'Month &amp; Hour Data'!$A:$H,4,FALSE)</f>
        <v>29</v>
      </c>
      <c r="H100" s="69">
        <f>'Month &amp; Hour Data'!E99</f>
        <v>0</v>
      </c>
      <c r="I100" s="69">
        <f>VLOOKUP($B100,'Month &amp; Hour Data'!$A:$H,7,FALSE)</f>
        <v>320</v>
      </c>
      <c r="J100" s="70">
        <f t="shared" si="9"/>
        <v>319822645.79641747</v>
      </c>
      <c r="K100" s="70">
        <f t="shared" si="10"/>
        <v>2387220.4322223663</v>
      </c>
      <c r="L100" s="330">
        <f t="shared" si="11"/>
        <v>7.5203340316648574E-3</v>
      </c>
      <c r="M100" s="495"/>
      <c r="N100" s="294"/>
      <c r="O100" s="294"/>
      <c r="U100" s="495"/>
      <c r="V100" s="495"/>
      <c r="AH100" s="66"/>
      <c r="AI100" s="66"/>
    </row>
    <row r="101" spans="1:35">
      <c r="A101" s="66">
        <f t="shared" si="6"/>
        <v>2012</v>
      </c>
      <c r="B101" s="67">
        <v>40969</v>
      </c>
      <c r="C101" s="294">
        <f>HLOOKUP(MONTH(B101),'Purchased kWh'!$4:$17,14,FALSE)</f>
        <v>323010361.81250238</v>
      </c>
      <c r="D101" s="74">
        <f>'Month &amp; Hour Data'!B100</f>
        <v>349.4</v>
      </c>
      <c r="E101" s="74">
        <f>'Month &amp; Hour Data'!C100</f>
        <v>0.2</v>
      </c>
      <c r="F101" s="308">
        <f>VLOOKUP($B101,'Month &amp; Hour Data'!$A:$H,8,FALSE)</f>
        <v>1.1288386173245635</v>
      </c>
      <c r="G101" s="69">
        <f>VLOOKUP($B101,'Month &amp; Hour Data'!$A:$H,4,FALSE)</f>
        <v>31</v>
      </c>
      <c r="H101" s="69">
        <f>'Month &amp; Hour Data'!E100</f>
        <v>1</v>
      </c>
      <c r="I101" s="69">
        <f>VLOOKUP($B101,'Month &amp; Hour Data'!$A:$H,7,FALSE)</f>
        <v>352</v>
      </c>
      <c r="J101" s="70">
        <f t="shared" si="9"/>
        <v>322361071.71927518</v>
      </c>
      <c r="K101" s="70">
        <f t="shared" si="10"/>
        <v>-649290.09322720766</v>
      </c>
      <c r="L101" s="330">
        <f t="shared" si="11"/>
        <v>-2.0101215626144547E-3</v>
      </c>
      <c r="M101" s="495"/>
      <c r="N101" s="294"/>
      <c r="O101" s="294"/>
      <c r="U101" s="495"/>
      <c r="V101" s="495"/>
      <c r="AH101" s="66"/>
      <c r="AI101" s="66"/>
    </row>
    <row r="102" spans="1:35">
      <c r="A102" s="66">
        <f t="shared" si="6"/>
        <v>2012</v>
      </c>
      <c r="B102" s="67">
        <v>41000</v>
      </c>
      <c r="C102" s="294">
        <f>HLOOKUP(MONTH(B102),'Purchased kWh'!$4:$17,14,FALSE)</f>
        <v>301644611.39755243</v>
      </c>
      <c r="D102" s="74">
        <f>'Month &amp; Hour Data'!B101</f>
        <v>321.7</v>
      </c>
      <c r="E102" s="74">
        <f>'Month &amp; Hour Data'!C101</f>
        <v>0</v>
      </c>
      <c r="F102" s="308">
        <f>VLOOKUP($B102,'Month &amp; Hour Data'!$A:$H,8,FALSE)</f>
        <v>1.1302400566018256</v>
      </c>
      <c r="G102" s="69">
        <f>VLOOKUP($B102,'Month &amp; Hour Data'!$A:$H,4,FALSE)</f>
        <v>30</v>
      </c>
      <c r="H102" s="69">
        <f>'Month &amp; Hour Data'!E101</f>
        <v>1</v>
      </c>
      <c r="I102" s="69">
        <f>VLOOKUP($B102,'Month &amp; Hour Data'!$A:$H,7,FALSE)</f>
        <v>320</v>
      </c>
      <c r="J102" s="70">
        <f t="shared" si="9"/>
        <v>310090261.40050882</v>
      </c>
      <c r="K102" s="70">
        <f t="shared" si="10"/>
        <v>8445650.0029563904</v>
      </c>
      <c r="L102" s="330">
        <f t="shared" si="11"/>
        <v>2.7998676866219395E-2</v>
      </c>
      <c r="M102" s="495"/>
      <c r="N102" s="294"/>
      <c r="O102" s="294"/>
      <c r="U102" s="495"/>
      <c r="V102" s="495"/>
      <c r="AH102" s="66"/>
      <c r="AI102" s="66"/>
    </row>
    <row r="103" spans="1:35">
      <c r="A103" s="66">
        <f t="shared" si="6"/>
        <v>2012</v>
      </c>
      <c r="B103" s="67">
        <v>41030</v>
      </c>
      <c r="C103" s="294">
        <f>HLOOKUP(MONTH(B103),'Purchased kWh'!$4:$17,14,FALSE)</f>
        <v>326399579.19420129</v>
      </c>
      <c r="D103" s="74">
        <f>'Month &amp; Hour Data'!B102</f>
        <v>80.7</v>
      </c>
      <c r="E103" s="74">
        <f>'Month &amp; Hour Data'!C102</f>
        <v>36.700000000000003</v>
      </c>
      <c r="F103" s="308">
        <f>VLOOKUP($B103,'Month &amp; Hour Data'!$A:$H,8,FALSE)</f>
        <v>1.1316432357487356</v>
      </c>
      <c r="G103" s="69">
        <f>VLOOKUP($B103,'Month &amp; Hour Data'!$A:$H,4,FALSE)</f>
        <v>31</v>
      </c>
      <c r="H103" s="69">
        <f>'Month &amp; Hour Data'!E102</f>
        <v>1</v>
      </c>
      <c r="I103" s="69">
        <f>VLOOKUP($B103,'Month &amp; Hour Data'!$A:$H,7,FALSE)</f>
        <v>352</v>
      </c>
      <c r="J103" s="70">
        <f t="shared" si="9"/>
        <v>327225742.00196087</v>
      </c>
      <c r="K103" s="70">
        <f t="shared" si="10"/>
        <v>826162.807759583</v>
      </c>
      <c r="L103" s="330">
        <f t="shared" si="11"/>
        <v>2.5311393164144753E-3</v>
      </c>
      <c r="M103" s="495"/>
      <c r="N103" s="294"/>
      <c r="O103" s="294"/>
      <c r="U103" s="495"/>
      <c r="V103" s="495"/>
      <c r="AH103" s="66"/>
      <c r="AI103" s="66"/>
    </row>
    <row r="104" spans="1:35">
      <c r="A104" s="66">
        <f t="shared" si="6"/>
        <v>2012</v>
      </c>
      <c r="B104" s="67">
        <v>41061</v>
      </c>
      <c r="C104" s="294">
        <f>HLOOKUP(MONTH(B104),'Purchased kWh'!$4:$17,14,FALSE)</f>
        <v>357950416.91688043</v>
      </c>
      <c r="D104" s="74">
        <f>'Month &amp; Hour Data'!B103</f>
        <v>23.2</v>
      </c>
      <c r="E104" s="74">
        <f>'Month &amp; Hour Data'!C103</f>
        <v>101.6</v>
      </c>
      <c r="F104" s="308">
        <f>VLOOKUP($B104,'Month &amp; Hour Data'!$A:$H,8,FALSE)</f>
        <v>1.1330481569253206</v>
      </c>
      <c r="G104" s="69">
        <f>VLOOKUP($B104,'Month &amp; Hour Data'!$A:$H,4,FALSE)</f>
        <v>30</v>
      </c>
      <c r="H104" s="69">
        <f>'Month &amp; Hour Data'!E103</f>
        <v>0</v>
      </c>
      <c r="I104" s="69">
        <f>VLOOKUP($B104,'Month &amp; Hour Data'!$A:$H,7,FALSE)</f>
        <v>336</v>
      </c>
      <c r="J104" s="70">
        <f t="shared" si="9"/>
        <v>354019954.86725861</v>
      </c>
      <c r="K104" s="70">
        <f t="shared" si="10"/>
        <v>-3930462.0496218204</v>
      </c>
      <c r="L104" s="330">
        <f t="shared" si="11"/>
        <v>-1.0980465069648213E-2</v>
      </c>
      <c r="M104" s="495"/>
      <c r="N104" s="294"/>
      <c r="O104" s="294"/>
      <c r="U104" s="495"/>
      <c r="V104" s="495"/>
      <c r="AH104" s="66"/>
      <c r="AI104" s="66"/>
    </row>
    <row r="105" spans="1:35">
      <c r="A105" s="66">
        <f t="shared" si="6"/>
        <v>2012</v>
      </c>
      <c r="B105" s="67">
        <v>41091</v>
      </c>
      <c r="C105" s="294">
        <f>HLOOKUP(MONTH(B105),'Purchased kWh'!$4:$17,14,FALSE)</f>
        <v>407476192.08811313</v>
      </c>
      <c r="D105" s="74">
        <f>'Month &amp; Hour Data'!B104</f>
        <v>0</v>
      </c>
      <c r="E105" s="74">
        <f>'Month &amp; Hour Data'!C104</f>
        <v>195.4</v>
      </c>
      <c r="F105" s="308">
        <f>VLOOKUP($B105,'Month &amp; Hour Data'!$A:$H,8,FALSE)</f>
        <v>1.134454822294289</v>
      </c>
      <c r="G105" s="69">
        <f>VLOOKUP($B105,'Month &amp; Hour Data'!$A:$H,4,FALSE)</f>
        <v>31</v>
      </c>
      <c r="H105" s="69">
        <f>'Month &amp; Hour Data'!E104</f>
        <v>0</v>
      </c>
      <c r="I105" s="69">
        <f>VLOOKUP($B105,'Month &amp; Hour Data'!$A:$H,7,FALSE)</f>
        <v>352</v>
      </c>
      <c r="J105" s="70">
        <f t="shared" si="9"/>
        <v>408946489.54163045</v>
      </c>
      <c r="K105" s="70">
        <f t="shared" si="10"/>
        <v>1470297.4535173178</v>
      </c>
      <c r="L105" s="330">
        <f t="shared" si="11"/>
        <v>3.6083027231180636E-3</v>
      </c>
      <c r="M105" s="495"/>
      <c r="N105" s="294"/>
      <c r="O105" s="294"/>
      <c r="U105" s="495"/>
      <c r="V105" s="495"/>
      <c r="AH105" s="66"/>
      <c r="AI105" s="66"/>
    </row>
    <row r="106" spans="1:35">
      <c r="A106" s="66">
        <f t="shared" si="6"/>
        <v>2012</v>
      </c>
      <c r="B106" s="67">
        <v>41122</v>
      </c>
      <c r="C106" s="294">
        <f>HLOOKUP(MONTH(B106),'Purchased kWh'!$4:$17,14,FALSE)</f>
        <v>375206978.09512293</v>
      </c>
      <c r="D106" s="74">
        <f>'Month &amp; Hour Data'!B105</f>
        <v>2</v>
      </c>
      <c r="E106" s="74">
        <f>'Month &amp; Hour Data'!C105</f>
        <v>112.1</v>
      </c>
      <c r="F106" s="308">
        <f>VLOOKUP($B106,'Month &amp; Hour Data'!$A:$H,8,FALSE)</f>
        <v>1.135863234021034</v>
      </c>
      <c r="G106" s="69">
        <f>VLOOKUP($B106,'Month &amp; Hour Data'!$A:$H,4,FALSE)</f>
        <v>31</v>
      </c>
      <c r="H106" s="69">
        <f>'Month &amp; Hour Data'!E105</f>
        <v>0</v>
      </c>
      <c r="I106" s="69">
        <f>VLOOKUP($B106,'Month &amp; Hour Data'!$A:$H,7,FALSE)</f>
        <v>352</v>
      </c>
      <c r="J106" s="70">
        <f t="shared" si="9"/>
        <v>367430096.80422109</v>
      </c>
      <c r="K106" s="70">
        <f t="shared" si="10"/>
        <v>-7776881.2909018397</v>
      </c>
      <c r="L106" s="330">
        <f t="shared" si="11"/>
        <v>-2.0726910065436564E-2</v>
      </c>
      <c r="M106" s="495"/>
      <c r="N106" s="294"/>
      <c r="O106" s="294"/>
      <c r="U106" s="495"/>
      <c r="V106" s="495"/>
      <c r="AH106" s="66"/>
      <c r="AI106" s="66"/>
    </row>
    <row r="107" spans="1:35">
      <c r="A107" s="66">
        <f t="shared" si="6"/>
        <v>2012</v>
      </c>
      <c r="B107" s="67">
        <v>41153</v>
      </c>
      <c r="C107" s="294">
        <f>HLOOKUP(MONTH(B107),'Purchased kWh'!$4:$17,14,FALSE)</f>
        <v>319835102.72689074</v>
      </c>
      <c r="D107" s="74">
        <f>'Month &amp; Hour Data'!B106</f>
        <v>85</v>
      </c>
      <c r="E107" s="74">
        <f>'Month &amp; Hour Data'!C106</f>
        <v>35.6</v>
      </c>
      <c r="F107" s="308">
        <f>VLOOKUP($B107,'Month &amp; Hour Data'!$A:$H,8,FALSE)</f>
        <v>1.1372733942736375</v>
      </c>
      <c r="G107" s="69">
        <f>VLOOKUP($B107,'Month &amp; Hour Data'!$A:$H,4,FALSE)</f>
        <v>30</v>
      </c>
      <c r="H107" s="69">
        <f>'Month &amp; Hour Data'!E106</f>
        <v>1</v>
      </c>
      <c r="I107" s="69">
        <f>VLOOKUP($B107,'Month &amp; Hour Data'!$A:$H,7,FALSE)</f>
        <v>304</v>
      </c>
      <c r="J107" s="70">
        <f t="shared" si="9"/>
        <v>314743075.20427656</v>
      </c>
      <c r="K107" s="70">
        <f t="shared" si="10"/>
        <v>-5092027.522614181</v>
      </c>
      <c r="L107" s="330">
        <f t="shared" si="11"/>
        <v>-1.5920790054624791E-2</v>
      </c>
      <c r="M107" s="495"/>
      <c r="N107" s="294"/>
      <c r="O107" s="294"/>
      <c r="U107" s="495"/>
      <c r="V107" s="495"/>
      <c r="AH107" s="66"/>
      <c r="AI107" s="66"/>
    </row>
    <row r="108" spans="1:35">
      <c r="A108" s="66">
        <f t="shared" si="6"/>
        <v>2012</v>
      </c>
      <c r="B108" s="67">
        <v>41183</v>
      </c>
      <c r="C108" s="294">
        <f>HLOOKUP(MONTH(B108),'Purchased kWh'!$4:$17,14,FALSE)</f>
        <v>318167446.69244564</v>
      </c>
      <c r="D108" s="74">
        <f>'Month &amp; Hour Data'!B107</f>
        <v>242.5</v>
      </c>
      <c r="E108" s="74">
        <f>'Month &amp; Hour Data'!C107</f>
        <v>1.1000000000000001</v>
      </c>
      <c r="F108" s="308">
        <f>VLOOKUP($B108,'Month &amp; Hour Data'!$A:$H,8,FALSE)</f>
        <v>1.1386853052228729</v>
      </c>
      <c r="G108" s="69">
        <f>VLOOKUP($B108,'Month &amp; Hour Data'!$A:$H,4,FALSE)</f>
        <v>31</v>
      </c>
      <c r="H108" s="69">
        <f>'Month &amp; Hour Data'!E107</f>
        <v>1</v>
      </c>
      <c r="I108" s="69">
        <f>VLOOKUP($B108,'Month &amp; Hour Data'!$A:$H,7,FALSE)</f>
        <v>352</v>
      </c>
      <c r="J108" s="70">
        <f t="shared" si="9"/>
        <v>319669626.03591841</v>
      </c>
      <c r="K108" s="70">
        <f t="shared" si="10"/>
        <v>1502179.3434727788</v>
      </c>
      <c r="L108" s="330">
        <f t="shared" si="11"/>
        <v>4.7213483311661676E-3</v>
      </c>
      <c r="M108" s="495"/>
      <c r="N108" s="294"/>
      <c r="O108" s="294"/>
      <c r="U108" s="495"/>
      <c r="V108" s="495"/>
      <c r="AH108" s="66"/>
      <c r="AI108" s="66"/>
    </row>
    <row r="109" spans="1:35">
      <c r="A109" s="66">
        <f t="shared" si="6"/>
        <v>2012</v>
      </c>
      <c r="B109" s="67">
        <v>41214</v>
      </c>
      <c r="C109" s="294">
        <f>HLOOKUP(MONTH(B109),'Purchased kWh'!$4:$17,14,FALSE)</f>
        <v>324129468.26891255</v>
      </c>
      <c r="D109" s="74">
        <f>'Month &amp; Hour Data'!B108</f>
        <v>434</v>
      </c>
      <c r="E109" s="74">
        <f>'Month &amp; Hour Data'!C108</f>
        <v>0</v>
      </c>
      <c r="F109" s="308">
        <f>VLOOKUP($B109,'Month &amp; Hour Data'!$A:$H,8,FALSE)</f>
        <v>1.1400989690422085</v>
      </c>
      <c r="G109" s="69">
        <f>VLOOKUP($B109,'Month &amp; Hour Data'!$A:$H,4,FALSE)</f>
        <v>30</v>
      </c>
      <c r="H109" s="69">
        <f>'Month &amp; Hour Data'!E108</f>
        <v>1</v>
      </c>
      <c r="I109" s="69">
        <f>VLOOKUP($B109,'Month &amp; Hour Data'!$A:$H,7,FALSE)</f>
        <v>352</v>
      </c>
      <c r="J109" s="70">
        <f t="shared" si="9"/>
        <v>323652581.38652521</v>
      </c>
      <c r="K109" s="70">
        <f t="shared" si="10"/>
        <v>-476886.88238734007</v>
      </c>
      <c r="L109" s="330">
        <f t="shared" si="11"/>
        <v>-1.4712851779082703E-3</v>
      </c>
      <c r="M109" s="495"/>
      <c r="N109" s="294"/>
      <c r="O109" s="294"/>
      <c r="U109" s="495"/>
      <c r="V109" s="495"/>
      <c r="AH109" s="66"/>
      <c r="AI109" s="66"/>
    </row>
    <row r="110" spans="1:35">
      <c r="A110" s="66">
        <f t="shared" si="6"/>
        <v>2012</v>
      </c>
      <c r="B110" s="67">
        <v>41244</v>
      </c>
      <c r="C110" s="294">
        <f>HLOOKUP(MONTH(B110),'Purchased kWh'!$4:$17,14,FALSE)</f>
        <v>329242704.47332603</v>
      </c>
      <c r="D110" s="74">
        <f>'Month &amp; Hour Data'!B109</f>
        <v>533.5</v>
      </c>
      <c r="E110" s="74">
        <f>'Month &amp; Hour Data'!C109</f>
        <v>0</v>
      </c>
      <c r="F110" s="308">
        <f>VLOOKUP($B110,'Month &amp; Hour Data'!$A:$H,8,FALSE)</f>
        <v>1.1415143879078107</v>
      </c>
      <c r="G110" s="69">
        <f>VLOOKUP($B110,'Month &amp; Hour Data'!$A:$H,4,FALSE)</f>
        <v>31</v>
      </c>
      <c r="H110" s="69">
        <f>'Month &amp; Hour Data'!E109</f>
        <v>0</v>
      </c>
      <c r="I110" s="69">
        <f>VLOOKUP($B110,'Month &amp; Hour Data'!$A:$H,7,FALSE)</f>
        <v>304</v>
      </c>
      <c r="J110" s="70">
        <f t="shared" si="9"/>
        <v>332949654.08768296</v>
      </c>
      <c r="K110" s="70">
        <f t="shared" si="10"/>
        <v>3706949.614356935</v>
      </c>
      <c r="L110" s="330">
        <f t="shared" si="11"/>
        <v>1.1259018237888573E-2</v>
      </c>
      <c r="M110" s="495"/>
      <c r="N110" s="294"/>
      <c r="O110" s="294"/>
      <c r="U110" s="495"/>
      <c r="V110" s="495"/>
      <c r="AH110" s="66"/>
      <c r="AI110" s="66"/>
    </row>
    <row r="111" spans="1:35">
      <c r="A111" s="66">
        <f t="shared" si="6"/>
        <v>2013</v>
      </c>
      <c r="B111" s="67">
        <v>41275</v>
      </c>
      <c r="C111" s="294">
        <f>HLOOKUP(MONTH(B111),'Purchased kWh'!$4:$18,15,FALSE)</f>
        <v>348513720.32204151</v>
      </c>
      <c r="D111" s="74">
        <f>'Month &amp; Hour Data'!B110</f>
        <v>624.4</v>
      </c>
      <c r="E111" s="74">
        <f>'Month &amp; Hour Data'!C110</f>
        <v>0</v>
      </c>
      <c r="F111" s="308">
        <f>VLOOKUP($B111,'Month &amp; Hour Data'!$A:$H,8,FALSE)</f>
        <v>1.1427437208015847</v>
      </c>
      <c r="G111" s="69">
        <f>VLOOKUP($B111,'Month &amp; Hour Data'!$A:$H,4,FALSE)</f>
        <v>31</v>
      </c>
      <c r="H111" s="69">
        <f>'Month &amp; Hour Data'!E110</f>
        <v>0</v>
      </c>
      <c r="I111" s="69">
        <f>VLOOKUP($B111,'Month &amp; Hour Data'!$A:$H,7,FALSE)</f>
        <v>352</v>
      </c>
      <c r="J111" s="70">
        <f t="shared" si="9"/>
        <v>345704152.09620911</v>
      </c>
      <c r="K111" s="70">
        <f t="shared" si="10"/>
        <v>-2809568.2258324027</v>
      </c>
      <c r="L111" s="330">
        <f t="shared" si="11"/>
        <v>-8.0615713586146397E-3</v>
      </c>
      <c r="M111" s="495"/>
      <c r="N111" s="294"/>
      <c r="O111" s="294"/>
      <c r="U111" s="495"/>
      <c r="V111" s="495"/>
      <c r="AH111" s="66"/>
      <c r="AI111" s="66"/>
    </row>
    <row r="112" spans="1:35">
      <c r="A112" s="66">
        <f t="shared" si="6"/>
        <v>2013</v>
      </c>
      <c r="B112" s="67">
        <v>41306</v>
      </c>
      <c r="C112" s="294">
        <f>HLOOKUP(MONTH(B112),'Purchased kWh'!$4:$18,15,FALSE)</f>
        <v>317590943.46700263</v>
      </c>
      <c r="D112" s="74">
        <f>'Month &amp; Hour Data'!B111</f>
        <v>631.5</v>
      </c>
      <c r="E112" s="74">
        <f>'Month &amp; Hour Data'!C111</f>
        <v>0</v>
      </c>
      <c r="F112" s="308">
        <f>VLOOKUP($B112,'Month &amp; Hour Data'!$A:$H,8,FALSE)</f>
        <v>1.1439743776027749</v>
      </c>
      <c r="G112" s="69">
        <f>VLOOKUP($B112,'Month &amp; Hour Data'!$A:$H,4,FALSE)</f>
        <v>28</v>
      </c>
      <c r="H112" s="69">
        <f>'Month &amp; Hour Data'!E111</f>
        <v>0</v>
      </c>
      <c r="I112" s="69">
        <f>VLOOKUP($B112,'Month &amp; Hour Data'!$A:$H,7,FALSE)</f>
        <v>304</v>
      </c>
      <c r="J112" s="70">
        <f t="shared" si="9"/>
        <v>320833978.5051682</v>
      </c>
      <c r="K112" s="70">
        <f t="shared" si="10"/>
        <v>3243035.0381655693</v>
      </c>
      <c r="L112" s="330">
        <f t="shared" si="11"/>
        <v>1.0211358682847697E-2</v>
      </c>
      <c r="M112" s="495"/>
      <c r="N112" s="294"/>
      <c r="O112" s="294"/>
      <c r="U112" s="495"/>
      <c r="V112" s="495"/>
      <c r="AH112" s="66"/>
      <c r="AI112" s="66"/>
    </row>
    <row r="113" spans="1:35">
      <c r="A113" s="66">
        <f t="shared" si="6"/>
        <v>2013</v>
      </c>
      <c r="B113" s="67">
        <v>41334</v>
      </c>
      <c r="C113" s="294">
        <f>HLOOKUP(MONTH(B113),'Purchased kWh'!$4:$18,15,FALSE)</f>
        <v>333368808.18886328</v>
      </c>
      <c r="D113" s="74">
        <f>'Month &amp; Hour Data'!B112</f>
        <v>554.79999999999995</v>
      </c>
      <c r="E113" s="74">
        <f>'Month &amp; Hour Data'!C112</f>
        <v>0</v>
      </c>
      <c r="F113" s="308">
        <f>VLOOKUP($B113,'Month &amp; Hour Data'!$A:$H,8,FALSE)</f>
        <v>1.1452063597371387</v>
      </c>
      <c r="G113" s="69">
        <f>VLOOKUP($B113,'Month &amp; Hour Data'!$A:$H,4,FALSE)</f>
        <v>31</v>
      </c>
      <c r="H113" s="69">
        <f>'Month &amp; Hour Data'!E112</f>
        <v>1</v>
      </c>
      <c r="I113" s="69">
        <f>VLOOKUP($B113,'Month &amp; Hour Data'!$A:$H,7,FALSE)</f>
        <v>320</v>
      </c>
      <c r="J113" s="70">
        <f t="shared" si="9"/>
        <v>332270868.2977525</v>
      </c>
      <c r="K113" s="70">
        <f t="shared" si="10"/>
        <v>-1097939.8911107779</v>
      </c>
      <c r="L113" s="330">
        <f t="shared" si="11"/>
        <v>-3.2934691673036265E-3</v>
      </c>
      <c r="M113" s="495"/>
      <c r="N113" s="294"/>
      <c r="O113" s="294"/>
      <c r="U113" s="495"/>
      <c r="V113" s="495"/>
      <c r="AH113" s="66"/>
      <c r="AI113" s="66"/>
    </row>
    <row r="114" spans="1:35">
      <c r="A114" s="66">
        <f t="shared" si="6"/>
        <v>2013</v>
      </c>
      <c r="B114" s="67">
        <v>41365</v>
      </c>
      <c r="C114" s="294">
        <f>HLOOKUP(MONTH(B114),'Purchased kWh'!$4:$18,15,FALSE)</f>
        <v>312277395.642299</v>
      </c>
      <c r="D114" s="74">
        <f>'Month &amp; Hour Data'!B113</f>
        <v>358.6</v>
      </c>
      <c r="E114" s="74">
        <f>'Month &amp; Hour Data'!C113</f>
        <v>0</v>
      </c>
      <c r="F114" s="308">
        <f>VLOOKUP($B114,'Month &amp; Hour Data'!$A:$H,8,FALSE)</f>
        <v>1.1464396686319696</v>
      </c>
      <c r="G114" s="69">
        <f>VLOOKUP($B114,'Month &amp; Hour Data'!$A:$H,4,FALSE)</f>
        <v>30</v>
      </c>
      <c r="H114" s="69">
        <f>'Month &amp; Hour Data'!E113</f>
        <v>1</v>
      </c>
      <c r="I114" s="69">
        <f>VLOOKUP($B114,'Month &amp; Hour Data'!$A:$H,7,FALSE)</f>
        <v>352</v>
      </c>
      <c r="J114" s="70">
        <f t="shared" si="9"/>
        <v>321279305.71498746</v>
      </c>
      <c r="K114" s="70">
        <f t="shared" si="10"/>
        <v>9001910.0726884604</v>
      </c>
      <c r="L114" s="330">
        <f t="shared" si="11"/>
        <v>2.8826646431366364E-2</v>
      </c>
      <c r="M114" s="495"/>
      <c r="N114" s="294"/>
      <c r="O114" s="294"/>
      <c r="U114" s="495"/>
      <c r="V114" s="495"/>
      <c r="AH114" s="66"/>
      <c r="AI114" s="66"/>
    </row>
    <row r="115" spans="1:35">
      <c r="A115" s="66">
        <f t="shared" si="6"/>
        <v>2013</v>
      </c>
      <c r="B115" s="67">
        <v>41395</v>
      </c>
      <c r="C115" s="294">
        <f>HLOOKUP(MONTH(B115),'Purchased kWh'!$4:$18,15,FALSE)</f>
        <v>320170212.77697694</v>
      </c>
      <c r="D115" s="74">
        <f>'Month &amp; Hour Data'!B114</f>
        <v>109.1</v>
      </c>
      <c r="E115" s="74">
        <f>'Month &amp; Hour Data'!C114</f>
        <v>23.1</v>
      </c>
      <c r="F115" s="308">
        <f>VLOOKUP($B115,'Month &amp; Hour Data'!$A:$H,8,FALSE)</f>
        <v>1.1476743057160976</v>
      </c>
      <c r="G115" s="69">
        <f>VLOOKUP($B115,'Month &amp; Hour Data'!$A:$H,4,FALSE)</f>
        <v>31</v>
      </c>
      <c r="H115" s="69">
        <f>'Month &amp; Hour Data'!E114</f>
        <v>1</v>
      </c>
      <c r="I115" s="69">
        <f>VLOOKUP($B115,'Month &amp; Hour Data'!$A:$H,7,FALSE)</f>
        <v>352</v>
      </c>
      <c r="J115" s="70">
        <f t="shared" si="9"/>
        <v>325987354.22373837</v>
      </c>
      <c r="K115" s="70">
        <f t="shared" si="10"/>
        <v>5817141.4467614293</v>
      </c>
      <c r="L115" s="330">
        <f t="shared" si="11"/>
        <v>1.8168902710551382E-2</v>
      </c>
      <c r="M115" s="495"/>
      <c r="N115" s="294"/>
      <c r="O115" s="294"/>
      <c r="U115" s="495"/>
      <c r="V115" s="495"/>
      <c r="AH115" s="66"/>
      <c r="AI115" s="66"/>
    </row>
    <row r="116" spans="1:35">
      <c r="A116" s="66">
        <f t="shared" si="6"/>
        <v>2013</v>
      </c>
      <c r="B116" s="67">
        <v>41426</v>
      </c>
      <c r="C116" s="294">
        <f>HLOOKUP(MONTH(B116),'Purchased kWh'!$4:$18,15,FALSE)</f>
        <v>335997920.17368233</v>
      </c>
      <c r="D116" s="74">
        <f>'Month &amp; Hour Data'!B115</f>
        <v>33.4</v>
      </c>
      <c r="E116" s="74">
        <f>'Month &amp; Hour Data'!C115</f>
        <v>59.3</v>
      </c>
      <c r="F116" s="308">
        <f>VLOOKUP($B116,'Month &amp; Hour Data'!$A:$H,8,FALSE)</f>
        <v>1.1489102724198916</v>
      </c>
      <c r="G116" s="69">
        <f>VLOOKUP($B116,'Month &amp; Hour Data'!$A:$H,4,FALSE)</f>
        <v>30</v>
      </c>
      <c r="H116" s="69">
        <f>'Month &amp; Hour Data'!E115</f>
        <v>0</v>
      </c>
      <c r="I116" s="69">
        <f>VLOOKUP($B116,'Month &amp; Hour Data'!$A:$H,7,FALSE)</f>
        <v>320</v>
      </c>
      <c r="J116" s="70">
        <f t="shared" si="9"/>
        <v>334768614.66206932</v>
      </c>
      <c r="K116" s="70">
        <f t="shared" si="10"/>
        <v>-1229305.5116130114</v>
      </c>
      <c r="L116" s="330">
        <f t="shared" si="11"/>
        <v>-3.6586700030094383E-3</v>
      </c>
      <c r="M116" s="495"/>
      <c r="N116" s="294"/>
      <c r="O116" s="294"/>
      <c r="U116" s="495"/>
      <c r="V116" s="495"/>
      <c r="AH116" s="66"/>
      <c r="AI116" s="66"/>
    </row>
    <row r="117" spans="1:35">
      <c r="A117" s="66">
        <f t="shared" si="6"/>
        <v>2013</v>
      </c>
      <c r="B117" s="67">
        <v>41456</v>
      </c>
      <c r="C117" s="294">
        <f>HLOOKUP(MONTH(B117),'Purchased kWh'!$4:$18,15,FALSE)</f>
        <v>385395997.74065989</v>
      </c>
      <c r="D117" s="74">
        <f>'Month &amp; Hour Data'!B116</f>
        <v>1.4</v>
      </c>
      <c r="E117" s="74">
        <f>'Month &amp; Hour Data'!C116</f>
        <v>133.30000000000001</v>
      </c>
      <c r="F117" s="308">
        <f>VLOOKUP($B117,'Month &amp; Hour Data'!$A:$H,8,FALSE)</f>
        <v>1.1501475701752613</v>
      </c>
      <c r="G117" s="69">
        <f>VLOOKUP($B117,'Month &amp; Hour Data'!$A:$H,4,FALSE)</f>
        <v>31</v>
      </c>
      <c r="H117" s="69">
        <f>'Month &amp; Hour Data'!E116</f>
        <v>0</v>
      </c>
      <c r="I117" s="69">
        <f>VLOOKUP($B117,'Month &amp; Hour Data'!$A:$H,7,FALSE)</f>
        <v>352</v>
      </c>
      <c r="J117" s="70">
        <f t="shared" si="9"/>
        <v>381745226.57554144</v>
      </c>
      <c r="K117" s="70">
        <f t="shared" si="10"/>
        <v>-3650771.1651184559</v>
      </c>
      <c r="L117" s="330">
        <f t="shared" si="11"/>
        <v>-9.4727791324266102E-3</v>
      </c>
      <c r="M117" s="495"/>
      <c r="N117" s="294"/>
      <c r="O117" s="294"/>
      <c r="U117" s="495"/>
      <c r="V117" s="495"/>
      <c r="AH117" s="66"/>
      <c r="AI117" s="66"/>
    </row>
    <row r="118" spans="1:35">
      <c r="A118" s="66">
        <f t="shared" si="6"/>
        <v>2013</v>
      </c>
      <c r="B118" s="67">
        <v>41487</v>
      </c>
      <c r="C118" s="294">
        <f>HLOOKUP(MONTH(B118),'Purchased kWh'!$4:$18,15,FALSE)</f>
        <v>362278436.561683</v>
      </c>
      <c r="D118" s="74">
        <f>'Month &amp; Hour Data'!B117</f>
        <v>4.5999999999999996</v>
      </c>
      <c r="E118" s="74">
        <f>'Month &amp; Hour Data'!C117</f>
        <v>93.2</v>
      </c>
      <c r="F118" s="308">
        <f>VLOOKUP($B118,'Month &amp; Hour Data'!$A:$H,8,FALSE)</f>
        <v>1.1513862004156583</v>
      </c>
      <c r="G118" s="69">
        <f>VLOOKUP($B118,'Month &amp; Hour Data'!$A:$H,4,FALSE)</f>
        <v>31</v>
      </c>
      <c r="H118" s="69">
        <f>'Month &amp; Hour Data'!E117</f>
        <v>0</v>
      </c>
      <c r="I118" s="69">
        <f>VLOOKUP($B118,'Month &amp; Hour Data'!$A:$H,7,FALSE)</f>
        <v>336</v>
      </c>
      <c r="J118" s="70">
        <f t="shared" si="9"/>
        <v>359482437.88952291</v>
      </c>
      <c r="K118" s="70">
        <f t="shared" si="10"/>
        <v>-2795998.672160089</v>
      </c>
      <c r="L118" s="330">
        <f t="shared" si="11"/>
        <v>-7.7178169882159984E-3</v>
      </c>
      <c r="M118" s="495"/>
      <c r="N118" s="294"/>
      <c r="O118" s="294"/>
      <c r="U118" s="495"/>
      <c r="V118" s="495"/>
      <c r="AH118" s="66"/>
      <c r="AI118" s="66"/>
    </row>
    <row r="119" spans="1:35">
      <c r="A119" s="66">
        <f t="shared" ref="A119:A146" si="12">YEAR(B119)</f>
        <v>2013</v>
      </c>
      <c r="B119" s="67">
        <v>41518</v>
      </c>
      <c r="C119" s="294">
        <f>HLOOKUP(MONTH(B119),'Purchased kWh'!$4:$18,15,FALSE)</f>
        <v>318477236.99047047</v>
      </c>
      <c r="D119" s="74">
        <f>'Month &amp; Hour Data'!B118</f>
        <v>89.6</v>
      </c>
      <c r="E119" s="74">
        <f>'Month &amp; Hour Data'!C118</f>
        <v>28</v>
      </c>
      <c r="F119" s="308">
        <f>VLOOKUP($B119,'Month &amp; Hour Data'!$A:$H,8,FALSE)</f>
        <v>1.1526261645760774</v>
      </c>
      <c r="G119" s="69">
        <f>VLOOKUP($B119,'Month &amp; Hour Data'!$A:$H,4,FALSE)</f>
        <v>30</v>
      </c>
      <c r="H119" s="69">
        <f>'Month &amp; Hour Data'!E118</f>
        <v>1</v>
      </c>
      <c r="I119" s="69">
        <f>VLOOKUP($B119,'Month &amp; Hour Data'!$A:$H,7,FALSE)</f>
        <v>320</v>
      </c>
      <c r="J119" s="70">
        <f t="shared" si="9"/>
        <v>317632069.76576698</v>
      </c>
      <c r="K119" s="70">
        <f t="shared" si="10"/>
        <v>-845167.22470349073</v>
      </c>
      <c r="L119" s="330">
        <f t="shared" si="11"/>
        <v>-2.6537759266254245E-3</v>
      </c>
      <c r="M119" s="495"/>
      <c r="N119" s="294"/>
      <c r="O119" s="294"/>
      <c r="U119" s="495"/>
      <c r="V119" s="495"/>
      <c r="AH119" s="66"/>
      <c r="AI119" s="66"/>
    </row>
    <row r="120" spans="1:35">
      <c r="A120" s="66">
        <f t="shared" si="12"/>
        <v>2013</v>
      </c>
      <c r="B120" s="67">
        <v>41548</v>
      </c>
      <c r="C120" s="294">
        <f>HLOOKUP(MONTH(B120),'Purchased kWh'!$4:$18,15,FALSE)</f>
        <v>318760031.98889458</v>
      </c>
      <c r="D120" s="74">
        <f>'Month &amp; Hour Data'!B119</f>
        <v>224.2</v>
      </c>
      <c r="E120" s="74">
        <f>'Month &amp; Hour Data'!C119</f>
        <v>0</v>
      </c>
      <c r="F120" s="308">
        <f>VLOOKUP($B120,'Month &amp; Hour Data'!$A:$H,8,FALSE)</f>
        <v>1.1538674640930595</v>
      </c>
      <c r="G120" s="69">
        <f>VLOOKUP($B120,'Month &amp; Hour Data'!$A:$H,4,FALSE)</f>
        <v>31</v>
      </c>
      <c r="H120" s="69">
        <f>'Month &amp; Hour Data'!E119</f>
        <v>1</v>
      </c>
      <c r="I120" s="69">
        <f>VLOOKUP($B120,'Month &amp; Hour Data'!$A:$H,7,FALSE)</f>
        <v>352</v>
      </c>
      <c r="J120" s="70">
        <f t="shared" si="9"/>
        <v>322036921.10471696</v>
      </c>
      <c r="K120" s="70">
        <f t="shared" si="10"/>
        <v>3276889.1158223748</v>
      </c>
      <c r="L120" s="330">
        <f t="shared" si="11"/>
        <v>1.0280112896765363E-2</v>
      </c>
      <c r="M120" s="495"/>
      <c r="N120" s="294"/>
      <c r="O120" s="294"/>
      <c r="U120" s="495"/>
      <c r="V120" s="495"/>
      <c r="AH120" s="66"/>
      <c r="AI120" s="66"/>
    </row>
    <row r="121" spans="1:35">
      <c r="A121" s="66">
        <f t="shared" si="12"/>
        <v>2013</v>
      </c>
      <c r="B121" s="67">
        <v>41579</v>
      </c>
      <c r="C121" s="294">
        <f>HLOOKUP(MONTH(B121),'Purchased kWh'!$4:$18,15,FALSE)</f>
        <v>329707414.74445009</v>
      </c>
      <c r="D121" s="74">
        <f>'Month &amp; Hour Data'!B120</f>
        <v>478.3</v>
      </c>
      <c r="E121" s="74">
        <f>'Month &amp; Hour Data'!C120</f>
        <v>0</v>
      </c>
      <c r="F121" s="308">
        <f>VLOOKUP($B121,'Month &amp; Hour Data'!$A:$H,8,FALSE)</f>
        <v>1.155110100404692</v>
      </c>
      <c r="G121" s="69">
        <f>VLOOKUP($B121,'Month &amp; Hour Data'!$A:$H,4,FALSE)</f>
        <v>30</v>
      </c>
      <c r="H121" s="69">
        <f>'Month &amp; Hour Data'!E120</f>
        <v>1</v>
      </c>
      <c r="I121" s="69">
        <f>VLOOKUP($B121,'Month &amp; Hour Data'!$A:$H,7,FALSE)</f>
        <v>336</v>
      </c>
      <c r="J121" s="70">
        <f t="shared" si="9"/>
        <v>327310938.00092304</v>
      </c>
      <c r="K121" s="70">
        <f t="shared" si="10"/>
        <v>-2396476.7435270548</v>
      </c>
      <c r="L121" s="330">
        <f t="shared" si="11"/>
        <v>-7.2684951455657069E-3</v>
      </c>
      <c r="M121" s="495"/>
      <c r="N121" s="294"/>
      <c r="O121" s="294"/>
      <c r="U121" s="495"/>
      <c r="V121" s="495"/>
      <c r="AH121" s="66"/>
      <c r="AI121" s="66"/>
    </row>
    <row r="122" spans="1:35">
      <c r="A122" s="66">
        <f t="shared" si="12"/>
        <v>2013</v>
      </c>
      <c r="B122" s="67">
        <v>41609</v>
      </c>
      <c r="C122" s="294">
        <f>HLOOKUP(MONTH(B122),'Purchased kWh'!$4:$18,15,FALSE)</f>
        <v>344618545.50918531</v>
      </c>
      <c r="D122" s="74">
        <f>'Month &amp; Hour Data'!B121</f>
        <v>687.7</v>
      </c>
      <c r="E122" s="74">
        <f>'Month &amp; Hour Data'!C121</f>
        <v>0</v>
      </c>
      <c r="F122" s="308">
        <f>VLOOKUP($B122,'Month &amp; Hour Data'!$A:$H,8,FALSE)</f>
        <v>1.1563540749506114</v>
      </c>
      <c r="G122" s="69">
        <f>VLOOKUP($B122,'Month &amp; Hour Data'!$A:$H,4,FALSE)</f>
        <v>31</v>
      </c>
      <c r="H122" s="69">
        <f>'Month &amp; Hour Data'!E121</f>
        <v>0</v>
      </c>
      <c r="I122" s="69">
        <f>VLOOKUP($B122,'Month &amp; Hour Data'!$A:$H,7,FALSE)</f>
        <v>320</v>
      </c>
      <c r="J122" s="70">
        <f t="shared" si="9"/>
        <v>347471571.28093874</v>
      </c>
      <c r="K122" s="70">
        <f t="shared" si="10"/>
        <v>2853025.7717534304</v>
      </c>
      <c r="L122" s="330">
        <f t="shared" si="11"/>
        <v>8.2787934919114417E-3</v>
      </c>
      <c r="M122" s="495"/>
      <c r="N122" s="294"/>
      <c r="O122" s="294"/>
      <c r="U122" s="495"/>
      <c r="V122" s="495"/>
      <c r="AH122" s="66"/>
      <c r="AI122" s="66"/>
    </row>
    <row r="123" spans="1:35">
      <c r="A123" s="66">
        <f t="shared" si="12"/>
        <v>2014</v>
      </c>
      <c r="B123" s="67">
        <v>41640</v>
      </c>
      <c r="C123" s="279"/>
      <c r="D123" s="341">
        <f>'Month &amp; Hour Data'!B122</f>
        <v>700.25</v>
      </c>
      <c r="E123" s="342">
        <f>'Month &amp; Hour Data'!C122</f>
        <v>0</v>
      </c>
      <c r="F123" s="308">
        <f>VLOOKUP($B123,'Month &amp; Hour Data'!$A:$H,8,FALSE)</f>
        <v>1.1583584746270237</v>
      </c>
      <c r="G123" s="69">
        <f>VLOOKUP($B123,'Month &amp; Hour Data'!$A:$H,4,FALSE)</f>
        <v>31</v>
      </c>
      <c r="H123" s="69">
        <f>'Month &amp; Hour Data'!E122</f>
        <v>0</v>
      </c>
      <c r="I123" s="69">
        <f>VLOOKUP($B123,'Month &amp; Hour Data'!$A:$H,7,FALSE)</f>
        <v>352</v>
      </c>
      <c r="J123" s="70">
        <f t="shared" si="9"/>
        <v>353729997.61578232</v>
      </c>
      <c r="K123" s="70">
        <f t="shared" si="10"/>
        <v>353729997.61578232</v>
      </c>
      <c r="L123" s="330"/>
      <c r="M123" s="495"/>
      <c r="N123" s="294"/>
      <c r="O123" s="294"/>
      <c r="U123" s="495"/>
      <c r="V123" s="495"/>
      <c r="AH123" s="66"/>
      <c r="AI123" s="66"/>
    </row>
    <row r="124" spans="1:35">
      <c r="A124" s="66">
        <f t="shared" si="12"/>
        <v>2014</v>
      </c>
      <c r="B124" s="67">
        <v>41671</v>
      </c>
      <c r="C124" s="279"/>
      <c r="D124" s="341">
        <f>'Month &amp; Hour Data'!B123</f>
        <v>628.92999999999995</v>
      </c>
      <c r="E124" s="342">
        <f>'Month &amp; Hour Data'!C123</f>
        <v>0</v>
      </c>
      <c r="F124" s="308">
        <f>VLOOKUP($B124,'Month &amp; Hour Data'!$A:$H,8,FALSE)</f>
        <v>1.1603663486874065</v>
      </c>
      <c r="G124" s="69">
        <f>VLOOKUP($B124,'Month &amp; Hour Data'!$A:$H,4,FALSE)</f>
        <v>28</v>
      </c>
      <c r="H124" s="69">
        <f>'Month &amp; Hour Data'!E123</f>
        <v>0</v>
      </c>
      <c r="I124" s="69">
        <f>VLOOKUP($B124,'Month &amp; Hour Data'!$A:$H,7,FALSE)</f>
        <v>304</v>
      </c>
      <c r="J124" s="70">
        <f t="shared" si="9"/>
        <v>324900076.71620905</v>
      </c>
      <c r="K124" s="70">
        <f t="shared" si="10"/>
        <v>324900076.71620905</v>
      </c>
      <c r="L124" s="330"/>
      <c r="M124" s="495"/>
      <c r="N124" s="294"/>
      <c r="O124" s="294"/>
      <c r="U124" s="495"/>
      <c r="V124" s="495"/>
      <c r="AH124" s="66"/>
      <c r="AI124" s="66"/>
    </row>
    <row r="125" spans="1:35">
      <c r="A125" s="66">
        <f t="shared" si="12"/>
        <v>2014</v>
      </c>
      <c r="B125" s="67">
        <v>41699</v>
      </c>
      <c r="C125" s="279"/>
      <c r="D125" s="341">
        <f>'Month &amp; Hour Data'!B124</f>
        <v>520.29999999999995</v>
      </c>
      <c r="E125" s="342">
        <f>'Month &amp; Hour Data'!C124</f>
        <v>0.02</v>
      </c>
      <c r="F125" s="308">
        <f>VLOOKUP($B125,'Month &amp; Hour Data'!$A:$H,8,FALSE)</f>
        <v>1.1623777031541842</v>
      </c>
      <c r="G125" s="69">
        <f>VLOOKUP($B125,'Month &amp; Hour Data'!$A:$H,4,FALSE)</f>
        <v>31</v>
      </c>
      <c r="H125" s="69">
        <f>'Month &amp; Hour Data'!E124</f>
        <v>1</v>
      </c>
      <c r="I125" s="69">
        <f>VLOOKUP($B125,'Month &amp; Hour Data'!$A:$H,7,FALSE)</f>
        <v>320</v>
      </c>
      <c r="J125" s="70">
        <f t="shared" si="9"/>
        <v>334853447.29490137</v>
      </c>
      <c r="K125" s="70">
        <f t="shared" si="10"/>
        <v>334853447.29490137</v>
      </c>
      <c r="L125" s="330"/>
      <c r="M125" s="495"/>
      <c r="N125" s="294"/>
      <c r="O125" s="294"/>
      <c r="U125" s="495"/>
      <c r="V125" s="495"/>
      <c r="AH125" s="66"/>
      <c r="AI125" s="66"/>
    </row>
    <row r="126" spans="1:35">
      <c r="A126" s="66">
        <f t="shared" si="12"/>
        <v>2014</v>
      </c>
      <c r="B126" s="67">
        <v>41730</v>
      </c>
      <c r="C126" s="279"/>
      <c r="D126" s="341">
        <f>'Month &amp; Hour Data'!B125</f>
        <v>308.53999999999996</v>
      </c>
      <c r="E126" s="342">
        <f>'Month &amp; Hour Data'!C125</f>
        <v>0.12</v>
      </c>
      <c r="F126" s="308">
        <f>VLOOKUP($B126,'Month &amp; Hour Data'!$A:$H,8,FALSE)</f>
        <v>1.1643925440602192</v>
      </c>
      <c r="G126" s="69">
        <f>VLOOKUP($B126,'Month &amp; Hour Data'!$A:$H,4,FALSE)</f>
        <v>30</v>
      </c>
      <c r="H126" s="69">
        <f>'Month &amp; Hour Data'!E125</f>
        <v>1</v>
      </c>
      <c r="I126" s="69">
        <f>VLOOKUP($B126,'Month &amp; Hour Data'!$A:$H,7,FALSE)</f>
        <v>352</v>
      </c>
      <c r="J126" s="70">
        <f t="shared" si="9"/>
        <v>323287421.87225074</v>
      </c>
      <c r="K126" s="70">
        <f t="shared" si="10"/>
        <v>323287421.87225074</v>
      </c>
      <c r="L126" s="330"/>
      <c r="M126" s="495"/>
      <c r="N126" s="294"/>
      <c r="O126" s="294"/>
      <c r="U126" s="495"/>
      <c r="V126" s="495"/>
      <c r="AH126" s="66"/>
      <c r="AI126" s="66"/>
    </row>
    <row r="127" spans="1:35">
      <c r="A127" s="66">
        <f t="shared" si="12"/>
        <v>2014</v>
      </c>
      <c r="B127" s="67">
        <v>41760</v>
      </c>
      <c r="C127" s="279"/>
      <c r="D127" s="341">
        <f>'Month &amp; Hour Data'!B126</f>
        <v>140.57</v>
      </c>
      <c r="E127" s="342">
        <f>'Month &amp; Hour Data'!C126</f>
        <v>18.57</v>
      </c>
      <c r="F127" s="308">
        <f>VLOOKUP($B127,'Month &amp; Hour Data'!$A:$H,8,FALSE)</f>
        <v>1.1664108774488315</v>
      </c>
      <c r="G127" s="69">
        <f>VLOOKUP($B127,'Month &amp; Hour Data'!$A:$H,4,FALSE)</f>
        <v>31</v>
      </c>
      <c r="H127" s="69">
        <f>'Month &amp; Hour Data'!E126</f>
        <v>1</v>
      </c>
      <c r="I127" s="69">
        <f>VLOOKUP($B127,'Month &amp; Hour Data'!$A:$H,7,FALSE)</f>
        <v>336</v>
      </c>
      <c r="J127" s="70">
        <f t="shared" si="9"/>
        <v>327637222.47697425</v>
      </c>
      <c r="K127" s="70">
        <f t="shared" si="10"/>
        <v>327637222.47697425</v>
      </c>
      <c r="L127" s="330"/>
      <c r="M127" s="495"/>
      <c r="N127" s="294"/>
      <c r="O127" s="294"/>
      <c r="U127" s="495"/>
      <c r="V127" s="495"/>
      <c r="AH127" s="66"/>
      <c r="AI127" s="66"/>
    </row>
    <row r="128" spans="1:35">
      <c r="A128" s="66">
        <f t="shared" si="12"/>
        <v>2014</v>
      </c>
      <c r="B128" s="67">
        <v>41791</v>
      </c>
      <c r="C128" s="279"/>
      <c r="D128" s="341">
        <f>'Month &amp; Hour Data'!B127</f>
        <v>25.84</v>
      </c>
      <c r="E128" s="342">
        <f>'Month &amp; Hour Data'!C127</f>
        <v>72.819999999999993</v>
      </c>
      <c r="F128" s="308">
        <f>VLOOKUP($B128,'Month &amp; Hour Data'!$A:$H,8,FALSE)</f>
        <v>1.1684327093738167</v>
      </c>
      <c r="G128" s="69">
        <f>VLOOKUP($B128,'Month &amp; Hour Data'!$A:$H,4,FALSE)</f>
        <v>30</v>
      </c>
      <c r="H128" s="69">
        <f>'Month &amp; Hour Data'!E127</f>
        <v>0</v>
      </c>
      <c r="I128" s="69">
        <f>VLOOKUP($B128,'Month &amp; Hour Data'!$A:$H,7,FALSE)</f>
        <v>336</v>
      </c>
      <c r="J128" s="70">
        <f t="shared" si="9"/>
        <v>348726243.78774595</v>
      </c>
      <c r="K128" s="70">
        <f t="shared" si="10"/>
        <v>348726243.78774595</v>
      </c>
      <c r="L128" s="330"/>
      <c r="M128" s="495"/>
      <c r="N128" s="294"/>
      <c r="O128" s="294"/>
      <c r="U128" s="495"/>
      <c r="V128" s="495"/>
      <c r="AH128" s="66"/>
      <c r="AI128" s="66"/>
    </row>
    <row r="129" spans="1:35">
      <c r="A129" s="66">
        <f t="shared" si="12"/>
        <v>2014</v>
      </c>
      <c r="B129" s="67">
        <v>41821</v>
      </c>
      <c r="C129" s="279"/>
      <c r="D129" s="341">
        <f>'Month &amp; Hour Data'!B128</f>
        <v>1.7200000000000002</v>
      </c>
      <c r="E129" s="342">
        <f>'Month &amp; Hour Data'!C128</f>
        <v>139.54000000000002</v>
      </c>
      <c r="F129" s="308">
        <f>VLOOKUP($B129,'Month &amp; Hour Data'!$A:$H,8,FALSE)</f>
        <v>1.1704580458994638</v>
      </c>
      <c r="G129" s="69">
        <f>VLOOKUP($B129,'Month &amp; Hour Data'!$A:$H,4,FALSE)</f>
        <v>31</v>
      </c>
      <c r="H129" s="69">
        <f>'Month &amp; Hour Data'!E128</f>
        <v>0</v>
      </c>
      <c r="I129" s="69">
        <f>VLOOKUP($B129,'Month &amp; Hour Data'!$A:$H,7,FALSE)</f>
        <v>352</v>
      </c>
      <c r="J129" s="70">
        <f t="shared" si="9"/>
        <v>390114165.29106408</v>
      </c>
      <c r="K129" s="70">
        <f t="shared" si="10"/>
        <v>390114165.29106408</v>
      </c>
      <c r="L129" s="330"/>
      <c r="M129" s="495"/>
      <c r="N129" s="294"/>
      <c r="O129" s="294"/>
      <c r="U129" s="495"/>
      <c r="V129" s="495"/>
      <c r="AH129" s="66"/>
      <c r="AI129" s="66"/>
    </row>
    <row r="130" spans="1:35">
      <c r="A130" s="66">
        <f t="shared" si="12"/>
        <v>2014</v>
      </c>
      <c r="B130" s="67">
        <v>41852</v>
      </c>
      <c r="C130" s="279"/>
      <c r="D130" s="341">
        <f>'Month &amp; Hour Data'!B129</f>
        <v>5.3599999999999994</v>
      </c>
      <c r="E130" s="342">
        <f>'Month &amp; Hour Data'!C129</f>
        <v>106.42000000000002</v>
      </c>
      <c r="F130" s="308">
        <f>VLOOKUP($B130,'Month &amp; Hour Data'!$A:$H,8,FALSE)</f>
        <v>1.172486893100573</v>
      </c>
      <c r="G130" s="69">
        <f>VLOOKUP($B130,'Month &amp; Hour Data'!$A:$H,4,FALSE)</f>
        <v>31</v>
      </c>
      <c r="H130" s="69">
        <f>'Month &amp; Hour Data'!E129</f>
        <v>0</v>
      </c>
      <c r="I130" s="69">
        <f>VLOOKUP($B130,'Month &amp; Hour Data'!$A:$H,7,FALSE)</f>
        <v>320</v>
      </c>
      <c r="J130" s="70">
        <f t="shared" si="9"/>
        <v>369055762.02863991</v>
      </c>
      <c r="K130" s="70">
        <f t="shared" si="10"/>
        <v>369055762.02863991</v>
      </c>
      <c r="L130" s="330"/>
      <c r="M130" s="495"/>
      <c r="N130" s="294"/>
      <c r="O130" s="294"/>
      <c r="U130" s="495"/>
      <c r="V130" s="495"/>
      <c r="AH130" s="66"/>
      <c r="AI130" s="66"/>
    </row>
    <row r="131" spans="1:35">
      <c r="A131" s="66">
        <f t="shared" si="12"/>
        <v>2014</v>
      </c>
      <c r="B131" s="67">
        <v>41883</v>
      </c>
      <c r="C131" s="279"/>
      <c r="D131" s="341">
        <f>'Month &amp; Hour Data'!B130</f>
        <v>58.56</v>
      </c>
      <c r="E131" s="342">
        <f>'Month &amp; Hour Data'!C130</f>
        <v>33.610000000000007</v>
      </c>
      <c r="F131" s="308">
        <f>VLOOKUP($B131,'Month &amp; Hour Data'!$A:$H,8,FALSE)</f>
        <v>1.174519257062475</v>
      </c>
      <c r="G131" s="69">
        <f>VLOOKUP($B131,'Month &amp; Hour Data'!$A:$H,4,FALSE)</f>
        <v>30</v>
      </c>
      <c r="H131" s="69">
        <f>'Month &amp; Hour Data'!E130</f>
        <v>1</v>
      </c>
      <c r="I131" s="69">
        <f>VLOOKUP($B131,'Month &amp; Hour Data'!$A:$H,7,FALSE)</f>
        <v>336</v>
      </c>
      <c r="J131" s="70">
        <f t="shared" si="9"/>
        <v>326965529.27880859</v>
      </c>
      <c r="K131" s="70">
        <f t="shared" ref="K131:K146" si="13">J131-C131</f>
        <v>326965529.27880859</v>
      </c>
      <c r="L131" s="330"/>
      <c r="M131" s="495"/>
      <c r="N131" s="294"/>
      <c r="O131" s="294"/>
      <c r="U131" s="495"/>
      <c r="V131" s="495"/>
      <c r="AH131" s="66"/>
      <c r="AI131" s="66"/>
    </row>
    <row r="132" spans="1:35">
      <c r="A132" s="66">
        <f t="shared" si="12"/>
        <v>2014</v>
      </c>
      <c r="B132" s="67">
        <v>41913</v>
      </c>
      <c r="C132" s="279"/>
      <c r="D132" s="341">
        <f>'Month &amp; Hour Data'!B131</f>
        <v>238.26999999999998</v>
      </c>
      <c r="E132" s="342">
        <f>'Month &amp; Hour Data'!C131</f>
        <v>3.35</v>
      </c>
      <c r="F132" s="308">
        <f>VLOOKUP($B132,'Month &amp; Hour Data'!$A:$H,8,FALSE)</f>
        <v>1.1765551438810484</v>
      </c>
      <c r="G132" s="69">
        <f>VLOOKUP($B132,'Month &amp; Hour Data'!$A:$H,4,FALSE)</f>
        <v>31</v>
      </c>
      <c r="H132" s="69">
        <f>'Month &amp; Hour Data'!E131</f>
        <v>1</v>
      </c>
      <c r="I132" s="69">
        <f>VLOOKUP($B132,'Month &amp; Hour Data'!$A:$H,7,FALSE)</f>
        <v>352</v>
      </c>
      <c r="J132" s="70">
        <f>$E$187+(D132*$E$188)+(E132*$E$189)+(F132*$E$190)+(G132*$E$191)+(H132*$E$192)+(I132*$E$193)</f>
        <v>330287961.05419785</v>
      </c>
      <c r="K132" s="70">
        <f t="shared" si="13"/>
        <v>330287961.05419785</v>
      </c>
      <c r="L132" s="330"/>
      <c r="M132" s="495"/>
      <c r="N132" s="294"/>
      <c r="O132" s="294"/>
      <c r="U132" s="495"/>
      <c r="V132" s="495"/>
      <c r="AH132" s="66"/>
      <c r="AI132" s="66"/>
    </row>
    <row r="133" spans="1:35">
      <c r="A133" s="66">
        <f t="shared" si="12"/>
        <v>2014</v>
      </c>
      <c r="B133" s="67">
        <v>41944</v>
      </c>
      <c r="C133" s="279"/>
      <c r="D133" s="341">
        <f>'Month &amp; Hour Data'!B132</f>
        <v>408.47</v>
      </c>
      <c r="E133" s="342">
        <f>'Month &amp; Hour Data'!C132</f>
        <v>0</v>
      </c>
      <c r="F133" s="308">
        <f>VLOOKUP($B133,'Month &amp; Hour Data'!$A:$H,8,FALSE)</f>
        <v>1.1785945596627387</v>
      </c>
      <c r="G133" s="69">
        <f>VLOOKUP($B133,'Month &amp; Hour Data'!$A:$H,4,FALSE)</f>
        <v>30</v>
      </c>
      <c r="H133" s="69">
        <f>'Month &amp; Hour Data'!E132</f>
        <v>1</v>
      </c>
      <c r="I133" s="69">
        <f>VLOOKUP($B133,'Month &amp; Hour Data'!$A:$H,7,FALSE)</f>
        <v>320</v>
      </c>
      <c r="J133" s="70">
        <f t="shared" ref="J133:J146" si="14">$E$187+(D133*$E$188)+(E133*$E$189)+(F133*$E$190)+(G133*$E$191)+(H133*$E$192)+(I133*$E$193)</f>
        <v>327088715.16756415</v>
      </c>
      <c r="K133" s="70">
        <f t="shared" si="13"/>
        <v>327088715.16756415</v>
      </c>
      <c r="L133" s="330"/>
      <c r="M133" s="495"/>
      <c r="N133" s="294"/>
      <c r="O133" s="294"/>
      <c r="U133" s="495"/>
      <c r="V133" s="495"/>
      <c r="AH133" s="66"/>
      <c r="AI133" s="66"/>
    </row>
    <row r="134" spans="1:35">
      <c r="A134" s="66">
        <f t="shared" si="12"/>
        <v>2014</v>
      </c>
      <c r="B134" s="67">
        <v>41974</v>
      </c>
      <c r="C134" s="279"/>
      <c r="D134" s="341">
        <f>'Month &amp; Hour Data'!B133</f>
        <v>615.7199999999998</v>
      </c>
      <c r="E134" s="342">
        <f>'Month &amp; Hour Data'!C133</f>
        <v>0</v>
      </c>
      <c r="F134" s="308">
        <f>VLOOKUP($B134,'Month &amp; Hour Data'!$A:$H,8,FALSE)</f>
        <v>1.1806375105245757</v>
      </c>
      <c r="G134" s="69">
        <f>VLOOKUP($B134,'Month &amp; Hour Data'!$A:$H,4,FALSE)</f>
        <v>31</v>
      </c>
      <c r="H134" s="69">
        <f>'Month &amp; Hour Data'!E133</f>
        <v>0</v>
      </c>
      <c r="I134" s="69">
        <f>VLOOKUP($B134,'Month &amp; Hour Data'!$A:$H,7,FALSE)</f>
        <v>336</v>
      </c>
      <c r="J134" s="70">
        <f t="shared" si="14"/>
        <v>352419127.26091307</v>
      </c>
      <c r="K134" s="70">
        <f t="shared" si="13"/>
        <v>352419127.26091307</v>
      </c>
      <c r="L134" s="330"/>
      <c r="M134" s="495"/>
      <c r="N134" s="294"/>
      <c r="O134" s="294"/>
      <c r="U134" s="495"/>
      <c r="V134" s="495"/>
      <c r="AH134" s="66"/>
      <c r="AI134" s="66"/>
    </row>
    <row r="135" spans="1:35">
      <c r="A135" s="66">
        <f t="shared" si="12"/>
        <v>2015</v>
      </c>
      <c r="B135" s="67">
        <v>42005</v>
      </c>
      <c r="C135" s="279"/>
      <c r="D135" s="341">
        <f>D123</f>
        <v>700.25</v>
      </c>
      <c r="E135" s="342">
        <f>E123</f>
        <v>0</v>
      </c>
      <c r="F135" s="308">
        <f>VLOOKUP($B135,'Month &amp; Hour Data'!$A:$H,8,FALSE)</f>
        <v>1.1830694304902911</v>
      </c>
      <c r="G135" s="69">
        <f>VLOOKUP($B135,'Month &amp; Hour Data'!$A:$H,4,FALSE)</f>
        <v>31</v>
      </c>
      <c r="H135" s="69">
        <f>'Month &amp; Hour Data'!E134</f>
        <v>0</v>
      </c>
      <c r="I135" s="69">
        <f>VLOOKUP($B135,'Month &amp; Hour Data'!$A:$H,7,FALSE)</f>
        <v>336</v>
      </c>
      <c r="J135" s="70">
        <f t="shared" si="14"/>
        <v>357525642.45309198</v>
      </c>
      <c r="K135" s="70">
        <f t="shared" si="13"/>
        <v>357525642.45309198</v>
      </c>
      <c r="L135" s="330"/>
      <c r="M135" s="495"/>
      <c r="N135" s="294"/>
      <c r="O135" s="294"/>
      <c r="U135" s="495"/>
      <c r="V135" s="495"/>
      <c r="AH135" s="66"/>
      <c r="AI135" s="66"/>
    </row>
    <row r="136" spans="1:35">
      <c r="A136" s="66">
        <f t="shared" si="12"/>
        <v>2015</v>
      </c>
      <c r="B136" s="67">
        <v>42036</v>
      </c>
      <c r="C136" s="279"/>
      <c r="D136" s="341">
        <f t="shared" ref="D136:E146" si="15">D124</f>
        <v>628.92999999999995</v>
      </c>
      <c r="E136" s="342">
        <f t="shared" si="15"/>
        <v>0</v>
      </c>
      <c r="F136" s="308">
        <f>VLOOKUP($B136,'Month &amp; Hour Data'!$A:$H,8,FALSE)</f>
        <v>1.1855063598129572</v>
      </c>
      <c r="G136" s="69">
        <f>VLOOKUP($B136,'Month &amp; Hour Data'!$A:$H,4,FALSE)</f>
        <v>28</v>
      </c>
      <c r="H136" s="69">
        <f>'Month &amp; Hour Data'!E135</f>
        <v>0</v>
      </c>
      <c r="I136" s="69">
        <f>VLOOKUP($B136,'Month &amp; Hour Data'!$A:$H,7,FALSE)</f>
        <v>304</v>
      </c>
      <c r="J136" s="70">
        <f t="shared" si="14"/>
        <v>331345203.64517015</v>
      </c>
      <c r="K136" s="70">
        <f t="shared" si="13"/>
        <v>331345203.64517015</v>
      </c>
      <c r="L136" s="330"/>
      <c r="M136" s="495"/>
      <c r="N136" s="294"/>
      <c r="O136" s="294"/>
      <c r="U136" s="495"/>
      <c r="V136" s="495"/>
      <c r="AH136" s="66"/>
      <c r="AI136" s="66"/>
    </row>
    <row r="137" spans="1:35">
      <c r="A137" s="66">
        <f t="shared" si="12"/>
        <v>2015</v>
      </c>
      <c r="B137" s="67">
        <v>42064</v>
      </c>
      <c r="C137" s="279"/>
      <c r="D137" s="341">
        <f t="shared" si="15"/>
        <v>520.29999999999995</v>
      </c>
      <c r="E137" s="342">
        <f t="shared" si="15"/>
        <v>0.02</v>
      </c>
      <c r="F137" s="308">
        <f>VLOOKUP($B137,'Month &amp; Hour Data'!$A:$H,8,FALSE)</f>
        <v>1.187948308811029</v>
      </c>
      <c r="G137" s="69">
        <f>VLOOKUP($B137,'Month &amp; Hour Data'!$A:$H,4,FALSE)</f>
        <v>31</v>
      </c>
      <c r="H137" s="69">
        <f>'Month &amp; Hour Data'!E136</f>
        <v>1</v>
      </c>
      <c r="I137" s="69">
        <f>VLOOKUP($B137,'Month &amp; Hour Data'!$A:$H,7,FALSE)</f>
        <v>352</v>
      </c>
      <c r="J137" s="70">
        <f t="shared" si="14"/>
        <v>346487936.43336183</v>
      </c>
      <c r="K137" s="70">
        <f t="shared" si="13"/>
        <v>346487936.43336183</v>
      </c>
      <c r="L137" s="330"/>
      <c r="M137" s="495"/>
      <c r="N137" s="294"/>
      <c r="O137" s="294"/>
      <c r="U137" s="495"/>
      <c r="V137" s="495"/>
      <c r="AH137" s="66"/>
      <c r="AI137" s="66"/>
    </row>
    <row r="138" spans="1:35">
      <c r="A138" s="66">
        <f t="shared" si="12"/>
        <v>2015</v>
      </c>
      <c r="B138" s="67">
        <v>42095</v>
      </c>
      <c r="C138" s="279"/>
      <c r="D138" s="341">
        <f t="shared" si="15"/>
        <v>308.53999999999996</v>
      </c>
      <c r="E138" s="342">
        <f t="shared" si="15"/>
        <v>0.12</v>
      </c>
      <c r="F138" s="308">
        <f>VLOOKUP($B138,'Month &amp; Hour Data'!$A:$H,8,FALSE)</f>
        <v>1.1903952878242163</v>
      </c>
      <c r="G138" s="69">
        <f>VLOOKUP($B138,'Month &amp; Hour Data'!$A:$H,4,FALSE)</f>
        <v>30</v>
      </c>
      <c r="H138" s="69">
        <f>'Month &amp; Hour Data'!E137</f>
        <v>1</v>
      </c>
      <c r="I138" s="69">
        <f>VLOOKUP($B138,'Month &amp; Hour Data'!$A:$H,7,FALSE)</f>
        <v>336</v>
      </c>
      <c r="J138" s="70">
        <f t="shared" si="14"/>
        <v>327414241.4629811</v>
      </c>
      <c r="K138" s="70">
        <f t="shared" si="13"/>
        <v>327414241.4629811</v>
      </c>
      <c r="L138" s="330"/>
      <c r="M138" s="495"/>
      <c r="N138" s="294"/>
      <c r="O138" s="294"/>
      <c r="U138" s="495"/>
      <c r="V138" s="495"/>
      <c r="AH138" s="66"/>
      <c r="AI138" s="66"/>
    </row>
    <row r="139" spans="1:35">
      <c r="A139" s="66">
        <f t="shared" si="12"/>
        <v>2015</v>
      </c>
      <c r="B139" s="67">
        <v>42125</v>
      </c>
      <c r="C139" s="279"/>
      <c r="D139" s="341">
        <f t="shared" si="15"/>
        <v>140.57</v>
      </c>
      <c r="E139" s="342">
        <f t="shared" si="15"/>
        <v>18.57</v>
      </c>
      <c r="F139" s="308">
        <f>VLOOKUP($B139,'Month &amp; Hour Data'!$A:$H,8,FALSE)</f>
        <v>1.1928473072135266</v>
      </c>
      <c r="G139" s="69">
        <f>VLOOKUP($B139,'Month &amp; Hour Data'!$A:$H,4,FALSE)</f>
        <v>31</v>
      </c>
      <c r="H139" s="69">
        <f>'Month &amp; Hour Data'!E138</f>
        <v>1</v>
      </c>
      <c r="I139" s="69">
        <f>VLOOKUP($B139,'Month &amp; Hour Data'!$A:$H,7,FALSE)</f>
        <v>320</v>
      </c>
      <c r="J139" s="70">
        <f t="shared" si="14"/>
        <v>331875225.8419621</v>
      </c>
      <c r="K139" s="70">
        <f t="shared" si="13"/>
        <v>331875225.8419621</v>
      </c>
      <c r="L139" s="330"/>
      <c r="M139" s="495"/>
      <c r="N139" s="294"/>
      <c r="O139" s="294"/>
      <c r="U139" s="495"/>
      <c r="V139" s="495"/>
      <c r="AH139" s="66"/>
      <c r="AI139" s="66"/>
    </row>
    <row r="140" spans="1:35">
      <c r="A140" s="66">
        <f t="shared" si="12"/>
        <v>2015</v>
      </c>
      <c r="B140" s="67">
        <v>42156</v>
      </c>
      <c r="C140" s="279"/>
      <c r="D140" s="341">
        <f t="shared" si="15"/>
        <v>25.84</v>
      </c>
      <c r="E140" s="342">
        <f t="shared" si="15"/>
        <v>72.819999999999993</v>
      </c>
      <c r="F140" s="308">
        <f>VLOOKUP($B140,'Month &amp; Hour Data'!$A:$H,8,FALSE)</f>
        <v>1.1953043773613092</v>
      </c>
      <c r="G140" s="69">
        <f>VLOOKUP($B140,'Month &amp; Hour Data'!$A:$H,4,FALSE)</f>
        <v>30</v>
      </c>
      <c r="H140" s="69">
        <f>'Month &amp; Hour Data'!E139</f>
        <v>0</v>
      </c>
      <c r="I140" s="69">
        <f>VLOOKUP($B140,'Month &amp; Hour Data'!$A:$H,7,FALSE)</f>
        <v>352</v>
      </c>
      <c r="J140" s="70">
        <f t="shared" si="14"/>
        <v>358154799.86215001</v>
      </c>
      <c r="K140" s="70">
        <f t="shared" si="13"/>
        <v>358154799.86215001</v>
      </c>
      <c r="L140" s="330"/>
      <c r="M140" s="495"/>
      <c r="N140" s="294"/>
      <c r="O140" s="294"/>
      <c r="U140" s="495"/>
      <c r="V140" s="495"/>
      <c r="AH140" s="66"/>
      <c r="AI140" s="66"/>
    </row>
    <row r="141" spans="1:35">
      <c r="A141" s="66">
        <f t="shared" si="12"/>
        <v>2015</v>
      </c>
      <c r="B141" s="67">
        <v>42186</v>
      </c>
      <c r="C141" s="279"/>
      <c r="D141" s="341">
        <f t="shared" si="15"/>
        <v>1.7200000000000002</v>
      </c>
      <c r="E141" s="342">
        <f t="shared" si="15"/>
        <v>139.54000000000002</v>
      </c>
      <c r="F141" s="308">
        <f>VLOOKUP($B141,'Month &amp; Hour Data'!$A:$H,8,FALSE)</f>
        <v>1.1977665086713001</v>
      </c>
      <c r="G141" s="69">
        <f>VLOOKUP($B141,'Month &amp; Hour Data'!$A:$H,4,FALSE)</f>
        <v>31</v>
      </c>
      <c r="H141" s="69">
        <f>'Month &amp; Hour Data'!E140</f>
        <v>0</v>
      </c>
      <c r="I141" s="69">
        <f>VLOOKUP($B141,'Month &amp; Hour Data'!$A:$H,7,FALSE)</f>
        <v>352</v>
      </c>
      <c r="J141" s="70">
        <f t="shared" si="14"/>
        <v>397115216.63986045</v>
      </c>
      <c r="K141" s="70">
        <f t="shared" si="13"/>
        <v>397115216.63986045</v>
      </c>
      <c r="L141" s="330"/>
      <c r="M141" s="495"/>
      <c r="N141" s="294"/>
      <c r="O141" s="294"/>
      <c r="U141" s="495"/>
      <c r="V141" s="495"/>
      <c r="AH141" s="66"/>
      <c r="AI141" s="66"/>
    </row>
    <row r="142" spans="1:35">
      <c r="A142" s="66">
        <f t="shared" si="12"/>
        <v>2015</v>
      </c>
      <c r="B142" s="67">
        <v>42217</v>
      </c>
      <c r="C142" s="279"/>
      <c r="D142" s="341">
        <f t="shared" si="15"/>
        <v>5.3599999999999994</v>
      </c>
      <c r="E142" s="342">
        <f t="shared" si="15"/>
        <v>106.42000000000002</v>
      </c>
      <c r="F142" s="308">
        <f>VLOOKUP($B142,'Month &amp; Hour Data'!$A:$H,8,FALSE)</f>
        <v>1.2002337115686641</v>
      </c>
      <c r="G142" s="69">
        <f>VLOOKUP($B142,'Month &amp; Hour Data'!$A:$H,4,FALSE)</f>
        <v>31</v>
      </c>
      <c r="H142" s="69">
        <f>'Month &amp; Hour Data'!E141</f>
        <v>0</v>
      </c>
      <c r="I142" s="69">
        <f>VLOOKUP($B142,'Month &amp; Hour Data'!$A:$H,7,FALSE)</f>
        <v>320</v>
      </c>
      <c r="J142" s="70">
        <f t="shared" si="14"/>
        <v>376169194.31825161</v>
      </c>
      <c r="K142" s="70">
        <f t="shared" si="13"/>
        <v>376169194.31825161</v>
      </c>
      <c r="L142" s="330"/>
      <c r="M142" s="495"/>
      <c r="N142" s="294"/>
      <c r="O142" s="294"/>
      <c r="U142" s="495"/>
      <c r="V142" s="495"/>
      <c r="AH142" s="66"/>
      <c r="AI142" s="66"/>
    </row>
    <row r="143" spans="1:35">
      <c r="A143" s="66">
        <f t="shared" si="12"/>
        <v>2015</v>
      </c>
      <c r="B143" s="67">
        <v>42248</v>
      </c>
      <c r="C143" s="279"/>
      <c r="D143" s="341">
        <f t="shared" si="15"/>
        <v>58.56</v>
      </c>
      <c r="E143" s="342">
        <f t="shared" si="15"/>
        <v>33.610000000000007</v>
      </c>
      <c r="F143" s="308">
        <f>VLOOKUP($B143,'Month &amp; Hour Data'!$A:$H,8,FALSE)</f>
        <v>1.2027059965000411</v>
      </c>
      <c r="G143" s="69">
        <f>VLOOKUP($B143,'Month &amp; Hour Data'!$A:$H,4,FALSE)</f>
        <v>30</v>
      </c>
      <c r="H143" s="69">
        <f>'Month &amp; Hour Data'!E142</f>
        <v>1</v>
      </c>
      <c r="I143" s="69">
        <f>VLOOKUP($B143,'Month &amp; Hour Data'!$A:$H,7,FALSE)</f>
        <v>336</v>
      </c>
      <c r="J143" s="70">
        <f t="shared" si="14"/>
        <v>334191743.7972275</v>
      </c>
      <c r="K143" s="70">
        <f t="shared" si="13"/>
        <v>334191743.7972275</v>
      </c>
      <c r="L143" s="330"/>
      <c r="M143" s="495"/>
      <c r="N143" s="294"/>
      <c r="O143" s="294"/>
      <c r="U143" s="495"/>
      <c r="V143" s="495"/>
      <c r="AH143" s="66"/>
      <c r="AI143" s="66"/>
    </row>
    <row r="144" spans="1:35">
      <c r="A144" s="66">
        <f t="shared" si="12"/>
        <v>2015</v>
      </c>
      <c r="B144" s="67">
        <v>42278</v>
      </c>
      <c r="C144" s="279"/>
      <c r="D144" s="341">
        <f t="shared" si="15"/>
        <v>238.26999999999998</v>
      </c>
      <c r="E144" s="342">
        <f t="shared" si="15"/>
        <v>3.35</v>
      </c>
      <c r="F144" s="308">
        <f>VLOOKUP($B144,'Month &amp; Hour Data'!$A:$H,8,FALSE)</f>
        <v>1.2051833739335891</v>
      </c>
      <c r="G144" s="69">
        <f>VLOOKUP($B144,'Month &amp; Hour Data'!$A:$H,4,FALSE)</f>
        <v>31</v>
      </c>
      <c r="H144" s="69">
        <f>'Month &amp; Hour Data'!E143</f>
        <v>1</v>
      </c>
      <c r="I144" s="69">
        <f>VLOOKUP($B144,'Month &amp; Hour Data'!$A:$H,7,FALSE)</f>
        <v>336</v>
      </c>
      <c r="J144" s="70">
        <f t="shared" si="14"/>
        <v>335087874.71379721</v>
      </c>
      <c r="K144" s="70">
        <f t="shared" si="13"/>
        <v>335087874.71379721</v>
      </c>
      <c r="L144" s="330"/>
      <c r="M144" s="495"/>
      <c r="N144" s="294"/>
      <c r="O144" s="294"/>
      <c r="U144" s="495"/>
      <c r="V144" s="495"/>
      <c r="AH144" s="66"/>
      <c r="AI144" s="66"/>
    </row>
    <row r="145" spans="1:35">
      <c r="A145" s="66">
        <f t="shared" si="12"/>
        <v>2015</v>
      </c>
      <c r="B145" s="67">
        <v>42309</v>
      </c>
      <c r="C145" s="279"/>
      <c r="D145" s="341">
        <f t="shared" si="15"/>
        <v>408.47</v>
      </c>
      <c r="E145" s="342">
        <f t="shared" si="15"/>
        <v>0</v>
      </c>
      <c r="F145" s="308">
        <f>VLOOKUP($B145,'Month &amp; Hour Data'!$A:$H,8,FALSE)</f>
        <v>1.2076658543590291</v>
      </c>
      <c r="G145" s="69">
        <f>VLOOKUP($B145,'Month &amp; Hour Data'!$A:$H,4,FALSE)</f>
        <v>30</v>
      </c>
      <c r="H145" s="69">
        <f>'Month &amp; Hour Data'!E144</f>
        <v>1</v>
      </c>
      <c r="I145" s="69">
        <f>VLOOKUP($B145,'Month &amp; Hour Data'!$A:$H,7,FALSE)</f>
        <v>336</v>
      </c>
      <c r="J145" s="70">
        <f t="shared" si="14"/>
        <v>337081187.9906019</v>
      </c>
      <c r="K145" s="70">
        <f t="shared" si="13"/>
        <v>337081187.9906019</v>
      </c>
      <c r="L145" s="330"/>
      <c r="M145" s="495"/>
      <c r="N145" s="294"/>
      <c r="O145" s="294"/>
      <c r="U145" s="495"/>
      <c r="V145" s="495"/>
      <c r="AH145" s="66"/>
      <c r="AI145" s="66"/>
    </row>
    <row r="146" spans="1:35" ht="13.8" thickBot="1">
      <c r="A146" s="66">
        <f t="shared" si="12"/>
        <v>2015</v>
      </c>
      <c r="B146" s="67">
        <v>42339</v>
      </c>
      <c r="C146" s="279"/>
      <c r="D146" s="341">
        <f t="shared" si="15"/>
        <v>615.7199999999998</v>
      </c>
      <c r="E146" s="342">
        <f t="shared" si="15"/>
        <v>0</v>
      </c>
      <c r="F146" s="308">
        <f>VLOOKUP($B146,'Month &amp; Hour Data'!$A:$H,8,FALSE)</f>
        <v>1.2101534482876883</v>
      </c>
      <c r="G146" s="69">
        <f>VLOOKUP($B146,'Month &amp; Hour Data'!$A:$H,4,FALSE)</f>
        <v>31</v>
      </c>
      <c r="H146" s="69">
        <f>'Month &amp; Hour Data'!E145</f>
        <v>0</v>
      </c>
      <c r="I146" s="69">
        <f>VLOOKUP($B146,'Month &amp; Hour Data'!$A:$H,7,FALSE)</f>
        <v>352</v>
      </c>
      <c r="J146" s="70">
        <f t="shared" si="14"/>
        <v>362525592.91352606</v>
      </c>
      <c r="K146" s="70">
        <f t="shared" si="13"/>
        <v>362525592.91352606</v>
      </c>
      <c r="L146" s="330"/>
    </row>
    <row r="147" spans="1:35" ht="13.8" thickBot="1">
      <c r="B147" s="75"/>
      <c r="D147" s="936" t="s">
        <v>36</v>
      </c>
      <c r="E147" s="937"/>
      <c r="G147" s="69"/>
    </row>
    <row r="148" spans="1:35" ht="18.75" customHeight="1" thickBot="1">
      <c r="B148" s="75"/>
      <c r="D148" s="313"/>
      <c r="E148" s="313"/>
      <c r="G148" s="70"/>
      <c r="I148" s="314"/>
      <c r="J148" s="314"/>
      <c r="K148" s="314"/>
      <c r="L148" s="314"/>
    </row>
    <row r="149" spans="1:35">
      <c r="B149" s="315"/>
      <c r="C149" s="324" t="s">
        <v>129</v>
      </c>
      <c r="D149" s="316" t="s">
        <v>130</v>
      </c>
      <c r="E149" s="316" t="s">
        <v>131</v>
      </c>
      <c r="F149" s="317" t="s">
        <v>132</v>
      </c>
      <c r="G149" s="325"/>
      <c r="H149" s="313"/>
      <c r="I149" s="725"/>
      <c r="J149" s="508"/>
      <c r="K149" s="508"/>
      <c r="M149" s="322"/>
      <c r="N149" s="731"/>
    </row>
    <row r="150" spans="1:35">
      <c r="B150" s="318">
        <v>2001</v>
      </c>
      <c r="C150" s="294"/>
      <c r="D150" s="294"/>
      <c r="E150" s="319"/>
      <c r="F150" s="320"/>
      <c r="G150" s="312"/>
      <c r="H150" s="294"/>
      <c r="I150" s="725"/>
      <c r="J150" s="508"/>
      <c r="K150" s="508"/>
      <c r="L150" s="72"/>
      <c r="M150" s="322"/>
      <c r="N150" s="731"/>
    </row>
    <row r="151" spans="1:35">
      <c r="B151" s="306">
        <v>2002</v>
      </c>
      <c r="C151" s="294"/>
      <c r="D151" s="294"/>
      <c r="E151" s="319"/>
      <c r="F151" s="320"/>
      <c r="G151" s="294"/>
      <c r="H151" s="294"/>
      <c r="I151" s="725"/>
      <c r="J151" s="508"/>
      <c r="K151" s="508"/>
      <c r="L151" s="65"/>
      <c r="M151" s="322"/>
      <c r="N151" s="731"/>
    </row>
    <row r="152" spans="1:35">
      <c r="B152" s="318">
        <v>2003</v>
      </c>
      <c r="C152" s="294"/>
      <c r="D152" s="294"/>
      <c r="E152" s="319"/>
      <c r="F152" s="320"/>
      <c r="G152" s="294"/>
      <c r="H152" s="294"/>
      <c r="I152" s="725"/>
      <c r="J152" s="508"/>
      <c r="K152" s="508"/>
      <c r="L152" s="314"/>
      <c r="M152" s="322"/>
      <c r="N152" s="731"/>
    </row>
    <row r="153" spans="1:35">
      <c r="B153" s="306">
        <v>2004</v>
      </c>
      <c r="C153" s="294">
        <f>SUM(C3:C14)</f>
        <v>3606734354.93256</v>
      </c>
      <c r="D153" s="294">
        <f>SUM(J3:J14)</f>
        <v>3618703271.2036414</v>
      </c>
      <c r="E153" s="319">
        <f>C153-D153</f>
        <v>-11968916.271081448</v>
      </c>
      <c r="F153" s="320">
        <f t="shared" ref="F153:F162" si="16">E153/C153</f>
        <v>-3.3184912148333827E-3</v>
      </c>
      <c r="G153" s="294"/>
      <c r="H153" s="294"/>
      <c r="I153" s="672"/>
      <c r="J153" s="72"/>
      <c r="K153" s="72"/>
      <c r="L153" s="65"/>
      <c r="M153" s="322"/>
      <c r="N153" s="731"/>
    </row>
    <row r="154" spans="1:35">
      <c r="B154" s="318">
        <v>2005</v>
      </c>
      <c r="C154" s="294">
        <f>SUM(C15:C26)</f>
        <v>3848828345.2662396</v>
      </c>
      <c r="D154" s="294">
        <f>SUM(J15:J26)</f>
        <v>3847030944.2779307</v>
      </c>
      <c r="E154" s="319">
        <f t="shared" ref="E154:E162" si="17">C154-D154</f>
        <v>1797400.9883089066</v>
      </c>
      <c r="F154" s="320">
        <f t="shared" si="16"/>
        <v>4.6699951961213609E-4</v>
      </c>
      <c r="G154" s="294"/>
      <c r="H154" s="294"/>
      <c r="I154" s="672"/>
      <c r="J154" s="72"/>
      <c r="K154" s="72"/>
      <c r="L154" s="65"/>
      <c r="M154" s="322"/>
      <c r="N154" s="731"/>
    </row>
    <row r="155" spans="1:35">
      <c r="B155" s="306">
        <v>2006</v>
      </c>
      <c r="C155" s="294">
        <f>SUM(C27:C38)</f>
        <v>3854274113.7203932</v>
      </c>
      <c r="D155" s="294">
        <f>SUM(J27:J38)</f>
        <v>3831498913.7074542</v>
      </c>
      <c r="E155" s="319">
        <f t="shared" si="17"/>
        <v>22775200.012938976</v>
      </c>
      <c r="F155" s="320">
        <f t="shared" si="16"/>
        <v>5.9090763502948913E-3</v>
      </c>
      <c r="G155" s="294"/>
      <c r="H155" s="294"/>
      <c r="I155" s="672"/>
      <c r="J155" s="72"/>
      <c r="K155" s="72"/>
      <c r="L155" s="65"/>
      <c r="M155" s="322"/>
      <c r="N155" s="731"/>
    </row>
    <row r="156" spans="1:35">
      <c r="B156" s="318">
        <v>2007</v>
      </c>
      <c r="C156" s="294">
        <f>SUM(C39:C50)</f>
        <v>3958591767.6645598</v>
      </c>
      <c r="D156" s="294">
        <f>SUM(J39:J50)</f>
        <v>3951695294.9917469</v>
      </c>
      <c r="E156" s="319">
        <f t="shared" si="17"/>
        <v>6896472.6728129387</v>
      </c>
      <c r="F156" s="320">
        <f t="shared" si="16"/>
        <v>1.7421530376398556E-3</v>
      </c>
      <c r="G156" s="294"/>
      <c r="H156" s="294"/>
      <c r="I156" s="672"/>
      <c r="J156" s="72"/>
      <c r="K156" s="72"/>
      <c r="L156" s="65"/>
      <c r="M156" s="322"/>
      <c r="N156" s="731"/>
    </row>
    <row r="157" spans="1:35">
      <c r="B157" s="306">
        <v>2008</v>
      </c>
      <c r="C157" s="294">
        <f>SUM(C51:C62)</f>
        <v>3915443564.4390407</v>
      </c>
      <c r="D157" s="294">
        <f>SUM(J51:J62)</f>
        <v>3896414064.225163</v>
      </c>
      <c r="E157" s="319">
        <f t="shared" si="17"/>
        <v>19029500.213877678</v>
      </c>
      <c r="F157" s="320">
        <f t="shared" si="16"/>
        <v>4.8601135224391884E-3</v>
      </c>
      <c r="G157" s="294"/>
      <c r="H157" s="294"/>
      <c r="I157" s="672"/>
      <c r="J157" s="72"/>
      <c r="K157" s="72"/>
      <c r="L157" s="65"/>
    </row>
    <row r="158" spans="1:35">
      <c r="B158" s="318">
        <v>2009</v>
      </c>
      <c r="C158" s="294">
        <f>SUM(C63:C74)</f>
        <v>3727941968.3974199</v>
      </c>
      <c r="D158" s="294">
        <f>SUM(J63:J74)</f>
        <v>3781079154.0180035</v>
      </c>
      <c r="E158" s="319">
        <f t="shared" si="17"/>
        <v>-53137185.620583534</v>
      </c>
      <c r="F158" s="320">
        <f t="shared" si="16"/>
        <v>-1.4253758795345821E-2</v>
      </c>
      <c r="G158" s="294"/>
      <c r="H158" s="294"/>
      <c r="I158" s="672"/>
      <c r="J158" s="72"/>
      <c r="K158" s="72"/>
      <c r="L158" s="65"/>
    </row>
    <row r="159" spans="1:35">
      <c r="B159" s="306">
        <v>2010</v>
      </c>
      <c r="C159" s="294">
        <f>SUM(C75:C86)</f>
        <v>3911054142.4477</v>
      </c>
      <c r="D159" s="294">
        <f>SUM(J75:J86)</f>
        <v>3889917169.2406254</v>
      </c>
      <c r="E159" s="319">
        <f t="shared" si="17"/>
        <v>21136973.207074642</v>
      </c>
      <c r="F159" s="320">
        <f t="shared" si="16"/>
        <v>5.4044184604016363E-3</v>
      </c>
      <c r="G159" s="294"/>
      <c r="H159" s="294"/>
      <c r="I159" s="672"/>
      <c r="J159" s="72"/>
      <c r="K159" s="72"/>
      <c r="L159" s="509"/>
    </row>
    <row r="160" spans="1:35">
      <c r="B160" s="306">
        <v>2011</v>
      </c>
      <c r="C160" s="294">
        <f>SUM(C87:C98)</f>
        <v>3968502599.952116</v>
      </c>
      <c r="D160" s="294">
        <f>SUM(J87:J98)</f>
        <v>3969819877.0134583</v>
      </c>
      <c r="E160" s="319">
        <f t="shared" si="17"/>
        <v>-1317277.0613422394</v>
      </c>
      <c r="F160" s="320">
        <f t="shared" si="16"/>
        <v>-3.319330221323614E-4</v>
      </c>
      <c r="G160" s="294"/>
      <c r="H160" s="294"/>
      <c r="I160" s="672"/>
      <c r="J160" s="72"/>
      <c r="K160" s="72"/>
      <c r="L160" s="65"/>
    </row>
    <row r="161" spans="2:13">
      <c r="B161" s="306">
        <v>2012</v>
      </c>
      <c r="C161" s="294">
        <f>SUM(C99:C110)</f>
        <v>4043243028.6422305</v>
      </c>
      <c r="D161" s="294">
        <f>SUM(J99:J110)</f>
        <v>4039088422.7731237</v>
      </c>
      <c r="E161" s="319">
        <f t="shared" si="17"/>
        <v>4154605.8691067696</v>
      </c>
      <c r="F161" s="320">
        <f t="shared" si="16"/>
        <v>1.0275429499724967E-3</v>
      </c>
      <c r="G161" s="294"/>
      <c r="H161" s="294"/>
      <c r="I161" s="672"/>
      <c r="J161" s="72"/>
      <c r="K161" s="72"/>
      <c r="L161" s="65"/>
    </row>
    <row r="162" spans="2:13">
      <c r="B162" s="306">
        <v>2013</v>
      </c>
      <c r="C162" s="294">
        <f>SUM(C111:C122)</f>
        <v>4027156664.1062088</v>
      </c>
      <c r="D162" s="294">
        <f>SUM(J111:J122)</f>
        <v>4036523438.1173348</v>
      </c>
      <c r="E162" s="319">
        <f t="shared" si="17"/>
        <v>-9366774.0111260414</v>
      </c>
      <c r="F162" s="320">
        <f t="shared" si="16"/>
        <v>-2.3259025641121692E-3</v>
      </c>
      <c r="G162" s="294"/>
      <c r="H162" s="294"/>
      <c r="I162" s="672"/>
      <c r="J162" s="72"/>
      <c r="K162" s="72"/>
      <c r="L162" s="65"/>
    </row>
    <row r="163" spans="2:13">
      <c r="B163" s="306">
        <v>2014</v>
      </c>
      <c r="C163" s="294"/>
      <c r="D163" s="294">
        <f>SUMIF($A$3:$A$146,B163,$J$3:$J$146)</f>
        <v>4109065669.8450508</v>
      </c>
      <c r="E163" s="319"/>
      <c r="F163" s="675"/>
      <c r="G163" s="325"/>
      <c r="H163" s="326"/>
      <c r="I163" s="672"/>
      <c r="J163" s="72"/>
      <c r="K163" s="72"/>
      <c r="L163" s="65"/>
    </row>
    <row r="164" spans="2:13">
      <c r="B164" s="306">
        <v>2015</v>
      </c>
      <c r="C164" s="294"/>
      <c r="D164" s="294">
        <f>SUMIF($A$3:$A$146,B164,$J$3:$J$146)</f>
        <v>4194973860.0719819</v>
      </c>
      <c r="E164" s="319"/>
      <c r="F164" s="675"/>
      <c r="G164" s="325"/>
      <c r="H164" s="326"/>
      <c r="I164" s="672"/>
      <c r="J164" s="72"/>
      <c r="K164" s="72"/>
      <c r="L164" s="65"/>
    </row>
    <row r="165" spans="2:13" ht="13.8" thickBot="1">
      <c r="B165" s="727"/>
      <c r="C165" s="467"/>
      <c r="D165" s="468"/>
      <c r="E165" s="469"/>
      <c r="F165" s="470"/>
      <c r="G165" s="325"/>
      <c r="H165" s="326"/>
      <c r="I165" s="528"/>
      <c r="J165" s="508"/>
      <c r="L165" s="65"/>
    </row>
    <row r="166" spans="2:13">
      <c r="B166" s="124"/>
      <c r="C166" s="294"/>
      <c r="D166" s="358"/>
      <c r="E166" s="319"/>
      <c r="F166" s="403"/>
      <c r="G166" s="325"/>
      <c r="H166" s="326"/>
      <c r="I166" s="528"/>
      <c r="L166" s="65"/>
    </row>
    <row r="167" spans="2:13" ht="13.8" thickBot="1">
      <c r="D167" s="358"/>
      <c r="G167" s="726"/>
      <c r="H167" s="528"/>
      <c r="I167" s="528"/>
      <c r="L167" s="65"/>
    </row>
    <row r="168" spans="2:13" ht="16.2" thickBot="1">
      <c r="B168" s="327" t="s">
        <v>65</v>
      </c>
      <c r="C168" s="328">
        <f>SUM(C2:C122)</f>
        <v>38861770549.568489</v>
      </c>
      <c r="D168" s="329">
        <f>SUM(J2:J122)</f>
        <v>38861770549.568489</v>
      </c>
      <c r="E168" s="826">
        <f>C168-D168</f>
        <v>0</v>
      </c>
      <c r="G168" s="511"/>
      <c r="H168" s="511"/>
      <c r="I168" s="528"/>
      <c r="L168" s="65"/>
    </row>
    <row r="169" spans="2:13" ht="15.6">
      <c r="G169" s="511"/>
      <c r="H169" s="528"/>
      <c r="I169" s="528"/>
    </row>
    <row r="170" spans="2:13">
      <c r="D170" s="65"/>
      <c r="G170" s="394"/>
      <c r="H170" s="508"/>
      <c r="L170" s="65"/>
      <c r="M170"/>
    </row>
    <row r="171" spans="2:13" ht="17.399999999999999">
      <c r="B171" s="939" t="s">
        <v>106</v>
      </c>
      <c r="C171" s="939"/>
      <c r="D171" s="939"/>
      <c r="E171" s="939"/>
      <c r="F171" s="939"/>
      <c r="G171" s="939"/>
      <c r="H171" s="939"/>
      <c r="I171" s="939"/>
      <c r="J171" s="939"/>
      <c r="K171" s="939"/>
      <c r="L171" s="939"/>
      <c r="M171"/>
    </row>
    <row r="172" spans="2:13" ht="13.8" thickBot="1">
      <c r="D172"/>
      <c r="E172"/>
      <c r="F172"/>
      <c r="G172"/>
      <c r="H172"/>
      <c r="I172"/>
      <c r="J172"/>
      <c r="K172"/>
      <c r="L172"/>
      <c r="M172"/>
    </row>
    <row r="173" spans="2:13">
      <c r="D173" s="309" t="s">
        <v>107</v>
      </c>
      <c r="E173" s="309"/>
      <c r="F173"/>
      <c r="G173"/>
      <c r="H173"/>
      <c r="I173"/>
      <c r="J173"/>
      <c r="K173"/>
      <c r="L173"/>
      <c r="M173"/>
    </row>
    <row r="174" spans="2:13">
      <c r="D174" s="310" t="s">
        <v>108</v>
      </c>
      <c r="E174" s="498">
        <v>0.97392331746368144</v>
      </c>
      <c r="F174"/>
      <c r="G174"/>
      <c r="H174"/>
      <c r="I174"/>
      <c r="J174"/>
      <c r="K174"/>
      <c r="L174"/>
      <c r="M174"/>
    </row>
    <row r="175" spans="2:13">
      <c r="D175" s="310" t="s">
        <v>109</v>
      </c>
      <c r="E175" s="498">
        <v>0.94852662829946288</v>
      </c>
      <c r="F175"/>
      <c r="G175"/>
      <c r="H175"/>
      <c r="I175"/>
      <c r="J175"/>
      <c r="K175"/>
      <c r="L175"/>
      <c r="M175"/>
    </row>
    <row r="176" spans="2:13">
      <c r="C176" s="512"/>
      <c r="D176" s="310" t="s">
        <v>110</v>
      </c>
      <c r="E176" s="498">
        <v>0.94579352891713342</v>
      </c>
      <c r="F176"/>
      <c r="G176"/>
      <c r="H176"/>
      <c r="I176"/>
      <c r="J176"/>
      <c r="K176"/>
      <c r="L176"/>
      <c r="M176"/>
    </row>
    <row r="177" spans="4:35">
      <c r="D177" s="310" t="s">
        <v>111</v>
      </c>
      <c r="E177" s="657">
        <v>5815931.1781127499</v>
      </c>
      <c r="F177"/>
      <c r="G177"/>
      <c r="H177"/>
      <c r="I177"/>
      <c r="J177"/>
      <c r="K177"/>
      <c r="L177"/>
      <c r="M177"/>
    </row>
    <row r="178" spans="4:35" ht="13.8" thickBot="1">
      <c r="D178" s="421" t="s">
        <v>112</v>
      </c>
      <c r="E178" s="421">
        <v>120</v>
      </c>
      <c r="F178"/>
      <c r="G178"/>
      <c r="H178"/>
      <c r="I178"/>
      <c r="J178"/>
      <c r="K178"/>
      <c r="L178"/>
      <c r="M178"/>
    </row>
    <row r="179" spans="4:35">
      <c r="D179"/>
      <c r="E179"/>
      <c r="F179"/>
      <c r="G179"/>
      <c r="H179"/>
      <c r="I179"/>
      <c r="J179"/>
      <c r="K179"/>
      <c r="L179"/>
      <c r="M179"/>
    </row>
    <row r="180" spans="4:35" ht="13.8" thickBot="1">
      <c r="D180" t="s">
        <v>113</v>
      </c>
      <c r="E180"/>
      <c r="F180"/>
      <c r="G180"/>
      <c r="H180"/>
      <c r="I180"/>
      <c r="J180"/>
      <c r="K180"/>
      <c r="L180"/>
      <c r="M180"/>
    </row>
    <row r="181" spans="4:35">
      <c r="D181" s="311"/>
      <c r="E181" s="311" t="s">
        <v>114</v>
      </c>
      <c r="F181" s="311" t="s">
        <v>115</v>
      </c>
      <c r="G181" s="311" t="s">
        <v>116</v>
      </c>
      <c r="H181" s="311" t="s">
        <v>117</v>
      </c>
      <c r="I181" s="311" t="s">
        <v>118</v>
      </c>
      <c r="J181"/>
      <c r="K181"/>
      <c r="L181"/>
      <c r="M181"/>
    </row>
    <row r="182" spans="4:35">
      <c r="D182" s="310" t="s">
        <v>119</v>
      </c>
      <c r="E182" s="310">
        <v>6</v>
      </c>
      <c r="F182" s="310">
        <v>7.0434246240124648E+16</v>
      </c>
      <c r="G182" s="310">
        <v>1.1739041040020774E+16</v>
      </c>
      <c r="H182" s="657">
        <v>347.05164196811575</v>
      </c>
      <c r="I182" s="658">
        <v>2.4273386426300045E-70</v>
      </c>
      <c r="J182"/>
      <c r="K182"/>
      <c r="L182"/>
      <c r="M182"/>
    </row>
    <row r="183" spans="4:35">
      <c r="D183" s="310" t="s">
        <v>120</v>
      </c>
      <c r="E183" s="310">
        <v>113</v>
      </c>
      <c r="F183" s="310">
        <v>3822231267945467.5</v>
      </c>
      <c r="G183" s="310">
        <v>33825055468543.961</v>
      </c>
      <c r="H183" s="310"/>
      <c r="I183" s="310"/>
      <c r="J183"/>
      <c r="K183"/>
      <c r="L183"/>
      <c r="M183"/>
    </row>
    <row r="184" spans="4:35" ht="13.8" thickBot="1">
      <c r="D184" s="421" t="s">
        <v>65</v>
      </c>
      <c r="E184" s="421">
        <v>119</v>
      </c>
      <c r="F184" s="421">
        <v>7.4256477508070112E+16</v>
      </c>
      <c r="G184" s="421"/>
      <c r="H184" s="421"/>
      <c r="I184" s="421"/>
      <c r="J184"/>
      <c r="K184"/>
      <c r="L184"/>
      <c r="M184"/>
    </row>
    <row r="185" spans="4:35" ht="13.8" thickBot="1">
      <c r="D185"/>
      <c r="E185"/>
      <c r="F185"/>
      <c r="G185"/>
      <c r="H185"/>
      <c r="I185"/>
      <c r="J185"/>
      <c r="K185"/>
      <c r="L185"/>
      <c r="M185" s="495"/>
      <c r="N185" s="294"/>
      <c r="O185" s="294"/>
      <c r="U185" s="495"/>
      <c r="V185" s="495"/>
      <c r="AH185" s="66"/>
      <c r="AI185" s="66"/>
    </row>
    <row r="186" spans="4:35">
      <c r="D186" s="311"/>
      <c r="E186" s="311" t="s">
        <v>121</v>
      </c>
      <c r="F186" s="311" t="s">
        <v>111</v>
      </c>
      <c r="G186" s="311" t="s">
        <v>122</v>
      </c>
      <c r="H186" s="311" t="s">
        <v>123</v>
      </c>
      <c r="I186" s="311" t="s">
        <v>124</v>
      </c>
      <c r="J186" s="311" t="s">
        <v>125</v>
      </c>
      <c r="K186" s="311" t="s">
        <v>126</v>
      </c>
      <c r="L186" s="311" t="s">
        <v>127</v>
      </c>
      <c r="M186" s="495"/>
      <c r="N186" s="294"/>
      <c r="O186" s="294"/>
      <c r="U186" s="495"/>
      <c r="V186" s="495"/>
      <c r="AH186" s="66"/>
      <c r="AI186" s="66"/>
    </row>
    <row r="187" spans="4:35">
      <c r="D187" s="310" t="s">
        <v>128</v>
      </c>
      <c r="E187" s="721">
        <v>-221662898.69131497</v>
      </c>
      <c r="F187" s="721">
        <v>26885886.055126999</v>
      </c>
      <c r="G187" s="658">
        <v>-8.2445822405412219</v>
      </c>
      <c r="H187" s="658">
        <v>3.3476752186919422E-13</v>
      </c>
      <c r="I187" s="721">
        <v>-274928686.38838762</v>
      </c>
      <c r="J187" s="721">
        <v>-168397110.99424231</v>
      </c>
      <c r="K187" s="310">
        <v>-274928686.38838762</v>
      </c>
      <c r="L187" s="310">
        <v>-168397110.99424231</v>
      </c>
      <c r="M187" s="495"/>
      <c r="N187" s="294"/>
      <c r="O187" s="294"/>
      <c r="U187" s="495"/>
      <c r="V187" s="495"/>
      <c r="AH187" s="66"/>
      <c r="AI187" s="66"/>
    </row>
    <row r="188" spans="4:35">
      <c r="D188" s="310" t="s">
        <v>29</v>
      </c>
      <c r="E188" s="721">
        <v>53034.964924076565</v>
      </c>
      <c r="F188" s="721">
        <v>3574.9048271585057</v>
      </c>
      <c r="G188" s="658">
        <v>14.835350166854967</v>
      </c>
      <c r="H188" s="658">
        <v>2.7345190697800188E-28</v>
      </c>
      <c r="I188" s="721">
        <v>45952.433919882526</v>
      </c>
      <c r="J188" s="721">
        <v>60117.495928270604</v>
      </c>
      <c r="K188" s="310">
        <v>45952.433919882526</v>
      </c>
      <c r="L188" s="310">
        <v>60117.495928270604</v>
      </c>
      <c r="M188" s="495"/>
      <c r="N188" s="294"/>
      <c r="O188" s="294"/>
      <c r="U188" s="495"/>
      <c r="V188" s="495"/>
      <c r="AH188" s="66"/>
      <c r="AI188" s="66"/>
    </row>
    <row r="189" spans="4:35">
      <c r="D189" s="310" t="s">
        <v>30</v>
      </c>
      <c r="E189" s="721">
        <v>504004.03587918304</v>
      </c>
      <c r="F189" s="721">
        <v>20539.156710053085</v>
      </c>
      <c r="G189" s="658">
        <v>24.53869177756911</v>
      </c>
      <c r="H189" s="658">
        <v>4.3317501347773352E-47</v>
      </c>
      <c r="I189" s="721">
        <v>463312.26330559637</v>
      </c>
      <c r="J189" s="721">
        <v>544695.80845276965</v>
      </c>
      <c r="K189" s="310">
        <v>463312.26330559637</v>
      </c>
      <c r="L189" s="310">
        <v>544695.80845276965</v>
      </c>
      <c r="M189" s="495"/>
      <c r="N189" s="294"/>
      <c r="O189" s="294"/>
      <c r="U189" s="495"/>
      <c r="V189" s="495"/>
      <c r="AH189" s="66"/>
      <c r="AI189" s="66"/>
    </row>
    <row r="190" spans="4:35">
      <c r="D190" s="310" t="s">
        <v>102</v>
      </c>
      <c r="E190" s="721">
        <v>256369295.0163683</v>
      </c>
      <c r="F190" s="721">
        <v>15310537.765931735</v>
      </c>
      <c r="G190" s="658">
        <v>16.744630328193228</v>
      </c>
      <c r="H190" s="658">
        <v>2.1793972483393182E-32</v>
      </c>
      <c r="I190" s="721">
        <v>226036359.27097502</v>
      </c>
      <c r="J190" s="721">
        <v>286702230.76176161</v>
      </c>
      <c r="K190" s="310">
        <v>226036359.27097502</v>
      </c>
      <c r="L190" s="310">
        <v>286702230.76176161</v>
      </c>
      <c r="M190" s="495"/>
      <c r="N190" s="294"/>
      <c r="O190" s="294"/>
      <c r="U190" s="495"/>
      <c r="V190" s="495"/>
      <c r="AH190" s="66"/>
      <c r="AI190" s="66"/>
    </row>
    <row r="191" spans="4:35">
      <c r="D191" s="310" t="s">
        <v>31</v>
      </c>
      <c r="E191" s="721">
        <v>5981255.989639922</v>
      </c>
      <c r="F191" s="721">
        <v>731226.54135375249</v>
      </c>
      <c r="G191" s="658">
        <v>8.1797577787132223</v>
      </c>
      <c r="H191" s="658">
        <v>4.6944278700995805E-13</v>
      </c>
      <c r="I191" s="721">
        <v>4532564.3738846639</v>
      </c>
      <c r="J191" s="721">
        <v>7429947.6053951802</v>
      </c>
      <c r="K191" s="310">
        <v>4532564.3738846639</v>
      </c>
      <c r="L191" s="310">
        <v>7429947.6053951802</v>
      </c>
      <c r="M191" s="495"/>
      <c r="N191" s="294"/>
      <c r="O191" s="294"/>
      <c r="U191" s="495"/>
      <c r="V191" s="495"/>
      <c r="AH191" s="66"/>
      <c r="AI191" s="66"/>
    </row>
    <row r="192" spans="4:35">
      <c r="D192" s="310" t="s">
        <v>32</v>
      </c>
      <c r="E192" s="721">
        <v>-5294424.2544552144</v>
      </c>
      <c r="F192" s="721">
        <v>1509855.2560814363</v>
      </c>
      <c r="G192" s="658">
        <v>-3.5065773577501469</v>
      </c>
      <c r="H192" s="658">
        <v>6.5215318092762557E-4</v>
      </c>
      <c r="I192" s="721">
        <v>-8285719.7378490623</v>
      </c>
      <c r="J192" s="721">
        <v>-2303128.7710613664</v>
      </c>
      <c r="K192" s="310">
        <v>-8285719.7378490623</v>
      </c>
      <c r="L192" s="310">
        <v>-2303128.7710613664</v>
      </c>
      <c r="M192" s="495"/>
      <c r="N192" s="294"/>
      <c r="O192" s="294"/>
      <c r="U192" s="495"/>
      <c r="V192" s="495"/>
      <c r="AH192" s="66"/>
      <c r="AI192" s="66"/>
    </row>
    <row r="193" spans="4:35" ht="13.8" thickBot="1">
      <c r="D193" s="421" t="s">
        <v>34</v>
      </c>
      <c r="E193" s="722">
        <v>158717.84353354899</v>
      </c>
      <c r="F193" s="722">
        <v>33181.994422398544</v>
      </c>
      <c r="G193" s="714">
        <v>4.7832520707800228</v>
      </c>
      <c r="H193" s="714">
        <v>5.2483640384251256E-6</v>
      </c>
      <c r="I193" s="722">
        <v>92978.32999678448</v>
      </c>
      <c r="J193" s="722">
        <v>224457.3570703135</v>
      </c>
      <c r="K193" s="421">
        <v>92978.32999678448</v>
      </c>
      <c r="L193" s="421">
        <v>224457.3570703135</v>
      </c>
      <c r="M193" s="495"/>
      <c r="N193" s="294"/>
      <c r="O193" s="294"/>
      <c r="U193" s="495"/>
      <c r="V193" s="495"/>
      <c r="AH193" s="66"/>
      <c r="AI193" s="66"/>
    </row>
    <row r="194" spans="4:35">
      <c r="D194"/>
      <c r="E194"/>
      <c r="F194"/>
      <c r="G194"/>
      <c r="H194"/>
      <c r="I194"/>
      <c r="J194"/>
      <c r="K194"/>
      <c r="L194"/>
      <c r="M194"/>
    </row>
    <row r="195" spans="4:35">
      <c r="D195"/>
      <c r="E195"/>
      <c r="F195"/>
      <c r="G195"/>
      <c r="H195"/>
      <c r="I195"/>
      <c r="J195"/>
      <c r="K195"/>
      <c r="L195"/>
      <c r="M195"/>
    </row>
    <row r="196" spans="4:35">
      <c r="D196"/>
      <c r="E196"/>
      <c r="F196"/>
      <c r="G196"/>
      <c r="H196"/>
      <c r="I196"/>
      <c r="J196"/>
      <c r="K196"/>
      <c r="L196"/>
    </row>
    <row r="197" spans="4:35">
      <c r="D197"/>
      <c r="E197"/>
      <c r="F197"/>
      <c r="G197"/>
      <c r="H197"/>
      <c r="I197"/>
      <c r="J197"/>
      <c r="K197"/>
    </row>
    <row r="198" spans="4:35">
      <c r="D198"/>
      <c r="E198" s="455"/>
      <c r="F198"/>
      <c r="G198"/>
      <c r="H198"/>
      <c r="I198"/>
      <c r="J198"/>
      <c r="K198"/>
    </row>
    <row r="199" spans="4:35">
      <c r="E199" s="394"/>
    </row>
  </sheetData>
  <mergeCells count="3">
    <mergeCell ref="D147:E147"/>
    <mergeCell ref="A1:L1"/>
    <mergeCell ref="B171:L171"/>
  </mergeCells>
  <pageMargins left="0.7" right="0.7" top="0.75" bottom="0.75" header="0.3" footer="0.3"/>
  <pageSetup scale="51" orientation="landscape" r:id="rId1"/>
  <rowBreaks count="1" manualBreakCount="1">
    <brk id="74" max="11" man="1"/>
  </rowBreaks>
  <colBreaks count="1" manualBreakCount="1">
    <brk id="15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dimension ref="B1:R356"/>
  <sheetViews>
    <sheetView zoomScale="90" zoomScaleNormal="90" workbookViewId="0">
      <pane xSplit="1" ySplit="19" topLeftCell="B20" activePane="bottomRight" state="frozen"/>
      <selection pane="topRight" activeCell="B1" sqref="B1"/>
      <selection pane="bottomLeft" activeCell="A20" sqref="A20"/>
      <selection pane="bottomRight" activeCell="B20" sqref="B20"/>
    </sheetView>
  </sheetViews>
  <sheetFormatPr defaultRowHeight="13.2"/>
  <cols>
    <col min="1" max="1" width="2.5546875" customWidth="1"/>
    <col min="3" max="4" width="11.44140625" customWidth="1"/>
    <col min="5" max="5" width="3.44140625" customWidth="1"/>
    <col min="6" max="6" width="11.44140625" customWidth="1"/>
    <col min="7" max="7" width="10.44140625" customWidth="1"/>
    <col min="8" max="8" width="10.5546875" customWidth="1"/>
    <col min="9" max="9" width="4.33203125" customWidth="1"/>
    <col min="10" max="10" width="11.5546875" customWidth="1"/>
    <col min="11" max="11" width="11.44140625" customWidth="1"/>
    <col min="12" max="12" width="12.88671875" customWidth="1"/>
    <col min="16" max="16" width="14.33203125" customWidth="1"/>
    <col min="17" max="18" width="9.109375" style="4"/>
  </cols>
  <sheetData>
    <row r="1" spans="2:18" ht="13.8" thickBot="1"/>
    <row r="2" spans="2:18" ht="17.399999999999999">
      <c r="B2" s="933" t="s">
        <v>313</v>
      </c>
      <c r="C2" s="933"/>
      <c r="D2" s="933"/>
      <c r="E2" s="933"/>
      <c r="F2" s="933"/>
      <c r="G2" s="933"/>
      <c r="H2" s="933"/>
      <c r="I2" s="933"/>
      <c r="J2" s="933"/>
      <c r="K2" s="933"/>
      <c r="L2" s="933"/>
      <c r="M2" s="933"/>
      <c r="P2" s="940"/>
      <c r="Q2" s="941"/>
      <c r="R2" s="942"/>
    </row>
    <row r="3" spans="2:18" ht="5.25" customHeight="1" thickBot="1">
      <c r="P3" s="843"/>
      <c r="Q3" s="844"/>
      <c r="R3" s="845"/>
    </row>
    <row r="4" spans="2:18" ht="13.8" thickBot="1">
      <c r="B4" s="940" t="s">
        <v>311</v>
      </c>
      <c r="C4" s="941"/>
      <c r="D4" s="942"/>
      <c r="F4" s="940" t="s">
        <v>309</v>
      </c>
      <c r="G4" s="941"/>
      <c r="H4" s="942"/>
      <c r="J4" s="940" t="s">
        <v>310</v>
      </c>
      <c r="K4" s="941"/>
      <c r="L4" s="942"/>
      <c r="P4" s="543" t="s">
        <v>195</v>
      </c>
      <c r="Q4" s="544" t="s">
        <v>1</v>
      </c>
      <c r="R4" s="545" t="s">
        <v>2</v>
      </c>
    </row>
    <row r="5" spans="2:18">
      <c r="B5" s="848" t="s">
        <v>193</v>
      </c>
      <c r="C5" s="846" t="s">
        <v>1</v>
      </c>
      <c r="D5" s="847" t="s">
        <v>2</v>
      </c>
      <c r="F5" s="848" t="s">
        <v>193</v>
      </c>
      <c r="G5" s="846" t="s">
        <v>1</v>
      </c>
      <c r="H5" s="847" t="s">
        <v>2</v>
      </c>
      <c r="J5" s="848" t="s">
        <v>193</v>
      </c>
      <c r="K5" s="846" t="s">
        <v>1</v>
      </c>
      <c r="L5" s="847" t="s">
        <v>2</v>
      </c>
      <c r="O5" s="566">
        <v>34335</v>
      </c>
      <c r="P5" s="546" t="s">
        <v>180</v>
      </c>
      <c r="Q5" s="547">
        <v>941.4</v>
      </c>
      <c r="R5" s="547">
        <v>0</v>
      </c>
    </row>
    <row r="6" spans="2:18">
      <c r="B6" s="608" t="s">
        <v>196</v>
      </c>
      <c r="C6" s="607">
        <f>SUMIF($P$125:$P$244,"jan",Q$125:Q$244)/COUNTA($P$125:$P$244)*12</f>
        <v>700.25</v>
      </c>
      <c r="D6" s="607">
        <f>SUMIF($P$125:$P$244,"jan",R$125:R$244)/COUNTA($P$125:$P$244)*12</f>
        <v>0</v>
      </c>
      <c r="F6" s="608" t="s">
        <v>196</v>
      </c>
      <c r="G6" s="607">
        <f>SUMIF($P$5:$P$124,"jan",Q$5:Q$124)/COUNTA($P$5:$P$124)*12</f>
        <v>730.14999999999986</v>
      </c>
      <c r="H6" s="607">
        <f>SUMIF($P$5:$P$124,"jan",R$5:R$124)/COUNTA($P$5:$P$124)*12</f>
        <v>0</v>
      </c>
      <c r="J6" s="608" t="s">
        <v>196</v>
      </c>
      <c r="K6" s="607">
        <f>SUMIF($P$5:$P$244,"jan",Q$5:Q$244)/COUNTA($P$5:$P$244)*12</f>
        <v>715.19999999999993</v>
      </c>
      <c r="L6" s="607">
        <f>SUMIF($P$5:$P$244,"jan",R$5:R$244)/COUNTA($P$5:$P$244)*12</f>
        <v>0</v>
      </c>
      <c r="O6" s="566">
        <v>34366</v>
      </c>
      <c r="P6" s="546" t="s">
        <v>181</v>
      </c>
      <c r="Q6" s="547">
        <v>737.5</v>
      </c>
      <c r="R6" s="547">
        <v>0</v>
      </c>
    </row>
    <row r="7" spans="2:18">
      <c r="B7" s="608" t="s">
        <v>197</v>
      </c>
      <c r="C7" s="607">
        <f>SUMIF($P$125:$P$244,"feb",Q$125:Q$244)/COUNTA($P$125:$P$244)*12</f>
        <v>628.92999999999995</v>
      </c>
      <c r="D7" s="607">
        <f>SUMIF($P$125:$P$244,"feb",R$125:R$244)/COUNTA($P$125:$P$244)*12</f>
        <v>0</v>
      </c>
      <c r="F7" s="608" t="s">
        <v>197</v>
      </c>
      <c r="G7" s="607">
        <f>SUMIF($P$5:$P$124,"feb",Q$5:Q$124)/COUNTA($P$5:$P$124)*12</f>
        <v>622.71</v>
      </c>
      <c r="H7" s="607">
        <f>SUMIF($P$5:$P$124,"feb",R$5:R$124)/COUNTA($P$5:$P$124)*12</f>
        <v>0</v>
      </c>
      <c r="J7" s="608" t="s">
        <v>197</v>
      </c>
      <c r="K7" s="607">
        <f>SUMIF($P$5:$P$244,"feb",Q$5:Q$244)/COUNTA($P$5:$P$244)*12</f>
        <v>625.82000000000005</v>
      </c>
      <c r="L7" s="607">
        <f>SUMIF($P$5:$P$244,"feb",R$5:R$244)/COUNTA($P$5:$P$244)*12</f>
        <v>0</v>
      </c>
      <c r="O7" s="566">
        <v>34394</v>
      </c>
      <c r="P7" s="546" t="s">
        <v>182</v>
      </c>
      <c r="Q7" s="547">
        <v>581.5</v>
      </c>
      <c r="R7" s="547">
        <v>0</v>
      </c>
    </row>
    <row r="8" spans="2:18">
      <c r="B8" s="608" t="s">
        <v>198</v>
      </c>
      <c r="C8" s="607">
        <f>SUMIF($P$125:$P$244,"mar",Q$125:Q$244)/COUNTA($P$125:$P$244)*12</f>
        <v>520.29999999999995</v>
      </c>
      <c r="D8" s="607">
        <f>SUMIF($P$125:$P$244,"mar",R$125:R$244)/COUNTA($P$125:$P$244)*12</f>
        <v>0.02</v>
      </c>
      <c r="F8" s="608" t="s">
        <v>198</v>
      </c>
      <c r="G8" s="607">
        <f>SUMIF($P$5:$P$124,"mar",Q$5:Q$124)/COUNTA($P$5:$P$124)*12</f>
        <v>548</v>
      </c>
      <c r="H8" s="607">
        <f>SUMIF($P$5:$P$124,"mar",R$5:R$124)/COUNTA($P$5:$P$124)*12</f>
        <v>0</v>
      </c>
      <c r="J8" s="608" t="s">
        <v>198</v>
      </c>
      <c r="K8" s="607">
        <f>SUMIF($P$5:$P$244,"mar",Q$5:Q$244)/COUNTA($P$5:$P$244)*12</f>
        <v>534.15</v>
      </c>
      <c r="L8" s="607">
        <f>SUMIF($P$5:$P$244,"mar",R$5:R$244)/COUNTA($P$5:$P$244)*12</f>
        <v>0.01</v>
      </c>
      <c r="O8" s="566">
        <v>34425</v>
      </c>
      <c r="P8" s="546" t="s">
        <v>183</v>
      </c>
      <c r="Q8" s="547">
        <v>320.2</v>
      </c>
      <c r="R8" s="547">
        <v>0.5</v>
      </c>
    </row>
    <row r="9" spans="2:18">
      <c r="B9" s="608" t="s">
        <v>199</v>
      </c>
      <c r="C9" s="607">
        <f>SUMIF($P$125:$P$244,"apr",Q$125:Q$244)/COUNTA($P$125:$P$244)*12</f>
        <v>308.53999999999996</v>
      </c>
      <c r="D9" s="607">
        <f>SUMIF($P$125:$P$244,"apr",R$125:R$244)/COUNTA($P$125:$P$244)*12</f>
        <v>0.12</v>
      </c>
      <c r="F9" s="608" t="s">
        <v>199</v>
      </c>
      <c r="G9" s="607">
        <f>SUMIF($P$5:$P$124,"apr",Q$5:Q$124)/COUNTA($P$5:$P$124)*12</f>
        <v>342.65</v>
      </c>
      <c r="H9" s="607">
        <f>SUMIF($P$5:$P$124,"apr",R$5:R$124)/COUNTA($P$5:$P$124)*12</f>
        <v>1.2600000000000002</v>
      </c>
      <c r="J9" s="608" t="s">
        <v>199</v>
      </c>
      <c r="K9" s="607">
        <f>SUMIF($P$5:$P$244,"apr",Q$5:Q$244)/COUNTA($P$5:$P$244)*12</f>
        <v>325.59500000000003</v>
      </c>
      <c r="L9" s="607">
        <f>SUMIF($P$5:$P$244,"apr",R$5:R$244)/COUNTA($P$5:$P$244)*12</f>
        <v>0.69000000000000006</v>
      </c>
      <c r="O9" s="566">
        <v>34455</v>
      </c>
      <c r="P9" s="546" t="s">
        <v>184</v>
      </c>
      <c r="Q9" s="547">
        <v>199.7</v>
      </c>
      <c r="R9" s="547">
        <v>8.1999999999999993</v>
      </c>
    </row>
    <row r="10" spans="2:18">
      <c r="B10" s="608" t="s">
        <v>7</v>
      </c>
      <c r="C10" s="607">
        <f>SUMIF($P$125:$P$244,"may",Q$125:Q$244)/COUNTA($P$125:$P$244)*12</f>
        <v>140.57</v>
      </c>
      <c r="D10" s="607">
        <f>SUMIF($P$125:$P$244,"may",R$125:R$244)/COUNTA($P$125:$P$244)*12</f>
        <v>18.57</v>
      </c>
      <c r="F10" s="608" t="s">
        <v>7</v>
      </c>
      <c r="G10" s="607">
        <f>SUMIF($P$5:$P$124,"may",Q$5:Q$124)/COUNTA($P$5:$P$124)*12</f>
        <v>162.82999999999998</v>
      </c>
      <c r="H10" s="607">
        <f>SUMIF($P$5:$P$124,"may",R$5:R$124)/COUNTA($P$5:$P$124)*12</f>
        <v>11.2</v>
      </c>
      <c r="J10" s="608" t="s">
        <v>7</v>
      </c>
      <c r="K10" s="607">
        <f>SUMIF($P$5:$P$244,"may",Q$5:Q$244)/COUNTA($P$5:$P$244)*12</f>
        <v>151.70000000000002</v>
      </c>
      <c r="L10" s="607">
        <f>SUMIF($P$5:$P$244,"may",R$5:R$244)/COUNTA($P$5:$P$244)*12</f>
        <v>14.885000000000002</v>
      </c>
      <c r="O10" s="566">
        <v>34486</v>
      </c>
      <c r="P10" s="546" t="s">
        <v>185</v>
      </c>
      <c r="Q10" s="547">
        <v>35.6</v>
      </c>
      <c r="R10" s="547">
        <v>67.7</v>
      </c>
    </row>
    <row r="11" spans="2:18">
      <c r="B11" s="608" t="s">
        <v>200</v>
      </c>
      <c r="C11" s="607">
        <f>SUMIF($P$125:$P$244,"jun",Q$125:Q$244)/COUNTA($P$125:$P$244)*12</f>
        <v>25.84</v>
      </c>
      <c r="D11" s="607">
        <f>SUMIF($P$125:$P$244,"jun",R$125:R$244)/COUNTA($P$125:$P$244)*12</f>
        <v>72.819999999999993</v>
      </c>
      <c r="F11" s="608" t="s">
        <v>200</v>
      </c>
      <c r="G11" s="607">
        <f>SUMIF($P$5:$P$124,"jun",Q$5:Q$124)/COUNTA($P$5:$P$124)*12</f>
        <v>32.07</v>
      </c>
      <c r="H11" s="607">
        <f>SUMIF($P$5:$P$124,"jun",R$5:R$124)/COUNTA($P$5:$P$124)*12</f>
        <v>67.92</v>
      </c>
      <c r="J11" s="608" t="s">
        <v>200</v>
      </c>
      <c r="K11" s="607">
        <f>SUMIF($P$5:$P$244,"jun",Q$5:Q$244)/COUNTA($P$5:$P$244)*12</f>
        <v>28.955000000000002</v>
      </c>
      <c r="L11" s="607">
        <f>SUMIF($P$5:$P$244,"jun",R$5:R$244)/COUNTA($P$5:$P$244)*12</f>
        <v>70.37</v>
      </c>
      <c r="O11" s="566">
        <v>34516</v>
      </c>
      <c r="P11" s="546" t="s">
        <v>186</v>
      </c>
      <c r="Q11" s="547">
        <v>2.4</v>
      </c>
      <c r="R11" s="547">
        <v>111.2</v>
      </c>
    </row>
    <row r="12" spans="2:18">
      <c r="B12" s="608" t="s">
        <v>201</v>
      </c>
      <c r="C12" s="607">
        <f>SUMIF($P$125:$P$244,"jul",Q$125:Q$244)/COUNTA($P$125:$P$244)*12</f>
        <v>1.7200000000000002</v>
      </c>
      <c r="D12" s="607">
        <f>SUMIF($P$125:$P$244,"jul",R$125:R$244)/COUNTA($P$125:$P$244)*12</f>
        <v>139.54000000000002</v>
      </c>
      <c r="F12" s="608" t="s">
        <v>201</v>
      </c>
      <c r="G12" s="607">
        <f>SUMIF($P$5:$P$124,"jul",Q$5:Q$124)/COUNTA($P$5:$P$124)*12</f>
        <v>5.25</v>
      </c>
      <c r="H12" s="607">
        <f>SUMIF($P$5:$P$124,"jul",R$5:R$124)/COUNTA($P$5:$P$124)*12</f>
        <v>118.58999999999997</v>
      </c>
      <c r="J12" s="608" t="s">
        <v>201</v>
      </c>
      <c r="K12" s="607">
        <f>SUMIF($P$5:$P$244,"jul",Q$5:Q$244)/COUNTA($P$5:$P$244)*12</f>
        <v>3.4849999999999999</v>
      </c>
      <c r="L12" s="607">
        <f>SUMIF($P$5:$P$244,"jul",R$5:R$244)/COUNTA($P$5:$P$244)*12</f>
        <v>129.065</v>
      </c>
      <c r="O12" s="566">
        <v>34547</v>
      </c>
      <c r="P12" s="546" t="s">
        <v>187</v>
      </c>
      <c r="Q12" s="547">
        <v>24.5</v>
      </c>
      <c r="R12" s="547">
        <v>46.4</v>
      </c>
    </row>
    <row r="13" spans="2:18">
      <c r="B13" s="608" t="s">
        <v>202</v>
      </c>
      <c r="C13" s="607">
        <f>SUMIF($P$125:$P$244,"aug",Q$125:Q$244)/COUNTA($P$125:$P$244)*12</f>
        <v>5.3599999999999994</v>
      </c>
      <c r="D13" s="607">
        <f>SUMIF($P$125:$P$244,"aug",R$125:R$244)/COUNTA($P$125:$P$244)*12</f>
        <v>106.42000000000002</v>
      </c>
      <c r="F13" s="608" t="s">
        <v>202</v>
      </c>
      <c r="G13" s="607">
        <f>SUMIF($P$5:$P$124,"aug",Q$5:Q$124)/COUNTA($P$5:$P$124)*12</f>
        <v>7.41</v>
      </c>
      <c r="H13" s="607">
        <f>SUMIF($P$5:$P$124,"aug",R$5:R$124)/COUNTA($P$5:$P$124)*12</f>
        <v>102.32000000000001</v>
      </c>
      <c r="J13" s="608" t="s">
        <v>202</v>
      </c>
      <c r="K13" s="607">
        <f>SUMIF($P$5:$P$244,"aug",Q$5:Q$244)/COUNTA($P$5:$P$244)*12</f>
        <v>6.3849999999999998</v>
      </c>
      <c r="L13" s="607">
        <f>SUMIF($P$5:$P$244,"aug",R$5:R$244)/COUNTA($P$5:$P$244)*12</f>
        <v>104.36999999999998</v>
      </c>
      <c r="O13" s="566">
        <v>34578</v>
      </c>
      <c r="P13" s="546" t="s">
        <v>188</v>
      </c>
      <c r="Q13" s="547">
        <v>76.2</v>
      </c>
      <c r="R13" s="547">
        <v>13.7</v>
      </c>
    </row>
    <row r="14" spans="2:18">
      <c r="B14" s="608" t="s">
        <v>203</v>
      </c>
      <c r="C14" s="607">
        <f>SUMIF($P$125:$P$244,"sep",Q$125:Q$244)/COUNTA($P$125:$P$244)*12</f>
        <v>58.56</v>
      </c>
      <c r="D14" s="607">
        <f>SUMIF($P$125:$P$244,"sep",R$125:R$244)/COUNTA($P$125:$P$244)*12</f>
        <v>33.610000000000007</v>
      </c>
      <c r="F14" s="608" t="s">
        <v>203</v>
      </c>
      <c r="G14" s="607">
        <f>SUMIF($P$5:$P$124,"sep",Q$5:Q$124)/COUNTA($P$5:$P$124)*12</f>
        <v>70.739999999999995</v>
      </c>
      <c r="H14" s="607">
        <f>SUMIF($P$5:$P$124,"sep",R$5:R$124)/COUNTA($P$5:$P$124)*12</f>
        <v>34.159999999999997</v>
      </c>
      <c r="J14" s="608" t="s">
        <v>203</v>
      </c>
      <c r="K14" s="607">
        <f>SUMIF($P$5:$P$244,"sep",Q$5:Q$244)/COUNTA($P$5:$P$244)*12</f>
        <v>64.650000000000006</v>
      </c>
      <c r="L14" s="607">
        <f>SUMIF($P$5:$P$244,"sep",R$5:R$244)/COUNTA($P$5:$P$244)*12</f>
        <v>33.884999999999998</v>
      </c>
      <c r="O14" s="566">
        <v>34608</v>
      </c>
      <c r="P14" s="546" t="s">
        <v>189</v>
      </c>
      <c r="Q14" s="547">
        <v>249.3</v>
      </c>
      <c r="R14" s="547">
        <v>0</v>
      </c>
    </row>
    <row r="15" spans="2:18">
      <c r="B15" s="608" t="s">
        <v>204</v>
      </c>
      <c r="C15" s="607">
        <f>SUMIF($P$125:$P$244,"oct",Q$125:Q$244)/COUNTA($P$125:$P$244)*12</f>
        <v>238.26999999999998</v>
      </c>
      <c r="D15" s="607">
        <f>SUMIF($P$125:$P$244,"oct",R$125:R$244)/COUNTA($P$125:$P$244)*12</f>
        <v>3.35</v>
      </c>
      <c r="F15" s="608" t="s">
        <v>204</v>
      </c>
      <c r="G15" s="607">
        <f>SUMIF($P$5:$P$124,"oct",Q$5:Q$124)/COUNTA($P$5:$P$124)*12</f>
        <v>250.81</v>
      </c>
      <c r="H15" s="607">
        <f>SUMIF($P$5:$P$124,"oct",R$5:R$124)/COUNTA($P$5:$P$124)*12</f>
        <v>1.92</v>
      </c>
      <c r="J15" s="608" t="s">
        <v>204</v>
      </c>
      <c r="K15" s="607">
        <f>SUMIF($P$5:$P$244,"oct",Q$5:Q$244)/COUNTA($P$5:$P$244)*12</f>
        <v>244.54000000000002</v>
      </c>
      <c r="L15" s="607">
        <f>SUMIF($P$5:$P$244,"oct",R$5:R$244)/COUNTA($P$5:$P$244)*12</f>
        <v>2.6350000000000002</v>
      </c>
      <c r="O15" s="566">
        <v>34639</v>
      </c>
      <c r="P15" s="546" t="s">
        <v>190</v>
      </c>
      <c r="Q15" s="547">
        <v>379</v>
      </c>
      <c r="R15" s="547">
        <v>0</v>
      </c>
    </row>
    <row r="16" spans="2:18">
      <c r="B16" s="608" t="s">
        <v>205</v>
      </c>
      <c r="C16" s="607">
        <f>SUMIF($P$125:$P$244,"nov",Q$125:Q$244)/COUNTA($P$125:$P$244)*12</f>
        <v>408.47</v>
      </c>
      <c r="D16" s="607">
        <f>SUMIF($P$125:$P$244,"nov",R$125:R$244)/COUNTA($P$125:$P$244)*12</f>
        <v>0</v>
      </c>
      <c r="F16" s="608" t="s">
        <v>205</v>
      </c>
      <c r="G16" s="607">
        <f>SUMIF($P$5:$P$124,"nov",Q$5:Q$124)/COUNTA($P$5:$P$124)*12</f>
        <v>423.03999999999996</v>
      </c>
      <c r="H16" s="607">
        <f>SUMIF($P$5:$P$124,"nov",R$5:R$124)/COUNTA($P$5:$P$124)*12</f>
        <v>0</v>
      </c>
      <c r="J16" s="608" t="s">
        <v>205</v>
      </c>
      <c r="K16" s="607">
        <f>SUMIF($P$5:$P$244,"nov",Q$5:Q$244)/COUNTA($P$5:$P$244)*12</f>
        <v>415.755</v>
      </c>
      <c r="L16" s="607">
        <f>SUMIF($P$5:$P$244,"nov",R$5:R$244)/COUNTA($P$5:$P$244)*12</f>
        <v>0</v>
      </c>
      <c r="O16" s="566">
        <v>34669</v>
      </c>
      <c r="P16" s="546" t="s">
        <v>191</v>
      </c>
      <c r="Q16" s="547">
        <v>562.5</v>
      </c>
      <c r="R16" s="547">
        <v>0</v>
      </c>
    </row>
    <row r="17" spans="2:18" ht="13.8" thickBot="1">
      <c r="B17" s="608" t="s">
        <v>206</v>
      </c>
      <c r="C17" s="607">
        <f>SUMIF($P$125:$P$244,"dec",Q$125:Q$244)/COUNTA($P$125:$P$244)*12</f>
        <v>615.7199999999998</v>
      </c>
      <c r="D17" s="607">
        <f>SUMIF($P$125:$P$244,"dec",R$125:R$244)/COUNTA($P$125:$P$244)*12</f>
        <v>0</v>
      </c>
      <c r="F17" s="608" t="s">
        <v>206</v>
      </c>
      <c r="G17" s="607">
        <f>SUMIF($P$5:$P$124,"dec",Q$5:Q$124)/COUNTA($P$5:$P$124)*12</f>
        <v>601.83999999999992</v>
      </c>
      <c r="H17" s="607">
        <f>SUMIF($P$5:$P$124,"dec",R$5:R$124)/COUNTA($P$5:$P$124)*12</f>
        <v>0</v>
      </c>
      <c r="I17" s="455"/>
      <c r="J17" s="608" t="s">
        <v>206</v>
      </c>
      <c r="K17" s="841">
        <f>SUMIF($P$5:$P$244,"dec",Q$5:Q$244)/COUNTA($P$5:$P$244)*12</f>
        <v>608.78</v>
      </c>
      <c r="L17" s="841">
        <f>SUMIF($P$5:$P$244,"dec",R$5:R$244)/COUNTA($P$5:$P$244)*12</f>
        <v>0</v>
      </c>
      <c r="O17" s="566">
        <v>34700</v>
      </c>
      <c r="P17" s="546" t="s">
        <v>180</v>
      </c>
      <c r="Q17" s="548">
        <v>653.20000000000005</v>
      </c>
      <c r="R17" s="548">
        <v>0</v>
      </c>
    </row>
    <row r="18" spans="2:18" ht="13.8" thickBot="1">
      <c r="B18" s="840" t="s">
        <v>65</v>
      </c>
      <c r="C18" s="842">
        <f>SUM(C6:C17)</f>
        <v>3652.5299999999993</v>
      </c>
      <c r="D18" s="842">
        <f>SUM(D6:D17)</f>
        <v>374.45000000000005</v>
      </c>
      <c r="F18" s="840" t="s">
        <v>65</v>
      </c>
      <c r="G18" s="842">
        <f>SUM(G6:G17)</f>
        <v>3797.4999999999991</v>
      </c>
      <c r="H18" s="842">
        <f>SUM(H6:H17)</f>
        <v>337.36999999999995</v>
      </c>
      <c r="J18" s="840" t="s">
        <v>65</v>
      </c>
      <c r="K18" s="842">
        <f>SUM(K6:K17)</f>
        <v>3725.0150000000003</v>
      </c>
      <c r="L18" s="842">
        <f>SUM(L6:L17)</f>
        <v>355.90999999999997</v>
      </c>
      <c r="O18" s="566">
        <v>34731</v>
      </c>
      <c r="P18" s="546" t="s">
        <v>181</v>
      </c>
      <c r="Q18" s="548">
        <v>707</v>
      </c>
      <c r="R18" s="548">
        <v>0</v>
      </c>
    </row>
    <row r="19" spans="2:18" ht="13.8" thickTop="1">
      <c r="K19" s="443"/>
      <c r="L19" s="443"/>
      <c r="O19" s="566">
        <v>34759</v>
      </c>
      <c r="P19" s="546" t="s">
        <v>182</v>
      </c>
      <c r="Q19" s="548">
        <v>498.1</v>
      </c>
      <c r="R19" s="548">
        <v>0</v>
      </c>
    </row>
    <row r="20" spans="2:18">
      <c r="K20" s="443" t="s">
        <v>312</v>
      </c>
      <c r="L20" s="443"/>
      <c r="N20" s="66"/>
      <c r="O20" s="566">
        <v>34790</v>
      </c>
      <c r="P20" s="546" t="s">
        <v>183</v>
      </c>
      <c r="Q20" s="548">
        <v>417.6</v>
      </c>
      <c r="R20" s="548">
        <v>0</v>
      </c>
    </row>
    <row r="21" spans="2:18">
      <c r="I21" s="455"/>
      <c r="K21" s="443"/>
      <c r="L21" s="443"/>
      <c r="N21" s="66"/>
      <c r="O21" s="566">
        <v>34820</v>
      </c>
      <c r="P21" s="546" t="s">
        <v>184</v>
      </c>
      <c r="Q21" s="548">
        <v>149.19999999999999</v>
      </c>
      <c r="R21" s="548">
        <v>3.5</v>
      </c>
    </row>
    <row r="22" spans="2:18">
      <c r="K22" s="443"/>
      <c r="L22" s="443"/>
      <c r="N22" s="66"/>
      <c r="O22" s="566">
        <v>34851</v>
      </c>
      <c r="P22" s="546" t="s">
        <v>185</v>
      </c>
      <c r="Q22" s="548">
        <v>20</v>
      </c>
      <c r="R22" s="548">
        <v>77.900000000000006</v>
      </c>
    </row>
    <row r="23" spans="2:18">
      <c r="K23" s="443"/>
      <c r="L23" s="443"/>
      <c r="N23" s="66"/>
      <c r="O23" s="566">
        <v>34881</v>
      </c>
      <c r="P23" s="546" t="s">
        <v>186</v>
      </c>
      <c r="Q23" s="548">
        <v>10.3</v>
      </c>
      <c r="R23" s="548">
        <v>130.9</v>
      </c>
    </row>
    <row r="24" spans="2:18">
      <c r="K24" s="443"/>
      <c r="L24" s="443"/>
      <c r="N24" s="66"/>
      <c r="O24" s="566">
        <v>34912</v>
      </c>
      <c r="P24" s="546" t="s">
        <v>187</v>
      </c>
      <c r="Q24" s="548">
        <v>4.5999999999999996</v>
      </c>
      <c r="R24" s="548">
        <v>122.9</v>
      </c>
    </row>
    <row r="25" spans="2:18">
      <c r="K25" s="443"/>
      <c r="L25" s="443"/>
      <c r="N25" s="66"/>
      <c r="O25" s="566">
        <v>34943</v>
      </c>
      <c r="P25" s="546" t="s">
        <v>188</v>
      </c>
      <c r="Q25" s="548">
        <v>133.69999999999999</v>
      </c>
      <c r="R25" s="548">
        <v>12.7</v>
      </c>
    </row>
    <row r="26" spans="2:18">
      <c r="K26" s="443"/>
      <c r="L26" s="443"/>
      <c r="N26" s="66"/>
      <c r="O26" s="566">
        <v>34973</v>
      </c>
      <c r="P26" s="546" t="s">
        <v>189</v>
      </c>
      <c r="Q26" s="548">
        <v>219.4</v>
      </c>
      <c r="R26" s="548">
        <v>3.2</v>
      </c>
    </row>
    <row r="27" spans="2:18">
      <c r="K27" s="443"/>
      <c r="L27" s="443"/>
      <c r="N27" s="66"/>
      <c r="O27" s="566">
        <v>35004</v>
      </c>
      <c r="P27" s="546" t="s">
        <v>190</v>
      </c>
      <c r="Q27" s="548">
        <v>511.4</v>
      </c>
      <c r="R27" s="548">
        <v>0</v>
      </c>
    </row>
    <row r="28" spans="2:18">
      <c r="K28" s="443"/>
      <c r="L28" s="443"/>
      <c r="N28" s="66"/>
      <c r="O28" s="566">
        <v>35034</v>
      </c>
      <c r="P28" s="546" t="s">
        <v>191</v>
      </c>
      <c r="Q28" s="548">
        <v>717.5</v>
      </c>
      <c r="R28" s="548">
        <v>0</v>
      </c>
    </row>
    <row r="29" spans="2:18">
      <c r="K29" s="443"/>
      <c r="L29" s="443"/>
      <c r="N29" s="66"/>
      <c r="O29" s="566">
        <v>35065</v>
      </c>
      <c r="P29" s="546" t="s">
        <v>180</v>
      </c>
      <c r="Q29" s="549">
        <v>765.2</v>
      </c>
      <c r="R29" s="549">
        <v>0</v>
      </c>
    </row>
    <row r="30" spans="2:18">
      <c r="K30" s="443"/>
      <c r="L30" s="443"/>
      <c r="N30" s="66"/>
      <c r="O30" s="566">
        <v>35096</v>
      </c>
      <c r="P30" s="546" t="s">
        <v>181</v>
      </c>
      <c r="Q30" s="549">
        <v>689.8</v>
      </c>
      <c r="R30" s="549">
        <v>0</v>
      </c>
    </row>
    <row r="31" spans="2:18">
      <c r="N31" s="66"/>
      <c r="O31" s="566">
        <v>35125</v>
      </c>
      <c r="P31" s="546" t="s">
        <v>182</v>
      </c>
      <c r="Q31" s="549">
        <v>645.6</v>
      </c>
      <c r="R31" s="549">
        <v>0</v>
      </c>
    </row>
    <row r="32" spans="2:18">
      <c r="N32" s="66"/>
      <c r="O32" s="566">
        <v>35156</v>
      </c>
      <c r="P32" s="546" t="s">
        <v>183</v>
      </c>
      <c r="Q32" s="549">
        <v>408.2</v>
      </c>
      <c r="R32" s="549">
        <v>0</v>
      </c>
    </row>
    <row r="33" spans="14:18">
      <c r="N33" s="66"/>
      <c r="O33" s="566">
        <v>35186</v>
      </c>
      <c r="P33" s="546" t="s">
        <v>184</v>
      </c>
      <c r="Q33" s="549">
        <v>205.9</v>
      </c>
      <c r="R33" s="549">
        <v>8.6</v>
      </c>
    </row>
    <row r="34" spans="14:18">
      <c r="N34" s="66"/>
      <c r="O34" s="566">
        <v>35217</v>
      </c>
      <c r="P34" s="546" t="s">
        <v>185</v>
      </c>
      <c r="Q34" s="549">
        <v>20.9</v>
      </c>
      <c r="R34" s="549">
        <v>38.299999999999997</v>
      </c>
    </row>
    <row r="35" spans="14:18">
      <c r="N35" s="66"/>
      <c r="O35" s="566">
        <v>35247</v>
      </c>
      <c r="P35" s="546" t="s">
        <v>186</v>
      </c>
      <c r="Q35" s="549">
        <v>10.3</v>
      </c>
      <c r="R35" s="549">
        <v>59.6</v>
      </c>
    </row>
    <row r="36" spans="14:18">
      <c r="N36" s="66"/>
      <c r="O36" s="566">
        <v>35278</v>
      </c>
      <c r="P36" s="546" t="s">
        <v>187</v>
      </c>
      <c r="Q36" s="549">
        <v>2.5</v>
      </c>
      <c r="R36" s="549">
        <v>87.1</v>
      </c>
    </row>
    <row r="37" spans="14:18">
      <c r="N37" s="66"/>
      <c r="O37" s="566">
        <v>35309</v>
      </c>
      <c r="P37" s="546" t="s">
        <v>188</v>
      </c>
      <c r="Q37" s="549">
        <v>71.599999999999994</v>
      </c>
      <c r="R37" s="549">
        <v>27.1</v>
      </c>
    </row>
    <row r="38" spans="14:18">
      <c r="N38" s="66"/>
      <c r="O38" s="566">
        <v>35339</v>
      </c>
      <c r="P38" s="546" t="s">
        <v>189</v>
      </c>
      <c r="Q38" s="549">
        <v>273.10000000000002</v>
      </c>
      <c r="R38" s="549">
        <v>0</v>
      </c>
    </row>
    <row r="39" spans="14:18">
      <c r="N39" s="66"/>
      <c r="O39" s="566">
        <v>35370</v>
      </c>
      <c r="P39" s="546" t="s">
        <v>190</v>
      </c>
      <c r="Q39" s="549">
        <v>512.1</v>
      </c>
      <c r="R39" s="549">
        <v>0</v>
      </c>
    </row>
    <row r="40" spans="14:18">
      <c r="N40" s="66"/>
      <c r="O40" s="566">
        <v>35400</v>
      </c>
      <c r="P40" s="546" t="s">
        <v>191</v>
      </c>
      <c r="Q40" s="549">
        <v>571.6</v>
      </c>
      <c r="R40" s="549">
        <v>0</v>
      </c>
    </row>
    <row r="41" spans="14:18">
      <c r="N41" s="66"/>
      <c r="O41" s="566">
        <v>35431</v>
      </c>
      <c r="P41" s="546" t="s">
        <v>180</v>
      </c>
      <c r="Q41" s="550">
        <v>756.6</v>
      </c>
      <c r="R41" s="550">
        <v>0</v>
      </c>
    </row>
    <row r="42" spans="14:18">
      <c r="N42" s="66"/>
      <c r="O42" s="566">
        <v>35462</v>
      </c>
      <c r="P42" s="546" t="s">
        <v>181</v>
      </c>
      <c r="Q42" s="550">
        <v>593</v>
      </c>
      <c r="R42" s="550">
        <v>0</v>
      </c>
    </row>
    <row r="43" spans="14:18">
      <c r="N43" s="66"/>
      <c r="O43" s="566">
        <v>35490</v>
      </c>
      <c r="P43" s="546" t="s">
        <v>182</v>
      </c>
      <c r="Q43" s="550">
        <v>600</v>
      </c>
      <c r="R43" s="550">
        <v>0</v>
      </c>
    </row>
    <row r="44" spans="14:18">
      <c r="N44" s="66"/>
      <c r="O44" s="566">
        <v>35521</v>
      </c>
      <c r="P44" s="546" t="s">
        <v>183</v>
      </c>
      <c r="Q44" s="550">
        <v>366.8</v>
      </c>
      <c r="R44" s="550">
        <v>0</v>
      </c>
    </row>
    <row r="45" spans="14:18">
      <c r="N45" s="66"/>
      <c r="O45" s="566">
        <v>35551</v>
      </c>
      <c r="P45" s="546" t="s">
        <v>184</v>
      </c>
      <c r="Q45" s="550">
        <v>260.8</v>
      </c>
      <c r="R45" s="550">
        <v>0</v>
      </c>
    </row>
    <row r="46" spans="14:18">
      <c r="N46" s="66"/>
      <c r="O46" s="566">
        <v>35582</v>
      </c>
      <c r="P46" s="546" t="s">
        <v>185</v>
      </c>
      <c r="Q46" s="550">
        <v>20.6</v>
      </c>
      <c r="R46" s="550">
        <v>73.2</v>
      </c>
    </row>
    <row r="47" spans="14:18">
      <c r="N47" s="66"/>
      <c r="O47" s="566">
        <v>35612</v>
      </c>
      <c r="P47" s="546" t="s">
        <v>186</v>
      </c>
      <c r="Q47" s="550">
        <v>12.4</v>
      </c>
      <c r="R47" s="550">
        <v>103</v>
      </c>
    </row>
    <row r="48" spans="14:18">
      <c r="N48" s="66"/>
      <c r="O48" s="566">
        <v>35643</v>
      </c>
      <c r="P48" s="546" t="s">
        <v>187</v>
      </c>
      <c r="Q48" s="550">
        <v>17</v>
      </c>
      <c r="R48" s="550">
        <v>46.8</v>
      </c>
    </row>
    <row r="49" spans="14:18">
      <c r="N49" s="66"/>
      <c r="O49" s="566">
        <v>35674</v>
      </c>
      <c r="P49" s="546" t="s">
        <v>188</v>
      </c>
      <c r="Q49" s="550">
        <v>87.1</v>
      </c>
      <c r="R49" s="550">
        <v>11.7</v>
      </c>
    </row>
    <row r="50" spans="14:18">
      <c r="N50" s="66"/>
      <c r="O50" s="566">
        <v>35704</v>
      </c>
      <c r="P50" s="546" t="s">
        <v>189</v>
      </c>
      <c r="Q50" s="550">
        <v>266.89999999999998</v>
      </c>
      <c r="R50" s="550">
        <v>2.8</v>
      </c>
    </row>
    <row r="51" spans="14:18">
      <c r="N51" s="66"/>
      <c r="O51" s="566">
        <v>35735</v>
      </c>
      <c r="P51" s="546" t="s">
        <v>190</v>
      </c>
      <c r="Q51" s="550">
        <v>466.5</v>
      </c>
      <c r="R51" s="550">
        <v>0</v>
      </c>
    </row>
    <row r="52" spans="14:18">
      <c r="N52" s="66"/>
      <c r="O52" s="566">
        <v>35765</v>
      </c>
      <c r="P52" s="546" t="s">
        <v>191</v>
      </c>
      <c r="Q52" s="550">
        <v>586.20000000000005</v>
      </c>
      <c r="R52" s="550">
        <v>0</v>
      </c>
    </row>
    <row r="53" spans="14:18">
      <c r="N53" s="66"/>
      <c r="O53" s="566">
        <v>35796</v>
      </c>
      <c r="P53" s="546" t="s">
        <v>180</v>
      </c>
      <c r="Q53" s="551">
        <v>624.79999999999995</v>
      </c>
      <c r="R53" s="551">
        <v>0</v>
      </c>
    </row>
    <row r="54" spans="14:18">
      <c r="N54" s="66"/>
      <c r="O54" s="566">
        <v>35827</v>
      </c>
      <c r="P54" s="546" t="s">
        <v>181</v>
      </c>
      <c r="Q54" s="551">
        <v>512.20000000000005</v>
      </c>
      <c r="R54" s="551">
        <v>0</v>
      </c>
    </row>
    <row r="55" spans="14:18">
      <c r="N55" s="66"/>
      <c r="O55" s="566">
        <v>35855</v>
      </c>
      <c r="P55" s="546" t="s">
        <v>182</v>
      </c>
      <c r="Q55" s="551">
        <v>492.3</v>
      </c>
      <c r="R55" s="551">
        <v>0</v>
      </c>
    </row>
    <row r="56" spans="14:18">
      <c r="N56" s="66"/>
      <c r="O56" s="566">
        <v>35886</v>
      </c>
      <c r="P56" s="546" t="s">
        <v>183</v>
      </c>
      <c r="Q56" s="551">
        <v>282</v>
      </c>
      <c r="R56" s="551">
        <v>0</v>
      </c>
    </row>
    <row r="57" spans="14:18">
      <c r="N57" s="66"/>
      <c r="O57" s="566">
        <v>35916</v>
      </c>
      <c r="P57" s="546" t="s">
        <v>184</v>
      </c>
      <c r="Q57" s="551">
        <v>59.1</v>
      </c>
      <c r="R57" s="551">
        <v>28.6</v>
      </c>
    </row>
    <row r="58" spans="14:18">
      <c r="N58" s="66"/>
      <c r="O58" s="566">
        <v>35947</v>
      </c>
      <c r="P58" s="546" t="s">
        <v>185</v>
      </c>
      <c r="Q58" s="551">
        <v>54.7</v>
      </c>
      <c r="R58" s="551">
        <v>82.4</v>
      </c>
    </row>
    <row r="59" spans="14:18">
      <c r="N59" s="66"/>
      <c r="O59" s="566">
        <v>35977</v>
      </c>
      <c r="P59" s="546" t="s">
        <v>186</v>
      </c>
      <c r="Q59" s="551">
        <v>1</v>
      </c>
      <c r="R59" s="551">
        <v>101.3</v>
      </c>
    </row>
    <row r="60" spans="14:18">
      <c r="N60" s="66"/>
      <c r="O60" s="566">
        <v>36008</v>
      </c>
      <c r="P60" s="546" t="s">
        <v>187</v>
      </c>
      <c r="Q60" s="551">
        <v>3.4</v>
      </c>
      <c r="R60" s="551">
        <v>117.7</v>
      </c>
    </row>
    <row r="61" spans="14:18">
      <c r="N61" s="66"/>
      <c r="O61" s="566">
        <v>36039</v>
      </c>
      <c r="P61" s="546" t="s">
        <v>188</v>
      </c>
      <c r="Q61" s="551">
        <v>39.700000000000003</v>
      </c>
      <c r="R61" s="551">
        <v>45</v>
      </c>
    </row>
    <row r="62" spans="14:18">
      <c r="N62" s="66"/>
      <c r="O62" s="566">
        <v>36069</v>
      </c>
      <c r="P62" s="546" t="s">
        <v>189</v>
      </c>
      <c r="Q62" s="551">
        <v>223.4</v>
      </c>
      <c r="R62" s="551">
        <v>0</v>
      </c>
    </row>
    <row r="63" spans="14:18">
      <c r="N63" s="66"/>
      <c r="O63" s="566">
        <v>36100</v>
      </c>
      <c r="P63" s="546" t="s">
        <v>190</v>
      </c>
      <c r="Q63" s="551">
        <v>392.6</v>
      </c>
      <c r="R63" s="551">
        <v>0</v>
      </c>
    </row>
    <row r="64" spans="14:18">
      <c r="N64" s="66"/>
      <c r="O64" s="566">
        <v>36130</v>
      </c>
      <c r="P64" s="546" t="s">
        <v>191</v>
      </c>
      <c r="Q64" s="551">
        <v>535.1</v>
      </c>
      <c r="R64" s="551">
        <v>0</v>
      </c>
    </row>
    <row r="65" spans="14:18">
      <c r="N65" s="66"/>
      <c r="O65" s="566">
        <v>36161</v>
      </c>
      <c r="P65" s="546" t="s">
        <v>180</v>
      </c>
      <c r="Q65" s="552">
        <v>749.8</v>
      </c>
      <c r="R65" s="552">
        <v>0</v>
      </c>
    </row>
    <row r="66" spans="14:18">
      <c r="N66" s="66"/>
      <c r="O66" s="566">
        <v>36192</v>
      </c>
      <c r="P66" s="546" t="s">
        <v>181</v>
      </c>
      <c r="Q66" s="552">
        <v>548.1</v>
      </c>
      <c r="R66" s="552">
        <v>0</v>
      </c>
    </row>
    <row r="67" spans="14:18">
      <c r="N67" s="66"/>
      <c r="O67" s="566">
        <v>36220</v>
      </c>
      <c r="P67" s="546" t="s">
        <v>182</v>
      </c>
      <c r="Q67" s="552">
        <v>550.6</v>
      </c>
      <c r="R67" s="552">
        <v>0</v>
      </c>
    </row>
    <row r="68" spans="14:18">
      <c r="N68" s="66"/>
      <c r="O68" s="566">
        <v>36251</v>
      </c>
      <c r="P68" s="546" t="s">
        <v>183</v>
      </c>
      <c r="Q68" s="552">
        <v>296.7</v>
      </c>
      <c r="R68" s="552">
        <v>0</v>
      </c>
    </row>
    <row r="69" spans="14:18">
      <c r="N69" s="66"/>
      <c r="O69" s="566">
        <v>36281</v>
      </c>
      <c r="P69" s="546" t="s">
        <v>184</v>
      </c>
      <c r="Q69" s="552">
        <v>97.1</v>
      </c>
      <c r="R69" s="552">
        <v>19.399999999999999</v>
      </c>
    </row>
    <row r="70" spans="14:18">
      <c r="N70" s="66"/>
      <c r="O70" s="566">
        <v>36312</v>
      </c>
      <c r="P70" s="546" t="s">
        <v>185</v>
      </c>
      <c r="Q70" s="552">
        <v>25</v>
      </c>
      <c r="R70" s="552">
        <v>96</v>
      </c>
    </row>
    <row r="71" spans="14:18">
      <c r="N71" s="66"/>
      <c r="O71" s="566">
        <v>36342</v>
      </c>
      <c r="P71" s="546" t="s">
        <v>186</v>
      </c>
      <c r="Q71" s="552">
        <v>0</v>
      </c>
      <c r="R71" s="552">
        <v>196.5</v>
      </c>
    </row>
    <row r="72" spans="14:18">
      <c r="N72" s="66"/>
      <c r="O72" s="566">
        <v>36373</v>
      </c>
      <c r="P72" s="546" t="s">
        <v>187</v>
      </c>
      <c r="Q72" s="552">
        <v>8.4</v>
      </c>
      <c r="R72" s="552">
        <v>79.099999999999994</v>
      </c>
    </row>
    <row r="73" spans="14:18">
      <c r="N73" s="66"/>
      <c r="O73" s="566">
        <v>36404</v>
      </c>
      <c r="P73" s="546" t="s">
        <v>188</v>
      </c>
      <c r="Q73" s="552">
        <v>49.3</v>
      </c>
      <c r="R73" s="552">
        <v>48.9</v>
      </c>
    </row>
    <row r="74" spans="14:18">
      <c r="N74" s="66"/>
      <c r="O74" s="566">
        <v>36434</v>
      </c>
      <c r="P74" s="546" t="s">
        <v>189</v>
      </c>
      <c r="Q74" s="552">
        <v>262.60000000000002</v>
      </c>
      <c r="R74" s="552">
        <v>0</v>
      </c>
    </row>
    <row r="75" spans="14:18">
      <c r="N75" s="66"/>
      <c r="O75" s="566">
        <v>36465</v>
      </c>
      <c r="P75" s="546" t="s">
        <v>190</v>
      </c>
      <c r="Q75" s="552">
        <v>367.5</v>
      </c>
      <c r="R75" s="552">
        <v>0</v>
      </c>
    </row>
    <row r="76" spans="14:18">
      <c r="N76" s="66"/>
      <c r="O76" s="566">
        <v>36495</v>
      </c>
      <c r="P76" s="546" t="s">
        <v>191</v>
      </c>
      <c r="Q76" s="552">
        <v>579.29999999999995</v>
      </c>
      <c r="R76" s="552">
        <v>0</v>
      </c>
    </row>
    <row r="77" spans="14:18">
      <c r="N77" s="66"/>
      <c r="O77" s="566">
        <v>36526</v>
      </c>
      <c r="P77" s="546" t="s">
        <v>180</v>
      </c>
      <c r="Q77" s="553">
        <v>738.9</v>
      </c>
      <c r="R77" s="553">
        <v>0</v>
      </c>
    </row>
    <row r="78" spans="14:18">
      <c r="N78" s="66"/>
      <c r="O78" s="566">
        <v>36557</v>
      </c>
      <c r="P78" s="546" t="s">
        <v>181</v>
      </c>
      <c r="Q78" s="553">
        <v>612.70000000000005</v>
      </c>
      <c r="R78" s="553">
        <v>0</v>
      </c>
    </row>
    <row r="79" spans="14:18">
      <c r="N79" s="66"/>
      <c r="O79" s="566">
        <v>36586</v>
      </c>
      <c r="P79" s="546" t="s">
        <v>182</v>
      </c>
      <c r="Q79" s="553">
        <v>418.6</v>
      </c>
      <c r="R79" s="553">
        <v>0</v>
      </c>
    </row>
    <row r="80" spans="14:18">
      <c r="N80" s="66"/>
      <c r="O80" s="566">
        <v>36617</v>
      </c>
      <c r="P80" s="546" t="s">
        <v>183</v>
      </c>
      <c r="Q80" s="553">
        <v>339.2</v>
      </c>
      <c r="R80" s="553">
        <v>0</v>
      </c>
    </row>
    <row r="81" spans="14:18">
      <c r="N81" s="66"/>
      <c r="O81" s="566">
        <v>36647</v>
      </c>
      <c r="P81" s="546" t="s">
        <v>184</v>
      </c>
      <c r="Q81" s="553">
        <v>139.6</v>
      </c>
      <c r="R81" s="553">
        <v>23.7</v>
      </c>
    </row>
    <row r="82" spans="14:18">
      <c r="N82" s="66"/>
      <c r="O82" s="566">
        <v>36678</v>
      </c>
      <c r="P82" s="546" t="s">
        <v>185</v>
      </c>
      <c r="Q82" s="553">
        <v>34.5</v>
      </c>
      <c r="R82" s="553">
        <v>41.1</v>
      </c>
    </row>
    <row r="83" spans="14:18">
      <c r="N83" s="66"/>
      <c r="O83" s="566">
        <v>36708</v>
      </c>
      <c r="P83" s="546" t="s">
        <v>186</v>
      </c>
      <c r="Q83" s="553">
        <v>6.6</v>
      </c>
      <c r="R83" s="553">
        <v>71.8</v>
      </c>
    </row>
    <row r="84" spans="14:18">
      <c r="N84" s="66"/>
      <c r="O84" s="566">
        <v>36739</v>
      </c>
      <c r="P84" s="546" t="s">
        <v>187</v>
      </c>
      <c r="Q84" s="553">
        <v>11.5</v>
      </c>
      <c r="R84" s="553">
        <v>92.5</v>
      </c>
    </row>
    <row r="85" spans="14:18">
      <c r="N85" s="66"/>
      <c r="O85" s="566">
        <v>36770</v>
      </c>
      <c r="P85" s="546" t="s">
        <v>188</v>
      </c>
      <c r="Q85" s="553">
        <v>99.5</v>
      </c>
      <c r="R85" s="553">
        <v>35.200000000000003</v>
      </c>
    </row>
    <row r="86" spans="14:18">
      <c r="N86" s="66"/>
      <c r="O86" s="566">
        <v>36800</v>
      </c>
      <c r="P86" s="546" t="s">
        <v>189</v>
      </c>
      <c r="Q86" s="553">
        <v>212.7</v>
      </c>
      <c r="R86" s="553">
        <v>1.2</v>
      </c>
    </row>
    <row r="87" spans="14:18">
      <c r="N87" s="66"/>
      <c r="O87" s="566">
        <v>36831</v>
      </c>
      <c r="P87" s="546" t="s">
        <v>190</v>
      </c>
      <c r="Q87" s="553">
        <v>432</v>
      </c>
      <c r="R87" s="553">
        <v>0</v>
      </c>
    </row>
    <row r="88" spans="14:18">
      <c r="N88" s="66"/>
      <c r="O88" s="566">
        <v>36861</v>
      </c>
      <c r="P88" s="546" t="s">
        <v>191</v>
      </c>
      <c r="Q88" s="553">
        <v>780.3</v>
      </c>
      <c r="R88" s="553">
        <v>0</v>
      </c>
    </row>
    <row r="89" spans="14:18">
      <c r="N89" s="66"/>
      <c r="O89" s="566">
        <v>36892</v>
      </c>
      <c r="P89" s="546" t="s">
        <v>180</v>
      </c>
      <c r="Q89" s="554">
        <v>684.9</v>
      </c>
      <c r="R89" s="554">
        <v>0</v>
      </c>
    </row>
    <row r="90" spans="14:18">
      <c r="N90" s="66"/>
      <c r="O90" s="566">
        <v>36923</v>
      </c>
      <c r="P90" s="546" t="s">
        <v>181</v>
      </c>
      <c r="Q90" s="554">
        <v>587.6</v>
      </c>
      <c r="R90" s="554">
        <v>0</v>
      </c>
    </row>
    <row r="91" spans="14:18">
      <c r="N91" s="66"/>
      <c r="O91" s="566">
        <v>36951</v>
      </c>
      <c r="P91" s="546" t="s">
        <v>182</v>
      </c>
      <c r="Q91" s="554">
        <v>566.6</v>
      </c>
      <c r="R91" s="554">
        <v>0</v>
      </c>
    </row>
    <row r="92" spans="14:18">
      <c r="N92" s="66"/>
      <c r="O92" s="566">
        <v>36982</v>
      </c>
      <c r="P92" s="546" t="s">
        <v>183</v>
      </c>
      <c r="Q92" s="554">
        <v>293.8</v>
      </c>
      <c r="R92" s="554">
        <v>1.4</v>
      </c>
    </row>
    <row r="93" spans="14:18">
      <c r="N93" s="66"/>
      <c r="O93" s="566">
        <v>37012</v>
      </c>
      <c r="P93" s="546" t="s">
        <v>184</v>
      </c>
      <c r="Q93" s="554">
        <v>111.5</v>
      </c>
      <c r="R93" s="554">
        <v>12.2</v>
      </c>
    </row>
    <row r="94" spans="14:18">
      <c r="N94" s="66"/>
      <c r="O94" s="566">
        <v>37043</v>
      </c>
      <c r="P94" s="546" t="s">
        <v>185</v>
      </c>
      <c r="Q94" s="554">
        <v>29.8</v>
      </c>
      <c r="R94" s="554">
        <v>79.7</v>
      </c>
    </row>
    <row r="95" spans="14:18">
      <c r="N95" s="66"/>
      <c r="O95" s="566">
        <v>37073</v>
      </c>
      <c r="P95" s="546" t="s">
        <v>186</v>
      </c>
      <c r="Q95" s="554">
        <v>9.3000000000000007</v>
      </c>
      <c r="R95" s="554">
        <v>100.9</v>
      </c>
    </row>
    <row r="96" spans="14:18">
      <c r="N96" s="66"/>
      <c r="O96" s="566">
        <v>37104</v>
      </c>
      <c r="P96" s="546" t="s">
        <v>187</v>
      </c>
      <c r="Q96" s="554">
        <v>0</v>
      </c>
      <c r="R96" s="554">
        <v>160</v>
      </c>
    </row>
    <row r="97" spans="14:18">
      <c r="N97" s="66"/>
      <c r="O97" s="566">
        <v>37135</v>
      </c>
      <c r="P97" s="546" t="s">
        <v>188</v>
      </c>
      <c r="Q97" s="554">
        <v>73.599999999999994</v>
      </c>
      <c r="R97" s="554">
        <v>35.700000000000003</v>
      </c>
    </row>
    <row r="98" spans="14:18">
      <c r="N98" s="66"/>
      <c r="O98" s="566">
        <v>37165</v>
      </c>
      <c r="P98" s="546" t="s">
        <v>189</v>
      </c>
      <c r="Q98" s="554">
        <v>232.5</v>
      </c>
      <c r="R98" s="554">
        <v>2</v>
      </c>
    </row>
    <row r="99" spans="14:18">
      <c r="N99" s="66"/>
      <c r="O99" s="566">
        <v>37196</v>
      </c>
      <c r="P99" s="546" t="s">
        <v>190</v>
      </c>
      <c r="Q99" s="554">
        <v>325.8</v>
      </c>
      <c r="R99" s="554">
        <v>0</v>
      </c>
    </row>
    <row r="100" spans="14:18">
      <c r="N100" s="66"/>
      <c r="O100" s="566">
        <v>37226</v>
      </c>
      <c r="P100" s="546" t="s">
        <v>191</v>
      </c>
      <c r="Q100" s="554">
        <v>505</v>
      </c>
      <c r="R100" s="554">
        <v>0</v>
      </c>
    </row>
    <row r="101" spans="14:18">
      <c r="N101" s="66"/>
      <c r="O101" s="566">
        <v>37257</v>
      </c>
      <c r="P101" s="546" t="s">
        <v>180</v>
      </c>
      <c r="Q101" s="555">
        <v>572.20000000000005</v>
      </c>
      <c r="R101" s="555">
        <v>0</v>
      </c>
    </row>
    <row r="102" spans="14:18">
      <c r="N102" s="66"/>
      <c r="O102" s="566">
        <v>37288</v>
      </c>
      <c r="P102" s="546" t="s">
        <v>181</v>
      </c>
      <c r="Q102" s="555">
        <v>540.20000000000005</v>
      </c>
      <c r="R102" s="555">
        <v>0</v>
      </c>
    </row>
    <row r="103" spans="14:18">
      <c r="N103" s="66"/>
      <c r="O103" s="566">
        <v>37316</v>
      </c>
      <c r="P103" s="546" t="s">
        <v>182</v>
      </c>
      <c r="Q103" s="555">
        <v>545.6</v>
      </c>
      <c r="R103" s="555">
        <v>0</v>
      </c>
    </row>
    <row r="104" spans="14:18">
      <c r="N104" s="66"/>
      <c r="O104" s="566">
        <v>37347</v>
      </c>
      <c r="P104" s="546" t="s">
        <v>183</v>
      </c>
      <c r="Q104" s="555">
        <v>329.5</v>
      </c>
      <c r="R104" s="555">
        <v>8.3000000000000007</v>
      </c>
    </row>
    <row r="105" spans="14:18">
      <c r="N105" s="66"/>
      <c r="O105" s="566">
        <v>37377</v>
      </c>
      <c r="P105" s="546" t="s">
        <v>184</v>
      </c>
      <c r="Q105" s="555">
        <v>227.5</v>
      </c>
      <c r="R105" s="555">
        <v>7.8</v>
      </c>
    </row>
    <row r="106" spans="14:18">
      <c r="N106" s="66"/>
      <c r="O106" s="566">
        <v>37408</v>
      </c>
      <c r="P106" s="546" t="s">
        <v>185</v>
      </c>
      <c r="Q106" s="555">
        <v>36.200000000000003</v>
      </c>
      <c r="R106" s="555">
        <v>70</v>
      </c>
    </row>
    <row r="107" spans="14:18">
      <c r="N107" s="66"/>
      <c r="O107" s="566">
        <v>37438</v>
      </c>
      <c r="P107" s="546" t="s">
        <v>186</v>
      </c>
      <c r="Q107" s="555">
        <v>0</v>
      </c>
      <c r="R107" s="555">
        <v>192.4</v>
      </c>
    </row>
    <row r="108" spans="14:18">
      <c r="N108" s="66"/>
      <c r="O108" s="566">
        <v>37469</v>
      </c>
      <c r="P108" s="546" t="s">
        <v>187</v>
      </c>
      <c r="Q108" s="555">
        <v>0.2</v>
      </c>
      <c r="R108" s="555">
        <v>142.69999999999999</v>
      </c>
    </row>
    <row r="109" spans="14:18">
      <c r="N109" s="66"/>
      <c r="O109" s="566">
        <v>37500</v>
      </c>
      <c r="P109" s="546" t="s">
        <v>188</v>
      </c>
      <c r="Q109" s="555">
        <v>21.8</v>
      </c>
      <c r="R109" s="555">
        <v>87.6</v>
      </c>
    </row>
    <row r="110" spans="14:18">
      <c r="N110" s="66"/>
      <c r="O110" s="566">
        <v>37530</v>
      </c>
      <c r="P110" s="546" t="s">
        <v>189</v>
      </c>
      <c r="Q110" s="555">
        <v>292.2</v>
      </c>
      <c r="R110" s="555">
        <v>10</v>
      </c>
    </row>
    <row r="111" spans="14:18">
      <c r="N111" s="66"/>
      <c r="O111" s="566">
        <v>37561</v>
      </c>
      <c r="P111" s="546" t="s">
        <v>190</v>
      </c>
      <c r="Q111" s="555">
        <v>445</v>
      </c>
      <c r="R111" s="555">
        <v>0</v>
      </c>
    </row>
    <row r="112" spans="14:18">
      <c r="N112" s="66"/>
      <c r="O112" s="566">
        <v>37591</v>
      </c>
      <c r="P112" s="546" t="s">
        <v>191</v>
      </c>
      <c r="Q112" s="555">
        <v>619.4</v>
      </c>
      <c r="R112" s="555">
        <v>0</v>
      </c>
    </row>
    <row r="113" spans="14:18">
      <c r="N113" s="66"/>
      <c r="O113" s="566">
        <v>37622</v>
      </c>
      <c r="P113" s="546" t="s">
        <v>180</v>
      </c>
      <c r="Q113" s="556">
        <v>814.5</v>
      </c>
      <c r="R113" s="556">
        <v>0</v>
      </c>
    </row>
    <row r="114" spans="14:18">
      <c r="N114" s="66"/>
      <c r="O114" s="566">
        <v>37653</v>
      </c>
      <c r="P114" s="546" t="s">
        <v>181</v>
      </c>
      <c r="Q114" s="556">
        <v>699</v>
      </c>
      <c r="R114" s="556">
        <v>0</v>
      </c>
    </row>
    <row r="115" spans="14:18">
      <c r="N115" s="66"/>
      <c r="O115" s="566">
        <v>37681</v>
      </c>
      <c r="P115" s="546" t="s">
        <v>182</v>
      </c>
      <c r="Q115" s="556">
        <v>581.1</v>
      </c>
      <c r="R115" s="556">
        <v>0</v>
      </c>
    </row>
    <row r="116" spans="14:18">
      <c r="N116" s="66"/>
      <c r="O116" s="566">
        <v>37712</v>
      </c>
      <c r="P116" s="546" t="s">
        <v>183</v>
      </c>
      <c r="Q116" s="556">
        <v>372.5</v>
      </c>
      <c r="R116" s="556">
        <v>2.4</v>
      </c>
    </row>
    <row r="117" spans="14:18">
      <c r="N117" s="66"/>
      <c r="O117" s="566">
        <v>37742</v>
      </c>
      <c r="P117" s="546" t="s">
        <v>184</v>
      </c>
      <c r="Q117" s="556">
        <v>177.9</v>
      </c>
      <c r="R117" s="556">
        <v>0</v>
      </c>
    </row>
    <row r="118" spans="14:18">
      <c r="N118" s="66"/>
      <c r="O118" s="566">
        <v>37773</v>
      </c>
      <c r="P118" s="546" t="s">
        <v>185</v>
      </c>
      <c r="Q118" s="556">
        <v>43.4</v>
      </c>
      <c r="R118" s="556">
        <v>52.9</v>
      </c>
    </row>
    <row r="119" spans="14:18">
      <c r="N119" s="66"/>
      <c r="O119" s="566">
        <v>37803</v>
      </c>
      <c r="P119" s="546" t="s">
        <v>186</v>
      </c>
      <c r="Q119" s="556">
        <v>0.2</v>
      </c>
      <c r="R119" s="556">
        <v>118.3</v>
      </c>
    </row>
    <row r="120" spans="14:18">
      <c r="N120" s="66"/>
      <c r="O120" s="566">
        <v>37834</v>
      </c>
      <c r="P120" s="546" t="s">
        <v>187</v>
      </c>
      <c r="Q120" s="556">
        <v>2</v>
      </c>
      <c r="R120" s="556">
        <v>128</v>
      </c>
    </row>
    <row r="121" spans="14:18">
      <c r="N121" s="66"/>
      <c r="O121" s="566">
        <v>37865</v>
      </c>
      <c r="P121" s="546" t="s">
        <v>188</v>
      </c>
      <c r="Q121" s="556">
        <v>54.9</v>
      </c>
      <c r="R121" s="556">
        <v>24</v>
      </c>
    </row>
    <row r="122" spans="14:18">
      <c r="N122" s="66"/>
      <c r="O122" s="566">
        <v>37895</v>
      </c>
      <c r="P122" s="546" t="s">
        <v>189</v>
      </c>
      <c r="Q122" s="556">
        <v>276</v>
      </c>
      <c r="R122" s="556">
        <v>0</v>
      </c>
    </row>
    <row r="123" spans="14:18">
      <c r="N123" s="66"/>
      <c r="O123" s="566">
        <v>37926</v>
      </c>
      <c r="P123" s="546" t="s">
        <v>190</v>
      </c>
      <c r="Q123" s="556">
        <v>398.5</v>
      </c>
      <c r="R123" s="556">
        <v>0</v>
      </c>
    </row>
    <row r="124" spans="14:18">
      <c r="N124" s="66"/>
      <c r="O124" s="566">
        <v>37956</v>
      </c>
      <c r="P124" s="546" t="s">
        <v>191</v>
      </c>
      <c r="Q124" s="556">
        <v>561.5</v>
      </c>
      <c r="R124" s="556">
        <v>0</v>
      </c>
    </row>
    <row r="125" spans="14:18">
      <c r="N125" s="66"/>
      <c r="O125" s="566">
        <v>37987</v>
      </c>
      <c r="P125" s="546" t="s">
        <v>180</v>
      </c>
      <c r="Q125" s="557">
        <v>849.1</v>
      </c>
      <c r="R125" s="557">
        <v>0</v>
      </c>
    </row>
    <row r="126" spans="14:18">
      <c r="N126" s="66"/>
      <c r="O126" s="566">
        <v>38018</v>
      </c>
      <c r="P126" s="546" t="s">
        <v>181</v>
      </c>
      <c r="Q126" s="557">
        <v>631.70000000000005</v>
      </c>
      <c r="R126" s="557">
        <v>0</v>
      </c>
    </row>
    <row r="127" spans="14:18">
      <c r="N127" s="66"/>
      <c r="O127" s="566">
        <v>38047</v>
      </c>
      <c r="P127" s="546" t="s">
        <v>182</v>
      </c>
      <c r="Q127" s="557">
        <v>487.3</v>
      </c>
      <c r="R127" s="557">
        <v>0</v>
      </c>
    </row>
    <row r="128" spans="14:18">
      <c r="N128" s="66"/>
      <c r="O128" s="566">
        <v>38078</v>
      </c>
      <c r="P128" s="546" t="s">
        <v>183</v>
      </c>
      <c r="Q128" s="557">
        <v>331.5</v>
      </c>
      <c r="R128" s="557">
        <v>0</v>
      </c>
    </row>
    <row r="129" spans="14:18">
      <c r="N129" s="66"/>
      <c r="O129" s="566">
        <v>38108</v>
      </c>
      <c r="P129" s="546" t="s">
        <v>184</v>
      </c>
      <c r="Q129" s="557">
        <v>158.9</v>
      </c>
      <c r="R129" s="557">
        <v>8.6</v>
      </c>
    </row>
    <row r="130" spans="14:18">
      <c r="N130" s="66"/>
      <c r="O130" s="566">
        <v>38139</v>
      </c>
      <c r="P130" s="546" t="s">
        <v>185</v>
      </c>
      <c r="Q130" s="557">
        <v>44.2</v>
      </c>
      <c r="R130" s="557">
        <v>31.6</v>
      </c>
    </row>
    <row r="131" spans="14:18">
      <c r="N131" s="66"/>
      <c r="O131" s="566">
        <v>38169</v>
      </c>
      <c r="P131" s="546" t="s">
        <v>186</v>
      </c>
      <c r="Q131" s="557">
        <v>3.6</v>
      </c>
      <c r="R131" s="557">
        <v>86.4</v>
      </c>
    </row>
    <row r="132" spans="14:18">
      <c r="N132" s="66"/>
      <c r="O132" s="566">
        <v>38200</v>
      </c>
      <c r="P132" s="546" t="s">
        <v>187</v>
      </c>
      <c r="Q132" s="557">
        <v>12.8</v>
      </c>
      <c r="R132" s="557">
        <v>59.6</v>
      </c>
    </row>
    <row r="133" spans="14:18">
      <c r="N133" s="66"/>
      <c r="O133" s="566">
        <v>38231</v>
      </c>
      <c r="P133" s="546" t="s">
        <v>188</v>
      </c>
      <c r="Q133" s="557">
        <v>30</v>
      </c>
      <c r="R133" s="557">
        <v>41.2</v>
      </c>
    </row>
    <row r="134" spans="14:18">
      <c r="N134" s="66"/>
      <c r="O134" s="566">
        <v>38261</v>
      </c>
      <c r="P134" s="546" t="s">
        <v>189</v>
      </c>
      <c r="Q134" s="557">
        <v>226.3</v>
      </c>
      <c r="R134" s="557">
        <v>1.5</v>
      </c>
    </row>
    <row r="135" spans="14:18">
      <c r="N135" s="66"/>
      <c r="O135" s="566">
        <v>38292</v>
      </c>
      <c r="P135" s="546" t="s">
        <v>190</v>
      </c>
      <c r="Q135" s="557">
        <v>379.1</v>
      </c>
      <c r="R135" s="557">
        <v>0</v>
      </c>
    </row>
    <row r="136" spans="14:18">
      <c r="N136" s="66"/>
      <c r="O136" s="566">
        <v>38322</v>
      </c>
      <c r="P136" s="546" t="s">
        <v>191</v>
      </c>
      <c r="Q136" s="557">
        <v>643.4</v>
      </c>
      <c r="R136" s="557">
        <v>0</v>
      </c>
    </row>
    <row r="137" spans="14:18">
      <c r="N137" s="66"/>
      <c r="O137" s="566">
        <v>38353</v>
      </c>
      <c r="P137" s="546" t="s">
        <v>180</v>
      </c>
      <c r="Q137" s="558">
        <v>770</v>
      </c>
      <c r="R137" s="558">
        <v>0</v>
      </c>
    </row>
    <row r="138" spans="14:18">
      <c r="N138" s="66"/>
      <c r="O138" s="566">
        <v>38384</v>
      </c>
      <c r="P138" s="546" t="s">
        <v>181</v>
      </c>
      <c r="Q138" s="558">
        <v>616.4</v>
      </c>
      <c r="R138" s="558">
        <v>0</v>
      </c>
    </row>
    <row r="139" spans="14:18">
      <c r="N139" s="66"/>
      <c r="O139" s="566">
        <v>38412</v>
      </c>
      <c r="P139" s="546" t="s">
        <v>182</v>
      </c>
      <c r="Q139" s="558">
        <v>608.6</v>
      </c>
      <c r="R139" s="558">
        <v>0</v>
      </c>
    </row>
    <row r="140" spans="14:18">
      <c r="N140" s="66"/>
      <c r="O140" s="566">
        <v>38443</v>
      </c>
      <c r="P140" s="546" t="s">
        <v>183</v>
      </c>
      <c r="Q140" s="558">
        <v>306.8</v>
      </c>
      <c r="R140" s="558">
        <v>0</v>
      </c>
    </row>
    <row r="141" spans="14:18">
      <c r="N141" s="66"/>
      <c r="O141" s="566">
        <v>38473</v>
      </c>
      <c r="P141" s="546" t="s">
        <v>184</v>
      </c>
      <c r="Q141" s="558">
        <v>189.4</v>
      </c>
      <c r="R141" s="558">
        <v>0.8</v>
      </c>
    </row>
    <row r="142" spans="14:18">
      <c r="N142" s="66"/>
      <c r="O142" s="566">
        <v>38504</v>
      </c>
      <c r="P142" s="546" t="s">
        <v>185</v>
      </c>
      <c r="Q142" s="558">
        <v>8.9</v>
      </c>
      <c r="R142" s="558">
        <v>146.30000000000001</v>
      </c>
    </row>
    <row r="143" spans="14:18">
      <c r="N143" s="66"/>
      <c r="O143" s="566">
        <v>38534</v>
      </c>
      <c r="P143" s="546" t="s">
        <v>186</v>
      </c>
      <c r="Q143" s="558">
        <v>0</v>
      </c>
      <c r="R143" s="558">
        <v>188.7</v>
      </c>
    </row>
    <row r="144" spans="14:18">
      <c r="N144" s="66"/>
      <c r="O144" s="566">
        <v>38565</v>
      </c>
      <c r="P144" s="546" t="s">
        <v>187</v>
      </c>
      <c r="Q144" s="558">
        <v>0.2</v>
      </c>
      <c r="R144" s="558">
        <v>140.69999999999999</v>
      </c>
    </row>
    <row r="145" spans="14:18">
      <c r="N145" s="66"/>
      <c r="O145" s="566">
        <v>38596</v>
      </c>
      <c r="P145" s="546" t="s">
        <v>188</v>
      </c>
      <c r="Q145" s="558">
        <v>22.6</v>
      </c>
      <c r="R145" s="558">
        <v>52.1</v>
      </c>
    </row>
    <row r="146" spans="14:18">
      <c r="N146" s="66"/>
      <c r="O146" s="566">
        <v>38626</v>
      </c>
      <c r="P146" s="546" t="s">
        <v>189</v>
      </c>
      <c r="Q146" s="558">
        <v>220.2</v>
      </c>
      <c r="R146" s="558">
        <v>7.6</v>
      </c>
    </row>
    <row r="147" spans="14:18">
      <c r="N147" s="66"/>
      <c r="O147" s="566">
        <v>38657</v>
      </c>
      <c r="P147" s="546" t="s">
        <v>190</v>
      </c>
      <c r="Q147" s="558">
        <v>388.4</v>
      </c>
      <c r="R147" s="558">
        <v>0</v>
      </c>
    </row>
    <row r="148" spans="14:18">
      <c r="N148" s="66"/>
      <c r="O148" s="566">
        <v>38687</v>
      </c>
      <c r="P148" s="546" t="s">
        <v>191</v>
      </c>
      <c r="Q148" s="558">
        <v>665.3</v>
      </c>
      <c r="R148" s="558">
        <v>0</v>
      </c>
    </row>
    <row r="149" spans="14:18">
      <c r="N149" s="66"/>
      <c r="O149" s="566">
        <v>38718</v>
      </c>
      <c r="P149" s="546" t="s">
        <v>180</v>
      </c>
      <c r="Q149" s="559">
        <v>551.79999999999995</v>
      </c>
      <c r="R149" s="559">
        <v>0</v>
      </c>
    </row>
    <row r="150" spans="14:18">
      <c r="N150" s="66"/>
      <c r="O150" s="566">
        <v>38749</v>
      </c>
      <c r="P150" s="546" t="s">
        <v>181</v>
      </c>
      <c r="Q150" s="559">
        <v>604.29999999999995</v>
      </c>
      <c r="R150" s="559">
        <v>0</v>
      </c>
    </row>
    <row r="151" spans="14:18">
      <c r="N151" s="66"/>
      <c r="O151" s="566">
        <v>38777</v>
      </c>
      <c r="P151" s="546" t="s">
        <v>182</v>
      </c>
      <c r="Q151" s="559">
        <v>516.6</v>
      </c>
      <c r="R151" s="559">
        <v>0</v>
      </c>
    </row>
    <row r="152" spans="14:18">
      <c r="N152" s="66"/>
      <c r="O152" s="566">
        <v>38808</v>
      </c>
      <c r="P152" s="546" t="s">
        <v>183</v>
      </c>
      <c r="Q152" s="559">
        <v>293.3</v>
      </c>
      <c r="R152" s="559">
        <v>0</v>
      </c>
    </row>
    <row r="153" spans="14:18">
      <c r="N153" s="66"/>
      <c r="O153" s="566">
        <v>38838</v>
      </c>
      <c r="P153" s="546" t="s">
        <v>184</v>
      </c>
      <c r="Q153" s="559">
        <v>136.9</v>
      </c>
      <c r="R153" s="559">
        <v>26</v>
      </c>
    </row>
    <row r="154" spans="14:18">
      <c r="N154" s="66"/>
      <c r="O154" s="566">
        <v>38869</v>
      </c>
      <c r="P154" s="546" t="s">
        <v>185</v>
      </c>
      <c r="Q154" s="559">
        <v>19.5</v>
      </c>
      <c r="R154" s="559">
        <v>73.599999999999994</v>
      </c>
    </row>
    <row r="155" spans="14:18">
      <c r="N155" s="66"/>
      <c r="O155" s="566">
        <v>38899</v>
      </c>
      <c r="P155" s="546" t="s">
        <v>186</v>
      </c>
      <c r="Q155" s="559">
        <v>0</v>
      </c>
      <c r="R155" s="559">
        <v>167.3</v>
      </c>
    </row>
    <row r="156" spans="14:18">
      <c r="N156" s="66"/>
      <c r="O156" s="566">
        <v>38930</v>
      </c>
      <c r="P156" s="546" t="s">
        <v>187</v>
      </c>
      <c r="Q156" s="559">
        <v>4.2</v>
      </c>
      <c r="R156" s="559">
        <v>101.6</v>
      </c>
    </row>
    <row r="157" spans="14:18">
      <c r="N157" s="66"/>
      <c r="O157" s="566">
        <v>38961</v>
      </c>
      <c r="P157" s="546" t="s">
        <v>188</v>
      </c>
      <c r="Q157" s="559">
        <v>80.900000000000006</v>
      </c>
      <c r="R157" s="559">
        <v>12.9</v>
      </c>
    </row>
    <row r="158" spans="14:18">
      <c r="N158" s="66"/>
      <c r="O158" s="566">
        <v>38991</v>
      </c>
      <c r="P158" s="546" t="s">
        <v>189</v>
      </c>
      <c r="Q158" s="559">
        <v>288.3</v>
      </c>
      <c r="R158" s="559">
        <v>1.1000000000000001</v>
      </c>
    </row>
    <row r="159" spans="14:18">
      <c r="N159" s="66"/>
      <c r="O159" s="566">
        <v>39022</v>
      </c>
      <c r="P159" s="546" t="s">
        <v>190</v>
      </c>
      <c r="Q159" s="559">
        <v>382.2</v>
      </c>
      <c r="R159" s="559">
        <v>0</v>
      </c>
    </row>
    <row r="160" spans="14:18">
      <c r="N160" s="66"/>
      <c r="O160" s="566">
        <v>39052</v>
      </c>
      <c r="P160" s="546" t="s">
        <v>191</v>
      </c>
      <c r="Q160" s="559">
        <v>500.5</v>
      </c>
      <c r="R160" s="559">
        <v>0</v>
      </c>
    </row>
    <row r="161" spans="14:18">
      <c r="N161" s="66"/>
      <c r="O161" s="566">
        <v>39083</v>
      </c>
      <c r="P161" s="546" t="s">
        <v>180</v>
      </c>
      <c r="Q161" s="560">
        <v>647.1</v>
      </c>
      <c r="R161" s="560">
        <v>0</v>
      </c>
    </row>
    <row r="162" spans="14:18">
      <c r="N162" s="66"/>
      <c r="O162" s="566">
        <v>39114</v>
      </c>
      <c r="P162" s="546" t="s">
        <v>181</v>
      </c>
      <c r="Q162" s="560">
        <v>740.1</v>
      </c>
      <c r="R162" s="560">
        <v>0</v>
      </c>
    </row>
    <row r="163" spans="14:18">
      <c r="N163" s="66"/>
      <c r="O163" s="566">
        <v>39142</v>
      </c>
      <c r="P163" s="546" t="s">
        <v>182</v>
      </c>
      <c r="Q163" s="560">
        <v>546.70000000000005</v>
      </c>
      <c r="R163" s="560">
        <v>0</v>
      </c>
    </row>
    <row r="164" spans="14:18">
      <c r="N164" s="66"/>
      <c r="O164" s="566">
        <v>39173</v>
      </c>
      <c r="P164" s="546" t="s">
        <v>183</v>
      </c>
      <c r="Q164" s="560">
        <v>356.4</v>
      </c>
      <c r="R164" s="560">
        <v>0</v>
      </c>
    </row>
    <row r="165" spans="14:18">
      <c r="N165" s="66"/>
      <c r="O165" s="566">
        <v>39203</v>
      </c>
      <c r="P165" s="546" t="s">
        <v>184</v>
      </c>
      <c r="Q165" s="560">
        <v>136.4</v>
      </c>
      <c r="R165" s="560">
        <v>22.4</v>
      </c>
    </row>
    <row r="166" spans="14:18">
      <c r="N166" s="66"/>
      <c r="O166" s="566">
        <v>39234</v>
      </c>
      <c r="P166" s="546" t="s">
        <v>185</v>
      </c>
      <c r="Q166" s="560">
        <v>16.5</v>
      </c>
      <c r="R166" s="560">
        <v>99.2</v>
      </c>
    </row>
    <row r="167" spans="14:18">
      <c r="N167" s="66"/>
      <c r="O167" s="566">
        <v>39264</v>
      </c>
      <c r="P167" s="546" t="s">
        <v>186</v>
      </c>
      <c r="Q167" s="560">
        <v>3.2</v>
      </c>
      <c r="R167" s="560">
        <v>106.1</v>
      </c>
    </row>
    <row r="168" spans="14:18">
      <c r="N168" s="66"/>
      <c r="O168" s="566">
        <v>39295</v>
      </c>
      <c r="P168" s="546" t="s">
        <v>187</v>
      </c>
      <c r="Q168" s="560">
        <v>5.2</v>
      </c>
      <c r="R168" s="560">
        <v>141</v>
      </c>
    </row>
    <row r="169" spans="14:18">
      <c r="N169" s="66"/>
      <c r="O169" s="566">
        <v>39326</v>
      </c>
      <c r="P169" s="546" t="s">
        <v>188</v>
      </c>
      <c r="Q169" s="560">
        <v>36.9</v>
      </c>
      <c r="R169" s="560">
        <v>47.5</v>
      </c>
    </row>
    <row r="170" spans="14:18">
      <c r="N170" s="66"/>
      <c r="O170" s="566">
        <v>39356</v>
      </c>
      <c r="P170" s="546" t="s">
        <v>189</v>
      </c>
      <c r="Q170" s="560">
        <v>137.69999999999999</v>
      </c>
      <c r="R170" s="560">
        <v>19.8</v>
      </c>
    </row>
    <row r="171" spans="14:18">
      <c r="N171" s="66"/>
      <c r="O171" s="566">
        <v>39387</v>
      </c>
      <c r="P171" s="546" t="s">
        <v>190</v>
      </c>
      <c r="Q171" s="560">
        <v>462.5</v>
      </c>
      <c r="R171" s="560">
        <v>0</v>
      </c>
    </row>
    <row r="172" spans="14:18">
      <c r="N172" s="66"/>
      <c r="O172" s="566">
        <v>39417</v>
      </c>
      <c r="P172" s="546" t="s">
        <v>191</v>
      </c>
      <c r="Q172" s="560">
        <v>630.70000000000005</v>
      </c>
      <c r="R172" s="560">
        <v>0</v>
      </c>
    </row>
    <row r="173" spans="14:18">
      <c r="N173" s="66"/>
      <c r="O173" s="566">
        <v>39448</v>
      </c>
      <c r="P173" s="546" t="s">
        <v>180</v>
      </c>
      <c r="Q173" s="561">
        <v>623.5</v>
      </c>
      <c r="R173" s="561">
        <v>0</v>
      </c>
    </row>
    <row r="174" spans="14:18">
      <c r="N174" s="66"/>
      <c r="O174" s="566">
        <v>39479</v>
      </c>
      <c r="P174" s="546" t="s">
        <v>181</v>
      </c>
      <c r="Q174" s="561">
        <v>674.7</v>
      </c>
      <c r="R174" s="561">
        <v>0</v>
      </c>
    </row>
    <row r="175" spans="14:18">
      <c r="N175" s="66"/>
      <c r="O175" s="566">
        <v>39508</v>
      </c>
      <c r="P175" s="546" t="s">
        <v>182</v>
      </c>
      <c r="Q175" s="561">
        <v>610.20000000000005</v>
      </c>
      <c r="R175" s="561">
        <v>0</v>
      </c>
    </row>
    <row r="176" spans="14:18">
      <c r="N176" s="66"/>
      <c r="O176" s="566">
        <v>39539</v>
      </c>
      <c r="P176" s="546" t="s">
        <v>183</v>
      </c>
      <c r="Q176" s="561">
        <v>253.9</v>
      </c>
      <c r="R176" s="561">
        <v>0</v>
      </c>
    </row>
    <row r="177" spans="14:18">
      <c r="N177" s="66"/>
      <c r="O177" s="566">
        <v>39569</v>
      </c>
      <c r="P177" s="546" t="s">
        <v>184</v>
      </c>
      <c r="Q177" s="561">
        <v>193.5</v>
      </c>
      <c r="R177" s="561">
        <v>2.5</v>
      </c>
    </row>
    <row r="178" spans="14:18">
      <c r="N178" s="66"/>
      <c r="O178" s="566">
        <v>39600</v>
      </c>
      <c r="P178" s="546" t="s">
        <v>185</v>
      </c>
      <c r="Q178" s="561">
        <v>22.7</v>
      </c>
      <c r="R178" s="561">
        <v>71.5</v>
      </c>
    </row>
    <row r="179" spans="14:18">
      <c r="N179" s="66"/>
      <c r="O179" s="566">
        <v>39630</v>
      </c>
      <c r="P179" s="546" t="s">
        <v>186</v>
      </c>
      <c r="Q179" s="561">
        <v>1</v>
      </c>
      <c r="R179" s="561">
        <v>111</v>
      </c>
    </row>
    <row r="180" spans="14:18">
      <c r="N180" s="66"/>
      <c r="O180" s="566">
        <v>39661</v>
      </c>
      <c r="P180" s="546" t="s">
        <v>187</v>
      </c>
      <c r="Q180" s="561">
        <v>12.7</v>
      </c>
      <c r="R180" s="561">
        <v>64</v>
      </c>
    </row>
    <row r="181" spans="14:18">
      <c r="N181" s="66"/>
      <c r="O181" s="566">
        <v>39692</v>
      </c>
      <c r="P181" s="546" t="s">
        <v>188</v>
      </c>
      <c r="Q181" s="561">
        <v>59</v>
      </c>
      <c r="R181" s="561">
        <v>26.7</v>
      </c>
    </row>
    <row r="182" spans="14:18">
      <c r="N182" s="66"/>
      <c r="O182" s="566">
        <v>39722</v>
      </c>
      <c r="P182" s="546" t="s">
        <v>189</v>
      </c>
      <c r="Q182" s="561">
        <v>278.60000000000002</v>
      </c>
      <c r="R182" s="561">
        <v>0</v>
      </c>
    </row>
    <row r="183" spans="14:18">
      <c r="N183" s="66"/>
      <c r="O183" s="566">
        <v>39753</v>
      </c>
      <c r="P183" s="546" t="s">
        <v>190</v>
      </c>
      <c r="Q183" s="561">
        <v>451.6</v>
      </c>
      <c r="R183" s="561">
        <v>0</v>
      </c>
    </row>
    <row r="184" spans="14:18">
      <c r="N184" s="66"/>
      <c r="O184" s="566">
        <v>39783</v>
      </c>
      <c r="P184" s="546" t="s">
        <v>191</v>
      </c>
      <c r="Q184" s="561">
        <v>654.6</v>
      </c>
      <c r="R184" s="561">
        <v>0</v>
      </c>
    </row>
    <row r="185" spans="14:18">
      <c r="N185" s="66"/>
      <c r="O185" s="566">
        <v>39814</v>
      </c>
      <c r="P185" s="546" t="s">
        <v>180</v>
      </c>
      <c r="Q185" s="562">
        <v>830.2</v>
      </c>
      <c r="R185" s="562">
        <v>0</v>
      </c>
    </row>
    <row r="186" spans="14:18">
      <c r="N186" s="66"/>
      <c r="O186" s="566">
        <v>39845</v>
      </c>
      <c r="P186" s="546" t="s">
        <v>181</v>
      </c>
      <c r="Q186" s="562">
        <v>606.4</v>
      </c>
      <c r="R186" s="562">
        <v>0</v>
      </c>
    </row>
    <row r="187" spans="14:18">
      <c r="N187" s="66"/>
      <c r="O187" s="566">
        <v>39873</v>
      </c>
      <c r="P187" s="546" t="s">
        <v>182</v>
      </c>
      <c r="Q187" s="562">
        <v>533.79999999999995</v>
      </c>
      <c r="R187" s="562">
        <v>0</v>
      </c>
    </row>
    <row r="188" spans="14:18">
      <c r="N188" s="66"/>
      <c r="O188" s="566">
        <v>39904</v>
      </c>
      <c r="P188" s="546" t="s">
        <v>183</v>
      </c>
      <c r="Q188" s="562">
        <v>305.8</v>
      </c>
      <c r="R188" s="562">
        <v>1.2</v>
      </c>
    </row>
    <row r="189" spans="14:18">
      <c r="N189" s="66"/>
      <c r="O189" s="566">
        <v>39934</v>
      </c>
      <c r="P189" s="546" t="s">
        <v>184</v>
      </c>
      <c r="Q189" s="562">
        <v>158.80000000000001</v>
      </c>
      <c r="R189" s="562">
        <v>6.9</v>
      </c>
    </row>
    <row r="190" spans="14:18">
      <c r="N190" s="66"/>
      <c r="O190" s="566">
        <v>39965</v>
      </c>
      <c r="P190" s="546" t="s">
        <v>185</v>
      </c>
      <c r="Q190" s="562">
        <v>49.3</v>
      </c>
      <c r="R190" s="562">
        <v>34.200000000000003</v>
      </c>
    </row>
    <row r="191" spans="14:18">
      <c r="N191" s="66"/>
      <c r="O191" s="566">
        <v>39995</v>
      </c>
      <c r="P191" s="546" t="s">
        <v>186</v>
      </c>
      <c r="Q191" s="562">
        <v>6.2</v>
      </c>
      <c r="R191" s="562">
        <v>43.7</v>
      </c>
    </row>
    <row r="192" spans="14:18">
      <c r="N192" s="66"/>
      <c r="O192" s="566">
        <v>40026</v>
      </c>
      <c r="P192" s="546" t="s">
        <v>187</v>
      </c>
      <c r="Q192" s="562">
        <v>9.8000000000000007</v>
      </c>
      <c r="R192" s="562">
        <v>91</v>
      </c>
    </row>
    <row r="193" spans="14:18">
      <c r="N193" s="66"/>
      <c r="O193" s="566">
        <v>40057</v>
      </c>
      <c r="P193" s="546" t="s">
        <v>188</v>
      </c>
      <c r="Q193" s="562">
        <v>55.2</v>
      </c>
      <c r="R193" s="562">
        <v>20.9</v>
      </c>
    </row>
    <row r="194" spans="14:18">
      <c r="N194" s="66"/>
      <c r="O194" s="566">
        <v>40087</v>
      </c>
      <c r="P194" s="546" t="s">
        <v>189</v>
      </c>
      <c r="Q194" s="562">
        <v>287.8</v>
      </c>
      <c r="R194" s="562">
        <v>0</v>
      </c>
    </row>
    <row r="195" spans="14:18">
      <c r="N195" s="66"/>
      <c r="O195" s="566">
        <v>40118</v>
      </c>
      <c r="P195" s="546" t="s">
        <v>190</v>
      </c>
      <c r="Q195" s="562">
        <v>361.2</v>
      </c>
      <c r="R195" s="562">
        <v>0</v>
      </c>
    </row>
    <row r="196" spans="14:18">
      <c r="N196" s="66"/>
      <c r="O196" s="566">
        <v>40148</v>
      </c>
      <c r="P196" s="546" t="s">
        <v>191</v>
      </c>
      <c r="Q196" s="562">
        <v>631.29999999999995</v>
      </c>
      <c r="R196" s="562">
        <v>0</v>
      </c>
    </row>
    <row r="197" spans="14:18">
      <c r="N197" s="66"/>
      <c r="O197" s="566">
        <v>40179</v>
      </c>
      <c r="P197" s="546" t="s">
        <v>180</v>
      </c>
      <c r="Q197" s="563">
        <v>720</v>
      </c>
      <c r="R197" s="563">
        <v>0</v>
      </c>
    </row>
    <row r="198" spans="14:18">
      <c r="N198" s="66"/>
      <c r="O198" s="566">
        <v>40210</v>
      </c>
      <c r="P198" s="546" t="s">
        <v>181</v>
      </c>
      <c r="Q198" s="563">
        <v>598.29999999999995</v>
      </c>
      <c r="R198" s="563">
        <v>0</v>
      </c>
    </row>
    <row r="199" spans="14:18">
      <c r="N199" s="66"/>
      <c r="O199" s="566">
        <v>40238</v>
      </c>
      <c r="P199" s="546" t="s">
        <v>182</v>
      </c>
      <c r="Q199" s="563">
        <v>422.8</v>
      </c>
      <c r="R199" s="563">
        <v>0</v>
      </c>
    </row>
    <row r="200" spans="14:18">
      <c r="N200" s="66"/>
      <c r="O200" s="566">
        <v>40269</v>
      </c>
      <c r="P200" s="546" t="s">
        <v>183</v>
      </c>
      <c r="Q200" s="563">
        <v>225.1</v>
      </c>
      <c r="R200" s="563">
        <v>0</v>
      </c>
    </row>
    <row r="201" spans="14:18">
      <c r="N201" s="66"/>
      <c r="O201" s="566">
        <v>40299</v>
      </c>
      <c r="P201" s="546" t="s">
        <v>184</v>
      </c>
      <c r="Q201" s="563">
        <v>107.9</v>
      </c>
      <c r="R201" s="563">
        <v>45.7</v>
      </c>
    </row>
    <row r="202" spans="14:18">
      <c r="N202" s="66"/>
      <c r="O202" s="566">
        <v>40330</v>
      </c>
      <c r="P202" s="546" t="s">
        <v>185</v>
      </c>
      <c r="Q202" s="563">
        <v>21.7</v>
      </c>
      <c r="R202" s="563">
        <v>58.7</v>
      </c>
    </row>
    <row r="203" spans="14:18">
      <c r="N203" s="66"/>
      <c r="O203" s="566">
        <v>40360</v>
      </c>
      <c r="P203" s="546" t="s">
        <v>186</v>
      </c>
      <c r="Q203" s="563">
        <v>1.8</v>
      </c>
      <c r="R203" s="563">
        <v>164.9</v>
      </c>
    </row>
    <row r="204" spans="14:18">
      <c r="N204" s="66"/>
      <c r="O204" s="566">
        <v>40391</v>
      </c>
      <c r="P204" s="546" t="s">
        <v>187</v>
      </c>
      <c r="Q204" s="563">
        <v>2.1</v>
      </c>
      <c r="R204" s="563">
        <v>138.80000000000001</v>
      </c>
    </row>
    <row r="205" spans="14:18">
      <c r="N205" s="66"/>
      <c r="O205" s="566">
        <v>40422</v>
      </c>
      <c r="P205" s="546" t="s">
        <v>188</v>
      </c>
      <c r="Q205" s="563">
        <v>78.2</v>
      </c>
      <c r="R205" s="563">
        <v>31.5</v>
      </c>
    </row>
    <row r="206" spans="14:18">
      <c r="N206" s="66"/>
      <c r="O206" s="566">
        <v>40452</v>
      </c>
      <c r="P206" s="546" t="s">
        <v>189</v>
      </c>
      <c r="Q206" s="563">
        <v>241.6</v>
      </c>
      <c r="R206" s="563">
        <v>0</v>
      </c>
    </row>
    <row r="207" spans="14:18">
      <c r="N207" s="66"/>
      <c r="O207" s="566">
        <v>40483</v>
      </c>
      <c r="P207" s="546" t="s">
        <v>190</v>
      </c>
      <c r="Q207" s="563">
        <v>405.3</v>
      </c>
      <c r="R207" s="563">
        <v>0</v>
      </c>
    </row>
    <row r="208" spans="14:18">
      <c r="N208" s="66"/>
      <c r="O208" s="566">
        <v>40513</v>
      </c>
      <c r="P208" s="546" t="s">
        <v>191</v>
      </c>
      <c r="Q208" s="563">
        <v>676.2</v>
      </c>
      <c r="R208" s="563">
        <v>0</v>
      </c>
    </row>
    <row r="209" spans="14:18">
      <c r="N209" s="66"/>
      <c r="O209" s="566">
        <v>40544</v>
      </c>
      <c r="P209" s="546" t="s">
        <v>180</v>
      </c>
      <c r="Q209" s="564">
        <v>775.3</v>
      </c>
      <c r="R209" s="564">
        <v>0</v>
      </c>
    </row>
    <row r="210" spans="14:18">
      <c r="N210" s="66"/>
      <c r="O210" s="566">
        <v>40575</v>
      </c>
      <c r="P210" s="546" t="s">
        <v>181</v>
      </c>
      <c r="Q210" s="564">
        <v>654.20000000000005</v>
      </c>
      <c r="R210" s="564">
        <v>0</v>
      </c>
    </row>
    <row r="211" spans="14:18">
      <c r="N211" s="66"/>
      <c r="O211" s="566">
        <v>40603</v>
      </c>
      <c r="P211" s="546" t="s">
        <v>182</v>
      </c>
      <c r="Q211" s="564">
        <v>572.79999999999995</v>
      </c>
      <c r="R211" s="564">
        <v>0</v>
      </c>
    </row>
    <row r="212" spans="14:18">
      <c r="N212" s="66"/>
      <c r="O212" s="566">
        <v>40634</v>
      </c>
      <c r="P212" s="546" t="s">
        <v>183</v>
      </c>
      <c r="Q212" s="564">
        <v>332.3</v>
      </c>
      <c r="R212" s="564">
        <v>0</v>
      </c>
    </row>
    <row r="213" spans="14:18">
      <c r="N213" s="66"/>
      <c r="O213" s="566">
        <v>40664</v>
      </c>
      <c r="P213" s="546" t="s">
        <v>184</v>
      </c>
      <c r="Q213" s="564">
        <v>134.1</v>
      </c>
      <c r="R213" s="564">
        <v>13</v>
      </c>
    </row>
    <row r="214" spans="14:18">
      <c r="N214" s="66"/>
      <c r="O214" s="566">
        <v>40695</v>
      </c>
      <c r="P214" s="546" t="s">
        <v>185</v>
      </c>
      <c r="Q214" s="564">
        <v>19</v>
      </c>
      <c r="R214" s="564">
        <v>52.2</v>
      </c>
    </row>
    <row r="215" spans="14:18">
      <c r="N215" s="66"/>
      <c r="O215" s="566">
        <v>40725</v>
      </c>
      <c r="P215" s="546" t="s">
        <v>186</v>
      </c>
      <c r="Q215" s="564">
        <v>0</v>
      </c>
      <c r="R215" s="564">
        <v>198.6</v>
      </c>
    </row>
    <row r="216" spans="14:18">
      <c r="N216" s="66"/>
      <c r="O216" s="566">
        <v>40756</v>
      </c>
      <c r="P216" s="546" t="s">
        <v>187</v>
      </c>
      <c r="Q216" s="564">
        <v>0</v>
      </c>
      <c r="R216" s="564">
        <v>122.2</v>
      </c>
    </row>
    <row r="217" spans="14:18">
      <c r="N217" s="66"/>
      <c r="O217" s="566">
        <v>40787</v>
      </c>
      <c r="P217" s="546" t="s">
        <v>188</v>
      </c>
      <c r="Q217" s="564">
        <v>48.2</v>
      </c>
      <c r="R217" s="564">
        <v>39.700000000000003</v>
      </c>
    </row>
    <row r="218" spans="14:18">
      <c r="N218" s="66"/>
      <c r="O218" s="566">
        <v>40817</v>
      </c>
      <c r="P218" s="546" t="s">
        <v>189</v>
      </c>
      <c r="Q218" s="564">
        <v>235.5</v>
      </c>
      <c r="R218" s="564">
        <v>2.4</v>
      </c>
    </row>
    <row r="219" spans="14:18">
      <c r="N219" s="66"/>
      <c r="O219" s="566">
        <v>40848</v>
      </c>
      <c r="P219" s="546" t="s">
        <v>190</v>
      </c>
      <c r="Q219" s="564">
        <v>342.1</v>
      </c>
      <c r="R219" s="564">
        <v>0</v>
      </c>
    </row>
    <row r="220" spans="14:18">
      <c r="N220" s="66"/>
      <c r="O220" s="566">
        <v>40878</v>
      </c>
      <c r="P220" s="546" t="s">
        <v>191</v>
      </c>
      <c r="Q220" s="564">
        <v>534</v>
      </c>
      <c r="R220" s="564">
        <v>0</v>
      </c>
    </row>
    <row r="221" spans="14:18">
      <c r="N221" s="66"/>
      <c r="O221" s="566">
        <v>40909</v>
      </c>
      <c r="P221" s="546" t="s">
        <v>180</v>
      </c>
      <c r="Q221" s="565">
        <v>611.1</v>
      </c>
      <c r="R221" s="565">
        <v>0</v>
      </c>
    </row>
    <row r="222" spans="14:18">
      <c r="N222" s="66"/>
      <c r="O222" s="566">
        <v>40940</v>
      </c>
      <c r="P222" s="546" t="s">
        <v>181</v>
      </c>
      <c r="Q222" s="565">
        <v>531.70000000000005</v>
      </c>
      <c r="R222" s="565">
        <v>0</v>
      </c>
    </row>
    <row r="223" spans="14:18">
      <c r="N223" s="66"/>
      <c r="O223" s="566">
        <v>40969</v>
      </c>
      <c r="P223" s="546" t="s">
        <v>182</v>
      </c>
      <c r="Q223" s="565">
        <v>349.4</v>
      </c>
      <c r="R223" s="565">
        <v>0.2</v>
      </c>
    </row>
    <row r="224" spans="14:18">
      <c r="N224" s="66"/>
      <c r="O224" s="566">
        <v>41000</v>
      </c>
      <c r="P224" s="546" t="s">
        <v>183</v>
      </c>
      <c r="Q224" s="565">
        <v>321.7</v>
      </c>
      <c r="R224" s="565">
        <v>0</v>
      </c>
    </row>
    <row r="225" spans="14:18">
      <c r="N225" s="66"/>
      <c r="O225" s="566">
        <v>41030</v>
      </c>
      <c r="P225" s="546" t="s">
        <v>184</v>
      </c>
      <c r="Q225" s="565">
        <v>80.7</v>
      </c>
      <c r="R225" s="565">
        <v>36.700000000000003</v>
      </c>
    </row>
    <row r="226" spans="14:18">
      <c r="N226" s="66"/>
      <c r="O226" s="566">
        <v>41061</v>
      </c>
      <c r="P226" s="546" t="s">
        <v>185</v>
      </c>
      <c r="Q226" s="565">
        <v>23.2</v>
      </c>
      <c r="R226" s="565">
        <v>101.6</v>
      </c>
    </row>
    <row r="227" spans="14:18">
      <c r="N227" s="66"/>
      <c r="O227" s="566">
        <v>41091</v>
      </c>
      <c r="P227" s="546" t="s">
        <v>186</v>
      </c>
      <c r="Q227" s="565">
        <v>0</v>
      </c>
      <c r="R227" s="565">
        <v>195.4</v>
      </c>
    </row>
    <row r="228" spans="14:18">
      <c r="N228" s="66"/>
      <c r="O228" s="566">
        <v>41122</v>
      </c>
      <c r="P228" s="546" t="s">
        <v>187</v>
      </c>
      <c r="Q228" s="565">
        <v>2</v>
      </c>
      <c r="R228" s="565">
        <v>112.1</v>
      </c>
    </row>
    <row r="229" spans="14:18">
      <c r="N229" s="66"/>
      <c r="O229" s="566">
        <v>41153</v>
      </c>
      <c r="P229" s="546" t="s">
        <v>188</v>
      </c>
      <c r="Q229" s="565">
        <v>85</v>
      </c>
      <c r="R229" s="565">
        <v>35.6</v>
      </c>
    </row>
    <row r="230" spans="14:18">
      <c r="N230" s="66"/>
      <c r="O230" s="566">
        <v>41183</v>
      </c>
      <c r="P230" s="546" t="s">
        <v>189</v>
      </c>
      <c r="Q230" s="565">
        <v>242.5</v>
      </c>
      <c r="R230" s="565">
        <v>1.1000000000000001</v>
      </c>
    </row>
    <row r="231" spans="14:18">
      <c r="N231" s="66"/>
      <c r="O231" s="566">
        <v>41214</v>
      </c>
      <c r="P231" s="546" t="s">
        <v>190</v>
      </c>
      <c r="Q231" s="565">
        <v>434</v>
      </c>
      <c r="R231" s="565">
        <v>0</v>
      </c>
    </row>
    <row r="232" spans="14:18">
      <c r="N232" s="66"/>
      <c r="O232" s="566">
        <v>41244</v>
      </c>
      <c r="P232" s="546" t="s">
        <v>191</v>
      </c>
      <c r="Q232" s="565">
        <v>533.5</v>
      </c>
      <c r="R232" s="565">
        <v>0</v>
      </c>
    </row>
    <row r="233" spans="14:18">
      <c r="N233" s="66"/>
      <c r="O233" s="566">
        <v>41275</v>
      </c>
      <c r="P233" s="546" t="s">
        <v>180</v>
      </c>
      <c r="Q233" s="4">
        <v>624.4</v>
      </c>
      <c r="R233" s="4">
        <v>0</v>
      </c>
    </row>
    <row r="234" spans="14:18">
      <c r="N234" s="66"/>
      <c r="O234" s="566">
        <v>41306</v>
      </c>
      <c r="P234" s="546" t="s">
        <v>181</v>
      </c>
      <c r="Q234" s="4">
        <v>631.5</v>
      </c>
      <c r="R234" s="4">
        <v>0</v>
      </c>
    </row>
    <row r="235" spans="14:18">
      <c r="N235" s="66"/>
      <c r="O235" s="566">
        <v>41334</v>
      </c>
      <c r="P235" s="546" t="s">
        <v>182</v>
      </c>
      <c r="Q235" s="4">
        <v>554.79999999999995</v>
      </c>
      <c r="R235" s="4">
        <v>0</v>
      </c>
    </row>
    <row r="236" spans="14:18">
      <c r="N236" s="66"/>
      <c r="O236" s="566">
        <v>41365</v>
      </c>
      <c r="P236" s="546" t="s">
        <v>183</v>
      </c>
      <c r="Q236" s="4">
        <v>358.6</v>
      </c>
      <c r="R236" s="4">
        <v>0</v>
      </c>
    </row>
    <row r="237" spans="14:18">
      <c r="N237" s="66"/>
      <c r="O237" s="566">
        <v>41395</v>
      </c>
      <c r="P237" s="546" t="s">
        <v>184</v>
      </c>
      <c r="Q237" s="4">
        <v>109.1</v>
      </c>
      <c r="R237" s="4">
        <v>23.1</v>
      </c>
    </row>
    <row r="238" spans="14:18">
      <c r="N238" s="66"/>
      <c r="O238" s="566">
        <v>41426</v>
      </c>
      <c r="P238" s="546" t="s">
        <v>185</v>
      </c>
      <c r="Q238" s="495">
        <v>33.4</v>
      </c>
      <c r="R238" s="495">
        <v>59.3</v>
      </c>
    </row>
    <row r="239" spans="14:18">
      <c r="N239" s="66"/>
      <c r="O239" s="566">
        <v>41456</v>
      </c>
      <c r="P239" s="546" t="s">
        <v>186</v>
      </c>
      <c r="Q239" s="495">
        <v>1.4</v>
      </c>
      <c r="R239" s="495">
        <v>133.30000000000001</v>
      </c>
    </row>
    <row r="240" spans="14:18">
      <c r="N240" s="66"/>
      <c r="O240" s="566">
        <v>41487</v>
      </c>
      <c r="P240" s="546" t="s">
        <v>187</v>
      </c>
      <c r="Q240" s="495">
        <v>4.5999999999999996</v>
      </c>
      <c r="R240" s="495">
        <v>93.2</v>
      </c>
    </row>
    <row r="241" spans="14:18">
      <c r="N241" s="66"/>
      <c r="O241" s="566">
        <v>41518</v>
      </c>
      <c r="P241" s="546" t="s">
        <v>188</v>
      </c>
      <c r="Q241" s="495">
        <v>89.6</v>
      </c>
      <c r="R241" s="495">
        <v>28</v>
      </c>
    </row>
    <row r="242" spans="14:18">
      <c r="N242" s="66"/>
      <c r="O242" s="566">
        <v>41548</v>
      </c>
      <c r="P242" s="546" t="s">
        <v>189</v>
      </c>
      <c r="Q242" s="495">
        <v>224.2</v>
      </c>
      <c r="R242" s="495">
        <v>0</v>
      </c>
    </row>
    <row r="243" spans="14:18">
      <c r="N243" s="66"/>
      <c r="O243" s="566">
        <v>41579</v>
      </c>
      <c r="P243" s="546" t="s">
        <v>190</v>
      </c>
      <c r="Q243" s="495">
        <v>478.3</v>
      </c>
      <c r="R243" s="495">
        <v>0</v>
      </c>
    </row>
    <row r="244" spans="14:18">
      <c r="N244" s="66"/>
      <c r="O244" s="566">
        <v>41609</v>
      </c>
      <c r="P244" s="546" t="s">
        <v>191</v>
      </c>
      <c r="Q244" s="495">
        <v>687.7</v>
      </c>
      <c r="R244" s="495">
        <v>0</v>
      </c>
    </row>
    <row r="245" spans="14:18">
      <c r="N245" s="66"/>
    </row>
    <row r="246" spans="14:18">
      <c r="N246" s="66"/>
    </row>
    <row r="247" spans="14:18">
      <c r="N247" s="66"/>
    </row>
    <row r="248" spans="14:18">
      <c r="N248" s="66"/>
    </row>
    <row r="249" spans="14:18">
      <c r="N249" s="66"/>
    </row>
    <row r="250" spans="14:18">
      <c r="N250" s="66"/>
    </row>
    <row r="251" spans="14:18">
      <c r="N251" s="66"/>
    </row>
    <row r="252" spans="14:18">
      <c r="N252" s="66"/>
    </row>
    <row r="253" spans="14:18">
      <c r="N253" s="66"/>
    </row>
    <row r="254" spans="14:18">
      <c r="N254" s="66"/>
    </row>
    <row r="255" spans="14:18">
      <c r="N255" s="66"/>
    </row>
    <row r="256" spans="14:18">
      <c r="N256" s="66"/>
    </row>
    <row r="257" spans="14:14">
      <c r="N257" s="66"/>
    </row>
    <row r="258" spans="14:14">
      <c r="N258" s="66"/>
    </row>
    <row r="259" spans="14:14">
      <c r="N259" s="66"/>
    </row>
    <row r="260" spans="14:14">
      <c r="N260" s="66"/>
    </row>
    <row r="261" spans="14:14">
      <c r="N261" s="66"/>
    </row>
    <row r="262" spans="14:14">
      <c r="N262" s="66"/>
    </row>
    <row r="263" spans="14:14">
      <c r="N263" s="66"/>
    </row>
    <row r="264" spans="14:14">
      <c r="N264" s="66"/>
    </row>
    <row r="265" spans="14:14">
      <c r="N265" s="66"/>
    </row>
    <row r="266" spans="14:14">
      <c r="N266" s="66"/>
    </row>
    <row r="267" spans="14:14">
      <c r="N267" s="66"/>
    </row>
    <row r="268" spans="14:14">
      <c r="N268" s="66"/>
    </row>
    <row r="269" spans="14:14">
      <c r="N269" s="66"/>
    </row>
    <row r="270" spans="14:14">
      <c r="N270" s="66"/>
    </row>
    <row r="271" spans="14:14">
      <c r="N271" s="66"/>
    </row>
    <row r="272" spans="14:14">
      <c r="N272" s="66"/>
    </row>
    <row r="273" spans="14:14">
      <c r="N273" s="66"/>
    </row>
    <row r="274" spans="14:14">
      <c r="N274" s="66"/>
    </row>
    <row r="275" spans="14:14">
      <c r="N275" s="66"/>
    </row>
    <row r="276" spans="14:14">
      <c r="N276" s="66"/>
    </row>
    <row r="277" spans="14:14">
      <c r="N277" s="66"/>
    </row>
    <row r="278" spans="14:14">
      <c r="N278" s="66"/>
    </row>
    <row r="279" spans="14:14">
      <c r="N279" s="66"/>
    </row>
    <row r="280" spans="14:14">
      <c r="N280" s="66"/>
    </row>
    <row r="281" spans="14:14">
      <c r="N281" s="66"/>
    </row>
    <row r="282" spans="14:14">
      <c r="N282" s="66"/>
    </row>
    <row r="283" spans="14:14">
      <c r="N283" s="66"/>
    </row>
    <row r="284" spans="14:14">
      <c r="N284" s="66"/>
    </row>
    <row r="285" spans="14:14">
      <c r="N285" s="66"/>
    </row>
    <row r="286" spans="14:14">
      <c r="N286" s="66"/>
    </row>
    <row r="287" spans="14:14">
      <c r="N287" s="66"/>
    </row>
    <row r="288" spans="14:14">
      <c r="N288" s="66"/>
    </row>
    <row r="289" spans="14:14">
      <c r="N289" s="66"/>
    </row>
    <row r="290" spans="14:14">
      <c r="N290" s="66"/>
    </row>
    <row r="291" spans="14:14">
      <c r="N291" s="66"/>
    </row>
    <row r="292" spans="14:14">
      <c r="N292" s="66"/>
    </row>
    <row r="293" spans="14:14">
      <c r="N293" s="66"/>
    </row>
    <row r="294" spans="14:14">
      <c r="N294" s="66"/>
    </row>
    <row r="295" spans="14:14">
      <c r="N295" s="66"/>
    </row>
    <row r="296" spans="14:14">
      <c r="N296" s="66"/>
    </row>
    <row r="297" spans="14:14">
      <c r="N297" s="66"/>
    </row>
    <row r="298" spans="14:14">
      <c r="N298" s="66"/>
    </row>
    <row r="299" spans="14:14">
      <c r="N299" s="66"/>
    </row>
    <row r="300" spans="14:14">
      <c r="N300" s="66"/>
    </row>
    <row r="301" spans="14:14">
      <c r="N301" s="66"/>
    </row>
    <row r="302" spans="14:14">
      <c r="N302" s="66"/>
    </row>
    <row r="303" spans="14:14">
      <c r="N303" s="66"/>
    </row>
    <row r="304" spans="14:14">
      <c r="N304" s="66"/>
    </row>
    <row r="305" spans="14:14">
      <c r="N305" s="66"/>
    </row>
    <row r="306" spans="14:14">
      <c r="N306" s="66"/>
    </row>
    <row r="307" spans="14:14">
      <c r="N307" s="66"/>
    </row>
    <row r="308" spans="14:14">
      <c r="N308" s="66"/>
    </row>
    <row r="309" spans="14:14">
      <c r="N309" s="66"/>
    </row>
    <row r="310" spans="14:14">
      <c r="N310" s="66"/>
    </row>
    <row r="311" spans="14:14">
      <c r="N311" s="66"/>
    </row>
    <row r="312" spans="14:14">
      <c r="N312" s="66"/>
    </row>
    <row r="313" spans="14:14">
      <c r="N313" s="66"/>
    </row>
    <row r="314" spans="14:14">
      <c r="N314" s="66"/>
    </row>
    <row r="315" spans="14:14">
      <c r="N315" s="66"/>
    </row>
    <row r="316" spans="14:14">
      <c r="N316" s="66"/>
    </row>
    <row r="317" spans="14:14">
      <c r="N317" s="66"/>
    </row>
    <row r="318" spans="14:14">
      <c r="N318" s="66"/>
    </row>
    <row r="319" spans="14:14">
      <c r="N319" s="66"/>
    </row>
    <row r="320" spans="14:14">
      <c r="N320" s="66"/>
    </row>
    <row r="321" spans="14:14">
      <c r="N321" s="66"/>
    </row>
    <row r="322" spans="14:14">
      <c r="N322" s="66"/>
    </row>
    <row r="323" spans="14:14">
      <c r="N323" s="66"/>
    </row>
    <row r="324" spans="14:14">
      <c r="N324" s="66"/>
    </row>
    <row r="325" spans="14:14">
      <c r="N325" s="66"/>
    </row>
    <row r="326" spans="14:14">
      <c r="N326" s="66"/>
    </row>
    <row r="327" spans="14:14">
      <c r="N327" s="66"/>
    </row>
    <row r="328" spans="14:14">
      <c r="N328" s="66"/>
    </row>
    <row r="329" spans="14:14">
      <c r="N329" s="66"/>
    </row>
    <row r="330" spans="14:14">
      <c r="N330" s="66"/>
    </row>
    <row r="331" spans="14:14">
      <c r="N331" s="66"/>
    </row>
    <row r="332" spans="14:14">
      <c r="N332" s="66"/>
    </row>
    <row r="333" spans="14:14">
      <c r="N333" s="66"/>
    </row>
    <row r="334" spans="14:14">
      <c r="N334" s="66"/>
    </row>
    <row r="335" spans="14:14">
      <c r="N335" s="66"/>
    </row>
    <row r="336" spans="14:14">
      <c r="N336" s="66"/>
    </row>
    <row r="337" spans="14:14">
      <c r="N337" s="66"/>
    </row>
    <row r="338" spans="14:14">
      <c r="N338" s="66"/>
    </row>
    <row r="339" spans="14:14">
      <c r="N339" s="66"/>
    </row>
    <row r="340" spans="14:14">
      <c r="N340" s="66"/>
    </row>
    <row r="341" spans="14:14">
      <c r="N341" s="66"/>
    </row>
    <row r="342" spans="14:14">
      <c r="N342" s="66"/>
    </row>
    <row r="343" spans="14:14">
      <c r="N343" s="66"/>
    </row>
    <row r="344" spans="14:14">
      <c r="N344" s="66"/>
    </row>
    <row r="345" spans="14:14">
      <c r="N345" s="66"/>
    </row>
    <row r="346" spans="14:14">
      <c r="N346" s="66"/>
    </row>
    <row r="347" spans="14:14">
      <c r="N347" s="66"/>
    </row>
    <row r="348" spans="14:14">
      <c r="N348" s="66"/>
    </row>
    <row r="349" spans="14:14">
      <c r="N349" s="66"/>
    </row>
    <row r="350" spans="14:14">
      <c r="N350" s="66"/>
    </row>
    <row r="351" spans="14:14">
      <c r="N351" s="66"/>
    </row>
    <row r="352" spans="14:14">
      <c r="N352" s="66"/>
    </row>
    <row r="353" spans="14:14">
      <c r="N353" s="66"/>
    </row>
    <row r="354" spans="14:14">
      <c r="N354" s="66"/>
    </row>
    <row r="355" spans="14:14">
      <c r="N355" s="66"/>
    </row>
    <row r="356" spans="14:14">
      <c r="N356" s="66"/>
    </row>
  </sheetData>
  <mergeCells count="5">
    <mergeCell ref="P2:R2"/>
    <mergeCell ref="J4:L4"/>
    <mergeCell ref="B4:D4"/>
    <mergeCell ref="F4:H4"/>
    <mergeCell ref="B2:M2"/>
  </mergeCells>
  <pageMargins left="0.7" right="0.7" top="0.75" bottom="0.75" header="0.3" footer="0.3"/>
  <pageSetup scale="6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C000"/>
  </sheetPr>
  <dimension ref="A1:AJ213"/>
  <sheetViews>
    <sheetView showGridLines="0" view="pageBreakPreview" zoomScale="60" zoomScaleNormal="100" workbookViewId="0">
      <pane xSplit="2" ySplit="2" topLeftCell="C33" activePane="bottomRight" state="frozen"/>
      <selection activeCell="H9" sqref="H9"/>
      <selection pane="topRight" activeCell="H9" sqref="H9"/>
      <selection pane="bottomLeft" activeCell="H9" sqref="H9"/>
      <selection pane="bottomRight" activeCell="M62" sqref="M62"/>
    </sheetView>
  </sheetViews>
  <sheetFormatPr defaultColWidth="9.109375" defaultRowHeight="13.2"/>
  <cols>
    <col min="1" max="1" width="9.109375" style="66" customWidth="1"/>
    <col min="2" max="2" width="12.5546875" style="66" bestFit="1" customWidth="1"/>
    <col min="3" max="3" width="15.33203125" style="65" customWidth="1"/>
    <col min="4" max="4" width="20.44140625" style="76" bestFit="1" customWidth="1"/>
    <col min="5" max="5" width="18.44140625" style="76" customWidth="1"/>
    <col min="6" max="6" width="15.88671875" style="72" customWidth="1"/>
    <col min="7" max="7" width="19.44140625" style="76" bestFit="1" customWidth="1"/>
    <col min="8" max="8" width="15.109375" style="76" customWidth="1"/>
    <col min="9" max="11" width="15" style="76" customWidth="1"/>
    <col min="12" max="13" width="19" style="76" bestFit="1" customWidth="1"/>
    <col min="14" max="14" width="17.109375" style="76" customWidth="1"/>
    <col min="15" max="15" width="14.44140625" style="528" customWidth="1"/>
    <col min="16" max="16" width="5" style="495" customWidth="1"/>
    <col min="17" max="17" width="27" style="294" bestFit="1" customWidth="1"/>
    <col min="18" max="19" width="15.88671875" style="294" bestFit="1" customWidth="1"/>
    <col min="20" max="20" width="13.109375" style="294" bestFit="1" customWidth="1"/>
    <col min="21" max="21" width="12.5546875" style="294" customWidth="1"/>
    <col min="22" max="22" width="15.44140625" style="294" bestFit="1" customWidth="1"/>
    <col min="23" max="23" width="18.6640625" style="294" bestFit="1" customWidth="1"/>
    <col min="24" max="25" width="18.6640625" style="495" bestFit="1" customWidth="1"/>
    <col min="26" max="36" width="9.109375" style="495"/>
    <col min="37" max="16384" width="9.109375" style="66"/>
  </cols>
  <sheetData>
    <row r="1" spans="1:36" ht="17.399999999999999">
      <c r="A1" s="938" t="s">
        <v>264</v>
      </c>
      <c r="B1" s="938"/>
      <c r="C1" s="938"/>
      <c r="D1" s="938"/>
      <c r="E1" s="938"/>
      <c r="F1" s="938"/>
      <c r="G1" s="938"/>
      <c r="H1" s="938"/>
      <c r="I1" s="938"/>
      <c r="J1" s="938"/>
      <c r="K1" s="938"/>
      <c r="L1" s="938"/>
    </row>
    <row r="2" spans="1:36" ht="42" customHeight="1">
      <c r="B2" s="280"/>
      <c r="C2" s="282" t="s">
        <v>101</v>
      </c>
      <c r="D2" s="64" t="s">
        <v>29</v>
      </c>
      <c r="E2" s="64" t="s">
        <v>30</v>
      </c>
      <c r="F2" s="307" t="s">
        <v>102</v>
      </c>
      <c r="G2" s="64" t="s">
        <v>31</v>
      </c>
      <c r="H2" s="64" t="s">
        <v>32</v>
      </c>
      <c r="I2" s="64" t="s">
        <v>34</v>
      </c>
      <c r="J2" s="64" t="s">
        <v>103</v>
      </c>
      <c r="K2" s="64" t="s">
        <v>104</v>
      </c>
      <c r="L2" s="64" t="s">
        <v>105</v>
      </c>
      <c r="M2" s="729"/>
      <c r="N2" s="495"/>
      <c r="O2" s="592"/>
      <c r="P2" s="294"/>
      <c r="V2" s="495"/>
      <c r="W2" s="495"/>
      <c r="AI2" s="66"/>
      <c r="AJ2" s="66"/>
    </row>
    <row r="3" spans="1:36">
      <c r="A3" s="66">
        <f t="shared" ref="A3:A66" si="0">YEAR(B3)</f>
        <v>2004</v>
      </c>
      <c r="B3" s="67">
        <v>37987</v>
      </c>
      <c r="C3" s="294">
        <f>HLOOKUP(MONTH(B3),'Purchased kWh'!$4:$17,6,FALSE)</f>
        <v>318825772.38951999</v>
      </c>
      <c r="D3" s="68">
        <f>'Month &amp; Hour Data'!B2</f>
        <v>849.1</v>
      </c>
      <c r="E3" s="68">
        <f>'Month &amp; Hour Data'!C2</f>
        <v>0</v>
      </c>
      <c r="F3" s="308">
        <f>'Month &amp; Hour Data'!H2</f>
        <v>1.0159128651183942</v>
      </c>
      <c r="G3" s="69">
        <f>'Month &amp; Hour Data'!D2</f>
        <v>31</v>
      </c>
      <c r="H3" s="69">
        <f>'Month &amp; Hour Data'!E2</f>
        <v>0</v>
      </c>
      <c r="I3" s="69">
        <f>'Month &amp; Hour Data'!G2</f>
        <v>336</v>
      </c>
      <c r="J3" s="70">
        <f>$E$187+(D3*$E$188)+(E3*$E$189)+(F3*$E$190)+(G3*$E$191)+(H3*$E$192)+(I3*$E$193)</f>
        <v>322566086.16029</v>
      </c>
      <c r="K3" s="70">
        <f t="shared" ref="K3:K34" si="1">J3-C3</f>
        <v>3740313.7707700133</v>
      </c>
      <c r="L3" s="330">
        <f t="shared" ref="L3:L34" si="2">K3/C3</f>
        <v>1.173152892483343E-2</v>
      </c>
      <c r="M3" s="730"/>
      <c r="N3" s="495"/>
      <c r="O3" s="294"/>
      <c r="P3" s="294"/>
      <c r="V3" s="495"/>
      <c r="W3" s="495"/>
      <c r="Y3" s="4"/>
      <c r="Z3" s="310"/>
      <c r="AA3" s="310"/>
      <c r="AB3" s="310"/>
      <c r="AC3" s="310"/>
      <c r="AD3" s="310"/>
      <c r="AE3" s="310"/>
      <c r="AF3" s="310"/>
      <c r="AG3" s="310"/>
      <c r="AH3" s="310"/>
      <c r="AI3" s="66"/>
      <c r="AJ3" s="66"/>
    </row>
    <row r="4" spans="1:36">
      <c r="A4" s="66">
        <f t="shared" si="0"/>
        <v>2004</v>
      </c>
      <c r="B4" s="67">
        <v>38018</v>
      </c>
      <c r="C4" s="294">
        <f>HLOOKUP(MONTH(B4),'Purchased kWh'!$4:$17,6,FALSE)</f>
        <v>292561275.78360003</v>
      </c>
      <c r="D4" s="68">
        <f>'Month &amp; Hour Data'!B3</f>
        <v>631.70000000000005</v>
      </c>
      <c r="E4" s="68">
        <f>'Month &amp; Hour Data'!C3</f>
        <v>0</v>
      </c>
      <c r="F4" s="308">
        <f>'Month &amp; Hour Data'!H3</f>
        <v>1.0180619339601864</v>
      </c>
      <c r="G4" s="69">
        <f>'Month &amp; Hour Data'!D3</f>
        <v>29</v>
      </c>
      <c r="H4" s="69">
        <f>'Month &amp; Hour Data'!E3</f>
        <v>0</v>
      </c>
      <c r="I4" s="69">
        <f>'Month &amp; Hour Data'!G3</f>
        <v>320</v>
      </c>
      <c r="J4" s="70">
        <f t="shared" ref="J4:J67" si="3">$E$187+(D4*$E$188)+(E4*$E$189)+(F4*$E$190)+(G4*$E$191)+(H4*$E$192)+(I4*$E$193)</f>
        <v>297085242.57389104</v>
      </c>
      <c r="K4" s="70">
        <f t="shared" si="1"/>
        <v>4523966.7902910113</v>
      </c>
      <c r="L4" s="330">
        <f t="shared" si="2"/>
        <v>1.5463313721797111E-2</v>
      </c>
      <c r="M4" s="730"/>
      <c r="N4" s="495"/>
      <c r="O4" s="294"/>
      <c r="P4" s="294"/>
      <c r="V4" s="495"/>
      <c r="W4" s="495"/>
      <c r="Y4" s="4"/>
      <c r="Z4" s="310"/>
      <c r="AA4" s="310"/>
      <c r="AB4" s="310"/>
      <c r="AC4" s="310"/>
      <c r="AD4" s="310"/>
      <c r="AE4" s="310"/>
      <c r="AF4" s="310"/>
      <c r="AG4" s="310"/>
      <c r="AH4" s="310"/>
      <c r="AI4" s="66"/>
      <c r="AJ4" s="66"/>
    </row>
    <row r="5" spans="1:36">
      <c r="A5" s="66">
        <f t="shared" si="0"/>
        <v>2004</v>
      </c>
      <c r="B5" s="67">
        <v>38047</v>
      </c>
      <c r="C5" s="294">
        <f>HLOOKUP(MONTH(B5),'Purchased kWh'!$4:$17,6,FALSE)</f>
        <v>304403355.98512</v>
      </c>
      <c r="D5" s="68">
        <f>'Month &amp; Hour Data'!B4</f>
        <v>487.3</v>
      </c>
      <c r="E5" s="68">
        <f>'Month &amp; Hour Data'!C4</f>
        <v>0</v>
      </c>
      <c r="F5" s="308">
        <f>'Month &amp; Hour Data'!H4</f>
        <v>1.0202155489565214</v>
      </c>
      <c r="G5" s="69">
        <f>'Month &amp; Hour Data'!D4</f>
        <v>31</v>
      </c>
      <c r="H5" s="69">
        <f>'Month &amp; Hour Data'!E4</f>
        <v>1</v>
      </c>
      <c r="I5" s="69">
        <f>'Month &amp; Hour Data'!G4</f>
        <v>368</v>
      </c>
      <c r="J5" s="70">
        <f t="shared" si="3"/>
        <v>304265658.61163652</v>
      </c>
      <c r="K5" s="70">
        <f t="shared" si="1"/>
        <v>-137697.37348347902</v>
      </c>
      <c r="L5" s="330">
        <f t="shared" si="2"/>
        <v>-4.5235169316007809E-4</v>
      </c>
      <c r="M5" s="730"/>
      <c r="N5" s="495"/>
      <c r="O5" s="294"/>
      <c r="P5" s="294"/>
      <c r="V5" s="495"/>
      <c r="W5" s="495"/>
      <c r="Y5" s="506"/>
      <c r="Z5" s="310"/>
      <c r="AA5" s="310"/>
      <c r="AB5" s="310"/>
      <c r="AC5" s="310"/>
      <c r="AD5" s="310"/>
      <c r="AE5" s="310"/>
      <c r="AF5" s="310"/>
      <c r="AG5" s="310"/>
      <c r="AH5" s="310"/>
      <c r="AI5" s="66"/>
      <c r="AJ5" s="66"/>
    </row>
    <row r="6" spans="1:36">
      <c r="A6" s="66">
        <f t="shared" si="0"/>
        <v>2004</v>
      </c>
      <c r="B6" s="67">
        <v>38078</v>
      </c>
      <c r="C6" s="294">
        <f>HLOOKUP(MONTH(B6),'Purchased kWh'!$4:$17,6,FALSE)</f>
        <v>280729503.61992002</v>
      </c>
      <c r="D6" s="68">
        <f>'Month &amp; Hour Data'!B5</f>
        <v>331.5</v>
      </c>
      <c r="E6" s="68">
        <f>'Month &amp; Hour Data'!C5</f>
        <v>0</v>
      </c>
      <c r="F6" s="308">
        <f>'Month &amp; Hour Data'!H5</f>
        <v>1.0223737197243647</v>
      </c>
      <c r="G6" s="69">
        <f>'Month &amp; Hour Data'!D5</f>
        <v>30</v>
      </c>
      <c r="H6" s="69">
        <f>'Month &amp; Hour Data'!E5</f>
        <v>1</v>
      </c>
      <c r="I6" s="69">
        <f>'Month &amp; Hour Data'!G5</f>
        <v>336</v>
      </c>
      <c r="J6" s="70">
        <f t="shared" si="3"/>
        <v>285495872.81202877</v>
      </c>
      <c r="K6" s="70">
        <f t="shared" si="1"/>
        <v>4766369.1921087503</v>
      </c>
      <c r="L6" s="330">
        <f t="shared" si="2"/>
        <v>1.6978511808156592E-2</v>
      </c>
      <c r="M6" s="730"/>
      <c r="N6" s="495"/>
      <c r="O6" s="294"/>
      <c r="P6" s="294"/>
      <c r="V6" s="495"/>
      <c r="W6" s="495"/>
      <c r="Y6" s="310"/>
      <c r="Z6" s="310"/>
      <c r="AA6" s="310"/>
      <c r="AB6" s="310"/>
      <c r="AC6" s="310"/>
      <c r="AD6" s="310"/>
      <c r="AE6" s="310"/>
      <c r="AF6" s="310"/>
      <c r="AG6" s="310"/>
      <c r="AH6" s="310"/>
      <c r="AI6" s="66"/>
      <c r="AJ6" s="66"/>
    </row>
    <row r="7" spans="1:36">
      <c r="A7" s="66">
        <f t="shared" si="0"/>
        <v>2004</v>
      </c>
      <c r="B7" s="67">
        <v>38108</v>
      </c>
      <c r="C7" s="294">
        <f>HLOOKUP(MONTH(B7),'Purchased kWh'!$4:$17,6,FALSE)</f>
        <v>284754157.46888</v>
      </c>
      <c r="D7" s="68">
        <f>'Month &amp; Hour Data'!B6</f>
        <v>158.9</v>
      </c>
      <c r="E7" s="68">
        <f>'Month &amp; Hour Data'!C6</f>
        <v>8.6</v>
      </c>
      <c r="F7" s="308">
        <f>'Month &amp; Hour Data'!H6</f>
        <v>1.0245364559010257</v>
      </c>
      <c r="G7" s="69">
        <f>'Month &amp; Hour Data'!D6</f>
        <v>31</v>
      </c>
      <c r="H7" s="69">
        <f>'Month &amp; Hour Data'!E6</f>
        <v>1</v>
      </c>
      <c r="I7" s="69">
        <f>'Month &amp; Hour Data'!G6</f>
        <v>320</v>
      </c>
      <c r="J7" s="70">
        <f t="shared" si="3"/>
        <v>284672702.21671426</v>
      </c>
      <c r="K7" s="70">
        <f t="shared" si="1"/>
        <v>-81455.252165734768</v>
      </c>
      <c r="L7" s="330">
        <f t="shared" si="2"/>
        <v>-2.8605465461777074E-4</v>
      </c>
      <c r="M7" s="730"/>
      <c r="N7" s="495"/>
      <c r="O7" s="294"/>
      <c r="P7" s="294"/>
      <c r="V7" s="495"/>
      <c r="W7" s="495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66"/>
      <c r="AJ7" s="66"/>
    </row>
    <row r="8" spans="1:36">
      <c r="A8" s="66">
        <f t="shared" si="0"/>
        <v>2004</v>
      </c>
      <c r="B8" s="67">
        <v>38139</v>
      </c>
      <c r="C8" s="294">
        <f>HLOOKUP(MONTH(B8),'Purchased kWh'!$4:$17,6,FALSE)</f>
        <v>296130054.74768001</v>
      </c>
      <c r="D8" s="68">
        <f>'Month &amp; Hour Data'!B7</f>
        <v>44.2</v>
      </c>
      <c r="E8" s="68">
        <f>'Month &amp; Hour Data'!C7</f>
        <v>31.6</v>
      </c>
      <c r="F8" s="308">
        <f>'Month &amp; Hour Data'!H7</f>
        <v>1.0267037671442005</v>
      </c>
      <c r="G8" s="69">
        <f>'Month &amp; Hour Data'!D7</f>
        <v>30</v>
      </c>
      <c r="H8" s="69">
        <f>'Month &amp; Hour Data'!E7</f>
        <v>0</v>
      </c>
      <c r="I8" s="69">
        <f>'Month &amp; Hour Data'!G7</f>
        <v>352</v>
      </c>
      <c r="J8" s="70">
        <f t="shared" si="3"/>
        <v>295129455.87852651</v>
      </c>
      <c r="K8" s="70">
        <f t="shared" si="1"/>
        <v>-1000598.8691534996</v>
      </c>
      <c r="L8" s="330">
        <f t="shared" si="2"/>
        <v>-3.3789169762119143E-3</v>
      </c>
      <c r="M8" s="730"/>
      <c r="N8" s="495"/>
      <c r="O8" s="294"/>
      <c r="P8" s="294"/>
      <c r="V8" s="495"/>
      <c r="W8" s="495"/>
      <c r="Y8" s="310"/>
      <c r="Z8" s="310"/>
      <c r="AA8" s="310"/>
      <c r="AB8" s="310"/>
      <c r="AC8" s="310"/>
      <c r="AD8" s="310"/>
      <c r="AE8" s="310"/>
      <c r="AF8" s="310"/>
      <c r="AG8" s="310"/>
      <c r="AH8" s="310"/>
      <c r="AI8" s="66"/>
      <c r="AJ8" s="66"/>
    </row>
    <row r="9" spans="1:36">
      <c r="A9" s="66">
        <f t="shared" si="0"/>
        <v>2004</v>
      </c>
      <c r="B9" s="67">
        <v>38169</v>
      </c>
      <c r="C9" s="294">
        <f>HLOOKUP(MONTH(B9),'Purchased kWh'!$4:$17,6,FALSE)</f>
        <v>316526151.50408</v>
      </c>
      <c r="D9" s="68">
        <f>'Month &amp; Hour Data'!B8</f>
        <v>3.6</v>
      </c>
      <c r="E9" s="68">
        <f>'Month &amp; Hour Data'!C8</f>
        <v>86.4</v>
      </c>
      <c r="F9" s="308">
        <f>'Month &amp; Hour Data'!H8</f>
        <v>1.0288756631320157</v>
      </c>
      <c r="G9" s="69">
        <f>'Month &amp; Hour Data'!D8</f>
        <v>31</v>
      </c>
      <c r="H9" s="69">
        <f>'Month &amp; Hour Data'!E8</f>
        <v>0</v>
      </c>
      <c r="I9" s="69">
        <f>'Month &amp; Hour Data'!G8</f>
        <v>336</v>
      </c>
      <c r="J9" s="70">
        <f t="shared" si="3"/>
        <v>324594235.40513647</v>
      </c>
      <c r="K9" s="70">
        <f t="shared" si="1"/>
        <v>8068083.9010564685</v>
      </c>
      <c r="L9" s="330">
        <f t="shared" si="2"/>
        <v>2.5489470183484891E-2</v>
      </c>
      <c r="M9" s="730"/>
      <c r="N9" s="495"/>
      <c r="O9" s="294"/>
      <c r="P9" s="294"/>
      <c r="V9" s="495"/>
      <c r="W9" s="495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66"/>
      <c r="AJ9" s="66"/>
    </row>
    <row r="10" spans="1:36">
      <c r="A10" s="66">
        <f t="shared" si="0"/>
        <v>2004</v>
      </c>
      <c r="B10" s="67">
        <v>38200</v>
      </c>
      <c r="C10" s="294">
        <f>HLOOKUP(MONTH(B10),'Purchased kWh'!$4:$17,6,FALSE)</f>
        <v>311532144.03864002</v>
      </c>
      <c r="D10" s="68">
        <f>'Month &amp; Hour Data'!B9</f>
        <v>12.8</v>
      </c>
      <c r="E10" s="68">
        <f>'Month &amp; Hour Data'!C9</f>
        <v>59.6</v>
      </c>
      <c r="F10" s="308">
        <f>'Month &amp; Hour Data'!H9</f>
        <v>1.0310521535630701</v>
      </c>
      <c r="G10" s="69">
        <f>'Month &amp; Hour Data'!D9</f>
        <v>31</v>
      </c>
      <c r="H10" s="69">
        <f>'Month &amp; Hour Data'!E9</f>
        <v>0</v>
      </c>
      <c r="I10" s="69">
        <f>'Month &amp; Hour Data'!G9</f>
        <v>336</v>
      </c>
      <c r="J10" s="70">
        <f t="shared" si="3"/>
        <v>312132834.23829514</v>
      </c>
      <c r="K10" s="70">
        <f t="shared" si="1"/>
        <v>600690.1996551156</v>
      </c>
      <c r="L10" s="330">
        <f t="shared" si="2"/>
        <v>1.928180482013473E-3</v>
      </c>
      <c r="M10" s="730"/>
      <c r="N10" s="495"/>
      <c r="O10" s="294"/>
      <c r="P10" s="294"/>
      <c r="V10" s="495"/>
      <c r="W10" s="495"/>
      <c r="Y10" s="310"/>
      <c r="Z10" s="4"/>
      <c r="AA10" s="4"/>
      <c r="AB10" s="4"/>
      <c r="AC10" s="4"/>
      <c r="AD10" s="4"/>
      <c r="AE10" s="4"/>
      <c r="AF10" s="4"/>
      <c r="AG10" s="4"/>
      <c r="AH10" s="4"/>
      <c r="AI10" s="66"/>
      <c r="AJ10" s="66"/>
    </row>
    <row r="11" spans="1:36">
      <c r="A11" s="66">
        <f t="shared" si="0"/>
        <v>2004</v>
      </c>
      <c r="B11" s="67">
        <v>38231</v>
      </c>
      <c r="C11" s="294">
        <f>HLOOKUP(MONTH(B11),'Purchased kWh'!$4:$17,6,FALSE)</f>
        <v>300510638.83407998</v>
      </c>
      <c r="D11" s="68">
        <f>'Month &amp; Hour Data'!B10</f>
        <v>30</v>
      </c>
      <c r="E11" s="68">
        <f>'Month &amp; Hour Data'!C10</f>
        <v>41.2</v>
      </c>
      <c r="F11" s="308">
        <f>'Month &amp; Hour Data'!H10</f>
        <v>1.0332332481564799</v>
      </c>
      <c r="G11" s="69">
        <f>'Month &amp; Hour Data'!D10</f>
        <v>30</v>
      </c>
      <c r="H11" s="69">
        <f>'Month &amp; Hour Data'!E10</f>
        <v>1</v>
      </c>
      <c r="I11" s="69">
        <f>'Month &amp; Hour Data'!G10</f>
        <v>336</v>
      </c>
      <c r="J11" s="70">
        <f t="shared" si="3"/>
        <v>293054846.81399363</v>
      </c>
      <c r="K11" s="70">
        <f t="shared" si="1"/>
        <v>-7455792.0200863481</v>
      </c>
      <c r="L11" s="330">
        <f t="shared" si="2"/>
        <v>-2.4810409538288898E-2</v>
      </c>
      <c r="M11" s="730"/>
      <c r="N11" s="495"/>
      <c r="O11" s="294"/>
      <c r="P11" s="294"/>
      <c r="V11" s="495"/>
      <c r="W11" s="495"/>
      <c r="Y11" s="310"/>
      <c r="Z11" s="4"/>
      <c r="AA11" s="4"/>
      <c r="AB11" s="4"/>
      <c r="AC11" s="4"/>
      <c r="AD11" s="4"/>
      <c r="AE11" s="4"/>
      <c r="AF11" s="4"/>
      <c r="AG11" s="4"/>
      <c r="AH11" s="4"/>
      <c r="AI11" s="66"/>
      <c r="AJ11" s="66"/>
    </row>
    <row r="12" spans="1:36">
      <c r="A12" s="66">
        <f t="shared" si="0"/>
        <v>2004</v>
      </c>
      <c r="B12" s="67">
        <v>38261</v>
      </c>
      <c r="C12" s="294">
        <f>HLOOKUP(MONTH(B12),'Purchased kWh'!$4:$17,6,FALSE)</f>
        <v>288181524.40336001</v>
      </c>
      <c r="D12" s="68">
        <f>'Month &amp; Hour Data'!B11</f>
        <v>226.3</v>
      </c>
      <c r="E12" s="68">
        <f>'Month &amp; Hour Data'!C11</f>
        <v>1.5</v>
      </c>
      <c r="F12" s="308">
        <f>'Month &amp; Hour Data'!H11</f>
        <v>1.0354189566519207</v>
      </c>
      <c r="G12" s="69">
        <f>'Month &amp; Hour Data'!D11</f>
        <v>31</v>
      </c>
      <c r="H12" s="69">
        <f>'Month &amp; Hour Data'!E11</f>
        <v>1</v>
      </c>
      <c r="I12" s="69">
        <f>'Month &amp; Hour Data'!G11</f>
        <v>320</v>
      </c>
      <c r="J12" s="70">
        <f t="shared" si="3"/>
        <v>287458769.24337685</v>
      </c>
      <c r="K12" s="70">
        <f t="shared" si="1"/>
        <v>-722755.15998315811</v>
      </c>
      <c r="L12" s="330">
        <f t="shared" si="2"/>
        <v>-2.5079857616810194E-3</v>
      </c>
      <c r="M12" s="730"/>
      <c r="N12" s="495"/>
      <c r="O12" s="294"/>
      <c r="P12" s="294"/>
      <c r="V12" s="495"/>
      <c r="W12" s="495"/>
      <c r="Y12" s="310"/>
      <c r="Z12" s="4"/>
      <c r="AA12" s="4"/>
      <c r="AB12" s="4"/>
      <c r="AC12" s="4"/>
      <c r="AD12" s="4"/>
      <c r="AE12" s="4"/>
      <c r="AF12" s="4"/>
      <c r="AG12" s="4"/>
      <c r="AH12" s="4"/>
      <c r="AI12" s="66"/>
      <c r="AJ12" s="66"/>
    </row>
    <row r="13" spans="1:36">
      <c r="A13" s="66">
        <f t="shared" si="0"/>
        <v>2004</v>
      </c>
      <c r="B13" s="67">
        <v>38292</v>
      </c>
      <c r="C13" s="294">
        <f>HLOOKUP(MONTH(B13),'Purchased kWh'!$4:$17,6,FALSE)</f>
        <v>296760230.17967999</v>
      </c>
      <c r="D13" s="68">
        <f>'Month &amp; Hour Data'!B12</f>
        <v>379.1</v>
      </c>
      <c r="E13" s="68">
        <f>'Month &amp; Hour Data'!C12</f>
        <v>0</v>
      </c>
      <c r="F13" s="308">
        <f>'Month &amp; Hour Data'!H12</f>
        <v>1.0376092888096715</v>
      </c>
      <c r="G13" s="69">
        <f>'Month &amp; Hour Data'!D12</f>
        <v>30</v>
      </c>
      <c r="H13" s="69">
        <f>'Month &amp; Hour Data'!E12</f>
        <v>1</v>
      </c>
      <c r="I13" s="69">
        <f>'Month &amp; Hour Data'!G12</f>
        <v>352</v>
      </c>
      <c r="J13" s="70">
        <f t="shared" si="3"/>
        <v>294465754.7445249</v>
      </c>
      <c r="K13" s="70">
        <f t="shared" si="1"/>
        <v>-2294475.4351550937</v>
      </c>
      <c r="L13" s="330">
        <f t="shared" si="2"/>
        <v>-7.731748400942583E-3</v>
      </c>
      <c r="M13" s="730"/>
      <c r="N13" s="495"/>
      <c r="O13" s="294"/>
      <c r="P13" s="294"/>
      <c r="V13" s="495"/>
      <c r="W13" s="495"/>
      <c r="Y13" s="310"/>
      <c r="Z13" s="310"/>
      <c r="AI13" s="66"/>
      <c r="AJ13" s="66"/>
    </row>
    <row r="14" spans="1:36">
      <c r="A14" s="66">
        <f t="shared" si="0"/>
        <v>2004</v>
      </c>
      <c r="B14" s="67">
        <v>38322</v>
      </c>
      <c r="C14" s="294">
        <f>HLOOKUP(MONTH(B14),'Purchased kWh'!$4:$17,6,FALSE)</f>
        <v>315819545.97799999</v>
      </c>
      <c r="D14" s="68">
        <f>'Month &amp; Hour Data'!B13</f>
        <v>643.4</v>
      </c>
      <c r="E14" s="68">
        <f>'Month &amp; Hour Data'!C13</f>
        <v>0</v>
      </c>
      <c r="F14" s="308">
        <f>'Month &amp; Hour Data'!H13</f>
        <v>1.0398042544106587</v>
      </c>
      <c r="G14" s="69">
        <f>'Month &amp; Hour Data'!D13</f>
        <v>31</v>
      </c>
      <c r="H14" s="69">
        <f>'Month &amp; Hour Data'!E13</f>
        <v>0</v>
      </c>
      <c r="I14" s="69">
        <f>'Month &amp; Hour Data'!G13</f>
        <v>336</v>
      </c>
      <c r="J14" s="70">
        <f t="shared" si="3"/>
        <v>317781812.50522697</v>
      </c>
      <c r="K14" s="70">
        <f t="shared" si="1"/>
        <v>1962266.5272269845</v>
      </c>
      <c r="L14" s="330">
        <f t="shared" si="2"/>
        <v>6.2132523215129827E-3</v>
      </c>
      <c r="M14" s="730"/>
      <c r="N14" s="495"/>
      <c r="O14" s="294"/>
      <c r="P14" s="294"/>
      <c r="V14" s="495"/>
      <c r="W14" s="495"/>
      <c r="Y14" s="4"/>
      <c r="Z14" s="4"/>
      <c r="AI14" s="66"/>
      <c r="AJ14" s="66"/>
    </row>
    <row r="15" spans="1:36">
      <c r="A15" s="66">
        <f t="shared" si="0"/>
        <v>2005</v>
      </c>
      <c r="B15" s="67">
        <v>38353</v>
      </c>
      <c r="C15" s="294">
        <f>HLOOKUP(MONTH(B15),'Purchased kWh'!$4:$17,7,FALSE)</f>
        <v>329967590.92255998</v>
      </c>
      <c r="D15" s="68">
        <f>'Month &amp; Hour Data'!B14</f>
        <v>770</v>
      </c>
      <c r="E15" s="68">
        <f>'Month &amp; Hour Data'!C14</f>
        <v>0</v>
      </c>
      <c r="F15" s="308">
        <f>'Month &amp; Hour Data'!H14</f>
        <v>1.0421691144657905</v>
      </c>
      <c r="G15" s="69">
        <f>'Month &amp; Hour Data'!D14</f>
        <v>31</v>
      </c>
      <c r="H15" s="69">
        <f>'Month &amp; Hour Data'!E14</f>
        <v>0</v>
      </c>
      <c r="I15" s="69">
        <f>'Month &amp; Hour Data'!G14</f>
        <v>320</v>
      </c>
      <c r="J15" s="70">
        <f t="shared" si="3"/>
        <v>322562831.07322478</v>
      </c>
      <c r="K15" s="70">
        <f t="shared" si="1"/>
        <v>-7404759.8493351936</v>
      </c>
      <c r="L15" s="330">
        <f t="shared" si="2"/>
        <v>-2.2440870112825764E-2</v>
      </c>
      <c r="M15" s="730"/>
      <c r="N15" s="495"/>
      <c r="O15" s="294"/>
      <c r="P15" s="294"/>
      <c r="V15" s="495"/>
      <c r="W15" s="495"/>
      <c r="Y15" s="4"/>
      <c r="Z15" s="4"/>
      <c r="AI15" s="66"/>
      <c r="AJ15" s="66"/>
    </row>
    <row r="16" spans="1:36">
      <c r="A16" s="66">
        <f t="shared" si="0"/>
        <v>2005</v>
      </c>
      <c r="B16" s="67">
        <v>38384</v>
      </c>
      <c r="C16" s="294">
        <f>HLOOKUP(MONTH(B16),'Purchased kWh'!$4:$17,7,FALSE)</f>
        <v>293588957.80200005</v>
      </c>
      <c r="D16" s="68">
        <f>'Month &amp; Hour Data'!B15</f>
        <v>616.4</v>
      </c>
      <c r="E16" s="68">
        <f>'Month &amp; Hour Data'!C15</f>
        <v>0</v>
      </c>
      <c r="F16" s="308">
        <f>'Month &amp; Hour Data'!H15</f>
        <v>1.0445393529977427</v>
      </c>
      <c r="G16" s="69">
        <f>'Month &amp; Hour Data'!D15</f>
        <v>28</v>
      </c>
      <c r="H16" s="69">
        <f>'Month &amp; Hour Data'!E15</f>
        <v>0</v>
      </c>
      <c r="I16" s="69">
        <f>'Month &amp; Hour Data'!G15</f>
        <v>320</v>
      </c>
      <c r="J16" s="70">
        <f t="shared" si="3"/>
        <v>297080548.87342405</v>
      </c>
      <c r="K16" s="70">
        <f t="shared" si="1"/>
        <v>3491591.0714240074</v>
      </c>
      <c r="L16" s="330">
        <f t="shared" si="2"/>
        <v>1.1892787445292064E-2</v>
      </c>
      <c r="M16" s="730"/>
      <c r="N16" s="495"/>
      <c r="O16" s="294"/>
      <c r="P16" s="294"/>
      <c r="V16" s="495"/>
      <c r="W16" s="495"/>
      <c r="Y16" s="4"/>
      <c r="Z16" s="4"/>
      <c r="AI16" s="66"/>
      <c r="AJ16" s="66"/>
    </row>
    <row r="17" spans="1:36">
      <c r="A17" s="66">
        <f t="shared" si="0"/>
        <v>2005</v>
      </c>
      <c r="B17" s="67">
        <v>38412</v>
      </c>
      <c r="C17" s="294">
        <f>HLOOKUP(MONTH(B17),'Purchased kWh'!$4:$17,7,FALSE)</f>
        <v>313508513.50768</v>
      </c>
      <c r="D17" s="68">
        <f>'Month &amp; Hour Data'!B16</f>
        <v>608.6</v>
      </c>
      <c r="E17" s="68">
        <f>'Month &amp; Hour Data'!C16</f>
        <v>0</v>
      </c>
      <c r="F17" s="308">
        <f>'Month &amp; Hour Data'!H16</f>
        <v>1.0469149822389572</v>
      </c>
      <c r="G17" s="69">
        <f>'Month &amp; Hour Data'!D16</f>
        <v>31</v>
      </c>
      <c r="H17" s="69">
        <f>'Month &amp; Hour Data'!E16</f>
        <v>1</v>
      </c>
      <c r="I17" s="69">
        <f>'Month &amp; Hour Data'!G16</f>
        <v>352</v>
      </c>
      <c r="J17" s="70">
        <f t="shared" si="3"/>
        <v>315004229.24834484</v>
      </c>
      <c r="K17" s="70">
        <f t="shared" si="1"/>
        <v>1495715.7406648397</v>
      </c>
      <c r="L17" s="330">
        <f t="shared" si="2"/>
        <v>4.7708935362873305E-3</v>
      </c>
      <c r="M17" s="730"/>
      <c r="N17" s="495"/>
      <c r="O17" s="294"/>
      <c r="P17" s="294"/>
      <c r="V17" s="495"/>
      <c r="W17" s="495"/>
      <c r="AI17" s="66"/>
      <c r="AJ17" s="66"/>
    </row>
    <row r="18" spans="1:36">
      <c r="A18" s="66">
        <f t="shared" si="0"/>
        <v>2005</v>
      </c>
      <c r="B18" s="67">
        <v>38443</v>
      </c>
      <c r="C18" s="294">
        <f>HLOOKUP(MONTH(B18),'Purchased kWh'!$4:$17,7,FALSE)</f>
        <v>285449755.92167997</v>
      </c>
      <c r="D18" s="68">
        <f>'Month &amp; Hour Data'!B17</f>
        <v>306.8</v>
      </c>
      <c r="E18" s="68">
        <f>'Month &amp; Hour Data'!C17</f>
        <v>0</v>
      </c>
      <c r="F18" s="308">
        <f>'Month &amp; Hour Data'!H17</f>
        <v>1.0492960144496968</v>
      </c>
      <c r="G18" s="69">
        <f>'Month &amp; Hour Data'!D17</f>
        <v>30</v>
      </c>
      <c r="H18" s="69">
        <f>'Month &amp; Hour Data'!E17</f>
        <v>1</v>
      </c>
      <c r="I18" s="69">
        <f>'Month &amp; Hour Data'!G17</f>
        <v>336</v>
      </c>
      <c r="J18" s="70">
        <f t="shared" si="3"/>
        <v>291087958.89736038</v>
      </c>
      <c r="K18" s="70">
        <f t="shared" si="1"/>
        <v>5638202.9756804109</v>
      </c>
      <c r="L18" s="330">
        <f t="shared" si="2"/>
        <v>1.975199788654711E-2</v>
      </c>
      <c r="M18" s="730"/>
      <c r="N18" s="495"/>
      <c r="O18" s="294"/>
      <c r="P18" s="294"/>
      <c r="V18" s="495"/>
      <c r="W18" s="495"/>
      <c r="AI18" s="66"/>
      <c r="AJ18" s="66"/>
    </row>
    <row r="19" spans="1:36">
      <c r="A19" s="66">
        <f t="shared" si="0"/>
        <v>2005</v>
      </c>
      <c r="B19" s="67">
        <v>38473</v>
      </c>
      <c r="C19" s="294">
        <f>HLOOKUP(MONTH(B19),'Purchased kWh'!$4:$17,7,FALSE)</f>
        <v>287810112.58807999</v>
      </c>
      <c r="D19" s="68">
        <f>'Month &amp; Hour Data'!B18</f>
        <v>189.4</v>
      </c>
      <c r="E19" s="68">
        <f>'Month &amp; Hour Data'!C18</f>
        <v>0.8</v>
      </c>
      <c r="F19" s="308">
        <f>'Month &amp; Hour Data'!H18</f>
        <v>1.0516824619181071</v>
      </c>
      <c r="G19" s="69">
        <f>'Month &amp; Hour Data'!D18</f>
        <v>31</v>
      </c>
      <c r="H19" s="69">
        <f>'Month &amp; Hour Data'!E18</f>
        <v>1</v>
      </c>
      <c r="I19" s="69">
        <f>'Month &amp; Hour Data'!G18</f>
        <v>336</v>
      </c>
      <c r="J19" s="70">
        <f t="shared" si="3"/>
        <v>291857925.088687</v>
      </c>
      <c r="K19" s="70">
        <f t="shared" si="1"/>
        <v>4047812.5006070137</v>
      </c>
      <c r="L19" s="330">
        <f t="shared" si="2"/>
        <v>1.4064177468289066E-2</v>
      </c>
      <c r="M19" s="730"/>
      <c r="N19" s="495"/>
      <c r="O19" s="294"/>
      <c r="P19" s="294"/>
      <c r="V19" s="495"/>
      <c r="W19" s="495"/>
      <c r="AI19" s="66"/>
      <c r="AJ19" s="66"/>
    </row>
    <row r="20" spans="1:36">
      <c r="A20" s="66">
        <f t="shared" si="0"/>
        <v>2005</v>
      </c>
      <c r="B20" s="67">
        <v>38504</v>
      </c>
      <c r="C20" s="294">
        <f>HLOOKUP(MONTH(B20),'Purchased kWh'!$4:$17,7,FALSE)</f>
        <v>354566496.19744003</v>
      </c>
      <c r="D20" s="68">
        <f>'Month &amp; Hour Data'!B19</f>
        <v>8.9</v>
      </c>
      <c r="E20" s="68">
        <f>'Month &amp; Hour Data'!C19</f>
        <v>146.30000000000001</v>
      </c>
      <c r="F20" s="308">
        <f>'Month &amp; Hour Data'!H19</f>
        <v>1.0540743369602825</v>
      </c>
      <c r="G20" s="69">
        <f>'Month &amp; Hour Data'!D19</f>
        <v>30</v>
      </c>
      <c r="H20" s="69">
        <f>'Month &amp; Hour Data'!E19</f>
        <v>0</v>
      </c>
      <c r="I20" s="69">
        <f>'Month &amp; Hour Data'!G19</f>
        <v>352</v>
      </c>
      <c r="J20" s="70">
        <f t="shared" si="3"/>
        <v>358083558.21999413</v>
      </c>
      <c r="K20" s="70">
        <f t="shared" si="1"/>
        <v>3517062.0225540996</v>
      </c>
      <c r="L20" s="330">
        <f t="shared" si="2"/>
        <v>9.9193298302940238E-3</v>
      </c>
      <c r="M20" s="730"/>
      <c r="N20" s="495"/>
      <c r="O20" s="294"/>
      <c r="P20" s="294"/>
      <c r="V20" s="495"/>
      <c r="W20" s="495"/>
      <c r="AI20" s="66"/>
      <c r="AJ20" s="66"/>
    </row>
    <row r="21" spans="1:36">
      <c r="A21" s="66">
        <f t="shared" si="0"/>
        <v>2005</v>
      </c>
      <c r="B21" s="67">
        <v>38534</v>
      </c>
      <c r="C21" s="294">
        <f>HLOOKUP(MONTH(B21),'Purchased kWh'!$4:$17,7,FALSE)</f>
        <v>365920796.29247999</v>
      </c>
      <c r="D21" s="68">
        <f>'Month &amp; Hour Data'!B20</f>
        <v>0</v>
      </c>
      <c r="E21" s="68">
        <f>'Month &amp; Hour Data'!C20</f>
        <v>188.7</v>
      </c>
      <c r="F21" s="308">
        <f>'Month &amp; Hour Data'!H20</f>
        <v>1.0564716519203272</v>
      </c>
      <c r="G21" s="69">
        <f>'Month &amp; Hour Data'!D20</f>
        <v>31</v>
      </c>
      <c r="H21" s="69">
        <f>'Month &amp; Hour Data'!E20</f>
        <v>0</v>
      </c>
      <c r="I21" s="69">
        <f>'Month &amp; Hour Data'!G20</f>
        <v>320</v>
      </c>
      <c r="J21" s="70">
        <f t="shared" si="3"/>
        <v>380498201.09625244</v>
      </c>
      <c r="K21" s="70">
        <f t="shared" si="1"/>
        <v>14577404.803772449</v>
      </c>
      <c r="L21" s="330">
        <f t="shared" si="2"/>
        <v>3.9837595871760043E-2</v>
      </c>
      <c r="M21" s="730"/>
      <c r="N21" s="495"/>
      <c r="O21" s="294"/>
      <c r="P21" s="294"/>
      <c r="V21" s="495"/>
      <c r="W21" s="495"/>
      <c r="AI21" s="66"/>
      <c r="AJ21" s="66"/>
    </row>
    <row r="22" spans="1:36">
      <c r="A22" s="66">
        <f t="shared" si="0"/>
        <v>2005</v>
      </c>
      <c r="B22" s="67">
        <v>38565</v>
      </c>
      <c r="C22" s="294">
        <f>HLOOKUP(MONTH(B22),'Purchased kWh'!$4:$17,7,FALSE)</f>
        <v>358835198.94231999</v>
      </c>
      <c r="D22" s="68">
        <f>'Month &amp; Hour Data'!B21</f>
        <v>0.2</v>
      </c>
      <c r="E22" s="68">
        <f>'Month &amp; Hour Data'!C21</f>
        <v>140.69999999999999</v>
      </c>
      <c r="F22" s="308">
        <f>'Month &amp; Hour Data'!H21</f>
        <v>1.05887441917042</v>
      </c>
      <c r="G22" s="69">
        <f>'Month &amp; Hour Data'!D21</f>
        <v>31</v>
      </c>
      <c r="H22" s="69">
        <f>'Month &amp; Hour Data'!E21</f>
        <v>0</v>
      </c>
      <c r="I22" s="69">
        <f>'Month &amp; Hour Data'!G21</f>
        <v>352</v>
      </c>
      <c r="J22" s="70">
        <f t="shared" si="3"/>
        <v>362011581.10610473</v>
      </c>
      <c r="K22" s="70">
        <f t="shared" si="1"/>
        <v>3176382.1637847424</v>
      </c>
      <c r="L22" s="330">
        <f t="shared" si="2"/>
        <v>8.8519247084657415E-3</v>
      </c>
      <c r="M22" s="730"/>
      <c r="N22" s="495"/>
      <c r="O22" s="495"/>
      <c r="Q22" s="495"/>
      <c r="R22" s="495"/>
      <c r="S22" s="495"/>
      <c r="T22" s="4"/>
      <c r="U22" s="4"/>
      <c r="V22" s="4"/>
      <c r="W22" s="4"/>
      <c r="AI22" s="66"/>
      <c r="AJ22" s="66"/>
    </row>
    <row r="23" spans="1:36">
      <c r="A23" s="66">
        <f t="shared" si="0"/>
        <v>2005</v>
      </c>
      <c r="B23" s="67">
        <v>38596</v>
      </c>
      <c r="C23" s="294">
        <f>HLOOKUP(MONTH(B23),'Purchased kWh'!$4:$17,7,FALSE)</f>
        <v>314383693.67223996</v>
      </c>
      <c r="D23" s="68">
        <f>'Month &amp; Hour Data'!B22</f>
        <v>22.6</v>
      </c>
      <c r="E23" s="68">
        <f>'Month &amp; Hour Data'!C22</f>
        <v>52.1</v>
      </c>
      <c r="F23" s="308">
        <f>'Month &amp; Hour Data'!H22</f>
        <v>1.0612826511108788</v>
      </c>
      <c r="G23" s="69">
        <f>'Month &amp; Hour Data'!D22</f>
        <v>30</v>
      </c>
      <c r="H23" s="69">
        <f>'Month &amp; Hour Data'!E22</f>
        <v>1</v>
      </c>
      <c r="I23" s="69">
        <f>'Month &amp; Hour Data'!G22</f>
        <v>336</v>
      </c>
      <c r="J23" s="70">
        <f t="shared" si="3"/>
        <v>305347037.7256878</v>
      </c>
      <c r="K23" s="70">
        <f t="shared" si="1"/>
        <v>-9036655.9465521574</v>
      </c>
      <c r="L23" s="330">
        <f t="shared" si="2"/>
        <v>-2.8744035166064635E-2</v>
      </c>
      <c r="M23" s="730"/>
      <c r="N23" s="495"/>
      <c r="O23" s="495"/>
      <c r="Q23" s="495"/>
      <c r="R23" s="495"/>
      <c r="S23" s="495"/>
      <c r="T23" s="4"/>
      <c r="U23" s="4"/>
      <c r="V23" s="4"/>
      <c r="W23" s="4"/>
      <c r="AI23" s="66"/>
      <c r="AJ23" s="66"/>
    </row>
    <row r="24" spans="1:36">
      <c r="A24" s="66">
        <f t="shared" si="0"/>
        <v>2005</v>
      </c>
      <c r="B24" s="67">
        <v>38626</v>
      </c>
      <c r="C24" s="294">
        <f>HLOOKUP(MONTH(B24),'Purchased kWh'!$4:$17,7,FALSE)</f>
        <v>304341531.72799999</v>
      </c>
      <c r="D24" s="68">
        <f>'Month &amp; Hour Data'!B23</f>
        <v>220.2</v>
      </c>
      <c r="E24" s="68">
        <f>'Month &amp; Hour Data'!C23</f>
        <v>7.6</v>
      </c>
      <c r="F24" s="308">
        <f>'Month &amp; Hour Data'!H23</f>
        <v>1.0636963601702236</v>
      </c>
      <c r="G24" s="69">
        <f>'Month &amp; Hour Data'!D23</f>
        <v>31</v>
      </c>
      <c r="H24" s="69">
        <f>'Month &amp; Hour Data'!E23</f>
        <v>1</v>
      </c>
      <c r="I24" s="69">
        <f>'Month &amp; Hour Data'!G23</f>
        <v>320</v>
      </c>
      <c r="J24" s="70">
        <f t="shared" si="3"/>
        <v>297459138.58108371</v>
      </c>
      <c r="K24" s="70">
        <f t="shared" si="1"/>
        <v>-6882393.1469162703</v>
      </c>
      <c r="L24" s="330">
        <f t="shared" si="2"/>
        <v>-2.2614045174311901E-2</v>
      </c>
      <c r="M24" s="730"/>
      <c r="N24" s="495"/>
      <c r="O24" s="495"/>
      <c r="Q24" s="495"/>
      <c r="R24" s="495"/>
      <c r="S24" s="495"/>
      <c r="T24" s="4"/>
      <c r="U24" s="4"/>
      <c r="V24" s="4"/>
      <c r="W24" s="4"/>
      <c r="AI24" s="66"/>
      <c r="AJ24" s="66"/>
    </row>
    <row r="25" spans="1:36">
      <c r="A25" s="66">
        <f t="shared" si="0"/>
        <v>2005</v>
      </c>
      <c r="B25" s="67">
        <v>38657</v>
      </c>
      <c r="C25" s="294">
        <f>HLOOKUP(MONTH(B25),'Purchased kWh'!$4:$17,7,FALSE)</f>
        <v>311009155.23224002</v>
      </c>
      <c r="D25" s="68">
        <f>'Month &amp; Hour Data'!B24</f>
        <v>388.4</v>
      </c>
      <c r="E25" s="68">
        <f>'Month &amp; Hour Data'!C24</f>
        <v>0</v>
      </c>
      <c r="F25" s="308">
        <f>'Month &amp; Hour Data'!H24</f>
        <v>1.0661155588052409</v>
      </c>
      <c r="G25" s="69">
        <f>'Month &amp; Hour Data'!D24</f>
        <v>30</v>
      </c>
      <c r="H25" s="69">
        <f>'Month &amp; Hour Data'!E24</f>
        <v>1</v>
      </c>
      <c r="I25" s="69">
        <f>'Month &amp; Hour Data'!G24</f>
        <v>352</v>
      </c>
      <c r="J25" s="70">
        <f t="shared" si="3"/>
        <v>302267112.26062918</v>
      </c>
      <c r="K25" s="70">
        <f t="shared" si="1"/>
        <v>-8742042.9716108441</v>
      </c>
      <c r="L25" s="330">
        <f t="shared" si="2"/>
        <v>-2.8108635467926642E-2</v>
      </c>
      <c r="M25" s="730"/>
      <c r="N25" s="495"/>
      <c r="O25" s="495"/>
      <c r="Q25" s="495"/>
      <c r="R25" s="495"/>
      <c r="S25" s="495"/>
      <c r="T25" s="4"/>
      <c r="U25" s="4"/>
      <c r="V25" s="4"/>
      <c r="W25" s="4"/>
      <c r="AI25" s="66"/>
      <c r="AJ25" s="66"/>
    </row>
    <row r="26" spans="1:36">
      <c r="A26" s="66">
        <f t="shared" si="0"/>
        <v>2005</v>
      </c>
      <c r="B26" s="67">
        <v>38687</v>
      </c>
      <c r="C26" s="294">
        <f>HLOOKUP(MONTH(B26),'Purchased kWh'!$4:$17,7,FALSE)</f>
        <v>329446542.45952004</v>
      </c>
      <c r="D26" s="68">
        <f>'Month &amp; Hour Data'!B25</f>
        <v>665.3</v>
      </c>
      <c r="E26" s="68">
        <f>'Month &amp; Hour Data'!C25</f>
        <v>0</v>
      </c>
      <c r="F26" s="308">
        <f>'Month &amp; Hour Data'!H25</f>
        <v>1.068540259501048</v>
      </c>
      <c r="G26" s="69">
        <f>'Month &amp; Hour Data'!D25</f>
        <v>31</v>
      </c>
      <c r="H26" s="69">
        <f>'Month &amp; Hour Data'!E25</f>
        <v>0</v>
      </c>
      <c r="I26" s="69">
        <f>'Month &amp; Hour Data'!G25</f>
        <v>320</v>
      </c>
      <c r="J26" s="70">
        <f t="shared" si="3"/>
        <v>323770822.10713732</v>
      </c>
      <c r="K26" s="70">
        <f t="shared" si="1"/>
        <v>-5675720.3523827195</v>
      </c>
      <c r="L26" s="330">
        <f t="shared" si="2"/>
        <v>-1.7228046498864412E-2</v>
      </c>
      <c r="M26" s="730"/>
      <c r="N26" s="495"/>
      <c r="O26" s="495"/>
      <c r="Q26" s="495"/>
      <c r="R26" s="495"/>
      <c r="S26" s="495"/>
      <c r="T26" s="4"/>
      <c r="U26" s="4"/>
      <c r="V26" s="4"/>
      <c r="W26" s="4"/>
      <c r="AI26" s="66"/>
      <c r="AJ26" s="66"/>
    </row>
    <row r="27" spans="1:36">
      <c r="A27" s="66">
        <f t="shared" si="0"/>
        <v>2006</v>
      </c>
      <c r="B27" s="67">
        <v>38718</v>
      </c>
      <c r="C27" s="294">
        <f>HLOOKUP(MONTH(B27),'Purchased kWh'!$4:$17,8,FALSE)</f>
        <v>329248076.85679996</v>
      </c>
      <c r="D27" s="68">
        <f>'Month &amp; Hour Data'!B26</f>
        <v>551.79999999999995</v>
      </c>
      <c r="E27" s="68">
        <f>'Month &amp; Hour Data'!C26</f>
        <v>0</v>
      </c>
      <c r="F27" s="308">
        <f>'Month &amp; Hour Data'!H26</f>
        <v>1.0706945906258896</v>
      </c>
      <c r="G27" s="69">
        <f>'Month &amp; Hour Data'!D26</f>
        <v>31</v>
      </c>
      <c r="H27" s="69">
        <f>'Month &amp; Hour Data'!E26</f>
        <v>0</v>
      </c>
      <c r="I27" s="69">
        <f>'Month &amp; Hour Data'!G26</f>
        <v>336</v>
      </c>
      <c r="J27" s="70">
        <f t="shared" si="3"/>
        <v>320843143.43649888</v>
      </c>
      <c r="K27" s="70">
        <f t="shared" si="1"/>
        <v>-8404933.4203010798</v>
      </c>
      <c r="L27" s="330">
        <f t="shared" si="2"/>
        <v>-2.5527661393012911E-2</v>
      </c>
      <c r="M27" s="730"/>
      <c r="N27" s="495"/>
      <c r="O27" s="593"/>
      <c r="P27" s="593"/>
      <c r="Q27" s="495"/>
      <c r="R27" s="495"/>
      <c r="S27" s="495"/>
      <c r="T27" s="4"/>
      <c r="U27" s="4"/>
      <c r="V27" s="4"/>
      <c r="W27" s="4"/>
      <c r="AI27" s="66"/>
      <c r="AJ27" s="66"/>
    </row>
    <row r="28" spans="1:36">
      <c r="A28" s="66">
        <f t="shared" si="0"/>
        <v>2006</v>
      </c>
      <c r="B28" s="67">
        <v>38749</v>
      </c>
      <c r="C28" s="294">
        <f>HLOOKUP(MONTH(B28),'Purchased kWh'!$4:$17,8,FALSE)</f>
        <v>304825404.56072003</v>
      </c>
      <c r="D28" s="68">
        <f>'Month &amp; Hour Data'!B27</f>
        <v>604.29999999999995</v>
      </c>
      <c r="E28" s="68">
        <f>'Month &amp; Hour Data'!C27</f>
        <v>0</v>
      </c>
      <c r="F28" s="308">
        <f>'Month &amp; Hour Data'!H27</f>
        <v>1.0728532651926865</v>
      </c>
      <c r="G28" s="69">
        <f>'Month &amp; Hour Data'!D27</f>
        <v>28</v>
      </c>
      <c r="H28" s="69">
        <f>'Month &amp; Hour Data'!E27</f>
        <v>0</v>
      </c>
      <c r="I28" s="69">
        <f>'Month &amp; Hour Data'!G27</f>
        <v>320</v>
      </c>
      <c r="J28" s="70">
        <f t="shared" si="3"/>
        <v>303697643.50641584</v>
      </c>
      <c r="K28" s="70">
        <f t="shared" si="1"/>
        <v>-1127761.0543041825</v>
      </c>
      <c r="L28" s="330">
        <f t="shared" si="2"/>
        <v>-3.6996950957200714E-3</v>
      </c>
      <c r="M28" s="730"/>
      <c r="N28" s="495"/>
      <c r="O28" s="310"/>
      <c r="P28" s="310"/>
      <c r="Q28" s="495"/>
      <c r="R28" s="495"/>
      <c r="S28" s="495"/>
      <c r="T28" s="4"/>
      <c r="U28" s="4"/>
      <c r="V28" s="4"/>
      <c r="W28" s="4"/>
      <c r="AI28" s="66"/>
      <c r="AJ28" s="66"/>
    </row>
    <row r="29" spans="1:36">
      <c r="A29" s="66">
        <f t="shared" si="0"/>
        <v>2006</v>
      </c>
      <c r="B29" s="67">
        <v>38777</v>
      </c>
      <c r="C29" s="294">
        <f>HLOOKUP(MONTH(B29),'Purchased kWh'!$4:$17,8,FALSE)</f>
        <v>325241931.66935998</v>
      </c>
      <c r="D29" s="68">
        <f>'Month &amp; Hour Data'!B28</f>
        <v>516.6</v>
      </c>
      <c r="E29" s="68">
        <f>'Month &amp; Hour Data'!C28</f>
        <v>0</v>
      </c>
      <c r="F29" s="308">
        <f>'Month &amp; Hour Data'!H28</f>
        <v>1.0750162919584452</v>
      </c>
      <c r="G29" s="69">
        <f>'Month &amp; Hour Data'!D28</f>
        <v>31</v>
      </c>
      <c r="H29" s="69">
        <f>'Month &amp; Hour Data'!E28</f>
        <v>1</v>
      </c>
      <c r="I29" s="69">
        <f>'Month &amp; Hour Data'!G28</f>
        <v>368</v>
      </c>
      <c r="J29" s="70">
        <f t="shared" si="3"/>
        <v>319868810.93368834</v>
      </c>
      <c r="K29" s="70">
        <f t="shared" si="1"/>
        <v>-5373120.7356716394</v>
      </c>
      <c r="L29" s="330">
        <f t="shared" si="2"/>
        <v>-1.6520381329963134E-2</v>
      </c>
      <c r="M29" s="730"/>
      <c r="N29" s="495"/>
      <c r="O29" s="310"/>
      <c r="P29" s="310"/>
      <c r="Q29" s="495"/>
      <c r="R29" s="495"/>
      <c r="S29" s="495"/>
      <c r="T29" s="4"/>
      <c r="U29" s="4"/>
      <c r="V29" s="4"/>
      <c r="W29" s="4"/>
      <c r="AI29" s="66"/>
      <c r="AJ29" s="66"/>
    </row>
    <row r="30" spans="1:36">
      <c r="A30" s="66">
        <f t="shared" si="0"/>
        <v>2006</v>
      </c>
      <c r="B30" s="67">
        <v>38808</v>
      </c>
      <c r="C30" s="294">
        <f>HLOOKUP(MONTH(B30),'Purchased kWh'!$4:$17,8,FALSE)</f>
        <v>289070045.05703998</v>
      </c>
      <c r="D30" s="68">
        <f>'Month &amp; Hour Data'!B29</f>
        <v>293.3</v>
      </c>
      <c r="E30" s="68">
        <f>'Month &amp; Hour Data'!C29</f>
        <v>0</v>
      </c>
      <c r="F30" s="308">
        <f>'Month &amp; Hour Data'!H29</f>
        <v>1.0771836796978254</v>
      </c>
      <c r="G30" s="69">
        <f>'Month &amp; Hour Data'!D29</f>
        <v>30</v>
      </c>
      <c r="H30" s="69">
        <f>'Month &amp; Hour Data'!E29</f>
        <v>1</v>
      </c>
      <c r="I30" s="69">
        <f>'Month &amp; Hour Data'!G29</f>
        <v>304</v>
      </c>
      <c r="J30" s="70">
        <f t="shared" si="3"/>
        <v>292442556.95712698</v>
      </c>
      <c r="K30" s="70">
        <f t="shared" si="1"/>
        <v>3372511.9000869989</v>
      </c>
      <c r="L30" s="330">
        <f t="shared" si="2"/>
        <v>1.1666763671142498E-2</v>
      </c>
      <c r="M30" s="730"/>
      <c r="N30" s="495"/>
      <c r="O30" s="310"/>
      <c r="P30" s="310"/>
      <c r="Q30" s="495"/>
      <c r="R30" s="495"/>
      <c r="S30" s="495"/>
      <c r="T30" s="4"/>
      <c r="U30" s="4"/>
      <c r="V30" s="4"/>
      <c r="W30" s="4"/>
      <c r="AI30" s="66"/>
      <c r="AJ30" s="66"/>
    </row>
    <row r="31" spans="1:36">
      <c r="A31" s="66">
        <f t="shared" si="0"/>
        <v>2006</v>
      </c>
      <c r="B31" s="67">
        <v>38838</v>
      </c>
      <c r="C31" s="294">
        <f>HLOOKUP(MONTH(B31),'Purchased kWh'!$4:$17,8,FALSE)</f>
        <v>310032606.06352001</v>
      </c>
      <c r="D31" s="68">
        <f>'Month &amp; Hour Data'!B30</f>
        <v>136.9</v>
      </c>
      <c r="E31" s="68">
        <f>'Month &amp; Hour Data'!C30</f>
        <v>26</v>
      </c>
      <c r="F31" s="308">
        <f>'Month &amp; Hour Data'!H30</f>
        <v>1.0793554372031784</v>
      </c>
      <c r="G31" s="69">
        <f>'Month &amp; Hour Data'!D30</f>
        <v>31</v>
      </c>
      <c r="H31" s="69">
        <f>'Month &amp; Hour Data'!E30</f>
        <v>1</v>
      </c>
      <c r="I31" s="69">
        <f>'Month &amp; Hour Data'!G30</f>
        <v>352</v>
      </c>
      <c r="J31" s="70">
        <f t="shared" si="3"/>
        <v>311408477.79570431</v>
      </c>
      <c r="K31" s="70">
        <f t="shared" si="1"/>
        <v>1375871.7321842909</v>
      </c>
      <c r="L31" s="330">
        <f t="shared" si="2"/>
        <v>4.4378291356309794E-3</v>
      </c>
      <c r="M31" s="730"/>
      <c r="N31" s="495"/>
      <c r="O31" s="310"/>
      <c r="P31" s="310"/>
      <c r="Q31" s="495"/>
      <c r="R31" s="495"/>
      <c r="S31" s="495"/>
      <c r="T31" s="4"/>
      <c r="U31" s="4"/>
      <c r="V31" s="4"/>
      <c r="W31" s="4"/>
      <c r="AI31" s="66"/>
      <c r="AJ31" s="66"/>
    </row>
    <row r="32" spans="1:36">
      <c r="A32" s="66">
        <f t="shared" si="0"/>
        <v>2006</v>
      </c>
      <c r="B32" s="67">
        <v>38869</v>
      </c>
      <c r="C32" s="294">
        <f>HLOOKUP(MONTH(B32),'Purchased kWh'!$4:$17,8,FALSE)</f>
        <v>333895801.36328</v>
      </c>
      <c r="D32" s="68">
        <f>'Month &amp; Hour Data'!B31</f>
        <v>19.5</v>
      </c>
      <c r="E32" s="68">
        <f>'Month &amp; Hour Data'!C31</f>
        <v>73.599999999999994</v>
      </c>
      <c r="F32" s="308">
        <f>'Month &amp; Hour Data'!H31</f>
        <v>1.0815315732845823</v>
      </c>
      <c r="G32" s="69">
        <f>'Month &amp; Hour Data'!D31</f>
        <v>30</v>
      </c>
      <c r="H32" s="69">
        <f>'Month &amp; Hour Data'!E31</f>
        <v>0</v>
      </c>
      <c r="I32" s="69">
        <f>'Month &amp; Hour Data'!G31</f>
        <v>352</v>
      </c>
      <c r="J32" s="70">
        <f t="shared" si="3"/>
        <v>329043827.75933129</v>
      </c>
      <c r="K32" s="70">
        <f t="shared" si="1"/>
        <v>-4851973.6039487123</v>
      </c>
      <c r="L32" s="330">
        <f t="shared" si="2"/>
        <v>-1.4531400467266569E-2</v>
      </c>
      <c r="M32" s="730"/>
      <c r="N32" s="495"/>
      <c r="O32" s="310"/>
      <c r="P32" s="310"/>
      <c r="Q32" s="495"/>
      <c r="R32" s="495"/>
      <c r="S32" s="495"/>
      <c r="T32" s="4"/>
      <c r="U32" s="4"/>
      <c r="V32" s="4"/>
      <c r="W32" s="4"/>
      <c r="AI32" s="66"/>
      <c r="AJ32" s="66"/>
    </row>
    <row r="33" spans="1:36">
      <c r="A33" s="66">
        <f t="shared" si="0"/>
        <v>2006</v>
      </c>
      <c r="B33" s="67">
        <v>38899</v>
      </c>
      <c r="C33" s="294">
        <f>HLOOKUP(MONTH(B33),'Purchased kWh'!$4:$17,8,FALSE)</f>
        <v>371225703.04703999</v>
      </c>
      <c r="D33" s="68">
        <f>'Month &amp; Hour Data'!B32</f>
        <v>0</v>
      </c>
      <c r="E33" s="68">
        <f>'Month &amp; Hour Data'!C32</f>
        <v>167.3</v>
      </c>
      <c r="F33" s="308">
        <f>'Month &amp; Hour Data'!H32</f>
        <v>1.0837120967698766</v>
      </c>
      <c r="G33" s="69">
        <f>'Month &amp; Hour Data'!D32</f>
        <v>31</v>
      </c>
      <c r="H33" s="69">
        <f>'Month &amp; Hour Data'!E32</f>
        <v>0</v>
      </c>
      <c r="I33" s="69">
        <f>'Month &amp; Hour Data'!G32</f>
        <v>320</v>
      </c>
      <c r="J33" s="70">
        <f t="shared" si="3"/>
        <v>376696128.37044919</v>
      </c>
      <c r="K33" s="70">
        <f t="shared" si="1"/>
        <v>5470425.3234091997</v>
      </c>
      <c r="L33" s="330">
        <f t="shared" si="2"/>
        <v>1.4736116811168145E-2</v>
      </c>
      <c r="M33" s="730"/>
      <c r="N33" s="495"/>
      <c r="O33" s="495"/>
      <c r="Q33" s="495"/>
      <c r="R33" s="495"/>
      <c r="S33" s="495"/>
      <c r="T33" s="4"/>
      <c r="U33" s="4"/>
      <c r="V33" s="4"/>
      <c r="W33" s="4"/>
      <c r="AI33" s="66"/>
      <c r="AJ33" s="66"/>
    </row>
    <row r="34" spans="1:36">
      <c r="A34" s="66">
        <f t="shared" si="0"/>
        <v>2006</v>
      </c>
      <c r="B34" s="67">
        <v>38930</v>
      </c>
      <c r="C34" s="294">
        <f>HLOOKUP(MONTH(B34),'Purchased kWh'!$4:$17,8,FALSE)</f>
        <v>353706210.33784002</v>
      </c>
      <c r="D34" s="68">
        <f>'Month &amp; Hour Data'!B33</f>
        <v>4.2</v>
      </c>
      <c r="E34" s="68">
        <f>'Month &amp; Hour Data'!C33</f>
        <v>101.6</v>
      </c>
      <c r="F34" s="308">
        <f>'Month &amp; Hour Data'!H33</f>
        <v>1.0858970165047004</v>
      </c>
      <c r="G34" s="69">
        <f>'Month &amp; Hour Data'!D33</f>
        <v>31</v>
      </c>
      <c r="H34" s="69">
        <f>'Month &amp; Hour Data'!E33</f>
        <v>0</v>
      </c>
      <c r="I34" s="69">
        <f>'Month &amp; Hour Data'!G33</f>
        <v>352</v>
      </c>
      <c r="J34" s="70">
        <f t="shared" si="3"/>
        <v>349444927.39102566</v>
      </c>
      <c r="K34" s="70">
        <f t="shared" si="1"/>
        <v>-4261282.9468143582</v>
      </c>
      <c r="L34" s="330">
        <f t="shared" si="2"/>
        <v>-1.2047520858466759E-2</v>
      </c>
      <c r="M34" s="730"/>
      <c r="N34" s="495"/>
      <c r="O34" s="495"/>
      <c r="Q34" s="495"/>
      <c r="R34" s="495"/>
      <c r="S34" s="495"/>
      <c r="T34" s="4"/>
      <c r="U34" s="4"/>
      <c r="V34" s="4"/>
      <c r="W34" s="4"/>
      <c r="AI34" s="66"/>
      <c r="AJ34" s="66"/>
    </row>
    <row r="35" spans="1:36">
      <c r="A35" s="66">
        <f t="shared" si="0"/>
        <v>2006</v>
      </c>
      <c r="B35" s="67">
        <v>38961</v>
      </c>
      <c r="C35" s="294">
        <f>HLOOKUP(MONTH(B35),'Purchased kWh'!$4:$17,8,FALSE)</f>
        <v>298103404.68008</v>
      </c>
      <c r="D35" s="68">
        <f>'Month &amp; Hour Data'!B34</f>
        <v>80.900000000000006</v>
      </c>
      <c r="E35" s="68">
        <f>'Month &amp; Hour Data'!C34</f>
        <v>12.9</v>
      </c>
      <c r="F35" s="308">
        <f>'Month &amp; Hour Data'!H34</f>
        <v>1.0880863413525259</v>
      </c>
      <c r="G35" s="69">
        <f>'Month &amp; Hour Data'!D34</f>
        <v>30</v>
      </c>
      <c r="H35" s="69">
        <f>'Month &amp; Hour Data'!E34</f>
        <v>1</v>
      </c>
      <c r="I35" s="69">
        <f>'Month &amp; Hour Data'!G34</f>
        <v>320</v>
      </c>
      <c r="J35" s="70">
        <f t="shared" si="3"/>
        <v>293014175.64884901</v>
      </c>
      <c r="K35" s="70">
        <f t="shared" ref="K35:K66" si="4">J35-C35</f>
        <v>-5089229.0312309861</v>
      </c>
      <c r="L35" s="330">
        <f t="shared" ref="L35:L66" si="5">K35/C35</f>
        <v>-1.7072025851877368E-2</v>
      </c>
      <c r="M35" s="730"/>
      <c r="N35" s="495"/>
      <c r="O35" s="506"/>
      <c r="P35" s="506"/>
      <c r="Q35" s="506"/>
      <c r="R35" s="506"/>
      <c r="S35" s="506"/>
      <c r="T35" s="506"/>
      <c r="U35" s="4"/>
      <c r="V35" s="4"/>
      <c r="W35" s="4"/>
      <c r="AI35" s="66"/>
      <c r="AJ35" s="66"/>
    </row>
    <row r="36" spans="1:36">
      <c r="A36" s="66">
        <f t="shared" si="0"/>
        <v>2006</v>
      </c>
      <c r="B36" s="67">
        <v>38991</v>
      </c>
      <c r="C36" s="294">
        <f>HLOOKUP(MONTH(B36),'Purchased kWh'!$4:$17,8,FALSE)</f>
        <v>307942170.88808</v>
      </c>
      <c r="D36" s="68">
        <f>'Month &amp; Hour Data'!B35</f>
        <v>288.3</v>
      </c>
      <c r="E36" s="68">
        <f>'Month &amp; Hour Data'!C35</f>
        <v>1.1000000000000001</v>
      </c>
      <c r="F36" s="308">
        <f>'Month &amp; Hour Data'!H35</f>
        <v>1.0902800801946957</v>
      </c>
      <c r="G36" s="69">
        <f>'Month &amp; Hour Data'!D35</f>
        <v>31</v>
      </c>
      <c r="H36" s="69">
        <f>'Month &amp; Hour Data'!E35</f>
        <v>1</v>
      </c>
      <c r="I36" s="69">
        <f>'Month &amp; Hour Data'!G35</f>
        <v>336</v>
      </c>
      <c r="J36" s="70">
        <f t="shared" si="3"/>
        <v>307149528.51732188</v>
      </c>
      <c r="K36" s="70">
        <f t="shared" si="4"/>
        <v>-792642.37075811625</v>
      </c>
      <c r="L36" s="330">
        <f t="shared" si="5"/>
        <v>-2.5739974764489078E-3</v>
      </c>
      <c r="M36" s="730"/>
      <c r="N36" s="495"/>
      <c r="O36" s="310"/>
      <c r="P36" s="310"/>
      <c r="Q36" s="310"/>
      <c r="R36" s="310"/>
      <c r="S36" s="310"/>
      <c r="T36" s="310"/>
      <c r="U36" s="4"/>
      <c r="V36" s="4"/>
      <c r="W36" s="4"/>
      <c r="AI36" s="66"/>
      <c r="AJ36" s="66"/>
    </row>
    <row r="37" spans="1:36">
      <c r="A37" s="66">
        <f t="shared" si="0"/>
        <v>2006</v>
      </c>
      <c r="B37" s="67">
        <v>39022</v>
      </c>
      <c r="C37" s="294">
        <f>HLOOKUP(MONTH(B37),'Purchased kWh'!$4:$17,8,FALSE)</f>
        <v>312999805.54064</v>
      </c>
      <c r="D37" s="68">
        <f>'Month &amp; Hour Data'!B36</f>
        <v>382.2</v>
      </c>
      <c r="E37" s="68">
        <f>'Month &amp; Hour Data'!C36</f>
        <v>0</v>
      </c>
      <c r="F37" s="308">
        <f>'Month &amp; Hour Data'!H36</f>
        <v>1.0924782419304584</v>
      </c>
      <c r="G37" s="69">
        <f>'Month &amp; Hour Data'!D36</f>
        <v>30</v>
      </c>
      <c r="H37" s="69">
        <f>'Month &amp; Hour Data'!E36</f>
        <v>1</v>
      </c>
      <c r="I37" s="69">
        <f>'Month &amp; Hour Data'!G36</f>
        <v>352</v>
      </c>
      <c r="J37" s="70">
        <f t="shared" si="3"/>
        <v>308696877.96565187</v>
      </c>
      <c r="K37" s="70">
        <f t="shared" si="4"/>
        <v>-4302927.5749881268</v>
      </c>
      <c r="L37" s="330">
        <f t="shared" si="5"/>
        <v>-1.3747380984968163E-2</v>
      </c>
      <c r="M37" s="730"/>
      <c r="N37" s="495"/>
      <c r="O37" s="310"/>
      <c r="P37" s="310"/>
      <c r="Q37" s="310"/>
      <c r="R37" s="310"/>
      <c r="S37" s="310"/>
      <c r="T37" s="310"/>
      <c r="U37" s="4"/>
      <c r="V37" s="4"/>
      <c r="W37" s="4"/>
      <c r="AI37" s="66"/>
      <c r="AJ37" s="66"/>
    </row>
    <row r="38" spans="1:36">
      <c r="A38" s="66">
        <f t="shared" si="0"/>
        <v>2006</v>
      </c>
      <c r="B38" s="67">
        <v>39052</v>
      </c>
      <c r="C38" s="294">
        <f>HLOOKUP(MONTH(B38),'Purchased kWh'!$4:$17,8,FALSE)</f>
        <v>317982953.65599346</v>
      </c>
      <c r="D38" s="68">
        <f>'Month &amp; Hour Data'!B37</f>
        <v>500.5</v>
      </c>
      <c r="E38" s="68">
        <f>'Month &amp; Hour Data'!C37</f>
        <v>0</v>
      </c>
      <c r="F38" s="308">
        <f>'Month &amp; Hour Data'!H37</f>
        <v>1.0946808354770046</v>
      </c>
      <c r="G38" s="69">
        <f>'Month &amp; Hour Data'!D37</f>
        <v>31</v>
      </c>
      <c r="H38" s="69">
        <f>'Month &amp; Hour Data'!E37</f>
        <v>0</v>
      </c>
      <c r="I38" s="69">
        <f>'Month &amp; Hour Data'!G37</f>
        <v>304</v>
      </c>
      <c r="J38" s="70">
        <f t="shared" si="3"/>
        <v>319192815.42539054</v>
      </c>
      <c r="K38" s="70">
        <f t="shared" si="4"/>
        <v>1209861.7693970799</v>
      </c>
      <c r="L38" s="330">
        <f t="shared" si="5"/>
        <v>3.8048007149023349E-3</v>
      </c>
      <c r="M38" s="730"/>
      <c r="N38" s="495"/>
      <c r="O38" s="310"/>
      <c r="P38" s="310"/>
      <c r="Q38" s="310"/>
      <c r="R38" s="310"/>
      <c r="S38" s="310"/>
      <c r="T38" s="310"/>
      <c r="U38" s="4"/>
      <c r="V38" s="4"/>
      <c r="W38" s="4"/>
      <c r="AI38" s="66"/>
      <c r="AJ38" s="66"/>
    </row>
    <row r="39" spans="1:36">
      <c r="A39" s="66">
        <f t="shared" si="0"/>
        <v>2007</v>
      </c>
      <c r="B39" s="67">
        <v>39083</v>
      </c>
      <c r="C39" s="294">
        <f>HLOOKUP(MONTH(B39),'Purchased kWh'!$4:$17,9,FALSE)</f>
        <v>332533627.73552001</v>
      </c>
      <c r="D39" s="68">
        <f>'Month &amp; Hour Data'!B38</f>
        <v>647.1</v>
      </c>
      <c r="E39" s="68">
        <f>'Month &amp; Hour Data'!C38</f>
        <v>0</v>
      </c>
      <c r="F39" s="308">
        <f>'Month &amp; Hour Data'!H38</f>
        <v>1.0964502498500059</v>
      </c>
      <c r="G39" s="69">
        <f>'Month &amp; Hour Data'!D38</f>
        <v>31</v>
      </c>
      <c r="H39" s="69">
        <f>'Month &amp; Hour Data'!E38</f>
        <v>0</v>
      </c>
      <c r="I39" s="69">
        <f>'Month &amp; Hour Data'!G38</f>
        <v>352</v>
      </c>
      <c r="J39" s="70">
        <f t="shared" si="3"/>
        <v>335039821.28826869</v>
      </c>
      <c r="K39" s="70">
        <f t="shared" si="4"/>
        <v>2506193.5527486801</v>
      </c>
      <c r="L39" s="330">
        <f t="shared" si="5"/>
        <v>7.5366619905941554E-3</v>
      </c>
      <c r="M39" s="730"/>
      <c r="N39" s="495"/>
      <c r="O39" s="495"/>
      <c r="Q39" s="495"/>
      <c r="R39" s="495"/>
      <c r="S39" s="495"/>
      <c r="T39" s="4"/>
      <c r="U39" s="4"/>
      <c r="V39" s="4"/>
      <c r="W39" s="4"/>
      <c r="AI39" s="66"/>
      <c r="AJ39" s="66"/>
    </row>
    <row r="40" spans="1:36">
      <c r="A40" s="66">
        <f t="shared" si="0"/>
        <v>2007</v>
      </c>
      <c r="B40" s="67">
        <v>39114</v>
      </c>
      <c r="C40" s="294">
        <f>HLOOKUP(MONTH(B40),'Purchased kWh'!$4:$17,9,FALSE)</f>
        <v>318174492.26888001</v>
      </c>
      <c r="D40" s="68">
        <f>'Month &amp; Hour Data'!B39</f>
        <v>740.1</v>
      </c>
      <c r="E40" s="68">
        <f>'Month &amp; Hour Data'!C39</f>
        <v>0</v>
      </c>
      <c r="F40" s="308">
        <f>'Month &amp; Hour Data'!H39</f>
        <v>1.09822252425958</v>
      </c>
      <c r="G40" s="69">
        <f>'Month &amp; Hour Data'!D39</f>
        <v>28</v>
      </c>
      <c r="H40" s="69">
        <f>'Month &amp; Hour Data'!E39</f>
        <v>0</v>
      </c>
      <c r="I40" s="69">
        <f>'Month &amp; Hour Data'!G39</f>
        <v>320</v>
      </c>
      <c r="J40" s="70">
        <f t="shared" si="3"/>
        <v>317403690.8051725</v>
      </c>
      <c r="K40" s="70">
        <f t="shared" si="4"/>
        <v>-770801.46370750666</v>
      </c>
      <c r="L40" s="330">
        <f t="shared" si="5"/>
        <v>-2.4225746640183991E-3</v>
      </c>
      <c r="M40" s="730"/>
      <c r="N40" s="495"/>
      <c r="O40" s="506"/>
      <c r="P40" s="506"/>
      <c r="Q40" s="506"/>
      <c r="R40" s="506"/>
      <c r="S40" s="506"/>
      <c r="T40" s="506"/>
      <c r="U40" s="506"/>
      <c r="V40" s="506"/>
      <c r="W40" s="506"/>
      <c r="AI40" s="66"/>
      <c r="AJ40" s="66"/>
    </row>
    <row r="41" spans="1:36">
      <c r="A41" s="66">
        <f t="shared" si="0"/>
        <v>2007</v>
      </c>
      <c r="B41" s="67">
        <v>39142</v>
      </c>
      <c r="C41" s="294">
        <f>HLOOKUP(MONTH(B41),'Purchased kWh'!$4:$17,9,FALSE)</f>
        <v>330329410.74735999</v>
      </c>
      <c r="D41" s="68">
        <f>'Month &amp; Hour Data'!B40</f>
        <v>546.70000000000005</v>
      </c>
      <c r="E41" s="68">
        <f>'Month &amp; Hour Data'!C40</f>
        <v>0</v>
      </c>
      <c r="F41" s="308">
        <f>'Month &amp; Hour Data'!H40</f>
        <v>1.0999976633286159</v>
      </c>
      <c r="G41" s="69">
        <f>'Month &amp; Hour Data'!D40</f>
        <v>31</v>
      </c>
      <c r="H41" s="69">
        <f>'Month &amp; Hour Data'!E40</f>
        <v>1</v>
      </c>
      <c r="I41" s="69">
        <f>'Month &amp; Hour Data'!G40</f>
        <v>352</v>
      </c>
      <c r="J41" s="70">
        <f t="shared" si="3"/>
        <v>325330134.44807899</v>
      </c>
      <c r="K41" s="70">
        <f t="shared" si="4"/>
        <v>-4999276.2992810011</v>
      </c>
      <c r="L41" s="330">
        <f t="shared" si="5"/>
        <v>-1.5134214927972336E-2</v>
      </c>
      <c r="M41" s="730"/>
      <c r="N41" s="495"/>
      <c r="O41" s="310"/>
      <c r="P41" s="310"/>
      <c r="Q41" s="310"/>
      <c r="R41" s="310"/>
      <c r="S41" s="310"/>
      <c r="T41" s="310"/>
      <c r="U41" s="310"/>
      <c r="V41" s="310"/>
      <c r="W41" s="310"/>
      <c r="AI41" s="66"/>
      <c r="AJ41" s="66"/>
    </row>
    <row r="42" spans="1:36">
      <c r="A42" s="66">
        <f t="shared" si="0"/>
        <v>2007</v>
      </c>
      <c r="B42" s="67">
        <v>39173</v>
      </c>
      <c r="C42" s="294">
        <f>HLOOKUP(MONTH(B42),'Purchased kWh'!$4:$17,9,FALSE)</f>
        <v>301193988.05048001</v>
      </c>
      <c r="D42" s="68">
        <f>'Month &amp; Hour Data'!B41</f>
        <v>356.4</v>
      </c>
      <c r="E42" s="68">
        <f>'Month &amp; Hour Data'!C41</f>
        <v>0</v>
      </c>
      <c r="F42" s="308">
        <f>'Month &amp; Hour Data'!H41</f>
        <v>1.1017756716874769</v>
      </c>
      <c r="G42" s="69">
        <f>'Month &amp; Hour Data'!D41</f>
        <v>30</v>
      </c>
      <c r="H42" s="69">
        <f>'Month &amp; Hour Data'!E41</f>
        <v>1</v>
      </c>
      <c r="I42" s="69">
        <f>'Month &amp; Hour Data'!G41</f>
        <v>320</v>
      </c>
      <c r="J42" s="70">
        <f t="shared" si="3"/>
        <v>304633180.38980818</v>
      </c>
      <c r="K42" s="70">
        <f t="shared" si="4"/>
        <v>3439192.3393281698</v>
      </c>
      <c r="L42" s="330">
        <f t="shared" si="5"/>
        <v>1.1418529173137952E-2</v>
      </c>
      <c r="M42" s="730"/>
      <c r="N42" s="495"/>
      <c r="O42" s="310"/>
      <c r="P42" s="310"/>
      <c r="Q42" s="310"/>
      <c r="R42" s="310"/>
      <c r="S42" s="310"/>
      <c r="T42" s="310"/>
      <c r="U42" s="310"/>
      <c r="V42" s="310"/>
      <c r="W42" s="310"/>
      <c r="AI42" s="66"/>
      <c r="AJ42" s="66"/>
    </row>
    <row r="43" spans="1:36">
      <c r="A43" s="66">
        <f t="shared" si="0"/>
        <v>2007</v>
      </c>
      <c r="B43" s="67">
        <v>39203</v>
      </c>
      <c r="C43" s="294">
        <f>HLOOKUP(MONTH(B43),'Purchased kWh'!$4:$17,9,FALSE)</f>
        <v>313881665.17031997</v>
      </c>
      <c r="D43" s="68">
        <f>'Month &amp; Hour Data'!B42</f>
        <v>136.4</v>
      </c>
      <c r="E43" s="68">
        <f>'Month &amp; Hour Data'!C42</f>
        <v>22.4</v>
      </c>
      <c r="F43" s="308">
        <f>'Month &amp; Hour Data'!H42</f>
        <v>1.10355655397401</v>
      </c>
      <c r="G43" s="69">
        <f>'Month &amp; Hour Data'!D42</f>
        <v>31</v>
      </c>
      <c r="H43" s="69">
        <f>'Month &amp; Hour Data'!E42</f>
        <v>1</v>
      </c>
      <c r="I43" s="69">
        <f>'Month &amp; Hour Data'!G42</f>
        <v>352</v>
      </c>
      <c r="J43" s="70">
        <f t="shared" si="3"/>
        <v>315771969.0292241</v>
      </c>
      <c r="K43" s="70">
        <f t="shared" si="4"/>
        <v>1890303.8589041233</v>
      </c>
      <c r="L43" s="330">
        <f t="shared" si="5"/>
        <v>6.0223455800720235E-3</v>
      </c>
      <c r="M43" s="730"/>
      <c r="N43" s="495"/>
      <c r="O43" s="310"/>
      <c r="P43" s="310"/>
      <c r="Q43" s="310"/>
      <c r="R43" s="310"/>
      <c r="S43" s="310"/>
      <c r="T43" s="310"/>
      <c r="U43" s="310"/>
      <c r="V43" s="310"/>
      <c r="W43" s="310"/>
      <c r="AI43" s="66"/>
      <c r="AJ43" s="66"/>
    </row>
    <row r="44" spans="1:36">
      <c r="A44" s="66">
        <f t="shared" si="0"/>
        <v>2007</v>
      </c>
      <c r="B44" s="67">
        <v>39234</v>
      </c>
      <c r="C44" s="294">
        <f>HLOOKUP(MONTH(B44),'Purchased kWh'!$4:$17,9,FALSE)</f>
        <v>352305947.40079999</v>
      </c>
      <c r="D44" s="68">
        <f>'Month &amp; Hour Data'!B43</f>
        <v>16.5</v>
      </c>
      <c r="E44" s="68">
        <f>'Month &amp; Hour Data'!C43</f>
        <v>99.2</v>
      </c>
      <c r="F44" s="308">
        <f>'Month &amp; Hour Data'!H43</f>
        <v>1.1053403148335597</v>
      </c>
      <c r="G44" s="69">
        <f>'Month &amp; Hour Data'!D43</f>
        <v>30</v>
      </c>
      <c r="H44" s="69">
        <f>'Month &amp; Hour Data'!E43</f>
        <v>0</v>
      </c>
      <c r="I44" s="69">
        <f>'Month &amp; Hour Data'!G43</f>
        <v>336</v>
      </c>
      <c r="J44" s="70">
        <f t="shared" si="3"/>
        <v>345351570.97266757</v>
      </c>
      <c r="K44" s="70">
        <f t="shared" si="4"/>
        <v>-6954376.4281324148</v>
      </c>
      <c r="L44" s="330">
        <f t="shared" si="5"/>
        <v>-1.9739594177843343E-2</v>
      </c>
      <c r="M44" s="730"/>
      <c r="N44" s="495"/>
      <c r="O44" s="310"/>
      <c r="P44" s="310"/>
      <c r="Q44" s="310"/>
      <c r="R44" s="310"/>
      <c r="S44" s="310"/>
      <c r="T44" s="310"/>
      <c r="U44" s="310"/>
      <c r="V44" s="310"/>
      <c r="W44" s="310"/>
      <c r="AI44" s="66"/>
      <c r="AJ44" s="66"/>
    </row>
    <row r="45" spans="1:36">
      <c r="A45" s="66">
        <f t="shared" si="0"/>
        <v>2007</v>
      </c>
      <c r="B45" s="67">
        <v>39264</v>
      </c>
      <c r="C45" s="294">
        <f>HLOOKUP(MONTH(B45),'Purchased kWh'!$4:$17,9,FALSE)</f>
        <v>350987926.23040003</v>
      </c>
      <c r="D45" s="68">
        <f>'Month &amp; Hour Data'!B44</f>
        <v>3.2</v>
      </c>
      <c r="E45" s="68">
        <f>'Month &amp; Hour Data'!C44</f>
        <v>106.1</v>
      </c>
      <c r="F45" s="308">
        <f>'Month &amp; Hour Data'!H44</f>
        <v>1.1071269589189776</v>
      </c>
      <c r="G45" s="69">
        <f>'Month &amp; Hour Data'!D44</f>
        <v>31</v>
      </c>
      <c r="H45" s="69">
        <f>'Month &amp; Hour Data'!E44</f>
        <v>0</v>
      </c>
      <c r="I45" s="69">
        <f>'Month &amp; Hour Data'!G44</f>
        <v>336</v>
      </c>
      <c r="J45" s="70">
        <f t="shared" si="3"/>
        <v>354563130.46100748</v>
      </c>
      <c r="K45" s="70">
        <f t="shared" si="4"/>
        <v>3575204.23060745</v>
      </c>
      <c r="L45" s="330">
        <f t="shared" si="5"/>
        <v>1.0186117422912628E-2</v>
      </c>
      <c r="M45" s="730"/>
      <c r="N45" s="495"/>
      <c r="O45" s="310"/>
      <c r="P45" s="310"/>
      <c r="Q45" s="310"/>
      <c r="R45" s="310"/>
      <c r="S45" s="310"/>
      <c r="T45" s="310"/>
      <c r="U45" s="310"/>
      <c r="V45" s="310"/>
      <c r="W45" s="310"/>
      <c r="AI45" s="66"/>
      <c r="AJ45" s="66"/>
    </row>
    <row r="46" spans="1:36">
      <c r="A46" s="66">
        <f t="shared" si="0"/>
        <v>2007</v>
      </c>
      <c r="B46" s="67">
        <v>39295</v>
      </c>
      <c r="C46" s="294">
        <f>HLOOKUP(MONTH(B46),'Purchased kWh'!$4:$17,9,FALSE)</f>
        <v>363680290.54207999</v>
      </c>
      <c r="D46" s="68">
        <f>'Month &amp; Hour Data'!B45</f>
        <v>5.2</v>
      </c>
      <c r="E46" s="68">
        <f>'Month &amp; Hour Data'!C45</f>
        <v>141</v>
      </c>
      <c r="F46" s="308">
        <f>'Month &amp; Hour Data'!H45</f>
        <v>1.1089164908906379</v>
      </c>
      <c r="G46" s="69">
        <f>'Month &amp; Hour Data'!D45</f>
        <v>31</v>
      </c>
      <c r="H46" s="69">
        <f>'Month &amp; Hour Data'!E45</f>
        <v>0</v>
      </c>
      <c r="I46" s="69">
        <f>'Month &amp; Hour Data'!G45</f>
        <v>352</v>
      </c>
      <c r="J46" s="70">
        <f t="shared" si="3"/>
        <v>375257207.78955966</v>
      </c>
      <c r="K46" s="70">
        <f t="shared" si="4"/>
        <v>11576917.247479677</v>
      </c>
      <c r="L46" s="330">
        <f t="shared" si="5"/>
        <v>3.1832677075306501E-2</v>
      </c>
      <c r="M46" s="730"/>
      <c r="N46" s="495"/>
      <c r="O46" s="310"/>
      <c r="P46" s="310"/>
      <c r="Q46" s="310"/>
      <c r="R46" s="310"/>
      <c r="S46" s="310"/>
      <c r="T46" s="310"/>
      <c r="U46" s="310"/>
      <c r="V46" s="310"/>
      <c r="W46" s="310"/>
      <c r="AI46" s="66"/>
      <c r="AJ46" s="66"/>
    </row>
    <row r="47" spans="1:36">
      <c r="A47" s="66">
        <f t="shared" si="0"/>
        <v>2007</v>
      </c>
      <c r="B47" s="67">
        <v>39326</v>
      </c>
      <c r="C47" s="294">
        <f>HLOOKUP(MONTH(B47),'Purchased kWh'!$4:$17,9,FALSE)</f>
        <v>320412435.58792001</v>
      </c>
      <c r="D47" s="68">
        <f>'Month &amp; Hour Data'!B46</f>
        <v>36.9</v>
      </c>
      <c r="E47" s="68">
        <f>'Month &amp; Hour Data'!C46</f>
        <v>47.5</v>
      </c>
      <c r="F47" s="308">
        <f>'Month &amp; Hour Data'!H46</f>
        <v>1.1107089154164462</v>
      </c>
      <c r="G47" s="69">
        <f>'Month &amp; Hour Data'!D46</f>
        <v>30</v>
      </c>
      <c r="H47" s="69">
        <f>'Month &amp; Hour Data'!E46</f>
        <v>1</v>
      </c>
      <c r="I47" s="69">
        <f>'Month &amp; Hour Data'!G46</f>
        <v>304</v>
      </c>
      <c r="J47" s="70">
        <f t="shared" si="3"/>
        <v>311379424.70129538</v>
      </c>
      <c r="K47" s="70">
        <f t="shared" si="4"/>
        <v>-9033010.8866246343</v>
      </c>
      <c r="L47" s="330">
        <f t="shared" si="5"/>
        <v>-2.819182367266769E-2</v>
      </c>
      <c r="M47" s="730"/>
      <c r="N47" s="495"/>
      <c r="O47" s="310"/>
      <c r="P47" s="310"/>
      <c r="Q47" s="310"/>
      <c r="R47" s="310"/>
      <c r="S47" s="310"/>
      <c r="T47" s="310"/>
      <c r="U47" s="310"/>
      <c r="V47" s="310"/>
      <c r="W47" s="310"/>
      <c r="AI47" s="66"/>
      <c r="AJ47" s="66"/>
    </row>
    <row r="48" spans="1:36">
      <c r="A48" s="66">
        <f t="shared" si="0"/>
        <v>2007</v>
      </c>
      <c r="B48" s="67">
        <v>39356</v>
      </c>
      <c r="C48" s="294">
        <f>HLOOKUP(MONTH(B48),'Purchased kWh'!$4:$17,9,FALSE)</f>
        <v>318245128.16911995</v>
      </c>
      <c r="D48" s="68">
        <f>'Month &amp; Hour Data'!B47</f>
        <v>137.69999999999999</v>
      </c>
      <c r="E48" s="68">
        <f>'Month &amp; Hour Data'!C47</f>
        <v>19.8</v>
      </c>
      <c r="F48" s="308">
        <f>'Month &amp; Hour Data'!H47</f>
        <v>1.1125042371718541</v>
      </c>
      <c r="G48" s="69">
        <f>'Month &amp; Hour Data'!D47</f>
        <v>31</v>
      </c>
      <c r="H48" s="69">
        <f>'Month &amp; Hour Data'!E47</f>
        <v>1</v>
      </c>
      <c r="I48" s="69">
        <f>'Month &amp; Hour Data'!G47</f>
        <v>352</v>
      </c>
      <c r="J48" s="70">
        <f t="shared" si="3"/>
        <v>316824415.2238006</v>
      </c>
      <c r="K48" s="70">
        <f t="shared" si="4"/>
        <v>-1420712.9453193545</v>
      </c>
      <c r="L48" s="330">
        <f t="shared" si="5"/>
        <v>-4.4642095654151464E-3</v>
      </c>
      <c r="M48" s="730"/>
      <c r="N48" s="495"/>
      <c r="O48" s="310"/>
      <c r="P48" s="310"/>
      <c r="Q48" s="310"/>
      <c r="R48" s="310"/>
      <c r="S48" s="310"/>
      <c r="T48" s="310"/>
      <c r="U48" s="310"/>
      <c r="V48" s="310"/>
      <c r="W48" s="310"/>
      <c r="AI48" s="66"/>
      <c r="AJ48" s="66"/>
    </row>
    <row r="49" spans="1:36">
      <c r="A49" s="66">
        <f t="shared" si="0"/>
        <v>2007</v>
      </c>
      <c r="B49" s="67">
        <v>39387</v>
      </c>
      <c r="C49" s="294">
        <f>HLOOKUP(MONTH(B49),'Purchased kWh'!$4:$17,9,FALSE)</f>
        <v>323515779.22904003</v>
      </c>
      <c r="D49" s="68">
        <f>'Month &amp; Hour Data'!B48</f>
        <v>462.5</v>
      </c>
      <c r="E49" s="68">
        <f>'Month &amp; Hour Data'!C48</f>
        <v>0</v>
      </c>
      <c r="F49" s="308">
        <f>'Month &amp; Hour Data'!H48</f>
        <v>1.1143024608398699</v>
      </c>
      <c r="G49" s="69">
        <f>'Month &amp; Hour Data'!D48</f>
        <v>30</v>
      </c>
      <c r="H49" s="69">
        <f>'Month &amp; Hour Data'!E48</f>
        <v>1</v>
      </c>
      <c r="I49" s="69">
        <f>'Month &amp; Hour Data'!G48</f>
        <v>352</v>
      </c>
      <c r="J49" s="70">
        <f t="shared" si="3"/>
        <v>318550645.26514393</v>
      </c>
      <c r="K49" s="70">
        <f t="shared" si="4"/>
        <v>-4965133.9638960958</v>
      </c>
      <c r="L49" s="330">
        <f t="shared" si="5"/>
        <v>-1.534742439991133E-2</v>
      </c>
      <c r="M49" s="730"/>
      <c r="N49" s="495"/>
      <c r="O49" s="495"/>
      <c r="Q49" s="495"/>
      <c r="R49" s="495"/>
      <c r="S49" s="495"/>
      <c r="T49" s="4"/>
      <c r="U49" s="4"/>
      <c r="V49" s="4"/>
      <c r="W49" s="4"/>
      <c r="AI49" s="66"/>
      <c r="AJ49" s="66"/>
    </row>
    <row r="50" spans="1:36">
      <c r="A50" s="66">
        <f t="shared" si="0"/>
        <v>2007</v>
      </c>
      <c r="B50" s="67">
        <v>39417</v>
      </c>
      <c r="C50" s="294">
        <f>HLOOKUP(MONTH(B50),'Purchased kWh'!$4:$17,9,FALSE)</f>
        <v>333331076.53263998</v>
      </c>
      <c r="D50" s="68">
        <f>'Month &amp; Hour Data'!B49</f>
        <v>630.70000000000005</v>
      </c>
      <c r="E50" s="68">
        <f>'Month &amp; Hour Data'!C49</f>
        <v>0</v>
      </c>
      <c r="F50" s="308">
        <f>'Month &amp; Hour Data'!H49</f>
        <v>1.1161035911110719</v>
      </c>
      <c r="G50" s="69">
        <f>'Month &amp; Hour Data'!D49</f>
        <v>31</v>
      </c>
      <c r="H50" s="69">
        <f>'Month &amp; Hour Data'!E49</f>
        <v>0</v>
      </c>
      <c r="I50" s="69">
        <f>'Month &amp; Hour Data'!G49</f>
        <v>304</v>
      </c>
      <c r="J50" s="70">
        <f t="shared" si="3"/>
        <v>331590104.61771911</v>
      </c>
      <c r="K50" s="70">
        <f t="shared" si="4"/>
        <v>-1740971.9149208665</v>
      </c>
      <c r="L50" s="330">
        <f t="shared" si="5"/>
        <v>-5.2229511062416335E-3</v>
      </c>
      <c r="M50" s="730"/>
      <c r="N50" s="495"/>
      <c r="O50" s="495"/>
      <c r="Q50" s="495"/>
      <c r="R50" s="495"/>
      <c r="S50" s="495"/>
      <c r="T50" s="4"/>
      <c r="U50" s="4"/>
      <c r="V50" s="4"/>
      <c r="W50" s="4"/>
      <c r="AI50" s="66"/>
      <c r="AJ50" s="66"/>
    </row>
    <row r="51" spans="1:36">
      <c r="A51" s="66">
        <f t="shared" si="0"/>
        <v>2008</v>
      </c>
      <c r="B51" s="67">
        <v>39448</v>
      </c>
      <c r="C51" s="294">
        <f>HLOOKUP(MONTH(B51),'Purchased kWh'!$4:$17,10,FALSE)</f>
        <v>344575662.39160001</v>
      </c>
      <c r="D51" s="68">
        <f>'Month &amp; Hour Data'!B50</f>
        <v>623.5</v>
      </c>
      <c r="E51" s="68">
        <f>'Month &amp; Hour Data'!C50</f>
        <v>0</v>
      </c>
      <c r="F51" s="308">
        <f>'Month &amp; Hour Data'!H50</f>
        <v>1.1155079320471661</v>
      </c>
      <c r="G51" s="69">
        <f>'Month &amp; Hour Data'!D50</f>
        <v>31</v>
      </c>
      <c r="H51" s="69">
        <f>'Month &amp; Hour Data'!E50</f>
        <v>0</v>
      </c>
      <c r="I51" s="69">
        <f>'Month &amp; Hour Data'!G50</f>
        <v>352</v>
      </c>
      <c r="J51" s="70">
        <f t="shared" si="3"/>
        <v>338674000.66559237</v>
      </c>
      <c r="K51" s="70">
        <f t="shared" si="4"/>
        <v>-5901661.7260076404</v>
      </c>
      <c r="L51" s="330">
        <f t="shared" si="5"/>
        <v>-1.7127331875518757E-2</v>
      </c>
      <c r="M51" s="730"/>
      <c r="N51" s="495"/>
      <c r="O51" s="495"/>
      <c r="Q51" s="495"/>
      <c r="R51" s="495"/>
      <c r="S51" s="495"/>
      <c r="T51" s="4"/>
      <c r="U51" s="4"/>
      <c r="V51" s="4"/>
      <c r="W51" s="4"/>
      <c r="AI51" s="66"/>
      <c r="AJ51" s="66"/>
    </row>
    <row r="52" spans="1:36">
      <c r="A52" s="66">
        <f t="shared" si="0"/>
        <v>2008</v>
      </c>
      <c r="B52" s="67">
        <v>39479</v>
      </c>
      <c r="C52" s="294">
        <f>HLOOKUP(MONTH(B52),'Purchased kWh'!$4:$17,10,FALSE)</f>
        <v>326113371.71056002</v>
      </c>
      <c r="D52" s="68">
        <f>'Month &amp; Hour Data'!B51</f>
        <v>674.7</v>
      </c>
      <c r="E52" s="68">
        <f>'Month &amp; Hour Data'!C51</f>
        <v>0</v>
      </c>
      <c r="F52" s="308">
        <f>'Month &amp; Hour Data'!H51</f>
        <v>1.1149125908836075</v>
      </c>
      <c r="G52" s="69">
        <f>'Month &amp; Hour Data'!D51</f>
        <v>29</v>
      </c>
      <c r="H52" s="69">
        <f>'Month &amp; Hour Data'!E51</f>
        <v>0</v>
      </c>
      <c r="I52" s="69">
        <f>'Month &amp; Hour Data'!G51</f>
        <v>320</v>
      </c>
      <c r="J52" s="70">
        <f t="shared" si="3"/>
        <v>324195280.70295608</v>
      </c>
      <c r="K52" s="70">
        <f t="shared" si="4"/>
        <v>-1918091.0076039433</v>
      </c>
      <c r="L52" s="330">
        <f t="shared" si="5"/>
        <v>-5.88166930274277E-3</v>
      </c>
      <c r="M52" s="730"/>
      <c r="N52" s="495"/>
      <c r="O52" s="495"/>
      <c r="Q52" s="495"/>
      <c r="R52" s="495"/>
      <c r="S52" s="495"/>
      <c r="T52" s="4"/>
      <c r="U52" s="4"/>
      <c r="V52" s="4"/>
      <c r="W52" s="4"/>
      <c r="AI52" s="66"/>
      <c r="AJ52" s="66"/>
    </row>
    <row r="53" spans="1:36">
      <c r="A53" s="66">
        <f t="shared" si="0"/>
        <v>2008</v>
      </c>
      <c r="B53" s="67">
        <v>39508</v>
      </c>
      <c r="C53" s="294">
        <f>HLOOKUP(MONTH(B53),'Purchased kWh'!$4:$17,10,FALSE)</f>
        <v>331077485.06296003</v>
      </c>
      <c r="D53" s="68">
        <f>'Month &amp; Hour Data'!B52</f>
        <v>610.20000000000005</v>
      </c>
      <c r="E53" s="68">
        <f>'Month &amp; Hour Data'!C52</f>
        <v>0</v>
      </c>
      <c r="F53" s="308">
        <f>'Month &amp; Hour Data'!H52</f>
        <v>1.1143175674507355</v>
      </c>
      <c r="G53" s="69">
        <f>'Month &amp; Hour Data'!D52</f>
        <v>31</v>
      </c>
      <c r="H53" s="69">
        <f>'Month &amp; Hour Data'!E52</f>
        <v>1</v>
      </c>
      <c r="I53" s="69">
        <f>'Month &amp; Hour Data'!G52</f>
        <v>304</v>
      </c>
      <c r="J53" s="70">
        <f t="shared" si="3"/>
        <v>324750581.95563734</v>
      </c>
      <c r="K53" s="70">
        <f t="shared" si="4"/>
        <v>-6326903.1073226929</v>
      </c>
      <c r="L53" s="330">
        <f t="shared" si="5"/>
        <v>-1.9110037356117781E-2</v>
      </c>
      <c r="M53" s="730"/>
      <c r="N53" s="495"/>
      <c r="O53" s="495"/>
      <c r="Q53" s="495"/>
      <c r="R53" s="495"/>
      <c r="S53" s="495"/>
      <c r="T53" s="4"/>
      <c r="U53" s="4"/>
      <c r="V53" s="4"/>
      <c r="W53" s="4"/>
      <c r="AI53" s="66"/>
      <c r="AJ53" s="66"/>
    </row>
    <row r="54" spans="1:36">
      <c r="A54" s="66">
        <f t="shared" si="0"/>
        <v>2008</v>
      </c>
      <c r="B54" s="67">
        <v>39539</v>
      </c>
      <c r="C54" s="294">
        <f>HLOOKUP(MONTH(B54),'Purchased kWh'!$4:$17,10,FALSE)</f>
        <v>303230329.28384</v>
      </c>
      <c r="D54" s="68">
        <f>'Month &amp; Hour Data'!B53</f>
        <v>253.9</v>
      </c>
      <c r="E54" s="68">
        <f>'Month &amp; Hour Data'!C53</f>
        <v>0</v>
      </c>
      <c r="F54" s="308">
        <f>'Month &amp; Hour Data'!H53</f>
        <v>1.1137228615789785</v>
      </c>
      <c r="G54" s="69">
        <f>'Month &amp; Hour Data'!D53</f>
        <v>30</v>
      </c>
      <c r="H54" s="69">
        <f>'Month &amp; Hour Data'!E53</f>
        <v>1</v>
      </c>
      <c r="I54" s="69">
        <f>'Month &amp; Hour Data'!G53</f>
        <v>352</v>
      </c>
      <c r="J54" s="70">
        <f t="shared" si="3"/>
        <v>307338960.12807482</v>
      </c>
      <c r="K54" s="70">
        <f t="shared" si="4"/>
        <v>4108630.8442348242</v>
      </c>
      <c r="L54" s="330">
        <f t="shared" si="5"/>
        <v>1.3549537917062785E-2</v>
      </c>
      <c r="M54" s="730"/>
      <c r="N54" s="495"/>
      <c r="O54" s="294"/>
      <c r="P54" s="294"/>
      <c r="V54" s="495"/>
      <c r="W54" s="495"/>
      <c r="AI54" s="66"/>
      <c r="AJ54" s="66"/>
    </row>
    <row r="55" spans="1:36">
      <c r="A55" s="66">
        <f t="shared" si="0"/>
        <v>2008</v>
      </c>
      <c r="B55" s="67">
        <v>39569</v>
      </c>
      <c r="C55" s="294">
        <f>HLOOKUP(MONTH(B55),'Purchased kWh'!$4:$17,10,FALSE)</f>
        <v>301056523.36776</v>
      </c>
      <c r="D55" s="68">
        <f>'Month &amp; Hour Data'!B54</f>
        <v>193.5</v>
      </c>
      <c r="E55" s="68">
        <f>'Month &amp; Hour Data'!C54</f>
        <v>2.5</v>
      </c>
      <c r="F55" s="308">
        <f>'Month &amp; Hour Data'!H54</f>
        <v>1.113128473098856</v>
      </c>
      <c r="G55" s="69">
        <f>'Month &amp; Hour Data'!D54</f>
        <v>31</v>
      </c>
      <c r="H55" s="69">
        <f>'Month &amp; Hour Data'!E54</f>
        <v>1</v>
      </c>
      <c r="I55" s="69">
        <f>'Month &amp; Hour Data'!G54</f>
        <v>336</v>
      </c>
      <c r="J55" s="70">
        <f t="shared" si="3"/>
        <v>308685045.87384683</v>
      </c>
      <c r="K55" s="70">
        <f t="shared" si="4"/>
        <v>7628522.5060868263</v>
      </c>
      <c r="L55" s="330">
        <f t="shared" si="5"/>
        <v>2.5339170268594689E-2</v>
      </c>
      <c r="M55" s="730"/>
      <c r="N55" s="495"/>
      <c r="O55" s="294"/>
      <c r="P55" s="294"/>
      <c r="V55" s="495"/>
      <c r="W55" s="495"/>
      <c r="AI55" s="66"/>
      <c r="AJ55" s="66"/>
    </row>
    <row r="56" spans="1:36">
      <c r="A56" s="66">
        <f t="shared" si="0"/>
        <v>2008</v>
      </c>
      <c r="B56" s="67">
        <v>39600</v>
      </c>
      <c r="C56" s="294">
        <f>HLOOKUP(MONTH(B56),'Purchased kWh'!$4:$17,10,FALSE)</f>
        <v>334428490.42672002</v>
      </c>
      <c r="D56" s="68">
        <f>'Month &amp; Hour Data'!B55</f>
        <v>22.7</v>
      </c>
      <c r="E56" s="68">
        <f>'Month &amp; Hour Data'!C55</f>
        <v>71.5</v>
      </c>
      <c r="F56" s="308">
        <f>'Month &amp; Hour Data'!H55</f>
        <v>1.1125344018409773</v>
      </c>
      <c r="G56" s="69">
        <f>'Month &amp; Hour Data'!D55</f>
        <v>30</v>
      </c>
      <c r="H56" s="69">
        <f>'Month &amp; Hour Data'!E55</f>
        <v>0</v>
      </c>
      <c r="I56" s="69">
        <f>'Month &amp; Hour Data'!G55</f>
        <v>336</v>
      </c>
      <c r="J56" s="70">
        <f t="shared" si="3"/>
        <v>333563818.9757216</v>
      </c>
      <c r="K56" s="70">
        <f t="shared" si="4"/>
        <v>-864671.45099842548</v>
      </c>
      <c r="L56" s="330">
        <f t="shared" si="5"/>
        <v>-2.585519702269183E-3</v>
      </c>
      <c r="M56" s="730"/>
      <c r="N56" s="495"/>
      <c r="O56" s="294"/>
      <c r="P56" s="294"/>
      <c r="V56" s="495"/>
      <c r="W56" s="495"/>
      <c r="AI56" s="66"/>
      <c r="AJ56" s="66"/>
    </row>
    <row r="57" spans="1:36">
      <c r="A57" s="66">
        <f t="shared" si="0"/>
        <v>2008</v>
      </c>
      <c r="B57" s="67">
        <v>39630</v>
      </c>
      <c r="C57" s="294">
        <f>HLOOKUP(MONTH(B57),'Purchased kWh'!$4:$17,10,FALSE)</f>
        <v>363118366.56239998</v>
      </c>
      <c r="D57" s="68">
        <f>'Month &amp; Hour Data'!B56</f>
        <v>1</v>
      </c>
      <c r="E57" s="68">
        <f>'Month &amp; Hour Data'!C56</f>
        <v>111</v>
      </c>
      <c r="F57" s="308">
        <f>'Month &amp; Hour Data'!H56</f>
        <v>1.1119406476360427</v>
      </c>
      <c r="G57" s="69">
        <f>'Month &amp; Hour Data'!D56</f>
        <v>31</v>
      </c>
      <c r="H57" s="69">
        <f>'Month &amp; Hour Data'!E56</f>
        <v>0</v>
      </c>
      <c r="I57" s="69">
        <f>'Month &amp; Hour Data'!G56</f>
        <v>352</v>
      </c>
      <c r="J57" s="70">
        <f t="shared" si="3"/>
        <v>360689640.79334152</v>
      </c>
      <c r="K57" s="70">
        <f t="shared" si="4"/>
        <v>-2428725.769058466</v>
      </c>
      <c r="L57" s="330">
        <f t="shared" si="5"/>
        <v>-6.6885236129775941E-3</v>
      </c>
      <c r="M57" s="730"/>
      <c r="N57" s="495"/>
      <c r="O57" s="294"/>
      <c r="P57" s="294"/>
      <c r="V57" s="495"/>
      <c r="W57" s="495"/>
      <c r="AI57" s="66"/>
      <c r="AJ57" s="66"/>
    </row>
    <row r="58" spans="1:36">
      <c r="A58" s="66">
        <f t="shared" si="0"/>
        <v>2008</v>
      </c>
      <c r="B58" s="67">
        <v>39661</v>
      </c>
      <c r="C58" s="294">
        <f>HLOOKUP(MONTH(B58),'Purchased kWh'!$4:$17,10,FALSE)</f>
        <v>341326026.458</v>
      </c>
      <c r="D58" s="68">
        <f>'Month &amp; Hour Data'!B57</f>
        <v>12.7</v>
      </c>
      <c r="E58" s="68">
        <f>'Month &amp; Hour Data'!C57</f>
        <v>64</v>
      </c>
      <c r="F58" s="308">
        <f>'Month &amp; Hour Data'!H57</f>
        <v>1.1113472103148427</v>
      </c>
      <c r="G58" s="69">
        <f>'Month &amp; Hour Data'!D57</f>
        <v>31</v>
      </c>
      <c r="H58" s="69">
        <f>'Month &amp; Hour Data'!E57</f>
        <v>0</v>
      </c>
      <c r="I58" s="69">
        <f>'Month &amp; Hour Data'!G57</f>
        <v>320</v>
      </c>
      <c r="J58" s="70">
        <f t="shared" si="3"/>
        <v>332390850.09588563</v>
      </c>
      <c r="K58" s="70">
        <f t="shared" si="4"/>
        <v>-8935176.3621143699</v>
      </c>
      <c r="L58" s="330">
        <f t="shared" si="5"/>
        <v>-2.6177834883663167E-2</v>
      </c>
      <c r="M58" s="730"/>
      <c r="N58" s="495"/>
      <c r="O58" s="294"/>
      <c r="P58" s="294"/>
      <c r="V58" s="495"/>
      <c r="W58" s="495"/>
      <c r="AI58" s="66"/>
      <c r="AJ58" s="66"/>
    </row>
    <row r="59" spans="1:36">
      <c r="A59" s="66">
        <f t="shared" si="0"/>
        <v>2008</v>
      </c>
      <c r="B59" s="67">
        <v>39692</v>
      </c>
      <c r="C59" s="294">
        <f>HLOOKUP(MONTH(B59),'Purchased kWh'!$4:$17,10,FALSE)</f>
        <v>317499537.95280004</v>
      </c>
      <c r="D59" s="68">
        <f>'Month &amp; Hour Data'!B58</f>
        <v>59</v>
      </c>
      <c r="E59" s="68">
        <f>'Month &amp; Hour Data'!C58</f>
        <v>26.7</v>
      </c>
      <c r="F59" s="308">
        <f>'Month &amp; Hour Data'!H58</f>
        <v>1.1107540897082573</v>
      </c>
      <c r="G59" s="69">
        <f>'Month &amp; Hour Data'!D58</f>
        <v>30</v>
      </c>
      <c r="H59" s="69">
        <f>'Month &amp; Hour Data'!E58</f>
        <v>1</v>
      </c>
      <c r="I59" s="69">
        <f>'Month &amp; Hour Data'!G58</f>
        <v>336</v>
      </c>
      <c r="J59" s="70">
        <f t="shared" si="3"/>
        <v>307158765.77424842</v>
      </c>
      <c r="K59" s="70">
        <f t="shared" si="4"/>
        <v>-10340772.178551614</v>
      </c>
      <c r="L59" s="330">
        <f t="shared" si="5"/>
        <v>-3.2569408589466636E-2</v>
      </c>
      <c r="M59" s="730"/>
      <c r="N59" s="495"/>
      <c r="O59" s="294"/>
      <c r="P59" s="294"/>
      <c r="V59" s="495"/>
      <c r="W59" s="495"/>
      <c r="AI59" s="66"/>
      <c r="AJ59" s="66"/>
    </row>
    <row r="60" spans="1:36">
      <c r="A60" s="66">
        <f t="shared" si="0"/>
        <v>2008</v>
      </c>
      <c r="B60" s="67">
        <v>39722</v>
      </c>
      <c r="C60" s="294">
        <f>HLOOKUP(MONTH(B60),'Purchased kWh'!$4:$17,10,FALSE)</f>
        <v>310230041.67615998</v>
      </c>
      <c r="D60" s="68">
        <f>'Month &amp; Hour Data'!B59</f>
        <v>278.60000000000002</v>
      </c>
      <c r="E60" s="68">
        <f>'Month &amp; Hour Data'!C59</f>
        <v>0</v>
      </c>
      <c r="F60" s="308">
        <f>'Month &amp; Hour Data'!H59</f>
        <v>1.110161285647258</v>
      </c>
      <c r="G60" s="69">
        <f>'Month &amp; Hour Data'!D59</f>
        <v>31</v>
      </c>
      <c r="H60" s="69">
        <f>'Month &amp; Hour Data'!E59</f>
        <v>1</v>
      </c>
      <c r="I60" s="69">
        <f>'Month &amp; Hour Data'!G59</f>
        <v>352</v>
      </c>
      <c r="J60" s="70">
        <f t="shared" si="3"/>
        <v>313717101.04057699</v>
      </c>
      <c r="K60" s="70">
        <f t="shared" si="4"/>
        <v>3487059.3644170165</v>
      </c>
      <c r="L60" s="330">
        <f t="shared" si="5"/>
        <v>1.1240237552677298E-2</v>
      </c>
      <c r="M60" s="730"/>
      <c r="N60" s="495"/>
      <c r="O60" s="294"/>
      <c r="P60" s="294"/>
      <c r="V60" s="495"/>
      <c r="W60" s="495"/>
      <c r="AI60" s="66"/>
      <c r="AJ60" s="66"/>
    </row>
    <row r="61" spans="1:36">
      <c r="A61" s="66">
        <f t="shared" si="0"/>
        <v>2008</v>
      </c>
      <c r="B61" s="67">
        <v>39753</v>
      </c>
      <c r="C61" s="294">
        <f>HLOOKUP(MONTH(B61),'Purchased kWh'!$4:$17,10,FALSE)</f>
        <v>313840849.62728</v>
      </c>
      <c r="D61" s="68">
        <f>'Month &amp; Hour Data'!B60</f>
        <v>451.6</v>
      </c>
      <c r="E61" s="68">
        <f>'Month &amp; Hour Data'!C60</f>
        <v>0</v>
      </c>
      <c r="F61" s="308">
        <f>'Month &amp; Hour Data'!H60</f>
        <v>1.1095687979629063</v>
      </c>
      <c r="G61" s="69">
        <f>'Month &amp; Hour Data'!D60</f>
        <v>30</v>
      </c>
      <c r="H61" s="69">
        <f>'Month &amp; Hour Data'!E60</f>
        <v>1</v>
      </c>
      <c r="I61" s="69">
        <f>'Month &amp; Hour Data'!G60</f>
        <v>304</v>
      </c>
      <c r="J61" s="70">
        <f t="shared" si="3"/>
        <v>309140541.84324884</v>
      </c>
      <c r="K61" s="70">
        <f t="shared" si="4"/>
        <v>-4700307.7840311527</v>
      </c>
      <c r="L61" s="330">
        <f t="shared" si="5"/>
        <v>-1.4976723997571627E-2</v>
      </c>
      <c r="M61" s="730"/>
      <c r="N61" s="495"/>
      <c r="O61" s="294"/>
      <c r="P61" s="294"/>
      <c r="V61" s="495"/>
      <c r="W61" s="495"/>
      <c r="AI61" s="66"/>
      <c r="AJ61" s="66"/>
    </row>
    <row r="62" spans="1:36">
      <c r="A62" s="66">
        <f t="shared" si="0"/>
        <v>2008</v>
      </c>
      <c r="B62" s="67">
        <v>39783</v>
      </c>
      <c r="C62" s="294">
        <f>HLOOKUP(MONTH(B62),'Purchased kWh'!$4:$17,10,FALSE)</f>
        <v>328946879.91896003</v>
      </c>
      <c r="D62" s="68">
        <f>'Month &amp; Hour Data'!B61</f>
        <v>654.6</v>
      </c>
      <c r="E62" s="68">
        <f>'Month &amp; Hour Data'!C61</f>
        <v>0</v>
      </c>
      <c r="F62" s="308">
        <f>'Month &amp; Hour Data'!H61</f>
        <v>1.1089766264863528</v>
      </c>
      <c r="G62" s="69">
        <f>'Month &amp; Hour Data'!D61</f>
        <v>31</v>
      </c>
      <c r="H62" s="69">
        <f>'Month &amp; Hour Data'!E61</f>
        <v>0</v>
      </c>
      <c r="I62" s="69">
        <f>'Month &amp; Hour Data'!G61</f>
        <v>336</v>
      </c>
      <c r="J62" s="70">
        <f t="shared" si="3"/>
        <v>336109476.37603223</v>
      </c>
      <c r="K62" s="70">
        <f t="shared" si="4"/>
        <v>7162596.4570721984</v>
      </c>
      <c r="L62" s="330">
        <f t="shared" si="5"/>
        <v>2.1774325565382439E-2</v>
      </c>
      <c r="M62" s="730"/>
      <c r="N62" s="495"/>
      <c r="O62" s="294"/>
      <c r="P62" s="294"/>
      <c r="V62" s="495"/>
      <c r="W62" s="495"/>
      <c r="AI62" s="66"/>
      <c r="AJ62" s="66"/>
    </row>
    <row r="63" spans="1:36">
      <c r="A63" s="66">
        <f t="shared" si="0"/>
        <v>2009</v>
      </c>
      <c r="B63" s="67">
        <v>39814</v>
      </c>
      <c r="C63" s="294">
        <f>HLOOKUP(MONTH(B63),'Purchased kWh'!$4:$17,11,FALSE)</f>
        <v>340125286.47127998</v>
      </c>
      <c r="D63" s="68">
        <f>'Month &amp; Hour Data'!B62</f>
        <v>830.2</v>
      </c>
      <c r="E63" s="68">
        <f>'Month &amp; Hour Data'!C62</f>
        <v>0</v>
      </c>
      <c r="F63" s="308">
        <f>'Month &amp; Hour Data'!H62</f>
        <v>1.105941193882537</v>
      </c>
      <c r="G63" s="69">
        <f>'Month &amp; Hour Data'!D62</f>
        <v>31</v>
      </c>
      <c r="H63" s="69">
        <f>'Month &amp; Hour Data'!E62</f>
        <v>0</v>
      </c>
      <c r="I63" s="69">
        <f>'Month &amp; Hour Data'!G62</f>
        <v>336</v>
      </c>
      <c r="J63" s="70">
        <f t="shared" si="3"/>
        <v>344644224.49999011</v>
      </c>
      <c r="K63" s="70">
        <f t="shared" si="4"/>
        <v>4518938.0287101269</v>
      </c>
      <c r="L63" s="330">
        <f t="shared" si="5"/>
        <v>1.3286098412714468E-2</v>
      </c>
      <c r="M63" s="730"/>
      <c r="N63" s="495"/>
      <c r="O63" s="294"/>
      <c r="P63" s="294"/>
      <c r="V63" s="495"/>
      <c r="W63" s="495"/>
      <c r="AI63" s="66"/>
      <c r="AJ63" s="66"/>
    </row>
    <row r="64" spans="1:36">
      <c r="A64" s="66">
        <f t="shared" si="0"/>
        <v>2009</v>
      </c>
      <c r="B64" s="67">
        <v>39845</v>
      </c>
      <c r="C64" s="294">
        <f>HLOOKUP(MONTH(B64),'Purchased kWh'!$4:$17,11,FALSE)</f>
        <v>298423228.43304002</v>
      </c>
      <c r="D64" s="68">
        <f>'Month &amp; Hour Data'!B63</f>
        <v>606.4</v>
      </c>
      <c r="E64" s="68">
        <f>'Month &amp; Hour Data'!C63</f>
        <v>0</v>
      </c>
      <c r="F64" s="308">
        <f>'Month &amp; Hour Data'!H63</f>
        <v>1.1029140697054922</v>
      </c>
      <c r="G64" s="69">
        <f>'Month &amp; Hour Data'!D63</f>
        <v>28</v>
      </c>
      <c r="H64" s="69">
        <f>'Month &amp; Hour Data'!E63</f>
        <v>0</v>
      </c>
      <c r="I64" s="69">
        <f>'Month &amp; Hour Data'!G63</f>
        <v>304</v>
      </c>
      <c r="J64" s="70">
        <f t="shared" si="3"/>
        <v>308976198.69679248</v>
      </c>
      <c r="K64" s="70">
        <f t="shared" si="4"/>
        <v>10552970.26375246</v>
      </c>
      <c r="L64" s="330">
        <f t="shared" si="5"/>
        <v>3.5362429121767673E-2</v>
      </c>
      <c r="M64" s="730"/>
      <c r="N64" s="495"/>
      <c r="O64" s="294"/>
      <c r="P64" s="294"/>
      <c r="V64" s="495"/>
      <c r="W64" s="495"/>
      <c r="AI64" s="66"/>
      <c r="AJ64" s="66"/>
    </row>
    <row r="65" spans="1:36">
      <c r="A65" s="66">
        <f t="shared" si="0"/>
        <v>2009</v>
      </c>
      <c r="B65" s="67">
        <v>39873</v>
      </c>
      <c r="C65" s="294">
        <f>HLOOKUP(MONTH(B65),'Purchased kWh'!$4:$17,11,FALSE)</f>
        <v>317878968.44471997</v>
      </c>
      <c r="D65" s="68">
        <f>'Month &amp; Hour Data'!B64</f>
        <v>533.79999999999995</v>
      </c>
      <c r="E65" s="68">
        <f>'Month &amp; Hour Data'!C64</f>
        <v>0</v>
      </c>
      <c r="F65" s="308">
        <f>'Month &amp; Hour Data'!H64</f>
        <v>1.0998952312138288</v>
      </c>
      <c r="G65" s="69">
        <f>'Month &amp; Hour Data'!D64</f>
        <v>31</v>
      </c>
      <c r="H65" s="69">
        <f>'Month &amp; Hour Data'!E64</f>
        <v>1</v>
      </c>
      <c r="I65" s="69">
        <f>'Month &amp; Hour Data'!G64</f>
        <v>352</v>
      </c>
      <c r="J65" s="70">
        <f t="shared" si="3"/>
        <v>324619722.95150334</v>
      </c>
      <c r="K65" s="70">
        <f t="shared" si="4"/>
        <v>6740754.5067833662</v>
      </c>
      <c r="L65" s="330">
        <f t="shared" si="5"/>
        <v>2.1205412046489645E-2</v>
      </c>
      <c r="M65" s="730"/>
      <c r="N65" s="495"/>
      <c r="O65" s="294"/>
      <c r="P65" s="294"/>
      <c r="V65" s="495"/>
      <c r="W65" s="495"/>
      <c r="AI65" s="66"/>
      <c r="AJ65" s="66"/>
    </row>
    <row r="66" spans="1:36">
      <c r="A66" s="66">
        <f t="shared" si="0"/>
        <v>2009</v>
      </c>
      <c r="B66" s="67">
        <v>39904</v>
      </c>
      <c r="C66" s="294">
        <f>HLOOKUP(MONTH(B66),'Purchased kWh'!$4:$17,11,FALSE)</f>
        <v>288048156.51208001</v>
      </c>
      <c r="D66" s="68">
        <f>'Month &amp; Hour Data'!B65</f>
        <v>305.8</v>
      </c>
      <c r="E66" s="68">
        <f>'Month &amp; Hour Data'!C65</f>
        <v>1.2</v>
      </c>
      <c r="F66" s="308">
        <f>'Month &amp; Hour Data'!H65</f>
        <v>1.0968846557284044</v>
      </c>
      <c r="G66" s="69">
        <f>'Month &amp; Hour Data'!D65</f>
        <v>30</v>
      </c>
      <c r="H66" s="69">
        <f>'Month &amp; Hour Data'!E65</f>
        <v>1</v>
      </c>
      <c r="I66" s="69">
        <f>'Month &amp; Hour Data'!G65</f>
        <v>320</v>
      </c>
      <c r="J66" s="70">
        <f t="shared" si="3"/>
        <v>301300509.69436359</v>
      </c>
      <c r="K66" s="70">
        <f t="shared" si="4"/>
        <v>13252353.18228358</v>
      </c>
      <c r="L66" s="330">
        <f t="shared" si="5"/>
        <v>4.6007422310053253E-2</v>
      </c>
      <c r="M66" s="730"/>
      <c r="N66" s="495"/>
      <c r="O66" s="294"/>
      <c r="P66" s="294"/>
      <c r="V66" s="495"/>
      <c r="W66" s="495"/>
      <c r="AI66" s="66"/>
      <c r="AJ66" s="66"/>
    </row>
    <row r="67" spans="1:36">
      <c r="A67" s="66">
        <f t="shared" ref="A67:A130" si="6">YEAR(B67)</f>
        <v>2009</v>
      </c>
      <c r="B67" s="67">
        <v>39934</v>
      </c>
      <c r="C67" s="294">
        <f>HLOOKUP(MONTH(B67),'Purchased kWh'!$4:$17,11,FALSE)</f>
        <v>279549260.71288002</v>
      </c>
      <c r="D67" s="68">
        <f>'Month &amp; Hour Data'!B66</f>
        <v>158.80000000000001</v>
      </c>
      <c r="E67" s="68">
        <f>'Month &amp; Hour Data'!C66</f>
        <v>6.9</v>
      </c>
      <c r="F67" s="308">
        <f>'Month &amp; Hour Data'!H66</f>
        <v>1.093882320632152</v>
      </c>
      <c r="G67" s="69">
        <f>'Month &amp; Hour Data'!D66</f>
        <v>31</v>
      </c>
      <c r="H67" s="69">
        <f>'Month &amp; Hour Data'!E66</f>
        <v>1</v>
      </c>
      <c r="I67" s="69">
        <f>'Month &amp; Hour Data'!G66</f>
        <v>320</v>
      </c>
      <c r="J67" s="70">
        <f t="shared" si="3"/>
        <v>301588742.31264651</v>
      </c>
      <c r="K67" s="70">
        <f t="shared" ref="K67:K98" si="7">J67-C67</f>
        <v>22039481.599766493</v>
      </c>
      <c r="L67" s="330">
        <f t="shared" ref="L67:L98" si="8">K67/C67</f>
        <v>7.8839348541160495E-2</v>
      </c>
      <c r="M67" s="730"/>
      <c r="N67" s="495"/>
      <c r="O67" s="294"/>
      <c r="P67" s="294"/>
      <c r="V67" s="495"/>
      <c r="W67" s="495"/>
      <c r="AI67" s="66"/>
      <c r="AJ67" s="66"/>
    </row>
    <row r="68" spans="1:36">
      <c r="A68" s="66">
        <f t="shared" si="6"/>
        <v>2009</v>
      </c>
      <c r="B68" s="67">
        <v>39965</v>
      </c>
      <c r="C68" s="294">
        <f>HLOOKUP(MONTH(B68),'Purchased kWh'!$4:$17,11,FALSE)</f>
        <v>301280402.76728004</v>
      </c>
      <c r="D68" s="68">
        <f>'Month &amp; Hour Data'!B67</f>
        <v>49.3</v>
      </c>
      <c r="E68" s="68">
        <f>'Month &amp; Hour Data'!C67</f>
        <v>34.200000000000003</v>
      </c>
      <c r="F68" s="308">
        <f>'Month &amp; Hour Data'!H67</f>
        <v>1.0908882033699105</v>
      </c>
      <c r="G68" s="69">
        <f>'Month &amp; Hour Data'!D67</f>
        <v>30</v>
      </c>
      <c r="H68" s="69">
        <f>'Month &amp; Hour Data'!E67</f>
        <v>0</v>
      </c>
      <c r="I68" s="69">
        <f>'Month &amp; Hour Data'!G67</f>
        <v>352</v>
      </c>
      <c r="J68" s="70">
        <f t="shared" ref="J68:J131" si="9">$E$187+(D68*$E$188)+(E68*$E$189)+(F68*$E$190)+(G68*$E$191)+(H68*$E$192)+(I68*$E$193)</f>
        <v>313165263.35913348</v>
      </c>
      <c r="K68" s="70">
        <f t="shared" si="7"/>
        <v>11884860.59185344</v>
      </c>
      <c r="L68" s="330">
        <f t="shared" si="8"/>
        <v>3.944783823537882E-2</v>
      </c>
      <c r="M68" s="730"/>
      <c r="N68" s="495"/>
      <c r="O68" s="294"/>
      <c r="P68" s="294"/>
      <c r="V68" s="495"/>
      <c r="W68" s="495"/>
      <c r="AI68" s="66"/>
      <c r="AJ68" s="66"/>
    </row>
    <row r="69" spans="1:36">
      <c r="A69" s="66">
        <f t="shared" si="6"/>
        <v>2009</v>
      </c>
      <c r="B69" s="67">
        <v>39995</v>
      </c>
      <c r="C69" s="294">
        <f>HLOOKUP(MONTH(B69),'Purchased kWh'!$4:$17,11,FALSE)</f>
        <v>312634481.25511998</v>
      </c>
      <c r="D69" s="68">
        <f>'Month &amp; Hour Data'!B68</f>
        <v>6.2</v>
      </c>
      <c r="E69" s="68">
        <f>'Month &amp; Hour Data'!C68</f>
        <v>43.7</v>
      </c>
      <c r="F69" s="308">
        <f>'Month &amp; Hour Data'!H68</f>
        <v>1.0879022814482564</v>
      </c>
      <c r="G69" s="69">
        <f>'Month &amp; Hour Data'!D68</f>
        <v>31</v>
      </c>
      <c r="H69" s="69">
        <f>'Month &amp; Hour Data'!E68</f>
        <v>0</v>
      </c>
      <c r="I69" s="69">
        <f>'Month &amp; Hour Data'!G68</f>
        <v>352</v>
      </c>
      <c r="J69" s="70">
        <f t="shared" si="9"/>
        <v>320883252.00336957</v>
      </c>
      <c r="K69" s="70">
        <f t="shared" si="7"/>
        <v>8248770.7482495904</v>
      </c>
      <c r="L69" s="330">
        <f t="shared" si="8"/>
        <v>2.6384711997005612E-2</v>
      </c>
      <c r="M69" s="730"/>
      <c r="N69" s="495"/>
      <c r="O69" s="294"/>
      <c r="P69" s="294"/>
      <c r="V69" s="495"/>
      <c r="W69" s="495"/>
      <c r="AI69" s="66"/>
      <c r="AJ69" s="66"/>
    </row>
    <row r="70" spans="1:36">
      <c r="A70" s="66">
        <f t="shared" si="6"/>
        <v>2009</v>
      </c>
      <c r="B70" s="67">
        <v>40026</v>
      </c>
      <c r="C70" s="294">
        <f>HLOOKUP(MONTH(B70),'Purchased kWh'!$4:$17,11,FALSE)</f>
        <v>342969586.97349995</v>
      </c>
      <c r="D70" s="68">
        <f>'Month &amp; Hour Data'!B69</f>
        <v>9.8000000000000007</v>
      </c>
      <c r="E70" s="68">
        <f>'Month &amp; Hour Data'!C69</f>
        <v>91</v>
      </c>
      <c r="F70" s="308">
        <f>'Month &amp; Hour Data'!H69</f>
        <v>1.0849245324353336</v>
      </c>
      <c r="G70" s="69">
        <f>'Month &amp; Hour Data'!D69</f>
        <v>31</v>
      </c>
      <c r="H70" s="69">
        <f>'Month &amp; Hour Data'!E69</f>
        <v>0</v>
      </c>
      <c r="I70" s="69">
        <f>'Month &amp; Hour Data'!G69</f>
        <v>320</v>
      </c>
      <c r="J70" s="70">
        <f t="shared" si="9"/>
        <v>339071194.36592937</v>
      </c>
      <c r="K70" s="70">
        <f t="shared" si="7"/>
        <v>-3898392.6075705886</v>
      </c>
      <c r="L70" s="330">
        <f t="shared" si="8"/>
        <v>-1.1366583964402079E-2</v>
      </c>
      <c r="M70" s="730"/>
      <c r="N70" s="495"/>
      <c r="O70" s="294"/>
      <c r="P70" s="294"/>
      <c r="V70" s="495"/>
      <c r="W70" s="495"/>
      <c r="AI70" s="66"/>
      <c r="AJ70" s="66"/>
    </row>
    <row r="71" spans="1:36">
      <c r="A71" s="66">
        <f t="shared" si="6"/>
        <v>2009</v>
      </c>
      <c r="B71" s="67">
        <v>40057</v>
      </c>
      <c r="C71" s="294">
        <f>HLOOKUP(MONTH(B71),'Purchased kWh'!$4:$17,11,FALSE)</f>
        <v>305441230.39999998</v>
      </c>
      <c r="D71" s="68">
        <f>'Month &amp; Hour Data'!B70</f>
        <v>55.2</v>
      </c>
      <c r="E71" s="68">
        <f>'Month &amp; Hour Data'!C70</f>
        <v>20.9</v>
      </c>
      <c r="F71" s="308">
        <f>'Month &amp; Hour Data'!H70</f>
        <v>1.0819549339606855</v>
      </c>
      <c r="G71" s="69">
        <f>'Month &amp; Hour Data'!D70</f>
        <v>30</v>
      </c>
      <c r="H71" s="69">
        <f>'Month &amp; Hour Data'!E70</f>
        <v>1</v>
      </c>
      <c r="I71" s="69">
        <f>'Month &amp; Hour Data'!G70</f>
        <v>336</v>
      </c>
      <c r="J71" s="70">
        <f t="shared" si="9"/>
        <v>296650790.24336612</v>
      </c>
      <c r="K71" s="70">
        <f t="shared" si="7"/>
        <v>-8790440.1566338539</v>
      </c>
      <c r="L71" s="330">
        <f t="shared" si="8"/>
        <v>-2.8779481228261364E-2</v>
      </c>
      <c r="M71" s="730"/>
      <c r="N71" s="495"/>
      <c r="O71" s="294"/>
      <c r="P71" s="294"/>
      <c r="V71" s="495"/>
      <c r="W71" s="495"/>
      <c r="AI71" s="66"/>
      <c r="AJ71" s="66"/>
    </row>
    <row r="72" spans="1:36">
      <c r="A72" s="66">
        <f t="shared" si="6"/>
        <v>2009</v>
      </c>
      <c r="B72" s="67">
        <v>40087</v>
      </c>
      <c r="C72" s="294">
        <f>HLOOKUP(MONTH(B72),'Purchased kWh'!$4:$17,11,FALSE)</f>
        <v>307520270</v>
      </c>
      <c r="D72" s="68">
        <f>'Month &amp; Hour Data'!B71</f>
        <v>287.8</v>
      </c>
      <c r="E72" s="68">
        <f>'Month &amp; Hour Data'!C71</f>
        <v>0</v>
      </c>
      <c r="F72" s="308">
        <f>'Month &amp; Hour Data'!H71</f>
        <v>1.0789934637150864</v>
      </c>
      <c r="G72" s="69">
        <f>'Month &amp; Hour Data'!D71</f>
        <v>31</v>
      </c>
      <c r="H72" s="69">
        <f>'Month &amp; Hour Data'!E71</f>
        <v>1</v>
      </c>
      <c r="I72" s="69">
        <f>'Month &amp; Hour Data'!G71</f>
        <v>336</v>
      </c>
      <c r="J72" s="70">
        <f t="shared" si="9"/>
        <v>303675064.68539512</v>
      </c>
      <c r="K72" s="70">
        <f t="shared" si="7"/>
        <v>-3845205.3146048784</v>
      </c>
      <c r="L72" s="330">
        <f t="shared" si="8"/>
        <v>-1.2503908489040018E-2</v>
      </c>
      <c r="M72" s="730"/>
      <c r="N72" s="495"/>
      <c r="O72" s="294"/>
      <c r="P72" s="294"/>
      <c r="V72" s="495"/>
      <c r="W72" s="495"/>
      <c r="AI72" s="66"/>
      <c r="AJ72" s="66"/>
    </row>
    <row r="73" spans="1:36">
      <c r="A73" s="66">
        <f t="shared" si="6"/>
        <v>2009</v>
      </c>
      <c r="B73" s="67">
        <v>40118</v>
      </c>
      <c r="C73" s="294">
        <f>HLOOKUP(MONTH(B73),'Purchased kWh'!$4:$17,11,FALSE)</f>
        <v>303012735.71912003</v>
      </c>
      <c r="D73" s="68">
        <f>'Month &amp; Hour Data'!B72</f>
        <v>361.2</v>
      </c>
      <c r="E73" s="68">
        <f>'Month &amp; Hour Data'!C72</f>
        <v>0</v>
      </c>
      <c r="F73" s="308">
        <f>'Month &amp; Hour Data'!H72</f>
        <v>1.0760400994503745</v>
      </c>
      <c r="G73" s="69">
        <f>'Month &amp; Hour Data'!D72</f>
        <v>30</v>
      </c>
      <c r="H73" s="69">
        <f>'Month &amp; Hour Data'!E72</f>
        <v>1</v>
      </c>
      <c r="I73" s="69">
        <f>'Month &amp; Hour Data'!G72</f>
        <v>320</v>
      </c>
      <c r="J73" s="70">
        <f t="shared" si="9"/>
        <v>298289937.71017492</v>
      </c>
      <c r="K73" s="70">
        <f t="shared" si="7"/>
        <v>-4722798.0089451075</v>
      </c>
      <c r="L73" s="330">
        <f t="shared" si="8"/>
        <v>-1.558613699103044E-2</v>
      </c>
      <c r="M73" s="730"/>
      <c r="N73" s="495"/>
      <c r="O73" s="294"/>
      <c r="P73" s="294"/>
      <c r="V73" s="495"/>
      <c r="W73" s="495"/>
      <c r="AI73" s="66"/>
      <c r="AJ73" s="66"/>
    </row>
    <row r="74" spans="1:36">
      <c r="A74" s="66">
        <f t="shared" si="6"/>
        <v>2009</v>
      </c>
      <c r="B74" s="67">
        <v>40148</v>
      </c>
      <c r="C74" s="294">
        <f>HLOOKUP(MONTH(B74),'Purchased kWh'!$4:$17,11,FALSE)</f>
        <v>331058360.70839995</v>
      </c>
      <c r="D74" s="68">
        <f>'Month &amp; Hour Data'!B73</f>
        <v>631.29999999999995</v>
      </c>
      <c r="E74" s="68">
        <f>'Month &amp; Hour Data'!C73</f>
        <v>0</v>
      </c>
      <c r="F74" s="308">
        <f>'Month &amp; Hour Data'!H73</f>
        <v>1.0730948189792846</v>
      </c>
      <c r="G74" s="69">
        <f>'Month &amp; Hour Data'!D73</f>
        <v>31</v>
      </c>
      <c r="H74" s="69">
        <f>'Month &amp; Hour Data'!E73</f>
        <v>0</v>
      </c>
      <c r="I74" s="69">
        <f>'Month &amp; Hour Data'!G73</f>
        <v>352</v>
      </c>
      <c r="J74" s="70">
        <f t="shared" si="9"/>
        <v>328214253.4953379</v>
      </c>
      <c r="K74" s="70">
        <f t="shared" si="7"/>
        <v>-2844107.213062048</v>
      </c>
      <c r="L74" s="330">
        <f t="shared" si="8"/>
        <v>-8.5909541960402878E-3</v>
      </c>
      <c r="M74" s="730"/>
      <c r="N74" s="495"/>
      <c r="O74" s="294"/>
      <c r="P74" s="294"/>
      <c r="V74" s="495"/>
      <c r="W74" s="495"/>
      <c r="AI74" s="66"/>
      <c r="AJ74" s="66"/>
    </row>
    <row r="75" spans="1:36">
      <c r="A75" s="66">
        <f t="shared" si="6"/>
        <v>2010</v>
      </c>
      <c r="B75" s="67">
        <v>40179</v>
      </c>
      <c r="C75" s="294">
        <f>HLOOKUP(MONTH(B75),'Purchased kWh'!$4:$17,12,FALSE)</f>
        <v>338841929.64000005</v>
      </c>
      <c r="D75" s="68">
        <f>VLOOKUP($B75,'Month &amp; Hour Data'!$A:$H,2,FALSE)</f>
        <v>720</v>
      </c>
      <c r="E75" s="68">
        <f>VLOOKUP($B75,'Month &amp; Hour Data'!$A:$H,3,FALSE)</f>
        <v>0</v>
      </c>
      <c r="F75" s="308">
        <f>VLOOKUP($B75,'Month &amp; Hour Data'!$A:$H,8,FALSE)</f>
        <v>1.0756984776680034</v>
      </c>
      <c r="G75" s="69">
        <f>VLOOKUP($B75,'Month &amp; Hour Data'!$A:$H,4,FALSE)</f>
        <v>31</v>
      </c>
      <c r="H75" s="69">
        <f>VLOOKUP($B75,'Month &amp; Hour Data'!$A:$H,5,FALSE)</f>
        <v>0</v>
      </c>
      <c r="I75" s="69">
        <f>VLOOKUP($B75,'Month &amp; Hour Data'!$A:$H,7,FALSE)</f>
        <v>320</v>
      </c>
      <c r="J75" s="70">
        <f t="shared" si="9"/>
        <v>328506982.0335201</v>
      </c>
      <c r="K75" s="70">
        <f t="shared" si="7"/>
        <v>-10334947.606479943</v>
      </c>
      <c r="L75" s="330">
        <f t="shared" si="8"/>
        <v>-3.050079314995115E-2</v>
      </c>
      <c r="M75" s="730"/>
      <c r="N75" s="495"/>
      <c r="O75" s="294"/>
      <c r="P75" s="294"/>
      <c r="V75" s="495"/>
      <c r="W75" s="495"/>
      <c r="AI75" s="66"/>
      <c r="AJ75" s="66"/>
    </row>
    <row r="76" spans="1:36">
      <c r="A76" s="66">
        <f t="shared" si="6"/>
        <v>2010</v>
      </c>
      <c r="B76" s="67">
        <v>40210</v>
      </c>
      <c r="C76" s="294">
        <f>HLOOKUP(MONTH(B76),'Purchased kWh'!$4:$17,12,FALSE)</f>
        <v>307563620.17000002</v>
      </c>
      <c r="D76" s="68">
        <f>VLOOKUP($B76,'Month &amp; Hour Data'!$A:$H,2,FALSE)</f>
        <v>598.29999999999995</v>
      </c>
      <c r="E76" s="68">
        <f>VLOOKUP($B76,'Month &amp; Hour Data'!$A:$H,3,FALSE)</f>
        <v>0</v>
      </c>
      <c r="F76" s="308">
        <f>VLOOKUP($B76,'Month &amp; Hour Data'!$A:$H,8,FALSE)</f>
        <v>1.0783084536349796</v>
      </c>
      <c r="G76" s="69">
        <f>VLOOKUP($B76,'Month &amp; Hour Data'!$A:$H,4,FALSE)</f>
        <v>28</v>
      </c>
      <c r="H76" s="69">
        <f>VLOOKUP($B76,'Month &amp; Hour Data'!$A:$H,5,FALSE)</f>
        <v>0</v>
      </c>
      <c r="I76" s="69">
        <f>VLOOKUP($B76,'Month &amp; Hour Data'!$A:$H,7,FALSE)</f>
        <v>304</v>
      </c>
      <c r="J76" s="70">
        <f t="shared" si="9"/>
        <v>302238491.03546673</v>
      </c>
      <c r="K76" s="70">
        <f t="shared" si="7"/>
        <v>-5325129.1345332861</v>
      </c>
      <c r="L76" s="330">
        <f t="shared" si="8"/>
        <v>-1.7313910961218107E-2</v>
      </c>
      <c r="M76" s="730"/>
      <c r="N76" s="495"/>
      <c r="O76" s="294"/>
      <c r="P76" s="294"/>
      <c r="V76" s="495"/>
      <c r="W76" s="495"/>
      <c r="AI76" s="66"/>
      <c r="AJ76" s="66"/>
    </row>
    <row r="77" spans="1:36">
      <c r="A77" s="66">
        <f t="shared" si="6"/>
        <v>2010</v>
      </c>
      <c r="B77" s="67">
        <v>40238</v>
      </c>
      <c r="C77" s="294">
        <f>HLOOKUP(MONTH(B77),'Purchased kWh'!$4:$17,12,FALSE)</f>
        <v>317385708.60000008</v>
      </c>
      <c r="D77" s="68">
        <f>VLOOKUP($B77,'Month &amp; Hour Data'!$A:$H,2,FALSE)</f>
        <v>422.8</v>
      </c>
      <c r="E77" s="68">
        <f>VLOOKUP($B77,'Month &amp; Hour Data'!$A:$H,3,FALSE)</f>
        <v>0</v>
      </c>
      <c r="F77" s="308">
        <f>VLOOKUP($B77,'Month &amp; Hour Data'!$A:$H,8,FALSE)</f>
        <v>1.0809247622078761</v>
      </c>
      <c r="G77" s="69">
        <f>VLOOKUP($B77,'Month &amp; Hour Data'!$A:$H,4,FALSE)</f>
        <v>31</v>
      </c>
      <c r="H77" s="69">
        <f>VLOOKUP($B77,'Month &amp; Hour Data'!$A:$H,5,FALSE)</f>
        <v>1</v>
      </c>
      <c r="I77" s="69">
        <f>VLOOKUP($B77,'Month &amp; Hour Data'!$A:$H,7,FALSE)</f>
        <v>368</v>
      </c>
      <c r="J77" s="70">
        <f t="shared" si="9"/>
        <v>316408881.57628173</v>
      </c>
      <c r="K77" s="70">
        <f t="shared" si="7"/>
        <v>-976827.02371835709</v>
      </c>
      <c r="L77" s="330">
        <f t="shared" si="8"/>
        <v>-3.077728446019755E-3</v>
      </c>
      <c r="M77" s="730"/>
      <c r="N77" s="495"/>
      <c r="O77" s="294"/>
      <c r="P77" s="294"/>
      <c r="V77" s="495"/>
      <c r="W77" s="495"/>
      <c r="AI77" s="66"/>
      <c r="AJ77" s="66"/>
    </row>
    <row r="78" spans="1:36">
      <c r="A78" s="66">
        <f t="shared" si="6"/>
        <v>2010</v>
      </c>
      <c r="B78" s="67">
        <v>40269</v>
      </c>
      <c r="C78" s="294">
        <f>HLOOKUP(MONTH(B78),'Purchased kWh'!$4:$17,12,FALSE)</f>
        <v>288580434.81999999</v>
      </c>
      <c r="D78" s="68">
        <f>VLOOKUP($B78,'Month &amp; Hour Data'!$A:$H,2,FALSE)</f>
        <v>225.1</v>
      </c>
      <c r="E78" s="68">
        <f>VLOOKUP($B78,'Month &amp; Hour Data'!$A:$H,3,FALSE)</f>
        <v>0</v>
      </c>
      <c r="F78" s="308">
        <f>VLOOKUP($B78,'Month &amp; Hour Data'!$A:$H,8,FALSE)</f>
        <v>1.0835474187515461</v>
      </c>
      <c r="G78" s="69">
        <f>VLOOKUP($B78,'Month &amp; Hour Data'!$A:$H,4,FALSE)</f>
        <v>30</v>
      </c>
      <c r="H78" s="69">
        <f>VLOOKUP($B78,'Month &amp; Hour Data'!$A:$H,5,FALSE)</f>
        <v>1</v>
      </c>
      <c r="I78" s="69">
        <f>VLOOKUP($B78,'Month &amp; Hour Data'!$A:$H,7,FALSE)</f>
        <v>320</v>
      </c>
      <c r="J78" s="70">
        <f t="shared" si="9"/>
        <v>292996525.14071226</v>
      </c>
      <c r="K78" s="70">
        <f t="shared" si="7"/>
        <v>4416090.3207122684</v>
      </c>
      <c r="L78" s="330">
        <f t="shared" si="8"/>
        <v>1.5302805692516104E-2</v>
      </c>
      <c r="M78" s="730"/>
      <c r="N78" s="495"/>
      <c r="O78" s="294"/>
      <c r="P78" s="294"/>
      <c r="V78" s="495"/>
      <c r="W78" s="495"/>
      <c r="AI78" s="66"/>
      <c r="AJ78" s="66"/>
    </row>
    <row r="79" spans="1:36">
      <c r="A79" s="66">
        <f t="shared" si="6"/>
        <v>2010</v>
      </c>
      <c r="B79" s="67">
        <v>40299</v>
      </c>
      <c r="C79" s="294">
        <f>HLOOKUP(MONTH(B79),'Purchased kWh'!$4:$17,12,FALSE)</f>
        <v>317160058.12000006</v>
      </c>
      <c r="D79" s="68">
        <f>VLOOKUP($B79,'Month &amp; Hour Data'!$A:$H,2,FALSE)</f>
        <v>107.9</v>
      </c>
      <c r="E79" s="68">
        <f>VLOOKUP($B79,'Month &amp; Hour Data'!$A:$H,3,FALSE)</f>
        <v>45.7</v>
      </c>
      <c r="F79" s="308">
        <f>VLOOKUP($B79,'Month &amp; Hour Data'!$A:$H,8,FALSE)</f>
        <v>1.086176438668123</v>
      </c>
      <c r="G79" s="69">
        <f>VLOOKUP($B79,'Month &amp; Hour Data'!$A:$H,4,FALSE)</f>
        <v>31</v>
      </c>
      <c r="H79" s="69">
        <f>VLOOKUP($B79,'Month &amp; Hour Data'!$A:$H,5,FALSE)</f>
        <v>1</v>
      </c>
      <c r="I79" s="69">
        <f>VLOOKUP($B79,'Month &amp; Hour Data'!$A:$H,7,FALSE)</f>
        <v>320</v>
      </c>
      <c r="J79" s="70">
        <f t="shared" si="9"/>
        <v>316469067.66352594</v>
      </c>
      <c r="K79" s="70">
        <f t="shared" si="7"/>
        <v>-690990.45647412539</v>
      </c>
      <c r="L79" s="330">
        <f t="shared" si="8"/>
        <v>-2.1786805708450324E-3</v>
      </c>
      <c r="M79" s="730"/>
      <c r="N79" s="495"/>
      <c r="O79" s="294"/>
      <c r="P79" s="294"/>
      <c r="V79" s="495"/>
      <c r="W79" s="495"/>
      <c r="AI79" s="66"/>
      <c r="AJ79" s="66"/>
    </row>
    <row r="80" spans="1:36">
      <c r="A80" s="66">
        <f t="shared" si="6"/>
        <v>2010</v>
      </c>
      <c r="B80" s="67">
        <v>40330</v>
      </c>
      <c r="C80" s="294">
        <f>HLOOKUP(MONTH(B80),'Purchased kWh'!$4:$17,12,FALSE)</f>
        <v>327911313.14999998</v>
      </c>
      <c r="D80" s="68">
        <f>VLOOKUP($B80,'Month &amp; Hour Data'!$A:$H,2,FALSE)</f>
        <v>21.7</v>
      </c>
      <c r="E80" s="68">
        <f>VLOOKUP($B80,'Month &amp; Hour Data'!$A:$H,3,FALSE)</f>
        <v>58.7</v>
      </c>
      <c r="F80" s="308">
        <f>VLOOKUP($B80,'Month &amp; Hour Data'!$A:$H,8,FALSE)</f>
        <v>1.0888118373971101</v>
      </c>
      <c r="G80" s="69">
        <f>VLOOKUP($B80,'Month &amp; Hour Data'!$A:$H,4,FALSE)</f>
        <v>30</v>
      </c>
      <c r="H80" s="69">
        <f>VLOOKUP($B80,'Month &amp; Hour Data'!$A:$H,5,FALSE)</f>
        <v>0</v>
      </c>
      <c r="I80" s="69">
        <f>VLOOKUP($B80,'Month &amp; Hour Data'!$A:$H,7,FALSE)</f>
        <v>352</v>
      </c>
      <c r="J80" s="70">
        <f t="shared" si="9"/>
        <v>323517280.72562617</v>
      </c>
      <c r="K80" s="70">
        <f t="shared" si="7"/>
        <v>-4394032.4243738055</v>
      </c>
      <c r="L80" s="330">
        <f t="shared" si="8"/>
        <v>-1.3400063517673744E-2</v>
      </c>
      <c r="M80" s="730"/>
      <c r="N80" s="495"/>
      <c r="O80" s="294"/>
      <c r="P80" s="294"/>
      <c r="V80" s="495"/>
      <c r="W80" s="495"/>
      <c r="AI80" s="66"/>
      <c r="AJ80" s="66"/>
    </row>
    <row r="81" spans="1:36">
      <c r="A81" s="66">
        <f t="shared" si="6"/>
        <v>2010</v>
      </c>
      <c r="B81" s="67">
        <v>40360</v>
      </c>
      <c r="C81" s="294">
        <f>HLOOKUP(MONTH(B81),'Purchased kWh'!$4:$17,12,FALSE)</f>
        <v>387084557.87</v>
      </c>
      <c r="D81" s="68">
        <f>VLOOKUP($B81,'Month &amp; Hour Data'!$A:$H,2,FALSE)</f>
        <v>1.8</v>
      </c>
      <c r="E81" s="68">
        <f>VLOOKUP($B81,'Month &amp; Hour Data'!$A:$H,3,FALSE)</f>
        <v>164.9</v>
      </c>
      <c r="F81" s="308">
        <f>VLOOKUP($B81,'Month &amp; Hour Data'!$A:$H,8,FALSE)</f>
        <v>1.0914536304154718</v>
      </c>
      <c r="G81" s="69">
        <f>VLOOKUP($B81,'Month &amp; Hour Data'!$A:$H,4,FALSE)</f>
        <v>31</v>
      </c>
      <c r="H81" s="69">
        <f>VLOOKUP($B81,'Month &amp; Hour Data'!$A:$H,5,FALSE)</f>
        <v>0</v>
      </c>
      <c r="I81" s="69">
        <f>VLOOKUP($B81,'Month &amp; Hour Data'!$A:$H,7,FALSE)</f>
        <v>336</v>
      </c>
      <c r="J81" s="70">
        <f t="shared" si="9"/>
        <v>380106158.64080596</v>
      </c>
      <c r="K81" s="70">
        <f t="shared" si="7"/>
        <v>-6978399.2291940451</v>
      </c>
      <c r="L81" s="330">
        <f t="shared" si="8"/>
        <v>-1.8028100287941991E-2</v>
      </c>
      <c r="M81" s="730"/>
      <c r="N81" s="495"/>
      <c r="O81" s="294"/>
      <c r="P81" s="294"/>
      <c r="V81" s="495"/>
      <c r="W81" s="495"/>
      <c r="AI81" s="66"/>
      <c r="AJ81" s="66"/>
    </row>
    <row r="82" spans="1:36">
      <c r="A82" s="66">
        <f t="shared" si="6"/>
        <v>2010</v>
      </c>
      <c r="B82" s="67">
        <v>40391</v>
      </c>
      <c r="C82" s="294">
        <f>HLOOKUP(MONTH(B82),'Purchased kWh'!$4:$17,12,FALSE)</f>
        <v>372085384</v>
      </c>
      <c r="D82" s="68">
        <f>VLOOKUP($B82,'Month &amp; Hour Data'!$A:$H,2,FALSE)</f>
        <v>2.1</v>
      </c>
      <c r="E82" s="68">
        <f>VLOOKUP($B82,'Month &amp; Hour Data'!$A:$H,3,FALSE)</f>
        <v>138.80000000000001</v>
      </c>
      <c r="F82" s="308">
        <f>VLOOKUP($B82,'Month &amp; Hour Data'!$A:$H,8,FALSE)</f>
        <v>1.0941018332377244</v>
      </c>
      <c r="G82" s="69">
        <f>VLOOKUP($B82,'Month &amp; Hour Data'!$A:$H,4,FALSE)</f>
        <v>31</v>
      </c>
      <c r="H82" s="69">
        <f>VLOOKUP($B82,'Month &amp; Hour Data'!$A:$H,5,FALSE)</f>
        <v>0</v>
      </c>
      <c r="I82" s="69">
        <f>VLOOKUP($B82,'Month &amp; Hour Data'!$A:$H,7,FALSE)</f>
        <v>336</v>
      </c>
      <c r="J82" s="70">
        <f t="shared" si="9"/>
        <v>367646481.68443775</v>
      </c>
      <c r="K82" s="70">
        <f t="shared" si="7"/>
        <v>-4438902.3155622482</v>
      </c>
      <c r="L82" s="330">
        <f t="shared" si="8"/>
        <v>-1.192979489772769E-2</v>
      </c>
      <c r="M82" s="730"/>
      <c r="N82" s="495"/>
      <c r="O82" s="294"/>
      <c r="P82" s="294"/>
      <c r="V82" s="495"/>
      <c r="W82" s="495"/>
      <c r="AI82" s="66"/>
      <c r="AJ82" s="66"/>
    </row>
    <row r="83" spans="1:36">
      <c r="A83" s="66">
        <f t="shared" si="6"/>
        <v>2010</v>
      </c>
      <c r="B83" s="67">
        <v>40422</v>
      </c>
      <c r="C83" s="294">
        <f>HLOOKUP(MONTH(B83),'Purchased kWh'!$4:$17,12,FALSE)</f>
        <v>309880174.61000001</v>
      </c>
      <c r="D83" s="68">
        <f>VLOOKUP($B83,'Month &amp; Hour Data'!$A:$H,2,FALSE)</f>
        <v>78.2</v>
      </c>
      <c r="E83" s="68">
        <f>VLOOKUP($B83,'Month &amp; Hour Data'!$A:$H,3,FALSE)</f>
        <v>31.5</v>
      </c>
      <c r="F83" s="308">
        <f>VLOOKUP($B83,'Month &amp; Hour Data'!$A:$H,8,FALSE)</f>
        <v>1.0967564614160272</v>
      </c>
      <c r="G83" s="69">
        <f>VLOOKUP($B83,'Month &amp; Hour Data'!$A:$H,4,FALSE)</f>
        <v>30</v>
      </c>
      <c r="H83" s="69">
        <f>VLOOKUP($B83,'Month &amp; Hour Data'!$A:$H,5,FALSE)</f>
        <v>1</v>
      </c>
      <c r="I83" s="69">
        <f>VLOOKUP($B83,'Month &amp; Hour Data'!$A:$H,7,FALSE)</f>
        <v>336</v>
      </c>
      <c r="J83" s="70">
        <f t="shared" si="9"/>
        <v>307007694.37583065</v>
      </c>
      <c r="K83" s="70">
        <f t="shared" si="7"/>
        <v>-2872480.234169364</v>
      </c>
      <c r="L83" s="330">
        <f t="shared" si="8"/>
        <v>-9.2696483012652438E-3</v>
      </c>
      <c r="M83" s="730"/>
      <c r="N83" s="495"/>
      <c r="O83" s="294"/>
      <c r="P83" s="294"/>
      <c r="V83" s="495"/>
      <c r="W83" s="495"/>
      <c r="AI83" s="66"/>
      <c r="AJ83" s="66"/>
    </row>
    <row r="84" spans="1:36">
      <c r="A84" s="66">
        <f t="shared" si="6"/>
        <v>2010</v>
      </c>
      <c r="B84" s="67">
        <v>40452</v>
      </c>
      <c r="C84" s="294">
        <f>HLOOKUP(MONTH(B84),'Purchased kWh'!$4:$17,12,FALSE)</f>
        <v>301944346.81</v>
      </c>
      <c r="D84" s="68">
        <f>VLOOKUP($B84,'Month &amp; Hour Data'!$A:$H,2,FALSE)</f>
        <v>241.6</v>
      </c>
      <c r="E84" s="68">
        <f>VLOOKUP($B84,'Month &amp; Hour Data'!$A:$H,3,FALSE)</f>
        <v>0</v>
      </c>
      <c r="F84" s="308">
        <f>VLOOKUP($B84,'Month &amp; Hour Data'!$A:$H,8,FALSE)</f>
        <v>1.0994175305402742</v>
      </c>
      <c r="G84" s="69">
        <f>VLOOKUP($B84,'Month &amp; Hour Data'!$A:$H,4,FALSE)</f>
        <v>31</v>
      </c>
      <c r="H84" s="69">
        <f>VLOOKUP($B84,'Month &amp; Hour Data'!$A:$H,5,FALSE)</f>
        <v>1</v>
      </c>
      <c r="I84" s="69">
        <f>VLOOKUP($B84,'Month &amp; Hour Data'!$A:$H,7,FALSE)</f>
        <v>320</v>
      </c>
      <c r="J84" s="70">
        <f t="shared" si="9"/>
        <v>303921467.42270666</v>
      </c>
      <c r="K84" s="70">
        <f t="shared" si="7"/>
        <v>1977120.6127066612</v>
      </c>
      <c r="L84" s="330">
        <f t="shared" si="8"/>
        <v>6.5479636681218421E-3</v>
      </c>
      <c r="M84" s="730"/>
      <c r="N84" s="495"/>
      <c r="O84" s="294"/>
      <c r="P84" s="294"/>
      <c r="V84" s="495"/>
      <c r="W84" s="495"/>
      <c r="AI84" s="66"/>
      <c r="AJ84" s="66"/>
    </row>
    <row r="85" spans="1:36">
      <c r="A85" s="66">
        <f t="shared" si="6"/>
        <v>2010</v>
      </c>
      <c r="B85" s="67">
        <v>40483</v>
      </c>
      <c r="C85" s="294">
        <f>HLOOKUP(MONTH(B85),'Purchased kWh'!$4:$17,12,FALSE)</f>
        <v>309107400.75999999</v>
      </c>
      <c r="D85" s="68">
        <f>VLOOKUP($B85,'Month &amp; Hour Data'!$A:$H,2,FALSE)</f>
        <v>405.3</v>
      </c>
      <c r="E85" s="68">
        <f>VLOOKUP($B85,'Month &amp; Hour Data'!$A:$H,3,FALSE)</f>
        <v>0</v>
      </c>
      <c r="F85" s="308">
        <f>VLOOKUP($B85,'Month &amp; Hour Data'!$A:$H,8,FALSE)</f>
        <v>1.1020850562381843</v>
      </c>
      <c r="G85" s="69">
        <f>VLOOKUP($B85,'Month &amp; Hour Data'!$A:$H,4,FALSE)</f>
        <v>30</v>
      </c>
      <c r="H85" s="69">
        <f>VLOOKUP($B85,'Month &amp; Hour Data'!$A:$H,5,FALSE)</f>
        <v>1</v>
      </c>
      <c r="I85" s="69">
        <f>VLOOKUP($B85,'Month &amp; Hour Data'!$A:$H,7,FALSE)</f>
        <v>336</v>
      </c>
      <c r="J85" s="70">
        <f t="shared" si="9"/>
        <v>309845392.37028605</v>
      </c>
      <c r="K85" s="70">
        <f t="shared" si="7"/>
        <v>737991.610286057</v>
      </c>
      <c r="L85" s="330">
        <f t="shared" si="8"/>
        <v>2.3874925300124252E-3</v>
      </c>
      <c r="M85" s="730"/>
      <c r="N85" s="495"/>
      <c r="O85" s="294"/>
      <c r="P85" s="294"/>
      <c r="V85" s="495"/>
      <c r="W85" s="495"/>
      <c r="AI85" s="66"/>
      <c r="AJ85" s="66"/>
    </row>
    <row r="86" spans="1:36">
      <c r="A86" s="66">
        <f t="shared" si="6"/>
        <v>2010</v>
      </c>
      <c r="B86" s="67">
        <v>40513</v>
      </c>
      <c r="C86" s="294">
        <f>HLOOKUP(MONTH(B86),'Purchased kWh'!$4:$17,12,FALSE)</f>
        <v>333509213.89770001</v>
      </c>
      <c r="D86" s="68">
        <f>VLOOKUP($B86,'Month &amp; Hour Data'!$A:$H,2,FALSE)</f>
        <v>676.2</v>
      </c>
      <c r="E86" s="68">
        <f>VLOOKUP($B86,'Month &amp; Hour Data'!$A:$H,3,FALSE)</f>
        <v>0</v>
      </c>
      <c r="F86" s="308">
        <f>VLOOKUP($B86,'Month &amp; Hour Data'!$A:$H,8,FALSE)</f>
        <v>1.1047590541753953</v>
      </c>
      <c r="G86" s="69">
        <f>VLOOKUP($B86,'Month &amp; Hour Data'!$A:$H,4,FALSE)</f>
        <v>31</v>
      </c>
      <c r="H86" s="69">
        <f>VLOOKUP($B86,'Month &amp; Hour Data'!$A:$H,5,FALSE)</f>
        <v>0</v>
      </c>
      <c r="I86" s="69">
        <f>VLOOKUP($B86,'Month &amp; Hour Data'!$A:$H,7,FALSE)</f>
        <v>368</v>
      </c>
      <c r="J86" s="70">
        <f t="shared" si="9"/>
        <v>341252746.5714252</v>
      </c>
      <c r="K86" s="70">
        <f t="shared" si="7"/>
        <v>7743532.6737251878</v>
      </c>
      <c r="L86" s="330">
        <f t="shared" si="8"/>
        <v>2.3218347053225414E-2</v>
      </c>
      <c r="M86" s="730"/>
      <c r="N86" s="495"/>
      <c r="O86" s="294"/>
      <c r="P86" s="294"/>
      <c r="V86" s="495"/>
      <c r="W86" s="495"/>
      <c r="AI86" s="66"/>
      <c r="AJ86" s="66"/>
    </row>
    <row r="87" spans="1:36">
      <c r="A87" s="66">
        <f t="shared" si="6"/>
        <v>2011</v>
      </c>
      <c r="B87" s="67">
        <v>40544</v>
      </c>
      <c r="C87" s="294">
        <f>HLOOKUP(MONTH(B87),'Purchased kWh'!$4:$17,13,FALSE)</f>
        <v>346157898.25999999</v>
      </c>
      <c r="D87" s="68">
        <f>VLOOKUP($B87,'Month &amp; Hour Data'!$A:$H,2,FALSE)</f>
        <v>775.3</v>
      </c>
      <c r="E87" s="68">
        <f>VLOOKUP($B87,'Month &amp; Hour Data'!$A:$H,3,FALSE)</f>
        <v>0</v>
      </c>
      <c r="F87" s="308">
        <f>VLOOKUP($B87,'Month &amp; Hour Data'!$A:$H,8,FALSE)</f>
        <v>1.106402672454752</v>
      </c>
      <c r="G87" s="69">
        <f>VLOOKUP($B87,'Month &amp; Hour Data'!$A:$H,4,FALSE)</f>
        <v>31</v>
      </c>
      <c r="H87" s="69">
        <f>VLOOKUP($B87,'Month &amp; Hour Data'!$A:$H,5,FALSE)</f>
        <v>0</v>
      </c>
      <c r="I87" s="69">
        <f>VLOOKUP($B87,'Month &amp; Hour Data'!$A:$H,7,FALSE)</f>
        <v>320</v>
      </c>
      <c r="J87" s="70">
        <f t="shared" si="9"/>
        <v>339311428.36534548</v>
      </c>
      <c r="K87" s="70">
        <f t="shared" si="7"/>
        <v>-6846469.8946545124</v>
      </c>
      <c r="L87" s="330">
        <f t="shared" si="8"/>
        <v>-1.9778459278465207E-2</v>
      </c>
      <c r="M87" s="730"/>
      <c r="N87" s="495"/>
      <c r="O87" s="294"/>
      <c r="P87" s="294"/>
      <c r="V87" s="495"/>
      <c r="W87" s="495"/>
      <c r="AI87" s="66"/>
      <c r="AJ87" s="66"/>
    </row>
    <row r="88" spans="1:36">
      <c r="A88" s="66">
        <f t="shared" si="6"/>
        <v>2011</v>
      </c>
      <c r="B88" s="67">
        <v>40575</v>
      </c>
      <c r="C88" s="294">
        <f>HLOOKUP(MONTH(B88),'Purchased kWh'!$4:$17,13,FALSE)</f>
        <v>312406684.80686557</v>
      </c>
      <c r="D88" s="68">
        <f>VLOOKUP($B88,'Month &amp; Hour Data'!$A:$H,2,FALSE)</f>
        <v>654.20000000000005</v>
      </c>
      <c r="E88" s="68">
        <f>VLOOKUP($B88,'Month &amp; Hour Data'!$A:$H,3,FALSE)</f>
        <v>0</v>
      </c>
      <c r="F88" s="308">
        <f>VLOOKUP($B88,'Month &amp; Hour Data'!$A:$H,8,FALSE)</f>
        <v>1.1080487396470626</v>
      </c>
      <c r="G88" s="69">
        <f>VLOOKUP($B88,'Month &amp; Hour Data'!$A:$H,4,FALSE)</f>
        <v>28</v>
      </c>
      <c r="H88" s="69">
        <f>VLOOKUP($B88,'Month &amp; Hour Data'!$A:$H,5,FALSE)</f>
        <v>0</v>
      </c>
      <c r="I88" s="69">
        <f>VLOOKUP($B88,'Month &amp; Hour Data'!$A:$H,7,FALSE)</f>
        <v>304</v>
      </c>
      <c r="J88" s="70">
        <f t="shared" si="9"/>
        <v>312827641.73322546</v>
      </c>
      <c r="K88" s="70">
        <f t="shared" si="7"/>
        <v>420956.92635989189</v>
      </c>
      <c r="L88" s="330">
        <f t="shared" si="8"/>
        <v>1.3474645288724654E-3</v>
      </c>
      <c r="M88" s="730"/>
      <c r="N88" s="495"/>
      <c r="O88" s="294"/>
      <c r="P88" s="294"/>
      <c r="V88" s="495"/>
      <c r="W88" s="495"/>
      <c r="AI88" s="66"/>
      <c r="AJ88" s="66"/>
    </row>
    <row r="89" spans="1:36">
      <c r="A89" s="66">
        <f t="shared" si="6"/>
        <v>2011</v>
      </c>
      <c r="B89" s="67">
        <v>40603</v>
      </c>
      <c r="C89" s="294">
        <f>HLOOKUP(MONTH(B89),'Purchased kWh'!$4:$17,13,FALSE)</f>
        <v>334049130.14831591</v>
      </c>
      <c r="D89" s="68">
        <f>VLOOKUP($B89,'Month &amp; Hour Data'!$A:$H,2,FALSE)</f>
        <v>572.79999999999995</v>
      </c>
      <c r="E89" s="68">
        <f>VLOOKUP($B89,'Month &amp; Hour Data'!$A:$H,3,FALSE)</f>
        <v>0</v>
      </c>
      <c r="F89" s="308">
        <f>VLOOKUP($B89,'Month &amp; Hour Data'!$A:$H,8,FALSE)</f>
        <v>1.1096972557523284</v>
      </c>
      <c r="G89" s="69">
        <f>VLOOKUP($B89,'Month &amp; Hour Data'!$A:$H,4,FALSE)</f>
        <v>31</v>
      </c>
      <c r="H89" s="69">
        <f>VLOOKUP($B89,'Month &amp; Hour Data'!$A:$H,5,FALSE)</f>
        <v>1</v>
      </c>
      <c r="I89" s="69">
        <f>VLOOKUP($B89,'Month &amp; Hour Data'!$A:$H,7,FALSE)</f>
        <v>368</v>
      </c>
      <c r="J89" s="70">
        <f t="shared" si="9"/>
        <v>331740510.20074743</v>
      </c>
      <c r="K89" s="70">
        <f t="shared" si="7"/>
        <v>-2308619.9475684762</v>
      </c>
      <c r="L89" s="330">
        <f t="shared" si="8"/>
        <v>-6.9110191861402603E-3</v>
      </c>
      <c r="M89" s="730"/>
      <c r="N89" s="495"/>
      <c r="O89" s="294"/>
      <c r="P89" s="294"/>
      <c r="V89" s="495"/>
      <c r="W89" s="495"/>
      <c r="AI89" s="66"/>
      <c r="AJ89" s="66"/>
    </row>
    <row r="90" spans="1:36">
      <c r="A90" s="66">
        <f t="shared" si="6"/>
        <v>2011</v>
      </c>
      <c r="B90" s="67">
        <v>40634</v>
      </c>
      <c r="C90" s="294">
        <f>HLOOKUP(MONTH(B90),'Purchased kWh'!$4:$17,13,FALSE)</f>
        <v>299909525.74392897</v>
      </c>
      <c r="D90" s="68">
        <f>VLOOKUP($B90,'Month &amp; Hour Data'!$A:$H,2,FALSE)</f>
        <v>332.3</v>
      </c>
      <c r="E90" s="68">
        <f>VLOOKUP($B90,'Month &amp; Hour Data'!$A:$H,3,FALSE)</f>
        <v>0</v>
      </c>
      <c r="F90" s="308">
        <f>VLOOKUP($B90,'Month &amp; Hour Data'!$A:$H,8,FALSE)</f>
        <v>1.1113482207705487</v>
      </c>
      <c r="G90" s="69">
        <f>VLOOKUP($B90,'Month &amp; Hour Data'!$A:$H,4,FALSE)</f>
        <v>30</v>
      </c>
      <c r="H90" s="69">
        <f>VLOOKUP($B90,'Month &amp; Hour Data'!$A:$H,5,FALSE)</f>
        <v>1</v>
      </c>
      <c r="I90" s="69">
        <f>VLOOKUP($B90,'Month &amp; Hour Data'!$A:$H,7,FALSE)</f>
        <v>304</v>
      </c>
      <c r="J90" s="70">
        <f t="shared" si="9"/>
        <v>303269659.89853781</v>
      </c>
      <c r="K90" s="70">
        <f t="shared" si="7"/>
        <v>3360134.1546088457</v>
      </c>
      <c r="L90" s="330">
        <f t="shared" si="8"/>
        <v>1.1203826041450317E-2</v>
      </c>
      <c r="M90" s="730"/>
      <c r="N90" s="495"/>
      <c r="O90" s="294"/>
      <c r="P90" s="294"/>
      <c r="V90" s="495"/>
      <c r="W90" s="495"/>
      <c r="AI90" s="66"/>
      <c r="AJ90" s="66"/>
    </row>
    <row r="91" spans="1:36">
      <c r="A91" s="66">
        <f t="shared" si="6"/>
        <v>2011</v>
      </c>
      <c r="B91" s="67">
        <v>40664</v>
      </c>
      <c r="C91" s="294">
        <f>HLOOKUP(MONTH(B91),'Purchased kWh'!$4:$17,13,FALSE)</f>
        <v>308520841.60441828</v>
      </c>
      <c r="D91" s="68">
        <f>VLOOKUP($B91,'Month &amp; Hour Data'!$A:$H,2,FALSE)</f>
        <v>134.1</v>
      </c>
      <c r="E91" s="68">
        <f>VLOOKUP($B91,'Month &amp; Hour Data'!$A:$H,3,FALSE)</f>
        <v>13</v>
      </c>
      <c r="F91" s="308">
        <f>VLOOKUP($B91,'Month &amp; Hour Data'!$A:$H,8,FALSE)</f>
        <v>1.1130016556326037</v>
      </c>
      <c r="G91" s="69">
        <f>VLOOKUP($B91,'Month &amp; Hour Data'!$A:$H,4,FALSE)</f>
        <v>31</v>
      </c>
      <c r="H91" s="69">
        <f>VLOOKUP($B91,'Month &amp; Hour Data'!$A:$H,5,FALSE)</f>
        <v>1</v>
      </c>
      <c r="I91" s="69">
        <f>VLOOKUP($B91,'Month &amp; Hour Data'!$A:$H,7,FALSE)</f>
        <v>336</v>
      </c>
      <c r="J91" s="70">
        <f t="shared" si="9"/>
        <v>310794299.22966921</v>
      </c>
      <c r="K91" s="70">
        <f t="shared" si="7"/>
        <v>2273457.6252509356</v>
      </c>
      <c r="L91" s="330">
        <f t="shared" si="8"/>
        <v>7.3688947995478879E-3</v>
      </c>
      <c r="M91" s="730"/>
      <c r="N91" s="495"/>
      <c r="O91" s="294"/>
      <c r="P91" s="294"/>
      <c r="V91" s="495"/>
      <c r="W91" s="495"/>
      <c r="AI91" s="66"/>
      <c r="AJ91" s="66"/>
    </row>
    <row r="92" spans="1:36">
      <c r="A92" s="66">
        <f t="shared" si="6"/>
        <v>2011</v>
      </c>
      <c r="B92" s="67">
        <v>40695</v>
      </c>
      <c r="C92" s="294">
        <f>HLOOKUP(MONTH(B92),'Purchased kWh'!$4:$17,13,FALSE)</f>
        <v>331406120.1022172</v>
      </c>
      <c r="D92" s="68">
        <f>VLOOKUP($B92,'Month &amp; Hour Data'!$A:$H,2,FALSE)</f>
        <v>19</v>
      </c>
      <c r="E92" s="68">
        <f>VLOOKUP($B92,'Month &amp; Hour Data'!$A:$H,3,FALSE)</f>
        <v>52.2</v>
      </c>
      <c r="F92" s="308">
        <f>VLOOKUP($B92,'Month &amp; Hour Data'!$A:$H,8,FALSE)</f>
        <v>1.1146575394076135</v>
      </c>
      <c r="G92" s="69">
        <f>VLOOKUP($B92,'Month &amp; Hour Data'!$A:$H,4,FALSE)</f>
        <v>30</v>
      </c>
      <c r="H92" s="69">
        <f>VLOOKUP($B92,'Month &amp; Hour Data'!$A:$H,5,FALSE)</f>
        <v>0</v>
      </c>
      <c r="I92" s="69">
        <f>VLOOKUP($B92,'Month &amp; Hour Data'!$A:$H,7,FALSE)</f>
        <v>352</v>
      </c>
      <c r="J92" s="70">
        <f t="shared" si="9"/>
        <v>326724104.49075228</v>
      </c>
      <c r="K92" s="70">
        <f t="shared" si="7"/>
        <v>-4682015.6114649177</v>
      </c>
      <c r="L92" s="330">
        <f t="shared" si="8"/>
        <v>-1.4127728268931246E-2</v>
      </c>
      <c r="M92" s="730"/>
      <c r="N92" s="495"/>
      <c r="O92" s="294"/>
      <c r="P92" s="294"/>
      <c r="V92" s="495"/>
      <c r="W92" s="495"/>
      <c r="AI92" s="66"/>
      <c r="AJ92" s="66"/>
    </row>
    <row r="93" spans="1:36">
      <c r="A93" s="66">
        <f t="shared" si="6"/>
        <v>2011</v>
      </c>
      <c r="B93" s="67">
        <v>40725</v>
      </c>
      <c r="C93" s="294">
        <f>HLOOKUP(MONTH(B93),'Purchased kWh'!$4:$17,13,FALSE)</f>
        <v>399276723.94634914</v>
      </c>
      <c r="D93" s="68">
        <f>VLOOKUP($B93,'Month &amp; Hour Data'!$A:$H,2,FALSE)</f>
        <v>0</v>
      </c>
      <c r="E93" s="68">
        <f>VLOOKUP($B93,'Month &amp; Hour Data'!$A:$H,3,FALSE)</f>
        <v>198.6</v>
      </c>
      <c r="F93" s="308">
        <f>VLOOKUP($B93,'Month &amp; Hour Data'!$A:$H,8,FALSE)</f>
        <v>1.1163158930264581</v>
      </c>
      <c r="G93" s="69">
        <f>VLOOKUP($B93,'Month &amp; Hour Data'!$A:$H,4,FALSE)</f>
        <v>31</v>
      </c>
      <c r="H93" s="69">
        <f>VLOOKUP($B93,'Month &amp; Hour Data'!$A:$H,5,FALSE)</f>
        <v>0</v>
      </c>
      <c r="I93" s="69">
        <f>VLOOKUP($B93,'Month &amp; Hour Data'!$A:$H,7,FALSE)</f>
        <v>320</v>
      </c>
      <c r="J93" s="70">
        <f t="shared" si="9"/>
        <v>400830066.95462465</v>
      </c>
      <c r="K93" s="70">
        <f t="shared" si="7"/>
        <v>1553343.0082755089</v>
      </c>
      <c r="L93" s="330">
        <f t="shared" si="8"/>
        <v>3.8903920892824993E-3</v>
      </c>
      <c r="M93" s="730"/>
      <c r="N93" s="495"/>
      <c r="O93" s="294"/>
      <c r="P93" s="294"/>
      <c r="V93" s="495"/>
      <c r="W93" s="495"/>
      <c r="AI93" s="66"/>
      <c r="AJ93" s="66"/>
    </row>
    <row r="94" spans="1:36">
      <c r="A94" s="66">
        <f t="shared" si="6"/>
        <v>2011</v>
      </c>
      <c r="B94" s="67">
        <v>40756</v>
      </c>
      <c r="C94" s="294">
        <f>HLOOKUP(MONTH(B94),'Purchased kWh'!$4:$17,13,FALSE)</f>
        <v>367773295.40579629</v>
      </c>
      <c r="D94" s="68">
        <f>VLOOKUP($B94,'Month &amp; Hour Data'!$A:$H,2,FALSE)</f>
        <v>0</v>
      </c>
      <c r="E94" s="68">
        <f>VLOOKUP($B94,'Month &amp; Hour Data'!$A:$H,3,FALSE)</f>
        <v>122.2</v>
      </c>
      <c r="F94" s="308">
        <f>VLOOKUP($B94,'Month &amp; Hour Data'!$A:$H,8,FALSE)</f>
        <v>1.1179767164891372</v>
      </c>
      <c r="G94" s="69">
        <f>VLOOKUP($B94,'Month &amp; Hour Data'!$A:$H,4,FALSE)</f>
        <v>31</v>
      </c>
      <c r="H94" s="69">
        <f>VLOOKUP($B94,'Month &amp; Hour Data'!$A:$H,5,FALSE)</f>
        <v>0</v>
      </c>
      <c r="I94" s="69">
        <f>VLOOKUP($B94,'Month &amp; Hour Data'!$A:$H,7,FALSE)</f>
        <v>352</v>
      </c>
      <c r="J94" s="70">
        <f t="shared" si="9"/>
        <v>367828913.74680239</v>
      </c>
      <c r="K94" s="70">
        <f t="shared" si="7"/>
        <v>55618.341006100178</v>
      </c>
      <c r="L94" s="330">
        <f t="shared" si="8"/>
        <v>1.5122996068741648E-4</v>
      </c>
      <c r="M94" s="730"/>
      <c r="N94" s="495"/>
      <c r="O94" s="294"/>
      <c r="P94" s="294"/>
      <c r="V94" s="495"/>
      <c r="W94" s="495"/>
      <c r="AI94" s="66"/>
      <c r="AJ94" s="66"/>
    </row>
    <row r="95" spans="1:36">
      <c r="A95" s="66">
        <f t="shared" si="6"/>
        <v>2011</v>
      </c>
      <c r="B95" s="67">
        <v>40787</v>
      </c>
      <c r="C95" s="294">
        <f>HLOOKUP(MONTH(B95),'Purchased kWh'!$4:$17,13,FALSE)</f>
        <v>313781747.26860797</v>
      </c>
      <c r="D95" s="68">
        <f>VLOOKUP($B95,'Month &amp; Hour Data'!$A:$H,2,FALSE)</f>
        <v>48.2</v>
      </c>
      <c r="E95" s="68">
        <f>VLOOKUP($B95,'Month &amp; Hour Data'!$A:$H,3,FALSE)</f>
        <v>39.700000000000003</v>
      </c>
      <c r="F95" s="308">
        <f>VLOOKUP($B95,'Month &amp; Hour Data'!$A:$H,8,FALSE)</f>
        <v>1.1196399888647712</v>
      </c>
      <c r="G95" s="69">
        <f>VLOOKUP($B95,'Month &amp; Hour Data'!$A:$H,4,FALSE)</f>
        <v>30</v>
      </c>
      <c r="H95" s="69">
        <f>VLOOKUP($B95,'Month &amp; Hour Data'!$A:$H,5,FALSE)</f>
        <v>1</v>
      </c>
      <c r="I95" s="69">
        <f>VLOOKUP($B95,'Month &amp; Hour Data'!$A:$H,7,FALSE)</f>
        <v>336</v>
      </c>
      <c r="J95" s="70">
        <f t="shared" si="9"/>
        <v>315416112.32183981</v>
      </c>
      <c r="K95" s="70">
        <f t="shared" si="7"/>
        <v>1634365.0532318354</v>
      </c>
      <c r="L95" s="330">
        <f t="shared" si="8"/>
        <v>5.208604603226849E-3</v>
      </c>
      <c r="M95" s="730"/>
      <c r="N95" s="495"/>
      <c r="O95" s="294"/>
      <c r="P95" s="294"/>
      <c r="V95" s="495"/>
      <c r="W95" s="495"/>
      <c r="AI95" s="66"/>
      <c r="AJ95" s="66"/>
    </row>
    <row r="96" spans="1:36">
      <c r="A96" s="66">
        <f t="shared" si="6"/>
        <v>2011</v>
      </c>
      <c r="B96" s="67">
        <v>40817</v>
      </c>
      <c r="C96" s="294">
        <f>HLOOKUP(MONTH(B96),'Purchased kWh'!$4:$17,13,FALSE)</f>
        <v>312095896.83517671</v>
      </c>
      <c r="D96" s="68">
        <f>VLOOKUP($B96,'Month &amp; Hour Data'!$A:$H,2,FALSE)</f>
        <v>235.5</v>
      </c>
      <c r="E96" s="68">
        <f>VLOOKUP($B96,'Month &amp; Hour Data'!$A:$H,3,FALSE)</f>
        <v>2.4</v>
      </c>
      <c r="F96" s="308">
        <f>VLOOKUP($B96,'Month &amp; Hour Data'!$A:$H,8,FALSE)</f>
        <v>1.1213057520151197</v>
      </c>
      <c r="G96" s="69">
        <f>VLOOKUP($B96,'Month &amp; Hour Data'!$A:$H,4,FALSE)</f>
        <v>31</v>
      </c>
      <c r="H96" s="69">
        <f>VLOOKUP($B96,'Month &amp; Hour Data'!$A:$H,5,FALSE)</f>
        <v>1</v>
      </c>
      <c r="I96" s="69">
        <f>VLOOKUP($B96,'Month &amp; Hour Data'!$A:$H,7,FALSE)</f>
        <v>336</v>
      </c>
      <c r="J96" s="70">
        <f t="shared" si="9"/>
        <v>312958517.22798491</v>
      </c>
      <c r="K96" s="70">
        <f t="shared" si="7"/>
        <v>862620.39280819893</v>
      </c>
      <c r="L96" s="330">
        <f t="shared" si="8"/>
        <v>2.7639594161783031E-3</v>
      </c>
      <c r="M96" s="730"/>
      <c r="N96" s="495"/>
      <c r="O96" s="294"/>
      <c r="P96" s="294"/>
      <c r="V96" s="495"/>
      <c r="W96" s="495"/>
      <c r="AI96" s="66"/>
      <c r="AJ96" s="66"/>
    </row>
    <row r="97" spans="1:36">
      <c r="A97" s="66">
        <f t="shared" si="6"/>
        <v>2011</v>
      </c>
      <c r="B97" s="67">
        <v>40848</v>
      </c>
      <c r="C97" s="294">
        <f>HLOOKUP(MONTH(B97),'Purchased kWh'!$4:$17,13,FALSE)</f>
        <v>314340389.14520544</v>
      </c>
      <c r="D97" s="68">
        <f>VLOOKUP($B97,'Month &amp; Hour Data'!$A:$H,2,FALSE)</f>
        <v>342.1</v>
      </c>
      <c r="E97" s="68">
        <f>VLOOKUP($B97,'Month &amp; Hour Data'!$A:$H,3,FALSE)</f>
        <v>0</v>
      </c>
      <c r="F97" s="308">
        <f>VLOOKUP($B97,'Month &amp; Hour Data'!$A:$H,8,FALSE)</f>
        <v>1.122973985009303</v>
      </c>
      <c r="G97" s="69">
        <f>VLOOKUP($B97,'Month &amp; Hour Data'!$A:$H,4,FALSE)</f>
        <v>30</v>
      </c>
      <c r="H97" s="69">
        <f>VLOOKUP($B97,'Month &amp; Hour Data'!$A:$H,5,FALSE)</f>
        <v>1</v>
      </c>
      <c r="I97" s="69">
        <f>VLOOKUP($B97,'Month &amp; Hour Data'!$A:$H,7,FALSE)</f>
        <v>352</v>
      </c>
      <c r="J97" s="70">
        <f t="shared" si="9"/>
        <v>314388348.02632004</v>
      </c>
      <c r="K97" s="70">
        <f t="shared" si="7"/>
        <v>47958.881114602089</v>
      </c>
      <c r="L97" s="330">
        <f t="shared" si="8"/>
        <v>1.5256989801729905E-4</v>
      </c>
      <c r="M97" s="730"/>
      <c r="N97" s="495"/>
      <c r="O97" s="294"/>
      <c r="P97" s="294"/>
      <c r="V97" s="495"/>
      <c r="W97" s="495"/>
      <c r="AI97" s="66"/>
      <c r="AJ97" s="66"/>
    </row>
    <row r="98" spans="1:36">
      <c r="A98" s="66">
        <f t="shared" si="6"/>
        <v>2011</v>
      </c>
      <c r="B98" s="67">
        <v>40878</v>
      </c>
      <c r="C98" s="294">
        <f>HLOOKUP(MONTH(B98),'Purchased kWh'!$4:$17,13,FALSE)</f>
        <v>328784346.68523514</v>
      </c>
      <c r="D98" s="68">
        <f>VLOOKUP($B98,'Month &amp; Hour Data'!$A:$H,2,FALSE)</f>
        <v>534</v>
      </c>
      <c r="E98" s="68">
        <f>VLOOKUP($B98,'Month &amp; Hour Data'!$A:$H,3,FALSE)</f>
        <v>0</v>
      </c>
      <c r="F98" s="308">
        <f>VLOOKUP($B98,'Month &amp; Hour Data'!$A:$H,8,FALSE)</f>
        <v>1.124644708778201</v>
      </c>
      <c r="G98" s="69">
        <f>VLOOKUP($B98,'Month &amp; Hour Data'!$A:$H,4,FALSE)</f>
        <v>31</v>
      </c>
      <c r="H98" s="69">
        <f>VLOOKUP($B98,'Month &amp; Hour Data'!$A:$H,5,FALSE)</f>
        <v>0</v>
      </c>
      <c r="I98" s="69">
        <f>VLOOKUP($B98,'Month &amp; Hour Data'!$A:$H,7,FALSE)</f>
        <v>336</v>
      </c>
      <c r="J98" s="70">
        <f t="shared" si="9"/>
        <v>333730274.81760812</v>
      </c>
      <c r="K98" s="70">
        <f t="shared" si="7"/>
        <v>4945928.1323729753</v>
      </c>
      <c r="L98" s="330">
        <f t="shared" si="8"/>
        <v>1.504307666176093E-2</v>
      </c>
      <c r="M98" s="730"/>
      <c r="N98" s="495"/>
      <c r="O98" s="294"/>
      <c r="P98" s="294"/>
      <c r="V98" s="495"/>
      <c r="W98" s="495"/>
      <c r="AI98" s="66"/>
      <c r="AJ98" s="66"/>
    </row>
    <row r="99" spans="1:36">
      <c r="A99" s="66">
        <f t="shared" si="6"/>
        <v>2012</v>
      </c>
      <c r="B99" s="67">
        <v>40909</v>
      </c>
      <c r="C99" s="294">
        <f>HLOOKUP(MONTH(B99),'Purchased kWh'!$4:$17,14,FALSE)</f>
        <v>342744741.61208785</v>
      </c>
      <c r="D99" s="74">
        <f>'Month &amp; Hour Data'!B98</f>
        <v>611.1</v>
      </c>
      <c r="E99" s="74">
        <f>'Month &amp; Hour Data'!C98</f>
        <v>0</v>
      </c>
      <c r="F99" s="308">
        <f>VLOOKUP($B99,'Month &amp; Hour Data'!$A:$H,8,FALSE)</f>
        <v>1.1260409497522648</v>
      </c>
      <c r="G99" s="69">
        <f>VLOOKUP($B99,'Month &amp; Hour Data'!$A:$H,4,FALSE)</f>
        <v>31</v>
      </c>
      <c r="H99" s="69">
        <f>'Month &amp; Hour Data'!E98</f>
        <v>0</v>
      </c>
      <c r="I99" s="69">
        <f>VLOOKUP($B99,'Month &amp; Hour Data'!$A:$H,7,FALSE)</f>
        <v>336</v>
      </c>
      <c r="J99" s="70">
        <f t="shared" si="9"/>
        <v>338177223.92744815</v>
      </c>
      <c r="K99" s="70">
        <f t="shared" ref="K99:K130" si="10">J99-C99</f>
        <v>-4567517.6846396923</v>
      </c>
      <c r="L99" s="330">
        <f t="shared" ref="L99:L122" si="11">K99/C99</f>
        <v>-1.3326295432444955E-2</v>
      </c>
      <c r="M99" s="730"/>
      <c r="N99" s="495"/>
      <c r="O99" s="294"/>
      <c r="P99" s="294"/>
      <c r="V99" s="495"/>
      <c r="W99" s="495"/>
      <c r="AI99" s="66"/>
      <c r="AJ99" s="66"/>
    </row>
    <row r="100" spans="1:36">
      <c r="A100" s="66">
        <f t="shared" si="6"/>
        <v>2012</v>
      </c>
      <c r="B100" s="67">
        <v>40940</v>
      </c>
      <c r="C100" s="294">
        <f>HLOOKUP(MONTH(B100),'Purchased kWh'!$4:$17,14,FALSE)</f>
        <v>317435425.36419511</v>
      </c>
      <c r="D100" s="74">
        <f>'Month &amp; Hour Data'!B99</f>
        <v>531.70000000000005</v>
      </c>
      <c r="E100" s="74">
        <f>'Month &amp; Hour Data'!C99</f>
        <v>0</v>
      </c>
      <c r="F100" s="308">
        <f>VLOOKUP($B100,'Month &amp; Hour Data'!$A:$H,8,FALSE)</f>
        <v>1.127438915759601</v>
      </c>
      <c r="G100" s="69">
        <f>VLOOKUP($B100,'Month &amp; Hour Data'!$A:$H,4,FALSE)</f>
        <v>29</v>
      </c>
      <c r="H100" s="69">
        <f>'Month &amp; Hour Data'!E99</f>
        <v>0</v>
      </c>
      <c r="I100" s="69">
        <f>VLOOKUP($B100,'Month &amp; Hour Data'!$A:$H,7,FALSE)</f>
        <v>320</v>
      </c>
      <c r="J100" s="70">
        <f t="shared" si="9"/>
        <v>319822645.79641747</v>
      </c>
      <c r="K100" s="70">
        <f t="shared" si="10"/>
        <v>2387220.4322223663</v>
      </c>
      <c r="L100" s="330">
        <f t="shared" si="11"/>
        <v>7.5203340316648574E-3</v>
      </c>
      <c r="M100" s="730"/>
      <c r="N100" s="495"/>
      <c r="O100" s="294"/>
      <c r="P100" s="294"/>
      <c r="V100" s="495"/>
      <c r="W100" s="495"/>
      <c r="AI100" s="66"/>
      <c r="AJ100" s="66"/>
    </row>
    <row r="101" spans="1:36">
      <c r="A101" s="66">
        <f t="shared" si="6"/>
        <v>2012</v>
      </c>
      <c r="B101" s="67">
        <v>40969</v>
      </c>
      <c r="C101" s="294">
        <f>HLOOKUP(MONTH(B101),'Purchased kWh'!$4:$17,14,FALSE)</f>
        <v>323010361.81250238</v>
      </c>
      <c r="D101" s="74">
        <f>'Month &amp; Hour Data'!B100</f>
        <v>349.4</v>
      </c>
      <c r="E101" s="74">
        <f>'Month &amp; Hour Data'!C100</f>
        <v>0.2</v>
      </c>
      <c r="F101" s="308">
        <f>VLOOKUP($B101,'Month &amp; Hour Data'!$A:$H,8,FALSE)</f>
        <v>1.1288386173245635</v>
      </c>
      <c r="G101" s="69">
        <f>VLOOKUP($B101,'Month &amp; Hour Data'!$A:$H,4,FALSE)</f>
        <v>31</v>
      </c>
      <c r="H101" s="69">
        <f>'Month &amp; Hour Data'!E100</f>
        <v>1</v>
      </c>
      <c r="I101" s="69">
        <f>VLOOKUP($B101,'Month &amp; Hour Data'!$A:$H,7,FALSE)</f>
        <v>352</v>
      </c>
      <c r="J101" s="70">
        <f t="shared" si="9"/>
        <v>322361071.71927512</v>
      </c>
      <c r="K101" s="70">
        <f t="shared" si="10"/>
        <v>-649290.09322726727</v>
      </c>
      <c r="L101" s="330">
        <f t="shared" si="11"/>
        <v>-2.010121562614639E-3</v>
      </c>
      <c r="M101" s="730"/>
      <c r="N101" s="495"/>
      <c r="O101" s="294"/>
      <c r="P101" s="294"/>
      <c r="V101" s="495"/>
      <c r="W101" s="495"/>
      <c r="AI101" s="66"/>
      <c r="AJ101" s="66"/>
    </row>
    <row r="102" spans="1:36">
      <c r="A102" s="66">
        <f t="shared" si="6"/>
        <v>2012</v>
      </c>
      <c r="B102" s="67">
        <v>41000</v>
      </c>
      <c r="C102" s="294">
        <f>HLOOKUP(MONTH(B102),'Purchased kWh'!$4:$17,14,FALSE)</f>
        <v>301644611.39755243</v>
      </c>
      <c r="D102" s="74">
        <f>'Month &amp; Hour Data'!B101</f>
        <v>321.7</v>
      </c>
      <c r="E102" s="74">
        <f>'Month &amp; Hour Data'!C101</f>
        <v>0</v>
      </c>
      <c r="F102" s="308">
        <f>VLOOKUP($B102,'Month &amp; Hour Data'!$A:$H,8,FALSE)</f>
        <v>1.1302400566018256</v>
      </c>
      <c r="G102" s="69">
        <f>VLOOKUP($B102,'Month &amp; Hour Data'!$A:$H,4,FALSE)</f>
        <v>30</v>
      </c>
      <c r="H102" s="69">
        <f>'Month &amp; Hour Data'!E101</f>
        <v>1</v>
      </c>
      <c r="I102" s="69">
        <f>VLOOKUP($B102,'Month &amp; Hour Data'!$A:$H,7,FALSE)</f>
        <v>320</v>
      </c>
      <c r="J102" s="70">
        <f t="shared" si="9"/>
        <v>310090261.40050876</v>
      </c>
      <c r="K102" s="70">
        <f t="shared" si="10"/>
        <v>8445650.0029563308</v>
      </c>
      <c r="L102" s="330">
        <f t="shared" si="11"/>
        <v>2.7998676866219197E-2</v>
      </c>
      <c r="M102" s="730"/>
      <c r="N102" s="495"/>
      <c r="O102" s="294"/>
      <c r="P102" s="294"/>
      <c r="V102" s="495"/>
      <c r="W102" s="495"/>
      <c r="AI102" s="66"/>
      <c r="AJ102" s="66"/>
    </row>
    <row r="103" spans="1:36">
      <c r="A103" s="66">
        <f t="shared" si="6"/>
        <v>2012</v>
      </c>
      <c r="B103" s="67">
        <v>41030</v>
      </c>
      <c r="C103" s="294">
        <f>HLOOKUP(MONTH(B103),'Purchased kWh'!$4:$17,14,FALSE)</f>
        <v>326399579.19420129</v>
      </c>
      <c r="D103" s="74">
        <f>'Month &amp; Hour Data'!B102</f>
        <v>80.7</v>
      </c>
      <c r="E103" s="74">
        <f>'Month &amp; Hour Data'!C102</f>
        <v>36.700000000000003</v>
      </c>
      <c r="F103" s="308">
        <f>VLOOKUP($B103,'Month &amp; Hour Data'!$A:$H,8,FALSE)</f>
        <v>1.1316432357487356</v>
      </c>
      <c r="G103" s="69">
        <f>VLOOKUP($B103,'Month &amp; Hour Data'!$A:$H,4,FALSE)</f>
        <v>31</v>
      </c>
      <c r="H103" s="69">
        <f>'Month &amp; Hour Data'!E102</f>
        <v>1</v>
      </c>
      <c r="I103" s="69">
        <f>VLOOKUP($B103,'Month &amp; Hour Data'!$A:$H,7,FALSE)</f>
        <v>352</v>
      </c>
      <c r="J103" s="70">
        <f t="shared" si="9"/>
        <v>327225742.00196087</v>
      </c>
      <c r="K103" s="70">
        <f t="shared" si="10"/>
        <v>826162.807759583</v>
      </c>
      <c r="L103" s="330">
        <f t="shared" si="11"/>
        <v>2.5311393164144753E-3</v>
      </c>
      <c r="M103" s="730"/>
      <c r="N103" s="495"/>
      <c r="O103" s="294"/>
      <c r="P103" s="294"/>
      <c r="V103" s="495"/>
      <c r="W103" s="495"/>
      <c r="AI103" s="66"/>
      <c r="AJ103" s="66"/>
    </row>
    <row r="104" spans="1:36">
      <c r="A104" s="66">
        <f t="shared" si="6"/>
        <v>2012</v>
      </c>
      <c r="B104" s="67">
        <v>41061</v>
      </c>
      <c r="C104" s="294">
        <f>HLOOKUP(MONTH(B104),'Purchased kWh'!$4:$17,14,FALSE)</f>
        <v>357950416.91688043</v>
      </c>
      <c r="D104" s="74">
        <f>'Month &amp; Hour Data'!B103</f>
        <v>23.2</v>
      </c>
      <c r="E104" s="74">
        <f>'Month &amp; Hour Data'!C103</f>
        <v>101.6</v>
      </c>
      <c r="F104" s="308">
        <f>VLOOKUP($B104,'Month &amp; Hour Data'!$A:$H,8,FALSE)</f>
        <v>1.1330481569253206</v>
      </c>
      <c r="G104" s="69">
        <f>VLOOKUP($B104,'Month &amp; Hour Data'!$A:$H,4,FALSE)</f>
        <v>30</v>
      </c>
      <c r="H104" s="69">
        <f>'Month &amp; Hour Data'!E103</f>
        <v>0</v>
      </c>
      <c r="I104" s="69">
        <f>VLOOKUP($B104,'Month &amp; Hour Data'!$A:$H,7,FALSE)</f>
        <v>336</v>
      </c>
      <c r="J104" s="70">
        <f t="shared" si="9"/>
        <v>354019954.86725855</v>
      </c>
      <c r="K104" s="70">
        <f t="shared" si="10"/>
        <v>-3930462.0496218801</v>
      </c>
      <c r="L104" s="330">
        <f t="shared" si="11"/>
        <v>-1.0980465069648379E-2</v>
      </c>
      <c r="M104" s="730"/>
      <c r="N104" s="495"/>
      <c r="O104" s="294"/>
      <c r="P104" s="294"/>
      <c r="V104" s="495"/>
      <c r="W104" s="495"/>
      <c r="AI104" s="66"/>
      <c r="AJ104" s="66"/>
    </row>
    <row r="105" spans="1:36">
      <c r="A105" s="66">
        <f t="shared" si="6"/>
        <v>2012</v>
      </c>
      <c r="B105" s="67">
        <v>41091</v>
      </c>
      <c r="C105" s="294">
        <f>HLOOKUP(MONTH(B105),'Purchased kWh'!$4:$17,14,FALSE)</f>
        <v>407476192.08811313</v>
      </c>
      <c r="D105" s="74">
        <f>'Month &amp; Hour Data'!B104</f>
        <v>0</v>
      </c>
      <c r="E105" s="74">
        <f>'Month &amp; Hour Data'!C104</f>
        <v>195.4</v>
      </c>
      <c r="F105" s="308">
        <f>VLOOKUP($B105,'Month &amp; Hour Data'!$A:$H,8,FALSE)</f>
        <v>1.134454822294289</v>
      </c>
      <c r="G105" s="69">
        <f>VLOOKUP($B105,'Month &amp; Hour Data'!$A:$H,4,FALSE)</f>
        <v>31</v>
      </c>
      <c r="H105" s="69">
        <f>'Month &amp; Hour Data'!E104</f>
        <v>0</v>
      </c>
      <c r="I105" s="69">
        <f>VLOOKUP($B105,'Month &amp; Hour Data'!$A:$H,7,FALSE)</f>
        <v>352</v>
      </c>
      <c r="J105" s="70">
        <f t="shared" si="9"/>
        <v>408946489.54163045</v>
      </c>
      <c r="K105" s="70">
        <f t="shared" si="10"/>
        <v>1470297.4535173178</v>
      </c>
      <c r="L105" s="330">
        <f t="shared" si="11"/>
        <v>3.6083027231180636E-3</v>
      </c>
      <c r="M105" s="730"/>
      <c r="N105" s="495"/>
      <c r="O105" s="294"/>
      <c r="P105" s="294"/>
      <c r="V105" s="495"/>
      <c r="W105" s="495"/>
      <c r="AI105" s="66"/>
      <c r="AJ105" s="66"/>
    </row>
    <row r="106" spans="1:36">
      <c r="A106" s="66">
        <f t="shared" si="6"/>
        <v>2012</v>
      </c>
      <c r="B106" s="67">
        <v>41122</v>
      </c>
      <c r="C106" s="294">
        <f>HLOOKUP(MONTH(B106),'Purchased kWh'!$4:$17,14,FALSE)</f>
        <v>375206978.09512293</v>
      </c>
      <c r="D106" s="74">
        <f>'Month &amp; Hour Data'!B105</f>
        <v>2</v>
      </c>
      <c r="E106" s="74">
        <f>'Month &amp; Hour Data'!C105</f>
        <v>112.1</v>
      </c>
      <c r="F106" s="308">
        <f>VLOOKUP($B106,'Month &amp; Hour Data'!$A:$H,8,FALSE)</f>
        <v>1.135863234021034</v>
      </c>
      <c r="G106" s="69">
        <f>VLOOKUP($B106,'Month &amp; Hour Data'!$A:$H,4,FALSE)</f>
        <v>31</v>
      </c>
      <c r="H106" s="69">
        <f>'Month &amp; Hour Data'!E105</f>
        <v>0</v>
      </c>
      <c r="I106" s="69">
        <f>VLOOKUP($B106,'Month &amp; Hour Data'!$A:$H,7,FALSE)</f>
        <v>352</v>
      </c>
      <c r="J106" s="70">
        <f t="shared" si="9"/>
        <v>367430096.80422103</v>
      </c>
      <c r="K106" s="70">
        <f t="shared" si="10"/>
        <v>-7776881.2909018993</v>
      </c>
      <c r="L106" s="330">
        <f t="shared" si="11"/>
        <v>-2.0726910065436723E-2</v>
      </c>
      <c r="M106" s="730"/>
      <c r="N106" s="495"/>
      <c r="O106" s="294"/>
      <c r="P106" s="294"/>
      <c r="V106" s="495"/>
      <c r="W106" s="495"/>
      <c r="AI106" s="66"/>
      <c r="AJ106" s="66"/>
    </row>
    <row r="107" spans="1:36">
      <c r="A107" s="66">
        <f t="shared" si="6"/>
        <v>2012</v>
      </c>
      <c r="B107" s="67">
        <v>41153</v>
      </c>
      <c r="C107" s="294">
        <f>HLOOKUP(MONTH(B107),'Purchased kWh'!$4:$17,14,FALSE)</f>
        <v>319835102.72689074</v>
      </c>
      <c r="D107" s="74">
        <f>'Month &amp; Hour Data'!B106</f>
        <v>85</v>
      </c>
      <c r="E107" s="74">
        <f>'Month &amp; Hour Data'!C106</f>
        <v>35.6</v>
      </c>
      <c r="F107" s="308">
        <f>VLOOKUP($B107,'Month &amp; Hour Data'!$A:$H,8,FALSE)</f>
        <v>1.1372733942736375</v>
      </c>
      <c r="G107" s="69">
        <f>VLOOKUP($B107,'Month &amp; Hour Data'!$A:$H,4,FALSE)</f>
        <v>30</v>
      </c>
      <c r="H107" s="69">
        <f>'Month &amp; Hour Data'!E106</f>
        <v>1</v>
      </c>
      <c r="I107" s="69">
        <f>VLOOKUP($B107,'Month &amp; Hour Data'!$A:$H,7,FALSE)</f>
        <v>304</v>
      </c>
      <c r="J107" s="70">
        <f t="shared" si="9"/>
        <v>314743075.2042765</v>
      </c>
      <c r="K107" s="70">
        <f t="shared" si="10"/>
        <v>-5092027.5226142406</v>
      </c>
      <c r="L107" s="330">
        <f t="shared" si="11"/>
        <v>-1.5920790054624979E-2</v>
      </c>
      <c r="M107" s="730"/>
      <c r="N107" s="495"/>
      <c r="O107" s="294"/>
      <c r="P107" s="294"/>
      <c r="V107" s="495"/>
      <c r="W107" s="495"/>
      <c r="AI107" s="66"/>
      <c r="AJ107" s="66"/>
    </row>
    <row r="108" spans="1:36">
      <c r="A108" s="66">
        <f t="shared" si="6"/>
        <v>2012</v>
      </c>
      <c r="B108" s="67">
        <v>41183</v>
      </c>
      <c r="C108" s="294">
        <f>HLOOKUP(MONTH(B108),'Purchased kWh'!$4:$17,14,FALSE)</f>
        <v>318167446.69244564</v>
      </c>
      <c r="D108" s="74">
        <f>'Month &amp; Hour Data'!B107</f>
        <v>242.5</v>
      </c>
      <c r="E108" s="74">
        <f>'Month &amp; Hour Data'!C107</f>
        <v>1.1000000000000001</v>
      </c>
      <c r="F108" s="308">
        <f>VLOOKUP($B108,'Month &amp; Hour Data'!$A:$H,8,FALSE)</f>
        <v>1.1386853052228729</v>
      </c>
      <c r="G108" s="69">
        <f>VLOOKUP($B108,'Month &amp; Hour Data'!$A:$H,4,FALSE)</f>
        <v>31</v>
      </c>
      <c r="H108" s="69">
        <f>'Month &amp; Hour Data'!E107</f>
        <v>1</v>
      </c>
      <c r="I108" s="69">
        <f>VLOOKUP($B108,'Month &amp; Hour Data'!$A:$H,7,FALSE)</f>
        <v>352</v>
      </c>
      <c r="J108" s="70">
        <f t="shared" si="9"/>
        <v>319669626.03591835</v>
      </c>
      <c r="K108" s="70">
        <f t="shared" si="10"/>
        <v>1502179.3434727192</v>
      </c>
      <c r="L108" s="330">
        <f t="shared" si="11"/>
        <v>4.7213483311659803E-3</v>
      </c>
      <c r="M108" s="730"/>
      <c r="N108" s="495"/>
      <c r="O108" s="294"/>
      <c r="P108" s="294"/>
      <c r="V108" s="495"/>
      <c r="W108" s="495"/>
      <c r="AI108" s="66"/>
      <c r="AJ108" s="66"/>
    </row>
    <row r="109" spans="1:36">
      <c r="A109" s="66">
        <f t="shared" si="6"/>
        <v>2012</v>
      </c>
      <c r="B109" s="67">
        <v>41214</v>
      </c>
      <c r="C109" s="294">
        <f>HLOOKUP(MONTH(B109),'Purchased kWh'!$4:$17,14,FALSE)</f>
        <v>324129468.26891255</v>
      </c>
      <c r="D109" s="74">
        <f>'Month &amp; Hour Data'!B108</f>
        <v>434</v>
      </c>
      <c r="E109" s="74">
        <f>'Month &amp; Hour Data'!C108</f>
        <v>0</v>
      </c>
      <c r="F109" s="308">
        <f>VLOOKUP($B109,'Month &amp; Hour Data'!$A:$H,8,FALSE)</f>
        <v>1.1400989690422085</v>
      </c>
      <c r="G109" s="69">
        <f>VLOOKUP($B109,'Month &amp; Hour Data'!$A:$H,4,FALSE)</f>
        <v>30</v>
      </c>
      <c r="H109" s="69">
        <f>'Month &amp; Hour Data'!E108</f>
        <v>1</v>
      </c>
      <c r="I109" s="69">
        <f>VLOOKUP($B109,'Month &amp; Hour Data'!$A:$H,7,FALSE)</f>
        <v>352</v>
      </c>
      <c r="J109" s="70">
        <f t="shared" si="9"/>
        <v>323652581.38652521</v>
      </c>
      <c r="K109" s="70">
        <f t="shared" si="10"/>
        <v>-476886.88238734007</v>
      </c>
      <c r="L109" s="330">
        <f t="shared" si="11"/>
        <v>-1.4712851779082703E-3</v>
      </c>
      <c r="M109" s="730"/>
      <c r="N109" s="495"/>
      <c r="O109" s="294"/>
      <c r="P109" s="294"/>
      <c r="V109" s="495"/>
      <c r="W109" s="495"/>
      <c r="AI109" s="66"/>
      <c r="AJ109" s="66"/>
    </row>
    <row r="110" spans="1:36">
      <c r="A110" s="66">
        <f t="shared" si="6"/>
        <v>2012</v>
      </c>
      <c r="B110" s="67">
        <v>41244</v>
      </c>
      <c r="C110" s="294">
        <f>HLOOKUP(MONTH(B110),'Purchased kWh'!$4:$17,14,FALSE)</f>
        <v>329242704.47332603</v>
      </c>
      <c r="D110" s="74">
        <f>'Month &amp; Hour Data'!B109</f>
        <v>533.5</v>
      </c>
      <c r="E110" s="74">
        <f>'Month &amp; Hour Data'!C109</f>
        <v>0</v>
      </c>
      <c r="F110" s="308">
        <f>VLOOKUP($B110,'Month &amp; Hour Data'!$A:$H,8,FALSE)</f>
        <v>1.1415143879078107</v>
      </c>
      <c r="G110" s="69">
        <f>VLOOKUP($B110,'Month &amp; Hour Data'!$A:$H,4,FALSE)</f>
        <v>31</v>
      </c>
      <c r="H110" s="69">
        <f>'Month &amp; Hour Data'!E109</f>
        <v>0</v>
      </c>
      <c r="I110" s="69">
        <f>VLOOKUP($B110,'Month &amp; Hour Data'!$A:$H,7,FALSE)</f>
        <v>304</v>
      </c>
      <c r="J110" s="70">
        <f t="shared" si="9"/>
        <v>332949654.0876829</v>
      </c>
      <c r="K110" s="70">
        <f t="shared" si="10"/>
        <v>3706949.6143568754</v>
      </c>
      <c r="L110" s="330">
        <f t="shared" si="11"/>
        <v>1.125901823788839E-2</v>
      </c>
      <c r="M110" s="730"/>
      <c r="N110" s="495"/>
      <c r="O110" s="294"/>
      <c r="P110" s="294"/>
      <c r="V110" s="495"/>
      <c r="W110" s="495"/>
      <c r="AI110" s="66"/>
      <c r="AJ110" s="66"/>
    </row>
    <row r="111" spans="1:36">
      <c r="A111" s="66">
        <f t="shared" si="6"/>
        <v>2013</v>
      </c>
      <c r="B111" s="67">
        <v>41275</v>
      </c>
      <c r="C111" s="294">
        <f>HLOOKUP(MONTH(B111),'Purchased kWh'!$4:$18,15,FALSE)</f>
        <v>348513720.32204151</v>
      </c>
      <c r="D111" s="74">
        <f>'Month &amp; Hour Data'!B110</f>
        <v>624.4</v>
      </c>
      <c r="E111" s="74">
        <f>'Month &amp; Hour Data'!C110</f>
        <v>0</v>
      </c>
      <c r="F111" s="308">
        <f>VLOOKUP($B111,'Month &amp; Hour Data'!$A:$H,8,FALSE)</f>
        <v>1.1427437208015847</v>
      </c>
      <c r="G111" s="69">
        <f>VLOOKUP($B111,'Month &amp; Hour Data'!$A:$H,4,FALSE)</f>
        <v>31</v>
      </c>
      <c r="H111" s="69">
        <f>'Month &amp; Hour Data'!E110</f>
        <v>0</v>
      </c>
      <c r="I111" s="69">
        <f>VLOOKUP($B111,'Month &amp; Hour Data'!$A:$H,7,FALSE)</f>
        <v>352</v>
      </c>
      <c r="J111" s="70">
        <f t="shared" si="9"/>
        <v>345704152.09620911</v>
      </c>
      <c r="K111" s="70">
        <f t="shared" si="10"/>
        <v>-2809568.2258324027</v>
      </c>
      <c r="L111" s="330">
        <f t="shared" si="11"/>
        <v>-8.0615713586146397E-3</v>
      </c>
      <c r="M111" s="730"/>
      <c r="N111" s="495"/>
      <c r="O111" s="294"/>
      <c r="P111" s="294"/>
      <c r="V111" s="495"/>
      <c r="W111" s="495"/>
      <c r="AI111" s="66"/>
      <c r="AJ111" s="66"/>
    </row>
    <row r="112" spans="1:36">
      <c r="A112" s="66">
        <f t="shared" si="6"/>
        <v>2013</v>
      </c>
      <c r="B112" s="67">
        <v>41306</v>
      </c>
      <c r="C112" s="294">
        <f>HLOOKUP(MONTH(B112),'Purchased kWh'!$4:$18,15,FALSE)</f>
        <v>317590943.46700263</v>
      </c>
      <c r="D112" s="74">
        <f>'Month &amp; Hour Data'!B111</f>
        <v>631.5</v>
      </c>
      <c r="E112" s="74">
        <f>'Month &amp; Hour Data'!C111</f>
        <v>0</v>
      </c>
      <c r="F112" s="308">
        <f>VLOOKUP($B112,'Month &amp; Hour Data'!$A:$H,8,FALSE)</f>
        <v>1.1439743776027749</v>
      </c>
      <c r="G112" s="69">
        <f>VLOOKUP($B112,'Month &amp; Hour Data'!$A:$H,4,FALSE)</f>
        <v>28</v>
      </c>
      <c r="H112" s="69">
        <f>'Month &amp; Hour Data'!E111</f>
        <v>0</v>
      </c>
      <c r="I112" s="69">
        <f>VLOOKUP($B112,'Month &amp; Hour Data'!$A:$H,7,FALSE)</f>
        <v>304</v>
      </c>
      <c r="J112" s="70">
        <f t="shared" si="9"/>
        <v>320833978.50516814</v>
      </c>
      <c r="K112" s="70">
        <f t="shared" si="10"/>
        <v>3243035.0381655097</v>
      </c>
      <c r="L112" s="330">
        <f t="shared" si="11"/>
        <v>1.021135868284751E-2</v>
      </c>
      <c r="M112" s="730"/>
      <c r="N112" s="495"/>
      <c r="O112" s="294"/>
      <c r="P112" s="294"/>
      <c r="V112" s="495"/>
      <c r="W112" s="495"/>
      <c r="AI112" s="66"/>
      <c r="AJ112" s="66"/>
    </row>
    <row r="113" spans="1:36">
      <c r="A113" s="66">
        <f t="shared" si="6"/>
        <v>2013</v>
      </c>
      <c r="B113" s="67">
        <v>41334</v>
      </c>
      <c r="C113" s="294">
        <f>HLOOKUP(MONTH(B113),'Purchased kWh'!$4:$18,15,FALSE)</f>
        <v>333368808.18886328</v>
      </c>
      <c r="D113" s="74">
        <f>'Month &amp; Hour Data'!B112</f>
        <v>554.79999999999995</v>
      </c>
      <c r="E113" s="74">
        <f>'Month &amp; Hour Data'!C112</f>
        <v>0</v>
      </c>
      <c r="F113" s="308">
        <f>VLOOKUP($B113,'Month &amp; Hour Data'!$A:$H,8,FALSE)</f>
        <v>1.1452063597371387</v>
      </c>
      <c r="G113" s="69">
        <f>VLOOKUP($B113,'Month &amp; Hour Data'!$A:$H,4,FALSE)</f>
        <v>31</v>
      </c>
      <c r="H113" s="69">
        <f>'Month &amp; Hour Data'!E112</f>
        <v>1</v>
      </c>
      <c r="I113" s="69">
        <f>VLOOKUP($B113,'Month &amp; Hour Data'!$A:$H,7,FALSE)</f>
        <v>320</v>
      </c>
      <c r="J113" s="70">
        <f t="shared" si="9"/>
        <v>332270868.2977525</v>
      </c>
      <c r="K113" s="70">
        <f t="shared" si="10"/>
        <v>-1097939.8911107779</v>
      </c>
      <c r="L113" s="330">
        <f t="shared" si="11"/>
        <v>-3.2934691673036265E-3</v>
      </c>
      <c r="M113" s="730"/>
      <c r="N113" s="495"/>
      <c r="O113" s="294"/>
      <c r="P113" s="294"/>
      <c r="V113" s="495"/>
      <c r="W113" s="495"/>
      <c r="AI113" s="66"/>
      <c r="AJ113" s="66"/>
    </row>
    <row r="114" spans="1:36">
      <c r="A114" s="66">
        <f t="shared" si="6"/>
        <v>2013</v>
      </c>
      <c r="B114" s="67">
        <v>41365</v>
      </c>
      <c r="C114" s="294">
        <f>HLOOKUP(MONTH(B114),'Purchased kWh'!$4:$18,15,FALSE)</f>
        <v>312277395.642299</v>
      </c>
      <c r="D114" s="74">
        <f>'Month &amp; Hour Data'!B113</f>
        <v>358.6</v>
      </c>
      <c r="E114" s="74">
        <f>'Month &amp; Hour Data'!C113</f>
        <v>0</v>
      </c>
      <c r="F114" s="308">
        <f>VLOOKUP($B114,'Month &amp; Hour Data'!$A:$H,8,FALSE)</f>
        <v>1.1464396686319696</v>
      </c>
      <c r="G114" s="69">
        <f>VLOOKUP($B114,'Month &amp; Hour Data'!$A:$H,4,FALSE)</f>
        <v>30</v>
      </c>
      <c r="H114" s="69">
        <f>'Month &amp; Hour Data'!E113</f>
        <v>1</v>
      </c>
      <c r="I114" s="69">
        <f>VLOOKUP($B114,'Month &amp; Hour Data'!$A:$H,7,FALSE)</f>
        <v>352</v>
      </c>
      <c r="J114" s="70">
        <f t="shared" si="9"/>
        <v>321279305.71498746</v>
      </c>
      <c r="K114" s="70">
        <f t="shared" si="10"/>
        <v>9001910.0726884604</v>
      </c>
      <c r="L114" s="330">
        <f t="shared" si="11"/>
        <v>2.8826646431366364E-2</v>
      </c>
      <c r="M114" s="730"/>
      <c r="N114" s="495"/>
      <c r="O114" s="294"/>
      <c r="P114" s="294"/>
      <c r="V114" s="495"/>
      <c r="W114" s="495"/>
      <c r="AI114" s="66"/>
      <c r="AJ114" s="66"/>
    </row>
    <row r="115" spans="1:36">
      <c r="A115" s="66">
        <f t="shared" si="6"/>
        <v>2013</v>
      </c>
      <c r="B115" s="67">
        <v>41395</v>
      </c>
      <c r="C115" s="294">
        <f>HLOOKUP(MONTH(B115),'Purchased kWh'!$4:$18,15,FALSE)</f>
        <v>320170212.77697694</v>
      </c>
      <c r="D115" s="74">
        <f>'Month &amp; Hour Data'!B114</f>
        <v>109.1</v>
      </c>
      <c r="E115" s="74">
        <f>'Month &amp; Hour Data'!C114</f>
        <v>23.1</v>
      </c>
      <c r="F115" s="308">
        <f>VLOOKUP($B115,'Month &amp; Hour Data'!$A:$H,8,FALSE)</f>
        <v>1.1476743057160976</v>
      </c>
      <c r="G115" s="69">
        <f>VLOOKUP($B115,'Month &amp; Hour Data'!$A:$H,4,FALSE)</f>
        <v>31</v>
      </c>
      <c r="H115" s="69">
        <f>'Month &amp; Hour Data'!E114</f>
        <v>1</v>
      </c>
      <c r="I115" s="69">
        <f>VLOOKUP($B115,'Month &amp; Hour Data'!$A:$H,7,FALSE)</f>
        <v>352</v>
      </c>
      <c r="J115" s="70">
        <f t="shared" si="9"/>
        <v>325987354.22373837</v>
      </c>
      <c r="K115" s="70">
        <f t="shared" si="10"/>
        <v>5817141.4467614293</v>
      </c>
      <c r="L115" s="330">
        <f t="shared" si="11"/>
        <v>1.8168902710551382E-2</v>
      </c>
      <c r="M115" s="730"/>
      <c r="N115" s="495"/>
      <c r="O115" s="294"/>
      <c r="P115" s="294"/>
      <c r="V115" s="495"/>
      <c r="W115" s="495"/>
      <c r="AI115" s="66"/>
      <c r="AJ115" s="66"/>
    </row>
    <row r="116" spans="1:36">
      <c r="A116" s="66">
        <f t="shared" si="6"/>
        <v>2013</v>
      </c>
      <c r="B116" s="67">
        <v>41426</v>
      </c>
      <c r="C116" s="294">
        <f>HLOOKUP(MONTH(B116),'Purchased kWh'!$4:$18,15,FALSE)</f>
        <v>335997920.17368233</v>
      </c>
      <c r="D116" s="74">
        <f>'Month &amp; Hour Data'!B115</f>
        <v>33.4</v>
      </c>
      <c r="E116" s="74">
        <f>'Month &amp; Hour Data'!C115</f>
        <v>59.3</v>
      </c>
      <c r="F116" s="308">
        <f>VLOOKUP($B116,'Month &amp; Hour Data'!$A:$H,8,FALSE)</f>
        <v>1.1489102724198916</v>
      </c>
      <c r="G116" s="69">
        <f>VLOOKUP($B116,'Month &amp; Hour Data'!$A:$H,4,FALSE)</f>
        <v>30</v>
      </c>
      <c r="H116" s="69">
        <f>'Month &amp; Hour Data'!E115</f>
        <v>0</v>
      </c>
      <c r="I116" s="69">
        <f>VLOOKUP($B116,'Month &amp; Hour Data'!$A:$H,7,FALSE)</f>
        <v>320</v>
      </c>
      <c r="J116" s="70">
        <f t="shared" si="9"/>
        <v>334768614.66206932</v>
      </c>
      <c r="K116" s="70">
        <f t="shared" si="10"/>
        <v>-1229305.5116130114</v>
      </c>
      <c r="L116" s="330">
        <f t="shared" si="11"/>
        <v>-3.6586700030094383E-3</v>
      </c>
      <c r="M116" s="730"/>
      <c r="N116" s="495"/>
      <c r="O116" s="294"/>
      <c r="P116" s="294"/>
      <c r="V116" s="495"/>
      <c r="W116" s="495"/>
      <c r="AI116" s="66"/>
      <c r="AJ116" s="66"/>
    </row>
    <row r="117" spans="1:36">
      <c r="A117" s="66">
        <f t="shared" si="6"/>
        <v>2013</v>
      </c>
      <c r="B117" s="67">
        <v>41456</v>
      </c>
      <c r="C117" s="294">
        <f>HLOOKUP(MONTH(B117),'Purchased kWh'!$4:$18,15,FALSE)</f>
        <v>385395997.74065989</v>
      </c>
      <c r="D117" s="74">
        <f>'Month &amp; Hour Data'!B116</f>
        <v>1.4</v>
      </c>
      <c r="E117" s="74">
        <f>'Month &amp; Hour Data'!C116</f>
        <v>133.30000000000001</v>
      </c>
      <c r="F117" s="308">
        <f>VLOOKUP($B117,'Month &amp; Hour Data'!$A:$H,8,FALSE)</f>
        <v>1.1501475701752613</v>
      </c>
      <c r="G117" s="69">
        <f>VLOOKUP($B117,'Month &amp; Hour Data'!$A:$H,4,FALSE)</f>
        <v>31</v>
      </c>
      <c r="H117" s="69">
        <f>'Month &amp; Hour Data'!E116</f>
        <v>0</v>
      </c>
      <c r="I117" s="69">
        <f>VLOOKUP($B117,'Month &amp; Hour Data'!$A:$H,7,FALSE)</f>
        <v>352</v>
      </c>
      <c r="J117" s="70">
        <f t="shared" si="9"/>
        <v>381745226.57554138</v>
      </c>
      <c r="K117" s="70">
        <f t="shared" si="10"/>
        <v>-3650771.1651185155</v>
      </c>
      <c r="L117" s="330">
        <f t="shared" si="11"/>
        <v>-9.4727791324267646E-3</v>
      </c>
      <c r="M117" s="730"/>
      <c r="N117" s="495"/>
      <c r="O117" s="294"/>
      <c r="P117" s="294"/>
      <c r="V117" s="495"/>
      <c r="W117" s="495"/>
      <c r="AI117" s="66"/>
      <c r="AJ117" s="66"/>
    </row>
    <row r="118" spans="1:36">
      <c r="A118" s="66">
        <f t="shared" si="6"/>
        <v>2013</v>
      </c>
      <c r="B118" s="67">
        <v>41487</v>
      </c>
      <c r="C118" s="294">
        <f>HLOOKUP(MONTH(B118),'Purchased kWh'!$4:$18,15,FALSE)</f>
        <v>362278436.561683</v>
      </c>
      <c r="D118" s="74">
        <f>'Month &amp; Hour Data'!B117</f>
        <v>4.5999999999999996</v>
      </c>
      <c r="E118" s="74">
        <f>'Month &amp; Hour Data'!C117</f>
        <v>93.2</v>
      </c>
      <c r="F118" s="308">
        <f>VLOOKUP($B118,'Month &amp; Hour Data'!$A:$H,8,FALSE)</f>
        <v>1.1513862004156583</v>
      </c>
      <c r="G118" s="69">
        <f>VLOOKUP($B118,'Month &amp; Hour Data'!$A:$H,4,FALSE)</f>
        <v>31</v>
      </c>
      <c r="H118" s="69">
        <f>'Month &amp; Hour Data'!E117</f>
        <v>0</v>
      </c>
      <c r="I118" s="69">
        <f>VLOOKUP($B118,'Month &amp; Hour Data'!$A:$H,7,FALSE)</f>
        <v>336</v>
      </c>
      <c r="J118" s="70">
        <f t="shared" si="9"/>
        <v>359482437.88952291</v>
      </c>
      <c r="K118" s="70">
        <f t="shared" si="10"/>
        <v>-2795998.672160089</v>
      </c>
      <c r="L118" s="330">
        <f t="shared" si="11"/>
        <v>-7.7178169882159984E-3</v>
      </c>
      <c r="M118" s="730"/>
      <c r="N118" s="495"/>
      <c r="O118" s="294"/>
      <c r="P118" s="294"/>
      <c r="V118" s="495"/>
      <c r="W118" s="495"/>
      <c r="AI118" s="66"/>
      <c r="AJ118" s="66"/>
    </row>
    <row r="119" spans="1:36">
      <c r="A119" s="66">
        <f t="shared" si="6"/>
        <v>2013</v>
      </c>
      <c r="B119" s="67">
        <v>41518</v>
      </c>
      <c r="C119" s="294">
        <f>HLOOKUP(MONTH(B119),'Purchased kWh'!$4:$18,15,FALSE)</f>
        <v>318477236.99047047</v>
      </c>
      <c r="D119" s="74">
        <f>'Month &amp; Hour Data'!B118</f>
        <v>89.6</v>
      </c>
      <c r="E119" s="74">
        <f>'Month &amp; Hour Data'!C118</f>
        <v>28</v>
      </c>
      <c r="F119" s="308">
        <f>VLOOKUP($B119,'Month &amp; Hour Data'!$A:$H,8,FALSE)</f>
        <v>1.1526261645760774</v>
      </c>
      <c r="G119" s="69">
        <f>VLOOKUP($B119,'Month &amp; Hour Data'!$A:$H,4,FALSE)</f>
        <v>30</v>
      </c>
      <c r="H119" s="69">
        <f>'Month &amp; Hour Data'!E118</f>
        <v>1</v>
      </c>
      <c r="I119" s="69">
        <f>VLOOKUP($B119,'Month &amp; Hour Data'!$A:$H,7,FALSE)</f>
        <v>320</v>
      </c>
      <c r="J119" s="70">
        <f t="shared" si="9"/>
        <v>317632069.76576698</v>
      </c>
      <c r="K119" s="70">
        <f t="shared" si="10"/>
        <v>-845167.22470349073</v>
      </c>
      <c r="L119" s="330">
        <f t="shared" si="11"/>
        <v>-2.6537759266254245E-3</v>
      </c>
      <c r="M119" s="730"/>
      <c r="N119" s="495"/>
      <c r="O119" s="294"/>
      <c r="P119" s="294"/>
      <c r="V119" s="495"/>
      <c r="W119" s="495"/>
      <c r="AI119" s="66"/>
      <c r="AJ119" s="66"/>
    </row>
    <row r="120" spans="1:36">
      <c r="A120" s="66">
        <f t="shared" si="6"/>
        <v>2013</v>
      </c>
      <c r="B120" s="67">
        <v>41548</v>
      </c>
      <c r="C120" s="294">
        <f>HLOOKUP(MONTH(B120),'Purchased kWh'!$4:$18,15,FALSE)</f>
        <v>318760031.98889458</v>
      </c>
      <c r="D120" s="74">
        <f>'Month &amp; Hour Data'!B119</f>
        <v>224.2</v>
      </c>
      <c r="E120" s="74">
        <f>'Month &amp; Hour Data'!C119</f>
        <v>0</v>
      </c>
      <c r="F120" s="308">
        <f>VLOOKUP($B120,'Month &amp; Hour Data'!$A:$H,8,FALSE)</f>
        <v>1.1538674640930595</v>
      </c>
      <c r="G120" s="69">
        <f>VLOOKUP($B120,'Month &amp; Hour Data'!$A:$H,4,FALSE)</f>
        <v>31</v>
      </c>
      <c r="H120" s="69">
        <f>'Month &amp; Hour Data'!E119</f>
        <v>1</v>
      </c>
      <c r="I120" s="69">
        <f>VLOOKUP($B120,'Month &amp; Hour Data'!$A:$H,7,FALSE)</f>
        <v>352</v>
      </c>
      <c r="J120" s="70">
        <f t="shared" si="9"/>
        <v>322036921.10471696</v>
      </c>
      <c r="K120" s="70">
        <f t="shared" si="10"/>
        <v>3276889.1158223748</v>
      </c>
      <c r="L120" s="330">
        <f t="shared" si="11"/>
        <v>1.0280112896765363E-2</v>
      </c>
      <c r="M120" s="730"/>
      <c r="N120" s="495"/>
      <c r="O120" s="294"/>
      <c r="P120" s="294"/>
      <c r="V120" s="495"/>
      <c r="W120" s="495"/>
      <c r="AI120" s="66"/>
      <c r="AJ120" s="66"/>
    </row>
    <row r="121" spans="1:36">
      <c r="A121" s="66">
        <f t="shared" si="6"/>
        <v>2013</v>
      </c>
      <c r="B121" s="67">
        <v>41579</v>
      </c>
      <c r="C121" s="294">
        <f>HLOOKUP(MONTH(B121),'Purchased kWh'!$4:$18,15,FALSE)</f>
        <v>329707414.74445009</v>
      </c>
      <c r="D121" s="74">
        <f>'Month &amp; Hour Data'!B120</f>
        <v>478.3</v>
      </c>
      <c r="E121" s="74">
        <f>'Month &amp; Hour Data'!C120</f>
        <v>0</v>
      </c>
      <c r="F121" s="308">
        <f>VLOOKUP($B121,'Month &amp; Hour Data'!$A:$H,8,FALSE)</f>
        <v>1.155110100404692</v>
      </c>
      <c r="G121" s="69">
        <f>VLOOKUP($B121,'Month &amp; Hour Data'!$A:$H,4,FALSE)</f>
        <v>30</v>
      </c>
      <c r="H121" s="69">
        <f>'Month &amp; Hour Data'!E120</f>
        <v>1</v>
      </c>
      <c r="I121" s="69">
        <f>VLOOKUP($B121,'Month &amp; Hour Data'!$A:$H,7,FALSE)</f>
        <v>336</v>
      </c>
      <c r="J121" s="70">
        <f t="shared" si="9"/>
        <v>327310938.00092304</v>
      </c>
      <c r="K121" s="70">
        <f t="shared" si="10"/>
        <v>-2396476.7435270548</v>
      </c>
      <c r="L121" s="330">
        <f t="shared" si="11"/>
        <v>-7.2684951455657069E-3</v>
      </c>
      <c r="M121" s="730"/>
      <c r="N121" s="495"/>
      <c r="O121" s="294"/>
      <c r="P121" s="294"/>
      <c r="V121" s="495"/>
      <c r="W121" s="495"/>
      <c r="AI121" s="66"/>
      <c r="AJ121" s="66"/>
    </row>
    <row r="122" spans="1:36">
      <c r="A122" s="66">
        <f t="shared" si="6"/>
        <v>2013</v>
      </c>
      <c r="B122" s="67">
        <v>41609</v>
      </c>
      <c r="C122" s="294">
        <f>HLOOKUP(MONTH(B122),'Purchased kWh'!$4:$18,15,FALSE)</f>
        <v>344618545.50918531</v>
      </c>
      <c r="D122" s="74">
        <f>'Month &amp; Hour Data'!B121</f>
        <v>687.7</v>
      </c>
      <c r="E122" s="74">
        <f>'Month &amp; Hour Data'!C121</f>
        <v>0</v>
      </c>
      <c r="F122" s="308">
        <f>VLOOKUP($B122,'Month &amp; Hour Data'!$A:$H,8,FALSE)</f>
        <v>1.1563540749506114</v>
      </c>
      <c r="G122" s="69">
        <f>VLOOKUP($B122,'Month &amp; Hour Data'!$A:$H,4,FALSE)</f>
        <v>31</v>
      </c>
      <c r="H122" s="69">
        <f>'Month &amp; Hour Data'!E121</f>
        <v>0</v>
      </c>
      <c r="I122" s="69">
        <f>VLOOKUP($B122,'Month &amp; Hour Data'!$A:$H,7,FALSE)</f>
        <v>320</v>
      </c>
      <c r="J122" s="70">
        <f t="shared" si="9"/>
        <v>347471571.28093874</v>
      </c>
      <c r="K122" s="70">
        <f t="shared" si="10"/>
        <v>2853025.7717534304</v>
      </c>
      <c r="L122" s="330">
        <f t="shared" si="11"/>
        <v>8.2787934919114417E-3</v>
      </c>
      <c r="M122" s="730"/>
      <c r="N122" s="495"/>
      <c r="O122" s="294"/>
      <c r="P122" s="294"/>
      <c r="V122" s="495"/>
      <c r="W122" s="495"/>
      <c r="AI122" s="66"/>
      <c r="AJ122" s="66"/>
    </row>
    <row r="123" spans="1:36">
      <c r="A123" s="66">
        <f t="shared" si="6"/>
        <v>2014</v>
      </c>
      <c r="B123" s="67">
        <v>41640</v>
      </c>
      <c r="C123" s="279"/>
      <c r="D123" s="341">
        <f>'HDD-CDD'!K6</f>
        <v>715.19999999999993</v>
      </c>
      <c r="E123" s="342">
        <f>'HDD-CDD'!L6</f>
        <v>0</v>
      </c>
      <c r="F123" s="308">
        <f>VLOOKUP($B123,'Month &amp; Hour Data'!$A:$H,8,FALSE)</f>
        <v>1.1583584746270237</v>
      </c>
      <c r="G123" s="69">
        <f>VLOOKUP($B123,'Month &amp; Hour Data'!$A:$H,4,FALSE)</f>
        <v>31</v>
      </c>
      <c r="H123" s="69">
        <f>'Month &amp; Hour Data'!E122</f>
        <v>0</v>
      </c>
      <c r="I123" s="69">
        <f>VLOOKUP($B123,'Month &amp; Hour Data'!$A:$H,7,FALSE)</f>
        <v>352</v>
      </c>
      <c r="J123" s="70">
        <f>$E$187+(D123*$E$188)+(E123*$E$189)+(F123*$E$190)+(G123*$E$191)+(H123*$E$192)+(I123*$E$193)</f>
        <v>354522870.34139723</v>
      </c>
      <c r="K123" s="70">
        <f t="shared" si="10"/>
        <v>354522870.34139723</v>
      </c>
      <c r="L123" s="330"/>
      <c r="M123" s="330"/>
      <c r="N123" s="495"/>
      <c r="O123" s="294"/>
      <c r="P123" s="294"/>
      <c r="V123" s="495"/>
      <c r="W123" s="495"/>
      <c r="AI123" s="66"/>
      <c r="AJ123" s="66"/>
    </row>
    <row r="124" spans="1:36">
      <c r="A124" s="66">
        <f t="shared" si="6"/>
        <v>2014</v>
      </c>
      <c r="B124" s="67">
        <v>41671</v>
      </c>
      <c r="C124" s="279"/>
      <c r="D124" s="341">
        <f>'HDD-CDD'!K7</f>
        <v>625.82000000000005</v>
      </c>
      <c r="E124" s="342">
        <f>'HDD-CDD'!L7</f>
        <v>0</v>
      </c>
      <c r="F124" s="308">
        <f>VLOOKUP($B124,'Month &amp; Hour Data'!$A:$H,8,FALSE)</f>
        <v>1.1603663486874065</v>
      </c>
      <c r="G124" s="69">
        <f>VLOOKUP($B124,'Month &amp; Hour Data'!$A:$H,4,FALSE)</f>
        <v>28</v>
      </c>
      <c r="H124" s="69">
        <f>'Month &amp; Hour Data'!E123</f>
        <v>0</v>
      </c>
      <c r="I124" s="69">
        <f>VLOOKUP($B124,'Month &amp; Hour Data'!$A:$H,7,FALSE)</f>
        <v>304</v>
      </c>
      <c r="J124" s="70">
        <f t="shared" si="9"/>
        <v>324735137.97529513</v>
      </c>
      <c r="K124" s="70">
        <f t="shared" si="10"/>
        <v>324735137.97529513</v>
      </c>
      <c r="L124" s="330"/>
      <c r="M124" s="330"/>
      <c r="N124" s="495"/>
      <c r="O124" s="294"/>
      <c r="P124" s="294"/>
      <c r="V124" s="495"/>
      <c r="W124" s="495"/>
      <c r="AI124" s="66"/>
      <c r="AJ124" s="66"/>
    </row>
    <row r="125" spans="1:36">
      <c r="A125" s="66">
        <f t="shared" si="6"/>
        <v>2014</v>
      </c>
      <c r="B125" s="67">
        <v>41699</v>
      </c>
      <c r="C125" s="279"/>
      <c r="D125" s="341">
        <f>'HDD-CDD'!K8</f>
        <v>534.15</v>
      </c>
      <c r="E125" s="342">
        <f>'HDD-CDD'!L8</f>
        <v>0.01</v>
      </c>
      <c r="F125" s="308">
        <f>VLOOKUP($B125,'Month &amp; Hour Data'!$A:$H,8,FALSE)</f>
        <v>1.1623777031541842</v>
      </c>
      <c r="G125" s="69">
        <f>VLOOKUP($B125,'Month &amp; Hour Data'!$A:$H,4,FALSE)</f>
        <v>31</v>
      </c>
      <c r="H125" s="69">
        <f>'Month &amp; Hour Data'!E124</f>
        <v>1</v>
      </c>
      <c r="I125" s="69">
        <f>VLOOKUP($B125,'Month &amp; Hour Data'!$A:$H,7,FALSE)</f>
        <v>320</v>
      </c>
      <c r="J125" s="70">
        <f t="shared" si="9"/>
        <v>335582941.51874101</v>
      </c>
      <c r="K125" s="70">
        <f t="shared" si="10"/>
        <v>335582941.51874101</v>
      </c>
      <c r="L125" s="330"/>
      <c r="M125" s="330"/>
      <c r="N125" s="495"/>
      <c r="O125" s="294"/>
      <c r="P125" s="294"/>
      <c r="V125" s="495"/>
      <c r="W125" s="495"/>
      <c r="AI125" s="66"/>
      <c r="AJ125" s="66"/>
    </row>
    <row r="126" spans="1:36">
      <c r="A126" s="66">
        <f t="shared" si="6"/>
        <v>2014</v>
      </c>
      <c r="B126" s="67">
        <v>41730</v>
      </c>
      <c r="C126" s="279"/>
      <c r="D126" s="341">
        <f>'HDD-CDD'!K9</f>
        <v>325.59500000000003</v>
      </c>
      <c r="E126" s="342">
        <f>'HDD-CDD'!L9</f>
        <v>0.69000000000000006</v>
      </c>
      <c r="F126" s="308">
        <f>VLOOKUP($B126,'Month &amp; Hour Data'!$A:$H,8,FALSE)</f>
        <v>1.1643925440602192</v>
      </c>
      <c r="G126" s="69">
        <f>VLOOKUP($B126,'Month &amp; Hour Data'!$A:$H,4,FALSE)</f>
        <v>30</v>
      </c>
      <c r="H126" s="69">
        <f>'Month &amp; Hour Data'!E125</f>
        <v>1</v>
      </c>
      <c r="I126" s="69">
        <f>VLOOKUP($B126,'Month &amp; Hour Data'!$A:$H,7,FALSE)</f>
        <v>352</v>
      </c>
      <c r="J126" s="70">
        <f t="shared" si="9"/>
        <v>324479215.49948198</v>
      </c>
      <c r="K126" s="70">
        <f t="shared" si="10"/>
        <v>324479215.49948198</v>
      </c>
      <c r="L126" s="330"/>
      <c r="M126" s="330"/>
      <c r="N126" s="495"/>
      <c r="O126" s="294"/>
      <c r="P126" s="294"/>
      <c r="V126" s="495"/>
      <c r="W126" s="495"/>
      <c r="AI126" s="66"/>
      <c r="AJ126" s="66"/>
    </row>
    <row r="127" spans="1:36">
      <c r="A127" s="66">
        <f t="shared" si="6"/>
        <v>2014</v>
      </c>
      <c r="B127" s="67">
        <v>41760</v>
      </c>
      <c r="C127" s="279"/>
      <c r="D127" s="341">
        <f>'HDD-CDD'!K10</f>
        <v>151.70000000000002</v>
      </c>
      <c r="E127" s="342">
        <f>'HDD-CDD'!L10</f>
        <v>14.885000000000002</v>
      </c>
      <c r="F127" s="308">
        <f>VLOOKUP($B127,'Month &amp; Hour Data'!$A:$H,8,FALSE)</f>
        <v>1.1664108774488315</v>
      </c>
      <c r="G127" s="69">
        <f>VLOOKUP($B127,'Month &amp; Hour Data'!$A:$H,4,FALSE)</f>
        <v>31</v>
      </c>
      <c r="H127" s="69">
        <f>'Month &amp; Hour Data'!E126</f>
        <v>1</v>
      </c>
      <c r="I127" s="69">
        <f>VLOOKUP($B127,'Month &amp; Hour Data'!$A:$H,7,FALSE)</f>
        <v>336</v>
      </c>
      <c r="J127" s="70">
        <f t="shared" si="9"/>
        <v>326370246.76436436</v>
      </c>
      <c r="K127" s="70">
        <f t="shared" si="10"/>
        <v>326370246.76436436</v>
      </c>
      <c r="L127" s="330"/>
      <c r="M127" s="330"/>
      <c r="N127" s="495"/>
      <c r="O127" s="294"/>
      <c r="P127" s="294"/>
      <c r="V127" s="495"/>
      <c r="W127" s="495"/>
      <c r="AI127" s="66"/>
      <c r="AJ127" s="66"/>
    </row>
    <row r="128" spans="1:36">
      <c r="A128" s="66">
        <f t="shared" si="6"/>
        <v>2014</v>
      </c>
      <c r="B128" s="67">
        <v>41791</v>
      </c>
      <c r="C128" s="279"/>
      <c r="D128" s="341">
        <f>'HDD-CDD'!K11</f>
        <v>28.955000000000002</v>
      </c>
      <c r="E128" s="342">
        <f>'HDD-CDD'!L11</f>
        <v>70.37</v>
      </c>
      <c r="F128" s="308">
        <f>VLOOKUP($B128,'Month &amp; Hour Data'!$A:$H,8,FALSE)</f>
        <v>1.1684327093738167</v>
      </c>
      <c r="G128" s="69">
        <f>VLOOKUP($B128,'Month &amp; Hour Data'!$A:$H,4,FALSE)</f>
        <v>30</v>
      </c>
      <c r="H128" s="69">
        <f>'Month &amp; Hour Data'!E127</f>
        <v>0</v>
      </c>
      <c r="I128" s="69">
        <f>VLOOKUP($B128,'Month &amp; Hour Data'!$A:$H,7,FALSE)</f>
        <v>336</v>
      </c>
      <c r="J128" s="70">
        <f t="shared" si="9"/>
        <v>347656637.81558043</v>
      </c>
      <c r="K128" s="70">
        <f t="shared" si="10"/>
        <v>347656637.81558043</v>
      </c>
      <c r="L128" s="330"/>
      <c r="M128" s="330"/>
      <c r="N128" s="495"/>
      <c r="O128" s="294"/>
      <c r="P128" s="294"/>
      <c r="V128" s="495"/>
      <c r="W128" s="495"/>
      <c r="AI128" s="66"/>
      <c r="AJ128" s="66"/>
    </row>
    <row r="129" spans="1:36">
      <c r="A129" s="66">
        <f t="shared" si="6"/>
        <v>2014</v>
      </c>
      <c r="B129" s="67">
        <v>41821</v>
      </c>
      <c r="C129" s="279"/>
      <c r="D129" s="341">
        <f>'HDD-CDD'!K12</f>
        <v>3.4849999999999999</v>
      </c>
      <c r="E129" s="342">
        <f>'HDD-CDD'!L12</f>
        <v>129.065</v>
      </c>
      <c r="F129" s="308">
        <f>VLOOKUP($B129,'Month &amp; Hour Data'!$A:$H,8,FALSE)</f>
        <v>1.1704580458994638</v>
      </c>
      <c r="G129" s="69">
        <f>VLOOKUP($B129,'Month &amp; Hour Data'!$A:$H,4,FALSE)</f>
        <v>31</v>
      </c>
      <c r="H129" s="69">
        <f>'Month &amp; Hour Data'!E128</f>
        <v>0</v>
      </c>
      <c r="I129" s="69">
        <f>VLOOKUP($B129,'Month &amp; Hour Data'!$A:$H,7,FALSE)</f>
        <v>352</v>
      </c>
      <c r="J129" s="70">
        <f t="shared" si="9"/>
        <v>384928329.72832054</v>
      </c>
      <c r="K129" s="70">
        <f t="shared" si="10"/>
        <v>384928329.72832054</v>
      </c>
      <c r="L129" s="330"/>
      <c r="M129" s="330"/>
      <c r="N129" s="495"/>
      <c r="O129" s="294"/>
      <c r="P129" s="294"/>
      <c r="V129" s="495"/>
      <c r="W129" s="495"/>
      <c r="AI129" s="66"/>
      <c r="AJ129" s="66"/>
    </row>
    <row r="130" spans="1:36">
      <c r="A130" s="66">
        <f t="shared" si="6"/>
        <v>2014</v>
      </c>
      <c r="B130" s="67">
        <v>41852</v>
      </c>
      <c r="C130" s="279"/>
      <c r="D130" s="341">
        <f>'HDD-CDD'!K13</f>
        <v>6.3849999999999998</v>
      </c>
      <c r="E130" s="342">
        <f>'HDD-CDD'!L13</f>
        <v>104.36999999999998</v>
      </c>
      <c r="F130" s="308">
        <f>VLOOKUP($B130,'Month &amp; Hour Data'!$A:$H,8,FALSE)</f>
        <v>1.172486893100573</v>
      </c>
      <c r="G130" s="69">
        <f>VLOOKUP($B130,'Month &amp; Hour Data'!$A:$H,4,FALSE)</f>
        <v>31</v>
      </c>
      <c r="H130" s="69">
        <f>'Month &amp; Hour Data'!E129</f>
        <v>0</v>
      </c>
      <c r="I130" s="69">
        <f>VLOOKUP($B130,'Month &amp; Hour Data'!$A:$H,7,FALSE)</f>
        <v>320</v>
      </c>
      <c r="J130" s="70">
        <f t="shared" si="9"/>
        <v>368076914.59413469</v>
      </c>
      <c r="K130" s="70">
        <f t="shared" si="10"/>
        <v>368076914.59413469</v>
      </c>
      <c r="L130" s="330"/>
      <c r="M130" s="330"/>
      <c r="N130" s="495"/>
      <c r="O130" s="294"/>
      <c r="P130" s="294"/>
      <c r="V130" s="495"/>
      <c r="W130" s="495"/>
      <c r="AI130" s="66"/>
      <c r="AJ130" s="66"/>
    </row>
    <row r="131" spans="1:36">
      <c r="A131" s="66">
        <f t="shared" ref="A131:A146" si="12">YEAR(B131)</f>
        <v>2014</v>
      </c>
      <c r="B131" s="67">
        <v>41883</v>
      </c>
      <c r="C131" s="279"/>
      <c r="D131" s="341">
        <f>'HDD-CDD'!K14</f>
        <v>64.650000000000006</v>
      </c>
      <c r="E131" s="342">
        <f>'HDD-CDD'!L14</f>
        <v>33.884999999999998</v>
      </c>
      <c r="F131" s="308">
        <f>VLOOKUP($B131,'Month &amp; Hour Data'!$A:$H,8,FALSE)</f>
        <v>1.174519257062475</v>
      </c>
      <c r="G131" s="69">
        <f>VLOOKUP($B131,'Month &amp; Hour Data'!$A:$H,4,FALSE)</f>
        <v>30</v>
      </c>
      <c r="H131" s="69">
        <f>'Month &amp; Hour Data'!E130</f>
        <v>1</v>
      </c>
      <c r="I131" s="69">
        <f>VLOOKUP($B131,'Month &amp; Hour Data'!$A:$H,7,FALSE)</f>
        <v>336</v>
      </c>
      <c r="J131" s="70">
        <f t="shared" si="9"/>
        <v>327427113.32506293</v>
      </c>
      <c r="K131" s="70">
        <f t="shared" ref="K131:K146" si="13">J131-C131</f>
        <v>327427113.32506293</v>
      </c>
      <c r="L131" s="330"/>
      <c r="M131" s="330"/>
      <c r="N131" s="495"/>
      <c r="O131" s="294"/>
      <c r="P131" s="294"/>
      <c r="V131" s="495"/>
      <c r="W131" s="495"/>
      <c r="AI131" s="66"/>
      <c r="AJ131" s="66"/>
    </row>
    <row r="132" spans="1:36">
      <c r="A132" s="66">
        <f t="shared" si="12"/>
        <v>2014</v>
      </c>
      <c r="B132" s="67">
        <v>41913</v>
      </c>
      <c r="C132" s="279"/>
      <c r="D132" s="341">
        <f>'HDD-CDD'!K15</f>
        <v>244.54000000000002</v>
      </c>
      <c r="E132" s="342">
        <f>'HDD-CDD'!L15</f>
        <v>2.6350000000000002</v>
      </c>
      <c r="F132" s="308">
        <f>VLOOKUP($B132,'Month &amp; Hour Data'!$A:$H,8,FALSE)</f>
        <v>1.1765551438810484</v>
      </c>
      <c r="G132" s="69">
        <f>VLOOKUP($B132,'Month &amp; Hour Data'!$A:$H,4,FALSE)</f>
        <v>31</v>
      </c>
      <c r="H132" s="69">
        <f>'Month &amp; Hour Data'!E131</f>
        <v>1</v>
      </c>
      <c r="I132" s="69">
        <f>VLOOKUP($B132,'Month &amp; Hour Data'!$A:$H,7,FALSE)</f>
        <v>352</v>
      </c>
      <c r="J132" s="70">
        <f t="shared" ref="J132:J146" si="14">$E$187+(D132*$E$188)+(E132*$E$189)+(F132*$E$190)+(G132*$E$191)+(H132*$E$192)+(I132*$E$193)</f>
        <v>330260127.39861816</v>
      </c>
      <c r="K132" s="70">
        <f t="shared" si="13"/>
        <v>330260127.39861816</v>
      </c>
      <c r="L132" s="330"/>
      <c r="M132" s="330"/>
      <c r="N132" s="495"/>
      <c r="O132" s="294"/>
      <c r="P132" s="294"/>
      <c r="V132" s="495"/>
      <c r="W132" s="495"/>
      <c r="AI132" s="66"/>
      <c r="AJ132" s="66"/>
    </row>
    <row r="133" spans="1:36">
      <c r="A133" s="66">
        <f t="shared" si="12"/>
        <v>2014</v>
      </c>
      <c r="B133" s="67">
        <v>41944</v>
      </c>
      <c r="C133" s="279"/>
      <c r="D133" s="341">
        <f>'HDD-CDD'!K16</f>
        <v>415.755</v>
      </c>
      <c r="E133" s="342">
        <f>'HDD-CDD'!L16</f>
        <v>0</v>
      </c>
      <c r="F133" s="308">
        <f>VLOOKUP($B133,'Month &amp; Hour Data'!$A:$H,8,FALSE)</f>
        <v>1.1785945596627387</v>
      </c>
      <c r="G133" s="69">
        <f>VLOOKUP($B133,'Month &amp; Hour Data'!$A:$H,4,FALSE)</f>
        <v>30</v>
      </c>
      <c r="H133" s="69">
        <f>'Month &amp; Hour Data'!E132</f>
        <v>1</v>
      </c>
      <c r="I133" s="69">
        <f>VLOOKUP($B133,'Month &amp; Hour Data'!$A:$H,7,FALSE)</f>
        <v>320</v>
      </c>
      <c r="J133" s="70">
        <f t="shared" si="14"/>
        <v>327475074.88703597</v>
      </c>
      <c r="K133" s="70">
        <f t="shared" si="13"/>
        <v>327475074.88703597</v>
      </c>
      <c r="L133" s="330"/>
      <c r="M133" s="330"/>
      <c r="N133" s="495"/>
      <c r="O133" s="294"/>
      <c r="P133" s="294"/>
      <c r="V133" s="495"/>
      <c r="W133" s="495"/>
      <c r="AI133" s="66"/>
      <c r="AJ133" s="66"/>
    </row>
    <row r="134" spans="1:36">
      <c r="A134" s="66">
        <f t="shared" si="12"/>
        <v>2014</v>
      </c>
      <c r="B134" s="67">
        <v>41974</v>
      </c>
      <c r="C134" s="279"/>
      <c r="D134" s="341">
        <f>'HDD-CDD'!K17</f>
        <v>608.78</v>
      </c>
      <c r="E134" s="342">
        <f>'HDD-CDD'!L17</f>
        <v>0</v>
      </c>
      <c r="F134" s="308">
        <f>VLOOKUP($B134,'Month &amp; Hour Data'!$A:$H,8,FALSE)</f>
        <v>1.1806375105245757</v>
      </c>
      <c r="G134" s="69">
        <f>VLOOKUP($B134,'Month &amp; Hour Data'!$A:$H,4,FALSE)</f>
        <v>31</v>
      </c>
      <c r="H134" s="69">
        <f>'Month &amp; Hour Data'!E133</f>
        <v>0</v>
      </c>
      <c r="I134" s="69">
        <f>VLOOKUP($B134,'Month &amp; Hour Data'!$A:$H,7,FALSE)</f>
        <v>336</v>
      </c>
      <c r="J134" s="70">
        <f t="shared" si="14"/>
        <v>352051064.60433996</v>
      </c>
      <c r="K134" s="70">
        <f t="shared" si="13"/>
        <v>352051064.60433996</v>
      </c>
      <c r="L134" s="330"/>
      <c r="M134" s="330"/>
      <c r="N134" s="495"/>
      <c r="O134" s="294"/>
      <c r="P134" s="294"/>
      <c r="V134" s="495"/>
      <c r="W134" s="495"/>
      <c r="AI134" s="66"/>
      <c r="AJ134" s="66"/>
    </row>
    <row r="135" spans="1:36">
      <c r="A135" s="66">
        <f t="shared" si="12"/>
        <v>2015</v>
      </c>
      <c r="B135" s="67">
        <v>42005</v>
      </c>
      <c r="C135" s="279"/>
      <c r="D135" s="341">
        <f>D123</f>
        <v>715.19999999999993</v>
      </c>
      <c r="E135" s="342">
        <f>E123</f>
        <v>0</v>
      </c>
      <c r="F135" s="308">
        <f>VLOOKUP($B135,'Month &amp; Hour Data'!$A:$H,8,FALSE)</f>
        <v>1.1830694304902911</v>
      </c>
      <c r="G135" s="69">
        <f>VLOOKUP($B135,'Month &amp; Hour Data'!$A:$H,4,FALSE)</f>
        <v>31</v>
      </c>
      <c r="H135" s="69">
        <f>'Month &amp; Hour Data'!E134</f>
        <v>0</v>
      </c>
      <c r="I135" s="69">
        <f>VLOOKUP($B135,'Month &amp; Hour Data'!$A:$H,7,FALSE)</f>
        <v>336</v>
      </c>
      <c r="J135" s="70">
        <f t="shared" si="14"/>
        <v>358318515.17870688</v>
      </c>
      <c r="K135" s="70">
        <f t="shared" si="13"/>
        <v>358318515.17870688</v>
      </c>
      <c r="L135" s="330"/>
      <c r="M135" s="330"/>
      <c r="N135" s="495"/>
      <c r="O135" s="294"/>
      <c r="P135" s="294"/>
      <c r="V135" s="495"/>
      <c r="W135" s="495"/>
      <c r="AI135" s="66"/>
      <c r="AJ135" s="66"/>
    </row>
    <row r="136" spans="1:36">
      <c r="A136" s="66">
        <f t="shared" si="12"/>
        <v>2015</v>
      </c>
      <c r="B136" s="67">
        <v>42036</v>
      </c>
      <c r="C136" s="279"/>
      <c r="D136" s="341">
        <f t="shared" ref="D136:E146" si="15">D124</f>
        <v>625.82000000000005</v>
      </c>
      <c r="E136" s="342">
        <f t="shared" si="15"/>
        <v>0</v>
      </c>
      <c r="F136" s="308">
        <f>VLOOKUP($B136,'Month &amp; Hour Data'!$A:$H,8,FALSE)</f>
        <v>1.1855063598129572</v>
      </c>
      <c r="G136" s="69">
        <f>VLOOKUP($B136,'Month &amp; Hour Data'!$A:$H,4,FALSE)</f>
        <v>28</v>
      </c>
      <c r="H136" s="69">
        <f>'Month &amp; Hour Data'!E135</f>
        <v>0</v>
      </c>
      <c r="I136" s="69">
        <f>VLOOKUP($B136,'Month &amp; Hour Data'!$A:$H,7,FALSE)</f>
        <v>304</v>
      </c>
      <c r="J136" s="70">
        <f t="shared" si="14"/>
        <v>331180264.90425628</v>
      </c>
      <c r="K136" s="70">
        <f t="shared" si="13"/>
        <v>331180264.90425628</v>
      </c>
      <c r="L136" s="330"/>
      <c r="M136" s="330"/>
      <c r="N136" s="495"/>
      <c r="O136" s="294"/>
      <c r="P136" s="294"/>
      <c r="V136" s="495"/>
      <c r="W136" s="495"/>
      <c r="AI136" s="66"/>
      <c r="AJ136" s="66"/>
    </row>
    <row r="137" spans="1:36">
      <c r="A137" s="66">
        <f t="shared" si="12"/>
        <v>2015</v>
      </c>
      <c r="B137" s="67">
        <v>42064</v>
      </c>
      <c r="C137" s="279"/>
      <c r="D137" s="341">
        <f t="shared" si="15"/>
        <v>534.15</v>
      </c>
      <c r="E137" s="342">
        <f t="shared" si="15"/>
        <v>0.01</v>
      </c>
      <c r="F137" s="308">
        <f>VLOOKUP($B137,'Month &amp; Hour Data'!$A:$H,8,FALSE)</f>
        <v>1.187948308811029</v>
      </c>
      <c r="G137" s="69">
        <f>VLOOKUP($B137,'Month &amp; Hour Data'!$A:$H,4,FALSE)</f>
        <v>31</v>
      </c>
      <c r="H137" s="69">
        <f>'Month &amp; Hour Data'!E136</f>
        <v>1</v>
      </c>
      <c r="I137" s="69">
        <f>VLOOKUP($B137,'Month &amp; Hour Data'!$A:$H,7,FALSE)</f>
        <v>352</v>
      </c>
      <c r="J137" s="70">
        <f t="shared" si="14"/>
        <v>347217430.65720141</v>
      </c>
      <c r="K137" s="70">
        <f t="shared" si="13"/>
        <v>347217430.65720141</v>
      </c>
      <c r="L137" s="330"/>
      <c r="M137" s="330"/>
      <c r="N137" s="495"/>
      <c r="O137" s="294"/>
      <c r="P137" s="294"/>
      <c r="V137" s="495"/>
      <c r="W137" s="495"/>
      <c r="AI137" s="66"/>
      <c r="AJ137" s="66"/>
    </row>
    <row r="138" spans="1:36">
      <c r="A138" s="66">
        <f t="shared" si="12"/>
        <v>2015</v>
      </c>
      <c r="B138" s="67">
        <v>42095</v>
      </c>
      <c r="C138" s="279"/>
      <c r="D138" s="341">
        <f t="shared" si="15"/>
        <v>325.59500000000003</v>
      </c>
      <c r="E138" s="342">
        <f t="shared" si="15"/>
        <v>0.69000000000000006</v>
      </c>
      <c r="F138" s="308">
        <f>VLOOKUP($B138,'Month &amp; Hour Data'!$A:$H,8,FALSE)</f>
        <v>1.1903952878242163</v>
      </c>
      <c r="G138" s="69">
        <f>VLOOKUP($B138,'Month &amp; Hour Data'!$A:$H,4,FALSE)</f>
        <v>30</v>
      </c>
      <c r="H138" s="69">
        <f>'Month &amp; Hour Data'!E137</f>
        <v>1</v>
      </c>
      <c r="I138" s="69">
        <f>VLOOKUP($B138,'Month &amp; Hour Data'!$A:$H,7,FALSE)</f>
        <v>336</v>
      </c>
      <c r="J138" s="70">
        <f t="shared" si="14"/>
        <v>328606035.09021235</v>
      </c>
      <c r="K138" s="70">
        <f t="shared" si="13"/>
        <v>328606035.09021235</v>
      </c>
      <c r="L138" s="330"/>
      <c r="M138" s="330"/>
      <c r="N138" s="495"/>
      <c r="O138" s="294"/>
      <c r="P138" s="294"/>
      <c r="V138" s="495"/>
      <c r="W138" s="495"/>
      <c r="AI138" s="66"/>
      <c r="AJ138" s="66"/>
    </row>
    <row r="139" spans="1:36">
      <c r="A139" s="66">
        <f t="shared" si="12"/>
        <v>2015</v>
      </c>
      <c r="B139" s="67">
        <v>42125</v>
      </c>
      <c r="C139" s="279"/>
      <c r="D139" s="341">
        <f t="shared" si="15"/>
        <v>151.70000000000002</v>
      </c>
      <c r="E139" s="342">
        <f t="shared" si="15"/>
        <v>14.885000000000002</v>
      </c>
      <c r="F139" s="308">
        <f>VLOOKUP($B139,'Month &amp; Hour Data'!$A:$H,8,FALSE)</f>
        <v>1.1928473072135266</v>
      </c>
      <c r="G139" s="69">
        <f>VLOOKUP($B139,'Month &amp; Hour Data'!$A:$H,4,FALSE)</f>
        <v>31</v>
      </c>
      <c r="H139" s="69">
        <f>'Month &amp; Hour Data'!E138</f>
        <v>1</v>
      </c>
      <c r="I139" s="69">
        <f>VLOOKUP($B139,'Month &amp; Hour Data'!$A:$H,7,FALSE)</f>
        <v>320</v>
      </c>
      <c r="J139" s="70">
        <f t="shared" si="14"/>
        <v>330608250.12935221</v>
      </c>
      <c r="K139" s="70">
        <f t="shared" si="13"/>
        <v>330608250.12935221</v>
      </c>
      <c r="L139" s="330"/>
      <c r="M139" s="330"/>
      <c r="N139" s="495"/>
      <c r="O139" s="294"/>
      <c r="P139" s="294"/>
      <c r="V139" s="495"/>
      <c r="W139" s="495"/>
      <c r="AI139" s="66"/>
      <c r="AJ139" s="66"/>
    </row>
    <row r="140" spans="1:36">
      <c r="A140" s="66">
        <f t="shared" si="12"/>
        <v>2015</v>
      </c>
      <c r="B140" s="67">
        <v>42156</v>
      </c>
      <c r="C140" s="279"/>
      <c r="D140" s="341">
        <f t="shared" si="15"/>
        <v>28.955000000000002</v>
      </c>
      <c r="E140" s="342">
        <f t="shared" si="15"/>
        <v>70.37</v>
      </c>
      <c r="F140" s="308">
        <f>VLOOKUP($B140,'Month &amp; Hour Data'!$A:$H,8,FALSE)</f>
        <v>1.1953043773613092</v>
      </c>
      <c r="G140" s="69">
        <f>VLOOKUP($B140,'Month &amp; Hour Data'!$A:$H,4,FALSE)</f>
        <v>30</v>
      </c>
      <c r="H140" s="69">
        <f>'Month &amp; Hour Data'!E139</f>
        <v>0</v>
      </c>
      <c r="I140" s="69">
        <f>VLOOKUP($B140,'Month &amp; Hour Data'!$A:$H,7,FALSE)</f>
        <v>352</v>
      </c>
      <c r="J140" s="70">
        <f t="shared" si="14"/>
        <v>357085193.88998455</v>
      </c>
      <c r="K140" s="70">
        <f t="shared" si="13"/>
        <v>357085193.88998455</v>
      </c>
      <c r="L140" s="330"/>
      <c r="M140" s="330"/>
      <c r="N140" s="495"/>
      <c r="O140" s="294"/>
      <c r="P140" s="294"/>
      <c r="V140" s="495"/>
      <c r="W140" s="495"/>
      <c r="AI140" s="66"/>
      <c r="AJ140" s="66"/>
    </row>
    <row r="141" spans="1:36">
      <c r="A141" s="66">
        <f t="shared" si="12"/>
        <v>2015</v>
      </c>
      <c r="B141" s="67">
        <v>42186</v>
      </c>
      <c r="C141" s="279"/>
      <c r="D141" s="341">
        <f t="shared" si="15"/>
        <v>3.4849999999999999</v>
      </c>
      <c r="E141" s="342">
        <f t="shared" si="15"/>
        <v>129.065</v>
      </c>
      <c r="F141" s="308">
        <f>VLOOKUP($B141,'Month &amp; Hour Data'!$A:$H,8,FALSE)</f>
        <v>1.1977665086713001</v>
      </c>
      <c r="G141" s="69">
        <f>VLOOKUP($B141,'Month &amp; Hour Data'!$A:$H,4,FALSE)</f>
        <v>31</v>
      </c>
      <c r="H141" s="69">
        <f>'Month &amp; Hour Data'!E140</f>
        <v>0</v>
      </c>
      <c r="I141" s="69">
        <f>VLOOKUP($B141,'Month &amp; Hour Data'!$A:$H,7,FALSE)</f>
        <v>352</v>
      </c>
      <c r="J141" s="70">
        <f t="shared" si="14"/>
        <v>391929381.07711697</v>
      </c>
      <c r="K141" s="70">
        <f t="shared" si="13"/>
        <v>391929381.07711697</v>
      </c>
      <c r="L141" s="330"/>
      <c r="M141" s="330"/>
      <c r="N141" s="495"/>
      <c r="O141" s="294"/>
      <c r="P141" s="294"/>
      <c r="V141" s="495"/>
      <c r="W141" s="495"/>
      <c r="AI141" s="66"/>
      <c r="AJ141" s="66"/>
    </row>
    <row r="142" spans="1:36">
      <c r="A142" s="66">
        <f t="shared" si="12"/>
        <v>2015</v>
      </c>
      <c r="B142" s="67">
        <v>42217</v>
      </c>
      <c r="C142" s="279"/>
      <c r="D142" s="341">
        <f t="shared" si="15"/>
        <v>6.3849999999999998</v>
      </c>
      <c r="E142" s="342">
        <f t="shared" si="15"/>
        <v>104.36999999999998</v>
      </c>
      <c r="F142" s="308">
        <f>VLOOKUP($B142,'Month &amp; Hour Data'!$A:$H,8,FALSE)</f>
        <v>1.2002337115686641</v>
      </c>
      <c r="G142" s="69">
        <f>VLOOKUP($B142,'Month &amp; Hour Data'!$A:$H,4,FALSE)</f>
        <v>31</v>
      </c>
      <c r="H142" s="69">
        <f>'Month &amp; Hour Data'!E141</f>
        <v>0</v>
      </c>
      <c r="I142" s="69">
        <f>VLOOKUP($B142,'Month &amp; Hour Data'!$A:$H,7,FALSE)</f>
        <v>320</v>
      </c>
      <c r="J142" s="70">
        <f t="shared" si="14"/>
        <v>375190346.88374639</v>
      </c>
      <c r="K142" s="70">
        <f t="shared" si="13"/>
        <v>375190346.88374639</v>
      </c>
      <c r="L142" s="330"/>
      <c r="M142" s="330"/>
      <c r="N142" s="495"/>
      <c r="O142" s="294"/>
      <c r="P142" s="294"/>
      <c r="V142" s="495"/>
      <c r="W142" s="495"/>
      <c r="AI142" s="66"/>
      <c r="AJ142" s="66"/>
    </row>
    <row r="143" spans="1:36">
      <c r="A143" s="66">
        <f t="shared" si="12"/>
        <v>2015</v>
      </c>
      <c r="B143" s="67">
        <v>42248</v>
      </c>
      <c r="C143" s="279"/>
      <c r="D143" s="341">
        <f t="shared" si="15"/>
        <v>64.650000000000006</v>
      </c>
      <c r="E143" s="342">
        <f t="shared" si="15"/>
        <v>33.884999999999998</v>
      </c>
      <c r="F143" s="308">
        <f>VLOOKUP($B143,'Month &amp; Hour Data'!$A:$H,8,FALSE)</f>
        <v>1.2027059965000411</v>
      </c>
      <c r="G143" s="69">
        <f>VLOOKUP($B143,'Month &amp; Hour Data'!$A:$H,4,FALSE)</f>
        <v>30</v>
      </c>
      <c r="H143" s="69">
        <f>'Month &amp; Hour Data'!E142</f>
        <v>1</v>
      </c>
      <c r="I143" s="69">
        <f>VLOOKUP($B143,'Month &amp; Hour Data'!$A:$H,7,FALSE)</f>
        <v>336</v>
      </c>
      <c r="J143" s="70">
        <f t="shared" si="14"/>
        <v>334653327.84348184</v>
      </c>
      <c r="K143" s="70">
        <f t="shared" si="13"/>
        <v>334653327.84348184</v>
      </c>
      <c r="L143" s="330"/>
      <c r="M143" s="330"/>
      <c r="N143" s="495"/>
      <c r="O143" s="294"/>
      <c r="P143" s="294"/>
      <c r="V143" s="495"/>
      <c r="W143" s="495"/>
      <c r="AI143" s="66"/>
      <c r="AJ143" s="66"/>
    </row>
    <row r="144" spans="1:36">
      <c r="A144" s="66">
        <f t="shared" si="12"/>
        <v>2015</v>
      </c>
      <c r="B144" s="67">
        <v>42278</v>
      </c>
      <c r="C144" s="279"/>
      <c r="D144" s="341">
        <f t="shared" si="15"/>
        <v>244.54000000000002</v>
      </c>
      <c r="E144" s="342">
        <f t="shared" si="15"/>
        <v>2.6350000000000002</v>
      </c>
      <c r="F144" s="308">
        <f>VLOOKUP($B144,'Month &amp; Hour Data'!$A:$H,8,FALSE)</f>
        <v>1.2051833739335891</v>
      </c>
      <c r="G144" s="69">
        <f>VLOOKUP($B144,'Month &amp; Hour Data'!$A:$H,4,FALSE)</f>
        <v>31</v>
      </c>
      <c r="H144" s="69">
        <f>'Month &amp; Hour Data'!E143</f>
        <v>1</v>
      </c>
      <c r="I144" s="69">
        <f>VLOOKUP($B144,'Month &amp; Hour Data'!$A:$H,7,FALSE)</f>
        <v>336</v>
      </c>
      <c r="J144" s="70">
        <f t="shared" si="14"/>
        <v>335060041.05821759</v>
      </c>
      <c r="K144" s="70">
        <f t="shared" si="13"/>
        <v>335060041.05821759</v>
      </c>
      <c r="L144" s="330"/>
      <c r="M144" s="330"/>
      <c r="N144" s="495"/>
      <c r="O144" s="294"/>
      <c r="P144" s="294"/>
      <c r="V144" s="495"/>
      <c r="W144" s="495"/>
      <c r="AI144" s="66"/>
      <c r="AJ144" s="66"/>
    </row>
    <row r="145" spans="1:36">
      <c r="A145" s="66">
        <f t="shared" si="12"/>
        <v>2015</v>
      </c>
      <c r="B145" s="67">
        <v>42309</v>
      </c>
      <c r="C145" s="279"/>
      <c r="D145" s="341">
        <f t="shared" si="15"/>
        <v>415.755</v>
      </c>
      <c r="E145" s="342">
        <f t="shared" si="15"/>
        <v>0</v>
      </c>
      <c r="F145" s="308">
        <f>VLOOKUP($B145,'Month &amp; Hour Data'!$A:$H,8,FALSE)</f>
        <v>1.2076658543590291</v>
      </c>
      <c r="G145" s="69">
        <f>VLOOKUP($B145,'Month &amp; Hour Data'!$A:$H,4,FALSE)</f>
        <v>30</v>
      </c>
      <c r="H145" s="69">
        <f>'Month &amp; Hour Data'!E144</f>
        <v>1</v>
      </c>
      <c r="I145" s="69">
        <f>VLOOKUP($B145,'Month &amp; Hour Data'!$A:$H,7,FALSE)</f>
        <v>336</v>
      </c>
      <c r="J145" s="70">
        <f t="shared" si="14"/>
        <v>337467547.71007371</v>
      </c>
      <c r="K145" s="70">
        <f t="shared" si="13"/>
        <v>337467547.71007371</v>
      </c>
      <c r="L145" s="330"/>
      <c r="M145" s="330"/>
      <c r="N145" s="495"/>
      <c r="O145" s="294"/>
      <c r="P145" s="294"/>
      <c r="V145" s="495"/>
      <c r="W145" s="495"/>
      <c r="AI145" s="66"/>
      <c r="AJ145" s="66"/>
    </row>
    <row r="146" spans="1:36" ht="13.8" thickBot="1">
      <c r="A146" s="66">
        <f t="shared" si="12"/>
        <v>2015</v>
      </c>
      <c r="B146" s="67">
        <v>42339</v>
      </c>
      <c r="C146" s="279"/>
      <c r="D146" s="341">
        <f t="shared" si="15"/>
        <v>608.78</v>
      </c>
      <c r="E146" s="342">
        <f t="shared" si="15"/>
        <v>0</v>
      </c>
      <c r="F146" s="308">
        <f>VLOOKUP($B146,'Month &amp; Hour Data'!$A:$H,8,FALSE)</f>
        <v>1.2101534482876883</v>
      </c>
      <c r="G146" s="69">
        <f>VLOOKUP($B146,'Month &amp; Hour Data'!$A:$H,4,FALSE)</f>
        <v>31</v>
      </c>
      <c r="H146" s="69">
        <f>'Month &amp; Hour Data'!E145</f>
        <v>0</v>
      </c>
      <c r="I146" s="69">
        <f>VLOOKUP($B146,'Month &amp; Hour Data'!$A:$H,7,FALSE)</f>
        <v>352</v>
      </c>
      <c r="J146" s="70">
        <f t="shared" si="14"/>
        <v>362157530.25695294</v>
      </c>
      <c r="K146" s="70">
        <f t="shared" si="13"/>
        <v>362157530.25695294</v>
      </c>
      <c r="L146" s="330"/>
      <c r="M146" s="507"/>
      <c r="N146" s="495"/>
      <c r="O146" s="294"/>
      <c r="P146" s="294"/>
      <c r="V146" s="495"/>
      <c r="W146" s="495"/>
      <c r="AI146" s="66"/>
      <c r="AJ146" s="66"/>
    </row>
    <row r="147" spans="1:36" ht="13.8" thickBot="1">
      <c r="B147" s="75"/>
      <c r="D147" s="936" t="s">
        <v>36</v>
      </c>
      <c r="E147" s="937"/>
      <c r="G147" s="69"/>
    </row>
    <row r="148" spans="1:36" ht="13.8" thickBot="1">
      <c r="B148" s="75"/>
      <c r="D148" s="313"/>
      <c r="E148" s="313"/>
      <c r="G148" s="70"/>
      <c r="I148" s="314"/>
      <c r="J148" s="314"/>
      <c r="K148" s="314"/>
      <c r="L148" s="314"/>
    </row>
    <row r="149" spans="1:36" ht="18.75" customHeight="1">
      <c r="B149" s="315"/>
      <c r="C149" s="324" t="s">
        <v>129</v>
      </c>
      <c r="D149" s="316" t="s">
        <v>130</v>
      </c>
      <c r="E149" s="316" t="s">
        <v>131</v>
      </c>
      <c r="F149" s="317" t="s">
        <v>132</v>
      </c>
      <c r="G149" s="325"/>
      <c r="H149" s="313"/>
      <c r="I149" s="508"/>
      <c r="J149" s="508"/>
      <c r="K149" s="508"/>
    </row>
    <row r="150" spans="1:36">
      <c r="B150" s="318">
        <v>2001</v>
      </c>
      <c r="C150" s="294"/>
      <c r="D150" s="294"/>
      <c r="E150" s="319"/>
      <c r="F150" s="320"/>
      <c r="G150" s="312"/>
      <c r="H150" s="294"/>
      <c r="I150" s="508"/>
      <c r="J150" s="508"/>
      <c r="K150" s="508"/>
      <c r="L150" s="72"/>
      <c r="M150" s="321"/>
      <c r="N150" s="322"/>
      <c r="O150" s="731"/>
    </row>
    <row r="151" spans="1:36">
      <c r="B151" s="306">
        <v>2002</v>
      </c>
      <c r="C151" s="294"/>
      <c r="D151" s="294"/>
      <c r="E151" s="319"/>
      <c r="F151" s="320"/>
      <c r="G151" s="294"/>
      <c r="H151" s="294"/>
      <c r="I151" s="508"/>
      <c r="J151" s="508"/>
      <c r="K151" s="508"/>
      <c r="L151" s="65"/>
      <c r="M151" s="321"/>
      <c r="N151" s="322"/>
      <c r="O151" s="731"/>
    </row>
    <row r="152" spans="1:36">
      <c r="B152" s="318">
        <v>2003</v>
      </c>
      <c r="C152" s="294"/>
      <c r="D152" s="294"/>
      <c r="E152" s="319"/>
      <c r="F152" s="320"/>
      <c r="G152" s="294"/>
      <c r="H152" s="294"/>
      <c r="I152" s="508"/>
      <c r="J152" s="508"/>
      <c r="K152" s="508"/>
      <c r="L152" s="314"/>
      <c r="M152" s="321"/>
      <c r="N152" s="322"/>
      <c r="O152" s="731"/>
    </row>
    <row r="153" spans="1:36">
      <c r="B153" s="306">
        <v>2004</v>
      </c>
      <c r="C153" s="294">
        <f>SUM(C3:C14)</f>
        <v>3606734354.93256</v>
      </c>
      <c r="D153" s="294">
        <f>SUM(J3:J14)</f>
        <v>3618703271.2036409</v>
      </c>
      <c r="E153" s="319">
        <f>C153-D153</f>
        <v>-11968916.271080971</v>
      </c>
      <c r="F153" s="320">
        <f t="shared" ref="F153:F162" si="16">E153/C153</f>
        <v>-3.3184912148332504E-3</v>
      </c>
      <c r="G153" s="294"/>
      <c r="H153" s="294"/>
      <c r="I153" s="72"/>
      <c r="J153" s="72"/>
      <c r="K153" s="72"/>
      <c r="L153" s="65"/>
      <c r="M153" s="321"/>
      <c r="N153" s="322"/>
      <c r="O153" s="731"/>
    </row>
    <row r="154" spans="1:36">
      <c r="B154" s="318">
        <v>2005</v>
      </c>
      <c r="C154" s="294">
        <f>SUM(C15:C26)</f>
        <v>3848828345.2662396</v>
      </c>
      <c r="D154" s="294">
        <f>SUM(J15:J26)</f>
        <v>3847030944.2779307</v>
      </c>
      <c r="E154" s="319">
        <f t="shared" ref="E154:E162" si="17">C154-D154</f>
        <v>1797400.9883089066</v>
      </c>
      <c r="F154" s="320">
        <f t="shared" si="16"/>
        <v>4.6699951961213609E-4</v>
      </c>
      <c r="G154" s="294"/>
      <c r="H154" s="294"/>
      <c r="I154" s="72"/>
      <c r="J154" s="72"/>
      <c r="K154" s="72"/>
      <c r="L154" s="65"/>
      <c r="M154" s="321"/>
      <c r="N154" s="322"/>
      <c r="O154" s="731"/>
    </row>
    <row r="155" spans="1:36">
      <c r="B155" s="306">
        <v>2006</v>
      </c>
      <c r="C155" s="294">
        <f>SUM(C27:C38)</f>
        <v>3854274113.7203932</v>
      </c>
      <c r="D155" s="294">
        <f>SUM(J27:J38)</f>
        <v>3831498913.7074542</v>
      </c>
      <c r="E155" s="319">
        <f t="shared" si="17"/>
        <v>22775200.012938976</v>
      </c>
      <c r="F155" s="320">
        <f t="shared" si="16"/>
        <v>5.9090763502948913E-3</v>
      </c>
      <c r="G155" s="294"/>
      <c r="H155" s="294"/>
      <c r="I155" s="72"/>
      <c r="J155" s="72"/>
      <c r="K155" s="72"/>
      <c r="L155" s="65"/>
      <c r="M155" s="321"/>
      <c r="N155" s="322"/>
      <c r="O155" s="731"/>
    </row>
    <row r="156" spans="1:36">
      <c r="B156" s="318">
        <v>2007</v>
      </c>
      <c r="C156" s="294">
        <f>SUM(C39:C50)</f>
        <v>3958591767.6645598</v>
      </c>
      <c r="D156" s="294">
        <f>SUM(J39:J50)</f>
        <v>3951695294.9917464</v>
      </c>
      <c r="E156" s="319">
        <f t="shared" si="17"/>
        <v>6896472.6728134155</v>
      </c>
      <c r="F156" s="320">
        <f t="shared" si="16"/>
        <v>1.7421530376399762E-3</v>
      </c>
      <c r="G156" s="294"/>
      <c r="H156" s="294"/>
      <c r="I156" s="72"/>
      <c r="J156" s="72"/>
      <c r="K156" s="72"/>
      <c r="L156" s="65"/>
      <c r="M156" s="321"/>
      <c r="N156" s="322"/>
      <c r="O156" s="731"/>
    </row>
    <row r="157" spans="1:36">
      <c r="B157" s="306">
        <v>2008</v>
      </c>
      <c r="C157" s="294">
        <f>SUM(C51:C62)</f>
        <v>3915443564.4390407</v>
      </c>
      <c r="D157" s="294">
        <f>SUM(J51:J62)</f>
        <v>3896414064.225163</v>
      </c>
      <c r="E157" s="319">
        <f t="shared" si="17"/>
        <v>19029500.213877678</v>
      </c>
      <c r="F157" s="320">
        <f t="shared" si="16"/>
        <v>4.8601135224391884E-3</v>
      </c>
      <c r="G157" s="294"/>
      <c r="H157" s="294"/>
      <c r="I157" s="72"/>
      <c r="J157" s="72"/>
      <c r="K157" s="72"/>
      <c r="L157" s="65"/>
      <c r="M157" s="321"/>
      <c r="N157" s="322"/>
      <c r="O157" s="731"/>
    </row>
    <row r="158" spans="1:36">
      <c r="B158" s="318">
        <v>2009</v>
      </c>
      <c r="C158" s="294">
        <f>SUM(C63:C74)</f>
        <v>3727941968.3974199</v>
      </c>
      <c r="D158" s="294">
        <f>SUM(J63:J74)</f>
        <v>3781079154.0180025</v>
      </c>
      <c r="E158" s="319">
        <f t="shared" si="17"/>
        <v>-53137185.620582581</v>
      </c>
      <c r="F158" s="320">
        <f t="shared" si="16"/>
        <v>-1.4253758795345564E-2</v>
      </c>
      <c r="G158" s="294"/>
      <c r="H158" s="294"/>
      <c r="I158" s="72"/>
      <c r="J158" s="72"/>
      <c r="K158" s="72"/>
      <c r="L158" s="65"/>
    </row>
    <row r="159" spans="1:36">
      <c r="B159" s="306">
        <v>2010</v>
      </c>
      <c r="C159" s="294">
        <f>SUM(C75:C86)</f>
        <v>3911054142.4477</v>
      </c>
      <c r="D159" s="294">
        <f>SUM(J75:J86)</f>
        <v>3889917169.2406254</v>
      </c>
      <c r="E159" s="319">
        <f t="shared" si="17"/>
        <v>21136973.207074642</v>
      </c>
      <c r="F159" s="320">
        <f t="shared" si="16"/>
        <v>5.4044184604016363E-3</v>
      </c>
      <c r="G159" s="294"/>
      <c r="H159" s="294"/>
      <c r="I159" s="72"/>
      <c r="J159" s="72"/>
      <c r="K159" s="72"/>
      <c r="L159" s="509"/>
    </row>
    <row r="160" spans="1:36">
      <c r="B160" s="306">
        <v>2011</v>
      </c>
      <c r="C160" s="294">
        <f>SUM(C87:C98)</f>
        <v>3968502599.952116</v>
      </c>
      <c r="D160" s="294">
        <f>SUM(J87:J98)</f>
        <v>3969819877.0134573</v>
      </c>
      <c r="E160" s="319">
        <f t="shared" si="17"/>
        <v>-1317277.0613412857</v>
      </c>
      <c r="F160" s="320">
        <f t="shared" si="16"/>
        <v>-3.3193302213212108E-4</v>
      </c>
      <c r="G160" s="294"/>
      <c r="H160" s="294"/>
      <c r="I160" s="72"/>
      <c r="J160" s="72"/>
      <c r="K160" s="72"/>
      <c r="L160" s="65"/>
    </row>
    <row r="161" spans="2:14">
      <c r="B161" s="306">
        <v>2012</v>
      </c>
      <c r="C161" s="294">
        <f>SUM(C99:C110)</f>
        <v>4043243028.6422305</v>
      </c>
      <c r="D161" s="294">
        <f>SUM(J99:J110)</f>
        <v>4039088422.7731228</v>
      </c>
      <c r="E161" s="319">
        <f t="shared" si="17"/>
        <v>4154605.8691077232</v>
      </c>
      <c r="F161" s="320">
        <f t="shared" si="16"/>
        <v>1.0275429499727326E-3</v>
      </c>
      <c r="G161" s="294"/>
      <c r="H161" s="294"/>
      <c r="I161" s="72"/>
      <c r="J161" s="72"/>
      <c r="K161" s="72"/>
      <c r="L161" s="65"/>
    </row>
    <row r="162" spans="2:14">
      <c r="B162" s="306">
        <v>2013</v>
      </c>
      <c r="C162" s="294">
        <f>SUM(C111:C122)</f>
        <v>4027156664.1062088</v>
      </c>
      <c r="D162" s="294">
        <f>SUM(J111:J122)</f>
        <v>4036523438.1173348</v>
      </c>
      <c r="E162" s="319">
        <f t="shared" si="17"/>
        <v>-9366774.0111260414</v>
      </c>
      <c r="F162" s="320">
        <f t="shared" si="16"/>
        <v>-2.3259025641121692E-3</v>
      </c>
      <c r="G162" s="294"/>
      <c r="H162" s="294"/>
      <c r="I162" s="72"/>
      <c r="J162" s="72"/>
      <c r="K162" s="72"/>
      <c r="L162" s="65"/>
    </row>
    <row r="163" spans="2:14">
      <c r="B163" s="306">
        <v>2014</v>
      </c>
      <c r="C163" s="294"/>
      <c r="D163" s="294">
        <f>SUMIF($A$3:$A$146,B163,$J$3:$J$146)</f>
        <v>4103565674.4523726</v>
      </c>
      <c r="E163" s="294"/>
      <c r="F163" s="320"/>
      <c r="G163" s="325"/>
      <c r="H163" s="326"/>
      <c r="I163" s="508"/>
      <c r="J163" s="508"/>
      <c r="K163" s="508"/>
      <c r="L163" s="65"/>
    </row>
    <row r="164" spans="2:14">
      <c r="B164" s="306">
        <v>2015</v>
      </c>
      <c r="C164" s="294"/>
      <c r="D164" s="294">
        <f>SUMIF($A$3:$A$146,B164,$J$3:$J$146)</f>
        <v>4189473864.6793036</v>
      </c>
      <c r="E164" s="294"/>
      <c r="F164" s="320"/>
      <c r="G164" s="325"/>
      <c r="H164" s="326"/>
      <c r="I164" s="508"/>
      <c r="J164" s="508"/>
      <c r="K164" s="508"/>
      <c r="L164" s="65"/>
    </row>
    <row r="165" spans="2:14" ht="13.8" thickBot="1">
      <c r="B165" s="727"/>
      <c r="C165" s="467"/>
      <c r="D165" s="468"/>
      <c r="E165" s="469"/>
      <c r="F165" s="470"/>
      <c r="G165" s="325"/>
      <c r="H165" s="326"/>
      <c r="L165" s="65"/>
    </row>
    <row r="166" spans="2:14">
      <c r="B166" s="124"/>
      <c r="C166" s="294"/>
      <c r="D166" s="358"/>
      <c r="E166" s="319"/>
      <c r="F166" s="403"/>
      <c r="G166" s="325"/>
      <c r="H166" s="326"/>
      <c r="L166" s="65"/>
    </row>
    <row r="167" spans="2:14" ht="13.8" thickBot="1">
      <c r="D167" s="358"/>
      <c r="G167" s="726"/>
      <c r="H167" s="528"/>
      <c r="L167" s="65"/>
    </row>
    <row r="168" spans="2:14" ht="16.2" thickBot="1">
      <c r="B168" s="327" t="s">
        <v>65</v>
      </c>
      <c r="C168" s="328">
        <f>SUM(C2:C122)</f>
        <v>38861770549.568489</v>
      </c>
      <c r="D168" s="329">
        <f>SUM(J2:J122)</f>
        <v>38861770549.568489</v>
      </c>
      <c r="E168" s="826">
        <f>C168-D168</f>
        <v>0</v>
      </c>
      <c r="G168" s="511"/>
      <c r="H168" s="511"/>
      <c r="L168" s="65"/>
      <c r="M168" s="65"/>
    </row>
    <row r="169" spans="2:14" ht="15.6">
      <c r="G169" s="511"/>
      <c r="H169" s="528"/>
    </row>
    <row r="170" spans="2:14">
      <c r="D170" s="65"/>
      <c r="G170" s="394"/>
      <c r="H170" s="508"/>
      <c r="L170" s="65"/>
      <c r="M170" s="314"/>
    </row>
    <row r="171" spans="2:14" ht="17.399999999999999">
      <c r="B171" s="943" t="s">
        <v>106</v>
      </c>
      <c r="C171" s="943"/>
      <c r="D171" s="943"/>
      <c r="E171" s="943"/>
      <c r="F171" s="943"/>
      <c r="G171" s="943"/>
      <c r="H171" s="943"/>
      <c r="I171" s="943"/>
      <c r="J171" s="943"/>
      <c r="K171" s="943"/>
      <c r="L171" s="943"/>
      <c r="M171" s="66"/>
      <c r="N171"/>
    </row>
    <row r="172" spans="2:14" ht="13.8" thickBot="1">
      <c r="D172"/>
      <c r="E172"/>
      <c r="F172"/>
      <c r="G172"/>
      <c r="H172"/>
      <c r="I172"/>
      <c r="J172"/>
      <c r="K172"/>
      <c r="L172"/>
      <c r="M172" s="66"/>
      <c r="N172"/>
    </row>
    <row r="173" spans="2:14">
      <c r="D173" s="309" t="s">
        <v>107</v>
      </c>
      <c r="E173" s="309"/>
      <c r="F173"/>
      <c r="G173"/>
      <c r="H173"/>
      <c r="I173"/>
      <c r="J173"/>
      <c r="K173"/>
      <c r="L173"/>
      <c r="M173" s="66"/>
      <c r="N173"/>
    </row>
    <row r="174" spans="2:14">
      <c r="D174" s="310" t="s">
        <v>108</v>
      </c>
      <c r="E174" s="498">
        <v>0.97392331746368144</v>
      </c>
      <c r="F174"/>
      <c r="G174"/>
      <c r="H174"/>
      <c r="I174"/>
      <c r="J174"/>
      <c r="K174"/>
      <c r="L174"/>
      <c r="M174" s="66"/>
      <c r="N174"/>
    </row>
    <row r="175" spans="2:14">
      <c r="D175" s="310" t="s">
        <v>109</v>
      </c>
      <c r="E175" s="498">
        <v>0.94852662829946288</v>
      </c>
      <c r="F175"/>
      <c r="G175"/>
      <c r="H175"/>
      <c r="I175"/>
      <c r="J175"/>
      <c r="K175"/>
      <c r="L175"/>
      <c r="M175" s="66"/>
      <c r="N175"/>
    </row>
    <row r="176" spans="2:14">
      <c r="C176" s="512"/>
      <c r="D176" s="310" t="s">
        <v>110</v>
      </c>
      <c r="E176" s="498">
        <v>0.94579352891713342</v>
      </c>
      <c r="F176"/>
      <c r="G176"/>
      <c r="H176"/>
      <c r="I176"/>
      <c r="J176"/>
      <c r="K176"/>
      <c r="L176"/>
      <c r="M176" s="66"/>
      <c r="N176"/>
    </row>
    <row r="177" spans="4:14">
      <c r="D177" s="310" t="s">
        <v>111</v>
      </c>
      <c r="E177" s="657">
        <v>5815931.1781127499</v>
      </c>
      <c r="F177"/>
      <c r="G177"/>
      <c r="H177"/>
      <c r="I177"/>
      <c r="J177"/>
      <c r="K177"/>
      <c r="L177"/>
      <c r="M177" s="66"/>
      <c r="N177"/>
    </row>
    <row r="178" spans="4:14" ht="13.8" thickBot="1">
      <c r="D178" s="421" t="s">
        <v>112</v>
      </c>
      <c r="E178" s="421">
        <v>120</v>
      </c>
      <c r="F178"/>
      <c r="G178"/>
      <c r="H178"/>
      <c r="I178"/>
      <c r="J178"/>
      <c r="K178"/>
      <c r="L178"/>
      <c r="M178" s="66"/>
      <c r="N178"/>
    </row>
    <row r="179" spans="4:14">
      <c r="D179"/>
      <c r="E179"/>
      <c r="F179"/>
      <c r="G179"/>
      <c r="H179"/>
      <c r="I179"/>
      <c r="J179"/>
      <c r="K179"/>
      <c r="L179"/>
      <c r="M179" s="66"/>
      <c r="N179"/>
    </row>
    <row r="180" spans="4:14" ht="13.8" thickBot="1">
      <c r="D180" t="s">
        <v>113</v>
      </c>
      <c r="E180"/>
      <c r="F180"/>
      <c r="G180"/>
      <c r="H180"/>
      <c r="I180"/>
      <c r="J180"/>
      <c r="K180"/>
      <c r="L180"/>
      <c r="M180" s="66"/>
      <c r="N180"/>
    </row>
    <row r="181" spans="4:14">
      <c r="D181" s="311"/>
      <c r="E181" s="311" t="s">
        <v>114</v>
      </c>
      <c r="F181" s="311" t="s">
        <v>115</v>
      </c>
      <c r="G181" s="311" t="s">
        <v>116</v>
      </c>
      <c r="H181" s="311" t="s">
        <v>117</v>
      </c>
      <c r="I181" s="311" t="s">
        <v>118</v>
      </c>
      <c r="J181"/>
      <c r="K181"/>
      <c r="L181"/>
      <c r="M181" s="66"/>
      <c r="N181"/>
    </row>
    <row r="182" spans="4:14">
      <c r="D182" s="310" t="s">
        <v>119</v>
      </c>
      <c r="E182" s="310">
        <v>6</v>
      </c>
      <c r="F182" s="310">
        <v>7.0434246240124648E+16</v>
      </c>
      <c r="G182" s="310">
        <v>1.1739041040020774E+16</v>
      </c>
      <c r="H182" s="657">
        <v>347.05164196811575</v>
      </c>
      <c r="I182" s="658">
        <v>2.4273386426300045E-70</v>
      </c>
      <c r="J182"/>
      <c r="K182"/>
      <c r="L182"/>
      <c r="M182" s="66"/>
      <c r="N182"/>
    </row>
    <row r="183" spans="4:14">
      <c r="D183" s="310" t="s">
        <v>120</v>
      </c>
      <c r="E183" s="310">
        <v>113</v>
      </c>
      <c r="F183" s="310">
        <v>3822231267945467.5</v>
      </c>
      <c r="G183" s="310">
        <v>33825055468543.961</v>
      </c>
      <c r="H183" s="310"/>
      <c r="I183" s="310"/>
      <c r="J183"/>
      <c r="K183"/>
      <c r="L183"/>
      <c r="M183" s="66"/>
      <c r="N183"/>
    </row>
    <row r="184" spans="4:14" ht="13.8" thickBot="1">
      <c r="D184" s="421" t="s">
        <v>65</v>
      </c>
      <c r="E184" s="421">
        <v>119</v>
      </c>
      <c r="F184" s="421">
        <v>7.4256477508070112E+16</v>
      </c>
      <c r="G184" s="421"/>
      <c r="H184" s="421"/>
      <c r="I184" s="421"/>
      <c r="J184"/>
      <c r="K184"/>
      <c r="L184"/>
      <c r="M184" s="66"/>
      <c r="N184"/>
    </row>
    <row r="185" spans="4:14" ht="13.8" thickBot="1">
      <c r="D185"/>
      <c r="E185"/>
      <c r="F185"/>
      <c r="G185"/>
      <c r="H185"/>
      <c r="I185"/>
      <c r="J185"/>
      <c r="K185"/>
      <c r="L185"/>
      <c r="M185" s="66"/>
      <c r="N185"/>
    </row>
    <row r="186" spans="4:14">
      <c r="D186" s="311"/>
      <c r="E186" s="311" t="s">
        <v>121</v>
      </c>
      <c r="F186" s="311" t="s">
        <v>111</v>
      </c>
      <c r="G186" s="311" t="s">
        <v>122</v>
      </c>
      <c r="H186" s="311" t="s">
        <v>123</v>
      </c>
      <c r="I186" s="311" t="s">
        <v>124</v>
      </c>
      <c r="J186" s="311" t="s">
        <v>125</v>
      </c>
      <c r="K186" s="311" t="s">
        <v>126</v>
      </c>
      <c r="L186" s="311" t="s">
        <v>127</v>
      </c>
      <c r="M186" s="506"/>
      <c r="N186" s="506"/>
    </row>
    <row r="187" spans="4:14">
      <c r="D187" s="310" t="s">
        <v>128</v>
      </c>
      <c r="E187" s="657">
        <v>-221662898.691315</v>
      </c>
      <c r="F187" s="657">
        <v>26885886.055126999</v>
      </c>
      <c r="G187" s="658">
        <v>-8.2445822405412219</v>
      </c>
      <c r="H187" s="658">
        <v>3.3476752186919422E-13</v>
      </c>
      <c r="I187" s="310">
        <v>-274928686.38838762</v>
      </c>
      <c r="J187" s="310">
        <v>-168397110.99424231</v>
      </c>
      <c r="K187" s="310">
        <v>-274928686.38838762</v>
      </c>
      <c r="L187" s="310">
        <v>-168397110.99424231</v>
      </c>
      <c r="M187" s="310"/>
      <c r="N187" s="310"/>
    </row>
    <row r="188" spans="4:14">
      <c r="D188" s="310" t="s">
        <v>29</v>
      </c>
      <c r="E188" s="657">
        <v>53034.964924076565</v>
      </c>
      <c r="F188" s="657">
        <v>3574.9048271585057</v>
      </c>
      <c r="G188" s="658">
        <v>14.835350166854967</v>
      </c>
      <c r="H188" s="658">
        <v>2.7345190697800188E-28</v>
      </c>
      <c r="I188" s="310">
        <v>45952.433919882526</v>
      </c>
      <c r="J188" s="310">
        <v>60117.495928270604</v>
      </c>
      <c r="K188" s="310">
        <v>45952.433919882526</v>
      </c>
      <c r="L188" s="310">
        <v>60117.495928270604</v>
      </c>
      <c r="M188" s="310"/>
      <c r="N188" s="310"/>
    </row>
    <row r="189" spans="4:14">
      <c r="D189" s="310" t="s">
        <v>30</v>
      </c>
      <c r="E189" s="657">
        <v>504004.03587918304</v>
      </c>
      <c r="F189" s="657">
        <v>20539.156710053085</v>
      </c>
      <c r="G189" s="658">
        <v>24.53869177756911</v>
      </c>
      <c r="H189" s="658">
        <v>4.3317501347773352E-47</v>
      </c>
      <c r="I189" s="310">
        <v>463312.26330559637</v>
      </c>
      <c r="J189" s="310">
        <v>544695.80845276965</v>
      </c>
      <c r="K189" s="310">
        <v>463312.26330559637</v>
      </c>
      <c r="L189" s="310">
        <v>544695.80845276965</v>
      </c>
      <c r="M189" s="310"/>
      <c r="N189" s="310"/>
    </row>
    <row r="190" spans="4:14">
      <c r="D190" s="310" t="s">
        <v>102</v>
      </c>
      <c r="E190" s="657">
        <v>256369295.0163683</v>
      </c>
      <c r="F190" s="657">
        <v>15310537.765931735</v>
      </c>
      <c r="G190" s="658">
        <v>16.744630328193228</v>
      </c>
      <c r="H190" s="658">
        <v>2.1793972483393182E-32</v>
      </c>
      <c r="I190" s="310">
        <v>226036359.27097502</v>
      </c>
      <c r="J190" s="310">
        <v>286702230.76176161</v>
      </c>
      <c r="K190" s="310">
        <v>226036359.27097502</v>
      </c>
      <c r="L190" s="310">
        <v>286702230.76176161</v>
      </c>
      <c r="M190" s="310"/>
      <c r="N190" s="310"/>
    </row>
    <row r="191" spans="4:14">
      <c r="D191" s="310" t="s">
        <v>31</v>
      </c>
      <c r="E191" s="657">
        <v>5981255.989639922</v>
      </c>
      <c r="F191" s="657">
        <v>731226.54135375249</v>
      </c>
      <c r="G191" s="658">
        <v>8.1797577787132223</v>
      </c>
      <c r="H191" s="658">
        <v>4.6944278700995805E-13</v>
      </c>
      <c r="I191" s="310">
        <v>4532564.3738846639</v>
      </c>
      <c r="J191" s="310">
        <v>7429947.6053951802</v>
      </c>
      <c r="K191" s="310">
        <v>4532564.3738846639</v>
      </c>
      <c r="L191" s="310">
        <v>7429947.6053951802</v>
      </c>
      <c r="M191" s="310"/>
      <c r="N191" s="310"/>
    </row>
    <row r="192" spans="4:14">
      <c r="D192" s="310" t="s">
        <v>32</v>
      </c>
      <c r="E192" s="657">
        <v>-5294424.2544552144</v>
      </c>
      <c r="F192" s="657">
        <v>1509855.2560814363</v>
      </c>
      <c r="G192" s="658">
        <v>-3.5065773577501469</v>
      </c>
      <c r="H192" s="658">
        <v>6.5215318092762557E-4</v>
      </c>
      <c r="I192" s="310">
        <v>-8285719.7378490623</v>
      </c>
      <c r="J192" s="310">
        <v>-2303128.7710613664</v>
      </c>
      <c r="K192" s="310">
        <v>-8285719.7378490623</v>
      </c>
      <c r="L192" s="310">
        <v>-2303128.7710613664</v>
      </c>
      <c r="M192" s="310"/>
      <c r="N192" s="310"/>
    </row>
    <row r="193" spans="4:14" ht="13.8" thickBot="1">
      <c r="D193" s="421" t="s">
        <v>34</v>
      </c>
      <c r="E193" s="713">
        <v>158717.84353354899</v>
      </c>
      <c r="F193" s="713">
        <v>33181.994422398544</v>
      </c>
      <c r="G193" s="714">
        <v>4.7832520707800228</v>
      </c>
      <c r="H193" s="714">
        <v>5.2483640384251256E-6</v>
      </c>
      <c r="I193" s="421">
        <v>92978.32999678448</v>
      </c>
      <c r="J193" s="421">
        <v>224457.3570703135</v>
      </c>
      <c r="K193" s="421">
        <v>92978.32999678448</v>
      </c>
      <c r="L193" s="421">
        <v>224457.3570703135</v>
      </c>
      <c r="M193" s="310"/>
      <c r="N193" s="310"/>
    </row>
    <row r="194" spans="4:14">
      <c r="D194"/>
      <c r="E194"/>
      <c r="F194"/>
      <c r="G194"/>
      <c r="H194"/>
      <c r="I194"/>
      <c r="J194"/>
      <c r="K194"/>
      <c r="L194"/>
      <c r="M194" s="66"/>
      <c r="N194"/>
    </row>
    <row r="195" spans="4:14">
      <c r="D195" s="310"/>
      <c r="E195" s="657"/>
      <c r="F195"/>
      <c r="G195"/>
      <c r="H195"/>
      <c r="I195"/>
      <c r="J195"/>
      <c r="K195"/>
      <c r="L195"/>
      <c r="M195" s="66"/>
      <c r="N195"/>
    </row>
    <row r="196" spans="4:14">
      <c r="D196" s="310"/>
      <c r="E196" s="657"/>
      <c r="F196"/>
      <c r="G196"/>
      <c r="H196"/>
      <c r="I196"/>
      <c r="J196"/>
      <c r="K196"/>
      <c r="L196"/>
      <c r="M196" s="66"/>
      <c r="N196"/>
    </row>
    <row r="197" spans="4:14">
      <c r="D197" s="310"/>
      <c r="E197" s="657"/>
      <c r="F197"/>
      <c r="G197"/>
      <c r="H197"/>
      <c r="I197"/>
      <c r="J197"/>
      <c r="K197"/>
    </row>
    <row r="198" spans="4:14">
      <c r="D198" s="310"/>
      <c r="E198" s="657"/>
      <c r="F198"/>
      <c r="G198"/>
      <c r="H198"/>
      <c r="I198"/>
      <c r="J198"/>
      <c r="K198"/>
    </row>
    <row r="199" spans="4:14">
      <c r="D199" s="310"/>
      <c r="E199" s="657"/>
    </row>
    <row r="200" spans="4:14">
      <c r="D200" s="310"/>
      <c r="E200" s="657"/>
    </row>
    <row r="201" spans="4:14">
      <c r="D201" s="310"/>
      <c r="E201" s="657"/>
    </row>
    <row r="202" spans="4:14">
      <c r="D202" s="528"/>
      <c r="E202" s="528"/>
    </row>
    <row r="203" spans="4:14">
      <c r="D203" s="528"/>
      <c r="E203" s="528"/>
    </row>
    <row r="204" spans="4:14">
      <c r="D204" s="528"/>
      <c r="E204" s="728"/>
    </row>
    <row r="205" spans="4:14">
      <c r="D205" s="528"/>
      <c r="E205" s="728"/>
    </row>
    <row r="206" spans="4:14">
      <c r="D206" s="528"/>
      <c r="E206" s="728"/>
    </row>
    <row r="207" spans="4:14">
      <c r="D207" s="528"/>
      <c r="E207" s="728"/>
    </row>
    <row r="208" spans="4:14">
      <c r="D208" s="528"/>
      <c r="E208" s="728"/>
    </row>
    <row r="209" spans="4:5">
      <c r="D209" s="528"/>
      <c r="E209" s="728"/>
    </row>
    <row r="210" spans="4:5">
      <c r="D210" s="528"/>
      <c r="E210" s="728"/>
    </row>
    <row r="211" spans="4:5">
      <c r="D211" s="528"/>
      <c r="E211" s="528"/>
    </row>
    <row r="212" spans="4:5">
      <c r="D212" s="528"/>
      <c r="E212" s="528"/>
    </row>
    <row r="213" spans="4:5">
      <c r="D213" s="528"/>
      <c r="E213" s="528"/>
    </row>
  </sheetData>
  <mergeCells count="3">
    <mergeCell ref="D147:E147"/>
    <mergeCell ref="A1:L1"/>
    <mergeCell ref="B171:L171"/>
  </mergeCells>
  <pageMargins left="0.7" right="0.7" top="0.75" bottom="0.75" header="0.3" footer="0.3"/>
  <pageSetup scale="50" orientation="landscape" r:id="rId1"/>
  <rowBreaks count="2" manualBreakCount="2">
    <brk id="74" max="11" man="1"/>
    <brk id="147" max="11" man="1"/>
  </rowBreaks>
  <colBreaks count="1" manualBreakCount="1">
    <brk id="16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0" tint="-0.499984740745262"/>
  </sheetPr>
  <dimension ref="A1:AF106"/>
  <sheetViews>
    <sheetView showGridLines="0" topLeftCell="B1" zoomScale="90" zoomScaleNormal="90" workbookViewId="0">
      <pane xSplit="1" ySplit="3" topLeftCell="C4" activePane="bottomRight" state="frozen"/>
      <selection activeCell="H9" sqref="H9"/>
      <selection pane="topRight" activeCell="H9" sqref="H9"/>
      <selection pane="bottomLeft" activeCell="H9" sqref="H9"/>
      <selection pane="bottomRight" activeCell="C5" sqref="C5:C14"/>
    </sheetView>
  </sheetViews>
  <sheetFormatPr defaultRowHeight="13.2"/>
  <cols>
    <col min="1" max="1" width="4.109375" bestFit="1" customWidth="1"/>
    <col min="2" max="2" width="36.109375" customWidth="1"/>
    <col min="3" max="3" width="14.109375" style="55" customWidth="1"/>
    <col min="4" max="4" width="19" style="55" bestFit="1" customWidth="1"/>
    <col min="5" max="5" width="12.5546875" style="55" customWidth="1"/>
    <col min="6" max="6" width="12.33203125" style="55" bestFit="1" customWidth="1"/>
    <col min="7" max="7" width="11.33203125" style="55" bestFit="1" customWidth="1"/>
    <col min="8" max="8" width="17.6640625" style="252" bestFit="1" customWidth="1"/>
    <col min="9" max="9" width="15.44140625" style="252" customWidth="1"/>
    <col min="10" max="10" width="17.88671875" style="252" bestFit="1" customWidth="1"/>
    <col min="11" max="11" width="15.6640625" style="252" customWidth="1"/>
    <col min="12" max="12" width="16.5546875" style="252" bestFit="1" customWidth="1"/>
    <col min="13" max="13" width="13.5546875" style="252" customWidth="1"/>
    <col min="14" max="14" width="15" style="252" bestFit="1" customWidth="1"/>
    <col min="15" max="15" width="12.109375" style="252" customWidth="1"/>
    <col min="16" max="16" width="13.44140625" style="252" customWidth="1"/>
    <col min="17" max="17" width="12.33203125" style="252" customWidth="1"/>
    <col min="18" max="18" width="13.33203125" style="252" customWidth="1"/>
    <col min="19" max="19" width="14.33203125" customWidth="1"/>
    <col min="20" max="20" width="10.109375" bestFit="1" customWidth="1"/>
    <col min="21" max="21" width="9.33203125" bestFit="1" customWidth="1"/>
  </cols>
  <sheetData>
    <row r="1" spans="1:32" ht="21" customHeight="1">
      <c r="A1" s="278"/>
      <c r="B1" s="278"/>
      <c r="C1" s="946" t="s">
        <v>150</v>
      </c>
      <c r="D1" s="947"/>
      <c r="E1" s="947"/>
      <c r="F1" s="947"/>
      <c r="G1" s="947"/>
      <c r="H1" s="947"/>
      <c r="I1" s="947"/>
      <c r="J1" s="947"/>
      <c r="K1" s="947"/>
      <c r="L1" s="947"/>
      <c r="M1" s="947"/>
      <c r="N1" s="947"/>
      <c r="O1" s="948"/>
      <c r="P1" s="951" t="s">
        <v>220</v>
      </c>
      <c r="Q1" s="951" t="s">
        <v>225</v>
      </c>
      <c r="R1" s="951" t="s">
        <v>236</v>
      </c>
      <c r="S1" s="949"/>
    </row>
    <row r="2" spans="1:32" ht="24.75" customHeight="1">
      <c r="A2" s="278"/>
      <c r="B2" s="280"/>
      <c r="C2" s="281" t="s">
        <v>93</v>
      </c>
      <c r="D2" s="281" t="s">
        <v>94</v>
      </c>
      <c r="E2" s="281" t="s">
        <v>42</v>
      </c>
      <c r="F2" s="281" t="s">
        <v>95</v>
      </c>
      <c r="G2" s="281" t="s">
        <v>96</v>
      </c>
      <c r="H2" s="282" t="s">
        <v>97</v>
      </c>
      <c r="I2" s="282" t="s">
        <v>53</v>
      </c>
      <c r="J2" s="283" t="s">
        <v>47</v>
      </c>
      <c r="K2" s="283" t="s">
        <v>46</v>
      </c>
      <c r="L2" s="283" t="s">
        <v>54</v>
      </c>
      <c r="M2" s="283" t="s">
        <v>49</v>
      </c>
      <c r="N2" s="283" t="s">
        <v>50</v>
      </c>
      <c r="O2" s="283" t="s">
        <v>98</v>
      </c>
      <c r="P2" s="951"/>
      <c r="Q2" s="951"/>
      <c r="R2" s="951"/>
      <c r="S2" s="950"/>
    </row>
    <row r="3" spans="1:32" ht="13.8" thickBot="1">
      <c r="I3" s="65"/>
      <c r="J3" s="65"/>
      <c r="K3" s="65"/>
      <c r="L3" s="65"/>
      <c r="M3" s="65"/>
      <c r="N3" s="65"/>
      <c r="O3" s="65"/>
      <c r="P3" s="65"/>
      <c r="Q3" s="65"/>
      <c r="R3" s="65"/>
    </row>
    <row r="4" spans="1:32">
      <c r="A4" s="944"/>
      <c r="B4" s="694">
        <v>2003</v>
      </c>
      <c r="C4" s="689">
        <f>'Model # Two'!C152</f>
        <v>0</v>
      </c>
      <c r="D4" s="284">
        <f>'Model # Two'!D152</f>
        <v>0</v>
      </c>
      <c r="E4" s="285">
        <f t="shared" ref="E4:E14" si="0">D4-C4</f>
        <v>0</v>
      </c>
      <c r="F4" s="286"/>
      <c r="G4" s="287">
        <f>1+(C4-H4)/H4</f>
        <v>0</v>
      </c>
      <c r="H4" s="288">
        <f>SUM(I4:O4)</f>
        <v>3329496978</v>
      </c>
      <c r="I4" s="288">
        <f>kWh!D79</f>
        <v>918500653</v>
      </c>
      <c r="J4" s="288">
        <f>kWh!F79</f>
        <v>261424109.25028968</v>
      </c>
      <c r="K4" s="288">
        <f>kWh!E79</f>
        <v>7522731.7497103112</v>
      </c>
      <c r="L4" s="288">
        <f>kWh!G79</f>
        <v>996032849</v>
      </c>
      <c r="M4" s="288">
        <f>kWh!H79</f>
        <v>845121401</v>
      </c>
      <c r="N4" s="288">
        <f>kWh!I79</f>
        <v>281784328</v>
      </c>
      <c r="O4" s="288">
        <f>kWh!J79</f>
        <v>19110906</v>
      </c>
      <c r="P4" s="288"/>
      <c r="Q4" s="288"/>
      <c r="R4" s="289"/>
      <c r="S4" s="290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</row>
    <row r="5" spans="1:32">
      <c r="A5" s="945"/>
      <c r="B5" s="18">
        <v>2004</v>
      </c>
      <c r="C5" s="300">
        <f>'Model # Two'!C153</f>
        <v>3606734354.93256</v>
      </c>
      <c r="D5" s="271">
        <f>'Model # Two'!D153</f>
        <v>3618703271.2036414</v>
      </c>
      <c r="E5" s="291">
        <f t="shared" si="0"/>
        <v>11968916.271081448</v>
      </c>
      <c r="F5" s="292">
        <f t="shared" ref="F5:F14" si="1">E5/D5</f>
        <v>3.3075152545183361E-3</v>
      </c>
      <c r="G5" s="293">
        <f>1+(C5-H5)/H5</f>
        <v>1.0354822863429196</v>
      </c>
      <c r="H5" s="294">
        <f t="shared" ref="H5:H9" si="2">SUM(I5:O5)</f>
        <v>3483144427.000001</v>
      </c>
      <c r="I5" s="294">
        <f>kWh!M79</f>
        <v>933248820.28987145</v>
      </c>
      <c r="J5" s="294">
        <f>kWh!O79</f>
        <v>264116354.38468543</v>
      </c>
      <c r="K5" s="294">
        <f>kWh!N79</f>
        <v>5817641.8745574197</v>
      </c>
      <c r="L5" s="294">
        <f>kWh!P79</f>
        <v>1045707603.4846358</v>
      </c>
      <c r="M5" s="294">
        <f>kWh!Q79</f>
        <v>922964133.89185596</v>
      </c>
      <c r="N5" s="294">
        <f>kWh!R79</f>
        <v>290325101.76705635</v>
      </c>
      <c r="O5" s="294">
        <f>kWh!S79</f>
        <v>20964771.307337914</v>
      </c>
      <c r="P5" s="294"/>
      <c r="Q5" s="294"/>
      <c r="R5" s="295"/>
      <c r="S5" s="290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</row>
    <row r="6" spans="1:32">
      <c r="A6" s="945"/>
      <c r="B6" s="18">
        <v>2005</v>
      </c>
      <c r="C6" s="300">
        <f>'Model # Two'!C154</f>
        <v>3848828345.2662396</v>
      </c>
      <c r="D6" s="271">
        <f>'Model # Two'!D154</f>
        <v>3847030944.2779307</v>
      </c>
      <c r="E6" s="291">
        <f t="shared" si="0"/>
        <v>-1797400.9883089066</v>
      </c>
      <c r="F6" s="292">
        <f t="shared" si="1"/>
        <v>-4.6721771005828758E-4</v>
      </c>
      <c r="G6" s="293">
        <f t="shared" ref="G6:G12" si="3">1+(C6-H6)/H6</f>
        <v>1.0336569278041452</v>
      </c>
      <c r="H6" s="294">
        <f t="shared" si="2"/>
        <v>3723506554</v>
      </c>
      <c r="I6" s="294">
        <f>kWh!V79</f>
        <v>1066310557</v>
      </c>
      <c r="J6" s="294">
        <f>kWh!X79</f>
        <v>288084105.89146394</v>
      </c>
      <c r="K6" s="294">
        <f>kWh!W79</f>
        <v>5528171.1085361158</v>
      </c>
      <c r="L6" s="294">
        <f>kWh!Y79</f>
        <v>1083191856</v>
      </c>
      <c r="M6" s="294">
        <f>kWh!Z79</f>
        <v>954061083</v>
      </c>
      <c r="N6" s="294">
        <f>kWh!AA79</f>
        <v>304422360</v>
      </c>
      <c r="O6" s="294">
        <f>kWh!AB79</f>
        <v>21908421</v>
      </c>
      <c r="P6" s="294"/>
      <c r="Q6" s="294"/>
      <c r="R6" s="295"/>
      <c r="S6" s="290"/>
    </row>
    <row r="7" spans="1:32">
      <c r="A7" s="945"/>
      <c r="B7" s="18">
        <v>2006</v>
      </c>
      <c r="C7" s="300">
        <f>'Model # Two'!C155</f>
        <v>3854274113.7203932</v>
      </c>
      <c r="D7" s="271">
        <f>'Model # Two'!D155</f>
        <v>3831498913.7074542</v>
      </c>
      <c r="E7" s="291">
        <f t="shared" si="0"/>
        <v>-22775200.012938976</v>
      </c>
      <c r="F7" s="292">
        <f t="shared" si="1"/>
        <v>-5.9442010883675612E-3</v>
      </c>
      <c r="G7" s="293">
        <f>1+(C7-H7)/H7</f>
        <v>1.0364509528140264</v>
      </c>
      <c r="H7" s="294">
        <f t="shared" si="2"/>
        <v>3718723113.0000005</v>
      </c>
      <c r="I7" s="294">
        <f>kWh!AE79</f>
        <v>1041609066.9531491</v>
      </c>
      <c r="J7" s="294">
        <f>kWh!AG79</f>
        <v>282703765.98419368</v>
      </c>
      <c r="K7" s="294">
        <f>kWh!AF79</f>
        <v>5294846.6409916664</v>
      </c>
      <c r="L7" s="294">
        <f>kWh!AH79</f>
        <v>1080817873.5867229</v>
      </c>
      <c r="M7" s="294">
        <f>kWh!AI79</f>
        <v>950418593.19007277</v>
      </c>
      <c r="N7" s="294">
        <f>kWh!AJ79</f>
        <v>334087721.73003125</v>
      </c>
      <c r="O7" s="294">
        <f>kWh!AK79</f>
        <v>23791244.91483907</v>
      </c>
      <c r="P7" s="294"/>
      <c r="Q7" s="294"/>
      <c r="R7" s="295"/>
      <c r="S7" s="290"/>
    </row>
    <row r="8" spans="1:32">
      <c r="A8" s="945"/>
      <c r="B8" s="18">
        <v>2007</v>
      </c>
      <c r="C8" s="300">
        <f>'Model # Two'!C156</f>
        <v>3958591767.6645598</v>
      </c>
      <c r="D8" s="271">
        <f>'Model # Two'!D156</f>
        <v>3951695294.9917469</v>
      </c>
      <c r="E8" s="291">
        <f t="shared" si="0"/>
        <v>-6896472.6728129387</v>
      </c>
      <c r="F8" s="292">
        <f t="shared" si="1"/>
        <v>-1.7451934316781229E-3</v>
      </c>
      <c r="G8" s="293">
        <f t="shared" si="3"/>
        <v>1.0311518019444019</v>
      </c>
      <c r="H8" s="294">
        <f t="shared" si="2"/>
        <v>3839000000.0000005</v>
      </c>
      <c r="I8" s="294">
        <f>kWh!AN79</f>
        <v>1102238845.1530476</v>
      </c>
      <c r="J8" s="294">
        <f>kWh!AP79</f>
        <v>298781693.03695661</v>
      </c>
      <c r="K8" s="294">
        <f>kWh!AO79</f>
        <v>5047284.3477832777</v>
      </c>
      <c r="L8" s="294">
        <f>kWh!AQ79</f>
        <v>1109791373.6344707</v>
      </c>
      <c r="M8" s="294">
        <f>kWh!AR79</f>
        <v>942048351.14727533</v>
      </c>
      <c r="N8" s="294">
        <f>kWh!AS79</f>
        <v>355306259.56106627</v>
      </c>
      <c r="O8" s="294">
        <f>kWh!AT79</f>
        <v>25786193.119400337</v>
      </c>
      <c r="P8" s="294"/>
      <c r="Q8" s="294"/>
      <c r="R8" s="295"/>
      <c r="S8" s="290"/>
    </row>
    <row r="9" spans="1:32">
      <c r="A9" s="945"/>
      <c r="B9" s="18">
        <v>2008</v>
      </c>
      <c r="C9" s="300">
        <f>'Model # Two'!C157</f>
        <v>3915443564.4390407</v>
      </c>
      <c r="D9" s="271">
        <f>'Model # Two'!D157</f>
        <v>3896414064.225163</v>
      </c>
      <c r="E9" s="291">
        <f t="shared" si="0"/>
        <v>-19029500.213877678</v>
      </c>
      <c r="F9" s="292">
        <f t="shared" si="1"/>
        <v>-4.8838495858529512E-3</v>
      </c>
      <c r="G9" s="293">
        <f t="shared" si="3"/>
        <v>1.032618067104198</v>
      </c>
      <c r="H9" s="294">
        <f t="shared" si="2"/>
        <v>3791763565.9999995</v>
      </c>
      <c r="I9" s="294">
        <f>kWh!AW79</f>
        <v>1093308663.4511402</v>
      </c>
      <c r="J9" s="294">
        <f>kWh!AY79</f>
        <v>288887931.38641804</v>
      </c>
      <c r="K9" s="294">
        <f>kWh!AX79</f>
        <v>5107859.6743005849</v>
      </c>
      <c r="L9" s="294">
        <f>kWh!AZ79</f>
        <v>1116685267.4894316</v>
      </c>
      <c r="M9" s="294">
        <f>kWh!BA79</f>
        <v>872378904.46835363</v>
      </c>
      <c r="N9" s="294">
        <f>kWh!BB79</f>
        <v>388608246.60237163</v>
      </c>
      <c r="O9" s="294">
        <f>kWh!BC79</f>
        <v>26786692.927983887</v>
      </c>
      <c r="P9" s="294"/>
      <c r="Q9" s="294"/>
      <c r="R9" s="295"/>
      <c r="S9" s="290"/>
      <c r="T9" s="348"/>
      <c r="U9" s="348"/>
      <c r="V9" s="348"/>
      <c r="W9" s="348"/>
      <c r="X9" s="348"/>
      <c r="Y9" s="348"/>
      <c r="Z9" s="348"/>
      <c r="AA9" s="348"/>
      <c r="AB9" s="348"/>
      <c r="AC9" s="348"/>
      <c r="AD9" s="348"/>
      <c r="AE9" s="348"/>
      <c r="AF9" s="348"/>
    </row>
    <row r="10" spans="1:32">
      <c r="A10" s="945"/>
      <c r="B10" s="18">
        <v>2009</v>
      </c>
      <c r="C10" s="300">
        <f>'Model # Two'!C158</f>
        <v>3727941968.3974199</v>
      </c>
      <c r="D10" s="271">
        <f>'Model # Two'!D158</f>
        <v>3781079154.0180035</v>
      </c>
      <c r="E10" s="291">
        <f t="shared" si="0"/>
        <v>53137185.620583534</v>
      </c>
      <c r="F10" s="292">
        <f t="shared" si="1"/>
        <v>1.4053444388784283E-2</v>
      </c>
      <c r="G10" s="293">
        <f t="shared" si="3"/>
        <v>1.0307536519002658</v>
      </c>
      <c r="H10" s="294">
        <f>SUM(I10:R10)</f>
        <v>3616714781</v>
      </c>
      <c r="I10" s="294">
        <f>kWh!BF79</f>
        <v>1088557819</v>
      </c>
      <c r="J10" s="294">
        <f>kWh!BH79</f>
        <v>283991997.44998068</v>
      </c>
      <c r="K10" s="294">
        <f>kWh!BG79</f>
        <v>5104984.5500193126</v>
      </c>
      <c r="L10" s="294">
        <f>kWh!BI79</f>
        <v>1081007720</v>
      </c>
      <c r="M10" s="294">
        <f>kWh!BJ79</f>
        <v>788185444</v>
      </c>
      <c r="N10" s="294">
        <f>kWh!BK79</f>
        <v>342523390</v>
      </c>
      <c r="O10" s="294">
        <f>kWh!BL79</f>
        <v>27343426</v>
      </c>
      <c r="P10" s="294"/>
      <c r="Q10" s="294"/>
      <c r="R10" s="295"/>
      <c r="S10" s="290"/>
    </row>
    <row r="11" spans="1:32">
      <c r="A11" s="945"/>
      <c r="B11" s="18">
        <v>2010</v>
      </c>
      <c r="C11" s="300">
        <f>'Model # Two'!C159</f>
        <v>3911054142.4477</v>
      </c>
      <c r="D11" s="271">
        <f>'Model # Two'!D159</f>
        <v>3889917169.2406254</v>
      </c>
      <c r="E11" s="291">
        <f t="shared" si="0"/>
        <v>-21136973.207074642</v>
      </c>
      <c r="F11" s="292">
        <f t="shared" si="1"/>
        <v>-5.4337849078675681E-3</v>
      </c>
      <c r="G11" s="293">
        <f t="shared" si="3"/>
        <v>1.0322860826492528</v>
      </c>
      <c r="H11" s="294">
        <f>SUM(I11:R11)</f>
        <v>3788730864.6169033</v>
      </c>
      <c r="I11" s="271">
        <f>+kWh!BO79</f>
        <v>1171315280</v>
      </c>
      <c r="J11" s="271">
        <f>+kWh!BQ79</f>
        <v>291782860</v>
      </c>
      <c r="K11" s="271">
        <f>+kWh!BP79</f>
        <v>5197576.365005793</v>
      </c>
      <c r="L11" s="271">
        <f>+kWh!BR79</f>
        <v>1088985441.2900734</v>
      </c>
      <c r="M11" s="271">
        <f>+kWh!BS79</f>
        <v>839914784.96182454</v>
      </c>
      <c r="N11" s="271">
        <f>+kWh!BT79</f>
        <v>363198797</v>
      </c>
      <c r="O11" s="271">
        <f>+kWh!BU79</f>
        <v>28336125</v>
      </c>
      <c r="P11" s="271"/>
      <c r="Q11" s="271"/>
      <c r="R11" s="296"/>
      <c r="S11" s="290"/>
    </row>
    <row r="12" spans="1:32" s="4" customFormat="1">
      <c r="A12" s="945"/>
      <c r="B12" s="18">
        <v>2011</v>
      </c>
      <c r="C12" s="300">
        <f>'Model # Two'!C160</f>
        <v>3968502599.952116</v>
      </c>
      <c r="D12" s="271">
        <f>'Model # Two'!D160</f>
        <v>3969819877.0134583</v>
      </c>
      <c r="E12" s="291">
        <f t="shared" si="0"/>
        <v>1317277.0613422394</v>
      </c>
      <c r="F12" s="292">
        <f t="shared" si="1"/>
        <v>3.318228791612687E-4</v>
      </c>
      <c r="G12" s="293">
        <f t="shared" si="3"/>
        <v>1.0278774820874927</v>
      </c>
      <c r="H12" s="294">
        <f>SUM(I12:R12)</f>
        <v>3860871231.3578219</v>
      </c>
      <c r="I12" s="271">
        <f>+kWh!BX79</f>
        <v>1190237359</v>
      </c>
      <c r="J12" s="271">
        <f>+kWh!BZ79</f>
        <v>309962282.28999996</v>
      </c>
      <c r="K12" s="271">
        <f>+kWh!BY79</f>
        <v>5450025</v>
      </c>
      <c r="L12" s="271">
        <f>+kWh!CA79</f>
        <v>1100145273.7238808</v>
      </c>
      <c r="M12" s="271">
        <f>+kWh!CB79</f>
        <v>830895242.85765326</v>
      </c>
      <c r="N12" s="271">
        <f>+kWh!CC79</f>
        <v>394428511</v>
      </c>
      <c r="O12" s="271">
        <f>+kWh!CD79</f>
        <v>29752537.486288141</v>
      </c>
      <c r="P12" s="271"/>
      <c r="Q12" s="271"/>
      <c r="R12" s="296"/>
      <c r="S12" s="2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>
      <c r="A13" s="405"/>
      <c r="B13" s="18">
        <v>2012</v>
      </c>
      <c r="C13" s="300">
        <f>'Model # Two'!C161</f>
        <v>4043243028.6422305</v>
      </c>
      <c r="D13" s="271">
        <f>'Model # Two'!D161</f>
        <v>4039088422.7731237</v>
      </c>
      <c r="E13" s="291">
        <f t="shared" si="0"/>
        <v>-4154605.8691067696</v>
      </c>
      <c r="F13" s="292">
        <f t="shared" si="1"/>
        <v>-1.0285998805280758E-3</v>
      </c>
      <c r="G13" s="660">
        <f>1+(C13-H13)/H13</f>
        <v>1.0295844000496539</v>
      </c>
      <c r="H13" s="420">
        <f>SUM(I13:R13)</f>
        <v>3927063219.3409657</v>
      </c>
      <c r="I13" s="271">
        <f>+kWh!CG34</f>
        <v>1212040627</v>
      </c>
      <c r="J13" s="271">
        <f>+kWh!CI34</f>
        <v>315917674.04000002</v>
      </c>
      <c r="K13" s="271">
        <f>+kWh!CH34</f>
        <v>5562245</v>
      </c>
      <c r="L13" s="271">
        <f>+kWh!CJ34</f>
        <v>1101990612.5347376</v>
      </c>
      <c r="M13" s="271">
        <f>+kWh!CK34</f>
        <v>858711126.76622808</v>
      </c>
      <c r="N13" s="271">
        <f>+kWh!CL34</f>
        <v>402243669</v>
      </c>
      <c r="O13" s="271">
        <f>+kWh!CM34</f>
        <v>30597265</v>
      </c>
      <c r="P13" s="271"/>
      <c r="Q13" s="271"/>
      <c r="R13" s="296"/>
      <c r="S13" s="290"/>
    </row>
    <row r="14" spans="1:32">
      <c r="A14" s="435"/>
      <c r="B14" s="18">
        <v>2013</v>
      </c>
      <c r="C14" s="300">
        <f>'Model # Two'!C162</f>
        <v>4027156664.1062088</v>
      </c>
      <c r="D14" s="271">
        <f>'Model # Two'!D162</f>
        <v>4036523438.1173348</v>
      </c>
      <c r="E14" s="291">
        <f t="shared" si="0"/>
        <v>9366774.0111260414</v>
      </c>
      <c r="F14" s="292">
        <f t="shared" si="1"/>
        <v>2.3205052948967334E-3</v>
      </c>
      <c r="G14" s="660">
        <f>1+(C14-H14)/H14</f>
        <v>1.0345680647462403</v>
      </c>
      <c r="H14" s="420">
        <f>SUM(I14:R14)</f>
        <v>3892597115.0037317</v>
      </c>
      <c r="I14" s="271">
        <f>+kWh!CP34</f>
        <v>1198023626</v>
      </c>
      <c r="J14" s="271">
        <f>+kWh!CR34</f>
        <v>323299858.31000006</v>
      </c>
      <c r="K14" s="271">
        <f>+kWh!CQ34</f>
        <v>5706945</v>
      </c>
      <c r="L14" s="271">
        <f>+kWh!CS34</f>
        <v>1084942787.3014786</v>
      </c>
      <c r="M14" s="271">
        <f>+kWh!CT34</f>
        <v>868876684.12686646</v>
      </c>
      <c r="N14" s="271">
        <f>+kWh!CU34</f>
        <v>380451261.84834135</v>
      </c>
      <c r="O14" s="271">
        <f>+kWh!CV34</f>
        <v>31295952.417045128</v>
      </c>
      <c r="P14" s="271"/>
      <c r="Q14" s="271"/>
      <c r="R14" s="296"/>
      <c r="S14" s="290"/>
    </row>
    <row r="15" spans="1:32">
      <c r="A15" s="404"/>
      <c r="B15" s="18">
        <v>2014</v>
      </c>
      <c r="C15" s="300"/>
      <c r="D15" s="449">
        <f>'Model # Two'!D163</f>
        <v>4109065669.8450508</v>
      </c>
      <c r="E15" s="291"/>
      <c r="F15" s="292"/>
      <c r="G15" s="660"/>
      <c r="H15" s="449">
        <f>D15/G17</f>
        <v>3980104863.2309437</v>
      </c>
      <c r="I15" s="271"/>
      <c r="J15" s="354"/>
      <c r="K15" s="271"/>
      <c r="L15" s="271"/>
      <c r="M15" s="271"/>
      <c r="N15" s="271"/>
      <c r="O15" s="271"/>
      <c r="P15" s="271"/>
      <c r="Q15" s="271"/>
      <c r="R15" s="296"/>
      <c r="S15" s="290"/>
    </row>
    <row r="16" spans="1:32">
      <c r="A16" s="404"/>
      <c r="B16" s="18">
        <v>2015</v>
      </c>
      <c r="C16" s="300"/>
      <c r="D16" s="449">
        <f>'Model # Two'!D164</f>
        <v>4194973860.0719819</v>
      </c>
      <c r="E16" s="291"/>
      <c r="F16" s="292"/>
      <c r="G16" s="660"/>
      <c r="H16" s="449">
        <f>D16/G17</f>
        <v>4063316871.3092837</v>
      </c>
      <c r="I16" s="617"/>
      <c r="J16" s="271"/>
      <c r="K16" s="271"/>
      <c r="L16" s="271"/>
      <c r="M16" s="271"/>
      <c r="N16" s="271"/>
      <c r="O16" s="271"/>
      <c r="P16" s="271"/>
      <c r="Q16" s="271"/>
      <c r="R16" s="296"/>
      <c r="S16" s="290"/>
    </row>
    <row r="17" spans="1:32" ht="13.8" thickBot="1">
      <c r="A17" s="297"/>
      <c r="B17" s="412" t="s">
        <v>26</v>
      </c>
      <c r="C17" s="688"/>
      <c r="D17" s="522"/>
      <c r="E17" s="690"/>
      <c r="F17" s="691"/>
      <c r="G17" s="692">
        <f>(SUM(C5:C14))/(SUM(H5:H14))</f>
        <v>1.0324013590208325</v>
      </c>
      <c r="H17" s="467"/>
      <c r="I17" s="522"/>
      <c r="J17" s="522"/>
      <c r="K17" s="522"/>
      <c r="L17" s="693"/>
      <c r="M17" s="522"/>
      <c r="N17" s="522"/>
      <c r="O17" s="522"/>
      <c r="P17" s="522"/>
      <c r="Q17" s="522"/>
      <c r="R17" s="534"/>
    </row>
    <row r="18" spans="1:32" ht="14.25" customHeight="1">
      <c r="A18" s="297"/>
      <c r="B18" s="298"/>
      <c r="C18" s="294"/>
      <c r="D18" s="271"/>
      <c r="E18" s="291"/>
      <c r="F18" s="292"/>
      <c r="G18" s="293"/>
      <c r="H18" s="299"/>
      <c r="I18" s="271"/>
      <c r="J18" s="271"/>
      <c r="K18" s="271"/>
      <c r="L18" s="271"/>
      <c r="M18" s="271"/>
      <c r="N18" s="271"/>
      <c r="O18" s="271"/>
      <c r="P18" s="271"/>
      <c r="Q18" s="271"/>
      <c r="R18" s="271"/>
      <c r="T18" s="66"/>
    </row>
    <row r="19" spans="1:32" ht="18" thickBot="1">
      <c r="B19" s="4"/>
      <c r="C19" s="952" t="s">
        <v>314</v>
      </c>
      <c r="D19" s="952"/>
      <c r="E19" s="952"/>
      <c r="F19" s="952"/>
      <c r="G19" s="952"/>
      <c r="H19" s="952"/>
      <c r="I19" s="952"/>
      <c r="J19" s="952"/>
      <c r="K19" s="952"/>
      <c r="L19" s="952"/>
      <c r="M19" s="952"/>
      <c r="N19" s="952"/>
      <c r="O19" s="952"/>
      <c r="P19" s="952"/>
      <c r="Q19" s="952"/>
      <c r="R19" s="952"/>
      <c r="T19" s="66"/>
    </row>
    <row r="20" spans="1:32">
      <c r="A20" s="944"/>
      <c r="B20" s="5">
        <f t="shared" ref="B20:B30" si="4">B4</f>
        <v>2003</v>
      </c>
      <c r="C20" s="355"/>
      <c r="D20" s="355"/>
      <c r="E20" s="355"/>
      <c r="F20" s="355"/>
      <c r="G20" s="355"/>
      <c r="H20" s="284">
        <f>H4/'Rate Class Customer Model'!J6</f>
        <v>27749.37317363689</v>
      </c>
      <c r="I20" s="284">
        <f>I4/'Rate Class Customer Model'!C6</f>
        <v>10019.533472963096</v>
      </c>
      <c r="J20" s="284">
        <f>J4/'Rate Class Customer Model'!D6</f>
        <v>40146.521173308203</v>
      </c>
      <c r="K20" s="284">
        <f>K4/'Rate Class Customer Model'!E6</f>
        <v>6807.9020359369333</v>
      </c>
      <c r="L20" s="284">
        <f>L4/'Rate Class Customer Model'!F6</f>
        <v>733770.89987107855</v>
      </c>
      <c r="M20" s="284">
        <f>M4/'Rate Class Customer Model'!G6</f>
        <v>6711751.6955658505</v>
      </c>
      <c r="N20" s="284">
        <f>N4/'Rate Class Customer Model'!H6</f>
        <v>70446082</v>
      </c>
      <c r="O20" s="284">
        <f>O4/'Rate Class Customer Model'!I6</f>
        <v>994.86743538353414</v>
      </c>
      <c r="P20" s="284"/>
      <c r="Q20" s="284"/>
      <c r="R20" s="274"/>
      <c r="T20" s="596"/>
      <c r="U20" s="432"/>
    </row>
    <row r="21" spans="1:32">
      <c r="A21" s="945"/>
      <c r="B21" s="57">
        <f t="shared" si="4"/>
        <v>2004</v>
      </c>
      <c r="C21" s="528"/>
      <c r="D21" s="528"/>
      <c r="E21" s="528"/>
      <c r="F21" s="528"/>
      <c r="G21" s="528"/>
      <c r="H21" s="271">
        <f>H5/'Rate Class Customer Model'!J7</f>
        <v>27418.596582605976</v>
      </c>
      <c r="I21" s="271">
        <f>I5/'Rate Class Customer Model'!C7</f>
        <v>9488.6235026345657</v>
      </c>
      <c r="J21" s="271">
        <f>J5/'Rate Class Customer Model'!D7</f>
        <v>39727.199546449883</v>
      </c>
      <c r="K21" s="271">
        <f>K5/'Rate Class Customer Model'!E7</f>
        <v>5148.3556412012567</v>
      </c>
      <c r="L21" s="271">
        <f>L5/'Rate Class Customer Model'!F7</f>
        <v>750507.84939088696</v>
      </c>
      <c r="M21" s="271">
        <f>M5/'Rate Class Customer Model'!G7</f>
        <v>7423304.0259398604</v>
      </c>
      <c r="N21" s="271">
        <f>N5/'Rate Class Customer Model'!H7</f>
        <v>94159492.464991242</v>
      </c>
      <c r="O21" s="271">
        <f>O5/'Rate Class Customer Model'!I7</f>
        <v>1081.6429881634519</v>
      </c>
      <c r="P21" s="271"/>
      <c r="Q21" s="271"/>
      <c r="R21" s="296"/>
      <c r="T21" s="596"/>
      <c r="U21" s="432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</row>
    <row r="22" spans="1:32">
      <c r="A22" s="945"/>
      <c r="B22" s="57">
        <f t="shared" si="4"/>
        <v>2005</v>
      </c>
      <c r="C22" s="528"/>
      <c r="D22" s="294"/>
      <c r="E22" s="723"/>
      <c r="F22" s="528"/>
      <c r="G22" s="528"/>
      <c r="H22" s="271">
        <f>H6/'Rate Class Customer Model'!J8</f>
        <v>27809.887433208416</v>
      </c>
      <c r="I22" s="271">
        <f>I6/'Rate Class Customer Model'!C8</f>
        <v>10172.632112686806</v>
      </c>
      <c r="J22" s="271">
        <f>J6/'Rate Class Customer Model'!D8</f>
        <v>41801.804966113268</v>
      </c>
      <c r="K22" s="271">
        <f>K6/'Rate Class Customer Model'!E8</f>
        <v>4769.776625139013</v>
      </c>
      <c r="L22" s="271">
        <f>L6/'Rate Class Customer Model'!F8</f>
        <v>794274.50485792849</v>
      </c>
      <c r="M22" s="271">
        <f>M6/'Rate Class Customer Model'!G8</f>
        <v>7917519.3609958505</v>
      </c>
      <c r="N22" s="271">
        <f>N6/'Rate Class Customer Model'!H8</f>
        <v>101474120</v>
      </c>
      <c r="O22" s="271">
        <f>O6/'Rate Class Customer Model'!I8</f>
        <v>1121.6653403735161</v>
      </c>
      <c r="P22" s="271"/>
      <c r="Q22" s="271"/>
      <c r="R22" s="296"/>
      <c r="T22" s="596"/>
      <c r="U22" s="432"/>
    </row>
    <row r="23" spans="1:32">
      <c r="A23" s="945"/>
      <c r="B23" s="57">
        <f t="shared" si="4"/>
        <v>2006</v>
      </c>
      <c r="C23" s="528"/>
      <c r="D23" s="528"/>
      <c r="E23" s="528"/>
      <c r="F23" s="528"/>
      <c r="G23" s="528"/>
      <c r="H23" s="271">
        <f>H7/'Rate Class Customer Model'!J9</f>
        <v>26698.52536918809</v>
      </c>
      <c r="I23" s="271">
        <f>I7/'Rate Class Customer Model'!C9</f>
        <v>9488.3080905870684</v>
      </c>
      <c r="J23" s="271">
        <f>J7/'Rate Class Customer Model'!D9</f>
        <v>39956.246959039905</v>
      </c>
      <c r="K23" s="271">
        <f>K7/'Rate Class Customer Model'!E9</f>
        <v>4386.7826354529134</v>
      </c>
      <c r="L23" s="271">
        <f>L7/'Rate Class Customer Model'!F9</f>
        <v>770865.64535160025</v>
      </c>
      <c r="M23" s="271">
        <f>M7/'Rate Class Customer Model'!G9</f>
        <v>8009145.4482309502</v>
      </c>
      <c r="N23" s="271">
        <f>N7/'Rate Class Customer Model'!H9</f>
        <v>85298992.782135636</v>
      </c>
      <c r="O23" s="271">
        <f>O7/'Rate Class Customer Model'!I9</f>
        <v>1207.6439824752501</v>
      </c>
      <c r="P23" s="271"/>
      <c r="Q23" s="271"/>
      <c r="R23" s="296"/>
      <c r="T23" s="596"/>
      <c r="U23" s="432"/>
    </row>
    <row r="24" spans="1:32">
      <c r="A24" s="945"/>
      <c r="B24" s="57">
        <f t="shared" si="4"/>
        <v>2007</v>
      </c>
      <c r="C24" s="528"/>
      <c r="D24" s="294"/>
      <c r="E24" s="294"/>
      <c r="F24" s="528"/>
      <c r="G24" s="528"/>
      <c r="H24" s="271">
        <f>H8/'Rate Class Customer Model'!J10</f>
        <v>26622.024577094438</v>
      </c>
      <c r="I24" s="271">
        <f>I8/'Rate Class Customer Model'!C10</f>
        <v>9658.6935999729612</v>
      </c>
      <c r="J24" s="271">
        <f>J8/'Rate Class Customer Model'!D10</f>
        <v>40960.795097147093</v>
      </c>
      <c r="K24" s="271">
        <f>K8/'Rate Class Customer Model'!E10</f>
        <v>4037.8274782266221</v>
      </c>
      <c r="L24" s="271">
        <f>L8/'Rate Class Customer Model'!F10</f>
        <v>783289.99433088163</v>
      </c>
      <c r="M24" s="271">
        <f>M8/'Rate Class Customer Model'!G10</f>
        <v>8063181.3222306026</v>
      </c>
      <c r="N24" s="271">
        <f>N8/'Rate Class Customer Model'!H10</f>
        <v>72265679.91072534</v>
      </c>
      <c r="O24" s="271">
        <f>O8/'Rate Class Customer Model'!I10</f>
        <v>1289.1705130418397</v>
      </c>
      <c r="P24" s="271"/>
      <c r="Q24" s="271"/>
      <c r="R24" s="296"/>
      <c r="T24" s="596"/>
      <c r="U24" s="432"/>
    </row>
    <row r="25" spans="1:32">
      <c r="A25" s="945"/>
      <c r="B25" s="57">
        <f t="shared" si="4"/>
        <v>2008</v>
      </c>
      <c r="C25" s="528"/>
      <c r="D25" s="528"/>
      <c r="E25" s="294"/>
      <c r="F25" s="528"/>
      <c r="G25" s="528"/>
      <c r="H25" s="271">
        <f>H9/'Rate Class Customer Model'!J11</f>
        <v>25336.079913215501</v>
      </c>
      <c r="I25" s="271">
        <f>I9/'Rate Class Customer Model'!C11</f>
        <v>9182.8377578627606</v>
      </c>
      <c r="J25" s="271">
        <f>J9/'Rate Class Customer Model'!D11</f>
        <v>38845.9920511538</v>
      </c>
      <c r="K25" s="271">
        <f>K9/'Rate Class Customer Model'!E11</f>
        <v>4031.4598850044081</v>
      </c>
      <c r="L25" s="271">
        <f>L9/'Rate Class Customer Model'!F11</f>
        <v>748866.83859803167</v>
      </c>
      <c r="M25" s="271">
        <f>M9/'Rate Class Customer Model'!G11</f>
        <v>7542180.7302739499</v>
      </c>
      <c r="N25" s="271">
        <f>N9/'Rate Class Customer Model'!H11</f>
        <v>64768041.10039527</v>
      </c>
      <c r="O25" s="271">
        <f>O9/'Rate Class Customer Model'!I11</f>
        <v>1320.7081293667136</v>
      </c>
      <c r="P25" s="271"/>
      <c r="Q25" s="271"/>
      <c r="R25" s="296"/>
      <c r="T25" s="596"/>
      <c r="U25" s="432"/>
    </row>
    <row r="26" spans="1:32" ht="15" customHeight="1">
      <c r="A26" s="945"/>
      <c r="B26" s="57">
        <f t="shared" si="4"/>
        <v>2009</v>
      </c>
      <c r="C26" s="528"/>
      <c r="D26" s="294"/>
      <c r="E26" s="528"/>
      <c r="F26" s="528"/>
      <c r="G26" s="528"/>
      <c r="H26" s="271">
        <f>H10/'Rate Class Customer Model'!J12</f>
        <v>23796.04295780828</v>
      </c>
      <c r="I26" s="271">
        <f>I10/'Rate Class Customer Model'!C12</f>
        <v>8993.3106789031262</v>
      </c>
      <c r="J26" s="271">
        <f>J10/'Rate Class Customer Model'!D12</f>
        <v>37721.002483809491</v>
      </c>
      <c r="K26" s="271">
        <f>K10/'Rate Class Customer Model'!E12</f>
        <v>3988.2691797025882</v>
      </c>
      <c r="L26" s="271">
        <f>L10/'Rate Class Customer Model'!F12</f>
        <v>695778.4080669384</v>
      </c>
      <c r="M26" s="271">
        <f>M10/'Rate Class Customer Model'!G12</f>
        <v>6918965.1265544984</v>
      </c>
      <c r="N26" s="271">
        <f>N10/'Rate Class Customer Model'!H12</f>
        <v>57087231.666666664</v>
      </c>
      <c r="O26" s="271">
        <f>O10/'Rate Class Customer Model'!I12</f>
        <v>1336.112748474143</v>
      </c>
      <c r="P26" s="271"/>
      <c r="Q26" s="271"/>
      <c r="R26" s="296"/>
      <c r="T26" s="596"/>
      <c r="U26" s="432"/>
    </row>
    <row r="27" spans="1:32" ht="14.25" customHeight="1">
      <c r="A27" s="945"/>
      <c r="B27" s="57">
        <f t="shared" si="4"/>
        <v>2010</v>
      </c>
      <c r="C27" s="528"/>
      <c r="D27" s="528"/>
      <c r="E27" s="294"/>
      <c r="F27" s="528"/>
      <c r="G27" s="528"/>
      <c r="H27" s="271">
        <f>H11/'Rate Class Customer Model'!J13</f>
        <v>24537.317729205861</v>
      </c>
      <c r="I27" s="271">
        <f>I11/'Rate Class Customer Model'!C13</f>
        <v>9521.907879405373</v>
      </c>
      <c r="J27" s="271">
        <f>J11/'Rate Class Customer Model'!D13</f>
        <v>37642.115719538153</v>
      </c>
      <c r="K27" s="271">
        <f>K11/'Rate Class Customer Model'!E13</f>
        <v>4019.7806380555244</v>
      </c>
      <c r="L27" s="271">
        <f>L11/'Rate Class Customer Model'!F13</f>
        <v>707592.87933078199</v>
      </c>
      <c r="M27" s="271">
        <f>M11/'Rate Class Customer Model'!G13</f>
        <v>7367673.5522967065</v>
      </c>
      <c r="N27" s="271">
        <f>N11/'Rate Class Customer Model'!H13</f>
        <v>60533132.833333336</v>
      </c>
      <c r="O27" s="271">
        <f>O11/'Rate Class Customer Model'!I13</f>
        <v>1369.5088183811038</v>
      </c>
      <c r="P27" s="271"/>
      <c r="Q27" s="271"/>
      <c r="R27" s="296"/>
      <c r="T27" s="596"/>
      <c r="U27" s="432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</row>
    <row r="28" spans="1:32">
      <c r="A28" s="945"/>
      <c r="B28" s="57">
        <f t="shared" si="4"/>
        <v>2011</v>
      </c>
      <c r="C28" s="528"/>
      <c r="D28" s="528"/>
      <c r="E28" s="294"/>
      <c r="F28" s="528"/>
      <c r="G28" s="528"/>
      <c r="H28" s="271">
        <f>H12/'Rate Class Customer Model'!J14</f>
        <v>24370.493659951873</v>
      </c>
      <c r="I28" s="271">
        <f>I12/'Rate Class Customer Model'!C14</f>
        <v>9422.6469903681227</v>
      </c>
      <c r="J28" s="271">
        <f>J12/'Rate Class Customer Model'!D14</f>
        <v>38360.08608844519</v>
      </c>
      <c r="K28" s="271">
        <f>K12/'Rate Class Customer Model'!E14</f>
        <v>3981.5110191160356</v>
      </c>
      <c r="L28" s="271">
        <f>L12/'Rate Class Customer Model'!F14</f>
        <v>715774.41361345525</v>
      </c>
      <c r="M28" s="271">
        <f>M12/'Rate Class Customer Model'!G14</f>
        <v>7424231.507291019</v>
      </c>
      <c r="N28" s="271">
        <f>N12/'Rate Class Customer Model'!H14</f>
        <v>65738085.166666664</v>
      </c>
      <c r="O28" s="271">
        <f>O12/'Rate Class Customer Model'!I14</f>
        <v>1416.5678706511151</v>
      </c>
      <c r="P28" s="271"/>
      <c r="Q28" s="271"/>
      <c r="R28" s="296"/>
      <c r="T28" s="596"/>
      <c r="U28" s="432"/>
    </row>
    <row r="29" spans="1:32" ht="14.25" customHeight="1">
      <c r="A29" s="945"/>
      <c r="B29" s="57">
        <f t="shared" si="4"/>
        <v>2012</v>
      </c>
      <c r="C29" s="528"/>
      <c r="D29" s="528"/>
      <c r="E29" s="528"/>
      <c r="F29" s="528"/>
      <c r="G29" s="528"/>
      <c r="H29" s="271">
        <f>H13/'Rate Class Customer Model'!J15</f>
        <v>24173.558957767098</v>
      </c>
      <c r="I29" s="271">
        <f>I13/'Rate Class Customer Model'!C15</f>
        <v>9345.0387782979287</v>
      </c>
      <c r="J29" s="271">
        <f>J13/'Rate Class Customer Model'!D15</f>
        <v>37936.296929681477</v>
      </c>
      <c r="K29" s="271">
        <f>K13/'Rate Class Customer Model'!E15</f>
        <v>3905.8423547311136</v>
      </c>
      <c r="L29" s="271">
        <f>L13/'Rate Class Customer Model'!F15</f>
        <v>722419.41275153507</v>
      </c>
      <c r="M29" s="271">
        <f>M13/'Rate Class Customer Model'!G15</f>
        <v>7701445.0831051841</v>
      </c>
      <c r="N29" s="271">
        <f>N13/'Rate Class Customer Model'!H15</f>
        <v>67040611.5</v>
      </c>
      <c r="O29" s="271">
        <f>O13/'Rate Class Customer Model'!I15</f>
        <v>1432.4951396819008</v>
      </c>
      <c r="P29" s="271"/>
      <c r="Q29" s="271"/>
      <c r="R29" s="296"/>
      <c r="T29" s="596"/>
      <c r="U29" s="432"/>
    </row>
    <row r="30" spans="1:32">
      <c r="A30" s="945"/>
      <c r="B30" s="57">
        <f t="shared" si="4"/>
        <v>2013</v>
      </c>
      <c r="C30" s="528"/>
      <c r="D30" s="528"/>
      <c r="E30" s="528"/>
      <c r="F30" s="528"/>
      <c r="G30" s="528"/>
      <c r="H30" s="271">
        <f>H14/'Rate Class Customer Model'!J16</f>
        <v>23296.182855631192</v>
      </c>
      <c r="I30" s="271">
        <f>I14/'Rate Class Customer Model'!C16</f>
        <v>8959.0056996000421</v>
      </c>
      <c r="J30" s="271">
        <f>J14/'Rate Class Customer Model'!D16</f>
        <v>37892.992974614936</v>
      </c>
      <c r="K30" s="271">
        <f>K14/'Rate Class Customer Model'!E16</f>
        <v>3863.4401444206251</v>
      </c>
      <c r="L30" s="271">
        <f>L14/'Rate Class Customer Model'!F16</f>
        <v>717831.69474652607</v>
      </c>
      <c r="M30" s="271">
        <f>M14/'Rate Class Customer Model'!G16</f>
        <v>7544515.3469771324</v>
      </c>
      <c r="N30" s="271">
        <f>N14/'Rate Class Customer Model'!H16</f>
        <v>63408543.641390227</v>
      </c>
      <c r="O30" s="271">
        <f>O14/'Rate Class Customer Model'!I16</f>
        <v>1440.4090912106469</v>
      </c>
      <c r="P30" s="271"/>
      <c r="Q30" s="271"/>
      <c r="R30" s="296"/>
      <c r="T30" s="596"/>
      <c r="U30" s="432"/>
    </row>
    <row r="31" spans="1:32" ht="20.25" customHeight="1">
      <c r="A31" s="514"/>
      <c r="B31" s="57">
        <v>2014</v>
      </c>
      <c r="C31" s="528"/>
      <c r="D31" s="528"/>
      <c r="E31" s="528"/>
      <c r="F31" s="528"/>
      <c r="G31" s="528"/>
      <c r="H31" s="271"/>
      <c r="I31" s="294">
        <f>I30*I47</f>
        <v>8914.8983008004325</v>
      </c>
      <c r="J31" s="294">
        <f>J30*J47</f>
        <v>37705.217281703008</v>
      </c>
      <c r="K31" s="294">
        <f t="shared" ref="K31:M31" si="5">K30*K47</f>
        <v>3830.6860247641721</v>
      </c>
      <c r="L31" s="294">
        <f t="shared" si="5"/>
        <v>711780.74625931168</v>
      </c>
      <c r="M31" s="294">
        <f t="shared" si="5"/>
        <v>7544982.3570298571</v>
      </c>
      <c r="N31" s="294">
        <f>N30*N47</f>
        <v>63140087.843410887</v>
      </c>
      <c r="O31" s="294">
        <f>O30*O47</f>
        <v>1465.6209163355959</v>
      </c>
      <c r="P31" s="294"/>
      <c r="Q31" s="294"/>
      <c r="R31" s="295"/>
      <c r="T31" s="432"/>
      <c r="U31" s="432"/>
    </row>
    <row r="32" spans="1:32" ht="20.25" customHeight="1">
      <c r="A32" s="514"/>
      <c r="B32" s="57">
        <v>2015</v>
      </c>
      <c r="C32" s="528"/>
      <c r="D32" s="528"/>
      <c r="E32" s="528"/>
      <c r="F32" s="528"/>
      <c r="G32" s="528"/>
      <c r="H32" s="271"/>
      <c r="I32" s="294">
        <f>I31*I47</f>
        <v>8871.0080536239038</v>
      </c>
      <c r="J32" s="294">
        <f>J31*J47</f>
        <v>37518.372096203675</v>
      </c>
      <c r="K32" s="294">
        <f t="shared" ref="K32:N32" si="6">K31*K47</f>
        <v>3798.2095934668923</v>
      </c>
      <c r="L32" s="294">
        <f t="shared" si="6"/>
        <v>705780.80412618117</v>
      </c>
      <c r="M32" s="294">
        <f t="shared" si="6"/>
        <v>7545449.3959907861</v>
      </c>
      <c r="N32" s="294">
        <f t="shared" si="6"/>
        <v>62872768.619642682</v>
      </c>
      <c r="O32" s="294">
        <f>O31*O47</f>
        <v>1491.2740300708499</v>
      </c>
      <c r="P32" s="294"/>
      <c r="Q32" s="294"/>
      <c r="R32" s="295"/>
      <c r="T32" s="432"/>
      <c r="U32" s="432"/>
    </row>
    <row r="33" spans="1:32" ht="13.8" thickBot="1">
      <c r="A33" s="530"/>
      <c r="B33" s="695"/>
      <c r="C33" s="529"/>
      <c r="D33" s="529"/>
      <c r="E33" s="529"/>
      <c r="F33" s="529"/>
      <c r="G33" s="529"/>
      <c r="H33" s="522"/>
      <c r="I33" s="467"/>
      <c r="J33" s="467"/>
      <c r="K33" s="467"/>
      <c r="L33" s="467"/>
      <c r="M33" s="467"/>
      <c r="N33" s="467"/>
      <c r="O33" s="467"/>
      <c r="P33" s="467"/>
      <c r="Q33" s="467"/>
      <c r="R33" s="523"/>
      <c r="T33" s="432"/>
      <c r="U33" s="432"/>
    </row>
    <row r="34" spans="1:32" ht="18" thickBot="1">
      <c r="A34" s="535"/>
      <c r="B34" s="4"/>
      <c r="C34" s="952" t="s">
        <v>315</v>
      </c>
      <c r="D34" s="952"/>
      <c r="E34" s="952"/>
      <c r="F34" s="952"/>
      <c r="G34" s="952"/>
      <c r="H34" s="952"/>
      <c r="I34" s="952"/>
      <c r="J34" s="952"/>
      <c r="K34" s="952"/>
      <c r="L34" s="952"/>
      <c r="M34" s="952"/>
      <c r="N34" s="952"/>
      <c r="O34" s="952"/>
      <c r="P34" s="952"/>
      <c r="Q34" s="952"/>
      <c r="R34" s="952"/>
    </row>
    <row r="35" spans="1:32" ht="18" customHeight="1">
      <c r="A35" s="944" t="s">
        <v>99</v>
      </c>
      <c r="B35" s="696">
        <v>2003</v>
      </c>
      <c r="C35" s="355"/>
      <c r="D35" s="355"/>
      <c r="E35" s="288"/>
      <c r="F35" s="355"/>
      <c r="G35" s="355"/>
      <c r="H35" s="284"/>
      <c r="I35" s="301"/>
      <c r="J35" s="301"/>
      <c r="K35" s="301"/>
      <c r="L35" s="301"/>
      <c r="M35" s="301"/>
      <c r="N35" s="301"/>
      <c r="O35" s="301"/>
      <c r="P35" s="301"/>
      <c r="Q35" s="301"/>
      <c r="R35" s="302"/>
      <c r="T35" s="348"/>
      <c r="U35" s="348"/>
      <c r="V35" s="348"/>
      <c r="W35" s="348"/>
      <c r="X35" s="348"/>
      <c r="Y35" s="348"/>
      <c r="Z35" s="348"/>
      <c r="AA35" s="348"/>
      <c r="AB35" s="348"/>
      <c r="AC35" s="348"/>
      <c r="AD35" s="348"/>
      <c r="AE35" s="348"/>
      <c r="AF35" s="348"/>
    </row>
    <row r="36" spans="1:32">
      <c r="A36" s="945"/>
      <c r="B36" s="697">
        <v>2004</v>
      </c>
      <c r="C36" s="528"/>
      <c r="D36" s="528"/>
      <c r="E36" s="294"/>
      <c r="F36" s="528"/>
      <c r="G36" s="528"/>
      <c r="H36" s="293">
        <f>H21/H20</f>
        <v>0.98807985358944372</v>
      </c>
      <c r="I36" s="293">
        <f>I21/I20</f>
        <v>0.94701250594539677</v>
      </c>
      <c r="J36" s="293">
        <f t="shared" ref="H36:O45" si="7">J21/J20</f>
        <v>0.98955521886820141</v>
      </c>
      <c r="K36" s="293">
        <f t="shared" si="7"/>
        <v>0.75623233325400185</v>
      </c>
      <c r="L36" s="293">
        <f t="shared" si="7"/>
        <v>1.0228095029698629</v>
      </c>
      <c r="M36" s="293">
        <f t="shared" si="7"/>
        <v>1.1060158901355215</v>
      </c>
      <c r="N36" s="293">
        <f t="shared" si="7"/>
        <v>1.3366178755688818</v>
      </c>
      <c r="O36" s="293">
        <f t="shared" si="7"/>
        <v>1.0872232316524308</v>
      </c>
      <c r="P36" s="293"/>
      <c r="Q36" s="293"/>
      <c r="R36" s="303"/>
    </row>
    <row r="37" spans="1:32" ht="15.75" customHeight="1">
      <c r="A37" s="945"/>
      <c r="B37" s="697">
        <v>2005</v>
      </c>
      <c r="C37" s="528"/>
      <c r="D37" s="528"/>
      <c r="E37" s="294"/>
      <c r="F37" s="528"/>
      <c r="G37" s="528"/>
      <c r="H37" s="293">
        <f t="shared" si="7"/>
        <v>1.0142710021435113</v>
      </c>
      <c r="I37" s="293">
        <f t="shared" si="7"/>
        <v>1.0720872326594391</v>
      </c>
      <c r="J37" s="293">
        <f t="shared" si="7"/>
        <v>1.0522212852491077</v>
      </c>
      <c r="K37" s="293">
        <f t="shared" si="7"/>
        <v>0.92646603256532012</v>
      </c>
      <c r="L37" s="293">
        <f t="shared" si="7"/>
        <v>1.0583160529267783</v>
      </c>
      <c r="M37" s="293">
        <f t="shared" si="7"/>
        <v>1.0665761948222803</v>
      </c>
      <c r="N37" s="293">
        <f t="shared" si="7"/>
        <v>1.0776833789511806</v>
      </c>
      <c r="O37" s="293">
        <f t="shared" si="7"/>
        <v>1.0370014437739934</v>
      </c>
      <c r="P37" s="293"/>
      <c r="Q37" s="293"/>
      <c r="R37" s="303"/>
    </row>
    <row r="38" spans="1:32" ht="17.25" customHeight="1">
      <c r="A38" s="945"/>
      <c r="B38" s="697">
        <v>2006</v>
      </c>
      <c r="C38" s="528"/>
      <c r="D38" s="528"/>
      <c r="E38" s="294"/>
      <c r="F38" s="528"/>
      <c r="G38" s="528"/>
      <c r="H38" s="293">
        <f t="shared" si="7"/>
        <v>0.96003716064333211</v>
      </c>
      <c r="I38" s="293">
        <f t="shared" si="7"/>
        <v>0.93272891278096237</v>
      </c>
      <c r="J38" s="293">
        <f t="shared" si="7"/>
        <v>0.95584980101769601</v>
      </c>
      <c r="K38" s="293">
        <f t="shared" si="7"/>
        <v>0.9197039987852812</v>
      </c>
      <c r="L38" s="293">
        <f t="shared" si="7"/>
        <v>0.97052799836434966</v>
      </c>
      <c r="M38" s="293">
        <f t="shared" si="7"/>
        <v>1.0115725750778051</v>
      </c>
      <c r="N38" s="293">
        <f t="shared" si="7"/>
        <v>0.840598497253641</v>
      </c>
      <c r="O38" s="293">
        <f t="shared" si="7"/>
        <v>1.0766526690332636</v>
      </c>
      <c r="P38" s="293"/>
      <c r="Q38" s="293"/>
      <c r="R38" s="303"/>
    </row>
    <row r="39" spans="1:32" ht="14.25" customHeight="1">
      <c r="A39" s="945"/>
      <c r="B39" s="697">
        <v>2007</v>
      </c>
      <c r="C39" s="528"/>
      <c r="D39" s="528"/>
      <c r="E39" s="294"/>
      <c r="F39" s="528"/>
      <c r="G39" s="528"/>
      <c r="H39" s="293">
        <f t="shared" si="7"/>
        <v>0.99713464354170145</v>
      </c>
      <c r="I39" s="293">
        <f t="shared" si="7"/>
        <v>1.0179574174614887</v>
      </c>
      <c r="J39" s="293">
        <f t="shared" si="7"/>
        <v>1.0251412035554033</v>
      </c>
      <c r="K39" s="293">
        <f t="shared" si="7"/>
        <v>0.92045305495510077</v>
      </c>
      <c r="L39" s="293">
        <f t="shared" si="7"/>
        <v>1.016117398737642</v>
      </c>
      <c r="M39" s="293">
        <f t="shared" si="7"/>
        <v>1.0067467714688072</v>
      </c>
      <c r="N39" s="293">
        <f t="shared" si="7"/>
        <v>0.84720437549949723</v>
      </c>
      <c r="O39" s="293">
        <f t="shared" si="7"/>
        <v>1.0675087457476404</v>
      </c>
      <c r="P39" s="293"/>
      <c r="Q39" s="293"/>
      <c r="R39" s="303"/>
      <c r="T39" s="459"/>
    </row>
    <row r="40" spans="1:32" ht="14.25" customHeight="1">
      <c r="A40" s="945"/>
      <c r="B40" s="697">
        <v>2008</v>
      </c>
      <c r="C40" s="528"/>
      <c r="D40" s="528"/>
      <c r="E40" s="294"/>
      <c r="F40" s="528"/>
      <c r="G40" s="528"/>
      <c r="H40" s="293">
        <f t="shared" si="7"/>
        <v>0.95169621077634481</v>
      </c>
      <c r="I40" s="293">
        <f t="shared" si="7"/>
        <v>0.9507328980689963</v>
      </c>
      <c r="J40" s="293">
        <f t="shared" si="7"/>
        <v>0.94837006847700112</v>
      </c>
      <c r="K40" s="293">
        <f t="shared" si="7"/>
        <v>0.99842301503554809</v>
      </c>
      <c r="L40" s="293">
        <f t="shared" si="7"/>
        <v>0.95605311445059937</v>
      </c>
      <c r="M40" s="293">
        <f t="shared" si="7"/>
        <v>0.93538523181659983</v>
      </c>
      <c r="N40" s="293">
        <f t="shared" si="7"/>
        <v>0.89624896881074934</v>
      </c>
      <c r="O40" s="293">
        <f t="shared" si="7"/>
        <v>1.0244634949417668</v>
      </c>
      <c r="P40" s="293"/>
      <c r="Q40" s="293"/>
      <c r="R40" s="303"/>
    </row>
    <row r="41" spans="1:32" ht="19.5" customHeight="1">
      <c r="A41" s="945"/>
      <c r="B41" s="698">
        <v>2009</v>
      </c>
      <c r="C41" s="528"/>
      <c r="D41" s="528"/>
      <c r="E41" s="294"/>
      <c r="F41" s="528"/>
      <c r="G41" s="528"/>
      <c r="H41" s="293">
        <f t="shared" si="7"/>
        <v>0.93921565764386761</v>
      </c>
      <c r="I41" s="293">
        <f t="shared" si="7"/>
        <v>0.97936072879025304</v>
      </c>
      <c r="J41" s="293">
        <f t="shared" si="7"/>
        <v>0.97103975190380298</v>
      </c>
      <c r="K41" s="293">
        <f t="shared" si="7"/>
        <v>0.9892865843803943</v>
      </c>
      <c r="L41" s="293">
        <f t="shared" si="7"/>
        <v>0.92910831700001406</v>
      </c>
      <c r="M41" s="293">
        <f t="shared" si="7"/>
        <v>0.91736930922141735</v>
      </c>
      <c r="N41" s="293">
        <f t="shared" si="7"/>
        <v>0.88141050272274279</v>
      </c>
      <c r="O41" s="293">
        <f t="shared" si="7"/>
        <v>1.0116639087508426</v>
      </c>
      <c r="P41" s="293"/>
      <c r="Q41" s="293"/>
      <c r="R41" s="303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</row>
    <row r="42" spans="1:32" ht="19.5" customHeight="1">
      <c r="A42" s="514"/>
      <c r="B42" s="697">
        <v>2010</v>
      </c>
      <c r="C42" s="528"/>
      <c r="D42" s="528"/>
      <c r="E42" s="294"/>
      <c r="F42" s="528"/>
      <c r="G42" s="528"/>
      <c r="H42" s="293">
        <f t="shared" si="7"/>
        <v>1.0311511780640126</v>
      </c>
      <c r="I42" s="293">
        <f t="shared" si="7"/>
        <v>1.0587767085309587</v>
      </c>
      <c r="J42" s="293">
        <f t="shared" si="7"/>
        <v>0.99790867794923543</v>
      </c>
      <c r="K42" s="293">
        <f t="shared" si="7"/>
        <v>1.0079010359965939</v>
      </c>
      <c r="L42" s="293">
        <f t="shared" si="7"/>
        <v>1.0169802211837349</v>
      </c>
      <c r="M42" s="293">
        <f t="shared" si="7"/>
        <v>1.0648519565476775</v>
      </c>
      <c r="N42" s="293">
        <f t="shared" si="7"/>
        <v>1.0603620295828557</v>
      </c>
      <c r="O42" s="293">
        <f t="shared" si="7"/>
        <v>1.0249949489256049</v>
      </c>
      <c r="P42" s="293"/>
      <c r="Q42" s="293"/>
      <c r="R42" s="303"/>
    </row>
    <row r="43" spans="1:32" ht="19.5" customHeight="1">
      <c r="A43" s="514"/>
      <c r="B43" s="698">
        <v>2011</v>
      </c>
      <c r="C43" s="528"/>
      <c r="D43" s="528"/>
      <c r="E43" s="294"/>
      <c r="F43" s="528"/>
      <c r="G43" s="528"/>
      <c r="H43" s="293">
        <f t="shared" ref="H43:J45" si="8">H28/H27</f>
        <v>0.99320121004687389</v>
      </c>
      <c r="I43" s="293">
        <f>I28/I27</f>
        <v>0.9895755251684446</v>
      </c>
      <c r="J43" s="293">
        <f t="shared" si="8"/>
        <v>1.0190735923096472</v>
      </c>
      <c r="K43" s="293">
        <f t="shared" si="7"/>
        <v>0.99047967479190591</v>
      </c>
      <c r="L43" s="293">
        <f t="shared" si="7"/>
        <v>1.0115624881505465</v>
      </c>
      <c r="M43" s="293">
        <f t="shared" si="7"/>
        <v>1.0076765012174951</v>
      </c>
      <c r="N43" s="293">
        <f t="shared" si="7"/>
        <v>1.0859851801766842</v>
      </c>
      <c r="O43" s="293">
        <f t="shared" si="7"/>
        <v>1.0343619928827037</v>
      </c>
      <c r="P43" s="293"/>
      <c r="Q43" s="293"/>
      <c r="R43" s="303"/>
    </row>
    <row r="44" spans="1:32" ht="19.5" customHeight="1">
      <c r="A44" s="514"/>
      <c r="B44" s="698">
        <v>2012</v>
      </c>
      <c r="C44" s="528"/>
      <c r="D44" s="528"/>
      <c r="E44" s="294"/>
      <c r="F44" s="528"/>
      <c r="G44" s="528"/>
      <c r="H44" s="293">
        <f t="shared" si="8"/>
        <v>0.99191913364855633</v>
      </c>
      <c r="I44" s="293">
        <f>I29/I28</f>
        <v>0.99176365068652939</v>
      </c>
      <c r="J44" s="293">
        <f>J29/J28</f>
        <v>0.98895234077977301</v>
      </c>
      <c r="K44" s="293">
        <f t="shared" si="7"/>
        <v>0.98099498807823926</v>
      </c>
      <c r="L44" s="293">
        <f t="shared" si="7"/>
        <v>1.0092836500043831</v>
      </c>
      <c r="M44" s="293">
        <f t="shared" si="7"/>
        <v>1.0373390263412348</v>
      </c>
      <c r="N44" s="293">
        <f t="shared" si="7"/>
        <v>1.0198138769943028</v>
      </c>
      <c r="O44" s="293">
        <f>O29/O28</f>
        <v>1.0112435622470139</v>
      </c>
      <c r="P44" s="293"/>
      <c r="Q44" s="293"/>
      <c r="R44" s="303"/>
    </row>
    <row r="45" spans="1:32" ht="19.5" customHeight="1">
      <c r="A45" s="514"/>
      <c r="B45" s="698">
        <v>2013</v>
      </c>
      <c r="C45" s="528"/>
      <c r="D45" s="528"/>
      <c r="E45" s="294"/>
      <c r="F45" s="528"/>
      <c r="G45" s="528"/>
      <c r="H45" s="293">
        <f>H30/H29</f>
        <v>0.96370513321316309</v>
      </c>
      <c r="I45" s="293">
        <f>I30/I29</f>
        <v>0.95869112072660689</v>
      </c>
      <c r="J45" s="293">
        <f t="shared" si="8"/>
        <v>0.99885850864287551</v>
      </c>
      <c r="K45" s="293">
        <f t="shared" si="7"/>
        <v>0.98914390124856755</v>
      </c>
      <c r="L45" s="293">
        <f t="shared" si="7"/>
        <v>0.99364950896386439</v>
      </c>
      <c r="M45" s="293">
        <f t="shared" si="7"/>
        <v>0.97962333894033582</v>
      </c>
      <c r="N45" s="293">
        <f t="shared" si="7"/>
        <v>0.94582287098306417</v>
      </c>
      <c r="O45" s="293">
        <f>O30/O29</f>
        <v>1.0055245922373626</v>
      </c>
      <c r="P45" s="293"/>
      <c r="Q45" s="293"/>
      <c r="R45" s="303"/>
    </row>
    <row r="46" spans="1:32" ht="13.8" thickBot="1">
      <c r="A46" s="34"/>
      <c r="B46" s="699"/>
      <c r="C46" s="531"/>
      <c r="D46" s="531"/>
      <c r="E46" s="271"/>
      <c r="F46" s="531"/>
      <c r="G46" s="531"/>
      <c r="H46" s="271"/>
      <c r="I46" s="536"/>
      <c r="J46" s="536"/>
      <c r="K46" s="536"/>
      <c r="L46" s="536"/>
      <c r="M46" s="536"/>
      <c r="N46" s="536"/>
      <c r="O46" s="536"/>
      <c r="P46" s="536"/>
      <c r="Q46" s="536"/>
      <c r="R46" s="700"/>
      <c r="T46" s="348"/>
      <c r="U46" s="348"/>
      <c r="V46" s="348"/>
      <c r="W46" s="348"/>
      <c r="X46" s="348"/>
      <c r="Y46" s="348"/>
      <c r="Z46" s="348"/>
      <c r="AA46" s="348"/>
      <c r="AB46" s="348"/>
      <c r="AC46" s="348"/>
      <c r="AD46" s="348"/>
      <c r="AE46" s="348"/>
      <c r="AF46" s="348"/>
    </row>
    <row r="47" spans="1:32" ht="13.8" thickBot="1">
      <c r="A47" s="8"/>
      <c r="B47" s="701" t="s">
        <v>91</v>
      </c>
      <c r="C47" s="521"/>
      <c r="D47" s="521"/>
      <c r="E47" s="522"/>
      <c r="F47" s="521"/>
      <c r="G47" s="702"/>
      <c r="H47" s="524">
        <f>GEOMEAN(H41:H45)</f>
        <v>0.98335214456697584</v>
      </c>
      <c r="I47" s="524">
        <f>GEOMEAN(I41:I45)</f>
        <v>0.99507675290332953</v>
      </c>
      <c r="J47" s="524">
        <f>GEOMEAN(J41:J45)</f>
        <v>0.99504458006160335</v>
      </c>
      <c r="K47" s="524">
        <f>GEOMEAN(K41:K45)</f>
        <v>0.99152203258441707</v>
      </c>
      <c r="L47" s="524">
        <f t="shared" ref="L47:N47" si="9">GEOMEAN(L41:L45)</f>
        <v>0.99157051920178718</v>
      </c>
      <c r="M47" s="524">
        <f>GEOMEAN(M41:M45)</f>
        <v>1.0000619006034512</v>
      </c>
      <c r="N47" s="524">
        <f t="shared" si="9"/>
        <v>0.99576625195024815</v>
      </c>
      <c r="O47" s="524">
        <f>GEOMEAN(O41:O45)</f>
        <v>1.0175032393774734</v>
      </c>
      <c r="P47" s="524"/>
      <c r="Q47" s="524"/>
      <c r="R47" s="525"/>
    </row>
    <row r="48" spans="1:32" ht="13.8" thickBot="1">
      <c r="A48" s="8"/>
      <c r="B48" s="4"/>
      <c r="C48" s="531"/>
      <c r="D48" s="531"/>
      <c r="E48" s="271"/>
      <c r="F48" s="531"/>
      <c r="G48" s="531"/>
      <c r="H48" s="271"/>
      <c r="I48" s="536"/>
      <c r="J48" s="536"/>
      <c r="K48" s="536"/>
      <c r="L48" s="536"/>
      <c r="M48" s="536"/>
      <c r="N48" s="536"/>
      <c r="O48" s="536"/>
      <c r="P48" s="536"/>
      <c r="Q48" s="536"/>
      <c r="R48" s="536"/>
      <c r="T48" s="66"/>
    </row>
    <row r="49" spans="1:32" ht="27" customHeight="1" thickBot="1">
      <c r="A49" s="261"/>
      <c r="B49" s="715" t="s">
        <v>316</v>
      </c>
      <c r="C49" s="526"/>
      <c r="D49" s="526"/>
      <c r="E49" s="526"/>
      <c r="F49" s="526"/>
      <c r="G49" s="526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513" t="s">
        <v>65</v>
      </c>
    </row>
    <row r="50" spans="1:32">
      <c r="A50" s="8"/>
      <c r="B50" s="2">
        <v>2014</v>
      </c>
      <c r="C50" s="526"/>
      <c r="D50" s="526"/>
      <c r="E50" s="526"/>
      <c r="F50" s="526"/>
      <c r="G50" s="526"/>
      <c r="H50" s="680">
        <f>SUM(I50:O50)</f>
        <v>3906458489.3592572</v>
      </c>
      <c r="I50" s="284">
        <f>I31*'Rate Class Customer Model'!C17</f>
        <v>1224042989.5106871</v>
      </c>
      <c r="J50" s="284">
        <f>J31*'Rate Class Customer Model'!D17</f>
        <v>330211012.34463048</v>
      </c>
      <c r="K50" s="284">
        <f>K31*'Rate Class Customer Model'!E17</f>
        <v>5818253.4698772868</v>
      </c>
      <c r="L50" s="284">
        <f>L31*'Rate Class Customer Model'!F17</f>
        <v>1068407757.6636436</v>
      </c>
      <c r="M50" s="284">
        <f>M31*'Rate Class Customer Model'!G17</f>
        <v>866852149.57206202</v>
      </c>
      <c r="N50" s="284">
        <f>N31*'Rate Class Customer Model'!H17</f>
        <v>378840527.06046534</v>
      </c>
      <c r="O50" s="284">
        <f>O31*'Rate Class Customer Model'!I17</f>
        <v>32285799.737891771</v>
      </c>
      <c r="P50" s="284"/>
      <c r="Q50" s="284"/>
      <c r="R50" s="274"/>
      <c r="S50" s="532">
        <f>SUM('Rate Class Energy Model'!I50:R50)</f>
        <v>3906458489.3592572</v>
      </c>
    </row>
    <row r="51" spans="1:32" ht="13.8" thickBot="1">
      <c r="A51" s="8"/>
      <c r="B51" s="2">
        <v>2015</v>
      </c>
      <c r="C51" s="526"/>
      <c r="D51" s="526"/>
      <c r="E51" s="526"/>
      <c r="F51" s="526"/>
      <c r="G51" s="526"/>
      <c r="H51" s="681">
        <f>SUM(I51:O51)</f>
        <v>3921329723.0029697</v>
      </c>
      <c r="I51" s="522">
        <f>I32*'Rate Class Customer Model'!C18</f>
        <v>1250627456.4657545</v>
      </c>
      <c r="J51" s="522">
        <f>J32*'Rate Class Customer Model'!D18</f>
        <v>337269905.54110295</v>
      </c>
      <c r="K51" s="522">
        <f>K32*'Rate Class Customer Model'!E18</f>
        <v>5931732.9043365736</v>
      </c>
      <c r="L51" s="522">
        <f>L32*'Rate Class Customer Model'!F18</f>
        <v>1052124729.5214856</v>
      </c>
      <c r="M51" s="522">
        <f>M32*'Rate Class Customer Model'!G18</f>
        <v>864832332.30365574</v>
      </c>
      <c r="N51" s="522">
        <f>N32*'Rate Class Customer Model'!H18</f>
        <v>377236611.71785611</v>
      </c>
      <c r="O51" s="522">
        <f>O32*'Rate Class Customer Model'!I18</f>
        <v>33306954.548778366</v>
      </c>
      <c r="P51" s="522"/>
      <c r="Q51" s="522"/>
      <c r="R51" s="534"/>
      <c r="S51" s="533">
        <f>SUM('Rate Class Energy Model'!I51:R51)</f>
        <v>3921329723.0029697</v>
      </c>
    </row>
    <row r="52" spans="1:32" ht="13.8" thickBot="1">
      <c r="A52" s="8"/>
      <c r="B52" s="2"/>
      <c r="C52" s="526"/>
      <c r="D52" s="526"/>
      <c r="E52" s="526"/>
      <c r="F52" s="526"/>
      <c r="G52" s="526"/>
      <c r="H52" s="359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1"/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</row>
    <row r="53" spans="1:32" ht="53.4" thickBot="1">
      <c r="A53" s="8"/>
      <c r="B53" s="676" t="s">
        <v>317</v>
      </c>
      <c r="C53" s="526"/>
      <c r="D53" s="526"/>
      <c r="E53" s="526"/>
      <c r="F53" s="526"/>
      <c r="G53" s="526"/>
      <c r="H53" s="359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513" t="s">
        <v>65</v>
      </c>
    </row>
    <row r="54" spans="1:32">
      <c r="A54" s="8"/>
      <c r="B54" s="2">
        <f>B50</f>
        <v>2014</v>
      </c>
      <c r="C54" s="526"/>
      <c r="D54" s="526"/>
      <c r="E54" s="526"/>
      <c r="F54" s="526"/>
      <c r="G54" s="526"/>
      <c r="H54" s="614">
        <f>H15</f>
        <v>3980104863.2309437</v>
      </c>
      <c r="I54" s="288">
        <f>I50+I63</f>
        <v>1259753299.706377</v>
      </c>
      <c r="J54" s="288">
        <f t="shared" ref="J54:K55" si="10">J50+J63</f>
        <v>339844610.0057497</v>
      </c>
      <c r="K54" s="288">
        <f t="shared" si="10"/>
        <v>5818253.4698772868</v>
      </c>
      <c r="L54" s="288">
        <f t="shared" ref="L54:O55" si="11">L50+L63</f>
        <v>1087234825.1578662</v>
      </c>
      <c r="M54" s="288">
        <f t="shared" si="11"/>
        <v>873498256.78859937</v>
      </c>
      <c r="N54" s="288">
        <f>N50+N63</f>
        <v>381669818.36458278</v>
      </c>
      <c r="O54" s="288">
        <f t="shared" si="11"/>
        <v>32285799.737891771</v>
      </c>
      <c r="P54" s="288"/>
      <c r="Q54" s="288"/>
      <c r="R54" s="289"/>
      <c r="S54" s="532">
        <f>SUM('Rate Class Energy Model'!I54:R54)</f>
        <v>3980104863.2309442</v>
      </c>
    </row>
    <row r="55" spans="1:32" ht="13.8" thickBot="1">
      <c r="A55" s="8"/>
      <c r="B55" s="2">
        <f>B51</f>
        <v>2015</v>
      </c>
      <c r="C55" s="526"/>
      <c r="D55" s="526"/>
      <c r="E55" s="526"/>
      <c r="F55" s="526"/>
      <c r="G55" s="526"/>
      <c r="H55" s="615">
        <f>H16</f>
        <v>4063316871.3092837</v>
      </c>
      <c r="I55" s="467">
        <f>I51+I64</f>
        <v>1320339255.480989</v>
      </c>
      <c r="J55" s="467">
        <f t="shared" si="10"/>
        <v>356069822.13290077</v>
      </c>
      <c r="K55" s="467">
        <f t="shared" si="10"/>
        <v>5931732.9043365736</v>
      </c>
      <c r="L55" s="467">
        <f t="shared" si="11"/>
        <v>1087548456.7470737</v>
      </c>
      <c r="M55" s="467">
        <f t="shared" si="11"/>
        <v>877501136.09323049</v>
      </c>
      <c r="N55" s="467">
        <f>N51+N64</f>
        <v>382619513.4019751</v>
      </c>
      <c r="O55" s="467">
        <f>O51+O64</f>
        <v>33306954.548778366</v>
      </c>
      <c r="P55" s="467"/>
      <c r="Q55" s="467"/>
      <c r="R55" s="523"/>
      <c r="S55" s="533">
        <f>SUM('Rate Class Energy Model'!I55:R55)</f>
        <v>4063316871.3092837</v>
      </c>
      <c r="T55" s="348"/>
      <c r="U55" s="348"/>
      <c r="V55" s="348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</row>
    <row r="56" spans="1:32" ht="13.8" thickBot="1">
      <c r="A56" s="8"/>
      <c r="B56" s="2"/>
      <c r="C56" s="526"/>
      <c r="D56" s="526"/>
      <c r="E56" s="526"/>
      <c r="F56" s="526"/>
      <c r="G56" s="526"/>
      <c r="H56" s="326"/>
      <c r="I56" s="294"/>
      <c r="J56" s="294"/>
      <c r="K56" s="294"/>
      <c r="L56" s="294"/>
      <c r="M56" s="294"/>
      <c r="N56" s="294"/>
      <c r="O56" s="294"/>
      <c r="P56" s="294"/>
      <c r="Q56" s="294"/>
      <c r="R56" s="294"/>
      <c r="S56" s="1"/>
    </row>
    <row r="57" spans="1:32" ht="13.8" thickBot="1">
      <c r="A57" s="8"/>
      <c r="B57" s="124" t="s">
        <v>318</v>
      </c>
      <c r="C57" s="526"/>
      <c r="D57" s="526"/>
      <c r="E57" s="526"/>
      <c r="F57" s="526"/>
      <c r="G57" s="526"/>
      <c r="H57" s="682">
        <v>2014</v>
      </c>
      <c r="I57" s="670">
        <v>1</v>
      </c>
      <c r="J57" s="670">
        <v>1</v>
      </c>
      <c r="K57" s="670">
        <v>0</v>
      </c>
      <c r="L57" s="670">
        <v>0.60401635053001168</v>
      </c>
      <c r="M57" s="670">
        <v>0.26279999999999998</v>
      </c>
      <c r="N57" s="670">
        <v>0.25599075476092298</v>
      </c>
      <c r="O57" s="670">
        <v>0</v>
      </c>
      <c r="P57" s="670"/>
      <c r="Q57" s="670"/>
      <c r="R57" s="678"/>
      <c r="S57" s="513" t="s">
        <v>65</v>
      </c>
      <c r="T57" s="66"/>
    </row>
    <row r="58" spans="1:32" ht="13.8" thickBot="1">
      <c r="A58" s="8"/>
      <c r="B58" s="124"/>
      <c r="C58" s="526"/>
      <c r="D58" s="526"/>
      <c r="E58" s="526"/>
      <c r="F58" s="526"/>
      <c r="G58" s="526"/>
      <c r="H58" s="683">
        <v>2015</v>
      </c>
      <c r="I58" s="677">
        <f>I57</f>
        <v>1</v>
      </c>
      <c r="J58" s="677">
        <f t="shared" ref="J58:O58" si="12">J57</f>
        <v>1</v>
      </c>
      <c r="K58" s="677">
        <f t="shared" si="12"/>
        <v>0</v>
      </c>
      <c r="L58" s="677">
        <f t="shared" si="12"/>
        <v>0.60401635053001168</v>
      </c>
      <c r="M58" s="677">
        <f t="shared" si="12"/>
        <v>0.26279999999999998</v>
      </c>
      <c r="N58" s="677">
        <f t="shared" si="12"/>
        <v>0.25599075476092298</v>
      </c>
      <c r="O58" s="677">
        <f t="shared" si="12"/>
        <v>0</v>
      </c>
      <c r="P58" s="677"/>
      <c r="Q58" s="677"/>
      <c r="R58" s="679"/>
      <c r="S58" s="40"/>
      <c r="T58" s="66"/>
    </row>
    <row r="59" spans="1:32">
      <c r="A59" s="8"/>
      <c r="B59" s="2">
        <f>B50</f>
        <v>2014</v>
      </c>
      <c r="C59" s="527"/>
      <c r="D59" s="527"/>
      <c r="E59" s="527"/>
      <c r="F59" s="526"/>
      <c r="G59" s="526"/>
      <c r="H59" s="680">
        <f>H54-H50</f>
        <v>73646373.871686459</v>
      </c>
      <c r="I59" s="288">
        <f>I50*I57</f>
        <v>1224042989.5106871</v>
      </c>
      <c r="J59" s="288">
        <f>J50*J57</f>
        <v>330211012.34463048</v>
      </c>
      <c r="K59" s="288">
        <f t="shared" ref="J59:O60" si="13">K50*K57</f>
        <v>0</v>
      </c>
      <c r="L59" s="288">
        <f t="shared" si="13"/>
        <v>645335754.66194713</v>
      </c>
      <c r="M59" s="288">
        <f t="shared" si="13"/>
        <v>227808744.90753788</v>
      </c>
      <c r="N59" s="288">
        <f>N50*N57</f>
        <v>96979672.456234381</v>
      </c>
      <c r="O59" s="288">
        <f t="shared" si="13"/>
        <v>0</v>
      </c>
      <c r="P59" s="288"/>
      <c r="Q59" s="288"/>
      <c r="R59" s="289"/>
      <c r="S59" s="532">
        <f>SUM('Rate Class Energy Model'!I59:R59)</f>
        <v>2524378173.8810372</v>
      </c>
      <c r="T59" s="66"/>
    </row>
    <row r="60" spans="1:32" ht="13.8" thickBot="1">
      <c r="A60" s="8"/>
      <c r="B60" s="2">
        <f>B51</f>
        <v>2015</v>
      </c>
      <c r="C60" s="526"/>
      <c r="D60" s="526"/>
      <c r="E60" s="526"/>
      <c r="F60" s="526"/>
      <c r="G60" s="526"/>
      <c r="H60" s="510">
        <f>H55-H51</f>
        <v>141987148.30631399</v>
      </c>
      <c r="I60" s="467">
        <f>I51*I58</f>
        <v>1250627456.4657545</v>
      </c>
      <c r="J60" s="467">
        <f t="shared" si="13"/>
        <v>337269905.54110295</v>
      </c>
      <c r="K60" s="467">
        <f t="shared" si="13"/>
        <v>0</v>
      </c>
      <c r="L60" s="467">
        <f t="shared" si="13"/>
        <v>635500539.42794335</v>
      </c>
      <c r="M60" s="467">
        <f t="shared" si="13"/>
        <v>227277936.92940071</v>
      </c>
      <c r="N60" s="467">
        <f>N51*N58</f>
        <v>96569084.957107231</v>
      </c>
      <c r="O60" s="467">
        <f t="shared" si="13"/>
        <v>0</v>
      </c>
      <c r="P60" s="467"/>
      <c r="Q60" s="467"/>
      <c r="R60" s="523"/>
      <c r="S60" s="533">
        <f>SUM('Rate Class Energy Model'!I60:R60)</f>
        <v>2547244923.3213086</v>
      </c>
      <c r="T60" s="66"/>
    </row>
    <row r="61" spans="1:32" ht="12" customHeight="1" thickBot="1">
      <c r="A61" s="8"/>
      <c r="B61" s="2"/>
      <c r="C61" s="526"/>
      <c r="D61" s="526"/>
      <c r="E61" s="526"/>
      <c r="F61" s="526"/>
      <c r="G61" s="526"/>
      <c r="H61" s="326"/>
      <c r="I61" s="294"/>
      <c r="J61" s="294"/>
      <c r="K61" s="294"/>
      <c r="L61" s="294"/>
      <c r="M61" s="294"/>
      <c r="N61" s="294"/>
      <c r="O61" s="294"/>
      <c r="P61" s="294"/>
      <c r="Q61" s="294"/>
      <c r="R61" s="294"/>
      <c r="S61" s="1"/>
      <c r="T61" s="66"/>
    </row>
    <row r="62" spans="1:32" ht="19.5" customHeight="1" thickBot="1">
      <c r="A62" s="8"/>
      <c r="B62" s="676" t="s">
        <v>100</v>
      </c>
      <c r="C62" s="526"/>
      <c r="D62" s="526"/>
      <c r="E62" s="526"/>
      <c r="F62" s="526"/>
      <c r="G62" s="526"/>
      <c r="H62" s="326"/>
      <c r="I62" s="294"/>
      <c r="J62" s="294"/>
      <c r="K62" s="294"/>
      <c r="L62" s="294"/>
      <c r="M62" s="294"/>
      <c r="N62" s="294"/>
      <c r="O62" s="294"/>
      <c r="P62" s="294"/>
      <c r="Q62" s="294"/>
      <c r="R62" s="294"/>
      <c r="S62" s="513" t="s">
        <v>65</v>
      </c>
      <c r="T62" s="350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</row>
    <row r="63" spans="1:32">
      <c r="A63" s="8"/>
      <c r="B63" s="2">
        <f>B50</f>
        <v>2014</v>
      </c>
      <c r="C63" s="526"/>
      <c r="D63" s="526"/>
      <c r="E63" s="526"/>
      <c r="F63" s="526"/>
      <c r="G63" s="526"/>
      <c r="H63" s="686">
        <f>SUM(I63:R63)</f>
        <v>73646373.871686444</v>
      </c>
      <c r="I63" s="288">
        <f t="shared" ref="I63:O63" si="14">I59/$S59*$H$59</f>
        <v>35710310.19568982</v>
      </c>
      <c r="J63" s="288">
        <f t="shared" si="14"/>
        <v>9633597.661119204</v>
      </c>
      <c r="K63" s="288">
        <f t="shared" si="14"/>
        <v>0</v>
      </c>
      <c r="L63" s="288">
        <f t="shared" si="14"/>
        <v>18827067.4942226</v>
      </c>
      <c r="M63" s="288">
        <f t="shared" si="14"/>
        <v>6646107.2165373676</v>
      </c>
      <c r="N63" s="288">
        <f t="shared" si="14"/>
        <v>2829291.3041174593</v>
      </c>
      <c r="O63" s="288">
        <f t="shared" si="14"/>
        <v>0</v>
      </c>
      <c r="P63" s="288"/>
      <c r="Q63" s="288"/>
      <c r="R63" s="289"/>
      <c r="S63" s="532">
        <f>SUM('Rate Class Energy Model'!I63:R63)</f>
        <v>73646373.871686444</v>
      </c>
      <c r="T63" s="66"/>
    </row>
    <row r="64" spans="1:32" ht="13.8" thickBot="1">
      <c r="A64" s="8"/>
      <c r="B64" s="2">
        <f>B51</f>
        <v>2015</v>
      </c>
      <c r="C64" s="526"/>
      <c r="D64" s="526"/>
      <c r="E64" s="526"/>
      <c r="F64" s="526"/>
      <c r="G64" s="526"/>
      <c r="H64" s="510">
        <f>SUM(I64:R64)</f>
        <v>141987148.30631399</v>
      </c>
      <c r="I64" s="467">
        <f t="shared" ref="I64:O64" si="15">I60/$S$60*$H$60</f>
        <v>69711799.015234441</v>
      </c>
      <c r="J64" s="467">
        <f t="shared" si="15"/>
        <v>18799916.591797844</v>
      </c>
      <c r="K64" s="467">
        <f t="shared" si="15"/>
        <v>0</v>
      </c>
      <c r="L64" s="467">
        <f t="shared" si="15"/>
        <v>35423727.225588031</v>
      </c>
      <c r="M64" s="467">
        <f t="shared" si="15"/>
        <v>12668803.789574694</v>
      </c>
      <c r="N64" s="467">
        <f t="shared" si="15"/>
        <v>5382901.6841189899</v>
      </c>
      <c r="O64" s="467">
        <f t="shared" si="15"/>
        <v>0</v>
      </c>
      <c r="P64" s="467"/>
      <c r="Q64" s="467"/>
      <c r="R64" s="523"/>
      <c r="S64" s="533">
        <f>SUM('Rate Class Energy Model'!I64:R64)</f>
        <v>141987148.30631399</v>
      </c>
      <c r="T64" s="66"/>
    </row>
    <row r="65" spans="1:32" ht="13.8" thickBot="1">
      <c r="A65" s="34"/>
      <c r="B65" s="4"/>
      <c r="C65" s="526"/>
      <c r="D65" s="526"/>
      <c r="E65" s="526"/>
      <c r="F65" s="526"/>
      <c r="G65" s="526"/>
      <c r="H65" s="271"/>
      <c r="I65" s="271"/>
      <c r="J65" s="271"/>
      <c r="K65" s="271"/>
      <c r="L65" s="271"/>
      <c r="M65" s="271"/>
      <c r="N65" s="271"/>
      <c r="O65" s="271"/>
      <c r="P65" s="271"/>
      <c r="Q65" s="271"/>
      <c r="R65" s="271"/>
      <c r="T65" s="350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</row>
    <row r="66" spans="1:32">
      <c r="B66" s="4"/>
      <c r="C66" s="531"/>
      <c r="D66" s="531"/>
      <c r="E66" s="531"/>
      <c r="F66" s="531"/>
      <c r="G66" s="531"/>
      <c r="H66" s="271"/>
      <c r="I66" s="271"/>
      <c r="J66" s="271"/>
      <c r="K66" s="271"/>
      <c r="L66" s="271"/>
      <c r="M66" s="271"/>
      <c r="N66" s="271"/>
      <c r="O66" s="271"/>
      <c r="P66" s="271"/>
      <c r="Q66" s="271"/>
      <c r="R66" s="271"/>
      <c r="T66" s="66"/>
    </row>
    <row r="67" spans="1:32" s="66" customFormat="1" ht="13.8" thickBot="1">
      <c r="B67" s="124"/>
      <c r="C67" s="528"/>
      <c r="D67" s="528"/>
      <c r="E67" s="528"/>
      <c r="F67" s="528"/>
      <c r="G67" s="528"/>
      <c r="H67" s="299"/>
      <c r="I67" s="616"/>
      <c r="J67" s="616"/>
      <c r="K67" s="616"/>
      <c r="L67" s="616"/>
      <c r="M67" s="616"/>
      <c r="N67" s="616"/>
      <c r="O67" s="616"/>
      <c r="P67" s="616"/>
      <c r="Q67" s="616"/>
      <c r="R67" s="616"/>
    </row>
    <row r="68" spans="1:32" ht="13.8" thickBot="1">
      <c r="B68" s="2" t="s">
        <v>213</v>
      </c>
      <c r="C68" s="531"/>
      <c r="D68" s="531"/>
      <c r="E68" s="531"/>
      <c r="F68" s="531"/>
      <c r="G68" s="531"/>
      <c r="H68" s="271"/>
      <c r="I68" s="271"/>
      <c r="J68" s="271"/>
      <c r="K68" s="271"/>
      <c r="L68" s="271"/>
      <c r="M68" s="271"/>
      <c r="N68" s="271"/>
      <c r="O68" s="271"/>
      <c r="P68" s="271"/>
      <c r="Q68" s="271"/>
      <c r="R68" s="271"/>
      <c r="S68" s="712" t="s">
        <v>65</v>
      </c>
      <c r="T68" s="66"/>
    </row>
    <row r="69" spans="1:32">
      <c r="A69" s="8"/>
      <c r="B69" s="2">
        <f>B63</f>
        <v>2014</v>
      </c>
      <c r="C69" s="526"/>
      <c r="D69" s="526"/>
      <c r="E69" s="526"/>
      <c r="F69" s="526"/>
      <c r="G69" s="526"/>
      <c r="H69" s="684">
        <f>SUM(I69:O69)</f>
        <v>-44327914.819726631</v>
      </c>
      <c r="I69" s="288">
        <f>-10658580.5156998/1.0349</f>
        <v>-10299140.5118367</v>
      </c>
      <c r="J69" s="288">
        <f>-1236692.18548653/1.0349</f>
        <v>-1194987.1344927337</v>
      </c>
      <c r="K69" s="288">
        <v>0</v>
      </c>
      <c r="L69" s="288">
        <f>-20348176.9981571/1.0349</f>
        <v>-19661974.10199739</v>
      </c>
      <c r="M69" s="288">
        <f>-13619654.7158274/1.034</f>
        <v>-13171813.071399806</v>
      </c>
      <c r="N69" s="288">
        <v>0</v>
      </c>
      <c r="O69" s="288">
        <v>0</v>
      </c>
      <c r="P69" s="288"/>
      <c r="Q69" s="288"/>
      <c r="R69" s="289"/>
      <c r="S69" s="532">
        <f>SUM('Rate Class Energy Model'!I69:R69)</f>
        <v>-44327914.819726631</v>
      </c>
    </row>
    <row r="70" spans="1:32" ht="13.8" thickBot="1">
      <c r="A70" s="8"/>
      <c r="B70" s="2">
        <f>B64</f>
        <v>2015</v>
      </c>
      <c r="C70" s="526"/>
      <c r="D70" s="526"/>
      <c r="E70" s="526"/>
      <c r="F70" s="526"/>
      <c r="G70" s="526"/>
      <c r="H70" s="685">
        <f>SUM(I70:O70)</f>
        <v>-51954723.820081554</v>
      </c>
      <c r="I70" s="467">
        <f>-12486004.8901707/1.0341</f>
        <v>-12074272.207881927</v>
      </c>
      <c r="J70" s="467">
        <f>-1448724.30741373/1.0341</f>
        <v>-1400951.8493508655</v>
      </c>
      <c r="K70" s="467">
        <v>0</v>
      </c>
      <c r="L70" s="467">
        <f>-23836892.4577541/1.0341</f>
        <v>-23050858.193360507</v>
      </c>
      <c r="M70" s="467">
        <f>-15954758.2470078/1.0341</f>
        <v>-15428641.56948825</v>
      </c>
      <c r="N70" s="467">
        <v>0</v>
      </c>
      <c r="O70" s="467">
        <v>0</v>
      </c>
      <c r="P70" s="467"/>
      <c r="Q70" s="467"/>
      <c r="R70" s="523"/>
      <c r="S70" s="533">
        <f>SUM('Rate Class Energy Model'!I70:R70)</f>
        <v>-51954723.820081554</v>
      </c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</row>
    <row r="71" spans="1:32" s="66" customFormat="1" ht="13.8" thickBot="1">
      <c r="B71" s="32"/>
      <c r="C71" s="528"/>
      <c r="D71" s="528"/>
      <c r="E71" s="528"/>
      <c r="F71" s="528"/>
      <c r="G71" s="528"/>
      <c r="H71" s="294"/>
      <c r="I71" s="294"/>
      <c r="J71" s="294"/>
      <c r="K71" s="294"/>
      <c r="L71" s="294"/>
      <c r="M71" s="294"/>
      <c r="N71" s="294"/>
      <c r="O71" s="294"/>
      <c r="P71" s="294"/>
      <c r="Q71" s="294"/>
      <c r="R71" s="294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</row>
    <row r="72" spans="1:32" ht="27" thickBot="1">
      <c r="B72" s="676" t="s">
        <v>214</v>
      </c>
      <c r="C72" s="531"/>
      <c r="D72" s="531"/>
      <c r="E72" s="531"/>
      <c r="F72" s="531"/>
      <c r="G72" s="531"/>
      <c r="H72" s="271"/>
      <c r="I72" s="271"/>
      <c r="J72" s="271"/>
      <c r="K72" s="271"/>
      <c r="L72" s="271"/>
      <c r="M72" s="271"/>
      <c r="N72" s="271"/>
      <c r="O72" s="271"/>
      <c r="P72" s="271"/>
      <c r="Q72" s="271"/>
      <c r="R72" s="271"/>
      <c r="S72" s="712" t="s">
        <v>65</v>
      </c>
    </row>
    <row r="73" spans="1:32">
      <c r="A73" s="8"/>
      <c r="B73" s="2">
        <f>B69</f>
        <v>2014</v>
      </c>
      <c r="C73" s="526"/>
      <c r="D73" s="526"/>
      <c r="E73" s="526"/>
      <c r="F73" s="526"/>
      <c r="G73" s="526"/>
      <c r="H73" s="684">
        <f>SUM(I73:R73)</f>
        <v>-55914853.472937033</v>
      </c>
      <c r="I73" s="288">
        <v>0</v>
      </c>
      <c r="J73" s="288">
        <v>0</v>
      </c>
      <c r="K73" s="288">
        <v>0</v>
      </c>
      <c r="L73" s="288">
        <v>0</v>
      </c>
      <c r="M73" s="288">
        <f>-SUM('WH MRK PART.'!$I$40:$I$51)</f>
        <v>-55914853.472937033</v>
      </c>
      <c r="N73" s="288">
        <v>0</v>
      </c>
      <c r="O73" s="288">
        <v>0</v>
      </c>
      <c r="P73" s="288"/>
      <c r="Q73" s="288"/>
      <c r="R73" s="289"/>
      <c r="S73" s="532">
        <f>SUM('Rate Class Energy Model'!I73:R73)</f>
        <v>-55914853.472937033</v>
      </c>
    </row>
    <row r="74" spans="1:32" ht="13.8" thickBot="1">
      <c r="A74" s="8"/>
      <c r="B74" s="2">
        <f>B70</f>
        <v>2015</v>
      </c>
      <c r="C74" s="526"/>
      <c r="D74" s="526"/>
      <c r="E74" s="526"/>
      <c r="F74" s="526"/>
      <c r="G74" s="526"/>
      <c r="H74" s="685">
        <f>SUM(I74:R74)</f>
        <v>-55918314.636108905</v>
      </c>
      <c r="I74" s="467">
        <v>0</v>
      </c>
      <c r="J74" s="467">
        <v>0</v>
      </c>
      <c r="K74" s="467">
        <v>0</v>
      </c>
      <c r="L74" s="467">
        <v>0</v>
      </c>
      <c r="M74" s="467">
        <f>-SUM('WH MRK PART.'!I52:I63)</f>
        <v>-55918314.636108905</v>
      </c>
      <c r="N74" s="467">
        <v>0</v>
      </c>
      <c r="O74" s="467">
        <v>0</v>
      </c>
      <c r="P74" s="467"/>
      <c r="Q74" s="467"/>
      <c r="R74" s="523"/>
      <c r="S74" s="533">
        <f>SUM('Rate Class Energy Model'!I74:R74)</f>
        <v>-55918314.636108905</v>
      </c>
      <c r="T74" s="348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</row>
    <row r="75" spans="1:32" s="66" customFormat="1" ht="13.8" thickBot="1">
      <c r="B75" s="2"/>
      <c r="C75" s="528"/>
      <c r="D75" s="528"/>
      <c r="E75" s="528"/>
      <c r="F75" s="528"/>
      <c r="G75" s="528"/>
      <c r="H75" s="294"/>
      <c r="I75" s="294"/>
      <c r="J75" s="294"/>
      <c r="K75" s="294"/>
      <c r="L75" s="294"/>
      <c r="M75" s="294"/>
      <c r="N75" s="294"/>
      <c r="O75" s="294"/>
      <c r="P75" s="294"/>
      <c r="Q75" s="294"/>
      <c r="R75" s="294"/>
    </row>
    <row r="76" spans="1:32" ht="27" thickBot="1">
      <c r="B76" s="676" t="s">
        <v>255</v>
      </c>
      <c r="C76" s="531"/>
      <c r="D76" s="531"/>
      <c r="E76" s="531"/>
      <c r="F76" s="531"/>
      <c r="G76" s="531"/>
      <c r="H76" s="271"/>
      <c r="I76" s="271"/>
      <c r="J76" s="271"/>
      <c r="K76" s="271"/>
      <c r="L76" s="271"/>
      <c r="M76" s="271"/>
      <c r="N76" s="271"/>
      <c r="O76" s="271"/>
      <c r="P76" s="271"/>
      <c r="Q76" s="271"/>
      <c r="R76" s="271"/>
      <c r="S76" s="712" t="s">
        <v>65</v>
      </c>
    </row>
    <row r="77" spans="1:32">
      <c r="A77" s="8"/>
      <c r="B77" s="2">
        <f>B73</f>
        <v>2014</v>
      </c>
      <c r="C77" s="526"/>
      <c r="D77" s="526"/>
      <c r="E77" s="526"/>
      <c r="F77" s="526"/>
      <c r="G77" s="526"/>
      <c r="H77" s="684">
        <f>SUM(I77:R77)</f>
        <v>3879862094.9382806</v>
      </c>
      <c r="I77" s="687">
        <f>I54+I69+I73</f>
        <v>1249454159.1945403</v>
      </c>
      <c r="J77" s="288">
        <f t="shared" ref="J77:O77" si="16">J54+J69+J73</f>
        <v>338649622.87125695</v>
      </c>
      <c r="K77" s="673">
        <f t="shared" si="16"/>
        <v>5818253.4698772868</v>
      </c>
      <c r="L77" s="288">
        <f t="shared" si="16"/>
        <v>1067572851.0558689</v>
      </c>
      <c r="M77" s="288">
        <f>M54+M69+M73</f>
        <v>804411590.24426258</v>
      </c>
      <c r="N77" s="288">
        <f t="shared" si="16"/>
        <v>381669818.36458278</v>
      </c>
      <c r="O77" s="288">
        <f t="shared" si="16"/>
        <v>32285799.737891771</v>
      </c>
      <c r="P77" s="288"/>
      <c r="Q77" s="288"/>
      <c r="R77" s="289"/>
      <c r="S77" s="703">
        <f>SUM('Rate Class Energy Model'!I77:R77)</f>
        <v>3879862094.9382806</v>
      </c>
    </row>
    <row r="78" spans="1:32" ht="13.8" thickBot="1">
      <c r="A78" s="8"/>
      <c r="B78" s="2">
        <f>B74</f>
        <v>2015</v>
      </c>
      <c r="C78" s="526"/>
      <c r="D78" s="526"/>
      <c r="E78" s="526"/>
      <c r="F78" s="526"/>
      <c r="G78" s="526"/>
      <c r="H78" s="685">
        <f>SUM(I78:R78)</f>
        <v>3955443832.8530936</v>
      </c>
      <c r="I78" s="688">
        <f>I55+I70+I74</f>
        <v>1308264983.2731071</v>
      </c>
      <c r="J78" s="467">
        <f t="shared" ref="J78:O78" si="17">J55+J70+J74</f>
        <v>354668870.2835499</v>
      </c>
      <c r="K78" s="674">
        <f t="shared" si="17"/>
        <v>5931732.9043365736</v>
      </c>
      <c r="L78" s="467">
        <f t="shared" si="17"/>
        <v>1064497598.5537131</v>
      </c>
      <c r="M78" s="467">
        <f t="shared" si="17"/>
        <v>806154179.88763332</v>
      </c>
      <c r="N78" s="467">
        <f t="shared" si="17"/>
        <v>382619513.4019751</v>
      </c>
      <c r="O78" s="467">
        <f t="shared" si="17"/>
        <v>33306954.548778366</v>
      </c>
      <c r="P78" s="467"/>
      <c r="Q78" s="467"/>
      <c r="R78" s="523"/>
      <c r="S78" s="704">
        <f>SUM('Rate Class Energy Model'!I78:R78)</f>
        <v>3955443832.8530936</v>
      </c>
      <c r="T78" s="348"/>
      <c r="U78" s="348"/>
      <c r="V78" s="348"/>
      <c r="W78" s="348"/>
      <c r="X78" s="348"/>
      <c r="Y78" s="348"/>
      <c r="Z78" s="348"/>
      <c r="AA78" s="348"/>
      <c r="AB78" s="348"/>
      <c r="AC78" s="348"/>
      <c r="AD78" s="348"/>
      <c r="AE78" s="348"/>
      <c r="AF78" s="348"/>
    </row>
    <row r="79" spans="1:32" s="66" customFormat="1">
      <c r="B79" s="495"/>
      <c r="C79" s="528"/>
      <c r="D79" s="528"/>
      <c r="E79" s="528"/>
      <c r="F79" s="528"/>
      <c r="G79" s="528"/>
      <c r="H79" s="294"/>
      <c r="I79" s="294"/>
      <c r="J79" s="294"/>
      <c r="K79" s="294"/>
      <c r="L79" s="294"/>
      <c r="M79" s="294"/>
      <c r="N79" s="294"/>
      <c r="O79" s="294"/>
      <c r="P79" s="294"/>
      <c r="Q79" s="294"/>
      <c r="R79" s="294"/>
      <c r="S79" s="495"/>
    </row>
    <row r="80" spans="1:32" ht="13.8" thickBot="1"/>
    <row r="81" spans="2:19" ht="27" thickBot="1">
      <c r="B81" s="676" t="s">
        <v>256</v>
      </c>
      <c r="C81" s="711"/>
      <c r="D81" s="711"/>
      <c r="E81" s="711"/>
      <c r="F81" s="711"/>
      <c r="G81" s="711"/>
      <c r="P81" s="294"/>
      <c r="S81" s="712" t="s">
        <v>65</v>
      </c>
    </row>
    <row r="82" spans="2:19">
      <c r="B82" s="2">
        <f>B77</f>
        <v>2014</v>
      </c>
      <c r="C82" s="711"/>
      <c r="D82" s="711"/>
      <c r="E82" s="711"/>
      <c r="F82" s="711"/>
      <c r="G82" s="711"/>
      <c r="H82" s="684">
        <f>SUM(I82:R82)</f>
        <v>113715.47674831092</v>
      </c>
      <c r="I82" s="284"/>
      <c r="J82" s="284"/>
      <c r="K82" s="284"/>
      <c r="L82" s="284"/>
      <c r="M82" s="284"/>
      <c r="N82" s="284"/>
      <c r="O82" s="284"/>
      <c r="P82" s="288">
        <f>0</f>
        <v>0</v>
      </c>
      <c r="Q82" s="288">
        <f>'Dist. Gen. Forecast'!X17</f>
        <v>113715.47674831092</v>
      </c>
      <c r="R82" s="284">
        <v>0</v>
      </c>
      <c r="S82" s="716">
        <f>SUM(I82:R82)</f>
        <v>113715.47674831092</v>
      </c>
    </row>
    <row r="83" spans="2:19" ht="13.8" thickBot="1">
      <c r="B83" s="2">
        <f>B78</f>
        <v>2015</v>
      </c>
      <c r="C83" s="711"/>
      <c r="D83" s="711"/>
      <c r="E83" s="711"/>
      <c r="F83" s="711"/>
      <c r="G83" s="711"/>
      <c r="H83" s="685">
        <f>SUM(I83:R83)</f>
        <v>17191229.659209568</v>
      </c>
      <c r="I83" s="522"/>
      <c r="J83" s="522"/>
      <c r="K83" s="522"/>
      <c r="L83" s="522"/>
      <c r="M83" s="522"/>
      <c r="N83" s="522"/>
      <c r="O83" s="522"/>
      <c r="P83" s="467">
        <f>'Emb. Dist. Forecast'!N16</f>
        <v>17012413.820937574</v>
      </c>
      <c r="Q83" s="467">
        <f>'Dist. Gen. Forecast'!Q17</f>
        <v>178815.83827199429</v>
      </c>
      <c r="R83" s="522">
        <v>0</v>
      </c>
      <c r="S83" s="717">
        <f>SUM(I83:R83)</f>
        <v>17191229.659209568</v>
      </c>
    </row>
    <row r="84" spans="2:19">
      <c r="C84" s="711"/>
      <c r="D84" s="711"/>
      <c r="E84" s="711"/>
      <c r="F84" s="711"/>
      <c r="G84" s="711"/>
    </row>
    <row r="85" spans="2:19" ht="13.8" thickBot="1">
      <c r="C85" s="711"/>
      <c r="D85" s="711"/>
      <c r="E85" s="711"/>
      <c r="F85" s="711"/>
      <c r="G85" s="711"/>
    </row>
    <row r="86" spans="2:19" ht="27" thickBot="1">
      <c r="B86" s="824" t="s">
        <v>319</v>
      </c>
      <c r="C86" s="711"/>
      <c r="D86" s="711"/>
      <c r="E86" s="711"/>
      <c r="F86" s="711"/>
      <c r="G86" s="711"/>
      <c r="S86" s="712" t="s">
        <v>65</v>
      </c>
    </row>
    <row r="87" spans="2:19">
      <c r="B87" s="2">
        <f>B82</f>
        <v>2014</v>
      </c>
      <c r="C87" s="711"/>
      <c r="D87" s="711"/>
      <c r="E87" s="711"/>
      <c r="F87" s="711"/>
      <c r="G87" s="711"/>
      <c r="H87" s="684">
        <f>SUM(I87:R87)</f>
        <v>3879975810.415029</v>
      </c>
      <c r="I87" s="687">
        <f>I77+I82</f>
        <v>1249454159.1945403</v>
      </c>
      <c r="J87" s="288">
        <f>J77+J82</f>
        <v>338649622.87125695</v>
      </c>
      <c r="K87" s="288">
        <f t="shared" ref="K87:R87" si="18">K77+K82</f>
        <v>5818253.4698772868</v>
      </c>
      <c r="L87" s="288">
        <f t="shared" si="18"/>
        <v>1067572851.0558689</v>
      </c>
      <c r="M87" s="288">
        <f t="shared" si="18"/>
        <v>804411590.24426258</v>
      </c>
      <c r="N87" s="288">
        <f t="shared" si="18"/>
        <v>381669818.36458278</v>
      </c>
      <c r="O87" s="288">
        <f t="shared" si="18"/>
        <v>32285799.737891771</v>
      </c>
      <c r="P87" s="288">
        <f t="shared" si="18"/>
        <v>0</v>
      </c>
      <c r="Q87" s="288">
        <f t="shared" si="18"/>
        <v>113715.47674831092</v>
      </c>
      <c r="R87" s="288">
        <f t="shared" si="18"/>
        <v>0</v>
      </c>
      <c r="S87" s="716">
        <f>SUM(I87:R87)</f>
        <v>3879975810.415029</v>
      </c>
    </row>
    <row r="88" spans="2:19" ht="13.8" thickBot="1">
      <c r="B88" s="2">
        <f>B83</f>
        <v>2015</v>
      </c>
      <c r="H88" s="685">
        <f>SUM(I88:R88)</f>
        <v>3972635062.5123034</v>
      </c>
      <c r="I88" s="688">
        <f>I78+I83</f>
        <v>1308264983.2731071</v>
      </c>
      <c r="J88" s="467">
        <f>J78+J83</f>
        <v>354668870.2835499</v>
      </c>
      <c r="K88" s="467">
        <f t="shared" ref="K88:R88" si="19">K78+K83</f>
        <v>5931732.9043365736</v>
      </c>
      <c r="L88" s="467">
        <f t="shared" si="19"/>
        <v>1064497598.5537131</v>
      </c>
      <c r="M88" s="467">
        <f t="shared" si="19"/>
        <v>806154179.88763332</v>
      </c>
      <c r="N88" s="467">
        <f t="shared" si="19"/>
        <v>382619513.4019751</v>
      </c>
      <c r="O88" s="467">
        <f t="shared" si="19"/>
        <v>33306954.548778366</v>
      </c>
      <c r="P88" s="467">
        <f t="shared" si="19"/>
        <v>17012413.820937574</v>
      </c>
      <c r="Q88" s="467">
        <f t="shared" si="19"/>
        <v>178815.83827199429</v>
      </c>
      <c r="R88" s="467">
        <f t="shared" si="19"/>
        <v>0</v>
      </c>
      <c r="S88" s="717">
        <f>SUM(I88:R88)</f>
        <v>3972635062.5123034</v>
      </c>
    </row>
    <row r="89" spans="2:19">
      <c r="H89" s="661"/>
      <c r="I89" s="499"/>
      <c r="J89" s="499"/>
      <c r="K89" s="499"/>
      <c r="L89" s="499"/>
      <c r="M89" s="499"/>
      <c r="N89" s="499"/>
      <c r="O89" s="499"/>
      <c r="P89" s="499"/>
      <c r="Q89" s="499"/>
      <c r="R89" s="499"/>
    </row>
    <row r="90" spans="2:19" ht="13.8">
      <c r="D90" s="649"/>
      <c r="E90" s="528"/>
      <c r="F90" s="528"/>
      <c r="G90" s="650"/>
      <c r="I90" s="499"/>
      <c r="J90" s="499"/>
      <c r="K90" s="499"/>
      <c r="L90" s="499"/>
      <c r="M90" s="499"/>
      <c r="N90" s="499"/>
      <c r="O90" s="499"/>
      <c r="P90" s="499"/>
      <c r="Q90" s="499"/>
      <c r="R90" s="499"/>
    </row>
    <row r="91" spans="2:19" ht="13.8">
      <c r="D91" s="649"/>
      <c r="E91" s="528"/>
      <c r="F91" s="528"/>
      <c r="G91" s="528"/>
      <c r="H91" s="661"/>
      <c r="I91" s="661"/>
      <c r="J91" s="661"/>
      <c r="K91" s="661"/>
      <c r="L91" s="508"/>
      <c r="M91" s="661"/>
      <c r="N91" s="661"/>
      <c r="O91" s="661"/>
      <c r="P91" s="499"/>
      <c r="Q91" s="499"/>
      <c r="R91" s="499"/>
    </row>
    <row r="92" spans="2:19" ht="13.8">
      <c r="D92" s="649"/>
      <c r="E92" s="528"/>
      <c r="F92" s="528"/>
      <c r="G92" s="528"/>
      <c r="I92" s="661"/>
      <c r="J92" s="661"/>
      <c r="K92" s="661"/>
      <c r="L92" s="661"/>
      <c r="M92" s="661"/>
      <c r="N92" s="661"/>
      <c r="O92" s="661"/>
      <c r="P92" s="499"/>
      <c r="Q92" s="499"/>
      <c r="R92" s="499"/>
    </row>
    <row r="93" spans="2:19" ht="13.8">
      <c r="D93" s="649"/>
      <c r="E93" s="528"/>
      <c r="F93" s="528"/>
      <c r="G93" s="528"/>
      <c r="I93" s="499"/>
      <c r="J93" s="499"/>
      <c r="K93" s="499"/>
      <c r="L93" s="499"/>
      <c r="M93" s="499"/>
      <c r="N93" s="499"/>
      <c r="O93" s="499"/>
      <c r="P93" s="499"/>
      <c r="Q93" s="499"/>
      <c r="R93" s="499"/>
    </row>
    <row r="94" spans="2:19">
      <c r="I94" s="706"/>
      <c r="J94" s="706"/>
      <c r="K94" s="706"/>
      <c r="L94" s="706"/>
      <c r="M94" s="706"/>
      <c r="N94" s="706"/>
      <c r="O94" s="706"/>
      <c r="P94" s="499"/>
      <c r="Q94" s="499"/>
      <c r="R94" s="499"/>
    </row>
    <row r="95" spans="2:19">
      <c r="I95" s="499"/>
      <c r="J95" s="499"/>
      <c r="K95" s="499"/>
      <c r="L95" s="499"/>
      <c r="M95" s="499"/>
      <c r="N95" s="499"/>
      <c r="O95" s="499"/>
      <c r="P95" s="499"/>
      <c r="Q95" s="499"/>
      <c r="R95" s="499"/>
    </row>
    <row r="96" spans="2:19">
      <c r="I96" s="706"/>
      <c r="J96" s="706"/>
      <c r="K96" s="706"/>
      <c r="L96" s="706"/>
      <c r="M96" s="706"/>
      <c r="N96" s="706"/>
      <c r="O96" s="706"/>
      <c r="P96" s="499"/>
      <c r="Q96" s="499"/>
      <c r="R96" s="499"/>
    </row>
    <row r="97" spans="9:18">
      <c r="I97" s="661"/>
      <c r="J97" s="661"/>
      <c r="K97" s="661"/>
      <c r="L97" s="661"/>
      <c r="M97" s="661"/>
      <c r="N97" s="661"/>
      <c r="O97" s="661"/>
      <c r="P97" s="499"/>
      <c r="Q97" s="499"/>
      <c r="R97" s="499"/>
    </row>
    <row r="98" spans="9:18">
      <c r="I98" s="499"/>
      <c r="J98" s="499"/>
      <c r="K98" s="499"/>
      <c r="L98" s="499"/>
      <c r="M98" s="499"/>
      <c r="N98" s="499"/>
      <c r="O98" s="499"/>
      <c r="P98" s="499"/>
      <c r="Q98" s="499"/>
      <c r="R98" s="499"/>
    </row>
    <row r="99" spans="9:18">
      <c r="I99" s="661"/>
      <c r="J99" s="661"/>
      <c r="K99" s="661"/>
      <c r="L99" s="661"/>
      <c r="M99" s="661"/>
      <c r="N99" s="661"/>
      <c r="O99" s="661"/>
      <c r="P99" s="618"/>
      <c r="Q99" s="618"/>
      <c r="R99" s="618"/>
    </row>
    <row r="101" spans="9:18">
      <c r="I101" s="705"/>
      <c r="J101" s="705"/>
      <c r="K101" s="705"/>
      <c r="L101" s="705"/>
      <c r="M101" s="705"/>
      <c r="N101" s="705"/>
      <c r="O101" s="705"/>
    </row>
    <row r="102" spans="9:18">
      <c r="L102" s="709"/>
    </row>
    <row r="106" spans="9:18">
      <c r="L106" s="710"/>
      <c r="M106" s="710"/>
    </row>
  </sheetData>
  <scenarios current="0" show="0">
    <scenario name="Residnetial" locked="1" count="1" user="dsullivan" comment="Created by dsullivan on 5/17/2013_x000a_Modified by dsullivan on 5/17/2013">
      <inputCells r="I57" val="10" numFmtId="174"/>
    </scenario>
  </scenarios>
  <mergeCells count="10">
    <mergeCell ref="A20:A30"/>
    <mergeCell ref="A35:A41"/>
    <mergeCell ref="C1:O1"/>
    <mergeCell ref="A4:A12"/>
    <mergeCell ref="S1:S2"/>
    <mergeCell ref="P1:P2"/>
    <mergeCell ref="Q1:Q2"/>
    <mergeCell ref="R1:R2"/>
    <mergeCell ref="C19:R19"/>
    <mergeCell ref="C34:R34"/>
  </mergeCells>
  <pageMargins left="0.7" right="0.7" top="0.75" bottom="0.75" header="0.3" footer="0.3"/>
  <pageSetup paperSize="5" scale="5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 tint="-0.499984740745262"/>
    <pageSetUpPr fitToPage="1"/>
  </sheetPr>
  <dimension ref="A1:Q62"/>
  <sheetViews>
    <sheetView showGridLines="0" zoomScaleNormal="100" workbookViewId="0">
      <pane xSplit="2" ySplit="1" topLeftCell="C8" activePane="bottomRight" state="frozen"/>
      <selection activeCell="H9" sqref="H9"/>
      <selection pane="topRight" activeCell="H9" sqref="H9"/>
      <selection pane="bottomLeft" activeCell="H9" sqref="H9"/>
      <selection pane="bottomRight" activeCell="F12" sqref="F12"/>
    </sheetView>
  </sheetViews>
  <sheetFormatPr defaultRowHeight="13.2"/>
  <cols>
    <col min="1" max="1" width="3.33203125" bestFit="1" customWidth="1"/>
    <col min="2" max="2" width="10.44140625" bestFit="1" customWidth="1"/>
    <col min="3" max="3" width="10.109375" style="255" bestFit="1" customWidth="1"/>
    <col min="4" max="4" width="8.88671875" style="255" bestFit="1" customWidth="1"/>
    <col min="5" max="5" width="8.6640625" style="255" bestFit="1" customWidth="1"/>
    <col min="6" max="6" width="9.33203125" style="255" customWidth="1"/>
    <col min="7" max="7" width="12.88671875" style="255" bestFit="1" customWidth="1"/>
    <col min="8" max="8" width="8.6640625" style="255" bestFit="1" customWidth="1"/>
    <col min="9" max="9" width="8.88671875" style="255" bestFit="1" customWidth="1"/>
    <col min="10" max="10" width="10.109375" style="255" bestFit="1" customWidth="1"/>
    <col min="11" max="11" width="10.6640625" style="252" bestFit="1" customWidth="1"/>
    <col min="12" max="13" width="9.109375" style="252"/>
    <col min="17" max="17" width="9.109375" style="66"/>
  </cols>
  <sheetData>
    <row r="1" spans="1:15" ht="48.75" customHeight="1" thickBot="1">
      <c r="C1" s="249" t="s">
        <v>45</v>
      </c>
      <c r="D1" s="250" t="s">
        <v>47</v>
      </c>
      <c r="E1" s="250" t="s">
        <v>46</v>
      </c>
      <c r="F1" s="250" t="s">
        <v>48</v>
      </c>
      <c r="G1" s="250" t="s">
        <v>49</v>
      </c>
      <c r="H1" s="707" t="s">
        <v>173</v>
      </c>
      <c r="I1" s="707" t="s">
        <v>251</v>
      </c>
      <c r="J1" s="251" t="s">
        <v>52</v>
      </c>
    </row>
    <row r="2" spans="1:15">
      <c r="A2" s="944" t="s">
        <v>89</v>
      </c>
      <c r="B2" s="380">
        <v>1999</v>
      </c>
      <c r="C2" s="360"/>
      <c r="D2" s="361"/>
      <c r="E2" s="361"/>
      <c r="F2" s="361"/>
      <c r="G2" s="361"/>
      <c r="H2" s="362"/>
      <c r="I2" s="362"/>
      <c r="J2" s="363"/>
    </row>
    <row r="3" spans="1:15">
      <c r="A3" s="945"/>
      <c r="B3" s="265">
        <v>2000</v>
      </c>
      <c r="C3" s="364"/>
      <c r="D3" s="365"/>
      <c r="E3" s="365"/>
      <c r="F3" s="365"/>
      <c r="G3" s="366"/>
      <c r="H3" s="365"/>
      <c r="I3" s="365"/>
      <c r="J3" s="367"/>
    </row>
    <row r="4" spans="1:15">
      <c r="A4" s="945"/>
      <c r="B4" s="265">
        <v>2001</v>
      </c>
      <c r="C4" s="368"/>
      <c r="D4" s="366"/>
      <c r="E4" s="366"/>
      <c r="F4" s="366"/>
      <c r="G4" s="366"/>
      <c r="H4" s="365"/>
      <c r="I4" s="365"/>
      <c r="J4" s="367"/>
    </row>
    <row r="5" spans="1:15" ht="13.8" thickBot="1">
      <c r="A5" s="945"/>
      <c r="B5" s="265">
        <v>2002</v>
      </c>
      <c r="C5" s="369"/>
      <c r="D5" s="254"/>
      <c r="E5" s="254"/>
      <c r="F5" s="254"/>
      <c r="G5" s="366"/>
      <c r="H5" s="365"/>
      <c r="I5" s="365"/>
      <c r="J5" s="367"/>
    </row>
    <row r="6" spans="1:15">
      <c r="A6" s="945"/>
      <c r="B6" s="265">
        <v>2003</v>
      </c>
      <c r="C6" s="409">
        <f>AVERAGE(Customer!C3:C14)</f>
        <v>91671</v>
      </c>
      <c r="D6" s="410">
        <f>AVERAGE(Customer!D3:D14)</f>
        <v>6511.75</v>
      </c>
      <c r="E6" s="410">
        <f>AVERAGE(Customer!E3:E14)</f>
        <v>1105</v>
      </c>
      <c r="F6" s="410">
        <f>AVERAGE(Customer!F3:F14)</f>
        <v>1357.4166666666667</v>
      </c>
      <c r="G6" s="410">
        <f>AVERAGE(Customer!G3:G14)</f>
        <v>125.91666666666667</v>
      </c>
      <c r="H6" s="410">
        <f>AVERAGE(Customer!H3:H14)</f>
        <v>4</v>
      </c>
      <c r="I6" s="410">
        <f>AVERAGE(Customer!I3:I14)</f>
        <v>19209.5</v>
      </c>
      <c r="J6" s="411">
        <f t="shared" ref="J6:J18" si="0">SUM(C6:I6)</f>
        <v>119984.58333333334</v>
      </c>
      <c r="K6"/>
    </row>
    <row r="7" spans="1:15">
      <c r="A7" s="945"/>
      <c r="B7" s="265">
        <v>2004</v>
      </c>
      <c r="C7" s="370">
        <f>AVERAGE(Customer!C15:C26)</f>
        <v>98354.5</v>
      </c>
      <c r="D7" s="371">
        <f>AVERAGE(Customer!D15:D26)</f>
        <v>6648.25</v>
      </c>
      <c r="E7" s="371">
        <f>AVERAGE(Customer!E15:E26)</f>
        <v>1130</v>
      </c>
      <c r="F7" s="371">
        <f>AVERAGE(Customer!F15:F26)</f>
        <v>1393.3333333333333</v>
      </c>
      <c r="G7" s="371">
        <f>AVERAGE(Customer!G15:G26)</f>
        <v>124.33333333333333</v>
      </c>
      <c r="H7" s="371">
        <f>AVERAGE(Customer!H15:H26)</f>
        <v>3.0833333333333335</v>
      </c>
      <c r="I7" s="371">
        <f>AVERAGE(Customer!I15:I26)</f>
        <v>19382.339216134995</v>
      </c>
      <c r="J7" s="372">
        <f t="shared" si="0"/>
        <v>127035.83921613498</v>
      </c>
      <c r="K7"/>
    </row>
    <row r="8" spans="1:15">
      <c r="A8" s="945"/>
      <c r="B8" s="265">
        <v>2005</v>
      </c>
      <c r="C8" s="370">
        <f>AVERAGE(Customer!C27:C38)</f>
        <v>104821.5</v>
      </c>
      <c r="D8" s="371">
        <f>AVERAGE(Customer!D27:D38)</f>
        <v>6891.666666666667</v>
      </c>
      <c r="E8" s="371">
        <f>AVERAGE(Customer!E27:E38)</f>
        <v>1159</v>
      </c>
      <c r="F8" s="371">
        <f>AVERAGE(Customer!F27:F38)</f>
        <v>1363.75</v>
      </c>
      <c r="G8" s="371">
        <f>AVERAGE(Customer!G27:G38)</f>
        <v>120.5</v>
      </c>
      <c r="H8" s="371">
        <f>AVERAGE(Customer!H27:H38)</f>
        <v>3</v>
      </c>
      <c r="I8" s="371">
        <f>AVERAGE(Customer!I27:I38)</f>
        <v>19532.047760969832</v>
      </c>
      <c r="J8" s="372">
        <f t="shared" si="0"/>
        <v>133891.4644276365</v>
      </c>
      <c r="K8"/>
    </row>
    <row r="9" spans="1:15">
      <c r="A9" s="945"/>
      <c r="B9" s="265">
        <v>2006</v>
      </c>
      <c r="C9" s="370">
        <f>AVERAGE(Customer!C39:C50)</f>
        <v>109778.16666666667</v>
      </c>
      <c r="D9" s="371">
        <f>AVERAGE(Customer!D39:D50)</f>
        <v>7075.333333333333</v>
      </c>
      <c r="E9" s="371">
        <f>AVERAGE(Customer!E39:E50)</f>
        <v>1207</v>
      </c>
      <c r="F9" s="371">
        <f>AVERAGE(Customer!F39:F50)</f>
        <v>1402.0833333333333</v>
      </c>
      <c r="G9" s="371">
        <f>AVERAGE(Customer!G39:G50)</f>
        <v>118.66666666666667</v>
      </c>
      <c r="H9" s="371">
        <f>AVERAGE(Customer!H39:H50)</f>
        <v>3.9166666666666665</v>
      </c>
      <c r="I9" s="371">
        <f>AVERAGE(Customer!I39:I50)</f>
        <v>19700.545243537166</v>
      </c>
      <c r="J9" s="372">
        <f t="shared" si="0"/>
        <v>139285.71191020383</v>
      </c>
      <c r="K9"/>
    </row>
    <row r="10" spans="1:15">
      <c r="A10" s="945"/>
      <c r="B10" s="265">
        <v>2007</v>
      </c>
      <c r="C10" s="370">
        <f>AVERAGE(Customer!C51:C62)</f>
        <v>114118.83333333333</v>
      </c>
      <c r="D10" s="371">
        <f>AVERAGE(Customer!D51:D62)</f>
        <v>7294.333333333333</v>
      </c>
      <c r="E10" s="371">
        <f>AVERAGE(Customer!E51:E62)</f>
        <v>1250</v>
      </c>
      <c r="F10" s="371">
        <f>AVERAGE(Customer!F51:F62)</f>
        <v>1416.8333333333333</v>
      </c>
      <c r="G10" s="371">
        <f>AVERAGE(Customer!G51:G62)</f>
        <v>116.83333333333333</v>
      </c>
      <c r="H10" s="371">
        <f>AVERAGE(Customer!H51:H62)</f>
        <v>4.916666666666667</v>
      </c>
      <c r="I10" s="371">
        <f>AVERAGE(Customer!I51:I62)</f>
        <v>20002.158642736078</v>
      </c>
      <c r="J10" s="372">
        <f t="shared" si="0"/>
        <v>144203.90864273606</v>
      </c>
      <c r="K10"/>
    </row>
    <row r="11" spans="1:15">
      <c r="A11" s="945"/>
      <c r="B11" s="265">
        <v>2008</v>
      </c>
      <c r="C11" s="370">
        <f>AVERAGE(Customer!C63:C74)</f>
        <v>119060</v>
      </c>
      <c r="D11" s="371">
        <f>AVERAGE(Customer!D63:D74)</f>
        <v>7436.75</v>
      </c>
      <c r="E11" s="371">
        <f>AVERAGE(Customer!E63:E74)</f>
        <v>1267</v>
      </c>
      <c r="F11" s="371">
        <f>AVERAGE(Customer!F63:F74)</f>
        <v>1491.1666666666667</v>
      </c>
      <c r="G11" s="371">
        <f>AVERAGE(Customer!G63:G74)</f>
        <v>115.66666666666667</v>
      </c>
      <c r="H11" s="371">
        <f>AVERAGE(Customer!H63:H74)</f>
        <v>6</v>
      </c>
      <c r="I11" s="371">
        <f>AVERAGE(Customer!I63:I74)</f>
        <v>20282.068636034099</v>
      </c>
      <c r="J11" s="372">
        <f t="shared" si="0"/>
        <v>149658.65196936743</v>
      </c>
      <c r="K11"/>
    </row>
    <row r="12" spans="1:15">
      <c r="A12" s="945"/>
      <c r="B12" s="265">
        <v>2009</v>
      </c>
      <c r="C12" s="373">
        <f>AVERAGE(Customer!C75:C86)</f>
        <v>121040.83333333333</v>
      </c>
      <c r="D12" s="374">
        <f>AVERAGE(Customer!D75:D86)</f>
        <v>7528.75</v>
      </c>
      <c r="E12" s="374">
        <f>AVERAGE(Customer!E75:E86)</f>
        <v>1280</v>
      </c>
      <c r="F12" s="374">
        <f>AVERAGE(Customer!F75:F86)</f>
        <v>1553.6666666666667</v>
      </c>
      <c r="G12" s="374">
        <f>AVERAGE(Customer!G75:G86)</f>
        <v>113.91666666666667</v>
      </c>
      <c r="H12" s="374">
        <f>AVERAGE(Customer!H75:H86)</f>
        <v>6</v>
      </c>
      <c r="I12" s="374">
        <f>AVERAGE(Customer!I75:I86)</f>
        <v>20464.909141258118</v>
      </c>
      <c r="J12" s="372">
        <f t="shared" si="0"/>
        <v>151988.07580792479</v>
      </c>
      <c r="K12"/>
    </row>
    <row r="13" spans="1:15">
      <c r="A13" s="945"/>
      <c r="B13" s="265">
        <v>2010</v>
      </c>
      <c r="C13" s="373">
        <f>AVERAGE(Customer!C87:C98)</f>
        <v>123012.66666666667</v>
      </c>
      <c r="D13" s="374">
        <f>AVERAGE(Customer!D87:D98)</f>
        <v>7751.5</v>
      </c>
      <c r="E13" s="374">
        <f>AVERAGE(Customer!E87:E98)</f>
        <v>1293</v>
      </c>
      <c r="F13" s="374">
        <f>AVERAGE(Customer!F87:F98)</f>
        <v>1539</v>
      </c>
      <c r="G13" s="374">
        <f>AVERAGE(Customer!G87:G98)</f>
        <v>114</v>
      </c>
      <c r="H13" s="374">
        <f>AVERAGE(Customer!H87:H98)</f>
        <v>6</v>
      </c>
      <c r="I13" s="374">
        <f>AVERAGE(Customer!I87:I98)</f>
        <v>20690.721096265836</v>
      </c>
      <c r="J13" s="372">
        <f t="shared" si="0"/>
        <v>154406.88776293251</v>
      </c>
    </row>
    <row r="14" spans="1:15" ht="13.8" thickBot="1">
      <c r="A14" s="953"/>
      <c r="B14" s="265">
        <v>2011</v>
      </c>
      <c r="C14" s="373">
        <f>AVERAGE(Customer!C99:C110)</f>
        <v>126316.66666666667</v>
      </c>
      <c r="D14" s="374">
        <f>AVERAGE(Customer!D99:D110)</f>
        <v>8080.333333333333</v>
      </c>
      <c r="E14" s="374">
        <f>AVERAGE(Customer!E99:E110)</f>
        <v>1368.8333333333333</v>
      </c>
      <c r="F14" s="374">
        <f>AVERAGE(Customer!F99:F110)</f>
        <v>1537</v>
      </c>
      <c r="G14" s="374">
        <f>AVERAGE(Customer!G99:G110)</f>
        <v>111.91666666666667</v>
      </c>
      <c r="H14" s="374">
        <f>AVERAGE(Customer!H99:H110)</f>
        <v>6</v>
      </c>
      <c r="I14" s="374">
        <f>AVERAGE(Customer!I99:I110)</f>
        <v>21003.255899495027</v>
      </c>
      <c r="J14" s="372">
        <f t="shared" si="0"/>
        <v>158424.00589949504</v>
      </c>
    </row>
    <row r="15" spans="1:15">
      <c r="A15" s="404"/>
      <c r="B15" s="265">
        <v>2012</v>
      </c>
      <c r="C15" s="373">
        <f>AVERAGE(Customer!C111:C122)</f>
        <v>129698.83333333333</v>
      </c>
      <c r="D15" s="374">
        <f>AVERAGE(Customer!D111:D122)</f>
        <v>8327.5833333333339</v>
      </c>
      <c r="E15" s="374">
        <f>AVERAGE(Customer!E111:E122)</f>
        <v>1424.0833333333333</v>
      </c>
      <c r="F15" s="374">
        <f>AVERAGE(Customer!F111:F122)</f>
        <v>1525.4166666666667</v>
      </c>
      <c r="G15" s="374">
        <f>AVERAGE(Customer!G111:G122)</f>
        <v>111.5</v>
      </c>
      <c r="H15" s="374">
        <f>AVERAGE(Customer!H111:H122)</f>
        <v>6</v>
      </c>
      <c r="I15" s="374">
        <f>AVERAGE(Customer!I111:I122)</f>
        <v>21359.419765147974</v>
      </c>
      <c r="J15" s="372">
        <f t="shared" si="0"/>
        <v>162452.83643181462</v>
      </c>
    </row>
    <row r="16" spans="1:15">
      <c r="A16" s="404"/>
      <c r="B16" s="265">
        <v>2013</v>
      </c>
      <c r="C16" s="373">
        <f>AVERAGE(Customer!C123:C134)</f>
        <v>133722.83333333334</v>
      </c>
      <c r="D16" s="374">
        <f>AVERAGE(Customer!D123:D134)</f>
        <v>8531.9166666666661</v>
      </c>
      <c r="E16" s="374">
        <f>AVERAGE(Customer!E123:E134)</f>
        <v>1477.1666666666667</v>
      </c>
      <c r="F16" s="374">
        <f>AVERAGE(Customer!F123:F134)</f>
        <v>1511.4166666666667</v>
      </c>
      <c r="G16" s="374">
        <f>AVERAGE(Customer!G123:G134)</f>
        <v>115.16666666666667</v>
      </c>
      <c r="H16" s="374">
        <f>AVERAGE(Customer!H123:H134)</f>
        <v>6</v>
      </c>
      <c r="I16" s="374">
        <f>AVERAGE(Customer!I123:I134)</f>
        <v>21727.127805574488</v>
      </c>
      <c r="J16" s="372">
        <f t="shared" si="0"/>
        <v>167091.62780557445</v>
      </c>
      <c r="N16" s="252"/>
      <c r="O16" s="252"/>
    </row>
    <row r="17" spans="1:15">
      <c r="A17" s="404"/>
      <c r="B17" s="265">
        <v>2014</v>
      </c>
      <c r="C17" s="373">
        <f>C16*C32</f>
        <v>137303.07943061844</v>
      </c>
      <c r="D17" s="374">
        <f t="shared" ref="D17:G17" si="1">D16*D32</f>
        <v>8757.7008210179465</v>
      </c>
      <c r="E17" s="374">
        <f t="shared" si="1"/>
        <v>1518.8541771014698</v>
      </c>
      <c r="F17" s="374">
        <f>F16*F32</f>
        <v>1501.0349230132276</v>
      </c>
      <c r="G17" s="374">
        <f t="shared" si="1"/>
        <v>114.89120962150339</v>
      </c>
      <c r="H17" s="374">
        <f>ROUND(H16*H32,0)</f>
        <v>6</v>
      </c>
      <c r="I17" s="374">
        <f>I16*I32</f>
        <v>22028.752031332919</v>
      </c>
      <c r="J17" s="372">
        <f t="shared" si="0"/>
        <v>171230.31259270551</v>
      </c>
      <c r="N17" s="252"/>
      <c r="O17" s="252"/>
    </row>
    <row r="18" spans="1:15" ht="13.8" thickBot="1">
      <c r="A18" s="404"/>
      <c r="B18" s="270">
        <v>2015</v>
      </c>
      <c r="C18" s="708">
        <f>C17*C32</f>
        <v>140979.18172386952</v>
      </c>
      <c r="D18" s="450">
        <f t="shared" ref="D18:I18" si="2">D17*D32</f>
        <v>8989.4600084535614</v>
      </c>
      <c r="E18" s="450">
        <f t="shared" si="2"/>
        <v>1561.7181617727065</v>
      </c>
      <c r="F18" s="450">
        <f t="shared" si="2"/>
        <v>1490.7244903381988</v>
      </c>
      <c r="G18" s="450">
        <f t="shared" si="2"/>
        <v>114.61641141787757</v>
      </c>
      <c r="H18" s="450">
        <f>ROUND(H17*H32,0)</f>
        <v>6</v>
      </c>
      <c r="I18" s="450">
        <f t="shared" si="2"/>
        <v>22334.563518950279</v>
      </c>
      <c r="J18" s="516">
        <f t="shared" si="0"/>
        <v>175476.26431480213</v>
      </c>
      <c r="N18" s="252"/>
      <c r="O18" s="252"/>
    </row>
    <row r="19" spans="1:15" ht="12.75" customHeight="1">
      <c r="B19" s="408"/>
      <c r="C19" s="454"/>
      <c r="D19" s="454"/>
      <c r="E19" s="454"/>
      <c r="F19" s="454"/>
      <c r="G19" s="454"/>
      <c r="H19" s="454"/>
      <c r="I19" s="454"/>
      <c r="J19" s="454"/>
      <c r="M19" s="474"/>
    </row>
    <row r="20" spans="1:15" ht="10.5" customHeight="1" thickBot="1">
      <c r="B20" s="118"/>
      <c r="C20" s="472"/>
      <c r="D20" s="472"/>
      <c r="E20" s="473"/>
      <c r="F20" s="472"/>
      <c r="G20" s="472"/>
      <c r="H20" s="377"/>
      <c r="I20" s="377"/>
      <c r="J20" s="377"/>
      <c r="M20" s="474"/>
    </row>
    <row r="21" spans="1:15" ht="16.5" customHeight="1">
      <c r="A21" s="954" t="s">
        <v>90</v>
      </c>
      <c r="B21" s="265">
        <v>2003</v>
      </c>
      <c r="C21" s="517"/>
      <c r="D21" s="518"/>
      <c r="E21" s="518"/>
      <c r="F21" s="518"/>
      <c r="G21" s="518"/>
      <c r="H21" s="518"/>
      <c r="I21" s="519"/>
      <c r="J21" s="520"/>
    </row>
    <row r="22" spans="1:15" ht="18.75" customHeight="1">
      <c r="A22" s="955"/>
      <c r="B22" s="265">
        <v>2004</v>
      </c>
      <c r="C22" s="375">
        <f>C7/C6</f>
        <v>1.0729074625563155</v>
      </c>
      <c r="D22" s="376">
        <f>D7/D6</f>
        <v>1.0209621069604944</v>
      </c>
      <c r="E22" s="376">
        <f t="shared" ref="E22:J22" si="3">E7/E6</f>
        <v>1.0226244343891402</v>
      </c>
      <c r="F22" s="376">
        <f t="shared" si="3"/>
        <v>1.0264595739456073</v>
      </c>
      <c r="G22" s="376">
        <f t="shared" si="3"/>
        <v>0.98742554599602905</v>
      </c>
      <c r="H22" s="376">
        <f t="shared" si="3"/>
        <v>0.77083333333333337</v>
      </c>
      <c r="I22" s="376">
        <f>I7/I6</f>
        <v>1.0089975905741948</v>
      </c>
      <c r="J22" s="378">
        <f t="shared" si="3"/>
        <v>1.0587680157475923</v>
      </c>
    </row>
    <row r="23" spans="1:15">
      <c r="A23" s="955"/>
      <c r="B23" s="265">
        <v>2005</v>
      </c>
      <c r="C23" s="375">
        <f t="shared" ref="C23:J23" si="4">C8/C7</f>
        <v>1.0657519483094318</v>
      </c>
      <c r="D23" s="376">
        <f t="shared" si="4"/>
        <v>1.0366136451948509</v>
      </c>
      <c r="E23" s="376">
        <f t="shared" si="4"/>
        <v>1.0256637168141594</v>
      </c>
      <c r="F23" s="376">
        <f t="shared" si="4"/>
        <v>0.97876794258373212</v>
      </c>
      <c r="G23" s="376">
        <f t="shared" si="4"/>
        <v>0.96916890080428963</v>
      </c>
      <c r="H23" s="376">
        <f t="shared" si="4"/>
        <v>0.97297297297297292</v>
      </c>
      <c r="I23" s="376">
        <f t="shared" si="4"/>
        <v>1.007723966811509</v>
      </c>
      <c r="J23" s="378">
        <f t="shared" si="4"/>
        <v>1.053966071730652</v>
      </c>
    </row>
    <row r="24" spans="1:15">
      <c r="A24" s="955"/>
      <c r="B24" s="265">
        <v>2006</v>
      </c>
      <c r="C24" s="375">
        <f t="shared" ref="C24:J24" si="5">C9/C8</f>
        <v>1.0472867366586689</v>
      </c>
      <c r="D24" s="376">
        <f t="shared" si="5"/>
        <v>1.0266505441354292</v>
      </c>
      <c r="E24" s="376">
        <f t="shared" si="5"/>
        <v>1.0414150129421915</v>
      </c>
      <c r="F24" s="376">
        <f t="shared" si="5"/>
        <v>1.0281087687137183</v>
      </c>
      <c r="G24" s="376">
        <f t="shared" si="5"/>
        <v>0.98478561549100974</v>
      </c>
      <c r="H24" s="376">
        <f t="shared" si="5"/>
        <v>1.3055555555555556</v>
      </c>
      <c r="I24" s="376">
        <f t="shared" si="5"/>
        <v>1.0086267187460005</v>
      </c>
      <c r="J24" s="378">
        <f t="shared" si="5"/>
        <v>1.0402882103472901</v>
      </c>
    </row>
    <row r="25" spans="1:15">
      <c r="A25" s="955"/>
      <c r="B25" s="265">
        <v>2007</v>
      </c>
      <c r="C25" s="375">
        <f t="shared" ref="C25:J25" si="6">C10/C9</f>
        <v>1.0395403457578845</v>
      </c>
      <c r="D25" s="376">
        <f t="shared" si="6"/>
        <v>1.0309526052953923</v>
      </c>
      <c r="E25" s="376">
        <f t="shared" si="6"/>
        <v>1.0356255178127589</v>
      </c>
      <c r="F25" s="376">
        <f t="shared" si="6"/>
        <v>1.010520059435364</v>
      </c>
      <c r="G25" s="376">
        <f t="shared" si="6"/>
        <v>0.98455056179775269</v>
      </c>
      <c r="H25" s="376">
        <f t="shared" si="6"/>
        <v>1.2553191489361704</v>
      </c>
      <c r="I25" s="376">
        <f t="shared" si="6"/>
        <v>1.0153099010951414</v>
      </c>
      <c r="J25" s="378">
        <f t="shared" si="6"/>
        <v>1.0353101309896233</v>
      </c>
    </row>
    <row r="26" spans="1:15">
      <c r="A26" s="955"/>
      <c r="B26" s="265">
        <v>2008</v>
      </c>
      <c r="C26" s="375">
        <f t="shared" ref="C26:J26" si="7">C11/C10</f>
        <v>1.0432984330661168</v>
      </c>
      <c r="D26" s="376">
        <f t="shared" si="7"/>
        <v>1.0195242882602935</v>
      </c>
      <c r="E26" s="376">
        <f t="shared" si="7"/>
        <v>1.0136000000000001</v>
      </c>
      <c r="F26" s="376">
        <f t="shared" si="7"/>
        <v>1.0524644159510648</v>
      </c>
      <c r="G26" s="376">
        <f t="shared" si="7"/>
        <v>0.99001426533523551</v>
      </c>
      <c r="H26" s="376">
        <f t="shared" si="7"/>
        <v>1.2203389830508473</v>
      </c>
      <c r="I26" s="376">
        <f t="shared" si="7"/>
        <v>1.0139939892637373</v>
      </c>
      <c r="J26" s="378">
        <f t="shared" si="7"/>
        <v>1.0378265983077162</v>
      </c>
    </row>
    <row r="27" spans="1:15">
      <c r="A27" s="955"/>
      <c r="B27" s="265">
        <v>2009</v>
      </c>
      <c r="C27" s="375">
        <f t="shared" ref="C27:J27" si="8">C12/C11</f>
        <v>1.0166372697239487</v>
      </c>
      <c r="D27" s="376">
        <f t="shared" si="8"/>
        <v>1.0123709953944935</v>
      </c>
      <c r="E27" s="376">
        <f t="shared" si="8"/>
        <v>1.01026045777427</v>
      </c>
      <c r="F27" s="376">
        <f>F12/F11</f>
        <v>1.0419134905554934</v>
      </c>
      <c r="G27" s="376">
        <f t="shared" si="8"/>
        <v>0.98487031700288186</v>
      </c>
      <c r="H27" s="376">
        <f t="shared" si="8"/>
        <v>1</v>
      </c>
      <c r="I27" s="376">
        <f t="shared" si="8"/>
        <v>1.0090148844531162</v>
      </c>
      <c r="J27" s="378">
        <f t="shared" si="8"/>
        <v>1.0155649126054813</v>
      </c>
    </row>
    <row r="28" spans="1:15">
      <c r="A28" s="955"/>
      <c r="B28" s="265">
        <v>2010</v>
      </c>
      <c r="C28" s="375">
        <f t="shared" ref="C28:J28" si="9">C13/C12</f>
        <v>1.0162906457187313</v>
      </c>
      <c r="D28" s="376">
        <f t="shared" si="9"/>
        <v>1.029586584758426</v>
      </c>
      <c r="E28" s="376">
        <f t="shared" si="9"/>
        <v>1.0101562500000001</v>
      </c>
      <c r="F28" s="376">
        <f t="shared" si="9"/>
        <v>0.9905599656726024</v>
      </c>
      <c r="G28" s="376">
        <f t="shared" si="9"/>
        <v>1.0007315288953913</v>
      </c>
      <c r="H28" s="376">
        <f t="shared" si="9"/>
        <v>1</v>
      </c>
      <c r="I28" s="376">
        <f t="shared" si="9"/>
        <v>1.011034104937826</v>
      </c>
      <c r="J28" s="378">
        <f t="shared" si="9"/>
        <v>1.0159144850156832</v>
      </c>
    </row>
    <row r="29" spans="1:15">
      <c r="A29" s="955"/>
      <c r="B29" s="265">
        <v>2011</v>
      </c>
      <c r="C29" s="375">
        <f>C14/C13</f>
        <v>1.0268590226480743</v>
      </c>
      <c r="D29" s="376">
        <f t="shared" ref="D29:J29" si="10">D14/D13</f>
        <v>1.0424218968371712</v>
      </c>
      <c r="E29" s="376">
        <f t="shared" si="10"/>
        <v>1.0586491363753545</v>
      </c>
      <c r="F29" s="376">
        <f t="shared" si="10"/>
        <v>0.99870045484080572</v>
      </c>
      <c r="G29" s="376">
        <f t="shared" si="10"/>
        <v>0.98172514619883045</v>
      </c>
      <c r="H29" s="376">
        <f t="shared" si="10"/>
        <v>1</v>
      </c>
      <c r="I29" s="376">
        <f t="shared" si="10"/>
        <v>1.01510507061475</v>
      </c>
      <c r="J29" s="378">
        <f t="shared" si="10"/>
        <v>1.0260164439214019</v>
      </c>
    </row>
    <row r="30" spans="1:15">
      <c r="A30" s="955"/>
      <c r="B30" s="265">
        <v>2012</v>
      </c>
      <c r="C30" s="375">
        <f t="shared" ref="C30:J30" si="11">C15/C14</f>
        <v>1.0267753001715265</v>
      </c>
      <c r="D30" s="376">
        <f t="shared" si="11"/>
        <v>1.0305989851903801</v>
      </c>
      <c r="E30" s="376">
        <f t="shared" si="11"/>
        <v>1.0403628394009496</v>
      </c>
      <c r="F30" s="376">
        <f t="shared" si="11"/>
        <v>0.99246367382346568</v>
      </c>
      <c r="G30" s="376">
        <f t="shared" si="11"/>
        <v>0.9962769918093819</v>
      </c>
      <c r="H30" s="376">
        <f t="shared" si="11"/>
        <v>1</v>
      </c>
      <c r="I30" s="376">
        <f>I15/I14</f>
        <v>1.0169575549313528</v>
      </c>
      <c r="J30" s="378">
        <f t="shared" si="11"/>
        <v>1.0254306821080859</v>
      </c>
      <c r="L30" s="499"/>
    </row>
    <row r="31" spans="1:15" ht="13.8" thickBot="1">
      <c r="A31" s="955"/>
      <c r="B31" s="407">
        <v>2013</v>
      </c>
      <c r="C31" s="375">
        <f>C16/C15</f>
        <v>1.0310257224107646</v>
      </c>
      <c r="D31" s="376">
        <f t="shared" ref="D31:J31" si="12">D16/D15</f>
        <v>1.0245369304820324</v>
      </c>
      <c r="E31" s="376">
        <f t="shared" si="12"/>
        <v>1.0372754403417404</v>
      </c>
      <c r="F31" s="376">
        <f t="shared" si="12"/>
        <v>0.99082217973231357</v>
      </c>
      <c r="G31" s="376">
        <f t="shared" si="12"/>
        <v>1.0328849028400597</v>
      </c>
      <c r="H31" s="376">
        <f t="shared" si="12"/>
        <v>1</v>
      </c>
      <c r="I31" s="376">
        <f>I16/I15</f>
        <v>1.0172152635450566</v>
      </c>
      <c r="J31" s="378">
        <f t="shared" si="12"/>
        <v>1.0285546960930216</v>
      </c>
      <c r="L31" s="499"/>
    </row>
    <row r="32" spans="1:15" ht="13.8" thickBot="1">
      <c r="A32" s="955"/>
      <c r="B32" s="327" t="s">
        <v>91</v>
      </c>
      <c r="C32" s="379">
        <f>GEOMEAN(C26:C31)</f>
        <v>1.0267736332534965</v>
      </c>
      <c r="D32" s="668">
        <f>GEOMEAN(D26:D31)</f>
        <v>1.0264634739382061</v>
      </c>
      <c r="E32" s="668">
        <f>GEOMEAN(E26:E31)</f>
        <v>1.0282212639748187</v>
      </c>
      <c r="F32" s="668">
        <f>GEOMEAN(F28:F31)</f>
        <v>0.99313111739310411</v>
      </c>
      <c r="G32" s="668">
        <f>GEOMEAN(G26:G31)</f>
        <v>0.99760818774098459</v>
      </c>
      <c r="H32" s="668">
        <f>GEOMEAN(H27:H31)</f>
        <v>1</v>
      </c>
      <c r="I32" s="668">
        <f>GEOMEAN(I26:I31)</f>
        <v>1.0138823791371561</v>
      </c>
      <c r="J32" s="669">
        <f>GEOMEAN(J26:J31)</f>
        <v>1.024856224061077</v>
      </c>
    </row>
    <row r="33" spans="2:10">
      <c r="B33" s="126"/>
      <c r="C33" s="505"/>
      <c r="D33" s="257"/>
      <c r="E33" s="257"/>
      <c r="F33" s="257"/>
      <c r="G33" s="257"/>
      <c r="H33" s="257"/>
      <c r="I33" s="257"/>
      <c r="J33" s="257"/>
    </row>
    <row r="34" spans="2:10">
      <c r="B34" s="253"/>
      <c r="C34" s="515"/>
      <c r="D34" s="256"/>
      <c r="E34" s="258"/>
      <c r="F34" s="258"/>
      <c r="G34" s="258"/>
    </row>
    <row r="35" spans="2:10">
      <c r="C35" s="515"/>
      <c r="D35" s="256"/>
    </row>
    <row r="41" spans="2:10">
      <c r="C41" s="259"/>
      <c r="D41" s="259"/>
      <c r="E41" s="259"/>
      <c r="F41" s="259"/>
      <c r="G41" s="259"/>
    </row>
    <row r="42" spans="2:10">
      <c r="C42" s="515"/>
      <c r="D42" s="515"/>
      <c r="G42" s="259"/>
    </row>
    <row r="43" spans="2:10">
      <c r="C43" s="515"/>
      <c r="D43" s="515"/>
    </row>
    <row r="60" spans="3:7">
      <c r="E60" s="260"/>
      <c r="F60" s="260"/>
    </row>
    <row r="61" spans="3:7">
      <c r="C61" s="260"/>
      <c r="D61" s="260"/>
      <c r="E61" s="260"/>
      <c r="F61" s="260"/>
      <c r="G61" s="260"/>
    </row>
    <row r="62" spans="3:7">
      <c r="C62" s="260"/>
      <c r="D62" s="260"/>
      <c r="G62" s="260"/>
    </row>
  </sheetData>
  <mergeCells count="2">
    <mergeCell ref="A2:A14"/>
    <mergeCell ref="A21:A32"/>
  </mergeCells>
  <pageMargins left="0.38" right="0.75" top="0.73" bottom="0.74" header="0.5" footer="0.5"/>
  <pageSetup scale="94" orientation="portrait" r:id="rId1"/>
  <headerFooter alignWithMargins="0">
    <oddHeader>&amp;C&amp;"Arial,Bold"&amp;16HOBNI Rate Class Customer Model</oddHeader>
  </headerFooter>
  <ignoredErrors>
    <ignoredError sqref="C6 D6:I6 C7:I7 C8:I8 C9:I11 C13:I16 C12:F12 G12:I12" formulaRange="1"/>
    <ignoredError sqref="H17:H18 F32 H3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33</vt:i4>
      </vt:variant>
    </vt:vector>
  </HeadingPairs>
  <TitlesOfParts>
    <vt:vector size="57" baseType="lpstr">
      <vt:lpstr>Summary</vt:lpstr>
      <vt:lpstr>Summary (Weather Normalized)</vt:lpstr>
      <vt:lpstr>Load&amp;CustConnGrowth</vt:lpstr>
      <vt:lpstr>Model # One</vt:lpstr>
      <vt:lpstr>Model # Two</vt:lpstr>
      <vt:lpstr>HDD-CDD</vt:lpstr>
      <vt:lpstr>Reg.Model (HDDCDD20)</vt:lpstr>
      <vt:lpstr>Rate Class Energy Model</vt:lpstr>
      <vt:lpstr>Rate Class Customer Model</vt:lpstr>
      <vt:lpstr>WH MRK PART.</vt:lpstr>
      <vt:lpstr>Emb. Dist. Forecast</vt:lpstr>
      <vt:lpstr>Dist. Gen. Forecast</vt:lpstr>
      <vt:lpstr>Rate Class Load Model</vt:lpstr>
      <vt:lpstr>Hist. kW for Emb. Dist.</vt:lpstr>
      <vt:lpstr>Purchased kWh</vt:lpstr>
      <vt:lpstr>Customer</vt:lpstr>
      <vt:lpstr>WeatherNorm. Data</vt:lpstr>
      <vt:lpstr>Month &amp; Hour Data</vt:lpstr>
      <vt:lpstr>GDP</vt:lpstr>
      <vt:lpstr>Population</vt:lpstr>
      <vt:lpstr>2010 to 2013 Actual kWh</vt:lpstr>
      <vt:lpstr>Summary of Rates</vt:lpstr>
      <vt:lpstr>kWh</vt:lpstr>
      <vt:lpstr>KW</vt:lpstr>
      <vt:lpstr>'2010 to 2013 Actual kWh'!Print_Area</vt:lpstr>
      <vt:lpstr>Customer!Print_Area</vt:lpstr>
      <vt:lpstr>'Dist. Gen. Forecast'!Print_Area</vt:lpstr>
      <vt:lpstr>'Emb. Dist. Forecast'!Print_Area</vt:lpstr>
      <vt:lpstr>'HDD-CDD'!Print_Area</vt:lpstr>
      <vt:lpstr>'Hist. kW for Emb. Dist.'!Print_Area</vt:lpstr>
      <vt:lpstr>KW!Print_Area</vt:lpstr>
      <vt:lpstr>kWh!Print_Area</vt:lpstr>
      <vt:lpstr>'Model # One'!Print_Area</vt:lpstr>
      <vt:lpstr>'Model # Two'!Print_Area</vt:lpstr>
      <vt:lpstr>'Month &amp; Hour Data'!Print_Area</vt:lpstr>
      <vt:lpstr>Population!Print_Area</vt:lpstr>
      <vt:lpstr>'Purchased kWh'!Print_Area</vt:lpstr>
      <vt:lpstr>'Rate Class Customer Model'!Print_Area</vt:lpstr>
      <vt:lpstr>'Rate Class Energy Model'!Print_Area</vt:lpstr>
      <vt:lpstr>'Rate Class Load Model'!Print_Area</vt:lpstr>
      <vt:lpstr>'Reg.Model (HDDCDD20)'!Print_Area</vt:lpstr>
      <vt:lpstr>Summary!Print_Area</vt:lpstr>
      <vt:lpstr>'Summary (Weather Normalized)'!Print_Area</vt:lpstr>
      <vt:lpstr>'Summary of Rates'!Print_Area</vt:lpstr>
      <vt:lpstr>'WeatherNorm. Data'!Print_Area</vt:lpstr>
      <vt:lpstr>'WH MRK PART.'!Print_Area</vt:lpstr>
      <vt:lpstr>Customer!Print_Titles</vt:lpstr>
      <vt:lpstr>KW!Print_Titles</vt:lpstr>
      <vt:lpstr>kWh!Print_Titles</vt:lpstr>
      <vt:lpstr>'Model # One'!Print_Titles</vt:lpstr>
      <vt:lpstr>'Model # Two'!Print_Titles</vt:lpstr>
      <vt:lpstr>'Month &amp; Hour Data'!Print_Titles</vt:lpstr>
      <vt:lpstr>'Rate Class Energy Model'!Print_Titles</vt:lpstr>
      <vt:lpstr>'Reg.Model (HDDCDD20)'!Print_Titles</vt:lpstr>
      <vt:lpstr>Summary!Print_Titles</vt:lpstr>
      <vt:lpstr>'Summary (Weather Normalized)'!Print_Titles</vt:lpstr>
      <vt:lpstr>'WeatherNorm. Data'!Print_Titles</vt:lpstr>
    </vt:vector>
  </TitlesOfParts>
  <Company>Hydro One Brampton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larseneau</dc:creator>
  <cp:lastModifiedBy>dsullivan</cp:lastModifiedBy>
  <cp:lastPrinted>2014-04-13T08:36:01Z</cp:lastPrinted>
  <dcterms:created xsi:type="dcterms:W3CDTF">2010-04-27T15:15:16Z</dcterms:created>
  <dcterms:modified xsi:type="dcterms:W3CDTF">2014-04-23T15:18:14Z</dcterms:modified>
</cp:coreProperties>
</file>